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836028923\"/>
    </mc:Choice>
  </mc:AlternateContent>
  <xr:revisionPtr revIDLastSave="0" documentId="13_ncr:1_{12BE3D81-B989-49DB-BBE3-F42967F86354}" xr6:coauthVersionLast="47" xr6:coauthVersionMax="47" xr10:uidLastSave="{00000000-0000-0000-0000-000000000000}"/>
  <workbookProtection workbookAlgorithmName="SHA-512" workbookHashValue="I3xUtKxk+GAx2an0aSITlfHcdE1ySpT8yzsmxhcEBGQBo4/FjwHVyW//hpFjs4CZIxbFmpDhYTj+PuuOcc7Fkw==" workbookSaltValue="SRkyBl2nAx95B8gyToUYkw==" workbookSpinCount="100000" lockStructure="1"/>
  <bookViews>
    <workbookView xWindow="-120" yWindow="-120" windowWidth="29040" windowHeight="15720" tabRatio="435" xr2:uid="{00000000-000D-0000-FFFF-FFFF00000000}"/>
  </bookViews>
  <sheets>
    <sheet name="Version" sheetId="5" r:id="rId1"/>
    <sheet name="A" sheetId="6" r:id="rId2"/>
    <sheet name="B" sheetId="10"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Y!$C$75:$H$81</definedName>
    <definedName name="_xlnm.Print_Area" localSheetId="1">A!$A:$M</definedName>
    <definedName name="_xlnm.Print_Area" localSheetId="0">Version!$A$1:$M$48</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6" i="6" l="1"/>
  <c r="H81" i="6"/>
  <c r="H80" i="6"/>
  <c r="A123" i="10"/>
  <c r="F123" i="10"/>
  <c r="AD123" i="10"/>
  <c r="AH123" i="10"/>
  <c r="CO123" i="10" s="1"/>
  <c r="AI123" i="10"/>
  <c r="AJ123" i="10"/>
  <c r="BG123" i="10" s="1"/>
  <c r="BE123" i="10" a="1"/>
  <c r="BE123" i="10" s="1"/>
  <c r="BI123" i="10" a="1"/>
  <c r="BI123" i="10" s="1"/>
  <c r="BO123" i="10"/>
  <c r="BW123" i="10"/>
  <c r="CD123" i="10" a="1"/>
  <c r="CD123" i="10" s="1"/>
  <c r="CE123" i="10" s="1"/>
  <c r="CK123" i="10"/>
  <c r="CS123" i="10"/>
  <c r="A124" i="10"/>
  <c r="F124" i="10"/>
  <c r="AD124" i="10"/>
  <c r="AH124" i="10"/>
  <c r="BW124" i="10" s="1"/>
  <c r="AI124" i="10"/>
  <c r="AJ124" i="10"/>
  <c r="BG124" i="10" s="1"/>
  <c r="BH124" i="10"/>
  <c r="BI124" i="10" a="1"/>
  <c r="BI124" i="10"/>
  <c r="BJ124" i="10"/>
  <c r="BO124" i="10"/>
  <c r="F125" i="10"/>
  <c r="AD125" i="10"/>
  <c r="AH125" i="10"/>
  <c r="AI125" i="10"/>
  <c r="AJ125" i="10"/>
  <c r="BG125" i="10" s="1"/>
  <c r="BH125" i="10"/>
  <c r="BI125" i="10" a="1"/>
  <c r="BI125" i="10"/>
  <c r="BO125" i="10"/>
  <c r="F126" i="10"/>
  <c r="AD126" i="10"/>
  <c r="AH126" i="10"/>
  <c r="A126" i="10" s="1"/>
  <c r="AI126" i="10"/>
  <c r="AJ126" i="10"/>
  <c r="AO126" i="10"/>
  <c r="BE126" i="10" a="1"/>
  <c r="BE126" i="10" s="1"/>
  <c r="BI126" i="10" a="1"/>
  <c r="BI126" i="10"/>
  <c r="BJ126" i="10"/>
  <c r="BO126" i="10"/>
  <c r="BS126" i="10"/>
  <c r="BW126" i="10"/>
  <c r="CD126" i="10" a="1"/>
  <c r="CD126" i="10" s="1"/>
  <c r="CF126" i="10"/>
  <c r="CK126" i="10"/>
  <c r="CO126" i="10"/>
  <c r="CS126" i="10"/>
  <c r="A127" i="10"/>
  <c r="F127" i="10"/>
  <c r="AD127" i="10"/>
  <c r="AH127" i="10"/>
  <c r="AO127" i="10" s="1"/>
  <c r="AI127" i="10"/>
  <c r="AJ127" i="10"/>
  <c r="BG127" i="10" s="1"/>
  <c r="BE127" i="10" a="1"/>
  <c r="BE127" i="10" s="1"/>
  <c r="BI127" i="10" a="1"/>
  <c r="BI127" i="10" s="1"/>
  <c r="BO127" i="10"/>
  <c r="BS127" i="10"/>
  <c r="BW127" i="10"/>
  <c r="CD127" i="10" a="1"/>
  <c r="CD127" i="10" s="1"/>
  <c r="CF127" i="10"/>
  <c r="CK127" i="10"/>
  <c r="CO127" i="10"/>
  <c r="CS127" i="10"/>
  <c r="A128" i="10"/>
  <c r="F128" i="10"/>
  <c r="AD128" i="10"/>
  <c r="AH128" i="10"/>
  <c r="BW128" i="10" s="1"/>
  <c r="AI128" i="10"/>
  <c r="AJ128" i="10"/>
  <c r="BG128" i="10" s="1"/>
  <c r="BH128" i="10"/>
  <c r="BI128" i="10" a="1"/>
  <c r="BI128" i="10"/>
  <c r="BO128" i="10"/>
  <c r="F129" i="10"/>
  <c r="AD129" i="10"/>
  <c r="AH129" i="10"/>
  <c r="CD129" i="10" s="1" a="1"/>
  <c r="CD129" i="10" s="1"/>
  <c r="AI129" i="10"/>
  <c r="AJ129" i="10"/>
  <c r="BH129" i="10" s="1"/>
  <c r="BI129" i="10" a="1"/>
  <c r="BI129" i="10"/>
  <c r="BO129" i="10"/>
  <c r="BW129" i="10"/>
  <c r="F130" i="10"/>
  <c r="AD130" i="10"/>
  <c r="AH130" i="10"/>
  <c r="BS130" i="10" s="1"/>
  <c r="AI130" i="10"/>
  <c r="AJ130" i="10"/>
  <c r="AO130" i="10"/>
  <c r="BE130" i="10" a="1"/>
  <c r="BE130" i="10" s="1"/>
  <c r="BI130" i="10" a="1"/>
  <c r="BI130" i="10"/>
  <c r="BJ130" i="10"/>
  <c r="BO130" i="10"/>
  <c r="BW130" i="10"/>
  <c r="CD130" i="10" a="1"/>
  <c r="CD130" i="10" s="1"/>
  <c r="CF130" i="10"/>
  <c r="CK130" i="10"/>
  <c r="CO130" i="10"/>
  <c r="CS130" i="10"/>
  <c r="A131" i="10"/>
  <c r="F131" i="10"/>
  <c r="AD131" i="10"/>
  <c r="AH131" i="10"/>
  <c r="AO131" i="10" s="1"/>
  <c r="AI131" i="10"/>
  <c r="AJ131" i="10"/>
  <c r="BG131" i="10" s="1"/>
  <c r="BE131" i="10" a="1"/>
  <c r="BE131" i="10" s="1"/>
  <c r="BI131" i="10" a="1"/>
  <c r="BI131" i="10" s="1"/>
  <c r="BJ131" i="10"/>
  <c r="BO131" i="10"/>
  <c r="BS131" i="10"/>
  <c r="BW131" i="10"/>
  <c r="CD131" i="10" a="1"/>
  <c r="CD131" i="10" s="1"/>
  <c r="CF131" i="10"/>
  <c r="CK131" i="10"/>
  <c r="CO131" i="10"/>
  <c r="CS131" i="10"/>
  <c r="A132" i="10"/>
  <c r="F132" i="10"/>
  <c r="AD132" i="10"/>
  <c r="AH132" i="10"/>
  <c r="AI132" i="10"/>
  <c r="AJ132" i="10"/>
  <c r="BH132" i="10"/>
  <c r="BI132" i="10" a="1"/>
  <c r="BI132" i="10"/>
  <c r="BO132" i="10"/>
  <c r="F133" i="10"/>
  <c r="AD133" i="10"/>
  <c r="AH133" i="10"/>
  <c r="AI133" i="10"/>
  <c r="AJ133" i="10"/>
  <c r="BG133" i="10" s="1"/>
  <c r="BH133" i="10"/>
  <c r="BI133" i="10" a="1"/>
  <c r="BI133" i="10"/>
  <c r="BO133" i="10"/>
  <c r="BS133" i="10"/>
  <c r="BW133" i="10"/>
  <c r="CF133" i="10"/>
  <c r="CK133" i="10"/>
  <c r="F134" i="10"/>
  <c r="AD134" i="10"/>
  <c r="AH134" i="10"/>
  <c r="AI134" i="10"/>
  <c r="AJ134" i="10"/>
  <c r="BH134" i="10"/>
  <c r="BI134" i="10" a="1"/>
  <c r="BI134" i="10" s="1"/>
  <c r="F135" i="10"/>
  <c r="AD135" i="10"/>
  <c r="AH135" i="10"/>
  <c r="AI135" i="10"/>
  <c r="AJ135" i="10"/>
  <c r="AO135" i="10"/>
  <c r="BH135" i="10"/>
  <c r="BI135" i="10" a="1"/>
  <c r="BI135" i="10"/>
  <c r="BO135" i="10"/>
  <c r="BW135" i="10"/>
  <c r="A136" i="10"/>
  <c r="F136" i="10"/>
  <c r="AD136" i="10"/>
  <c r="AH136" i="10"/>
  <c r="AI136" i="10"/>
  <c r="AJ136" i="10"/>
  <c r="AO136" i="10"/>
  <c r="BE136" i="10" a="1"/>
  <c r="BE136" i="10"/>
  <c r="BI136" i="10" a="1"/>
  <c r="BI136" i="10"/>
  <c r="BJ136" i="10"/>
  <c r="BO136" i="10"/>
  <c r="BS136" i="10"/>
  <c r="BW136" i="10"/>
  <c r="CD136" i="10" a="1"/>
  <c r="CD136" i="10" s="1"/>
  <c r="CE136" i="10"/>
  <c r="CF136" i="10"/>
  <c r="CK136" i="10"/>
  <c r="CO136" i="10"/>
  <c r="CS136" i="10"/>
  <c r="A137" i="10"/>
  <c r="F137" i="10"/>
  <c r="AD137" i="10"/>
  <c r="AH137" i="10"/>
  <c r="BW137" i="10" s="1"/>
  <c r="AI137" i="10"/>
  <c r="AJ137" i="10"/>
  <c r="BE137" i="10" a="1"/>
  <c r="BE137" i="10" s="1"/>
  <c r="BF137" i="10"/>
  <c r="BG137" i="10"/>
  <c r="BH137" i="10"/>
  <c r="BI137" i="10" a="1"/>
  <c r="BI137" i="10" s="1"/>
  <c r="BO137" i="10"/>
  <c r="CO137" i="10"/>
  <c r="CS137" i="10"/>
  <c r="F138" i="10"/>
  <c r="AD138" i="10"/>
  <c r="AH138" i="10"/>
  <c r="AI138" i="10"/>
  <c r="AJ138" i="10"/>
  <c r="BH138" i="10"/>
  <c r="BI138" i="10" a="1"/>
  <c r="BI138" i="10" s="1"/>
  <c r="F139" i="10"/>
  <c r="AD139" i="10"/>
  <c r="AH139" i="10"/>
  <c r="BW139" i="10" s="1"/>
  <c r="AI139" i="10"/>
  <c r="AJ139" i="10"/>
  <c r="BG139" i="10" s="1"/>
  <c r="AO139" i="10"/>
  <c r="BI139" i="10" a="1"/>
  <c r="BI139" i="10"/>
  <c r="BJ139" i="10"/>
  <c r="BO139" i="10"/>
  <c r="CD139" i="10" a="1"/>
  <c r="CD139" i="10" s="1"/>
  <c r="CK139" i="10"/>
  <c r="CS139" i="10"/>
  <c r="A140" i="10"/>
  <c r="F140" i="10"/>
  <c r="AD140" i="10"/>
  <c r="AH140" i="10"/>
  <c r="AI140" i="10"/>
  <c r="AJ140" i="10"/>
  <c r="AO140" i="10"/>
  <c r="BE140" i="10" a="1"/>
  <c r="BE140" i="10" s="1"/>
  <c r="BI140" i="10" a="1"/>
  <c r="BI140" i="10"/>
  <c r="BJ140" i="10"/>
  <c r="BO140" i="10"/>
  <c r="BS140" i="10"/>
  <c r="BW140" i="10"/>
  <c r="CD140" i="10" a="1"/>
  <c r="CD140" i="10" s="1"/>
  <c r="CE140" i="10"/>
  <c r="CF140" i="10"/>
  <c r="CK140" i="10"/>
  <c r="CO140" i="10"/>
  <c r="CS140" i="10"/>
  <c r="A141" i="10"/>
  <c r="F141" i="10"/>
  <c r="AD141" i="10"/>
  <c r="AH141" i="10"/>
  <c r="AI141" i="10"/>
  <c r="AJ141" i="10"/>
  <c r="BG141" i="10"/>
  <c r="BH141" i="10"/>
  <c r="BI141" i="10" a="1"/>
  <c r="BI141" i="10" s="1"/>
  <c r="CS141" i="10"/>
  <c r="F142" i="10"/>
  <c r="AD142" i="10"/>
  <c r="AH142" i="10"/>
  <c r="AI142" i="10"/>
  <c r="AJ142" i="10"/>
  <c r="BG142" i="10" s="1"/>
  <c r="BH142" i="10"/>
  <c r="BI142" i="10" a="1"/>
  <c r="BI142" i="10"/>
  <c r="BJ142" i="10"/>
  <c r="CK142" i="10"/>
  <c r="F143" i="10"/>
  <c r="AD143" i="10"/>
  <c r="AH143" i="10"/>
  <c r="AI143" i="10"/>
  <c r="AJ143" i="10"/>
  <c r="BG143" i="10" s="1"/>
  <c r="BE143" i="10" a="1"/>
  <c r="BE143" i="10" s="1"/>
  <c r="BH143" i="10"/>
  <c r="BI143" i="10" a="1"/>
  <c r="BI143" i="10"/>
  <c r="BJ143" i="10"/>
  <c r="BO143" i="10"/>
  <c r="BW143" i="10"/>
  <c r="CK143" i="10"/>
  <c r="CS143" i="10"/>
  <c r="A144" i="10"/>
  <c r="F144" i="10"/>
  <c r="AD144" i="10"/>
  <c r="AH144" i="10"/>
  <c r="CO144" i="10" s="1"/>
  <c r="AI144" i="10"/>
  <c r="AJ144" i="10"/>
  <c r="BE144" i="10" a="1"/>
  <c r="BE144" i="10" s="1"/>
  <c r="BF144" i="10" s="1"/>
  <c r="BI144" i="10" a="1"/>
  <c r="BI144" i="10"/>
  <c r="BO144" i="10"/>
  <c r="BS144" i="10"/>
  <c r="BW144" i="10"/>
  <c r="CD144" i="10" a="1"/>
  <c r="CD144" i="10" s="1"/>
  <c r="CE144" i="10"/>
  <c r="CF144" i="10"/>
  <c r="CK144" i="10"/>
  <c r="CS144" i="10"/>
  <c r="F145" i="10"/>
  <c r="AD145" i="10"/>
  <c r="AH145" i="10"/>
  <c r="A145" i="10" s="1"/>
  <c r="AI145" i="10"/>
  <c r="AJ145" i="10"/>
  <c r="BE145" i="10" a="1"/>
  <c r="BE145" i="10" s="1"/>
  <c r="BG145" i="10"/>
  <c r="BH145" i="10"/>
  <c r="BI145" i="10" a="1"/>
  <c r="BI145" i="10"/>
  <c r="CO145" i="10"/>
  <c r="CS145" i="10"/>
  <c r="F146" i="10"/>
  <c r="AD146" i="10"/>
  <c r="AH146" i="10"/>
  <c r="AI146" i="10"/>
  <c r="AJ146" i="10"/>
  <c r="BI146" i="10" a="1"/>
  <c r="BI146" i="10"/>
  <c r="BO146" i="10"/>
  <c r="BW146" i="10"/>
  <c r="CD146" i="10" a="1"/>
  <c r="CD146" i="10" s="1"/>
  <c r="CK146" i="10"/>
  <c r="CS146" i="10"/>
  <c r="F147" i="10"/>
  <c r="AD147" i="10"/>
  <c r="AH147" i="10"/>
  <c r="AI147" i="10"/>
  <c r="AJ147" i="10"/>
  <c r="AO147" i="10"/>
  <c r="BI147" i="10" a="1"/>
  <c r="BI147" i="10"/>
  <c r="BJ147" i="10"/>
  <c r="BW147" i="10"/>
  <c r="CD147" i="10" a="1"/>
  <c r="CD147" i="10" s="1"/>
  <c r="CO147" i="10"/>
  <c r="F148" i="10"/>
  <c r="AD148" i="10"/>
  <c r="AH148" i="10"/>
  <c r="CD148" i="10" s="1" a="1"/>
  <c r="CD148" i="10" s="1"/>
  <c r="AI148" i="10"/>
  <c r="AJ148" i="10"/>
  <c r="BE148" i="10" a="1"/>
  <c r="BE148" i="10" s="1"/>
  <c r="BF148" i="10"/>
  <c r="BI148" i="10" a="1"/>
  <c r="BI148" i="10"/>
  <c r="BS148" i="10"/>
  <c r="CK148" i="10"/>
  <c r="F149" i="10"/>
  <c r="AD149" i="10"/>
  <c r="AH149" i="10"/>
  <c r="CS149" i="10" s="1"/>
  <c r="AI149" i="10"/>
  <c r="AJ149" i="10"/>
  <c r="AO149" i="10"/>
  <c r="BI149" i="10" a="1"/>
  <c r="BI149" i="10"/>
  <c r="BJ149" i="10"/>
  <c r="BO149" i="10"/>
  <c r="BW149" i="10"/>
  <c r="F150" i="10"/>
  <c r="AD150" i="10"/>
  <c r="AH150" i="10"/>
  <c r="CK150" i="10" s="1"/>
  <c r="AI150" i="10"/>
  <c r="AJ150" i="10"/>
  <c r="BH150" i="10"/>
  <c r="BI150" i="10" a="1"/>
  <c r="BI150" i="10"/>
  <c r="BO150" i="10"/>
  <c r="F151" i="10"/>
  <c r="AD151" i="10"/>
  <c r="AH151" i="10"/>
  <c r="BS151" i="10" s="1"/>
  <c r="AI151" i="10"/>
  <c r="AJ151" i="10"/>
  <c r="BH151" i="10" s="1"/>
  <c r="BI151" i="10" a="1"/>
  <c r="BI151" i="10"/>
  <c r="BO151" i="10"/>
  <c r="CK151" i="10"/>
  <c r="A152" i="10"/>
  <c r="F152" i="10"/>
  <c r="AD152" i="10"/>
  <c r="AH152" i="10"/>
  <c r="AI152" i="10"/>
  <c r="AJ152" i="10"/>
  <c r="BH152" i="10" s="1"/>
  <c r="AO152" i="10"/>
  <c r="BE152" i="10" a="1"/>
  <c r="BE152" i="10" s="1"/>
  <c r="BF152" i="10"/>
  <c r="BI152" i="10" a="1"/>
  <c r="BI152" i="10" s="1"/>
  <c r="BJ152" i="10"/>
  <c r="BO152" i="10"/>
  <c r="BS152" i="10"/>
  <c r="BW152" i="10"/>
  <c r="CD152" i="10" a="1"/>
  <c r="CD152" i="10" s="1"/>
  <c r="CF152" i="10"/>
  <c r="CK152" i="10"/>
  <c r="CO152" i="10"/>
  <c r="CS152" i="10"/>
  <c r="F153" i="10"/>
  <c r="AD153" i="10"/>
  <c r="AH153" i="10"/>
  <c r="A153" i="10" s="1"/>
  <c r="AI153" i="10"/>
  <c r="AJ153" i="10"/>
  <c r="AO153" i="10"/>
  <c r="BH153" i="10"/>
  <c r="BI153" i="10" a="1"/>
  <c r="BI153" i="10" s="1"/>
  <c r="BJ153" i="10"/>
  <c r="BO153" i="10"/>
  <c r="CS153" i="10"/>
  <c r="F154" i="10"/>
  <c r="AD154" i="10"/>
  <c r="AH154" i="10"/>
  <c r="AI154" i="10"/>
  <c r="AJ154" i="10"/>
  <c r="BH154" i="10" s="1"/>
  <c r="BI154" i="10" a="1"/>
  <c r="BI154" i="10"/>
  <c r="BO154" i="10"/>
  <c r="BS154" i="10"/>
  <c r="CD154" i="10" a="1"/>
  <c r="CD154" i="10"/>
  <c r="CK154" i="10"/>
  <c r="F155" i="10"/>
  <c r="AD155" i="10"/>
  <c r="AH155" i="10"/>
  <c r="AI155" i="10"/>
  <c r="AJ155" i="10"/>
  <c r="BH155" i="10" s="1"/>
  <c r="BI155" i="10" a="1"/>
  <c r="BI155" i="10"/>
  <c r="BO155" i="10"/>
  <c r="CO155" i="10"/>
  <c r="CS155" i="10"/>
  <c r="A156" i="10"/>
  <c r="F156" i="10"/>
  <c r="AD156" i="10"/>
  <c r="AH156" i="10"/>
  <c r="AI156" i="10"/>
  <c r="AJ156" i="10"/>
  <c r="BG156" i="10" s="1"/>
  <c r="BH156" i="10"/>
  <c r="BI156" i="10" a="1"/>
  <c r="BI156" i="10" s="1"/>
  <c r="BO156" i="10"/>
  <c r="BS156" i="10"/>
  <c r="CF156" i="10"/>
  <c r="F157" i="10"/>
  <c r="AD157" i="10"/>
  <c r="AH157" i="10"/>
  <c r="AI157" i="10"/>
  <c r="AJ157" i="10"/>
  <c r="BI157" i="10" a="1"/>
  <c r="BI157" i="10"/>
  <c r="BJ157" i="10"/>
  <c r="BO157" i="10"/>
  <c r="CO157" i="10"/>
  <c r="F158" i="10"/>
  <c r="AD158" i="10"/>
  <c r="AH158" i="10"/>
  <c r="A158" i="10" s="1"/>
  <c r="AI158" i="10"/>
  <c r="AJ158" i="10"/>
  <c r="AO158" i="10"/>
  <c r="BE158" i="10" a="1"/>
  <c r="BE158" i="10"/>
  <c r="BI158" i="10" a="1"/>
  <c r="BI158" i="10"/>
  <c r="BJ158" i="10"/>
  <c r="BO158" i="10"/>
  <c r="BS158" i="10"/>
  <c r="BW158" i="10"/>
  <c r="CD158" i="10" a="1"/>
  <c r="CD158" i="10" s="1"/>
  <c r="CE158" i="10" s="1"/>
  <c r="CF158" i="10"/>
  <c r="CK158" i="10"/>
  <c r="CO158" i="10"/>
  <c r="CS158" i="10"/>
  <c r="A159" i="10"/>
  <c r="F159" i="10"/>
  <c r="AD159" i="10"/>
  <c r="AH159" i="10"/>
  <c r="AI159" i="10"/>
  <c r="AJ159" i="10"/>
  <c r="BH159" i="10" s="1"/>
  <c r="AO159" i="10"/>
  <c r="BE159" i="10" a="1"/>
  <c r="BE159" i="10" s="1"/>
  <c r="BG159" i="10"/>
  <c r="BI159" i="10" a="1"/>
  <c r="BI159" i="10" s="1"/>
  <c r="BJ159" i="10"/>
  <c r="BO159" i="10"/>
  <c r="BS159" i="10"/>
  <c r="BW159" i="10"/>
  <c r="CD159" i="10" a="1"/>
  <c r="CD159" i="10"/>
  <c r="CE159" i="10"/>
  <c r="CH159" i="10" s="1"/>
  <c r="CF159" i="10"/>
  <c r="CK159" i="10"/>
  <c r="CO159" i="10"/>
  <c r="CS159" i="10"/>
  <c r="F160" i="10"/>
  <c r="AD160" i="10"/>
  <c r="AH160" i="10"/>
  <c r="AI160" i="10"/>
  <c r="AJ160" i="10"/>
  <c r="BH160" i="10"/>
  <c r="BI160" i="10" a="1"/>
  <c r="BI160" i="10" s="1"/>
  <c r="A161" i="10"/>
  <c r="F161" i="10"/>
  <c r="AD161" i="10"/>
  <c r="AH161" i="10"/>
  <c r="AO161" i="10" s="1"/>
  <c r="AI161" i="10"/>
  <c r="AJ161" i="10"/>
  <c r="BE161" i="10" a="1"/>
  <c r="BE161" i="10"/>
  <c r="BF161" i="10"/>
  <c r="BI161" i="10" a="1"/>
  <c r="BI161" i="10"/>
  <c r="BO161" i="10"/>
  <c r="BS161" i="10"/>
  <c r="BW161" i="10"/>
  <c r="CD161" i="10" a="1"/>
  <c r="CD161" i="10" s="1"/>
  <c r="CF161" i="10"/>
  <c r="CK161" i="10"/>
  <c r="CO161" i="10"/>
  <c r="CS161" i="10"/>
  <c r="F162" i="10"/>
  <c r="AD162" i="10"/>
  <c r="AH162" i="10"/>
  <c r="BS162" i="10" s="1"/>
  <c r="AI162" i="10"/>
  <c r="AJ162" i="10"/>
  <c r="AO162" i="10"/>
  <c r="BE162" i="10" a="1"/>
  <c r="BE162" i="10" s="1"/>
  <c r="BH162" i="10"/>
  <c r="BI162" i="10" a="1"/>
  <c r="BI162" i="10"/>
  <c r="BJ162" i="10"/>
  <c r="BO162" i="10"/>
  <c r="CS162" i="10"/>
  <c r="A163" i="10"/>
  <c r="F163" i="10"/>
  <c r="AD163" i="10"/>
  <c r="AH163" i="10"/>
  <c r="CO163" i="10" s="1"/>
  <c r="AI163" i="10"/>
  <c r="AJ163" i="10"/>
  <c r="BG163" i="10" s="1"/>
  <c r="BE163" i="10" a="1"/>
  <c r="BE163" i="10"/>
  <c r="BF163" i="10"/>
  <c r="BI163" i="10" a="1"/>
  <c r="BI163" i="10"/>
  <c r="BO163" i="10"/>
  <c r="BS163" i="10"/>
  <c r="BW163" i="10"/>
  <c r="CD163" i="10" a="1"/>
  <c r="CD163" i="10" s="1"/>
  <c r="CF163" i="10"/>
  <c r="CK163" i="10"/>
  <c r="CS163" i="10"/>
  <c r="F164" i="10"/>
  <c r="AD164" i="10"/>
  <c r="AH164" i="10"/>
  <c r="AI164" i="10"/>
  <c r="AJ164" i="10"/>
  <c r="BE164" i="10" a="1"/>
  <c r="BE164" i="10" s="1"/>
  <c r="BG164" i="10"/>
  <c r="BH164" i="10"/>
  <c r="BI164" i="10" a="1"/>
  <c r="BI164" i="10"/>
  <c r="BO164" i="10"/>
  <c r="CO164" i="10"/>
  <c r="A165" i="10"/>
  <c r="F165" i="10"/>
  <c r="AD165" i="10"/>
  <c r="AH165" i="10"/>
  <c r="AO165" i="10" s="1"/>
  <c r="AI165" i="10"/>
  <c r="AJ165" i="10"/>
  <c r="BE165" i="10" a="1"/>
  <c r="BE165" i="10"/>
  <c r="BF165" i="10"/>
  <c r="BI165" i="10" a="1"/>
  <c r="BI165" i="10"/>
  <c r="BO165" i="10"/>
  <c r="BS165" i="10"/>
  <c r="BW165" i="10"/>
  <c r="CD165" i="10" a="1"/>
  <c r="CD165" i="10" s="1"/>
  <c r="CF165" i="10"/>
  <c r="CK165" i="10"/>
  <c r="CS165" i="10"/>
  <c r="F166" i="10"/>
  <c r="AD166" i="10"/>
  <c r="AH166" i="10"/>
  <c r="AI166" i="10"/>
  <c r="AJ166" i="10"/>
  <c r="BE166" i="10" a="1"/>
  <c r="BE166" i="10" s="1"/>
  <c r="BH166" i="10"/>
  <c r="BI166" i="10" a="1"/>
  <c r="BI166" i="10"/>
  <c r="BJ166" i="10"/>
  <c r="CS166" i="10"/>
  <c r="A167" i="10"/>
  <c r="F167" i="10"/>
  <c r="AD167" i="10"/>
  <c r="AH167" i="10"/>
  <c r="CO167" i="10" s="1"/>
  <c r="AI167" i="10"/>
  <c r="AJ167" i="10"/>
  <c r="BE167" i="10" a="1"/>
  <c r="BE167" i="10"/>
  <c r="BI167" i="10" a="1"/>
  <c r="BI167" i="10"/>
  <c r="BO167" i="10"/>
  <c r="BS167" i="10"/>
  <c r="BW167" i="10"/>
  <c r="CD167" i="10" a="1"/>
  <c r="CD167" i="10" s="1"/>
  <c r="CE167" i="10"/>
  <c r="CF167" i="10"/>
  <c r="CK167" i="10"/>
  <c r="CS167" i="10"/>
  <c r="F168" i="10"/>
  <c r="AD168" i="10"/>
  <c r="AH168" i="10"/>
  <c r="AI168" i="10"/>
  <c r="AJ168" i="10"/>
  <c r="BG168" i="10" s="1"/>
  <c r="AO168" i="10"/>
  <c r="BE168" i="10" a="1"/>
  <c r="BE168" i="10" s="1"/>
  <c r="BI168" i="10" a="1"/>
  <c r="BI168" i="10"/>
  <c r="BJ168" i="10"/>
  <c r="BO168" i="10"/>
  <c r="BW168" i="10"/>
  <c r="CD168" i="10" a="1"/>
  <c r="CD168" i="10"/>
  <c r="CK168" i="10"/>
  <c r="CO168" i="10"/>
  <c r="CS168" i="10"/>
  <c r="F169" i="10"/>
  <c r="AD169" i="10"/>
  <c r="AH169" i="10"/>
  <c r="AI169" i="10"/>
  <c r="AJ169" i="10"/>
  <c r="BG169" i="10" s="1"/>
  <c r="BE169" i="10" a="1"/>
  <c r="BE169" i="10"/>
  <c r="BI169" i="10" a="1"/>
  <c r="BI169" i="10"/>
  <c r="BO169" i="10"/>
  <c r="BS169" i="10"/>
  <c r="BW169" i="10"/>
  <c r="CD169" i="10" a="1"/>
  <c r="CD169" i="10" s="1"/>
  <c r="CE169" i="10" s="1"/>
  <c r="CF169" i="10"/>
  <c r="CK169" i="10"/>
  <c r="F170" i="10"/>
  <c r="AD170" i="10"/>
  <c r="AH170" i="10"/>
  <c r="BS170" i="10" s="1"/>
  <c r="AI170" i="10"/>
  <c r="AJ170" i="10"/>
  <c r="BE170" i="10" a="1"/>
  <c r="BE170" i="10" s="1"/>
  <c r="BF170" i="10" s="1"/>
  <c r="BG170" i="10"/>
  <c r="BH170" i="10"/>
  <c r="BI170" i="10" a="1"/>
  <c r="BI170" i="10"/>
  <c r="BO170" i="10"/>
  <c r="BW170" i="10"/>
  <c r="CD170" i="10" a="1"/>
  <c r="CD170" i="10" s="1"/>
  <c r="CF170" i="10"/>
  <c r="CK170" i="10"/>
  <c r="CO170" i="10"/>
  <c r="CS170" i="10"/>
  <c r="A171" i="10"/>
  <c r="F171" i="10"/>
  <c r="AD171" i="10"/>
  <c r="AH171" i="10"/>
  <c r="AI171" i="10"/>
  <c r="AJ171" i="10"/>
  <c r="BG171" i="10" s="1"/>
  <c r="AO171" i="10"/>
  <c r="BE171" i="10" a="1"/>
  <c r="BE171" i="10" s="1"/>
  <c r="BI171" i="10" a="1"/>
  <c r="BI171" i="10" s="1"/>
  <c r="BJ171" i="10"/>
  <c r="BO171" i="10"/>
  <c r="BS171" i="10"/>
  <c r="BW171" i="10"/>
  <c r="CD171" i="10" a="1"/>
  <c r="CD171" i="10" s="1"/>
  <c r="CE171" i="10"/>
  <c r="CF171" i="10"/>
  <c r="CK171" i="10"/>
  <c r="CO171" i="10"/>
  <c r="CS171" i="10"/>
  <c r="A172" i="10"/>
  <c r="F172" i="10"/>
  <c r="AD172" i="10"/>
  <c r="AH172" i="10"/>
  <c r="BW172" i="10" s="1"/>
  <c r="AI172" i="10"/>
  <c r="AJ172" i="10"/>
  <c r="BG172" i="10" s="1"/>
  <c r="AO172" i="10"/>
  <c r="BE172" i="10" a="1"/>
  <c r="BE172" i="10" s="1"/>
  <c r="BF172" i="10" s="1"/>
  <c r="BX172" i="10" s="1"/>
  <c r="BH172" i="10"/>
  <c r="BI172" i="10" a="1"/>
  <c r="BI172" i="10"/>
  <c r="BJ172" i="10"/>
  <c r="BO172" i="10"/>
  <c r="CS172" i="10"/>
  <c r="F173" i="10"/>
  <c r="AD173" i="10"/>
  <c r="AH173" i="10"/>
  <c r="AI173" i="10"/>
  <c r="AJ173" i="10"/>
  <c r="BH173" i="10"/>
  <c r="BI173" i="10" a="1"/>
  <c r="BI173" i="10"/>
  <c r="F174" i="10"/>
  <c r="AD174" i="10"/>
  <c r="AH174" i="10"/>
  <c r="BS174" i="10" s="1"/>
  <c r="AI174" i="10"/>
  <c r="AJ174" i="10"/>
  <c r="BH174" i="10" s="1"/>
  <c r="BE174" i="10" a="1"/>
  <c r="BE174" i="10" s="1"/>
  <c r="BG174" i="10"/>
  <c r="BI174" i="10" a="1"/>
  <c r="BI174" i="10"/>
  <c r="BO174" i="10"/>
  <c r="BW174" i="10"/>
  <c r="CD174" i="10" a="1"/>
  <c r="CD174" i="10" s="1"/>
  <c r="CK174" i="10"/>
  <c r="CO174" i="10"/>
  <c r="CS174" i="10"/>
  <c r="A175" i="10"/>
  <c r="F175" i="10"/>
  <c r="AD175" i="10"/>
  <c r="AH175" i="10"/>
  <c r="CO175" i="10" s="1"/>
  <c r="AI175" i="10"/>
  <c r="AJ175" i="10"/>
  <c r="BG175" i="10" s="1"/>
  <c r="AO175" i="10"/>
  <c r="BE175" i="10" a="1"/>
  <c r="BE175" i="10" s="1"/>
  <c r="BI175" i="10" a="1"/>
  <c r="BI175" i="10" s="1"/>
  <c r="BJ175" i="10"/>
  <c r="BO175" i="10"/>
  <c r="BW175" i="10"/>
  <c r="CD175" i="10" a="1"/>
  <c r="CD175" i="10" s="1"/>
  <c r="CK175" i="10"/>
  <c r="CS175" i="10"/>
  <c r="A176" i="10"/>
  <c r="F176" i="10"/>
  <c r="AD176" i="10"/>
  <c r="AH176" i="10"/>
  <c r="AI176" i="10"/>
  <c r="AJ176" i="10"/>
  <c r="AO176" i="10"/>
  <c r="BH176" i="10"/>
  <c r="BI176" i="10" a="1"/>
  <c r="BI176" i="10"/>
  <c r="BJ176" i="10"/>
  <c r="BO176" i="10"/>
  <c r="F177" i="10"/>
  <c r="AD177" i="10"/>
  <c r="AH177" i="10"/>
  <c r="AI177" i="10"/>
  <c r="AJ177" i="10"/>
  <c r="BG177" i="10" s="1"/>
  <c r="BH177" i="10"/>
  <c r="BI177" i="10" a="1"/>
  <c r="BI177" i="10"/>
  <c r="BO177" i="10"/>
  <c r="BS177" i="10"/>
  <c r="BW177" i="10"/>
  <c r="CD177" i="10" a="1"/>
  <c r="CD177" i="10" s="1"/>
  <c r="CF177" i="10"/>
  <c r="CK177" i="10"/>
  <c r="F178" i="10"/>
  <c r="AD178" i="10"/>
  <c r="AH178" i="10"/>
  <c r="CO178" i="10" s="1"/>
  <c r="AI178" i="10"/>
  <c r="AJ178" i="10"/>
  <c r="BE178" i="10" a="1"/>
  <c r="BE178" i="10" s="1"/>
  <c r="BG178" i="10"/>
  <c r="BH178" i="10"/>
  <c r="BI178" i="10" a="1"/>
  <c r="BI178" i="10"/>
  <c r="CD178" i="10" a="1"/>
  <c r="CD178" i="10" s="1"/>
  <c r="CS178" i="10"/>
  <c r="A179" i="10"/>
  <c r="F179" i="10"/>
  <c r="AD179" i="10"/>
  <c r="AH179" i="10"/>
  <c r="CO179" i="10" s="1"/>
  <c r="AI179" i="10"/>
  <c r="AJ179" i="10"/>
  <c r="AO179" i="10"/>
  <c r="BE179" i="10" a="1"/>
  <c r="BE179" i="10" s="1"/>
  <c r="BF179" i="10" s="1"/>
  <c r="BI179" i="10" a="1"/>
  <c r="BI179" i="10" s="1"/>
  <c r="BJ179" i="10"/>
  <c r="BO179" i="10"/>
  <c r="BW179" i="10"/>
  <c r="CD179" i="10" a="1"/>
  <c r="CD179" i="10" s="1"/>
  <c r="CE179" i="10"/>
  <c r="CK179" i="10"/>
  <c r="CS179" i="10"/>
  <c r="F180" i="10"/>
  <c r="AD180" i="10"/>
  <c r="AH180" i="10"/>
  <c r="BJ180" i="10" s="1"/>
  <c r="AI180" i="10"/>
  <c r="AJ180" i="10"/>
  <c r="AO180" i="10"/>
  <c r="BE180" i="10" a="1"/>
  <c r="BE180" i="10" s="1"/>
  <c r="BF180" i="10" s="1"/>
  <c r="BH180" i="10"/>
  <c r="BI180" i="10" a="1"/>
  <c r="BI180" i="10"/>
  <c r="BO180" i="10"/>
  <c r="CS180" i="10"/>
  <c r="F181" i="10"/>
  <c r="AD181" i="10"/>
  <c r="AH181" i="10"/>
  <c r="AI181" i="10"/>
  <c r="AJ181" i="10"/>
  <c r="BG181" i="10" s="1"/>
  <c r="BI181" i="10" a="1"/>
  <c r="BI181" i="10"/>
  <c r="BO181" i="10"/>
  <c r="BS181" i="10"/>
  <c r="CD181" i="10" a="1"/>
  <c r="CD181" i="10" s="1"/>
  <c r="CF181" i="10"/>
  <c r="F182" i="10"/>
  <c r="AD182" i="10"/>
  <c r="AH182" i="10"/>
  <c r="AI182" i="10"/>
  <c r="AJ182" i="10"/>
  <c r="BG182" i="10" s="1"/>
  <c r="BE182" i="10" a="1"/>
  <c r="BE182" i="10" s="1"/>
  <c r="BH182" i="10"/>
  <c r="BI182" i="10" a="1"/>
  <c r="BI182" i="10"/>
  <c r="BO182" i="10"/>
  <c r="BW182" i="10"/>
  <c r="CD182" i="10" a="1"/>
  <c r="CD182" i="10" s="1"/>
  <c r="CE182" i="10" s="1"/>
  <c r="CK182" i="10"/>
  <c r="CO182" i="10"/>
  <c r="CS182" i="10"/>
  <c r="A183" i="10"/>
  <c r="F183" i="10"/>
  <c r="AD183" i="10"/>
  <c r="AH183" i="10"/>
  <c r="CO183" i="10" s="1"/>
  <c r="AI183" i="10"/>
  <c r="AJ183" i="10"/>
  <c r="AO183" i="10"/>
  <c r="BE183" i="10" a="1"/>
  <c r="BE183" i="10" s="1"/>
  <c r="BF183" i="10"/>
  <c r="BI183" i="10" a="1"/>
  <c r="BI183" i="10"/>
  <c r="BJ183" i="10"/>
  <c r="BO183" i="10"/>
  <c r="BW183" i="10"/>
  <c r="CD183" i="10" a="1"/>
  <c r="CD183" i="10" s="1"/>
  <c r="CK183" i="10"/>
  <c r="CS183" i="10"/>
  <c r="F184" i="10"/>
  <c r="AD184" i="10"/>
  <c r="AH184" i="10"/>
  <c r="A184" i="10" s="1"/>
  <c r="AI184" i="10"/>
  <c r="AJ184" i="10"/>
  <c r="AO184" i="10"/>
  <c r="BE184" i="10" a="1"/>
  <c r="BE184" i="10" s="1"/>
  <c r="BF184" i="10" s="1"/>
  <c r="BH184" i="10"/>
  <c r="BI184" i="10" a="1"/>
  <c r="BI184" i="10"/>
  <c r="BO184" i="10"/>
  <c r="CF184" i="10"/>
  <c r="CS184" i="10"/>
  <c r="F185" i="10"/>
  <c r="AD185" i="10"/>
  <c r="AH185" i="10"/>
  <c r="AI185" i="10"/>
  <c r="AJ185" i="10"/>
  <c r="BH185" i="10" s="1"/>
  <c r="BI185" i="10" a="1"/>
  <c r="BI185" i="10"/>
  <c r="BO185" i="10"/>
  <c r="BS185" i="10"/>
  <c r="BW185" i="10"/>
  <c r="CF185" i="10"/>
  <c r="CK185" i="10"/>
  <c r="F186" i="10"/>
  <c r="AD186" i="10"/>
  <c r="AH186" i="10"/>
  <c r="AI186" i="10"/>
  <c r="AJ186" i="10"/>
  <c r="BG186" i="10" s="1"/>
  <c r="BE186" i="10" a="1"/>
  <c r="BE186" i="10" s="1"/>
  <c r="BI186" i="10" a="1"/>
  <c r="BI186" i="10"/>
  <c r="BO186" i="10"/>
  <c r="BW186" i="10"/>
  <c r="CD186" i="10" a="1"/>
  <c r="CD186" i="10" s="1"/>
  <c r="CE186" i="10"/>
  <c r="CK186" i="10"/>
  <c r="CO186" i="10"/>
  <c r="CS186" i="10"/>
  <c r="F187" i="10"/>
  <c r="AD187" i="10"/>
  <c r="AH187" i="10"/>
  <c r="BS187" i="10" s="1"/>
  <c r="AI187" i="10"/>
  <c r="AJ187" i="10"/>
  <c r="AO187" i="10"/>
  <c r="BE187" i="10" a="1"/>
  <c r="BE187" i="10" s="1"/>
  <c r="BH187" i="10"/>
  <c r="BI187" i="10" a="1"/>
  <c r="BI187" i="10" s="1"/>
  <c r="BJ187" i="10"/>
  <c r="BO187" i="10"/>
  <c r="BW187" i="10"/>
  <c r="CD187" i="10" a="1"/>
  <c r="CD187" i="10" s="1"/>
  <c r="CE187" i="10"/>
  <c r="CF187" i="10"/>
  <c r="CK187" i="10"/>
  <c r="CO187" i="10"/>
  <c r="CS187" i="10"/>
  <c r="A188" i="10"/>
  <c r="F188" i="10"/>
  <c r="AD188" i="10"/>
  <c r="AH188" i="10"/>
  <c r="BJ188" i="10" s="1"/>
  <c r="AI188" i="10"/>
  <c r="AJ188" i="10"/>
  <c r="BG188" i="10" s="1"/>
  <c r="AO188" i="10"/>
  <c r="BE188" i="10" a="1"/>
  <c r="BE188" i="10" s="1"/>
  <c r="BH188" i="10"/>
  <c r="BI188" i="10" a="1"/>
  <c r="BI188" i="10"/>
  <c r="BO188" i="10"/>
  <c r="F189" i="10"/>
  <c r="AD189" i="10"/>
  <c r="AH189" i="10"/>
  <c r="CD189" i="10" s="1" a="1"/>
  <c r="CD189" i="10" s="1"/>
  <c r="AI189" i="10"/>
  <c r="AJ189" i="10"/>
  <c r="BI189" i="10" a="1"/>
  <c r="BI189" i="10"/>
  <c r="BO189" i="10"/>
  <c r="F190" i="10"/>
  <c r="AD190" i="10"/>
  <c r="AH190" i="10"/>
  <c r="AI190" i="10"/>
  <c r="AJ190" i="10"/>
  <c r="BH190" i="10" s="1"/>
  <c r="BE190" i="10" a="1"/>
  <c r="BE190" i="10" s="1"/>
  <c r="BI190" i="10" a="1"/>
  <c r="BI190" i="10"/>
  <c r="BO190" i="10"/>
  <c r="BW190" i="10"/>
  <c r="CD190" i="10" a="1"/>
  <c r="CD190" i="10" s="1"/>
  <c r="CK190" i="10"/>
  <c r="CO190" i="10"/>
  <c r="CS190" i="10"/>
  <c r="A191" i="10"/>
  <c r="F191" i="10"/>
  <c r="AD191" i="10"/>
  <c r="AH191" i="10"/>
  <c r="CO191" i="10" s="1"/>
  <c r="AI191" i="10"/>
  <c r="AJ191" i="10"/>
  <c r="AO191" i="10"/>
  <c r="BE191" i="10" a="1"/>
  <c r="BE191" i="10" s="1"/>
  <c r="BI191" i="10" a="1"/>
  <c r="BI191" i="10"/>
  <c r="BJ191" i="10"/>
  <c r="BO191" i="10"/>
  <c r="BW191" i="10"/>
  <c r="CD191" i="10" a="1"/>
  <c r="CD191" i="10" s="1"/>
  <c r="CE191" i="10" s="1"/>
  <c r="CK191" i="10"/>
  <c r="CS191" i="10"/>
  <c r="A192" i="10"/>
  <c r="F192" i="10"/>
  <c r="AD192" i="10"/>
  <c r="AH192" i="10"/>
  <c r="BE192" i="10" s="1" a="1"/>
  <c r="BE192" i="10" s="1"/>
  <c r="AI192" i="10"/>
  <c r="AJ192" i="10"/>
  <c r="BG192" i="10" s="1"/>
  <c r="AO192" i="10"/>
  <c r="BH192" i="10"/>
  <c r="BI192" i="10" a="1"/>
  <c r="BI192" i="10"/>
  <c r="BJ192" i="10"/>
  <c r="BO192" i="10"/>
  <c r="F193" i="10"/>
  <c r="AD193" i="10"/>
  <c r="AH193" i="10"/>
  <c r="A193" i="10" s="1"/>
  <c r="AI193" i="10"/>
  <c r="AJ193" i="10"/>
  <c r="BH193" i="10"/>
  <c r="BI193" i="10" a="1"/>
  <c r="BI193" i="10"/>
  <c r="F194" i="10"/>
  <c r="AD194" i="10"/>
  <c r="AH194" i="10"/>
  <c r="BE194" i="10" s="1" a="1"/>
  <c r="BE194" i="10" s="1"/>
  <c r="AI194" i="10"/>
  <c r="AJ194" i="10"/>
  <c r="BI194" i="10" a="1"/>
  <c r="BI194" i="10"/>
  <c r="BO194" i="10"/>
  <c r="CO194" i="10"/>
  <c r="A195" i="10"/>
  <c r="F195" i="10"/>
  <c r="AD195" i="10"/>
  <c r="AH195" i="10"/>
  <c r="CO195" i="10" s="1"/>
  <c r="AI195" i="10"/>
  <c r="AJ195" i="10"/>
  <c r="AO195" i="10"/>
  <c r="BE195" i="10" a="1"/>
  <c r="BE195" i="10" s="1"/>
  <c r="BF195" i="10" s="1"/>
  <c r="BI195" i="10" a="1"/>
  <c r="BI195" i="10" s="1"/>
  <c r="BJ195" i="10"/>
  <c r="BO195" i="10"/>
  <c r="BW195" i="10"/>
  <c r="CD195" i="10" a="1"/>
  <c r="CD195" i="10" s="1"/>
  <c r="CE195" i="10"/>
  <c r="CK195" i="10"/>
  <c r="CS195" i="10"/>
  <c r="A196" i="10"/>
  <c r="F196" i="10"/>
  <c r="AD196" i="10"/>
  <c r="AH196" i="10"/>
  <c r="AO196" i="10" s="1"/>
  <c r="AI196" i="10"/>
  <c r="AJ196" i="10"/>
  <c r="BG196" i="10" s="1"/>
  <c r="BH196" i="10"/>
  <c r="BI196" i="10" a="1"/>
  <c r="BI196" i="10"/>
  <c r="BJ196" i="10"/>
  <c r="F197" i="10"/>
  <c r="AD197" i="10"/>
  <c r="AH197" i="10"/>
  <c r="A197" i="10" s="1"/>
  <c r="AI197" i="10"/>
  <c r="AJ197" i="10"/>
  <c r="BH197" i="10"/>
  <c r="BI197" i="10" a="1"/>
  <c r="BI197" i="10"/>
  <c r="BW197" i="10"/>
  <c r="CK197" i="10"/>
  <c r="F198" i="10"/>
  <c r="AD198" i="10"/>
  <c r="AH198" i="10"/>
  <c r="AI198" i="10"/>
  <c r="AJ198" i="10"/>
  <c r="BI198" i="10" a="1"/>
  <c r="BI198" i="10"/>
  <c r="BW198" i="10"/>
  <c r="A199" i="10"/>
  <c r="F199" i="10"/>
  <c r="AD199" i="10"/>
  <c r="AH199" i="10"/>
  <c r="CO199" i="10" s="1"/>
  <c r="AI199" i="10"/>
  <c r="AJ199" i="10"/>
  <c r="AO199" i="10"/>
  <c r="BE199" i="10" a="1"/>
  <c r="BE199" i="10" s="1"/>
  <c r="BF199" i="10"/>
  <c r="BI199" i="10" a="1"/>
  <c r="BI199" i="10"/>
  <c r="BJ199" i="10"/>
  <c r="BO199" i="10"/>
  <c r="BW199" i="10"/>
  <c r="CD199" i="10" a="1"/>
  <c r="CD199" i="10" s="1"/>
  <c r="CK199" i="10"/>
  <c r="CS199" i="10"/>
  <c r="F200" i="10"/>
  <c r="AD200" i="10"/>
  <c r="AH200" i="10"/>
  <c r="A200" i="10" s="1"/>
  <c r="AI200" i="10"/>
  <c r="AJ200" i="10"/>
  <c r="BG200" i="10" s="1"/>
  <c r="AO200" i="10"/>
  <c r="BH200" i="10"/>
  <c r="BI200" i="10" a="1"/>
  <c r="BI200" i="10"/>
  <c r="BJ200" i="10"/>
  <c r="BS200" i="10"/>
  <c r="CD200" i="10" a="1"/>
  <c r="CD200" i="10" s="1"/>
  <c r="CK200" i="10"/>
  <c r="CS200" i="10"/>
  <c r="F201" i="10"/>
  <c r="AD201" i="10"/>
  <c r="AH201" i="10"/>
  <c r="AI201" i="10"/>
  <c r="AJ201" i="10"/>
  <c r="BI201" i="10" a="1"/>
  <c r="BI201" i="10"/>
  <c r="CF201" i="10"/>
  <c r="CO201" i="10"/>
  <c r="F202" i="10"/>
  <c r="AD202" i="10"/>
  <c r="AH202" i="10"/>
  <c r="AI202" i="10"/>
  <c r="AJ202" i="10"/>
  <c r="BG202" i="10"/>
  <c r="BH202" i="10"/>
  <c r="BI202" i="10" a="1"/>
  <c r="BI202" i="10" s="1"/>
  <c r="BO202" i="10"/>
  <c r="CD202" i="10" a="1"/>
  <c r="CD202" i="10"/>
  <c r="CK202" i="10"/>
  <c r="CO202" i="10"/>
  <c r="F203" i="10"/>
  <c r="AD203" i="10"/>
  <c r="AH203" i="10"/>
  <c r="A203" i="10" s="1"/>
  <c r="AI203" i="10"/>
  <c r="AJ203" i="10"/>
  <c r="BH203" i="10" s="1"/>
  <c r="AO203" i="10"/>
  <c r="BE203" i="10" a="1"/>
  <c r="BE203" i="10"/>
  <c r="BI203" i="10" a="1"/>
  <c r="BI203" i="10" s="1"/>
  <c r="BS203" i="10"/>
  <c r="CK203" i="10"/>
  <c r="A204" i="10"/>
  <c r="F204" i="10"/>
  <c r="AD204" i="10"/>
  <c r="AH204" i="10"/>
  <c r="AI204" i="10"/>
  <c r="AJ204" i="10"/>
  <c r="BH204" i="10" s="1"/>
  <c r="AO204" i="10"/>
  <c r="BE204" i="10" a="1"/>
  <c r="BE204" i="10"/>
  <c r="BF204" i="10" s="1"/>
  <c r="BG204" i="10"/>
  <c r="BI204" i="10" a="1"/>
  <c r="BI204" i="10"/>
  <c r="BJ204" i="10"/>
  <c r="BO204" i="10"/>
  <c r="BS204" i="10"/>
  <c r="BW204" i="10"/>
  <c r="CD204" i="10" a="1"/>
  <c r="CD204" i="10" s="1"/>
  <c r="CF204" i="10"/>
  <c r="CK204" i="10"/>
  <c r="CO204" i="10"/>
  <c r="CS204" i="10"/>
  <c r="A205" i="10"/>
  <c r="F205" i="10"/>
  <c r="AD205" i="10"/>
  <c r="AH205" i="10"/>
  <c r="AI205" i="10"/>
  <c r="AJ205" i="10"/>
  <c r="BG205" i="10"/>
  <c r="BH205" i="10"/>
  <c r="BI205" i="10" a="1"/>
  <c r="BI205" i="10" s="1"/>
  <c r="BJ205" i="10"/>
  <c r="BO205" i="10"/>
  <c r="CK205" i="10"/>
  <c r="CS205" i="10"/>
  <c r="F206" i="10"/>
  <c r="AD206" i="10"/>
  <c r="AH206" i="10"/>
  <c r="CO206" i="10" s="1"/>
  <c r="AI206" i="10"/>
  <c r="AJ206" i="10"/>
  <c r="BG206" i="10" s="1"/>
  <c r="AO206" i="10"/>
  <c r="BE206" i="10" a="1"/>
  <c r="BE206" i="10" s="1"/>
  <c r="BH206" i="10"/>
  <c r="BI206" i="10" a="1"/>
  <c r="BI206" i="10" s="1"/>
  <c r="BJ206" i="10"/>
  <c r="BO206" i="10"/>
  <c r="BS206" i="10"/>
  <c r="CF206" i="10"/>
  <c r="CS206" i="10"/>
  <c r="A207" i="10"/>
  <c r="F207" i="10"/>
  <c r="AD207" i="10"/>
  <c r="AH207" i="10"/>
  <c r="AO207" i="10" s="1"/>
  <c r="AI207" i="10"/>
  <c r="AJ207" i="10"/>
  <c r="BH207" i="10" s="1"/>
  <c r="BG207" i="10"/>
  <c r="BI207" i="10" a="1"/>
  <c r="BI207" i="10"/>
  <c r="BJ207" i="10"/>
  <c r="BO207" i="10"/>
  <c r="BS207" i="10"/>
  <c r="BW207" i="10"/>
  <c r="CD207" i="10" a="1"/>
  <c r="CD207" i="10" s="1"/>
  <c r="CF207" i="10"/>
  <c r="CK207" i="10"/>
  <c r="CO207" i="10"/>
  <c r="CS207" i="10"/>
  <c r="F208" i="10"/>
  <c r="AD208" i="10"/>
  <c r="AH208" i="10"/>
  <c r="AI208" i="10"/>
  <c r="AJ208" i="10"/>
  <c r="BH208" i="10"/>
  <c r="BI208" i="10" a="1"/>
  <c r="BI208" i="10" s="1"/>
  <c r="BO208" i="10"/>
  <c r="A209" i="10"/>
  <c r="F209" i="10"/>
  <c r="AD209" i="10"/>
  <c r="AH209" i="10"/>
  <c r="BS209" i="10" s="1"/>
  <c r="AI209" i="10"/>
  <c r="AJ209" i="10"/>
  <c r="AO209" i="10"/>
  <c r="BE209" i="10" a="1"/>
  <c r="BE209" i="10" s="1"/>
  <c r="BI209" i="10" a="1"/>
  <c r="BI209" i="10"/>
  <c r="BJ209" i="10"/>
  <c r="BO209" i="10"/>
  <c r="BW209" i="10"/>
  <c r="CD209" i="10" a="1"/>
  <c r="CD209" i="10"/>
  <c r="CK209" i="10"/>
  <c r="CO209" i="10"/>
  <c r="CS209" i="10"/>
  <c r="F210" i="10"/>
  <c r="AD210" i="10"/>
  <c r="AH210" i="10"/>
  <c r="CO210" i="10" s="1"/>
  <c r="AI210" i="10"/>
  <c r="AJ210" i="10"/>
  <c r="BG210" i="10" s="1"/>
  <c r="AO210" i="10"/>
  <c r="BE210" i="10" a="1"/>
  <c r="BE210" i="10" s="1"/>
  <c r="BH210" i="10"/>
  <c r="BI210" i="10" a="1"/>
  <c r="BI210" i="10"/>
  <c r="BJ210" i="10"/>
  <c r="BO210" i="10"/>
  <c r="BS210" i="10"/>
  <c r="CF210" i="10"/>
  <c r="CS210" i="10"/>
  <c r="A211" i="10"/>
  <c r="F211" i="10"/>
  <c r="AD211" i="10"/>
  <c r="AH211" i="10"/>
  <c r="AO211" i="10" s="1"/>
  <c r="AI211" i="10"/>
  <c r="AJ211" i="10"/>
  <c r="BH211" i="10" s="1"/>
  <c r="BG211" i="10"/>
  <c r="BI211" i="10" a="1"/>
  <c r="BI211" i="10"/>
  <c r="BO211" i="10"/>
  <c r="BS211" i="10"/>
  <c r="BW211" i="10"/>
  <c r="CD211" i="10" a="1"/>
  <c r="CD211" i="10" s="1"/>
  <c r="CF211" i="10"/>
  <c r="CK211" i="10"/>
  <c r="CO211" i="10"/>
  <c r="F212" i="10"/>
  <c r="AD212" i="10"/>
  <c r="AH212" i="10"/>
  <c r="CO212" i="10" s="1"/>
  <c r="AI212" i="10"/>
  <c r="AJ212" i="10"/>
  <c r="BG212" i="10"/>
  <c r="BH212" i="10"/>
  <c r="BI212" i="10" a="1"/>
  <c r="BI212" i="10" s="1"/>
  <c r="BO212" i="10"/>
  <c r="A213" i="10"/>
  <c r="F213" i="10"/>
  <c r="AD213" i="10"/>
  <c r="AH213" i="10"/>
  <c r="BS213" i="10" s="1"/>
  <c r="AI213" i="10"/>
  <c r="AJ213" i="10"/>
  <c r="AO213" i="10"/>
  <c r="BE213" i="10" a="1"/>
  <c r="BE213" i="10" s="1"/>
  <c r="BI213" i="10" a="1"/>
  <c r="BI213" i="10" s="1"/>
  <c r="BJ213" i="10"/>
  <c r="BO213" i="10"/>
  <c r="BW213" i="10"/>
  <c r="CD213" i="10" a="1"/>
  <c r="CD213" i="10" s="1"/>
  <c r="CK213" i="10"/>
  <c r="CS213" i="10"/>
  <c r="F214" i="10"/>
  <c r="AD214" i="10"/>
  <c r="AH214" i="10"/>
  <c r="CO214" i="10" s="1"/>
  <c r="AI214" i="10"/>
  <c r="AJ214" i="10"/>
  <c r="BG214" i="10" s="1"/>
  <c r="AO214" i="10"/>
  <c r="BE214" i="10" a="1"/>
  <c r="BE214" i="10" s="1"/>
  <c r="BH214" i="10"/>
  <c r="BI214" i="10" a="1"/>
  <c r="BI214" i="10"/>
  <c r="BJ214" i="10"/>
  <c r="BO214" i="10"/>
  <c r="BS214" i="10"/>
  <c r="CF214" i="10"/>
  <c r="CS214" i="10"/>
  <c r="A215" i="10"/>
  <c r="F215" i="10"/>
  <c r="AD215" i="10"/>
  <c r="AH215" i="10"/>
  <c r="AO215" i="10" s="1"/>
  <c r="AI215" i="10"/>
  <c r="AJ215" i="10"/>
  <c r="BH215" i="10" s="1"/>
  <c r="BI215" i="10" a="1"/>
  <c r="BI215" i="10"/>
  <c r="BO215" i="10"/>
  <c r="BS215" i="10"/>
  <c r="BW215" i="10"/>
  <c r="CD215" i="10" a="1"/>
  <c r="CD215" i="10" s="1"/>
  <c r="CF215" i="10"/>
  <c r="CK215" i="10"/>
  <c r="CO215" i="10"/>
  <c r="F216" i="10"/>
  <c r="AD216" i="10"/>
  <c r="AH216" i="10"/>
  <c r="AI216" i="10"/>
  <c r="AJ216" i="10"/>
  <c r="BH216" i="10"/>
  <c r="BI216" i="10" a="1"/>
  <c r="BI216" i="10"/>
  <c r="A217" i="10"/>
  <c r="F217" i="10"/>
  <c r="AD217" i="10"/>
  <c r="AH217" i="10"/>
  <c r="BS217" i="10" s="1"/>
  <c r="AI217" i="10"/>
  <c r="AJ217" i="10"/>
  <c r="AO217" i="10"/>
  <c r="BE217" i="10" a="1"/>
  <c r="BE217" i="10" s="1"/>
  <c r="BF217" i="10"/>
  <c r="BI217" i="10" a="1"/>
  <c r="BI217" i="10"/>
  <c r="BJ217" i="10"/>
  <c r="BO217" i="10"/>
  <c r="BW217" i="10"/>
  <c r="CD217" i="10" a="1"/>
  <c r="CD217" i="10" s="1"/>
  <c r="CK217" i="10"/>
  <c r="CS217" i="10"/>
  <c r="F218" i="10"/>
  <c r="AD218" i="10"/>
  <c r="AH218" i="10"/>
  <c r="A218" i="10" s="1"/>
  <c r="AI218" i="10"/>
  <c r="AJ218" i="10"/>
  <c r="BG218" i="10" s="1"/>
  <c r="AO218" i="10"/>
  <c r="BE218" i="10" a="1"/>
  <c r="BE218" i="10" s="1"/>
  <c r="BH218" i="10"/>
  <c r="BI218" i="10" a="1"/>
  <c r="BI218" i="10"/>
  <c r="BJ218" i="10"/>
  <c r="BO218" i="10"/>
  <c r="CF218" i="10"/>
  <c r="CS218" i="10"/>
  <c r="F219" i="10"/>
  <c r="AD219" i="10"/>
  <c r="AH219" i="10"/>
  <c r="BE219" i="10" s="1" a="1"/>
  <c r="AI219" i="10"/>
  <c r="AJ219" i="10"/>
  <c r="AO219" i="10"/>
  <c r="BE219" i="10"/>
  <c r="BF219" i="10"/>
  <c r="BI219" i="10" a="1"/>
  <c r="BI219" i="10"/>
  <c r="BJ219" i="10"/>
  <c r="BO219" i="10"/>
  <c r="BS219" i="10"/>
  <c r="BW219" i="10"/>
  <c r="CD219" i="10" a="1"/>
  <c r="CD219" i="10" s="1"/>
  <c r="CF219" i="10"/>
  <c r="CK219" i="10"/>
  <c r="CO219" i="10"/>
  <c r="CS219" i="10"/>
  <c r="F220" i="10"/>
  <c r="AD220" i="10"/>
  <c r="AH220" i="10"/>
  <c r="CO220" i="10" s="1"/>
  <c r="AI220" i="10"/>
  <c r="AJ220" i="10"/>
  <c r="BG220" i="10" s="1"/>
  <c r="BH220" i="10"/>
  <c r="BI220" i="10" a="1"/>
  <c r="BI220" i="10" s="1"/>
  <c r="BS220" i="10"/>
  <c r="BW220" i="10"/>
  <c r="CF220" i="10"/>
  <c r="A221" i="10"/>
  <c r="F221" i="10"/>
  <c r="AD221" i="10"/>
  <c r="AH221" i="10"/>
  <c r="AI221" i="10"/>
  <c r="AJ221" i="10"/>
  <c r="AO221" i="10"/>
  <c r="BE221" i="10" a="1"/>
  <c r="BE221" i="10" s="1"/>
  <c r="BF221" i="10"/>
  <c r="BI221" i="10" a="1"/>
  <c r="BI221" i="10"/>
  <c r="BJ221" i="10"/>
  <c r="BO221" i="10"/>
  <c r="BW221" i="10"/>
  <c r="CD221" i="10" a="1"/>
  <c r="CD221" i="10"/>
  <c r="CE221" i="10" s="1"/>
  <c r="CK221" i="10"/>
  <c r="CO221" i="10"/>
  <c r="CS221" i="10"/>
  <c r="A222" i="10"/>
  <c r="F222" i="10"/>
  <c r="AD222" i="10"/>
  <c r="AH222" i="10"/>
  <c r="CO222" i="10" s="1"/>
  <c r="AI222" i="10"/>
  <c r="AJ222" i="10"/>
  <c r="AO222" i="10"/>
  <c r="BE222" i="10" a="1"/>
  <c r="BE222" i="10" s="1"/>
  <c r="BH222" i="10"/>
  <c r="BI222" i="10" a="1"/>
  <c r="BI222" i="10" s="1"/>
  <c r="BS222" i="10"/>
  <c r="BW222" i="10"/>
  <c r="CF222" i="10"/>
  <c r="CK222" i="10"/>
  <c r="A223" i="10"/>
  <c r="F223" i="10"/>
  <c r="AD223" i="10"/>
  <c r="AH223" i="10"/>
  <c r="BE223" i="10" s="1" a="1"/>
  <c r="BE223" i="10" s="1"/>
  <c r="AI223" i="10"/>
  <c r="AJ223" i="10"/>
  <c r="BH223" i="10" s="1"/>
  <c r="AO223" i="10"/>
  <c r="BF223" i="10"/>
  <c r="BG223" i="10"/>
  <c r="BI223" i="10" a="1"/>
  <c r="BI223" i="10" s="1"/>
  <c r="BJ223" i="10"/>
  <c r="BO223" i="10"/>
  <c r="BS223" i="10"/>
  <c r="BW223" i="10"/>
  <c r="CD223" i="10" a="1"/>
  <c r="CD223" i="10" s="1"/>
  <c r="CF223" i="10"/>
  <c r="CK223" i="10"/>
  <c r="CO223" i="10"/>
  <c r="F224" i="10"/>
  <c r="AD224" i="10"/>
  <c r="AH224" i="10"/>
  <c r="AI224" i="10"/>
  <c r="AJ224" i="10"/>
  <c r="BH224" i="10"/>
  <c r="BI224" i="10" a="1"/>
  <c r="BI224" i="10" s="1"/>
  <c r="A225" i="10"/>
  <c r="F225" i="10"/>
  <c r="AD225" i="10"/>
  <c r="AH225" i="10"/>
  <c r="AI225" i="10"/>
  <c r="AJ225" i="10"/>
  <c r="AO225" i="10"/>
  <c r="BE225" i="10" a="1"/>
  <c r="BE225" i="10"/>
  <c r="BI225" i="10" a="1"/>
  <c r="BI225" i="10"/>
  <c r="BJ225" i="10"/>
  <c r="BO225" i="10"/>
  <c r="BS225" i="10"/>
  <c r="BW225" i="10"/>
  <c r="CD225" i="10" a="1"/>
  <c r="CD225" i="10"/>
  <c r="CF225" i="10"/>
  <c r="CK225" i="10"/>
  <c r="CO225" i="10"/>
  <c r="CS225" i="10"/>
  <c r="F226" i="10"/>
  <c r="AD226" i="10"/>
  <c r="AH226" i="10"/>
  <c r="A226" i="10" s="1"/>
  <c r="AI226" i="10"/>
  <c r="AJ226" i="10"/>
  <c r="AO226" i="10"/>
  <c r="BE226" i="10" a="1"/>
  <c r="BE226" i="10" s="1"/>
  <c r="BG226" i="10"/>
  <c r="BH226" i="10"/>
  <c r="BI226" i="10" a="1"/>
  <c r="BI226" i="10" s="1"/>
  <c r="BJ226" i="10"/>
  <c r="BO226" i="10"/>
  <c r="BS226" i="10"/>
  <c r="CF226" i="10"/>
  <c r="CO226" i="10"/>
  <c r="CS226" i="10"/>
  <c r="A227" i="10"/>
  <c r="F227" i="10"/>
  <c r="AD227" i="10"/>
  <c r="AH227" i="10"/>
  <c r="BE227" i="10" s="1" a="1"/>
  <c r="BE227" i="10" s="1"/>
  <c r="AI227" i="10"/>
  <c r="AJ227" i="10"/>
  <c r="BH227" i="10" s="1"/>
  <c r="AO227" i="10"/>
  <c r="BG227" i="10"/>
  <c r="BI227" i="10" a="1"/>
  <c r="BI227" i="10" s="1"/>
  <c r="BJ227" i="10"/>
  <c r="BO227" i="10"/>
  <c r="BS227" i="10"/>
  <c r="BW227" i="10"/>
  <c r="CD227" i="10" a="1"/>
  <c r="CD227" i="10" s="1"/>
  <c r="CF227" i="10"/>
  <c r="CK227" i="10"/>
  <c r="CO227" i="10"/>
  <c r="CS227" i="10"/>
  <c r="F228" i="10"/>
  <c r="AD228" i="10"/>
  <c r="AH228" i="10"/>
  <c r="AI228" i="10"/>
  <c r="AJ228" i="10"/>
  <c r="AO228" i="10"/>
  <c r="BG228" i="10"/>
  <c r="BH228" i="10"/>
  <c r="BI228" i="10" a="1"/>
  <c r="BI228" i="10" s="1"/>
  <c r="BJ228" i="10"/>
  <c r="BO228" i="10"/>
  <c r="CO228" i="10"/>
  <c r="A229" i="10"/>
  <c r="F229" i="10"/>
  <c r="AD229" i="10"/>
  <c r="AH229" i="10"/>
  <c r="AI229" i="10"/>
  <c r="AJ229" i="10"/>
  <c r="AO229" i="10"/>
  <c r="BE229" i="10" a="1"/>
  <c r="BE229" i="10"/>
  <c r="BI229" i="10" a="1"/>
  <c r="BI229" i="10" s="1"/>
  <c r="BJ229" i="10"/>
  <c r="BO229" i="10"/>
  <c r="BS229" i="10"/>
  <c r="BW229" i="10"/>
  <c r="CD229" i="10" a="1"/>
  <c r="CD229" i="10"/>
  <c r="CF229" i="10"/>
  <c r="CK229" i="10"/>
  <c r="CO229" i="10"/>
  <c r="CS229" i="10"/>
  <c r="F230" i="10"/>
  <c r="AD230" i="10"/>
  <c r="AH230" i="10"/>
  <c r="A230" i="10" s="1"/>
  <c r="AI230" i="10"/>
  <c r="AJ230" i="10"/>
  <c r="AO230" i="10"/>
  <c r="BE230" i="10" a="1"/>
  <c r="BE230" i="10" s="1"/>
  <c r="BG230" i="10"/>
  <c r="BH230" i="10"/>
  <c r="BI230" i="10" a="1"/>
  <c r="BI230" i="10" s="1"/>
  <c r="BJ230" i="10"/>
  <c r="BO230" i="10"/>
  <c r="BS230" i="10"/>
  <c r="CF230" i="10"/>
  <c r="CO230" i="10"/>
  <c r="CS230" i="10"/>
  <c r="A231" i="10"/>
  <c r="F231" i="10"/>
  <c r="AD231" i="10"/>
  <c r="AH231" i="10"/>
  <c r="BE231" i="10" s="1" a="1"/>
  <c r="BE231" i="10" s="1"/>
  <c r="AI231" i="10"/>
  <c r="AJ231" i="10"/>
  <c r="BH231" i="10" s="1"/>
  <c r="AO231" i="10"/>
  <c r="BG231" i="10"/>
  <c r="BI231" i="10" a="1"/>
  <c r="BI231" i="10" s="1"/>
  <c r="BJ231" i="10"/>
  <c r="BO231" i="10"/>
  <c r="BS231" i="10"/>
  <c r="BW231" i="10"/>
  <c r="CD231" i="10" a="1"/>
  <c r="CD231" i="10" s="1"/>
  <c r="CF231" i="10"/>
  <c r="CK231" i="10"/>
  <c r="CO231" i="10"/>
  <c r="CS231" i="10"/>
  <c r="F232" i="10"/>
  <c r="AD232" i="10"/>
  <c r="AH232" i="10"/>
  <c r="AI232" i="10"/>
  <c r="AJ232" i="10"/>
  <c r="AO232" i="10"/>
  <c r="BG232" i="10"/>
  <c r="BH232" i="10"/>
  <c r="BI232" i="10" a="1"/>
  <c r="BI232" i="10" s="1"/>
  <c r="BJ232" i="10"/>
  <c r="BO232" i="10"/>
  <c r="CO232" i="10"/>
  <c r="A233" i="10"/>
  <c r="F233" i="10"/>
  <c r="AD233" i="10"/>
  <c r="AH233" i="10"/>
  <c r="AI233" i="10"/>
  <c r="AJ233" i="10"/>
  <c r="AO233" i="10"/>
  <c r="BE233" i="10" a="1"/>
  <c r="BE233" i="10"/>
  <c r="BI233" i="10" a="1"/>
  <c r="BI233" i="10"/>
  <c r="BJ233" i="10"/>
  <c r="BO233" i="10"/>
  <c r="BS233" i="10"/>
  <c r="BW233" i="10"/>
  <c r="CD233" i="10" a="1"/>
  <c r="CD233" i="10" s="1"/>
  <c r="CF233" i="10"/>
  <c r="CK233" i="10"/>
  <c r="CO233" i="10"/>
  <c r="CS233" i="10"/>
  <c r="F234" i="10"/>
  <c r="AD234" i="10"/>
  <c r="AH234" i="10"/>
  <c r="AI234" i="10"/>
  <c r="AJ234" i="10"/>
  <c r="BH234" i="10"/>
  <c r="BI234" i="10" a="1"/>
  <c r="BI234" i="10" s="1"/>
  <c r="BJ234" i="10"/>
  <c r="CO234" i="10"/>
  <c r="A235" i="10"/>
  <c r="F235" i="10"/>
  <c r="AD235" i="10"/>
  <c r="AH235" i="10"/>
  <c r="AI235" i="10"/>
  <c r="AJ235" i="10"/>
  <c r="BH235" i="10" s="1"/>
  <c r="AO235" i="10"/>
  <c r="BE235" i="10" a="1"/>
  <c r="BE235" i="10"/>
  <c r="BI235" i="10" a="1"/>
  <c r="BI235" i="10" s="1"/>
  <c r="BJ235" i="10"/>
  <c r="BO235" i="10"/>
  <c r="BS235" i="10"/>
  <c r="BW235" i="10"/>
  <c r="CD235" i="10" a="1"/>
  <c r="CD235" i="10" s="1"/>
  <c r="CF235" i="10"/>
  <c r="CK235" i="10"/>
  <c r="CO235" i="10"/>
  <c r="CS235" i="10"/>
  <c r="F236" i="10"/>
  <c r="AD236" i="10"/>
  <c r="AH236" i="10"/>
  <c r="AI236" i="10"/>
  <c r="AJ236" i="10"/>
  <c r="AO236" i="10"/>
  <c r="BE236" i="10" a="1"/>
  <c r="BE236" i="10" s="1"/>
  <c r="BG236" i="10"/>
  <c r="BH236" i="10"/>
  <c r="BI236" i="10" a="1"/>
  <c r="BI236" i="10" s="1"/>
  <c r="BJ236" i="10"/>
  <c r="BO236" i="10"/>
  <c r="BS236" i="10"/>
  <c r="CF236" i="10"/>
  <c r="CO236" i="10"/>
  <c r="CS236" i="10"/>
  <c r="A237" i="10"/>
  <c r="F237" i="10"/>
  <c r="AD237" i="10"/>
  <c r="AH237" i="10"/>
  <c r="BE237" i="10" s="1" a="1"/>
  <c r="AI237" i="10"/>
  <c r="AJ237" i="10"/>
  <c r="BH237" i="10" s="1"/>
  <c r="AO237" i="10"/>
  <c r="BE237" i="10"/>
  <c r="BI237" i="10" a="1"/>
  <c r="BI237" i="10"/>
  <c r="BJ237" i="10"/>
  <c r="BO237" i="10"/>
  <c r="BS237" i="10"/>
  <c r="BW237" i="10"/>
  <c r="CD237" i="10" a="1"/>
  <c r="CD237" i="10"/>
  <c r="CF237" i="10"/>
  <c r="CK237" i="10"/>
  <c r="CO237" i="10"/>
  <c r="CS237" i="10"/>
  <c r="A238" i="10"/>
  <c r="F238" i="10"/>
  <c r="AD238" i="10"/>
  <c r="AH238" i="10"/>
  <c r="BE238" i="10" s="1" a="1"/>
  <c r="AI238" i="10"/>
  <c r="AJ238" i="10"/>
  <c r="BH238" i="10" s="1"/>
  <c r="AO238" i="10"/>
  <c r="BE238" i="10"/>
  <c r="BG238" i="10"/>
  <c r="BI238" i="10" a="1"/>
  <c r="BI238" i="10" s="1"/>
  <c r="BJ238" i="10"/>
  <c r="BO238" i="10"/>
  <c r="BS238" i="10"/>
  <c r="BW238" i="10"/>
  <c r="CD238" i="10" a="1"/>
  <c r="CD238" i="10"/>
  <c r="CF238" i="10"/>
  <c r="CK238" i="10"/>
  <c r="CO238" i="10"/>
  <c r="CS238" i="10"/>
  <c r="F239" i="10"/>
  <c r="AD239" i="10"/>
  <c r="AH239" i="10"/>
  <c r="AI239" i="10"/>
  <c r="AJ239" i="10"/>
  <c r="BG239" i="10"/>
  <c r="BH239" i="10"/>
  <c r="BI239" i="10" a="1"/>
  <c r="BI239" i="10" s="1"/>
  <c r="BO239" i="10"/>
  <c r="F240" i="10"/>
  <c r="AD240" i="10"/>
  <c r="AH240" i="10"/>
  <c r="A240" i="10" s="1"/>
  <c r="AI240" i="10"/>
  <c r="AJ240" i="10"/>
  <c r="AO240" i="10"/>
  <c r="BE240" i="10" a="1"/>
  <c r="BE240" i="10"/>
  <c r="BI240" i="10" a="1"/>
  <c r="BI240" i="10"/>
  <c r="BJ240" i="10"/>
  <c r="BO240" i="10"/>
  <c r="BS240" i="10"/>
  <c r="BW240" i="10"/>
  <c r="CD240" i="10" a="1"/>
  <c r="CD240" i="10" s="1"/>
  <c r="CF240" i="10"/>
  <c r="CK240" i="10"/>
  <c r="CO240" i="10"/>
  <c r="CS240" i="10"/>
  <c r="F241" i="10"/>
  <c r="AD241" i="10"/>
  <c r="AH241" i="10"/>
  <c r="A241" i="10" s="1"/>
  <c r="AI241" i="10"/>
  <c r="AJ241" i="10"/>
  <c r="BH241" i="10" s="1"/>
  <c r="AO241" i="10"/>
  <c r="BE241" i="10" a="1"/>
  <c r="BE241" i="10" s="1"/>
  <c r="BG241" i="10"/>
  <c r="BI241" i="10" a="1"/>
  <c r="BI241" i="10" s="1"/>
  <c r="BJ241" i="10"/>
  <c r="BO241" i="10"/>
  <c r="BS241" i="10"/>
  <c r="BW241" i="10"/>
  <c r="CD241" i="10" a="1"/>
  <c r="CD241" i="10"/>
  <c r="CE241" i="10"/>
  <c r="CF241" i="10"/>
  <c r="CK241" i="10"/>
  <c r="CO241" i="10"/>
  <c r="CS241" i="10"/>
  <c r="A242" i="10"/>
  <c r="F242" i="10"/>
  <c r="AD242" i="10"/>
  <c r="AH242" i="10"/>
  <c r="AI242" i="10"/>
  <c r="AJ242" i="10"/>
  <c r="BH242" i="10" s="1"/>
  <c r="AO242" i="10"/>
  <c r="BE242" i="10" a="1"/>
  <c r="BE242" i="10"/>
  <c r="BF242" i="10"/>
  <c r="BG242" i="10"/>
  <c r="BI242" i="10" a="1"/>
  <c r="BI242" i="10" s="1"/>
  <c r="BJ242" i="10"/>
  <c r="BO242" i="10"/>
  <c r="BS242" i="10"/>
  <c r="BW242" i="10"/>
  <c r="CD242" i="10" a="1"/>
  <c r="CD242" i="10"/>
  <c r="CF242" i="10"/>
  <c r="CK242" i="10"/>
  <c r="CO242" i="10"/>
  <c r="CS242" i="10"/>
  <c r="F243" i="10"/>
  <c r="AD243" i="10"/>
  <c r="AH243" i="10"/>
  <c r="AI243" i="10"/>
  <c r="AJ243" i="10"/>
  <c r="BH243" i="10"/>
  <c r="BI243" i="10" a="1"/>
  <c r="BI243" i="10" s="1"/>
  <c r="BO243" i="10"/>
  <c r="F244" i="10"/>
  <c r="AD244" i="10"/>
  <c r="AH244" i="10"/>
  <c r="A244" i="10" s="1"/>
  <c r="AI244" i="10"/>
  <c r="AJ244" i="10"/>
  <c r="AO244" i="10"/>
  <c r="BE244" i="10" a="1"/>
  <c r="BE244" i="10"/>
  <c r="BI244" i="10" a="1"/>
  <c r="BI244" i="10"/>
  <c r="BJ244" i="10"/>
  <c r="BO244" i="10"/>
  <c r="BS244" i="10"/>
  <c r="BW244" i="10"/>
  <c r="CD244" i="10" a="1"/>
  <c r="CD244" i="10" s="1"/>
  <c r="CF244" i="10"/>
  <c r="CK244" i="10"/>
  <c r="CO244" i="10"/>
  <c r="CS244" i="10"/>
  <c r="F245" i="10"/>
  <c r="AD245" i="10"/>
  <c r="AH245" i="10"/>
  <c r="A245" i="10" s="1"/>
  <c r="AI245" i="10"/>
  <c r="AJ245" i="10"/>
  <c r="BG245" i="10" s="1"/>
  <c r="AO245" i="10"/>
  <c r="BE245" i="10" a="1"/>
  <c r="BE245" i="10" s="1"/>
  <c r="BI245" i="10" a="1"/>
  <c r="BI245" i="10" s="1"/>
  <c r="BJ245" i="10"/>
  <c r="BO245" i="10"/>
  <c r="BS245" i="10"/>
  <c r="BW245" i="10"/>
  <c r="CD245" i="10" a="1"/>
  <c r="CD245" i="10"/>
  <c r="CF245" i="10"/>
  <c r="CK245" i="10"/>
  <c r="CO245" i="10"/>
  <c r="CS245" i="10"/>
  <c r="A246" i="10"/>
  <c r="F246" i="10"/>
  <c r="AD246" i="10"/>
  <c r="AH246" i="10"/>
  <c r="AI246" i="10"/>
  <c r="AJ246" i="10"/>
  <c r="BH246" i="10" s="1"/>
  <c r="AO246" i="10"/>
  <c r="BE246" i="10" a="1"/>
  <c r="BE246" i="10"/>
  <c r="BF246" i="10"/>
  <c r="BG246" i="10"/>
  <c r="BP246" i="10" s="1"/>
  <c r="BI246" i="10" a="1"/>
  <c r="BI246" i="10"/>
  <c r="BJ246" i="10"/>
  <c r="BO246" i="10"/>
  <c r="BS246" i="10"/>
  <c r="BT246" i="10"/>
  <c r="BW246" i="10"/>
  <c r="CD246" i="10" a="1"/>
  <c r="CD246" i="10"/>
  <c r="CF246" i="10"/>
  <c r="CK246" i="10"/>
  <c r="CO246" i="10"/>
  <c r="CS246" i="10"/>
  <c r="F247" i="10"/>
  <c r="AD247" i="10"/>
  <c r="AH247" i="10"/>
  <c r="AI247" i="10"/>
  <c r="AJ247" i="10"/>
  <c r="BG247" i="10"/>
  <c r="BH247" i="10"/>
  <c r="BI247" i="10" a="1"/>
  <c r="BI247" i="10" s="1"/>
  <c r="F248" i="10"/>
  <c r="AD248" i="10"/>
  <c r="AH248" i="10"/>
  <c r="BE248" i="10" s="1" a="1"/>
  <c r="BE248" i="10" s="1"/>
  <c r="AI248" i="10"/>
  <c r="AJ248" i="10"/>
  <c r="AO248" i="10"/>
  <c r="BI248" i="10" a="1"/>
  <c r="BI248" i="10"/>
  <c r="BJ248" i="10"/>
  <c r="BO248" i="10"/>
  <c r="BS248" i="10"/>
  <c r="BW248" i="10"/>
  <c r="CD248" i="10" a="1"/>
  <c r="CD248" i="10" s="1"/>
  <c r="CF248" i="10"/>
  <c r="CK248" i="10"/>
  <c r="CO248" i="10"/>
  <c r="CS248" i="10"/>
  <c r="F249" i="10"/>
  <c r="AD249" i="10"/>
  <c r="AH249" i="10"/>
  <c r="A249" i="10" s="1"/>
  <c r="AI249" i="10"/>
  <c r="AJ249" i="10"/>
  <c r="BG249" i="10" s="1"/>
  <c r="AO249" i="10"/>
  <c r="BE249" i="10" a="1"/>
  <c r="BE249" i="10" s="1"/>
  <c r="BI249" i="10" a="1"/>
  <c r="BI249" i="10" s="1"/>
  <c r="BJ249" i="10"/>
  <c r="BO249" i="10"/>
  <c r="BS249" i="10"/>
  <c r="BW249" i="10"/>
  <c r="CD249" i="10" a="1"/>
  <c r="CD249" i="10"/>
  <c r="CE249" i="10"/>
  <c r="CF249" i="10"/>
  <c r="CK249" i="10"/>
  <c r="CO249" i="10"/>
  <c r="CS249" i="10"/>
  <c r="A250" i="10"/>
  <c r="F250" i="10"/>
  <c r="AD250" i="10"/>
  <c r="AH250" i="10"/>
  <c r="AI250" i="10"/>
  <c r="AJ250" i="10"/>
  <c r="BH250" i="10" s="1"/>
  <c r="AO250" i="10"/>
  <c r="BE250" i="10" a="1"/>
  <c r="BE250" i="10"/>
  <c r="BF250" i="10" s="1"/>
  <c r="BG250" i="10"/>
  <c r="BI250" i="10" a="1"/>
  <c r="BI250" i="10"/>
  <c r="BJ250" i="10"/>
  <c r="BO250" i="10"/>
  <c r="BS250" i="10"/>
  <c r="BT250" i="10"/>
  <c r="BW250" i="10"/>
  <c r="CD250" i="10" a="1"/>
  <c r="CD250" i="10"/>
  <c r="CF250" i="10"/>
  <c r="CK250" i="10"/>
  <c r="CO250" i="10"/>
  <c r="CS250" i="10"/>
  <c r="F251" i="10"/>
  <c r="AD251" i="10"/>
  <c r="AH251" i="10"/>
  <c r="AI251" i="10"/>
  <c r="AJ251" i="10"/>
  <c r="BH251" i="10"/>
  <c r="BI251" i="10" a="1"/>
  <c r="BI251" i="10" s="1"/>
  <c r="A252" i="10"/>
  <c r="F252" i="10"/>
  <c r="AD252" i="10"/>
  <c r="AH252" i="10"/>
  <c r="CO252" i="10" s="1"/>
  <c r="AI252" i="10"/>
  <c r="AJ252" i="10"/>
  <c r="BG252" i="10" s="1"/>
  <c r="BE252" i="10" a="1"/>
  <c r="BE252" i="10"/>
  <c r="BF252" i="10"/>
  <c r="BI252" i="10" a="1"/>
  <c r="BI252" i="10"/>
  <c r="BO252" i="10"/>
  <c r="BS252" i="10"/>
  <c r="BW252" i="10"/>
  <c r="CD252" i="10" a="1"/>
  <c r="CD252" i="10" s="1"/>
  <c r="CF252" i="10"/>
  <c r="CK252" i="10"/>
  <c r="CS252" i="10"/>
  <c r="F253" i="10"/>
  <c r="AD253" i="10"/>
  <c r="AH253" i="10"/>
  <c r="AI253" i="10"/>
  <c r="AJ253" i="10"/>
  <c r="BG253" i="10"/>
  <c r="BH253" i="10"/>
  <c r="BI253" i="10" a="1"/>
  <c r="BI253" i="10"/>
  <c r="BO253" i="10"/>
  <c r="F254" i="10"/>
  <c r="AD254" i="10"/>
  <c r="AH254" i="10"/>
  <c r="AO254" i="10" s="1"/>
  <c r="AI254" i="10"/>
  <c r="AJ254" i="10"/>
  <c r="BI254" i="10" a="1"/>
  <c r="BI254" i="10"/>
  <c r="BO254" i="10"/>
  <c r="BW254" i="10"/>
  <c r="CD254" i="10" a="1"/>
  <c r="CD254" i="10" s="1"/>
  <c r="CK254" i="10"/>
  <c r="F255" i="10"/>
  <c r="AD255" i="10"/>
  <c r="AH255" i="10"/>
  <c r="BS255" i="10" s="1"/>
  <c r="AI255" i="10"/>
  <c r="AJ255" i="10"/>
  <c r="BG255" i="10" s="1"/>
  <c r="AO255" i="10"/>
  <c r="BE255" i="10" a="1"/>
  <c r="BE255" i="10" s="1"/>
  <c r="BI255" i="10" a="1"/>
  <c r="BI255" i="10"/>
  <c r="BJ255" i="10"/>
  <c r="BO255" i="10"/>
  <c r="BW255" i="10"/>
  <c r="CD255" i="10" a="1"/>
  <c r="CD255" i="10"/>
  <c r="CE255" i="10"/>
  <c r="CK255" i="10"/>
  <c r="CS255" i="10"/>
  <c r="A256" i="10"/>
  <c r="F256" i="10"/>
  <c r="AD256" i="10"/>
  <c r="AH256" i="10"/>
  <c r="CO256" i="10" s="1"/>
  <c r="AI256" i="10"/>
  <c r="AJ256" i="10"/>
  <c r="BG256" i="10" s="1"/>
  <c r="BE256" i="10" a="1"/>
  <c r="BE256" i="10" s="1"/>
  <c r="BI256" i="10" a="1"/>
  <c r="BI256" i="10"/>
  <c r="BO256" i="10"/>
  <c r="BS256" i="10"/>
  <c r="BW256" i="10"/>
  <c r="CD256" i="10" a="1"/>
  <c r="CD256" i="10" s="1"/>
  <c r="CE256" i="10"/>
  <c r="CF256" i="10"/>
  <c r="CK256" i="10"/>
  <c r="CS256" i="10"/>
  <c r="A257" i="10"/>
  <c r="F257" i="10"/>
  <c r="AD257" i="10"/>
  <c r="AH257" i="10"/>
  <c r="AI257" i="10"/>
  <c r="AJ257" i="10"/>
  <c r="BG257" i="10"/>
  <c r="BH257" i="10"/>
  <c r="BI257" i="10" a="1"/>
  <c r="BI257" i="10"/>
  <c r="BO257" i="10"/>
  <c r="CS257" i="10"/>
  <c r="F258" i="10"/>
  <c r="AD258" i="10"/>
  <c r="AH258" i="10"/>
  <c r="CD258" i="10" s="1" a="1"/>
  <c r="CD258" i="10" s="1"/>
  <c r="AI258" i="10"/>
  <c r="AJ258" i="10"/>
  <c r="BH258" i="10"/>
  <c r="BI258" i="10" a="1"/>
  <c r="BI258" i="10"/>
  <c r="BO258" i="10"/>
  <c r="BW258" i="10"/>
  <c r="CK258" i="10"/>
  <c r="F259" i="10"/>
  <c r="AD259" i="10"/>
  <c r="AH259" i="10"/>
  <c r="AI259" i="10"/>
  <c r="AJ259" i="10"/>
  <c r="BG259" i="10" s="1"/>
  <c r="BI259" i="10" a="1"/>
  <c r="BI259" i="10"/>
  <c r="BJ259" i="10"/>
  <c r="BO259" i="10"/>
  <c r="A260" i="10"/>
  <c r="F260" i="10"/>
  <c r="AD260" i="10"/>
  <c r="AH260" i="10"/>
  <c r="CO260" i="10" s="1"/>
  <c r="AI260" i="10"/>
  <c r="AJ260" i="10"/>
  <c r="BE260" i="10" a="1"/>
  <c r="BE260" i="10" s="1"/>
  <c r="BI260" i="10" a="1"/>
  <c r="BI260" i="10"/>
  <c r="BO260" i="10"/>
  <c r="BS260" i="10"/>
  <c r="BW260" i="10"/>
  <c r="CD260" i="10" a="1"/>
  <c r="CD260" i="10" s="1"/>
  <c r="CE260" i="10" s="1"/>
  <c r="CF260" i="10"/>
  <c r="CK260" i="10"/>
  <c r="CS260" i="10"/>
  <c r="F261" i="10"/>
  <c r="AD261" i="10"/>
  <c r="AH261" i="10"/>
  <c r="AI261" i="10"/>
  <c r="AJ261" i="10"/>
  <c r="BH261" i="10"/>
  <c r="BI261" i="10" a="1"/>
  <c r="BI261" i="10"/>
  <c r="F262" i="10"/>
  <c r="AD262" i="10"/>
  <c r="AH262" i="10"/>
  <c r="AI262" i="10"/>
  <c r="AJ262" i="10"/>
  <c r="BE262" i="10" a="1"/>
  <c r="BE262" i="10" s="1"/>
  <c r="BI262" i="10" a="1"/>
  <c r="BI262" i="10" s="1"/>
  <c r="BO262" i="10"/>
  <c r="BS262" i="10"/>
  <c r="BW262" i="10"/>
  <c r="CD262" i="10" a="1"/>
  <c r="CD262" i="10" s="1"/>
  <c r="CE262" i="10"/>
  <c r="CF262" i="10"/>
  <c r="CK262" i="10"/>
  <c r="CS262" i="10"/>
  <c r="F263" i="10"/>
  <c r="AD263" i="10"/>
  <c r="AH263" i="10"/>
  <c r="AI263" i="10"/>
  <c r="AJ263" i="10"/>
  <c r="BG263" i="10" s="1"/>
  <c r="BH263" i="10"/>
  <c r="BI263" i="10" a="1"/>
  <c r="BI263" i="10"/>
  <c r="A264" i="10"/>
  <c r="F264" i="10"/>
  <c r="AD264" i="10"/>
  <c r="AH264" i="10"/>
  <c r="AI264" i="10"/>
  <c r="AJ264" i="10"/>
  <c r="BG264" i="10" s="1"/>
  <c r="BH264" i="10"/>
  <c r="BI264" i="10" a="1"/>
  <c r="BI264" i="10" s="1"/>
  <c r="BS264" i="10"/>
  <c r="CD264" i="10" a="1"/>
  <c r="CD264" i="10" s="1"/>
  <c r="CE264" i="10" s="1"/>
  <c r="CK264" i="10"/>
  <c r="CS264" i="10"/>
  <c r="F265" i="10"/>
  <c r="AD265" i="10"/>
  <c r="AH265" i="10"/>
  <c r="AI265" i="10"/>
  <c r="AJ265" i="10"/>
  <c r="AO265" i="10"/>
  <c r="BE265" i="10" a="1"/>
  <c r="BE265" i="10" s="1"/>
  <c r="BF265" i="10"/>
  <c r="BI265" i="10" a="1"/>
  <c r="BI265" i="10"/>
  <c r="BJ265" i="10"/>
  <c r="BW265" i="10"/>
  <c r="CD265" i="10" a="1"/>
  <c r="CD265" i="10" s="1"/>
  <c r="CK265" i="10"/>
  <c r="CO265" i="10"/>
  <c r="CS265" i="10"/>
  <c r="F266" i="10"/>
  <c r="AD266" i="10"/>
  <c r="AH266" i="10"/>
  <c r="AI266" i="10"/>
  <c r="AJ266" i="10"/>
  <c r="BE266" i="10" a="1"/>
  <c r="BE266" i="10" s="1"/>
  <c r="BI266" i="10" a="1"/>
  <c r="BI266" i="10"/>
  <c r="BO266" i="10"/>
  <c r="BS266" i="10"/>
  <c r="BW266" i="10"/>
  <c r="CD266" i="10" a="1"/>
  <c r="CD266" i="10" s="1"/>
  <c r="CF266" i="10"/>
  <c r="CK266" i="10"/>
  <c r="CS266" i="10"/>
  <c r="A267" i="10"/>
  <c r="F267" i="10"/>
  <c r="AD267" i="10"/>
  <c r="AH267" i="10"/>
  <c r="BG267" i="10" s="1"/>
  <c r="AI267" i="10"/>
  <c r="AJ267" i="10"/>
  <c r="BE267" i="10" a="1"/>
  <c r="BE267" i="10"/>
  <c r="BH267" i="10"/>
  <c r="BI267" i="10" a="1"/>
  <c r="BI267" i="10" s="1"/>
  <c r="BO267" i="10"/>
  <c r="BS267" i="10"/>
  <c r="CF267" i="10"/>
  <c r="CS267" i="10"/>
  <c r="A268" i="10"/>
  <c r="F268" i="10"/>
  <c r="AD268" i="10"/>
  <c r="AH268" i="10"/>
  <c r="BW268" i="10" s="1"/>
  <c r="AI268" i="10"/>
  <c r="AJ268" i="10"/>
  <c r="BG268" i="10"/>
  <c r="BH268" i="10"/>
  <c r="BI268" i="10" a="1"/>
  <c r="BI268" i="10"/>
  <c r="BO268" i="10"/>
  <c r="CO268" i="10"/>
  <c r="F269" i="10"/>
  <c r="AD269" i="10"/>
  <c r="AH269" i="10"/>
  <c r="AO269" i="10" s="1"/>
  <c r="AI269" i="10"/>
  <c r="AJ269" i="10"/>
  <c r="BG269" i="10" s="1"/>
  <c r="BH269" i="10"/>
  <c r="BI269" i="10" a="1"/>
  <c r="BI269" i="10" s="1"/>
  <c r="BO269" i="10"/>
  <c r="BW269" i="10"/>
  <c r="CD269" i="10" a="1"/>
  <c r="CD269" i="10" s="1"/>
  <c r="CK269" i="10"/>
  <c r="A270" i="10"/>
  <c r="F270" i="10"/>
  <c r="AD270" i="10"/>
  <c r="AH270" i="10"/>
  <c r="AI270" i="10"/>
  <c r="AJ270" i="10"/>
  <c r="BG270" i="10" s="1"/>
  <c r="AO270" i="10"/>
  <c r="BE270" i="10" a="1"/>
  <c r="BE270" i="10" s="1"/>
  <c r="BI270" i="10" a="1"/>
  <c r="BI270" i="10"/>
  <c r="BJ270" i="10"/>
  <c r="BO270" i="10"/>
  <c r="BS270" i="10"/>
  <c r="BW270" i="10"/>
  <c r="CD270" i="10" a="1"/>
  <c r="CD270" i="10"/>
  <c r="CF270" i="10"/>
  <c r="CK270" i="10"/>
  <c r="CO270" i="10"/>
  <c r="CS270" i="10"/>
  <c r="A271" i="10"/>
  <c r="F271" i="10"/>
  <c r="AD271" i="10"/>
  <c r="AH271" i="10"/>
  <c r="BG271" i="10" s="1"/>
  <c r="AI271" i="10"/>
  <c r="AJ271" i="10"/>
  <c r="BE271" i="10" a="1"/>
  <c r="BE271" i="10" s="1"/>
  <c r="BH271" i="10"/>
  <c r="BI271" i="10" a="1"/>
  <c r="BI271" i="10"/>
  <c r="BO271" i="10"/>
  <c r="BS271" i="10"/>
  <c r="CF271" i="10"/>
  <c r="CS271" i="10"/>
  <c r="F272" i="10"/>
  <c r="AD272" i="10"/>
  <c r="AH272" i="10"/>
  <c r="A272" i="10" s="1"/>
  <c r="AI272" i="10"/>
  <c r="AJ272" i="10"/>
  <c r="BG272" i="10"/>
  <c r="BH272" i="10"/>
  <c r="BI272" i="10" a="1"/>
  <c r="BI272" i="10"/>
  <c r="BO272" i="10"/>
  <c r="CO272" i="10"/>
  <c r="F273" i="10"/>
  <c r="AD273" i="10"/>
  <c r="AH273" i="10"/>
  <c r="AI273" i="10"/>
  <c r="AJ273" i="10"/>
  <c r="BH273" i="10"/>
  <c r="BI273" i="10" a="1"/>
  <c r="BI273" i="10" s="1"/>
  <c r="A274" i="10"/>
  <c r="F274" i="10"/>
  <c r="AD274" i="10"/>
  <c r="AH274" i="10"/>
  <c r="AI274" i="10"/>
  <c r="AJ274" i="10"/>
  <c r="AO274" i="10"/>
  <c r="BE274" i="10" a="1"/>
  <c r="BE274" i="10" s="1"/>
  <c r="BF274" i="10"/>
  <c r="BI274" i="10" a="1"/>
  <c r="BI274" i="10"/>
  <c r="BJ274" i="10"/>
  <c r="BO274" i="10"/>
  <c r="BS274" i="10"/>
  <c r="BW274" i="10"/>
  <c r="CD274" i="10" a="1"/>
  <c r="CD274" i="10" s="1"/>
  <c r="CE274" i="10"/>
  <c r="CF274" i="10"/>
  <c r="CK274" i="10"/>
  <c r="CO274" i="10"/>
  <c r="CS274" i="10"/>
  <c r="A275" i="10"/>
  <c r="F275" i="10"/>
  <c r="AD275" i="10"/>
  <c r="AH275" i="10"/>
  <c r="AI275" i="10"/>
  <c r="AJ275" i="10"/>
  <c r="BE275" i="10" a="1"/>
  <c r="BE275" i="10" s="1"/>
  <c r="BH275" i="10"/>
  <c r="BI275" i="10" a="1"/>
  <c r="BI275" i="10"/>
  <c r="BS275" i="10"/>
  <c r="CF275" i="10"/>
  <c r="F276" i="10"/>
  <c r="AD276" i="10"/>
  <c r="AH276" i="10"/>
  <c r="AI276" i="10"/>
  <c r="AJ276" i="10"/>
  <c r="BG276" i="10" s="1"/>
  <c r="BI276" i="10" a="1"/>
  <c r="BI276" i="10"/>
  <c r="BO276" i="10"/>
  <c r="F277" i="10"/>
  <c r="AD277" i="10"/>
  <c r="AH277" i="10"/>
  <c r="AI277" i="10"/>
  <c r="AJ277" i="10"/>
  <c r="BG277" i="10" s="1"/>
  <c r="BE277" i="10" a="1"/>
  <c r="BE277" i="10" s="1"/>
  <c r="BI277" i="10" a="1"/>
  <c r="BI277" i="10"/>
  <c r="BO277" i="10"/>
  <c r="BW277" i="10"/>
  <c r="CD277" i="10" a="1"/>
  <c r="CD277" i="10" s="1"/>
  <c r="CE277" i="10"/>
  <c r="CK277" i="10"/>
  <c r="CS277" i="10"/>
  <c r="A278" i="10"/>
  <c r="F278" i="10"/>
  <c r="AD278" i="10"/>
  <c r="AH278" i="10"/>
  <c r="AI278" i="10"/>
  <c r="AJ278" i="10"/>
  <c r="AO278" i="10"/>
  <c r="BE278" i="10" a="1"/>
  <c r="BE278" i="10" s="1"/>
  <c r="BF278" i="10"/>
  <c r="BI278" i="10" a="1"/>
  <c r="BI278" i="10"/>
  <c r="BJ278" i="10"/>
  <c r="BO278" i="10"/>
  <c r="BS278" i="10"/>
  <c r="BW278" i="10"/>
  <c r="CD278" i="10" a="1"/>
  <c r="CD278" i="10" s="1"/>
  <c r="CF278" i="10"/>
  <c r="CK278" i="10"/>
  <c r="CO278" i="10"/>
  <c r="CS278" i="10"/>
  <c r="F279" i="10"/>
  <c r="AD279" i="10"/>
  <c r="AH279" i="10"/>
  <c r="AI279" i="10"/>
  <c r="AJ279" i="10"/>
  <c r="BH279" i="10"/>
  <c r="BI279" i="10" a="1"/>
  <c r="BI279" i="10"/>
  <c r="A280" i="10"/>
  <c r="F280" i="10"/>
  <c r="AD280" i="10"/>
  <c r="AH280" i="10"/>
  <c r="BW280" i="10" s="1"/>
  <c r="AI280" i="10"/>
  <c r="AJ280" i="10"/>
  <c r="BI280" i="10" a="1"/>
  <c r="BI280" i="10"/>
  <c r="BO280" i="10"/>
  <c r="CD280" i="10" a="1"/>
  <c r="CD280" i="10" s="1"/>
  <c r="CK280" i="10"/>
  <c r="CO280" i="10"/>
  <c r="CS280" i="10"/>
  <c r="A281" i="10"/>
  <c r="F281" i="10"/>
  <c r="AD281" i="10"/>
  <c r="AH281" i="10"/>
  <c r="AO281" i="10" s="1"/>
  <c r="AI281" i="10"/>
  <c r="AJ281" i="10"/>
  <c r="BI281" i="10" a="1"/>
  <c r="BI281" i="10"/>
  <c r="BO281" i="10"/>
  <c r="BS281" i="10"/>
  <c r="BW281" i="10"/>
  <c r="CD281" i="10" a="1"/>
  <c r="CD281" i="10" s="1"/>
  <c r="CF281" i="10"/>
  <c r="CK281" i="10"/>
  <c r="F282" i="10"/>
  <c r="AD282" i="10"/>
  <c r="AH282" i="10"/>
  <c r="AI282" i="10"/>
  <c r="AJ282" i="10"/>
  <c r="BE282" i="10" a="1"/>
  <c r="BE282" i="10" s="1"/>
  <c r="BG282" i="10"/>
  <c r="BH282" i="10"/>
  <c r="BI282" i="10" a="1"/>
  <c r="BI282" i="10"/>
  <c r="BO282" i="10"/>
  <c r="CO282" i="10"/>
  <c r="CS282" i="10"/>
  <c r="A283" i="10"/>
  <c r="F283" i="10"/>
  <c r="AD283" i="10"/>
  <c r="AH283" i="10"/>
  <c r="AI283" i="10"/>
  <c r="AJ283" i="10"/>
  <c r="AO283" i="10"/>
  <c r="BE283" i="10" a="1"/>
  <c r="BE283" i="10" s="1"/>
  <c r="BI283" i="10" a="1"/>
  <c r="BI283" i="10"/>
  <c r="BJ283" i="10"/>
  <c r="BO283" i="10"/>
  <c r="BS283" i="10"/>
  <c r="BW283" i="10"/>
  <c r="CD283" i="10" a="1"/>
  <c r="CD283" i="10" s="1"/>
  <c r="CF283" i="10"/>
  <c r="CK283" i="10"/>
  <c r="CO283" i="10"/>
  <c r="CS283" i="10"/>
  <c r="F284" i="10"/>
  <c r="AD284" i="10"/>
  <c r="AH284" i="10"/>
  <c r="AI284" i="10"/>
  <c r="AJ284" i="10"/>
  <c r="BE284" i="10" a="1"/>
  <c r="BE284" i="10" s="1"/>
  <c r="BH284" i="10"/>
  <c r="BI284" i="10" a="1"/>
  <c r="BI284" i="10" s="1"/>
  <c r="BJ284" i="10"/>
  <c r="CS284" i="10"/>
  <c r="A285" i="10"/>
  <c r="F285" i="10"/>
  <c r="AD285" i="10"/>
  <c r="AH285" i="10"/>
  <c r="AO285" i="10" s="1"/>
  <c r="AI285" i="10"/>
  <c r="AJ285" i="10"/>
  <c r="BI285" i="10" a="1"/>
  <c r="BI285" i="10"/>
  <c r="BO285" i="10"/>
  <c r="BS285" i="10"/>
  <c r="BW285" i="10"/>
  <c r="CD285" i="10" a="1"/>
  <c r="CD285" i="10" s="1"/>
  <c r="CF285" i="10"/>
  <c r="CK285" i="10"/>
  <c r="F286" i="10"/>
  <c r="AD286" i="10"/>
  <c r="AH286" i="10"/>
  <c r="AI286" i="10"/>
  <c r="AJ286" i="10"/>
  <c r="BE286" i="10" a="1"/>
  <c r="BE286" i="10" s="1"/>
  <c r="BG286" i="10"/>
  <c r="BH286" i="10"/>
  <c r="BI286" i="10" a="1"/>
  <c r="BI286" i="10"/>
  <c r="BO286" i="10"/>
  <c r="CO286" i="10"/>
  <c r="CS286" i="10"/>
  <c r="A287" i="10"/>
  <c r="F287" i="10"/>
  <c r="AD287" i="10"/>
  <c r="AH287" i="10"/>
  <c r="AI287" i="10"/>
  <c r="AJ287" i="10"/>
  <c r="AO287" i="10"/>
  <c r="BE287" i="10" a="1"/>
  <c r="BE287" i="10" s="1"/>
  <c r="BI287" i="10" a="1"/>
  <c r="BI287" i="10"/>
  <c r="BJ287" i="10"/>
  <c r="BO287" i="10"/>
  <c r="BS287" i="10"/>
  <c r="BW287" i="10"/>
  <c r="CD287" i="10" a="1"/>
  <c r="CD287" i="10" s="1"/>
  <c r="CF287" i="10"/>
  <c r="CK287" i="10"/>
  <c r="CO287" i="10"/>
  <c r="CS287" i="10"/>
  <c r="F288" i="10"/>
  <c r="AD288" i="10"/>
  <c r="AH288" i="10"/>
  <c r="AI288" i="10"/>
  <c r="AJ288" i="10"/>
  <c r="BE288" i="10" a="1"/>
  <c r="BE288" i="10" s="1"/>
  <c r="BH288" i="10"/>
  <c r="BI288" i="10" a="1"/>
  <c r="BI288" i="10" s="1"/>
  <c r="BJ288" i="10"/>
  <c r="CS288" i="10"/>
  <c r="A289" i="10"/>
  <c r="F289" i="10"/>
  <c r="AD289" i="10"/>
  <c r="AH289" i="10"/>
  <c r="AO289" i="10" s="1"/>
  <c r="AI289" i="10"/>
  <c r="AJ289" i="10"/>
  <c r="BI289" i="10" a="1"/>
  <c r="BI289" i="10"/>
  <c r="BO289" i="10"/>
  <c r="BS289" i="10"/>
  <c r="BW289" i="10"/>
  <c r="CD289" i="10" a="1"/>
  <c r="CD289" i="10" s="1"/>
  <c r="CF289" i="10"/>
  <c r="CK289" i="10"/>
  <c r="F290" i="10"/>
  <c r="AD290" i="10"/>
  <c r="AH290" i="10"/>
  <c r="AI290" i="10"/>
  <c r="AJ290" i="10"/>
  <c r="BE290" i="10" a="1"/>
  <c r="BE290" i="10" s="1"/>
  <c r="BG290" i="10"/>
  <c r="BH290" i="10"/>
  <c r="BI290" i="10" a="1"/>
  <c r="BI290" i="10"/>
  <c r="BO290" i="10"/>
  <c r="CO290" i="10"/>
  <c r="CS290" i="10"/>
  <c r="A291" i="10"/>
  <c r="F291" i="10"/>
  <c r="AD291" i="10"/>
  <c r="AH291" i="10"/>
  <c r="AI291" i="10"/>
  <c r="AJ291" i="10"/>
  <c r="AO291" i="10"/>
  <c r="BE291" i="10" a="1"/>
  <c r="BE291" i="10" s="1"/>
  <c r="BI291" i="10" a="1"/>
  <c r="BI291" i="10"/>
  <c r="BJ291" i="10"/>
  <c r="BO291" i="10"/>
  <c r="BS291" i="10"/>
  <c r="BW291" i="10"/>
  <c r="CD291" i="10" a="1"/>
  <c r="CD291" i="10" s="1"/>
  <c r="CF291" i="10"/>
  <c r="CK291" i="10"/>
  <c r="CO291" i="10"/>
  <c r="CS291" i="10"/>
  <c r="F292" i="10"/>
  <c r="AD292" i="10"/>
  <c r="AH292" i="10"/>
  <c r="AI292" i="10"/>
  <c r="AJ292" i="10"/>
  <c r="BE292" i="10" a="1"/>
  <c r="BE292" i="10" s="1"/>
  <c r="BH292" i="10"/>
  <c r="BI292" i="10" a="1"/>
  <c r="BI292" i="10" s="1"/>
  <c r="BJ292" i="10"/>
  <c r="CS292" i="10"/>
  <c r="A293" i="10"/>
  <c r="F293" i="10"/>
  <c r="AD293" i="10"/>
  <c r="AH293" i="10"/>
  <c r="AO293" i="10" s="1"/>
  <c r="AI293" i="10"/>
  <c r="AJ293" i="10"/>
  <c r="BI293" i="10" a="1"/>
  <c r="BI293" i="10"/>
  <c r="BO293" i="10"/>
  <c r="BS293" i="10"/>
  <c r="BW293" i="10"/>
  <c r="CD293" i="10" a="1"/>
  <c r="CD293" i="10" s="1"/>
  <c r="CF293" i="10"/>
  <c r="CK293" i="10"/>
  <c r="F294" i="10"/>
  <c r="AD294" i="10"/>
  <c r="AH294" i="10"/>
  <c r="AI294" i="10"/>
  <c r="AJ294" i="10"/>
  <c r="BE294" i="10" a="1"/>
  <c r="BE294" i="10" s="1"/>
  <c r="BG294" i="10"/>
  <c r="BH294" i="10"/>
  <c r="BI294" i="10" a="1"/>
  <c r="BI294" i="10"/>
  <c r="BO294" i="10"/>
  <c r="CO294" i="10"/>
  <c r="CS294" i="10"/>
  <c r="A295" i="10"/>
  <c r="F295" i="10"/>
  <c r="AD295" i="10"/>
  <c r="AH295" i="10"/>
  <c r="AI295" i="10"/>
  <c r="AJ295" i="10"/>
  <c r="AO295" i="10"/>
  <c r="BE295" i="10" a="1"/>
  <c r="BE295" i="10" s="1"/>
  <c r="BI295" i="10" a="1"/>
  <c r="BI295" i="10" s="1"/>
  <c r="BJ295" i="10"/>
  <c r="BO295" i="10"/>
  <c r="BS295" i="10"/>
  <c r="BW295" i="10"/>
  <c r="CD295" i="10" a="1"/>
  <c r="CD295" i="10" s="1"/>
  <c r="CF295" i="10"/>
  <c r="CK295" i="10"/>
  <c r="CO295" i="10"/>
  <c r="CS295" i="10"/>
  <c r="F296" i="10"/>
  <c r="AD296" i="10"/>
  <c r="AH296" i="10"/>
  <c r="AI296" i="10"/>
  <c r="AJ296" i="10"/>
  <c r="BE296" i="10" a="1"/>
  <c r="BE296" i="10" s="1"/>
  <c r="BH296" i="10"/>
  <c r="BI296" i="10" a="1"/>
  <c r="BI296" i="10"/>
  <c r="BJ296" i="10"/>
  <c r="CS296" i="10"/>
  <c r="A297" i="10"/>
  <c r="F297" i="10"/>
  <c r="AD297" i="10"/>
  <c r="AH297" i="10"/>
  <c r="AO297" i="10" s="1"/>
  <c r="AI297" i="10"/>
  <c r="AJ297" i="10"/>
  <c r="BI297" i="10" a="1"/>
  <c r="BI297" i="10"/>
  <c r="BO297" i="10"/>
  <c r="BS297" i="10"/>
  <c r="BW297" i="10"/>
  <c r="CD297" i="10" a="1"/>
  <c r="CD297" i="10" s="1"/>
  <c r="CF297" i="10"/>
  <c r="CK297" i="10"/>
  <c r="F298" i="10"/>
  <c r="AD298" i="10"/>
  <c r="AH298" i="10"/>
  <c r="BO298" i="10" s="1"/>
  <c r="AI298" i="10"/>
  <c r="AJ298" i="10"/>
  <c r="BG298" i="10"/>
  <c r="BH298" i="10"/>
  <c r="BI298" i="10" a="1"/>
  <c r="BI298" i="10"/>
  <c r="A299" i="10"/>
  <c r="F299" i="10"/>
  <c r="AD299" i="10"/>
  <c r="AH299" i="10"/>
  <c r="AI299" i="10"/>
  <c r="AJ299" i="10"/>
  <c r="AO299" i="10"/>
  <c r="BE299" i="10" a="1"/>
  <c r="BE299" i="10" s="1"/>
  <c r="BF299" i="10" s="1"/>
  <c r="BI299" i="10" a="1"/>
  <c r="BI299" i="10"/>
  <c r="BJ299" i="10"/>
  <c r="BO299" i="10"/>
  <c r="BS299" i="10"/>
  <c r="BW299" i="10"/>
  <c r="CD299" i="10" a="1"/>
  <c r="CD299" i="10" s="1"/>
  <c r="CF299" i="10"/>
  <c r="CK299" i="10"/>
  <c r="CO299" i="10"/>
  <c r="CS299" i="10"/>
  <c r="F300" i="10"/>
  <c r="AD300" i="10"/>
  <c r="AH300" i="10"/>
  <c r="AI300" i="10"/>
  <c r="AJ300" i="10"/>
  <c r="AO300" i="10"/>
  <c r="BE300" i="10" a="1"/>
  <c r="BE300" i="10" s="1"/>
  <c r="BH300" i="10"/>
  <c r="BI300" i="10" a="1"/>
  <c r="BI300" i="10"/>
  <c r="BJ300" i="10"/>
  <c r="BO300" i="10"/>
  <c r="CS300" i="10"/>
  <c r="A301" i="10"/>
  <c r="F301" i="10"/>
  <c r="AD301" i="10"/>
  <c r="AH301" i="10"/>
  <c r="AO301" i="10" s="1"/>
  <c r="AI301" i="10"/>
  <c r="AJ301" i="10"/>
  <c r="BI301" i="10" a="1"/>
  <c r="BI301" i="10"/>
  <c r="BO301" i="10"/>
  <c r="BS301" i="10"/>
  <c r="BW301" i="10"/>
  <c r="CD301" i="10" a="1"/>
  <c r="CD301" i="10" s="1"/>
  <c r="CF301" i="10"/>
  <c r="CK301" i="10"/>
  <c r="F302" i="10"/>
  <c r="AD302" i="10"/>
  <c r="AH302" i="10"/>
  <c r="BE302" i="10" s="1" a="1"/>
  <c r="BE302" i="10" s="1"/>
  <c r="AI302" i="10"/>
  <c r="AJ302" i="10"/>
  <c r="BH302" i="10"/>
  <c r="BI302" i="10" a="1"/>
  <c r="BI302" i="10"/>
  <c r="BO302" i="10"/>
  <c r="CS302" i="10"/>
  <c r="A303" i="10"/>
  <c r="F303" i="10"/>
  <c r="AD303" i="10"/>
  <c r="AH303" i="10"/>
  <c r="CO303" i="10" s="1"/>
  <c r="AI303" i="10"/>
  <c r="AJ303" i="10"/>
  <c r="AO303" i="10"/>
  <c r="BE303" i="10" a="1"/>
  <c r="BE303" i="10" s="1"/>
  <c r="BF303" i="10"/>
  <c r="BI303" i="10" a="1"/>
  <c r="BI303" i="10" s="1"/>
  <c r="BJ303" i="10"/>
  <c r="BO303" i="10"/>
  <c r="BS303" i="10"/>
  <c r="BW303" i="10"/>
  <c r="CD303" i="10" a="1"/>
  <c r="CD303" i="10" s="1"/>
  <c r="CF303" i="10"/>
  <c r="CK303" i="10"/>
  <c r="CS303" i="10"/>
  <c r="F304" i="10"/>
  <c r="AD304" i="10"/>
  <c r="AH304" i="10"/>
  <c r="AO304" i="10" s="1"/>
  <c r="AI304" i="10"/>
  <c r="AJ304" i="10"/>
  <c r="BE304" i="10" a="1"/>
  <c r="BE304" i="10" s="1"/>
  <c r="BH304" i="10"/>
  <c r="BI304" i="10" a="1"/>
  <c r="BI304" i="10"/>
  <c r="BJ304" i="10"/>
  <c r="BO304" i="10"/>
  <c r="CS304" i="10"/>
  <c r="A305" i="10"/>
  <c r="F305" i="10"/>
  <c r="AD305" i="10"/>
  <c r="AH305" i="10"/>
  <c r="AO305" i="10" s="1"/>
  <c r="AI305" i="10"/>
  <c r="AJ305" i="10"/>
  <c r="BI305" i="10" a="1"/>
  <c r="BI305" i="10"/>
  <c r="BO305" i="10"/>
  <c r="BS305" i="10"/>
  <c r="BW305" i="10"/>
  <c r="CD305" i="10" a="1"/>
  <c r="CD305" i="10" s="1"/>
  <c r="CF305" i="10"/>
  <c r="CK305" i="10"/>
  <c r="F306" i="10"/>
  <c r="AD306" i="10"/>
  <c r="AH306" i="10"/>
  <c r="AI306" i="10"/>
  <c r="AJ306" i="10"/>
  <c r="BH306" i="10"/>
  <c r="BI306" i="10" a="1"/>
  <c r="BI306" i="10"/>
  <c r="BO306" i="10"/>
  <c r="BW306" i="10"/>
  <c r="CD306" i="10" a="1"/>
  <c r="CD306" i="10" s="1"/>
  <c r="CK306" i="10"/>
  <c r="CO306" i="10"/>
  <c r="A307" i="10"/>
  <c r="F307" i="10"/>
  <c r="AD307" i="10"/>
  <c r="AH307" i="10"/>
  <c r="CO307" i="10" s="1"/>
  <c r="AI307" i="10"/>
  <c r="AJ307" i="10"/>
  <c r="AO307" i="10"/>
  <c r="BE307" i="10" a="1"/>
  <c r="BE307" i="10" s="1"/>
  <c r="BF307" i="10" s="1"/>
  <c r="BI307" i="10" a="1"/>
  <c r="BI307" i="10"/>
  <c r="BJ307" i="10"/>
  <c r="BO307" i="10"/>
  <c r="BS307" i="10"/>
  <c r="BW307" i="10"/>
  <c r="CD307" i="10" a="1"/>
  <c r="CD307" i="10" s="1"/>
  <c r="CE307" i="10"/>
  <c r="CF307" i="10"/>
  <c r="CK307" i="10"/>
  <c r="CS307" i="10"/>
  <c r="F308" i="10"/>
  <c r="AD308" i="10"/>
  <c r="AH308" i="10"/>
  <c r="AI308" i="10"/>
  <c r="AJ308" i="10"/>
  <c r="BH308" i="10"/>
  <c r="BI308" i="10" a="1"/>
  <c r="BI308" i="10"/>
  <c r="F309" i="10"/>
  <c r="AD309" i="10"/>
  <c r="AH309" i="10"/>
  <c r="AI309" i="10"/>
  <c r="AJ309" i="10"/>
  <c r="BG309" i="10" s="1"/>
  <c r="BI309" i="10" a="1"/>
  <c r="BI309" i="10"/>
  <c r="BO309" i="10"/>
  <c r="BS309" i="10"/>
  <c r="BW309" i="10"/>
  <c r="CD309" i="10" a="1"/>
  <c r="CD309" i="10" s="1"/>
  <c r="CF309" i="10"/>
  <c r="CK309" i="10"/>
  <c r="F310" i="10"/>
  <c r="AD310" i="10"/>
  <c r="AH310" i="10"/>
  <c r="AI310" i="10"/>
  <c r="AJ310" i="10"/>
  <c r="BG310" i="10"/>
  <c r="BH310" i="10"/>
  <c r="BI310" i="10" a="1"/>
  <c r="BI310" i="10"/>
  <c r="BW310" i="10"/>
  <c r="CK310" i="10"/>
  <c r="CS310" i="10"/>
  <c r="A311" i="10"/>
  <c r="F311" i="10"/>
  <c r="AD311" i="10"/>
  <c r="AH311" i="10"/>
  <c r="CO311" i="10" s="1"/>
  <c r="AI311" i="10"/>
  <c r="AJ311" i="10"/>
  <c r="AO311" i="10"/>
  <c r="BE311" i="10" a="1"/>
  <c r="BE311" i="10" s="1"/>
  <c r="BF311" i="10" s="1"/>
  <c r="BI311" i="10" a="1"/>
  <c r="BI311" i="10"/>
  <c r="BJ311" i="10"/>
  <c r="BO311" i="10"/>
  <c r="BS311" i="10"/>
  <c r="BW311" i="10"/>
  <c r="CD311" i="10" a="1"/>
  <c r="CD311" i="10" s="1"/>
  <c r="CE311" i="10"/>
  <c r="CF311" i="10"/>
  <c r="CK311" i="10"/>
  <c r="CS311" i="10"/>
  <c r="A312" i="10"/>
  <c r="F312" i="10"/>
  <c r="AD312" i="10"/>
  <c r="AH312" i="10"/>
  <c r="AI312" i="10"/>
  <c r="AJ312" i="10"/>
  <c r="AO312" i="10"/>
  <c r="BE312" i="10" a="1"/>
  <c r="BE312" i="10" s="1"/>
  <c r="BF312" i="10"/>
  <c r="BH312" i="10"/>
  <c r="BI312" i="10" a="1"/>
  <c r="BI312" i="10"/>
  <c r="BJ312" i="10"/>
  <c r="BO312" i="10"/>
  <c r="CS312" i="10"/>
  <c r="F313" i="10"/>
  <c r="AD313" i="10"/>
  <c r="AH313" i="10"/>
  <c r="AI313" i="10"/>
  <c r="AJ313" i="10"/>
  <c r="BI313" i="10" a="1"/>
  <c r="BI313" i="10"/>
  <c r="CD313" i="10" a="1"/>
  <c r="CD313" i="10" s="1"/>
  <c r="F314" i="10"/>
  <c r="AD314" i="10"/>
  <c r="AH314" i="10"/>
  <c r="AO314" i="10" s="1"/>
  <c r="AI314" i="10"/>
  <c r="AJ314" i="10"/>
  <c r="BH314" i="10" s="1"/>
  <c r="BE314" i="10" a="1"/>
  <c r="BE314" i="10" s="1"/>
  <c r="BI314" i="10" a="1"/>
  <c r="BI314" i="10"/>
  <c r="BJ314" i="10"/>
  <c r="BO314" i="10"/>
  <c r="BW314" i="10"/>
  <c r="CK314" i="10"/>
  <c r="A315" i="10"/>
  <c r="F315" i="10"/>
  <c r="AD315" i="10"/>
  <c r="AH315" i="10"/>
  <c r="AO315" i="10" s="1"/>
  <c r="AI315" i="10"/>
  <c r="AJ315" i="10"/>
  <c r="BE315" i="10" a="1"/>
  <c r="BE315" i="10" s="1"/>
  <c r="BI315" i="10" a="1"/>
  <c r="BI315" i="10"/>
  <c r="BO315" i="10"/>
  <c r="BS315" i="10"/>
  <c r="BW315" i="10"/>
  <c r="CD315" i="10" a="1"/>
  <c r="CD315" i="10" s="1"/>
  <c r="CE315" i="10"/>
  <c r="CF315" i="10"/>
  <c r="CK315" i="10"/>
  <c r="CO315" i="10"/>
  <c r="CS315" i="10"/>
  <c r="A316" i="10"/>
  <c r="F316" i="10"/>
  <c r="AD316" i="10"/>
  <c r="AH316" i="10"/>
  <c r="AO316" i="10" s="1"/>
  <c r="AI316" i="10"/>
  <c r="AJ316" i="10"/>
  <c r="BE316" i="10" a="1"/>
  <c r="BE316" i="10" s="1"/>
  <c r="BH316" i="10"/>
  <c r="BI316" i="10" a="1"/>
  <c r="BI316" i="10"/>
  <c r="BJ316" i="10"/>
  <c r="CO316" i="10"/>
  <c r="CS316" i="10"/>
  <c r="A317" i="10"/>
  <c r="F317" i="10"/>
  <c r="AD317" i="10"/>
  <c r="AH317" i="10"/>
  <c r="BW317" i="10" s="1"/>
  <c r="AI317" i="10"/>
  <c r="AJ317" i="10"/>
  <c r="BI317" i="10" a="1"/>
  <c r="BI317" i="10"/>
  <c r="BO317" i="10"/>
  <c r="CF317" i="10"/>
  <c r="CS317" i="10"/>
  <c r="F318" i="10"/>
  <c r="AD318" i="10"/>
  <c r="AH318" i="10"/>
  <c r="BE318" i="10" s="1" a="1"/>
  <c r="BE318" i="10" s="1"/>
  <c r="AI318" i="10"/>
  <c r="AJ318" i="10"/>
  <c r="BG318" i="10" s="1"/>
  <c r="BH318" i="10"/>
  <c r="BI318" i="10" a="1"/>
  <c r="BI318" i="10"/>
  <c r="BJ318" i="10"/>
  <c r="BW318" i="10"/>
  <c r="CD318" i="10" a="1"/>
  <c r="CD318" i="10" s="1"/>
  <c r="CE318" i="10" s="1"/>
  <c r="CK318" i="10"/>
  <c r="CS318" i="10"/>
  <c r="A319" i="10"/>
  <c r="F319" i="10"/>
  <c r="AD319" i="10"/>
  <c r="AH319" i="10"/>
  <c r="AI319" i="10"/>
  <c r="AJ319" i="10"/>
  <c r="BH319" i="10" s="1"/>
  <c r="AO319" i="10"/>
  <c r="BE319" i="10" a="1"/>
  <c r="BE319" i="10" s="1"/>
  <c r="BF319" i="10" s="1"/>
  <c r="BT319" i="10" s="1"/>
  <c r="BG319" i="10"/>
  <c r="BI319" i="10" a="1"/>
  <c r="BI319" i="10"/>
  <c r="BJ319" i="10"/>
  <c r="BO319" i="10"/>
  <c r="BS319" i="10"/>
  <c r="BW319" i="10"/>
  <c r="CD319" i="10" a="1"/>
  <c r="CD319" i="10"/>
  <c r="CF319" i="10"/>
  <c r="CK319" i="10"/>
  <c r="CO319" i="10"/>
  <c r="CS319" i="10"/>
  <c r="F320" i="10"/>
  <c r="AD320" i="10"/>
  <c r="AH320" i="10"/>
  <c r="CF320" i="10" s="1"/>
  <c r="AI320" i="10"/>
  <c r="AJ320" i="10"/>
  <c r="BH320" i="10"/>
  <c r="BI320" i="10" a="1"/>
  <c r="BI320" i="10" s="1"/>
  <c r="BO320" i="10"/>
  <c r="BS320" i="10"/>
  <c r="F321" i="10"/>
  <c r="AD321" i="10"/>
  <c r="AH321" i="10"/>
  <c r="BE321" i="10" s="1" a="1"/>
  <c r="BE321" i="10" s="1"/>
  <c r="AI321" i="10"/>
  <c r="AJ321" i="10"/>
  <c r="BH321" i="10" s="1"/>
  <c r="AO321" i="10"/>
  <c r="BI321" i="10" a="1"/>
  <c r="BI321" i="10"/>
  <c r="BJ321" i="10"/>
  <c r="BO321" i="10"/>
  <c r="BW321" i="10"/>
  <c r="CD321" i="10" a="1"/>
  <c r="CD321" i="10" s="1"/>
  <c r="CK321" i="10"/>
  <c r="CO321" i="10"/>
  <c r="F322" i="10"/>
  <c r="AD322" i="10"/>
  <c r="AH322" i="10"/>
  <c r="A322" i="10" s="1"/>
  <c r="AI322" i="10"/>
  <c r="AJ322" i="10"/>
  <c r="BG322" i="10" s="1"/>
  <c r="BE322" i="10" a="1"/>
  <c r="BE322" i="10" s="1"/>
  <c r="BI322" i="10" a="1"/>
  <c r="BI322" i="10" s="1"/>
  <c r="BO322" i="10"/>
  <c r="BS322" i="10"/>
  <c r="BW322" i="10"/>
  <c r="CD322" i="10" a="1"/>
  <c r="CD322" i="10" s="1"/>
  <c r="CE322" i="10"/>
  <c r="CF322" i="10"/>
  <c r="CK322" i="10"/>
  <c r="CS322" i="10"/>
  <c r="A323" i="10"/>
  <c r="F323" i="10"/>
  <c r="AD323" i="10"/>
  <c r="AH323" i="10"/>
  <c r="AI323" i="10"/>
  <c r="AJ323" i="10"/>
  <c r="BH323" i="10" s="1"/>
  <c r="AO323" i="10"/>
  <c r="BE323" i="10" a="1"/>
  <c r="BE323" i="10" s="1"/>
  <c r="BG323" i="10"/>
  <c r="BI323" i="10" a="1"/>
  <c r="BI323" i="10"/>
  <c r="BJ323" i="10"/>
  <c r="BO323" i="10"/>
  <c r="BS323" i="10"/>
  <c r="BW323" i="10"/>
  <c r="CD323" i="10" a="1"/>
  <c r="CD323" i="10"/>
  <c r="CF323" i="10"/>
  <c r="CK323" i="10"/>
  <c r="CO323" i="10"/>
  <c r="CS323" i="10"/>
  <c r="F324" i="10"/>
  <c r="AD324" i="10"/>
  <c r="AH324" i="10"/>
  <c r="AI324" i="10"/>
  <c r="AJ324" i="10"/>
  <c r="BH324" i="10"/>
  <c r="BI324" i="10" a="1"/>
  <c r="BI324" i="10" s="1"/>
  <c r="BS324" i="10"/>
  <c r="F325" i="10"/>
  <c r="AD325" i="10"/>
  <c r="AH325" i="10"/>
  <c r="BE325" i="10" s="1" a="1"/>
  <c r="BE325" i="10" s="1"/>
  <c r="AI325" i="10"/>
  <c r="AJ325" i="10"/>
  <c r="BH325" i="10" s="1"/>
  <c r="AO325" i="10"/>
  <c r="BG325" i="10"/>
  <c r="BI325" i="10" a="1"/>
  <c r="BI325" i="10"/>
  <c r="BJ325" i="10"/>
  <c r="BO325" i="10"/>
  <c r="BW325" i="10"/>
  <c r="CD325" i="10" a="1"/>
  <c r="CD325" i="10" s="1"/>
  <c r="CK325" i="10"/>
  <c r="CO325" i="10"/>
  <c r="F326" i="10"/>
  <c r="AD326" i="10"/>
  <c r="AH326" i="10"/>
  <c r="A326" i="10" s="1"/>
  <c r="AI326" i="10"/>
  <c r="AJ326" i="10"/>
  <c r="BG326" i="10" s="1"/>
  <c r="BE326" i="10" a="1"/>
  <c r="BE326" i="10" s="1"/>
  <c r="BI326" i="10" a="1"/>
  <c r="BI326" i="10" s="1"/>
  <c r="BO326" i="10"/>
  <c r="BS326" i="10"/>
  <c r="BW326" i="10"/>
  <c r="CD326" i="10" a="1"/>
  <c r="CD326" i="10" s="1"/>
  <c r="CE326" i="10"/>
  <c r="CF326" i="10"/>
  <c r="CK326" i="10"/>
  <c r="CS326" i="10"/>
  <c r="A327" i="10"/>
  <c r="F327" i="10"/>
  <c r="AD327" i="10"/>
  <c r="AH327" i="10"/>
  <c r="AI327" i="10"/>
  <c r="AJ327" i="10"/>
  <c r="BH327" i="10" s="1"/>
  <c r="AO327" i="10"/>
  <c r="BE327" i="10" a="1"/>
  <c r="BE327" i="10" s="1"/>
  <c r="BF327" i="10"/>
  <c r="BG327" i="10"/>
  <c r="BI327" i="10" a="1"/>
  <c r="BI327" i="10"/>
  <c r="BJ327" i="10"/>
  <c r="BO327" i="10"/>
  <c r="BS327" i="10"/>
  <c r="BW327" i="10"/>
  <c r="CD327" i="10" a="1"/>
  <c r="CD327" i="10"/>
  <c r="CF327" i="10"/>
  <c r="CK327" i="10"/>
  <c r="CO327" i="10"/>
  <c r="CS327" i="10"/>
  <c r="F328" i="10"/>
  <c r="AD328" i="10"/>
  <c r="AH328" i="10"/>
  <c r="AI328" i="10"/>
  <c r="AJ328" i="10"/>
  <c r="BH328" i="10"/>
  <c r="BI328" i="10" a="1"/>
  <c r="BI328" i="10" s="1"/>
  <c r="BO328" i="10"/>
  <c r="BS328" i="10"/>
  <c r="CF328" i="10"/>
  <c r="F329" i="10"/>
  <c r="AD329" i="10"/>
  <c r="AH329" i="10"/>
  <c r="BE329" i="10" s="1" a="1"/>
  <c r="BE329" i="10" s="1"/>
  <c r="AI329" i="10"/>
  <c r="AJ329" i="10"/>
  <c r="BH329" i="10" s="1"/>
  <c r="AO329" i="10"/>
  <c r="BG329" i="10"/>
  <c r="BI329" i="10" a="1"/>
  <c r="BI329" i="10"/>
  <c r="BJ329" i="10"/>
  <c r="BO329" i="10"/>
  <c r="BW329" i="10"/>
  <c r="CD329" i="10" a="1"/>
  <c r="CD329" i="10" s="1"/>
  <c r="CK329" i="10"/>
  <c r="CO329" i="10"/>
  <c r="F330" i="10"/>
  <c r="AD330" i="10"/>
  <c r="AH330" i="10"/>
  <c r="A330" i="10" s="1"/>
  <c r="AI330" i="10"/>
  <c r="AJ330" i="10"/>
  <c r="BG330" i="10" s="1"/>
  <c r="BE330" i="10" a="1"/>
  <c r="BE330" i="10" s="1"/>
  <c r="BI330" i="10" a="1"/>
  <c r="BI330" i="10" s="1"/>
  <c r="BO330" i="10"/>
  <c r="BS330" i="10"/>
  <c r="BW330" i="10"/>
  <c r="CD330" i="10" a="1"/>
  <c r="CD330" i="10" s="1"/>
  <c r="CE330" i="10" s="1"/>
  <c r="CF330" i="10"/>
  <c r="CK330" i="10"/>
  <c r="CS330" i="10"/>
  <c r="A331" i="10"/>
  <c r="F331" i="10"/>
  <c r="AD331" i="10"/>
  <c r="AH331" i="10"/>
  <c r="AI331" i="10"/>
  <c r="AJ331" i="10"/>
  <c r="BH331" i="10" s="1"/>
  <c r="BT331" i="10" s="1"/>
  <c r="AO331" i="10"/>
  <c r="BE331" i="10" a="1"/>
  <c r="BE331" i="10" s="1"/>
  <c r="BF331" i="10"/>
  <c r="BG331" i="10"/>
  <c r="BI331" i="10" a="1"/>
  <c r="BI331" i="10"/>
  <c r="BJ331" i="10"/>
  <c r="BL331" i="10"/>
  <c r="BO331" i="10"/>
  <c r="BS331" i="10"/>
  <c r="BW331" i="10"/>
  <c r="BX331" i="10"/>
  <c r="BY331" i="10" s="1"/>
  <c r="CA331" i="10" s="1" a="1"/>
  <c r="CA331" i="10" s="1"/>
  <c r="CD331" i="10" a="1"/>
  <c r="CD331" i="10"/>
  <c r="CF331" i="10"/>
  <c r="CK331" i="10"/>
  <c r="CO331" i="10"/>
  <c r="CS331" i="10"/>
  <c r="F332" i="10"/>
  <c r="AD332" i="10"/>
  <c r="AH332" i="10"/>
  <c r="AI332" i="10"/>
  <c r="AJ332" i="10"/>
  <c r="BH332" i="10"/>
  <c r="BI332" i="10" a="1"/>
  <c r="BI332" i="10" s="1"/>
  <c r="BO332" i="10"/>
  <c r="F333" i="10"/>
  <c r="AD333" i="10"/>
  <c r="AH333" i="10"/>
  <c r="AI333" i="10"/>
  <c r="AJ333" i="10"/>
  <c r="BH333" i="10" s="1"/>
  <c r="BG333" i="10"/>
  <c r="BI333" i="10" a="1"/>
  <c r="BI333" i="10"/>
  <c r="BJ333" i="10"/>
  <c r="F334" i="10"/>
  <c r="AD334" i="10"/>
  <c r="AH334" i="10"/>
  <c r="A334" i="10" s="1"/>
  <c r="AI334" i="10"/>
  <c r="AJ334" i="10"/>
  <c r="BE334" i="10" a="1"/>
  <c r="BE334" i="10" s="1"/>
  <c r="BI334" i="10" a="1"/>
  <c r="BI334" i="10" s="1"/>
  <c r="BO334" i="10"/>
  <c r="BS334" i="10"/>
  <c r="BW334" i="10"/>
  <c r="CD334" i="10" a="1"/>
  <c r="CD334" i="10" s="1"/>
  <c r="CF334" i="10"/>
  <c r="CK334" i="10"/>
  <c r="CS334" i="10"/>
  <c r="A335" i="10"/>
  <c r="F335" i="10"/>
  <c r="AD335" i="10"/>
  <c r="AH335" i="10"/>
  <c r="BS335" i="10" s="1"/>
  <c r="AI335" i="10"/>
  <c r="AJ335" i="10"/>
  <c r="BH335" i="10" s="1"/>
  <c r="AO335" i="10"/>
  <c r="BE335" i="10" a="1"/>
  <c r="BE335" i="10" s="1"/>
  <c r="BG335" i="10"/>
  <c r="BI335" i="10" a="1"/>
  <c r="BI335" i="10"/>
  <c r="BJ335" i="10"/>
  <c r="BO335" i="10"/>
  <c r="BW335" i="10"/>
  <c r="CD335" i="10" a="1"/>
  <c r="CD335" i="10" s="1"/>
  <c r="CK335" i="10"/>
  <c r="CO335" i="10"/>
  <c r="CS335" i="10"/>
  <c r="F336" i="10"/>
  <c r="AD336" i="10"/>
  <c r="AH336" i="10"/>
  <c r="CS336" i="10" s="1"/>
  <c r="AI336" i="10"/>
  <c r="AJ336" i="10"/>
  <c r="BG336" i="10" s="1"/>
  <c r="BE336" i="10" a="1"/>
  <c r="BE336" i="10" s="1"/>
  <c r="BH336" i="10"/>
  <c r="BI336" i="10" a="1"/>
  <c r="BI336" i="10" s="1"/>
  <c r="BO336" i="10"/>
  <c r="CF336" i="10"/>
  <c r="F337" i="10"/>
  <c r="AD337" i="10"/>
  <c r="AH337" i="10"/>
  <c r="A337" i="10" s="1"/>
  <c r="AI337" i="10"/>
  <c r="AJ337" i="10"/>
  <c r="BG337" i="10" s="1"/>
  <c r="AO337" i="10"/>
  <c r="BH337" i="10"/>
  <c r="BI337" i="10" a="1"/>
  <c r="BI337" i="10"/>
  <c r="BW337" i="10"/>
  <c r="F338" i="10"/>
  <c r="AD338" i="10"/>
  <c r="AH338" i="10"/>
  <c r="BW338" i="10" s="1"/>
  <c r="AI338" i="10"/>
  <c r="AJ338" i="10"/>
  <c r="BG338" i="10" s="1"/>
  <c r="BE338" i="10" a="1"/>
  <c r="BE338" i="10" s="1"/>
  <c r="BI338" i="10" a="1"/>
  <c r="BI338" i="10" s="1"/>
  <c r="BO338" i="10"/>
  <c r="BS338" i="10"/>
  <c r="CD338" i="10" a="1"/>
  <c r="CD338" i="10" s="1"/>
  <c r="CF338" i="10"/>
  <c r="CK338" i="10"/>
  <c r="A339" i="10"/>
  <c r="F339" i="10"/>
  <c r="AD339" i="10"/>
  <c r="AH339" i="10"/>
  <c r="AI339" i="10"/>
  <c r="AJ339" i="10"/>
  <c r="BG339" i="10" s="1"/>
  <c r="BH339" i="10"/>
  <c r="BI339" i="10" a="1"/>
  <c r="BI339" i="10"/>
  <c r="F340" i="10"/>
  <c r="AD340" i="10"/>
  <c r="AH340" i="10"/>
  <c r="AI340" i="10"/>
  <c r="AJ340" i="10"/>
  <c r="BH340" i="10" s="1"/>
  <c r="BI340" i="10" a="1"/>
  <c r="BI340" i="10"/>
  <c r="BS340" i="10"/>
  <c r="CK340" i="10"/>
  <c r="F341" i="10"/>
  <c r="AD341" i="10"/>
  <c r="AH341" i="10"/>
  <c r="AI341" i="10"/>
  <c r="AJ341" i="10"/>
  <c r="BG341" i="10" s="1"/>
  <c r="AO341" i="10"/>
  <c r="BH341" i="10"/>
  <c r="BI341" i="10" a="1"/>
  <c r="BI341" i="10"/>
  <c r="BJ341" i="10"/>
  <c r="CD341" i="10" a="1"/>
  <c r="CD341" i="10" s="1"/>
  <c r="A342" i="10"/>
  <c r="F342" i="10"/>
  <c r="AD342" i="10"/>
  <c r="AH342" i="10"/>
  <c r="BO342" i="10" s="1"/>
  <c r="AI342" i="10"/>
  <c r="AJ342" i="10"/>
  <c r="BG342" i="10" s="1"/>
  <c r="BE342" i="10" a="1"/>
  <c r="BE342" i="10" s="1"/>
  <c r="BI342" i="10" a="1"/>
  <c r="BI342" i="10" s="1"/>
  <c r="BS342" i="10"/>
  <c r="CD342" i="10" a="1"/>
  <c r="CD342" i="10" s="1"/>
  <c r="CE342" i="10"/>
  <c r="CK342" i="10"/>
  <c r="CS342" i="10"/>
  <c r="F343" i="10"/>
  <c r="AD343" i="10"/>
  <c r="AH343" i="10"/>
  <c r="AI343" i="10"/>
  <c r="AJ343" i="10"/>
  <c r="BE343" i="10" a="1"/>
  <c r="BE343" i="10" s="1"/>
  <c r="BH343" i="10"/>
  <c r="BI343" i="10" a="1"/>
  <c r="BI343" i="10"/>
  <c r="BO343" i="10"/>
  <c r="BS343" i="10"/>
  <c r="BW343" i="10"/>
  <c r="F344" i="10"/>
  <c r="AD344" i="10"/>
  <c r="AH344" i="10"/>
  <c r="CS344" i="10" s="1"/>
  <c r="AI344" i="10"/>
  <c r="AJ344" i="10"/>
  <c r="BH344" i="10"/>
  <c r="BI344" i="10" a="1"/>
  <c r="BI344" i="10" s="1"/>
  <c r="BW344" i="10"/>
  <c r="CD344" i="10" a="1"/>
  <c r="CD344" i="10" s="1"/>
  <c r="CK344" i="10"/>
  <c r="F345" i="10"/>
  <c r="AD345" i="10"/>
  <c r="AH345" i="10"/>
  <c r="AI345" i="10"/>
  <c r="AJ345" i="10"/>
  <c r="BH345" i="10"/>
  <c r="BI345" i="10" a="1"/>
  <c r="BI345" i="10"/>
  <c r="A346" i="10"/>
  <c r="F346" i="10"/>
  <c r="AD346" i="10"/>
  <c r="AH346" i="10"/>
  <c r="AO346" i="10" s="1"/>
  <c r="AI346" i="10"/>
  <c r="AJ346" i="10"/>
  <c r="BE346" i="10" a="1"/>
  <c r="BE346" i="10" s="1"/>
  <c r="BI346" i="10" a="1"/>
  <c r="BI346" i="10"/>
  <c r="BO346" i="10"/>
  <c r="BS346" i="10"/>
  <c r="BW346" i="10"/>
  <c r="CD346" i="10" a="1"/>
  <c r="CD346" i="10" s="1"/>
  <c r="CF346" i="10"/>
  <c r="CK346" i="10"/>
  <c r="CO346" i="10"/>
  <c r="CS346" i="10"/>
  <c r="F347" i="10"/>
  <c r="AD347" i="10"/>
  <c r="AH347" i="10"/>
  <c r="A347" i="10" s="1"/>
  <c r="AI347" i="10"/>
  <c r="AJ347" i="10"/>
  <c r="BE347" i="10" a="1"/>
  <c r="BE347" i="10" s="1"/>
  <c r="BH347" i="10"/>
  <c r="BI347" i="10" a="1"/>
  <c r="BI347" i="10" s="1"/>
  <c r="BO347" i="10"/>
  <c r="CS347" i="10"/>
  <c r="A348" i="10"/>
  <c r="F348" i="10"/>
  <c r="AD348" i="10"/>
  <c r="AH348" i="10"/>
  <c r="AO348" i="10" s="1"/>
  <c r="AI348" i="10"/>
  <c r="AJ348" i="10"/>
  <c r="BH348" i="10" s="1"/>
  <c r="BI348" i="10" a="1"/>
  <c r="BI348" i="10"/>
  <c r="BJ348" i="10"/>
  <c r="BO348" i="10"/>
  <c r="BS348" i="10"/>
  <c r="BW348" i="10"/>
  <c r="CD348" i="10" a="1"/>
  <c r="CD348" i="10" s="1"/>
  <c r="CF348" i="10"/>
  <c r="CK348" i="10"/>
  <c r="F349" i="10"/>
  <c r="AD349" i="10"/>
  <c r="AH349" i="10"/>
  <c r="AI349" i="10"/>
  <c r="AJ349" i="10"/>
  <c r="BH349" i="10"/>
  <c r="BI349" i="10" a="1"/>
  <c r="BI349" i="10"/>
  <c r="A350" i="10"/>
  <c r="F350" i="10"/>
  <c r="AD350" i="10"/>
  <c r="AH350" i="10"/>
  <c r="AO350" i="10" s="1"/>
  <c r="AI350" i="10"/>
  <c r="AJ350" i="10"/>
  <c r="BE350" i="10" a="1"/>
  <c r="BE350" i="10" s="1"/>
  <c r="BI350" i="10" a="1"/>
  <c r="BI350" i="10"/>
  <c r="BO350" i="10"/>
  <c r="BS350" i="10"/>
  <c r="BW350" i="10"/>
  <c r="CD350" i="10" a="1"/>
  <c r="CD350" i="10" s="1"/>
  <c r="CF350" i="10"/>
  <c r="CK350" i="10"/>
  <c r="CO350" i="10"/>
  <c r="CS350" i="10"/>
  <c r="F351" i="10"/>
  <c r="AD351" i="10"/>
  <c r="AH351" i="10"/>
  <c r="A351" i="10" s="1"/>
  <c r="AI351" i="10"/>
  <c r="AJ351" i="10"/>
  <c r="BE351" i="10" a="1"/>
  <c r="BE351" i="10" s="1"/>
  <c r="BH351" i="10"/>
  <c r="BI351" i="10" a="1"/>
  <c r="BI351" i="10" s="1"/>
  <c r="BO351" i="10"/>
  <c r="CS351" i="10"/>
  <c r="A352" i="10"/>
  <c r="F352" i="10"/>
  <c r="AD352" i="10"/>
  <c r="AH352" i="10"/>
  <c r="AO352" i="10" s="1"/>
  <c r="AI352" i="10"/>
  <c r="AJ352" i="10"/>
  <c r="BH352" i="10" s="1"/>
  <c r="BI352" i="10" a="1"/>
  <c r="BI352" i="10"/>
  <c r="BO352" i="10"/>
  <c r="BS352" i="10"/>
  <c r="BW352" i="10"/>
  <c r="CD352" i="10" a="1"/>
  <c r="CD352" i="10" s="1"/>
  <c r="CF352" i="10"/>
  <c r="CK352" i="10"/>
  <c r="F353" i="10"/>
  <c r="AD353" i="10"/>
  <c r="AH353" i="10"/>
  <c r="CS353" i="10" s="1"/>
  <c r="AI353" i="10"/>
  <c r="AJ353" i="10"/>
  <c r="BE353" i="10" a="1"/>
  <c r="BE353" i="10" s="1"/>
  <c r="BH353" i="10"/>
  <c r="BI353" i="10" a="1"/>
  <c r="BI353" i="10"/>
  <c r="BO353" i="10"/>
  <c r="A354" i="10"/>
  <c r="F354" i="10"/>
  <c r="AD354" i="10"/>
  <c r="AH354" i="10"/>
  <c r="AO354" i="10" s="1"/>
  <c r="AI354" i="10"/>
  <c r="AJ354" i="10"/>
  <c r="BE354" i="10" a="1"/>
  <c r="BE354" i="10" s="1"/>
  <c r="BF354" i="10"/>
  <c r="BI354" i="10" a="1"/>
  <c r="BI354" i="10"/>
  <c r="BO354" i="10"/>
  <c r="BS354" i="10"/>
  <c r="BW354" i="10"/>
  <c r="CD354" i="10" a="1"/>
  <c r="CD354" i="10" s="1"/>
  <c r="CF354" i="10"/>
  <c r="CK354" i="10"/>
  <c r="CO354" i="10"/>
  <c r="CS354" i="10"/>
  <c r="F355" i="10"/>
  <c r="AD355" i="10"/>
  <c r="AH355" i="10"/>
  <c r="AI355" i="10"/>
  <c r="AJ355" i="10"/>
  <c r="BE355" i="10" a="1"/>
  <c r="BE355" i="10" s="1"/>
  <c r="BH355" i="10"/>
  <c r="BI355" i="10" a="1"/>
  <c r="BI355" i="10" s="1"/>
  <c r="BO355" i="10"/>
  <c r="CS355" i="10"/>
  <c r="A356" i="10"/>
  <c r="F356" i="10"/>
  <c r="AD356" i="10"/>
  <c r="AH356" i="10"/>
  <c r="AO356" i="10" s="1"/>
  <c r="AI356" i="10"/>
  <c r="AJ356" i="10"/>
  <c r="BI356" i="10" a="1"/>
  <c r="BI356" i="10"/>
  <c r="BO356" i="10"/>
  <c r="BS356" i="10"/>
  <c r="BW356" i="10"/>
  <c r="CD356" i="10" a="1"/>
  <c r="CD356" i="10" s="1"/>
  <c r="CF356" i="10"/>
  <c r="CK356" i="10"/>
  <c r="F357" i="10"/>
  <c r="AD357" i="10"/>
  <c r="AH357" i="10"/>
  <c r="AI357" i="10"/>
  <c r="AJ357" i="10"/>
  <c r="BE357" i="10" a="1"/>
  <c r="BE357" i="10" s="1"/>
  <c r="BH357" i="10"/>
  <c r="BI357" i="10" a="1"/>
  <c r="BI357" i="10"/>
  <c r="BO357" i="10"/>
  <c r="CS357" i="10"/>
  <c r="A358" i="10"/>
  <c r="F358" i="10"/>
  <c r="AD358" i="10"/>
  <c r="AH358" i="10"/>
  <c r="AO358" i="10" s="1"/>
  <c r="AI358" i="10"/>
  <c r="AJ358" i="10"/>
  <c r="BE358" i="10" a="1"/>
  <c r="BE358" i="10" s="1"/>
  <c r="BF358" i="10" s="1"/>
  <c r="BI358" i="10" a="1"/>
  <c r="BI358" i="10"/>
  <c r="BO358" i="10"/>
  <c r="BS358" i="10"/>
  <c r="BW358" i="10"/>
  <c r="CD358" i="10" a="1"/>
  <c r="CD358" i="10" s="1"/>
  <c r="CF358" i="10"/>
  <c r="CK358" i="10"/>
  <c r="CO358" i="10"/>
  <c r="CS358" i="10"/>
  <c r="F359" i="10"/>
  <c r="AD359" i="10"/>
  <c r="AH359" i="10"/>
  <c r="AI359" i="10"/>
  <c r="AJ359" i="10"/>
  <c r="BE359" i="10" a="1"/>
  <c r="BE359" i="10" s="1"/>
  <c r="BH359" i="10"/>
  <c r="BI359" i="10" a="1"/>
  <c r="BI359" i="10" s="1"/>
  <c r="CS359" i="10"/>
  <c r="A360" i="10"/>
  <c r="F360" i="10"/>
  <c r="AD360" i="10"/>
  <c r="AH360" i="10"/>
  <c r="AO360" i="10" s="1"/>
  <c r="AI360" i="10"/>
  <c r="AJ360" i="10"/>
  <c r="BI360" i="10" a="1"/>
  <c r="BI360" i="10"/>
  <c r="BO360" i="10"/>
  <c r="BS360" i="10"/>
  <c r="BW360" i="10"/>
  <c r="CD360" i="10" a="1"/>
  <c r="CD360" i="10" s="1"/>
  <c r="CF360" i="10"/>
  <c r="CK360" i="10"/>
  <c r="F361" i="10"/>
  <c r="AD361" i="10"/>
  <c r="AH361" i="10"/>
  <c r="AI361" i="10"/>
  <c r="AJ361" i="10"/>
  <c r="BE361" i="10" a="1"/>
  <c r="BE361" i="10" s="1"/>
  <c r="BH361" i="10"/>
  <c r="BI361" i="10" a="1"/>
  <c r="BI361" i="10"/>
  <c r="BO361" i="10"/>
  <c r="CS361" i="10"/>
  <c r="A362" i="10"/>
  <c r="F362" i="10"/>
  <c r="AD362" i="10"/>
  <c r="AH362" i="10"/>
  <c r="AO362" i="10" s="1"/>
  <c r="AI362" i="10"/>
  <c r="AJ362" i="10"/>
  <c r="BE362" i="10" a="1"/>
  <c r="BE362" i="10" s="1"/>
  <c r="BF362" i="10"/>
  <c r="BI362" i="10" a="1"/>
  <c r="BI362" i="10"/>
  <c r="BO362" i="10"/>
  <c r="BS362" i="10"/>
  <c r="BW362" i="10"/>
  <c r="CD362" i="10" a="1"/>
  <c r="CD362" i="10" s="1"/>
  <c r="CF362" i="10"/>
  <c r="CK362" i="10"/>
  <c r="CO362" i="10"/>
  <c r="CS362" i="10"/>
  <c r="F363" i="10"/>
  <c r="AD363" i="10"/>
  <c r="AH363" i="10"/>
  <c r="AI363" i="10"/>
  <c r="AJ363" i="10"/>
  <c r="BE363" i="10" a="1"/>
  <c r="BE363" i="10" s="1"/>
  <c r="BH363" i="10"/>
  <c r="BI363" i="10" a="1"/>
  <c r="BI363" i="10" s="1"/>
  <c r="BO363" i="10"/>
  <c r="CS363" i="10"/>
  <c r="A364" i="10"/>
  <c r="F364" i="10"/>
  <c r="AD364" i="10"/>
  <c r="AH364" i="10"/>
  <c r="AI364" i="10"/>
  <c r="AJ364" i="10"/>
  <c r="BI364" i="10" a="1"/>
  <c r="BI364" i="10"/>
  <c r="BO364" i="10"/>
  <c r="BS364" i="10"/>
  <c r="BW364" i="10"/>
  <c r="CD364" i="10" a="1"/>
  <c r="CD364" i="10" s="1"/>
  <c r="CF364" i="10"/>
  <c r="CK364" i="10"/>
  <c r="F365" i="10"/>
  <c r="AD365" i="10"/>
  <c r="AH365" i="10"/>
  <c r="BE365" i="10" s="1" a="1"/>
  <c r="BE365" i="10" s="1"/>
  <c r="AI365" i="10"/>
  <c r="AJ365" i="10"/>
  <c r="BG365" i="10"/>
  <c r="BH365" i="10"/>
  <c r="BI365" i="10" a="1"/>
  <c r="BI365" i="10"/>
  <c r="BO365" i="10"/>
  <c r="BW365" i="10"/>
  <c r="CK365" i="10"/>
  <c r="CO365" i="10"/>
  <c r="CS365" i="10"/>
  <c r="A366" i="10"/>
  <c r="F366" i="10"/>
  <c r="AD366" i="10"/>
  <c r="AH366" i="10"/>
  <c r="AO366" i="10" s="1"/>
  <c r="AI366" i="10"/>
  <c r="AJ366" i="10"/>
  <c r="BE366" i="10" a="1"/>
  <c r="BE366" i="10" s="1"/>
  <c r="BF366" i="10"/>
  <c r="BI366" i="10" a="1"/>
  <c r="BI366" i="10" s="1"/>
  <c r="BJ366" i="10"/>
  <c r="BO366" i="10"/>
  <c r="BS366" i="10"/>
  <c r="BW366" i="10"/>
  <c r="CD366" i="10" a="1"/>
  <c r="CD366" i="10" s="1"/>
  <c r="CF366" i="10"/>
  <c r="CK366" i="10"/>
  <c r="CO366" i="10"/>
  <c r="CS366" i="10"/>
  <c r="F367" i="10"/>
  <c r="AD367" i="10"/>
  <c r="AH367" i="10"/>
  <c r="A367" i="10" s="1"/>
  <c r="AI367" i="10"/>
  <c r="AJ367" i="10"/>
  <c r="AO367" i="10"/>
  <c r="BH367" i="10"/>
  <c r="BI367" i="10" a="1"/>
  <c r="BI367" i="10" s="1"/>
  <c r="BJ367" i="10"/>
  <c r="BO367" i="10"/>
  <c r="CS367" i="10"/>
  <c r="F368" i="10"/>
  <c r="AD368" i="10"/>
  <c r="AH368" i="10"/>
  <c r="A368" i="10" s="1"/>
  <c r="AI368" i="10"/>
  <c r="AJ368" i="10"/>
  <c r="BG368" i="10" s="1"/>
  <c r="BH368" i="10"/>
  <c r="BI368" i="10" a="1"/>
  <c r="BI368" i="10"/>
  <c r="BO368" i="10"/>
  <c r="BW368" i="10"/>
  <c r="CD368" i="10" a="1"/>
  <c r="CD368" i="10" s="1"/>
  <c r="CK368" i="10"/>
  <c r="F369" i="10"/>
  <c r="AD369" i="10"/>
  <c r="AH369" i="10"/>
  <c r="CF369" i="10" s="1"/>
  <c r="AI369" i="10"/>
  <c r="AJ369" i="10"/>
  <c r="BH369" i="10" s="1"/>
  <c r="BE369" i="10" a="1"/>
  <c r="BE369" i="10" s="1"/>
  <c r="BG369" i="10"/>
  <c r="BI369" i="10" a="1"/>
  <c r="BI369" i="10"/>
  <c r="BS369" i="10"/>
  <c r="BW369" i="10"/>
  <c r="CD369" i="10" a="1"/>
  <c r="CD369" i="10" s="1"/>
  <c r="CE369" i="10" s="1"/>
  <c r="CO369" i="10"/>
  <c r="CP369" i="10" s="1"/>
  <c r="CS369" i="10"/>
  <c r="CT369" i="10"/>
  <c r="A370" i="10"/>
  <c r="F370" i="10"/>
  <c r="AD370" i="10"/>
  <c r="AH370" i="10"/>
  <c r="AO370" i="10" s="1"/>
  <c r="AI370" i="10"/>
  <c r="AJ370" i="10"/>
  <c r="BH370" i="10" s="1"/>
  <c r="BE370" i="10" a="1"/>
  <c r="BE370" i="10" s="1"/>
  <c r="BG370" i="10"/>
  <c r="BI370" i="10" a="1"/>
  <c r="BI370" i="10"/>
  <c r="BJ370" i="10"/>
  <c r="BO370" i="10"/>
  <c r="BS370" i="10"/>
  <c r="BW370" i="10"/>
  <c r="CD370" i="10" a="1"/>
  <c r="CD370" i="10" s="1"/>
  <c r="CE370" i="10"/>
  <c r="CF370" i="10"/>
  <c r="CK370" i="10"/>
  <c r="CL370" i="10" s="1"/>
  <c r="CM370" i="10" s="1"/>
  <c r="CO370" i="10"/>
  <c r="CS370" i="10"/>
  <c r="CT370" i="10" s="1"/>
  <c r="CU370" i="10" s="1"/>
  <c r="A371" i="10"/>
  <c r="F371" i="10"/>
  <c r="AD371" i="10"/>
  <c r="AH371" i="10"/>
  <c r="AI371" i="10"/>
  <c r="AJ371" i="10"/>
  <c r="BG371" i="10" s="1"/>
  <c r="AO371" i="10"/>
  <c r="BE371" i="10" a="1"/>
  <c r="BE371" i="10" s="1"/>
  <c r="BF371" i="10" s="1"/>
  <c r="BH371" i="10"/>
  <c r="BI371" i="10" a="1"/>
  <c r="BI371" i="10" s="1"/>
  <c r="BJ371" i="10"/>
  <c r="BO371" i="10"/>
  <c r="CS371" i="10"/>
  <c r="F372" i="10"/>
  <c r="AD372" i="10"/>
  <c r="AH372" i="10"/>
  <c r="A372" i="10" s="1"/>
  <c r="AI372" i="10"/>
  <c r="AJ372" i="10"/>
  <c r="BH372" i="10"/>
  <c r="BI372" i="10" a="1"/>
  <c r="BI372" i="10"/>
  <c r="BO372" i="10"/>
  <c r="CK372" i="10"/>
  <c r="F373" i="10"/>
  <c r="AD373" i="10"/>
  <c r="AH373" i="10"/>
  <c r="A373" i="10" s="1"/>
  <c r="AI373" i="10"/>
  <c r="AJ373" i="10"/>
  <c r="BE373" i="10" a="1"/>
  <c r="BE373" i="10" s="1"/>
  <c r="BH373" i="10"/>
  <c r="BI373" i="10" a="1"/>
  <c r="BI373" i="10" s="1"/>
  <c r="BO373" i="10"/>
  <c r="CS373" i="10"/>
  <c r="A374" i="10"/>
  <c r="F374" i="10"/>
  <c r="AD374" i="10"/>
  <c r="AH374" i="10"/>
  <c r="AO374" i="10" s="1"/>
  <c r="AI374" i="10"/>
  <c r="AJ374" i="10"/>
  <c r="BH374" i="10" s="1"/>
  <c r="BI374" i="10" a="1"/>
  <c r="BI374" i="10"/>
  <c r="BO374" i="10"/>
  <c r="BW374" i="10"/>
  <c r="CD374" i="10" a="1"/>
  <c r="CD374" i="10" s="1"/>
  <c r="CK374" i="10"/>
  <c r="F375" i="10"/>
  <c r="AD375" i="10"/>
  <c r="AH375" i="10"/>
  <c r="AI375" i="10"/>
  <c r="AJ375" i="10"/>
  <c r="BG375" i="10" s="1"/>
  <c r="BH375" i="10"/>
  <c r="BI375" i="10" a="1"/>
  <c r="BI375" i="10"/>
  <c r="A376" i="10"/>
  <c r="F376" i="10"/>
  <c r="AD376" i="10"/>
  <c r="AH376" i="10"/>
  <c r="AI376" i="10"/>
  <c r="AJ376" i="10"/>
  <c r="AO376" i="10"/>
  <c r="BE376" i="10" a="1"/>
  <c r="BE376" i="10" s="1"/>
  <c r="BI376" i="10" a="1"/>
  <c r="BI376" i="10"/>
  <c r="BJ376" i="10"/>
  <c r="BO376" i="10"/>
  <c r="BS376" i="10"/>
  <c r="BW376" i="10"/>
  <c r="CD376" i="10" a="1"/>
  <c r="CD376" i="10" s="1"/>
  <c r="CF376" i="10"/>
  <c r="CK376" i="10"/>
  <c r="CO376" i="10"/>
  <c r="CS376" i="10"/>
  <c r="F377" i="10"/>
  <c r="AD377" i="10"/>
  <c r="AH377" i="10"/>
  <c r="A377" i="10" s="1"/>
  <c r="AI377" i="10"/>
  <c r="AJ377" i="10"/>
  <c r="BG377" i="10" s="1"/>
  <c r="BE377" i="10" a="1"/>
  <c r="BE377" i="10" s="1"/>
  <c r="BH377" i="10"/>
  <c r="BI377" i="10" a="1"/>
  <c r="BI377" i="10" s="1"/>
  <c r="BO377" i="10"/>
  <c r="CS377" i="10"/>
  <c r="A378" i="10"/>
  <c r="F378" i="10"/>
  <c r="AD378" i="10"/>
  <c r="AH378" i="10"/>
  <c r="AO378" i="10" s="1"/>
  <c r="AI378" i="10"/>
  <c r="AJ378" i="10"/>
  <c r="BH378" i="10" s="1"/>
  <c r="BI378" i="10" a="1"/>
  <c r="BI378" i="10"/>
  <c r="BO378" i="10"/>
  <c r="BW378" i="10"/>
  <c r="CD378" i="10" a="1"/>
  <c r="CD378" i="10" s="1"/>
  <c r="CK378" i="10"/>
  <c r="F379" i="10"/>
  <c r="AD379" i="10"/>
  <c r="AH379" i="10"/>
  <c r="AI379" i="10"/>
  <c r="AJ379" i="10"/>
  <c r="BH379" i="10"/>
  <c r="BI379" i="10" a="1"/>
  <c r="BI379" i="10"/>
  <c r="BO379" i="10"/>
  <c r="A380" i="10"/>
  <c r="F380" i="10"/>
  <c r="AD380" i="10"/>
  <c r="AH380" i="10"/>
  <c r="BS380" i="10" s="1"/>
  <c r="AI380" i="10"/>
  <c r="AJ380" i="10"/>
  <c r="AO380" i="10"/>
  <c r="BE380" i="10" a="1"/>
  <c r="BE380" i="10" s="1"/>
  <c r="BI380" i="10" a="1"/>
  <c r="BI380" i="10"/>
  <c r="BJ380" i="10"/>
  <c r="BO380" i="10"/>
  <c r="BW380" i="10"/>
  <c r="CD380" i="10" a="1"/>
  <c r="CD380" i="10" s="1"/>
  <c r="CF380" i="10"/>
  <c r="CK380" i="10"/>
  <c r="CO380" i="10"/>
  <c r="CS380" i="10"/>
  <c r="F381" i="10"/>
  <c r="AD381" i="10"/>
  <c r="AH381" i="10"/>
  <c r="A381" i="10" s="1"/>
  <c r="AI381" i="10"/>
  <c r="AJ381" i="10"/>
  <c r="BG381" i="10" s="1"/>
  <c r="BE381" i="10" a="1"/>
  <c r="BE381" i="10" s="1"/>
  <c r="BH381" i="10"/>
  <c r="BI381" i="10" a="1"/>
  <c r="BI381" i="10" s="1"/>
  <c r="BO381" i="10"/>
  <c r="CS381" i="10"/>
  <c r="A382" i="10"/>
  <c r="F382" i="10"/>
  <c r="AD382" i="10"/>
  <c r="AH382" i="10"/>
  <c r="AO382" i="10" s="1"/>
  <c r="AI382" i="10"/>
  <c r="AJ382" i="10"/>
  <c r="BH382" i="10" s="1"/>
  <c r="BI382" i="10" a="1"/>
  <c r="BI382" i="10"/>
  <c r="BO382" i="10"/>
  <c r="BW382" i="10"/>
  <c r="CD382" i="10" a="1"/>
  <c r="CD382" i="10" s="1"/>
  <c r="CK382" i="10"/>
  <c r="F383" i="10"/>
  <c r="AD383" i="10"/>
  <c r="AH383" i="10"/>
  <c r="AI383" i="10"/>
  <c r="AJ383" i="10"/>
  <c r="BG383" i="10" s="1"/>
  <c r="BH383" i="10"/>
  <c r="BI383" i="10" a="1"/>
  <c r="BI383" i="10"/>
  <c r="BO383" i="10"/>
  <c r="A384" i="10"/>
  <c r="F384" i="10"/>
  <c r="AD384" i="10"/>
  <c r="AH384" i="10"/>
  <c r="BS384" i="10" s="1"/>
  <c r="AI384" i="10"/>
  <c r="AJ384" i="10"/>
  <c r="BE384" i="10" a="1"/>
  <c r="BE384" i="10" s="1"/>
  <c r="BI384" i="10" a="1"/>
  <c r="BI384" i="10"/>
  <c r="BO384" i="10"/>
  <c r="BW384" i="10"/>
  <c r="CD384" i="10" a="1"/>
  <c r="CD384" i="10" s="1"/>
  <c r="CK384" i="10"/>
  <c r="CO384" i="10"/>
  <c r="CS384" i="10"/>
  <c r="F385" i="10"/>
  <c r="AD385" i="10"/>
  <c r="AH385" i="10"/>
  <c r="A385" i="10" s="1"/>
  <c r="AI385" i="10"/>
  <c r="AJ385" i="10"/>
  <c r="BG385" i="10" s="1"/>
  <c r="BE385" i="10" a="1"/>
  <c r="BE385" i="10" s="1"/>
  <c r="BH385" i="10"/>
  <c r="BI385" i="10" a="1"/>
  <c r="BI385" i="10"/>
  <c r="BO385" i="10"/>
  <c r="CS385" i="10"/>
  <c r="A386" i="10"/>
  <c r="F386" i="10"/>
  <c r="AD386" i="10"/>
  <c r="AH386" i="10"/>
  <c r="AO386" i="10" s="1"/>
  <c r="AI386" i="10"/>
  <c r="AJ386" i="10"/>
  <c r="BI386" i="10" a="1"/>
  <c r="BI386" i="10"/>
  <c r="BO386" i="10"/>
  <c r="BW386" i="10"/>
  <c r="CD386" i="10" a="1"/>
  <c r="CD386" i="10" s="1"/>
  <c r="CK386" i="10"/>
  <c r="F387" i="10"/>
  <c r="AD387" i="10"/>
  <c r="AH387" i="10"/>
  <c r="CS387" i="10" s="1"/>
  <c r="AI387" i="10"/>
  <c r="AJ387" i="10"/>
  <c r="BH387" i="10"/>
  <c r="BI387" i="10" a="1"/>
  <c r="BI387" i="10"/>
  <c r="BO387" i="10"/>
  <c r="A388" i="10"/>
  <c r="F388" i="10"/>
  <c r="AD388" i="10"/>
  <c r="AH388" i="10"/>
  <c r="BS388" i="10" s="1"/>
  <c r="AI388" i="10"/>
  <c r="AJ388" i="10"/>
  <c r="BE388" i="10" a="1"/>
  <c r="BE388" i="10" s="1"/>
  <c r="BI388" i="10" a="1"/>
  <c r="BI388" i="10"/>
  <c r="BO388" i="10"/>
  <c r="BW388" i="10"/>
  <c r="CD388" i="10" a="1"/>
  <c r="CD388" i="10" s="1"/>
  <c r="CE388" i="10"/>
  <c r="CK388" i="10"/>
  <c r="CO388" i="10"/>
  <c r="CS388" i="10"/>
  <c r="A389" i="10"/>
  <c r="F389" i="10"/>
  <c r="AD389" i="10"/>
  <c r="AH389" i="10"/>
  <c r="AI389" i="10"/>
  <c r="AJ389" i="10"/>
  <c r="BG389" i="10" s="1"/>
  <c r="BH389" i="10"/>
  <c r="BI389" i="10" a="1"/>
  <c r="BI389" i="10"/>
  <c r="BO389" i="10"/>
  <c r="A390" i="10"/>
  <c r="F390" i="10"/>
  <c r="AD390" i="10"/>
  <c r="AH390" i="10"/>
  <c r="AI390" i="10"/>
  <c r="AJ390" i="10"/>
  <c r="BG390" i="10" s="1"/>
  <c r="BI390" i="10" a="1"/>
  <c r="BI390" i="10"/>
  <c r="BO390" i="10"/>
  <c r="CD390" i="10" a="1"/>
  <c r="CD390" i="10" s="1"/>
  <c r="CK390" i="10"/>
  <c r="F391" i="10"/>
  <c r="AD391" i="10"/>
  <c r="AH391" i="10"/>
  <c r="AI391" i="10"/>
  <c r="AJ391" i="10"/>
  <c r="BI391" i="10" a="1"/>
  <c r="BI391" i="10"/>
  <c r="BO391" i="10"/>
  <c r="BW391" i="10"/>
  <c r="CK391" i="10"/>
  <c r="A392" i="10"/>
  <c r="F392" i="10"/>
  <c r="AD392" i="10"/>
  <c r="AH392" i="10"/>
  <c r="BS392" i="10" s="1"/>
  <c r="AI392" i="10"/>
  <c r="AJ392" i="10"/>
  <c r="BE392" i="10" a="1"/>
  <c r="BE392" i="10" s="1"/>
  <c r="BF392" i="10" s="1"/>
  <c r="BI392" i="10" a="1"/>
  <c r="BI392" i="10"/>
  <c r="BO392" i="10"/>
  <c r="BW392" i="10"/>
  <c r="CD392" i="10" a="1"/>
  <c r="CD392" i="10" s="1"/>
  <c r="CE392" i="10"/>
  <c r="CK392" i="10"/>
  <c r="CS392" i="10"/>
  <c r="A393" i="10"/>
  <c r="F393" i="10"/>
  <c r="AD393" i="10"/>
  <c r="AH393" i="10"/>
  <c r="AI393" i="10"/>
  <c r="AJ393" i="10"/>
  <c r="BG393" i="10" s="1"/>
  <c r="BE393" i="10" a="1"/>
  <c r="BE393" i="10" s="1"/>
  <c r="BF393" i="10" s="1"/>
  <c r="BH393" i="10"/>
  <c r="BI393" i="10" a="1"/>
  <c r="BI393" i="10"/>
  <c r="BO393" i="10"/>
  <c r="CS393" i="10"/>
  <c r="F394" i="10"/>
  <c r="AD394" i="10"/>
  <c r="AH394" i="10"/>
  <c r="AI394" i="10"/>
  <c r="AJ394" i="10"/>
  <c r="BH394" i="10" s="1"/>
  <c r="BI394" i="10" a="1"/>
  <c r="BI394" i="10"/>
  <c r="BO394" i="10"/>
  <c r="F395" i="10"/>
  <c r="AD395" i="10"/>
  <c r="AH395" i="10"/>
  <c r="AI395" i="10"/>
  <c r="AJ395" i="10"/>
  <c r="BG395" i="10" s="1"/>
  <c r="BE395" i="10" a="1"/>
  <c r="BE395" i="10" s="1"/>
  <c r="BI395" i="10" a="1"/>
  <c r="BI395" i="10"/>
  <c r="BO395" i="10"/>
  <c r="CD395" i="10" a="1"/>
  <c r="CD395" i="10" s="1"/>
  <c r="CE395" i="10" s="1"/>
  <c r="CK395" i="10"/>
  <c r="A396" i="10"/>
  <c r="F396" i="10"/>
  <c r="AD396" i="10"/>
  <c r="AH396" i="10"/>
  <c r="BS396" i="10" s="1"/>
  <c r="AI396" i="10"/>
  <c r="AJ396" i="10"/>
  <c r="BE396" i="10" a="1"/>
  <c r="BE396" i="10" s="1"/>
  <c r="BF396" i="10" s="1"/>
  <c r="BI396" i="10" a="1"/>
  <c r="BI396" i="10"/>
  <c r="BO396" i="10"/>
  <c r="BW396" i="10"/>
  <c r="CD396" i="10" a="1"/>
  <c r="CD396" i="10" s="1"/>
  <c r="CE396" i="10"/>
  <c r="CK396" i="10"/>
  <c r="CS396" i="10"/>
  <c r="A397" i="10"/>
  <c r="F397" i="10"/>
  <c r="AD397" i="10"/>
  <c r="AH397" i="10"/>
  <c r="AI397" i="10"/>
  <c r="AJ397" i="10"/>
  <c r="BG397" i="10" s="1"/>
  <c r="BE397" i="10" a="1"/>
  <c r="BE397" i="10" s="1"/>
  <c r="BF397" i="10" s="1"/>
  <c r="BH397" i="10"/>
  <c r="BI397" i="10" a="1"/>
  <c r="BI397" i="10"/>
  <c r="BO397" i="10"/>
  <c r="CS397" i="10"/>
  <c r="F398" i="10"/>
  <c r="AD398" i="10"/>
  <c r="AH398" i="10"/>
  <c r="AI398" i="10"/>
  <c r="AJ398" i="10"/>
  <c r="BH398" i="10" s="1"/>
  <c r="BI398" i="10" a="1"/>
  <c r="BI398" i="10"/>
  <c r="F399" i="10"/>
  <c r="AD399" i="10"/>
  <c r="AH399" i="10"/>
  <c r="AI399" i="10"/>
  <c r="AJ399" i="10"/>
  <c r="BG399" i="10" s="1"/>
  <c r="BE399" i="10" a="1"/>
  <c r="BE399" i="10" s="1"/>
  <c r="BI399" i="10" a="1"/>
  <c r="BI399" i="10"/>
  <c r="BO399" i="10"/>
  <c r="CD399" i="10" a="1"/>
  <c r="CD399" i="10" s="1"/>
  <c r="CE399" i="10" s="1"/>
  <c r="CK399" i="10"/>
  <c r="A400" i="10"/>
  <c r="F400" i="10"/>
  <c r="AD400" i="10"/>
  <c r="AH400" i="10"/>
  <c r="BS400" i="10" s="1"/>
  <c r="AI400" i="10"/>
  <c r="AJ400" i="10"/>
  <c r="BE400" i="10" a="1"/>
  <c r="BE400" i="10" s="1"/>
  <c r="BF400" i="10" s="1"/>
  <c r="BI400" i="10" a="1"/>
  <c r="BI400" i="10"/>
  <c r="BO400" i="10"/>
  <c r="BW400" i="10"/>
  <c r="CD400" i="10" a="1"/>
  <c r="CD400" i="10" s="1"/>
  <c r="CE400" i="10"/>
  <c r="CK400" i="10"/>
  <c r="CS400" i="10"/>
  <c r="A401" i="10"/>
  <c r="F401" i="10"/>
  <c r="AD401" i="10"/>
  <c r="AH401" i="10"/>
  <c r="AI401" i="10"/>
  <c r="AJ401" i="10"/>
  <c r="BG401" i="10" s="1"/>
  <c r="BE401" i="10" a="1"/>
  <c r="BE401" i="10" s="1"/>
  <c r="BF401" i="10" s="1"/>
  <c r="BH401" i="10"/>
  <c r="BI401" i="10" a="1"/>
  <c r="BI401" i="10"/>
  <c r="BO401" i="10"/>
  <c r="CS401" i="10"/>
  <c r="F402" i="10"/>
  <c r="AD402" i="10"/>
  <c r="AH402" i="10"/>
  <c r="AI402" i="10"/>
  <c r="AJ402" i="10"/>
  <c r="BH402" i="10" s="1"/>
  <c r="BI402" i="10" a="1"/>
  <c r="BI402" i="10"/>
  <c r="BO402" i="10"/>
  <c r="F403" i="10"/>
  <c r="AD403" i="10"/>
  <c r="AH403" i="10"/>
  <c r="AI403" i="10"/>
  <c r="AJ403" i="10"/>
  <c r="BG403" i="10" s="1"/>
  <c r="BE403" i="10" a="1"/>
  <c r="BE403" i="10" s="1"/>
  <c r="BI403" i="10" a="1"/>
  <c r="BI403" i="10"/>
  <c r="BO403" i="10"/>
  <c r="CD403" i="10" a="1"/>
  <c r="CD403" i="10" s="1"/>
  <c r="CE403" i="10" s="1"/>
  <c r="CK403" i="10"/>
  <c r="A404" i="10"/>
  <c r="F404" i="10"/>
  <c r="AD404" i="10"/>
  <c r="AH404" i="10"/>
  <c r="BS404" i="10" s="1"/>
  <c r="AI404" i="10"/>
  <c r="AJ404" i="10"/>
  <c r="BE404" i="10" a="1"/>
  <c r="BE404" i="10" s="1"/>
  <c r="BF404" i="10" s="1"/>
  <c r="BI404" i="10" a="1"/>
  <c r="BI404" i="10"/>
  <c r="BO404" i="10"/>
  <c r="BW404" i="10"/>
  <c r="CD404" i="10" a="1"/>
  <c r="CD404" i="10" s="1"/>
  <c r="CE404" i="10"/>
  <c r="CK404" i="10"/>
  <c r="CS404" i="10"/>
  <c r="A405" i="10"/>
  <c r="F405" i="10"/>
  <c r="AD405" i="10"/>
  <c r="AH405" i="10"/>
  <c r="AI405" i="10"/>
  <c r="AJ405" i="10"/>
  <c r="BG405" i="10" s="1"/>
  <c r="BE405" i="10" a="1"/>
  <c r="BE405" i="10" s="1"/>
  <c r="BF405" i="10" s="1"/>
  <c r="BI405" i="10" a="1"/>
  <c r="BI405" i="10"/>
  <c r="BO405" i="10"/>
  <c r="BW405" i="10"/>
  <c r="CD405" i="10" a="1"/>
  <c r="CD405" i="10" s="1"/>
  <c r="CE405" i="10" s="1"/>
  <c r="CK405" i="10"/>
  <c r="F406" i="10"/>
  <c r="AD406" i="10"/>
  <c r="AH406" i="10"/>
  <c r="A406" i="10" s="1"/>
  <c r="AI406" i="10"/>
  <c r="AJ406" i="10"/>
  <c r="BI406" i="10" a="1"/>
  <c r="BI406" i="10"/>
  <c r="BJ406" i="10"/>
  <c r="CF406" i="10"/>
  <c r="CO406" i="10"/>
  <c r="F407" i="10"/>
  <c r="AD407" i="10"/>
  <c r="AH407" i="10"/>
  <c r="BW407" i="10" s="1"/>
  <c r="AI407" i="10"/>
  <c r="AJ407" i="10"/>
  <c r="BG407" i="10"/>
  <c r="BH407" i="10"/>
  <c r="BI407" i="10" a="1"/>
  <c r="BI407" i="10" s="1"/>
  <c r="BO407" i="10"/>
  <c r="BS407" i="10"/>
  <c r="CF407" i="10"/>
  <c r="CO407" i="10"/>
  <c r="F408" i="10"/>
  <c r="AD408" i="10"/>
  <c r="AH408" i="10"/>
  <c r="BE408" i="10" s="1" a="1"/>
  <c r="BE408" i="10" s="1"/>
  <c r="AI408" i="10"/>
  <c r="AJ408" i="10"/>
  <c r="BH408" i="10" s="1"/>
  <c r="AO408" i="10"/>
  <c r="BG408" i="10"/>
  <c r="BI408" i="10" a="1"/>
  <c r="BI408" i="10" s="1"/>
  <c r="BJ408" i="10"/>
  <c r="BO408" i="10"/>
  <c r="BW408" i="10"/>
  <c r="CD408" i="10" a="1"/>
  <c r="CD408" i="10"/>
  <c r="CK408" i="10"/>
  <c r="CO408" i="10"/>
  <c r="A409" i="10"/>
  <c r="F409" i="10"/>
  <c r="AD409" i="10"/>
  <c r="AH409" i="10"/>
  <c r="CO409" i="10" s="1"/>
  <c r="AI409" i="10"/>
  <c r="AJ409" i="10"/>
  <c r="BG409" i="10" s="1"/>
  <c r="AO409" i="10"/>
  <c r="BE409" i="10" a="1"/>
  <c r="BE409" i="10"/>
  <c r="BI409" i="10" a="1"/>
  <c r="BI409" i="10" s="1"/>
  <c r="BJ409" i="10"/>
  <c r="BO409" i="10"/>
  <c r="BS409" i="10"/>
  <c r="BW409" i="10"/>
  <c r="CD409" i="10" a="1"/>
  <c r="CD409" i="10"/>
  <c r="CF409" i="10"/>
  <c r="CK409" i="10"/>
  <c r="CS409" i="10"/>
  <c r="A410" i="10"/>
  <c r="F410" i="10"/>
  <c r="AD410" i="10"/>
  <c r="AH410" i="10"/>
  <c r="BW410" i="10" s="1"/>
  <c r="AI410" i="10"/>
  <c r="AJ410" i="10"/>
  <c r="AO410" i="10"/>
  <c r="BE410" i="10" a="1"/>
  <c r="BE410" i="10"/>
  <c r="BG410" i="10"/>
  <c r="BH410" i="10"/>
  <c r="BI410" i="10" a="1"/>
  <c r="BI410" i="10"/>
  <c r="BJ410" i="10"/>
  <c r="BO410" i="10"/>
  <c r="BS410" i="10"/>
  <c r="CF410" i="10"/>
  <c r="CO410" i="10"/>
  <c r="CS410" i="10"/>
  <c r="F411" i="10"/>
  <c r="AD411" i="10"/>
  <c r="AH411" i="10"/>
  <c r="BW411" i="10" s="1"/>
  <c r="AI411" i="10"/>
  <c r="AJ411" i="10"/>
  <c r="BG411" i="10"/>
  <c r="BH411" i="10"/>
  <c r="BI411" i="10" a="1"/>
  <c r="BI411" i="10" s="1"/>
  <c r="BO411" i="10"/>
  <c r="BS411" i="10"/>
  <c r="CF411" i="10"/>
  <c r="CO411" i="10"/>
  <c r="F412" i="10"/>
  <c r="AD412" i="10"/>
  <c r="AH412" i="10"/>
  <c r="BE412" i="10" s="1" a="1"/>
  <c r="BE412" i="10" s="1"/>
  <c r="AI412" i="10"/>
  <c r="AJ412" i="10"/>
  <c r="BH412" i="10" s="1"/>
  <c r="AO412" i="10"/>
  <c r="BG412" i="10"/>
  <c r="BI412" i="10" a="1"/>
  <c r="BI412" i="10" s="1"/>
  <c r="BJ412" i="10"/>
  <c r="BO412" i="10"/>
  <c r="BW412" i="10"/>
  <c r="CD412" i="10" a="1"/>
  <c r="CD412" i="10"/>
  <c r="CK412" i="10"/>
  <c r="CO412" i="10"/>
  <c r="A413" i="10"/>
  <c r="F413" i="10"/>
  <c r="AD413" i="10"/>
  <c r="AH413" i="10"/>
  <c r="CO413" i="10" s="1"/>
  <c r="AI413" i="10"/>
  <c r="AJ413" i="10"/>
  <c r="BG413" i="10" s="1"/>
  <c r="AO413" i="10"/>
  <c r="BE413" i="10" a="1"/>
  <c r="BE413" i="10"/>
  <c r="BI413" i="10" a="1"/>
  <c r="BI413" i="10" s="1"/>
  <c r="BJ413" i="10"/>
  <c r="BO413" i="10"/>
  <c r="BS413" i="10"/>
  <c r="BW413" i="10"/>
  <c r="CD413" i="10" a="1"/>
  <c r="CD413" i="10"/>
  <c r="CF413" i="10"/>
  <c r="CK413" i="10"/>
  <c r="CS413" i="10"/>
  <c r="A414" i="10"/>
  <c r="F414" i="10"/>
  <c r="AD414" i="10"/>
  <c r="AH414" i="10"/>
  <c r="BW414" i="10" s="1"/>
  <c r="AI414" i="10"/>
  <c r="AJ414" i="10"/>
  <c r="AO414" i="10"/>
  <c r="BE414" i="10" a="1"/>
  <c r="BE414" i="10"/>
  <c r="BG414" i="10"/>
  <c r="BH414" i="10"/>
  <c r="BI414" i="10" a="1"/>
  <c r="BI414" i="10"/>
  <c r="BJ414" i="10"/>
  <c r="BO414" i="10"/>
  <c r="BS414" i="10"/>
  <c r="CF414" i="10"/>
  <c r="CO414" i="10"/>
  <c r="CS414" i="10"/>
  <c r="F415" i="10"/>
  <c r="AD415" i="10"/>
  <c r="AH415" i="10"/>
  <c r="BW415" i="10" s="1"/>
  <c r="AI415" i="10"/>
  <c r="AJ415" i="10"/>
  <c r="BG415" i="10"/>
  <c r="BH415" i="10"/>
  <c r="BI415" i="10" a="1"/>
  <c r="BI415" i="10" s="1"/>
  <c r="BO415" i="10"/>
  <c r="BS415" i="10"/>
  <c r="CF415" i="10"/>
  <c r="CO415" i="10"/>
  <c r="F416" i="10"/>
  <c r="AD416" i="10"/>
  <c r="AH416" i="10"/>
  <c r="BE416" i="10" s="1" a="1"/>
  <c r="BE416" i="10" s="1"/>
  <c r="AI416" i="10"/>
  <c r="AJ416" i="10"/>
  <c r="BH416" i="10" s="1"/>
  <c r="AO416" i="10"/>
  <c r="BG416" i="10"/>
  <c r="BI416" i="10" a="1"/>
  <c r="BI416" i="10"/>
  <c r="BJ416" i="10"/>
  <c r="BO416" i="10"/>
  <c r="BW416" i="10"/>
  <c r="CD416" i="10" a="1"/>
  <c r="CD416" i="10" s="1"/>
  <c r="CK416" i="10"/>
  <c r="CO416" i="10"/>
  <c r="A417" i="10"/>
  <c r="F417" i="10"/>
  <c r="AD417" i="10"/>
  <c r="AH417" i="10"/>
  <c r="CO417" i="10" s="1"/>
  <c r="AI417" i="10"/>
  <c r="AJ417" i="10"/>
  <c r="BG417" i="10" s="1"/>
  <c r="AO417" i="10"/>
  <c r="BE417" i="10" a="1"/>
  <c r="BE417" i="10"/>
  <c r="BI417" i="10" a="1"/>
  <c r="BI417" i="10" s="1"/>
  <c r="BJ417" i="10"/>
  <c r="BO417" i="10"/>
  <c r="BS417" i="10"/>
  <c r="BW417" i="10"/>
  <c r="CD417" i="10" a="1"/>
  <c r="CD417" i="10"/>
  <c r="CF417" i="10"/>
  <c r="CK417" i="10"/>
  <c r="CS417" i="10"/>
  <c r="A418" i="10"/>
  <c r="F418" i="10"/>
  <c r="AD418" i="10"/>
  <c r="AH418" i="10"/>
  <c r="BW418" i="10" s="1"/>
  <c r="BX418" i="10" s="1"/>
  <c r="AI418" i="10"/>
  <c r="AJ418" i="10"/>
  <c r="AO418" i="10"/>
  <c r="BE418" i="10" a="1"/>
  <c r="BE418" i="10"/>
  <c r="BF418" i="10" s="1"/>
  <c r="BG418" i="10"/>
  <c r="BT418" i="10" s="1"/>
  <c r="BU418" i="10" s="1"/>
  <c r="BH418" i="10"/>
  <c r="BI418" i="10" a="1"/>
  <c r="BI418" i="10"/>
  <c r="BJ418" i="10"/>
  <c r="BO418" i="10"/>
  <c r="BS418" i="10"/>
  <c r="CF418" i="10"/>
  <c r="CO418" i="10"/>
  <c r="CS418" i="10"/>
  <c r="F419" i="10"/>
  <c r="AD419" i="10"/>
  <c r="AH419" i="10"/>
  <c r="BS419" i="10" s="1"/>
  <c r="AI419" i="10"/>
  <c r="AJ419" i="10"/>
  <c r="BG419" i="10"/>
  <c r="BH419" i="10"/>
  <c r="BI419" i="10" a="1"/>
  <c r="BI419" i="10" s="1"/>
  <c r="BO419" i="10"/>
  <c r="CO419" i="10"/>
  <c r="F420" i="10"/>
  <c r="AD420" i="10"/>
  <c r="AH420" i="10"/>
  <c r="BE420" i="10" s="1" a="1"/>
  <c r="BE420" i="10" s="1"/>
  <c r="AI420" i="10"/>
  <c r="AJ420" i="10"/>
  <c r="BH420" i="10" s="1"/>
  <c r="AO420" i="10"/>
  <c r="BG420" i="10"/>
  <c r="BI420" i="10" a="1"/>
  <c r="BI420" i="10"/>
  <c r="BJ420" i="10"/>
  <c r="BO420" i="10"/>
  <c r="BW420" i="10"/>
  <c r="CD420" i="10" a="1"/>
  <c r="CD420" i="10" s="1"/>
  <c r="CK420" i="10"/>
  <c r="CO420" i="10"/>
  <c r="CS420" i="10"/>
  <c r="A421" i="10"/>
  <c r="F421" i="10"/>
  <c r="AD421" i="10"/>
  <c r="AH421" i="10"/>
  <c r="CO421" i="10" s="1"/>
  <c r="AI421" i="10"/>
  <c r="AJ421" i="10"/>
  <c r="BG421" i="10" s="1"/>
  <c r="AO421" i="10"/>
  <c r="BE421" i="10" a="1"/>
  <c r="BE421" i="10"/>
  <c r="BI421" i="10" a="1"/>
  <c r="BI421" i="10" s="1"/>
  <c r="BJ421" i="10"/>
  <c r="BO421" i="10"/>
  <c r="BS421" i="10"/>
  <c r="BW421" i="10"/>
  <c r="CD421" i="10" a="1"/>
  <c r="CD421" i="10"/>
  <c r="CE421" i="10"/>
  <c r="CF421" i="10"/>
  <c r="CK421" i="10"/>
  <c r="CS421" i="10"/>
  <c r="A422" i="10"/>
  <c r="F422" i="10"/>
  <c r="AD422" i="10"/>
  <c r="AH422" i="10"/>
  <c r="BW422" i="10" s="1"/>
  <c r="AI422" i="10"/>
  <c r="AJ422" i="10"/>
  <c r="AO422" i="10"/>
  <c r="BE422" i="10" a="1"/>
  <c r="BE422" i="10"/>
  <c r="BF422" i="10"/>
  <c r="BG422" i="10"/>
  <c r="BH422" i="10"/>
  <c r="BI422" i="10" a="1"/>
  <c r="BI422" i="10"/>
  <c r="BJ422" i="10"/>
  <c r="BO422" i="10"/>
  <c r="BS422" i="10"/>
  <c r="BT422" i="10"/>
  <c r="BX422" i="10"/>
  <c r="CF422" i="10"/>
  <c r="CO422" i="10"/>
  <c r="CS422" i="10"/>
  <c r="F423" i="10"/>
  <c r="AD423" i="10"/>
  <c r="AH423" i="10"/>
  <c r="BO423" i="10" s="1"/>
  <c r="AI423" i="10"/>
  <c r="AJ423" i="10"/>
  <c r="BG423" i="10"/>
  <c r="BH423" i="10"/>
  <c r="BI423" i="10" a="1"/>
  <c r="BI423" i="10" s="1"/>
  <c r="CO423" i="10"/>
  <c r="F424" i="10"/>
  <c r="AD424" i="10"/>
  <c r="AH424" i="10"/>
  <c r="BS424" i="10" s="1"/>
  <c r="AI424" i="10"/>
  <c r="AJ424" i="10"/>
  <c r="BH424" i="10" s="1"/>
  <c r="AO424" i="10"/>
  <c r="BE424" i="10" a="1"/>
  <c r="BE424" i="10" s="1"/>
  <c r="BI424" i="10" a="1"/>
  <c r="BI424" i="10" s="1"/>
  <c r="BJ424" i="10"/>
  <c r="BO424" i="10"/>
  <c r="BW424" i="10"/>
  <c r="CD424" i="10" a="1"/>
  <c r="CD424" i="10"/>
  <c r="CK424" i="10"/>
  <c r="CO424" i="10"/>
  <c r="CS424" i="10"/>
  <c r="A425" i="10"/>
  <c r="F425" i="10"/>
  <c r="AD425" i="10"/>
  <c r="AH425" i="10"/>
  <c r="CO425" i="10" s="1"/>
  <c r="AI425" i="10"/>
  <c r="AJ425" i="10"/>
  <c r="BG425" i="10" s="1"/>
  <c r="AO425" i="10"/>
  <c r="BE425" i="10" a="1"/>
  <c r="BE425" i="10"/>
  <c r="BI425" i="10" a="1"/>
  <c r="BI425" i="10" s="1"/>
  <c r="BJ425" i="10"/>
  <c r="BO425" i="10"/>
  <c r="BS425" i="10"/>
  <c r="BW425" i="10"/>
  <c r="CD425" i="10" a="1"/>
  <c r="CD425" i="10"/>
  <c r="CE425" i="10"/>
  <c r="CF425" i="10"/>
  <c r="CK425" i="10"/>
  <c r="CS425" i="10"/>
  <c r="A426" i="10"/>
  <c r="F426" i="10"/>
  <c r="AD426" i="10"/>
  <c r="AH426" i="10"/>
  <c r="BW426" i="10" s="1"/>
  <c r="BX426" i="10" s="1"/>
  <c r="AI426" i="10"/>
  <c r="AJ426" i="10"/>
  <c r="AO426" i="10"/>
  <c r="BE426" i="10" a="1"/>
  <c r="BE426" i="10"/>
  <c r="BF426" i="10" s="1"/>
  <c r="BG426" i="10"/>
  <c r="BH426" i="10"/>
  <c r="BI426" i="10" a="1"/>
  <c r="BI426" i="10"/>
  <c r="BJ426" i="10"/>
  <c r="BO426" i="10"/>
  <c r="BP426" i="10" s="1"/>
  <c r="BS426" i="10"/>
  <c r="CF426" i="10"/>
  <c r="CO426" i="10"/>
  <c r="CS426" i="10"/>
  <c r="A427" i="10"/>
  <c r="F427" i="10"/>
  <c r="AD427" i="10"/>
  <c r="AH427" i="10"/>
  <c r="AI427" i="10"/>
  <c r="AJ427" i="10"/>
  <c r="BG427" i="10" s="1"/>
  <c r="BI427" i="10" a="1"/>
  <c r="BI427" i="10" s="1"/>
  <c r="BO427" i="10"/>
  <c r="BS427" i="10"/>
  <c r="BW427" i="10"/>
  <c r="CD427" i="10" a="1"/>
  <c r="CD427" i="10" s="1"/>
  <c r="CF427" i="10"/>
  <c r="CK427" i="10"/>
  <c r="CO427" i="10"/>
  <c r="F428" i="10"/>
  <c r="AD428" i="10"/>
  <c r="AH428" i="10"/>
  <c r="AI428" i="10"/>
  <c r="AJ428" i="10"/>
  <c r="AO428" i="10"/>
  <c r="BE428" i="10" a="1"/>
  <c r="BE428" i="10" s="1"/>
  <c r="BI428" i="10" a="1"/>
  <c r="BI428" i="10" s="1"/>
  <c r="BJ428" i="10"/>
  <c r="BO428" i="10"/>
  <c r="BW428" i="10"/>
  <c r="CD428" i="10" a="1"/>
  <c r="CD428" i="10" s="1"/>
  <c r="CK428" i="10"/>
  <c r="CO428" i="10"/>
  <c r="CS428" i="10"/>
  <c r="A429" i="10"/>
  <c r="F429" i="10"/>
  <c r="AD429" i="10"/>
  <c r="AH429" i="10"/>
  <c r="CO429" i="10" s="1"/>
  <c r="AI429" i="10"/>
  <c r="AJ429" i="10"/>
  <c r="AO429" i="10"/>
  <c r="BE429" i="10" a="1"/>
  <c r="BE429" i="10"/>
  <c r="BF429" i="10" s="1"/>
  <c r="BI429" i="10" a="1"/>
  <c r="BI429" i="10" s="1"/>
  <c r="BJ429" i="10"/>
  <c r="BO429" i="10"/>
  <c r="BS429" i="10"/>
  <c r="BW429" i="10"/>
  <c r="CD429" i="10" a="1"/>
  <c r="CD429" i="10" s="1"/>
  <c r="CF429" i="10"/>
  <c r="CK429" i="10"/>
  <c r="CS429" i="10"/>
  <c r="F430" i="10"/>
  <c r="AD430" i="10"/>
  <c r="AH430" i="10"/>
  <c r="AI430" i="10"/>
  <c r="AJ430" i="10"/>
  <c r="BE430" i="10" a="1"/>
  <c r="BE430" i="10" s="1"/>
  <c r="BH430" i="10"/>
  <c r="BI430" i="10" a="1"/>
  <c r="BI430" i="10"/>
  <c r="BO430" i="10"/>
  <c r="A431" i="10"/>
  <c r="F431" i="10"/>
  <c r="AD431" i="10"/>
  <c r="AH431" i="10"/>
  <c r="AI431" i="10"/>
  <c r="AJ431" i="10"/>
  <c r="BI431" i="10" a="1"/>
  <c r="BI431" i="10" s="1"/>
  <c r="BO431" i="10"/>
  <c r="BS431" i="10"/>
  <c r="BW431" i="10"/>
  <c r="CD431" i="10" a="1"/>
  <c r="CD431" i="10" s="1"/>
  <c r="CF431" i="10"/>
  <c r="CK431" i="10"/>
  <c r="CO431" i="10"/>
  <c r="F432" i="10"/>
  <c r="AD432" i="10"/>
  <c r="AH432" i="10"/>
  <c r="CO432" i="10" s="1"/>
  <c r="AI432" i="10"/>
  <c r="AJ432" i="10"/>
  <c r="BE432" i="10" a="1"/>
  <c r="BE432" i="10" s="1"/>
  <c r="BG432" i="10"/>
  <c r="BH432" i="10"/>
  <c r="BI432" i="10" a="1"/>
  <c r="BI432" i="10" s="1"/>
  <c r="BO432" i="10"/>
  <c r="CD432" i="10" a="1"/>
  <c r="CD432" i="10" s="1"/>
  <c r="CS432" i="10"/>
  <c r="F433" i="10"/>
  <c r="AD433" i="10"/>
  <c r="AH433" i="10"/>
  <c r="CO433" i="10" s="1"/>
  <c r="AI433" i="10"/>
  <c r="AJ433" i="10"/>
  <c r="BH433" i="10" s="1"/>
  <c r="BI433" i="10" a="1"/>
  <c r="BI433" i="10" s="1"/>
  <c r="BO433" i="10"/>
  <c r="CD433" i="10" a="1"/>
  <c r="CD433" i="10" s="1"/>
  <c r="CS433" i="10"/>
  <c r="F434" i="10"/>
  <c r="AD434" i="10"/>
  <c r="AH434" i="10"/>
  <c r="AI434" i="10"/>
  <c r="AJ434" i="10"/>
  <c r="BG434" i="10" s="1"/>
  <c r="BH434" i="10"/>
  <c r="BI434" i="10" a="1"/>
  <c r="BI434" i="10"/>
  <c r="BW434" i="10"/>
  <c r="F435" i="10"/>
  <c r="AD435" i="10"/>
  <c r="AH435" i="10"/>
  <c r="AI435" i="10"/>
  <c r="AJ435" i="10"/>
  <c r="BG435" i="10" s="1"/>
  <c r="BI435" i="10" a="1"/>
  <c r="BI435" i="10" s="1"/>
  <c r="A436" i="10"/>
  <c r="F436" i="10"/>
  <c r="AD436" i="10"/>
  <c r="AH436" i="10"/>
  <c r="CO436" i="10" s="1"/>
  <c r="AI436" i="10"/>
  <c r="AJ436" i="10"/>
  <c r="BG436" i="10" s="1"/>
  <c r="AO436" i="10"/>
  <c r="BH436" i="10"/>
  <c r="BI436" i="10" a="1"/>
  <c r="BI436" i="10" s="1"/>
  <c r="BJ436" i="10"/>
  <c r="BO436" i="10"/>
  <c r="BW436" i="10"/>
  <c r="CD436" i="10" a="1"/>
  <c r="CD436" i="10"/>
  <c r="CE436" i="10" s="1"/>
  <c r="CK436" i="10"/>
  <c r="CS436" i="10"/>
  <c r="A437" i="10"/>
  <c r="F437" i="10"/>
  <c r="AD437" i="10"/>
  <c r="AH437" i="10"/>
  <c r="CO437" i="10" s="1"/>
  <c r="AI437" i="10"/>
  <c r="AJ437" i="10"/>
  <c r="BG437" i="10" s="1"/>
  <c r="BE437" i="10" a="1"/>
  <c r="BE437" i="10"/>
  <c r="BH437" i="10"/>
  <c r="BI437" i="10" a="1"/>
  <c r="BI437" i="10"/>
  <c r="BJ437" i="10"/>
  <c r="BW437" i="10"/>
  <c r="CF437" i="10"/>
  <c r="CK437" i="10"/>
  <c r="A438" i="10"/>
  <c r="F438" i="10"/>
  <c r="AD438" i="10"/>
  <c r="AH438" i="10"/>
  <c r="AI438" i="10"/>
  <c r="AJ438" i="10"/>
  <c r="BH438" i="10" s="1"/>
  <c r="AO438" i="10"/>
  <c r="BE438" i="10" a="1"/>
  <c r="BE438" i="10" s="1"/>
  <c r="BG438" i="10"/>
  <c r="BI438" i="10" a="1"/>
  <c r="BI438" i="10"/>
  <c r="BJ438" i="10"/>
  <c r="BO438" i="10"/>
  <c r="BS438" i="10"/>
  <c r="BW438" i="10"/>
  <c r="CD438" i="10" a="1"/>
  <c r="CD438" i="10" s="1"/>
  <c r="CF438" i="10"/>
  <c r="CK438" i="10"/>
  <c r="CO438" i="10"/>
  <c r="CS438" i="10"/>
  <c r="A439" i="10"/>
  <c r="F439" i="10"/>
  <c r="AD439" i="10"/>
  <c r="AH439" i="10"/>
  <c r="AI439" i="10"/>
  <c r="AJ439" i="10"/>
  <c r="BG439" i="10" s="1"/>
  <c r="BE439" i="10" a="1"/>
  <c r="BE439" i="10" s="1"/>
  <c r="BH439" i="10"/>
  <c r="BI439" i="10" a="1"/>
  <c r="BI439" i="10"/>
  <c r="BO439" i="10"/>
  <c r="BS439" i="10"/>
  <c r="BW439" i="10"/>
  <c r="CD439" i="10" a="1"/>
  <c r="CD439" i="10" s="1"/>
  <c r="CE439" i="10"/>
  <c r="CF439" i="10"/>
  <c r="CO439" i="10"/>
  <c r="CP439" i="10" s="1"/>
  <c r="CQ439" i="10" s="1"/>
  <c r="CS439" i="10"/>
  <c r="A440" i="10"/>
  <c r="F440" i="10"/>
  <c r="AD440" i="10"/>
  <c r="AH440" i="10"/>
  <c r="AI440" i="10"/>
  <c r="AJ440" i="10"/>
  <c r="AO440" i="10"/>
  <c r="BE440" i="10" a="1"/>
  <c r="BE440" i="10" s="1"/>
  <c r="BF440" i="10" s="1"/>
  <c r="BI440" i="10" a="1"/>
  <c r="BI440" i="10"/>
  <c r="BJ440" i="10"/>
  <c r="BO440" i="10"/>
  <c r="BS440" i="10"/>
  <c r="BW440" i="10"/>
  <c r="CD440" i="10" a="1"/>
  <c r="CD440" i="10"/>
  <c r="CF440" i="10"/>
  <c r="CK440" i="10"/>
  <c r="CO440" i="10"/>
  <c r="CS440" i="10"/>
  <c r="F441" i="10"/>
  <c r="AD441" i="10"/>
  <c r="AH441" i="10"/>
  <c r="BW441" i="10" s="1"/>
  <c r="AI441" i="10"/>
  <c r="AJ441" i="10"/>
  <c r="BG441" i="10"/>
  <c r="BH441" i="10"/>
  <c r="BI441" i="10" a="1"/>
  <c r="BI441" i="10" s="1"/>
  <c r="BO441" i="10"/>
  <c r="BS441" i="10"/>
  <c r="CF441" i="10"/>
  <c r="CO441" i="10"/>
  <c r="A442" i="10"/>
  <c r="F442" i="10"/>
  <c r="AD442" i="10"/>
  <c r="AH442" i="10"/>
  <c r="BS442" i="10" s="1"/>
  <c r="AI442" i="10"/>
  <c r="AJ442" i="10"/>
  <c r="BH442" i="10" s="1"/>
  <c r="AO442" i="10"/>
  <c r="BE442" i="10" a="1"/>
  <c r="BE442" i="10" s="1"/>
  <c r="BG442" i="10"/>
  <c r="BI442" i="10" a="1"/>
  <c r="BI442" i="10" s="1"/>
  <c r="BJ442" i="10"/>
  <c r="BO442" i="10"/>
  <c r="BW442" i="10"/>
  <c r="CD442" i="10" a="1"/>
  <c r="CD442" i="10"/>
  <c r="CE442" i="10" s="1"/>
  <c r="CF442" i="10"/>
  <c r="CK442" i="10"/>
  <c r="CO442" i="10"/>
  <c r="CP442" i="10" s="1"/>
  <c r="CQ442" i="10" s="1"/>
  <c r="CS442" i="10"/>
  <c r="CT442" i="10" s="1"/>
  <c r="F443" i="10"/>
  <c r="AD443" i="10"/>
  <c r="AH443" i="10"/>
  <c r="A443" i="10" s="1"/>
  <c r="AI443" i="10"/>
  <c r="AJ443" i="10"/>
  <c r="BG443" i="10" s="1"/>
  <c r="AO443" i="10"/>
  <c r="BE443" i="10" a="1"/>
  <c r="BE443" i="10"/>
  <c r="BH443" i="10"/>
  <c r="BI443" i="10" a="1"/>
  <c r="BI443" i="10" s="1"/>
  <c r="BJ443" i="10"/>
  <c r="BO443" i="10"/>
  <c r="BS443" i="10"/>
  <c r="CF443" i="10"/>
  <c r="CS443" i="10"/>
  <c r="A444" i="10"/>
  <c r="F444" i="10"/>
  <c r="AD444" i="10"/>
  <c r="AH444" i="10"/>
  <c r="BE444" i="10" s="1" a="1"/>
  <c r="BE444" i="10" s="1"/>
  <c r="AI444" i="10"/>
  <c r="AJ444" i="10"/>
  <c r="BH444" i="10" s="1"/>
  <c r="AO444" i="10"/>
  <c r="BG444" i="10"/>
  <c r="BI444" i="10" a="1"/>
  <c r="BI444" i="10"/>
  <c r="BJ444" i="10"/>
  <c r="BO444" i="10"/>
  <c r="BS444" i="10"/>
  <c r="BW444" i="10"/>
  <c r="CD444" i="10" a="1"/>
  <c r="CD444" i="10"/>
  <c r="CF444" i="10"/>
  <c r="CK444" i="10"/>
  <c r="CO444" i="10"/>
  <c r="F445" i="10"/>
  <c r="AD445" i="10"/>
  <c r="AH445" i="10"/>
  <c r="BW445" i="10" s="1"/>
  <c r="AI445" i="10"/>
  <c r="AJ445" i="10"/>
  <c r="BG445" i="10"/>
  <c r="BH445" i="10"/>
  <c r="BI445" i="10" a="1"/>
  <c r="BI445" i="10" s="1"/>
  <c r="BO445" i="10"/>
  <c r="BS445" i="10"/>
  <c r="CF445" i="10"/>
  <c r="CO445" i="10"/>
  <c r="A446" i="10"/>
  <c r="F446" i="10"/>
  <c r="AD446" i="10"/>
  <c r="AH446" i="10"/>
  <c r="BS446" i="10" s="1"/>
  <c r="AI446" i="10"/>
  <c r="AJ446" i="10"/>
  <c r="BH446" i="10" s="1"/>
  <c r="AO446" i="10"/>
  <c r="BE446" i="10" a="1"/>
  <c r="BE446" i="10" s="1"/>
  <c r="BG446" i="10"/>
  <c r="BI446" i="10" a="1"/>
  <c r="BI446" i="10" s="1"/>
  <c r="BJ446" i="10"/>
  <c r="BO446" i="10"/>
  <c r="BW446" i="10"/>
  <c r="CD446" i="10" a="1"/>
  <c r="CD446" i="10"/>
  <c r="CE446" i="10" s="1"/>
  <c r="CF446" i="10"/>
  <c r="CK446" i="10"/>
  <c r="CO446" i="10"/>
  <c r="CS446" i="10"/>
  <c r="F447" i="10"/>
  <c r="AD447" i="10"/>
  <c r="AH447" i="10"/>
  <c r="A447" i="10" s="1"/>
  <c r="AI447" i="10"/>
  <c r="AJ447" i="10"/>
  <c r="BG447" i="10" s="1"/>
  <c r="AO447" i="10"/>
  <c r="BE447" i="10" a="1"/>
  <c r="BE447" i="10"/>
  <c r="BH447" i="10"/>
  <c r="BI447" i="10" a="1"/>
  <c r="BI447" i="10" s="1"/>
  <c r="BJ447" i="10"/>
  <c r="BO447" i="10"/>
  <c r="BS447" i="10"/>
  <c r="CF447" i="10"/>
  <c r="CS447" i="10"/>
  <c r="A448" i="10"/>
  <c r="F448" i="10"/>
  <c r="AD448" i="10"/>
  <c r="AH448" i="10"/>
  <c r="BE448" i="10" s="1" a="1"/>
  <c r="BE448" i="10" s="1"/>
  <c r="AI448" i="10"/>
  <c r="AJ448" i="10"/>
  <c r="BH448" i="10" s="1"/>
  <c r="AO448" i="10"/>
  <c r="BG448" i="10"/>
  <c r="BI448" i="10" a="1"/>
  <c r="BI448" i="10"/>
  <c r="BJ448" i="10"/>
  <c r="BO448" i="10"/>
  <c r="BS448" i="10"/>
  <c r="BW448" i="10"/>
  <c r="CD448" i="10" a="1"/>
  <c r="CD448" i="10"/>
  <c r="CF448" i="10"/>
  <c r="CK448" i="10"/>
  <c r="CO448" i="10"/>
  <c r="F449" i="10"/>
  <c r="AD449" i="10"/>
  <c r="AH449" i="10"/>
  <c r="BW449" i="10" s="1"/>
  <c r="AI449" i="10"/>
  <c r="AJ449" i="10"/>
  <c r="BG449" i="10"/>
  <c r="BH449" i="10"/>
  <c r="BI449" i="10" a="1"/>
  <c r="BI449" i="10" s="1"/>
  <c r="BO449" i="10"/>
  <c r="BS449" i="10"/>
  <c r="CF449" i="10"/>
  <c r="CO449" i="10"/>
  <c r="A450" i="10"/>
  <c r="F450" i="10"/>
  <c r="AD450" i="10"/>
  <c r="AH450" i="10"/>
  <c r="BS450" i="10" s="1"/>
  <c r="AI450" i="10"/>
  <c r="AJ450" i="10"/>
  <c r="BH450" i="10" s="1"/>
  <c r="AO450" i="10"/>
  <c r="BE450" i="10" a="1"/>
  <c r="BE450" i="10" s="1"/>
  <c r="BG450" i="10"/>
  <c r="BI450" i="10" a="1"/>
  <c r="BI450" i="10" s="1"/>
  <c r="BJ450" i="10"/>
  <c r="BO450" i="10"/>
  <c r="BW450" i="10"/>
  <c r="CD450" i="10" a="1"/>
  <c r="CD450" i="10"/>
  <c r="CF450" i="10"/>
  <c r="CK450" i="10"/>
  <c r="CO450" i="10"/>
  <c r="CS450" i="10"/>
  <c r="F451" i="10"/>
  <c r="AD451" i="10"/>
  <c r="AH451" i="10"/>
  <c r="A451" i="10" s="1"/>
  <c r="AI451" i="10"/>
  <c r="AJ451" i="10"/>
  <c r="BG451" i="10" s="1"/>
  <c r="AO451" i="10"/>
  <c r="BE451" i="10" a="1"/>
  <c r="BE451" i="10"/>
  <c r="BH451" i="10"/>
  <c r="BI451" i="10" a="1"/>
  <c r="BI451" i="10" s="1"/>
  <c r="BJ451" i="10"/>
  <c r="BO451" i="10"/>
  <c r="BS451" i="10"/>
  <c r="CF451" i="10"/>
  <c r="CS451" i="10"/>
  <c r="A452" i="10"/>
  <c r="F452" i="10"/>
  <c r="AD452" i="10"/>
  <c r="AH452" i="10"/>
  <c r="BE452" i="10" s="1" a="1"/>
  <c r="AI452" i="10"/>
  <c r="AJ452" i="10"/>
  <c r="BH452" i="10" s="1"/>
  <c r="AO452" i="10"/>
  <c r="BE452" i="10"/>
  <c r="BG452" i="10"/>
  <c r="BI452" i="10" a="1"/>
  <c r="BI452" i="10"/>
  <c r="BJ452" i="10"/>
  <c r="BO452" i="10"/>
  <c r="BS452" i="10"/>
  <c r="BW452" i="10"/>
  <c r="CD452" i="10" a="1"/>
  <c r="CD452" i="10"/>
  <c r="CF452" i="10"/>
  <c r="CK452" i="10"/>
  <c r="CO452" i="10"/>
  <c r="F453" i="10"/>
  <c r="AD453" i="10"/>
  <c r="AH453" i="10"/>
  <c r="BW453" i="10" s="1"/>
  <c r="AI453" i="10"/>
  <c r="AJ453" i="10"/>
  <c r="BG453" i="10"/>
  <c r="BH453" i="10"/>
  <c r="BI453" i="10" a="1"/>
  <c r="BI453" i="10" s="1"/>
  <c r="BO453" i="10"/>
  <c r="BS453" i="10"/>
  <c r="CF453" i="10"/>
  <c r="CO453" i="10"/>
  <c r="A454" i="10"/>
  <c r="F454" i="10"/>
  <c r="AD454" i="10"/>
  <c r="AH454" i="10"/>
  <c r="BS454" i="10" s="1"/>
  <c r="AI454" i="10"/>
  <c r="AJ454" i="10"/>
  <c r="BH454" i="10" s="1"/>
  <c r="AO454" i="10"/>
  <c r="BE454" i="10" a="1"/>
  <c r="BE454" i="10" s="1"/>
  <c r="BG454" i="10"/>
  <c r="BI454" i="10" a="1"/>
  <c r="BI454" i="10" s="1"/>
  <c r="BJ454" i="10"/>
  <c r="BO454" i="10"/>
  <c r="BW454" i="10"/>
  <c r="CD454" i="10" a="1"/>
  <c r="CD454" i="10"/>
  <c r="CF454" i="10"/>
  <c r="CK454" i="10"/>
  <c r="CO454" i="10"/>
  <c r="CS454" i="10"/>
  <c r="F455" i="10"/>
  <c r="AD455" i="10"/>
  <c r="AH455" i="10"/>
  <c r="A455" i="10" s="1"/>
  <c r="AI455" i="10"/>
  <c r="AJ455" i="10"/>
  <c r="BG455" i="10" s="1"/>
  <c r="AO455" i="10"/>
  <c r="BE455" i="10" a="1"/>
  <c r="BE455" i="10"/>
  <c r="BH455" i="10"/>
  <c r="BI455" i="10" a="1"/>
  <c r="BI455" i="10" s="1"/>
  <c r="BJ455" i="10"/>
  <c r="BO455" i="10"/>
  <c r="BS455" i="10"/>
  <c r="CF455" i="10"/>
  <c r="CS455" i="10"/>
  <c r="A456" i="10"/>
  <c r="F456" i="10"/>
  <c r="AD456" i="10"/>
  <c r="AH456" i="10"/>
  <c r="BE456" i="10" s="1" a="1"/>
  <c r="BE456" i="10" s="1"/>
  <c r="AI456" i="10"/>
  <c r="AJ456" i="10"/>
  <c r="BH456" i="10" s="1"/>
  <c r="AO456" i="10"/>
  <c r="BG456" i="10"/>
  <c r="BI456" i="10" a="1"/>
  <c r="BI456" i="10"/>
  <c r="BJ456" i="10"/>
  <c r="BO456" i="10"/>
  <c r="BS456" i="10"/>
  <c r="BW456" i="10"/>
  <c r="CD456" i="10" a="1"/>
  <c r="CD456" i="10"/>
  <c r="CF456" i="10"/>
  <c r="CK456" i="10"/>
  <c r="CO456" i="10"/>
  <c r="F457" i="10"/>
  <c r="AD457" i="10"/>
  <c r="AH457" i="10"/>
  <c r="CS457" i="10" s="1"/>
  <c r="AI457" i="10"/>
  <c r="AJ457" i="10"/>
  <c r="BG457" i="10"/>
  <c r="BH457" i="10"/>
  <c r="BI457" i="10" a="1"/>
  <c r="BI457" i="10" s="1"/>
  <c r="CF457" i="10"/>
  <c r="A458" i="10"/>
  <c r="F458" i="10"/>
  <c r="AD458" i="10"/>
  <c r="AH458" i="10"/>
  <c r="BS458" i="10" s="1"/>
  <c r="AI458" i="10"/>
  <c r="AJ458" i="10"/>
  <c r="BH458" i="10" s="1"/>
  <c r="AO458" i="10"/>
  <c r="BE458" i="10" a="1"/>
  <c r="BE458" i="10" s="1"/>
  <c r="BF458" i="10"/>
  <c r="BI458" i="10" a="1"/>
  <c r="BI458" i="10" s="1"/>
  <c r="BJ458" i="10"/>
  <c r="BO458" i="10"/>
  <c r="BW458" i="10"/>
  <c r="CD458" i="10" a="1"/>
  <c r="CD458" i="10"/>
  <c r="CF458" i="10"/>
  <c r="CK458" i="10"/>
  <c r="CO458" i="10"/>
  <c r="CS458" i="10"/>
  <c r="F459" i="10"/>
  <c r="AD459" i="10"/>
  <c r="AH459" i="10"/>
  <c r="CF459" i="10" s="1"/>
  <c r="AI459" i="10"/>
  <c r="AJ459" i="10"/>
  <c r="BH459" i="10"/>
  <c r="BI459" i="10" a="1"/>
  <c r="BI459" i="10" s="1"/>
  <c r="BJ459" i="10"/>
  <c r="A460" i="10"/>
  <c r="F460" i="10"/>
  <c r="AD460" i="10"/>
  <c r="AH460" i="10"/>
  <c r="BE460" i="10" s="1" a="1"/>
  <c r="BE460" i="10" s="1"/>
  <c r="AI460" i="10"/>
  <c r="AJ460" i="10"/>
  <c r="BH460" i="10" s="1"/>
  <c r="AO460" i="10"/>
  <c r="BG460" i="10"/>
  <c r="BI460" i="10" a="1"/>
  <c r="BI460" i="10"/>
  <c r="BJ460" i="10"/>
  <c r="BO460" i="10"/>
  <c r="BS460" i="10"/>
  <c r="BW460" i="10"/>
  <c r="CD460" i="10" a="1"/>
  <c r="CD460" i="10"/>
  <c r="CF460" i="10"/>
  <c r="CK460" i="10"/>
  <c r="CO460" i="10"/>
  <c r="F461" i="10"/>
  <c r="AD461" i="10"/>
  <c r="AH461" i="10"/>
  <c r="CS461" i="10" s="1"/>
  <c r="AI461" i="10"/>
  <c r="AJ461" i="10"/>
  <c r="BG461" i="10"/>
  <c r="BH461" i="10"/>
  <c r="BI461" i="10" a="1"/>
  <c r="BI461" i="10" s="1"/>
  <c r="CF461" i="10"/>
  <c r="A462" i="10"/>
  <c r="F462" i="10"/>
  <c r="AD462" i="10"/>
  <c r="AH462" i="10"/>
  <c r="BS462" i="10" s="1"/>
  <c r="AI462" i="10"/>
  <c r="AJ462" i="10"/>
  <c r="BH462" i="10" s="1"/>
  <c r="AO462" i="10"/>
  <c r="BE462" i="10" a="1"/>
  <c r="BE462" i="10" s="1"/>
  <c r="BF462" i="10"/>
  <c r="BI462" i="10" a="1"/>
  <c r="BI462" i="10" s="1"/>
  <c r="BJ462" i="10"/>
  <c r="BO462" i="10"/>
  <c r="BW462" i="10"/>
  <c r="CD462" i="10" a="1"/>
  <c r="CD462" i="10"/>
  <c r="CF462" i="10"/>
  <c r="CK462" i="10"/>
  <c r="CO462" i="10"/>
  <c r="CS462" i="10"/>
  <c r="F463" i="10"/>
  <c r="AD463" i="10"/>
  <c r="AH463" i="10"/>
  <c r="BJ463" i="10" s="1"/>
  <c r="AI463" i="10"/>
  <c r="AJ463" i="10"/>
  <c r="BE463" i="10" a="1"/>
  <c r="BE463" i="10" s="1"/>
  <c r="BH463" i="10"/>
  <c r="BI463" i="10" a="1"/>
  <c r="BI463" i="10" s="1"/>
  <c r="CS463" i="10"/>
  <c r="F464" i="10"/>
  <c r="AD464" i="10"/>
  <c r="AH464" i="10"/>
  <c r="BJ464" i="10" s="1"/>
  <c r="AI464" i="10"/>
  <c r="AJ464" i="10"/>
  <c r="BH464" i="10" s="1"/>
  <c r="BG464" i="10"/>
  <c r="BI464" i="10" a="1"/>
  <c r="BI464" i="10"/>
  <c r="BO464" i="10"/>
  <c r="BS464" i="10"/>
  <c r="CK464" i="10"/>
  <c r="F465" i="10"/>
  <c r="AD465" i="10"/>
  <c r="AH465" i="10"/>
  <c r="CD465" i="10" s="1" a="1"/>
  <c r="CD465" i="10" s="1"/>
  <c r="AI465" i="10"/>
  <c r="AJ465" i="10"/>
  <c r="BG465" i="10" s="1"/>
  <c r="BH465" i="10"/>
  <c r="BI465" i="10" a="1"/>
  <c r="BI465" i="10"/>
  <c r="BS465" i="10"/>
  <c r="CK465" i="10"/>
  <c r="A466" i="10"/>
  <c r="F466" i="10"/>
  <c r="AD466" i="10"/>
  <c r="AH466" i="10"/>
  <c r="BS466" i="10" s="1"/>
  <c r="AI466" i="10"/>
  <c r="AJ466" i="10"/>
  <c r="BH466" i="10" s="1"/>
  <c r="AO466" i="10"/>
  <c r="BE466" i="10" a="1"/>
  <c r="BE466" i="10" s="1"/>
  <c r="BF466" i="10" s="1"/>
  <c r="BI466" i="10" a="1"/>
  <c r="BI466" i="10"/>
  <c r="BJ466" i="10"/>
  <c r="BO466" i="10"/>
  <c r="BW466" i="10"/>
  <c r="CD466" i="10" a="1"/>
  <c r="CD466" i="10" s="1"/>
  <c r="CF466" i="10"/>
  <c r="CK466" i="10"/>
  <c r="CO466" i="10"/>
  <c r="CS466" i="10"/>
  <c r="A467" i="10"/>
  <c r="F467" i="10"/>
  <c r="AD467" i="10"/>
  <c r="AH467" i="10"/>
  <c r="AI467" i="10"/>
  <c r="AJ467" i="10"/>
  <c r="BH467" i="10"/>
  <c r="BI467" i="10" a="1"/>
  <c r="BI467" i="10"/>
  <c r="A468" i="10"/>
  <c r="F468" i="10"/>
  <c r="AD468" i="10"/>
  <c r="AH468" i="10"/>
  <c r="CO468" i="10" s="1"/>
  <c r="AI468" i="10"/>
  <c r="AJ468" i="10"/>
  <c r="AO468" i="10"/>
  <c r="BE468" i="10" a="1"/>
  <c r="BE468" i="10"/>
  <c r="BI468" i="10" a="1"/>
  <c r="BI468" i="10"/>
  <c r="BJ468" i="10"/>
  <c r="BO468" i="10"/>
  <c r="BS468" i="10"/>
  <c r="BW468" i="10"/>
  <c r="CD468" i="10" a="1"/>
  <c r="CD468" i="10" s="1"/>
  <c r="CF468" i="10"/>
  <c r="CK468" i="10"/>
  <c r="CS468" i="10"/>
  <c r="A469" i="10"/>
  <c r="F469" i="10"/>
  <c r="AD469" i="10"/>
  <c r="AH469" i="10"/>
  <c r="BW469" i="10" s="1"/>
  <c r="AI469" i="10"/>
  <c r="AJ469" i="10"/>
  <c r="BE469" i="10" a="1"/>
  <c r="BE469" i="10" s="1"/>
  <c r="BG469" i="10"/>
  <c r="BH469" i="10"/>
  <c r="BI469" i="10" a="1"/>
  <c r="BI469" i="10"/>
  <c r="BO469" i="10"/>
  <c r="CO469" i="10"/>
  <c r="CS469" i="10"/>
  <c r="A470" i="10"/>
  <c r="F470" i="10"/>
  <c r="AD470" i="10"/>
  <c r="AH470" i="10"/>
  <c r="BW470" i="10" s="1"/>
  <c r="AI470" i="10"/>
  <c r="AJ470" i="10"/>
  <c r="BG470" i="10" s="1"/>
  <c r="BH470" i="10"/>
  <c r="BI470" i="10" a="1"/>
  <c r="BI470" i="10" s="1"/>
  <c r="BO470" i="10"/>
  <c r="F471" i="10"/>
  <c r="AD471" i="10"/>
  <c r="AH471" i="10"/>
  <c r="AI471" i="10"/>
  <c r="AJ471" i="10"/>
  <c r="BH471" i="10"/>
  <c r="BI471" i="10" a="1"/>
  <c r="BI471" i="10"/>
  <c r="A472" i="10"/>
  <c r="F472" i="10"/>
  <c r="AD472" i="10"/>
  <c r="AH472" i="10"/>
  <c r="CO472" i="10" s="1"/>
  <c r="AI472" i="10"/>
  <c r="AJ472" i="10"/>
  <c r="AO472" i="10"/>
  <c r="BE472" i="10" a="1"/>
  <c r="BE472" i="10"/>
  <c r="BI472" i="10" a="1"/>
  <c r="BI472" i="10"/>
  <c r="BJ472" i="10"/>
  <c r="BO472" i="10"/>
  <c r="BS472" i="10"/>
  <c r="BW472" i="10"/>
  <c r="CD472" i="10" a="1"/>
  <c r="CD472" i="10" s="1"/>
  <c r="CF472" i="10"/>
  <c r="CK472" i="10"/>
  <c r="CS472" i="10"/>
  <c r="A473" i="10"/>
  <c r="F473" i="10"/>
  <c r="AD473" i="10"/>
  <c r="AH473" i="10"/>
  <c r="BW473" i="10" s="1"/>
  <c r="AI473" i="10"/>
  <c r="AJ473" i="10"/>
  <c r="BE473" i="10" a="1"/>
  <c r="BE473" i="10" s="1"/>
  <c r="BG473" i="10"/>
  <c r="BH473" i="10"/>
  <c r="BI473" i="10" a="1"/>
  <c r="BI473" i="10"/>
  <c r="BO473" i="10"/>
  <c r="CO473" i="10"/>
  <c r="CS473" i="10"/>
  <c r="A474" i="10"/>
  <c r="F474" i="10"/>
  <c r="AD474" i="10"/>
  <c r="AH474" i="10"/>
  <c r="BW474" i="10" s="1"/>
  <c r="AI474" i="10"/>
  <c r="AJ474" i="10"/>
  <c r="BG474" i="10" s="1"/>
  <c r="BH474" i="10"/>
  <c r="BI474" i="10" a="1"/>
  <c r="BI474" i="10" s="1"/>
  <c r="BO474" i="10"/>
  <c r="F475" i="10"/>
  <c r="AD475" i="10"/>
  <c r="AH475" i="10"/>
  <c r="AI475" i="10"/>
  <c r="AJ475" i="10"/>
  <c r="BG475" i="10" s="1"/>
  <c r="BH475" i="10"/>
  <c r="BI475" i="10" a="1"/>
  <c r="BI475" i="10"/>
  <c r="A476" i="10"/>
  <c r="F476" i="10"/>
  <c r="AD476" i="10"/>
  <c r="AH476" i="10"/>
  <c r="CO476" i="10" s="1"/>
  <c r="AI476" i="10"/>
  <c r="AJ476" i="10"/>
  <c r="AO476" i="10"/>
  <c r="BE476" i="10" a="1"/>
  <c r="BE476" i="10"/>
  <c r="BI476" i="10" a="1"/>
  <c r="BI476" i="10"/>
  <c r="BJ476" i="10"/>
  <c r="BO476" i="10"/>
  <c r="BS476" i="10"/>
  <c r="BW476" i="10"/>
  <c r="CD476" i="10" a="1"/>
  <c r="CD476" i="10" s="1"/>
  <c r="CF476" i="10"/>
  <c r="CK476" i="10"/>
  <c r="CS476" i="10"/>
  <c r="A477" i="10"/>
  <c r="F477" i="10"/>
  <c r="AD477" i="10"/>
  <c r="AH477" i="10"/>
  <c r="BW477" i="10" s="1"/>
  <c r="AI477" i="10"/>
  <c r="AJ477" i="10"/>
  <c r="BE477" i="10" a="1"/>
  <c r="BE477" i="10" s="1"/>
  <c r="BG477" i="10"/>
  <c r="BH477" i="10"/>
  <c r="BI477" i="10" a="1"/>
  <c r="BI477" i="10"/>
  <c r="BO477" i="10"/>
  <c r="CO477" i="10"/>
  <c r="CS477" i="10"/>
  <c r="A478" i="10"/>
  <c r="F478" i="10"/>
  <c r="AD478" i="10"/>
  <c r="AH478" i="10"/>
  <c r="BW478" i="10" s="1"/>
  <c r="AI478" i="10"/>
  <c r="AJ478" i="10"/>
  <c r="BG478" i="10" s="1"/>
  <c r="BH478" i="10"/>
  <c r="BI478" i="10" a="1"/>
  <c r="BI478" i="10" s="1"/>
  <c r="BO478" i="10"/>
  <c r="F479" i="10"/>
  <c r="AD479" i="10"/>
  <c r="AH479" i="10"/>
  <c r="AI479" i="10"/>
  <c r="AJ479" i="10"/>
  <c r="BH479" i="10"/>
  <c r="BI479" i="10" a="1"/>
  <c r="BI479" i="10"/>
  <c r="BO479" i="10"/>
  <c r="A480" i="10"/>
  <c r="F480" i="10"/>
  <c r="AD480" i="10"/>
  <c r="AH480" i="10"/>
  <c r="CO480" i="10" s="1"/>
  <c r="AI480" i="10"/>
  <c r="AJ480" i="10"/>
  <c r="AO480" i="10"/>
  <c r="BE480" i="10" a="1"/>
  <c r="BE480" i="10"/>
  <c r="BI480" i="10" a="1"/>
  <c r="BI480" i="10"/>
  <c r="BJ480" i="10"/>
  <c r="BO480" i="10"/>
  <c r="BS480" i="10"/>
  <c r="BW480" i="10"/>
  <c r="CD480" i="10" a="1"/>
  <c r="CD480" i="10" s="1"/>
  <c r="CF480" i="10"/>
  <c r="CK480" i="10"/>
  <c r="CS480" i="10"/>
  <c r="A481" i="10"/>
  <c r="F481" i="10"/>
  <c r="AD481" i="10"/>
  <c r="AH481" i="10"/>
  <c r="BW481" i="10" s="1"/>
  <c r="AI481" i="10"/>
  <c r="AJ481" i="10"/>
  <c r="BE481" i="10" a="1"/>
  <c r="BE481" i="10" s="1"/>
  <c r="BG481" i="10"/>
  <c r="BH481" i="10"/>
  <c r="BI481" i="10" a="1"/>
  <c r="BI481" i="10"/>
  <c r="BO481" i="10"/>
  <c r="CO481" i="10"/>
  <c r="CS481" i="10"/>
  <c r="A482" i="10"/>
  <c r="F482" i="10"/>
  <c r="AD482" i="10"/>
  <c r="AH482" i="10"/>
  <c r="BW482" i="10" s="1"/>
  <c r="AI482" i="10"/>
  <c r="AJ482" i="10"/>
  <c r="BG482" i="10" s="1"/>
  <c r="BH482" i="10"/>
  <c r="BI482" i="10" a="1"/>
  <c r="BI482" i="10" s="1"/>
  <c r="BO482" i="10"/>
  <c r="F483" i="10"/>
  <c r="AD483" i="10"/>
  <c r="AH483" i="10"/>
  <c r="AI483" i="10"/>
  <c r="AJ483" i="10"/>
  <c r="BH483" i="10"/>
  <c r="BI483" i="10" a="1"/>
  <c r="BI483" i="10"/>
  <c r="A484" i="10"/>
  <c r="F484" i="10"/>
  <c r="AD484" i="10"/>
  <c r="AH484" i="10"/>
  <c r="AI484" i="10"/>
  <c r="AJ484" i="10"/>
  <c r="AO484" i="10"/>
  <c r="BE484" i="10" a="1"/>
  <c r="BE484" i="10"/>
  <c r="BI484" i="10" a="1"/>
  <c r="BI484" i="10"/>
  <c r="BJ484" i="10"/>
  <c r="BO484" i="10"/>
  <c r="BS484" i="10"/>
  <c r="BW484" i="10"/>
  <c r="CD484" i="10" a="1"/>
  <c r="CD484" i="10" s="1"/>
  <c r="CF484" i="10"/>
  <c r="CK484" i="10"/>
  <c r="CO484" i="10"/>
  <c r="CS484" i="10"/>
  <c r="A485" i="10"/>
  <c r="F485" i="10"/>
  <c r="AD485" i="10"/>
  <c r="AH485" i="10"/>
  <c r="BW485" i="10" s="1"/>
  <c r="AI485" i="10"/>
  <c r="AJ485" i="10"/>
  <c r="BE485" i="10" a="1"/>
  <c r="BE485" i="10" s="1"/>
  <c r="BG485" i="10"/>
  <c r="BH485" i="10"/>
  <c r="BI485" i="10" a="1"/>
  <c r="BI485" i="10"/>
  <c r="BO485" i="10"/>
  <c r="CO485" i="10"/>
  <c r="CS485" i="10"/>
  <c r="A486" i="10"/>
  <c r="F486" i="10"/>
  <c r="AD486" i="10"/>
  <c r="AH486" i="10"/>
  <c r="BW486" i="10" s="1"/>
  <c r="AI486" i="10"/>
  <c r="AJ486" i="10"/>
  <c r="BG486" i="10" s="1"/>
  <c r="BH486" i="10"/>
  <c r="BI486" i="10" a="1"/>
  <c r="BI486" i="10" s="1"/>
  <c r="BO486" i="10"/>
  <c r="F487" i="10"/>
  <c r="AD487" i="10"/>
  <c r="AH487" i="10"/>
  <c r="AI487" i="10"/>
  <c r="AJ487" i="10"/>
  <c r="BG487" i="10" s="1"/>
  <c r="BH487" i="10"/>
  <c r="BI487" i="10" a="1"/>
  <c r="BI487" i="10"/>
  <c r="A488" i="10"/>
  <c r="F488" i="10"/>
  <c r="AD488" i="10"/>
  <c r="AH488" i="10"/>
  <c r="AI488" i="10"/>
  <c r="AJ488" i="10"/>
  <c r="AO488" i="10"/>
  <c r="BE488" i="10" a="1"/>
  <c r="BE488" i="10"/>
  <c r="BI488" i="10" a="1"/>
  <c r="BI488" i="10"/>
  <c r="BJ488" i="10"/>
  <c r="BO488" i="10"/>
  <c r="BS488" i="10"/>
  <c r="BW488" i="10"/>
  <c r="CD488" i="10" a="1"/>
  <c r="CD488" i="10" s="1"/>
  <c r="CF488" i="10"/>
  <c r="CK488" i="10"/>
  <c r="CO488" i="10"/>
  <c r="CS488" i="10"/>
  <c r="A489" i="10"/>
  <c r="F489" i="10"/>
  <c r="AD489" i="10"/>
  <c r="AH489" i="10"/>
  <c r="BW489" i="10" s="1"/>
  <c r="AI489" i="10"/>
  <c r="AJ489" i="10"/>
  <c r="BE489" i="10" a="1"/>
  <c r="BE489" i="10" s="1"/>
  <c r="BG489" i="10"/>
  <c r="BH489" i="10"/>
  <c r="BI489" i="10" a="1"/>
  <c r="BI489" i="10"/>
  <c r="BO489" i="10"/>
  <c r="CO489" i="10"/>
  <c r="CS489" i="10"/>
  <c r="A490" i="10"/>
  <c r="F490" i="10"/>
  <c r="AD490" i="10"/>
  <c r="AH490" i="10"/>
  <c r="BW490" i="10" s="1"/>
  <c r="AI490" i="10"/>
  <c r="AJ490" i="10"/>
  <c r="BG490" i="10" s="1"/>
  <c r="BH490" i="10"/>
  <c r="BI490" i="10" a="1"/>
  <c r="BI490" i="10" s="1"/>
  <c r="BO490" i="10"/>
  <c r="F491" i="10"/>
  <c r="AD491" i="10"/>
  <c r="AH491" i="10"/>
  <c r="AI491" i="10"/>
  <c r="AJ491" i="10"/>
  <c r="BG491" i="10" s="1"/>
  <c r="BH491" i="10"/>
  <c r="BI491" i="10" a="1"/>
  <c r="BI491" i="10"/>
  <c r="A492" i="10"/>
  <c r="F492" i="10"/>
  <c r="AD492" i="10"/>
  <c r="AH492" i="10"/>
  <c r="AI492" i="10"/>
  <c r="AJ492" i="10"/>
  <c r="AO492" i="10"/>
  <c r="BE492" i="10" a="1"/>
  <c r="BE492" i="10"/>
  <c r="BI492" i="10" a="1"/>
  <c r="BI492" i="10"/>
  <c r="BJ492" i="10"/>
  <c r="BO492" i="10"/>
  <c r="BS492" i="10"/>
  <c r="BW492" i="10"/>
  <c r="CD492" i="10" a="1"/>
  <c r="CD492" i="10" s="1"/>
  <c r="CF492" i="10"/>
  <c r="CK492" i="10"/>
  <c r="CO492" i="10"/>
  <c r="CS492" i="10"/>
  <c r="A493" i="10"/>
  <c r="F493" i="10"/>
  <c r="AD493" i="10"/>
  <c r="AH493" i="10"/>
  <c r="BW493" i="10" s="1"/>
  <c r="AI493" i="10"/>
  <c r="AJ493" i="10"/>
  <c r="BE493" i="10" a="1"/>
  <c r="BE493" i="10" s="1"/>
  <c r="BG493" i="10"/>
  <c r="BH493" i="10"/>
  <c r="BI493" i="10" a="1"/>
  <c r="BI493" i="10"/>
  <c r="BO493" i="10"/>
  <c r="CO493" i="10"/>
  <c r="CS493" i="10"/>
  <c r="A494" i="10"/>
  <c r="F494" i="10"/>
  <c r="AD494" i="10"/>
  <c r="AH494" i="10"/>
  <c r="BW494" i="10" s="1"/>
  <c r="AI494" i="10"/>
  <c r="AJ494" i="10"/>
  <c r="BG494" i="10" s="1"/>
  <c r="BH494" i="10"/>
  <c r="BI494" i="10" a="1"/>
  <c r="BI494" i="10" s="1"/>
  <c r="BO494" i="10"/>
  <c r="F495" i="10"/>
  <c r="AD495" i="10"/>
  <c r="AH495" i="10"/>
  <c r="AI495" i="10"/>
  <c r="AJ495" i="10"/>
  <c r="BG495" i="10" s="1"/>
  <c r="BH495" i="10"/>
  <c r="BI495" i="10" a="1"/>
  <c r="BI495" i="10"/>
  <c r="BO495" i="10"/>
  <c r="A496" i="10"/>
  <c r="F496" i="10"/>
  <c r="AD496" i="10"/>
  <c r="AH496" i="10"/>
  <c r="AI496" i="10"/>
  <c r="AJ496" i="10"/>
  <c r="AO496" i="10"/>
  <c r="BE496" i="10" a="1"/>
  <c r="BE496" i="10"/>
  <c r="BI496" i="10" a="1"/>
  <c r="BI496" i="10"/>
  <c r="BJ496" i="10"/>
  <c r="BO496" i="10"/>
  <c r="BS496" i="10"/>
  <c r="BW496" i="10"/>
  <c r="CD496" i="10" a="1"/>
  <c r="CD496" i="10" s="1"/>
  <c r="CF496" i="10"/>
  <c r="CK496" i="10"/>
  <c r="CO496" i="10"/>
  <c r="CS496" i="10"/>
  <c r="A497" i="10"/>
  <c r="F497" i="10"/>
  <c r="AD497" i="10"/>
  <c r="AH497" i="10"/>
  <c r="BW497" i="10" s="1"/>
  <c r="AI497" i="10"/>
  <c r="AJ497" i="10"/>
  <c r="BE497" i="10" a="1"/>
  <c r="BE497" i="10" s="1"/>
  <c r="BG497" i="10"/>
  <c r="BH497" i="10"/>
  <c r="BI497" i="10" a="1"/>
  <c r="BI497" i="10"/>
  <c r="BO497" i="10"/>
  <c r="CO497" i="10"/>
  <c r="CS497" i="10"/>
  <c r="A498" i="10"/>
  <c r="F498" i="10"/>
  <c r="AD498" i="10"/>
  <c r="AH498" i="10"/>
  <c r="BW498" i="10" s="1"/>
  <c r="AI498" i="10"/>
  <c r="AJ498" i="10"/>
  <c r="BG498" i="10" s="1"/>
  <c r="BH498" i="10"/>
  <c r="BI498" i="10" a="1"/>
  <c r="BI498" i="10" s="1"/>
  <c r="BO498" i="10"/>
  <c r="F499" i="10"/>
  <c r="AD499" i="10"/>
  <c r="AH499" i="10"/>
  <c r="AI499" i="10"/>
  <c r="AJ499" i="10"/>
  <c r="BH499" i="10"/>
  <c r="BI499" i="10" a="1"/>
  <c r="BI499" i="10"/>
  <c r="BO499" i="10"/>
  <c r="A500" i="10"/>
  <c r="F500" i="10"/>
  <c r="AD500" i="10"/>
  <c r="AH500" i="10"/>
  <c r="AI500" i="10"/>
  <c r="AJ500" i="10"/>
  <c r="AO500" i="10"/>
  <c r="BE500" i="10" a="1"/>
  <c r="BE500" i="10" s="1"/>
  <c r="BI500" i="10" a="1"/>
  <c r="BI500" i="10"/>
  <c r="BJ500" i="10"/>
  <c r="BO500" i="10"/>
  <c r="BS500" i="10"/>
  <c r="BW500" i="10"/>
  <c r="CD500" i="10" a="1"/>
  <c r="CD500" i="10" s="1"/>
  <c r="CF500" i="10"/>
  <c r="CK500" i="10"/>
  <c r="CO500" i="10"/>
  <c r="CS500" i="10"/>
  <c r="A501" i="10"/>
  <c r="F501" i="10"/>
  <c r="AD501" i="10"/>
  <c r="AH501" i="10"/>
  <c r="BW501" i="10" s="1"/>
  <c r="AI501" i="10"/>
  <c r="AJ501" i="10"/>
  <c r="BE501" i="10" a="1"/>
  <c r="BE501" i="10" s="1"/>
  <c r="BG501" i="10"/>
  <c r="BH501" i="10"/>
  <c r="BI501" i="10" a="1"/>
  <c r="BI501" i="10"/>
  <c r="BO501" i="10"/>
  <c r="CO501" i="10"/>
  <c r="CS501" i="10"/>
  <c r="A502" i="10"/>
  <c r="F502" i="10"/>
  <c r="AD502" i="10"/>
  <c r="AH502" i="10"/>
  <c r="BW502" i="10" s="1"/>
  <c r="AI502" i="10"/>
  <c r="AJ502" i="10"/>
  <c r="BG502" i="10" s="1"/>
  <c r="BH502" i="10"/>
  <c r="BI502" i="10" a="1"/>
  <c r="BI502" i="10" s="1"/>
  <c r="BO502" i="10"/>
  <c r="F503" i="10"/>
  <c r="AD503" i="10"/>
  <c r="AH503" i="10"/>
  <c r="AI503" i="10"/>
  <c r="AJ503" i="10"/>
  <c r="BG503" i="10" s="1"/>
  <c r="BH503" i="10"/>
  <c r="BI503" i="10" a="1"/>
  <c r="BI503" i="10"/>
  <c r="BO503" i="10"/>
  <c r="A504" i="10"/>
  <c r="F504" i="10"/>
  <c r="AD504" i="10"/>
  <c r="AH504" i="10"/>
  <c r="AI504" i="10"/>
  <c r="AJ504" i="10"/>
  <c r="AO504" i="10"/>
  <c r="BE504" i="10" a="1"/>
  <c r="BE504" i="10" s="1"/>
  <c r="BI504" i="10" a="1"/>
  <c r="BI504" i="10"/>
  <c r="BJ504" i="10"/>
  <c r="BO504" i="10"/>
  <c r="BS504" i="10"/>
  <c r="BW504" i="10"/>
  <c r="CD504" i="10" a="1"/>
  <c r="CD504" i="10" s="1"/>
  <c r="CF504" i="10"/>
  <c r="CK504" i="10"/>
  <c r="CO504" i="10"/>
  <c r="CS504" i="10"/>
  <c r="A505" i="10"/>
  <c r="F505" i="10"/>
  <c r="AD505" i="10"/>
  <c r="AH505" i="10"/>
  <c r="BW505" i="10" s="1"/>
  <c r="AI505" i="10"/>
  <c r="AJ505" i="10"/>
  <c r="BE505" i="10" a="1"/>
  <c r="BE505" i="10" s="1"/>
  <c r="BF505" i="10"/>
  <c r="BG505" i="10"/>
  <c r="BH505" i="10"/>
  <c r="BI505" i="10" a="1"/>
  <c r="BI505" i="10"/>
  <c r="BO505" i="10"/>
  <c r="CO505" i="10"/>
  <c r="CS505" i="10"/>
  <c r="A506" i="10"/>
  <c r="F506" i="10"/>
  <c r="AD506" i="10"/>
  <c r="AH506" i="10"/>
  <c r="AI506" i="10"/>
  <c r="AJ506" i="10"/>
  <c r="BG506" i="10" s="1"/>
  <c r="BH506" i="10"/>
  <c r="BI506" i="10" a="1"/>
  <c r="BI506" i="10" s="1"/>
  <c r="BO506" i="10"/>
  <c r="F507" i="10"/>
  <c r="AD507" i="10"/>
  <c r="AH507" i="10"/>
  <c r="AI507" i="10"/>
  <c r="AJ507" i="10"/>
  <c r="BG507" i="10" s="1"/>
  <c r="BI507" i="10" a="1"/>
  <c r="BI507" i="10"/>
  <c r="BJ507" i="10"/>
  <c r="BO507" i="10"/>
  <c r="BW507" i="10"/>
  <c r="CD507" i="10" a="1"/>
  <c r="CD507" i="10" s="1"/>
  <c r="CK507" i="10"/>
  <c r="A508" i="10"/>
  <c r="F508" i="10"/>
  <c r="AD508" i="10"/>
  <c r="AH508" i="10"/>
  <c r="AI508" i="10"/>
  <c r="AJ508" i="10"/>
  <c r="AO508" i="10"/>
  <c r="BE508" i="10" a="1"/>
  <c r="BE508" i="10" s="1"/>
  <c r="BI508" i="10" a="1"/>
  <c r="BI508" i="10"/>
  <c r="BJ508" i="10"/>
  <c r="BO508" i="10"/>
  <c r="BS508" i="10"/>
  <c r="BW508" i="10"/>
  <c r="CD508" i="10" a="1"/>
  <c r="CD508" i="10" s="1"/>
  <c r="CF508" i="10"/>
  <c r="CK508" i="10"/>
  <c r="CO508" i="10"/>
  <c r="CS508" i="10"/>
  <c r="A509" i="10"/>
  <c r="F509" i="10"/>
  <c r="AD509" i="10"/>
  <c r="AH509" i="10"/>
  <c r="BW509" i="10" s="1"/>
  <c r="AI509" i="10"/>
  <c r="AJ509" i="10"/>
  <c r="BE509" i="10" a="1"/>
  <c r="BE509" i="10" s="1"/>
  <c r="BG509" i="10"/>
  <c r="BH509" i="10"/>
  <c r="BI509" i="10" a="1"/>
  <c r="BI509" i="10"/>
  <c r="BO509" i="10"/>
  <c r="CO509" i="10"/>
  <c r="CS509" i="10"/>
  <c r="F510" i="10"/>
  <c r="AD510" i="10"/>
  <c r="AH510" i="10"/>
  <c r="AI510" i="10"/>
  <c r="AJ510" i="10"/>
  <c r="BH510" i="10"/>
  <c r="BI510" i="10" a="1"/>
  <c r="BI510" i="10" s="1"/>
  <c r="F511" i="10"/>
  <c r="AD511" i="10"/>
  <c r="AH511" i="10"/>
  <c r="AO511" i="10" s="1"/>
  <c r="AI511" i="10"/>
  <c r="AJ511" i="10"/>
  <c r="BH511" i="10"/>
  <c r="BI511" i="10" a="1"/>
  <c r="BI511" i="10"/>
  <c r="A512" i="10"/>
  <c r="F512" i="10"/>
  <c r="AD512" i="10"/>
  <c r="AH512" i="10"/>
  <c r="AI512" i="10"/>
  <c r="AJ512" i="10"/>
  <c r="AO512" i="10"/>
  <c r="BE512" i="10" a="1"/>
  <c r="BE512" i="10"/>
  <c r="BI512" i="10" a="1"/>
  <c r="BI512" i="10"/>
  <c r="BJ512" i="10"/>
  <c r="BO512" i="10"/>
  <c r="BS512" i="10"/>
  <c r="BW512" i="10"/>
  <c r="CD512" i="10" a="1"/>
  <c r="CD512" i="10" s="1"/>
  <c r="CE512" i="10"/>
  <c r="CF512" i="10"/>
  <c r="CK512" i="10"/>
  <c r="CO512" i="10"/>
  <c r="CS512" i="10"/>
  <c r="A513" i="10"/>
  <c r="F513" i="10"/>
  <c r="AD513" i="10"/>
  <c r="AH513" i="10"/>
  <c r="BW513" i="10" s="1"/>
  <c r="AI513" i="10"/>
  <c r="AJ513" i="10"/>
  <c r="BE513" i="10" a="1"/>
  <c r="BE513" i="10" s="1"/>
  <c r="BF513" i="10" s="1"/>
  <c r="BG513" i="10"/>
  <c r="BH513" i="10"/>
  <c r="BI513" i="10" a="1"/>
  <c r="BI513" i="10"/>
  <c r="BO513" i="10"/>
  <c r="CO513" i="10"/>
  <c r="CS513" i="10"/>
  <c r="F514" i="10"/>
  <c r="AD514" i="10"/>
  <c r="AH514" i="10"/>
  <c r="BO514" i="10" s="1"/>
  <c r="AI514" i="10"/>
  <c r="AJ514" i="10"/>
  <c r="BH514" i="10"/>
  <c r="BI514" i="10" a="1"/>
  <c r="BI514" i="10"/>
  <c r="F515" i="10"/>
  <c r="AD515" i="10"/>
  <c r="AH515" i="10"/>
  <c r="AI515" i="10"/>
  <c r="AJ515" i="10"/>
  <c r="BG515" i="10" s="1"/>
  <c r="AO515" i="10"/>
  <c r="BE515" i="10" a="1"/>
  <c r="BE515" i="10" s="1"/>
  <c r="BH515" i="10"/>
  <c r="BI515" i="10" a="1"/>
  <c r="BI515" i="10"/>
  <c r="BJ515" i="10"/>
  <c r="BO515" i="10"/>
  <c r="BW515" i="10"/>
  <c r="CD515" i="10" a="1"/>
  <c r="CD515" i="10" s="1"/>
  <c r="CK515" i="10"/>
  <c r="CS515" i="10"/>
  <c r="A516" i="10"/>
  <c r="F516" i="10"/>
  <c r="AD516" i="10"/>
  <c r="AH516" i="10"/>
  <c r="AI516" i="10"/>
  <c r="AJ516" i="10"/>
  <c r="AO516" i="10"/>
  <c r="BE516" i="10" a="1"/>
  <c r="BE516" i="10" s="1"/>
  <c r="BI516" i="10" a="1"/>
  <c r="BI516" i="10"/>
  <c r="BJ516" i="10"/>
  <c r="BO516" i="10"/>
  <c r="BS516" i="10"/>
  <c r="BW516" i="10"/>
  <c r="CD516" i="10" a="1"/>
  <c r="CD516" i="10" s="1"/>
  <c r="CE516" i="10"/>
  <c r="CF516" i="10"/>
  <c r="CK516" i="10"/>
  <c r="CO516" i="10"/>
  <c r="CS516" i="10"/>
  <c r="F517" i="10"/>
  <c r="AD517" i="10"/>
  <c r="AH517" i="10"/>
  <c r="A517" i="10" s="1"/>
  <c r="AI517" i="10"/>
  <c r="AJ517" i="10"/>
  <c r="BH517" i="10"/>
  <c r="BI517" i="10" a="1"/>
  <c r="BI517" i="10"/>
  <c r="F518" i="10"/>
  <c r="AD518" i="10"/>
  <c r="AH518" i="10"/>
  <c r="AI518" i="10"/>
  <c r="AJ518" i="10"/>
  <c r="BG518" i="10" s="1"/>
  <c r="BH518" i="10"/>
  <c r="BI518" i="10" a="1"/>
  <c r="BI518" i="10"/>
  <c r="BO518" i="10"/>
  <c r="BW518" i="10"/>
  <c r="CD518" i="10" a="1"/>
  <c r="CD518" i="10" s="1"/>
  <c r="CK518" i="10"/>
  <c r="F519" i="10"/>
  <c r="AD519" i="10"/>
  <c r="AH519" i="10"/>
  <c r="AI519" i="10"/>
  <c r="AJ519" i="10"/>
  <c r="BG519" i="10" s="1"/>
  <c r="AO519" i="10"/>
  <c r="BE519" i="10" a="1"/>
  <c r="BE519" i="10" s="1"/>
  <c r="BH519" i="10"/>
  <c r="BI519" i="10" a="1"/>
  <c r="BI519" i="10"/>
  <c r="BJ519" i="10"/>
  <c r="BO519" i="10"/>
  <c r="BW519" i="10"/>
  <c r="CD519" i="10" a="1"/>
  <c r="CD519" i="10"/>
  <c r="CE519" i="10"/>
  <c r="CK519" i="10"/>
  <c r="CS519" i="10"/>
  <c r="A520" i="10"/>
  <c r="F520" i="10"/>
  <c r="AD520" i="10"/>
  <c r="AH520" i="10"/>
  <c r="AI520" i="10"/>
  <c r="AJ520" i="10"/>
  <c r="AO520" i="10"/>
  <c r="BE520" i="10" a="1"/>
  <c r="BE520" i="10" s="1"/>
  <c r="BI520" i="10" a="1"/>
  <c r="BI520" i="10"/>
  <c r="BJ520" i="10"/>
  <c r="BO520" i="10"/>
  <c r="BS520" i="10"/>
  <c r="BW520" i="10"/>
  <c r="CD520" i="10" a="1"/>
  <c r="CD520" i="10" s="1"/>
  <c r="CE520" i="10"/>
  <c r="CF520" i="10"/>
  <c r="CK520" i="10"/>
  <c r="CO520" i="10"/>
  <c r="CS520" i="10"/>
  <c r="F521" i="10"/>
  <c r="AD521" i="10"/>
  <c r="AH521" i="10"/>
  <c r="AI521" i="10"/>
  <c r="AJ521" i="10"/>
  <c r="BH521" i="10"/>
  <c r="BI521" i="10" a="1"/>
  <c r="BI521" i="10"/>
  <c r="F522" i="10"/>
  <c r="AD522" i="10"/>
  <c r="AH522" i="10"/>
  <c r="CD522" i="10" s="1" a="1"/>
  <c r="CD522" i="10" s="1"/>
  <c r="AI522" i="10"/>
  <c r="AJ522" i="10"/>
  <c r="BH522" i="10"/>
  <c r="BI522" i="10" a="1"/>
  <c r="BI522" i="10"/>
  <c r="BO522" i="10"/>
  <c r="BW522" i="10"/>
  <c r="CK522" i="10"/>
  <c r="F523" i="10"/>
  <c r="AD523" i="10"/>
  <c r="AH523" i="10"/>
  <c r="AI523" i="10"/>
  <c r="AJ523" i="10"/>
  <c r="AO523" i="10"/>
  <c r="BE523" i="10" a="1"/>
  <c r="BE523" i="10" s="1"/>
  <c r="BI523" i="10" a="1"/>
  <c r="BI523" i="10"/>
  <c r="BJ523" i="10"/>
  <c r="BO523" i="10"/>
  <c r="BW523" i="10"/>
  <c r="CD523" i="10" a="1"/>
  <c r="CD523" i="10" s="1"/>
  <c r="CK523" i="10"/>
  <c r="CS523" i="10"/>
  <c r="A524" i="10"/>
  <c r="F524" i="10"/>
  <c r="AD524" i="10"/>
  <c r="AH524" i="10"/>
  <c r="AI524" i="10"/>
  <c r="AJ524" i="10"/>
  <c r="AO524" i="10"/>
  <c r="BE524" i="10" a="1"/>
  <c r="BE524" i="10" s="1"/>
  <c r="BI524" i="10" a="1"/>
  <c r="BI524" i="10"/>
  <c r="BJ524" i="10"/>
  <c r="BO524" i="10"/>
  <c r="BS524" i="10"/>
  <c r="BW524" i="10"/>
  <c r="CD524" i="10" a="1"/>
  <c r="CD524" i="10" s="1"/>
  <c r="CE524" i="10"/>
  <c r="CF524" i="10"/>
  <c r="CK524" i="10"/>
  <c r="CO524" i="10"/>
  <c r="CS524" i="10"/>
  <c r="A525" i="10"/>
  <c r="F525" i="10"/>
  <c r="AD525" i="10"/>
  <c r="AH525" i="10"/>
  <c r="BE525" i="10" s="1" a="1"/>
  <c r="BE525" i="10" s="1"/>
  <c r="AI525" i="10"/>
  <c r="AJ525" i="10"/>
  <c r="BG525" i="10"/>
  <c r="BH525" i="10"/>
  <c r="BI525" i="10" a="1"/>
  <c r="BI525" i="10"/>
  <c r="BO525" i="10"/>
  <c r="CS525" i="10"/>
  <c r="F526" i="10"/>
  <c r="AD526" i="10"/>
  <c r="AH526" i="10"/>
  <c r="CD526" i="10" s="1" a="1"/>
  <c r="CD526" i="10" s="1"/>
  <c r="AI526" i="10"/>
  <c r="AJ526" i="10"/>
  <c r="BH526" i="10"/>
  <c r="BI526" i="10" a="1"/>
  <c r="BI526" i="10" s="1"/>
  <c r="BO526" i="10"/>
  <c r="BW526" i="10"/>
  <c r="CK526" i="10"/>
  <c r="F527" i="10"/>
  <c r="AD527" i="10"/>
  <c r="AH527" i="10"/>
  <c r="BO527" i="10" s="1"/>
  <c r="AI527" i="10"/>
  <c r="AJ527" i="10"/>
  <c r="BH527" i="10"/>
  <c r="BI527" i="10" a="1"/>
  <c r="BI527" i="10"/>
  <c r="BJ527" i="10"/>
  <c r="BW527" i="10"/>
  <c r="CK527" i="10"/>
  <c r="A528" i="10"/>
  <c r="F528" i="10"/>
  <c r="AD528" i="10"/>
  <c r="AH528" i="10"/>
  <c r="AI528" i="10"/>
  <c r="AJ528" i="10"/>
  <c r="AO528" i="10"/>
  <c r="BE528" i="10" a="1"/>
  <c r="BE528" i="10"/>
  <c r="BI528" i="10" a="1"/>
  <c r="BI528" i="10"/>
  <c r="BJ528" i="10"/>
  <c r="BO528" i="10"/>
  <c r="BS528" i="10"/>
  <c r="BW528" i="10"/>
  <c r="CD528" i="10" a="1"/>
  <c r="CD528" i="10" s="1"/>
  <c r="CF528" i="10"/>
  <c r="CK528" i="10"/>
  <c r="CO528" i="10"/>
  <c r="CS528" i="10"/>
  <c r="A529" i="10"/>
  <c r="F529" i="10"/>
  <c r="AD529" i="10"/>
  <c r="AH529" i="10"/>
  <c r="AI529" i="10"/>
  <c r="AJ529" i="10"/>
  <c r="BE529" i="10" a="1"/>
  <c r="BE529" i="10" s="1"/>
  <c r="BH529" i="10"/>
  <c r="BI529" i="10" a="1"/>
  <c r="BI529" i="10"/>
  <c r="BO529" i="10"/>
  <c r="CO529" i="10"/>
  <c r="F530" i="10"/>
  <c r="AD530" i="10"/>
  <c r="AH530" i="10"/>
  <c r="CD530" i="10" s="1" a="1"/>
  <c r="CD530" i="10" s="1"/>
  <c r="AI530" i="10"/>
  <c r="AJ530" i="10"/>
  <c r="BI530" i="10" a="1"/>
  <c r="BI530" i="10" s="1"/>
  <c r="F531" i="10"/>
  <c r="AD531" i="10"/>
  <c r="AH531" i="10"/>
  <c r="AI531" i="10"/>
  <c r="AJ531" i="10"/>
  <c r="BG531" i="10" s="1"/>
  <c r="AO531" i="10"/>
  <c r="BE531" i="10" a="1"/>
  <c r="BE531" i="10" s="1"/>
  <c r="BH531" i="10"/>
  <c r="BI531" i="10" a="1"/>
  <c r="BI531" i="10"/>
  <c r="BJ531" i="10"/>
  <c r="BO531" i="10"/>
  <c r="CD531" i="10" a="1"/>
  <c r="CD531" i="10"/>
  <c r="CE531" i="10" s="1"/>
  <c r="CS531" i="10"/>
  <c r="A532" i="10"/>
  <c r="F532" i="10"/>
  <c r="AD532" i="10"/>
  <c r="AH532" i="10"/>
  <c r="AI532" i="10"/>
  <c r="AJ532" i="10"/>
  <c r="AO532" i="10"/>
  <c r="BE532" i="10" a="1"/>
  <c r="BE532" i="10" s="1"/>
  <c r="BI532" i="10" a="1"/>
  <c r="BI532" i="10"/>
  <c r="BJ532" i="10"/>
  <c r="BO532" i="10"/>
  <c r="BS532" i="10"/>
  <c r="BW532" i="10"/>
  <c r="CD532" i="10" a="1"/>
  <c r="CD532" i="10" s="1"/>
  <c r="CE532" i="10" s="1"/>
  <c r="CF532" i="10"/>
  <c r="CK532" i="10"/>
  <c r="CO532" i="10"/>
  <c r="CS532" i="10"/>
  <c r="F533" i="10"/>
  <c r="AD533" i="10"/>
  <c r="AH533" i="10"/>
  <c r="AI533" i="10"/>
  <c r="AJ533" i="10"/>
  <c r="BH533" i="10"/>
  <c r="BI533" i="10" a="1"/>
  <c r="BI533" i="10"/>
  <c r="F534" i="10"/>
  <c r="AD534" i="10"/>
  <c r="AH534" i="10"/>
  <c r="CD534" i="10" s="1" a="1"/>
  <c r="CD534" i="10" s="1"/>
  <c r="AI534" i="10"/>
  <c r="AJ534" i="10"/>
  <c r="BH534" i="10" s="1"/>
  <c r="BI534" i="10" a="1"/>
  <c r="BI534" i="10" s="1"/>
  <c r="BO534" i="10"/>
  <c r="BW534" i="10"/>
  <c r="CK534" i="10"/>
  <c r="F535" i="10"/>
  <c r="AD535" i="10"/>
  <c r="AH535" i="10"/>
  <c r="BW535" i="10" s="1"/>
  <c r="AI535" i="10"/>
  <c r="AJ535" i="10"/>
  <c r="BI535" i="10" a="1"/>
  <c r="BI535" i="10"/>
  <c r="BJ535" i="10"/>
  <c r="BO535" i="10"/>
  <c r="CS535" i="10"/>
  <c r="A536" i="10"/>
  <c r="F536" i="10"/>
  <c r="AD536" i="10"/>
  <c r="AH536" i="10"/>
  <c r="AI536" i="10"/>
  <c r="AJ536" i="10"/>
  <c r="AO536" i="10"/>
  <c r="BE536" i="10" a="1"/>
  <c r="BE536" i="10"/>
  <c r="BF536" i="10" s="1"/>
  <c r="BI536" i="10" a="1"/>
  <c r="BI536" i="10"/>
  <c r="BJ536" i="10"/>
  <c r="BO536" i="10"/>
  <c r="BS536" i="10"/>
  <c r="BW536" i="10"/>
  <c r="CD536" i="10" a="1"/>
  <c r="CD536" i="10" s="1"/>
  <c r="CF536" i="10"/>
  <c r="CK536" i="10"/>
  <c r="CO536" i="10"/>
  <c r="CS536" i="10"/>
  <c r="A537" i="10"/>
  <c r="F537" i="10"/>
  <c r="AD537" i="10"/>
  <c r="AH537" i="10"/>
  <c r="AI537" i="10"/>
  <c r="AJ537" i="10"/>
  <c r="BG537" i="10"/>
  <c r="BH537" i="10"/>
  <c r="BI537" i="10" a="1"/>
  <c r="BI537" i="10"/>
  <c r="BO537" i="10"/>
  <c r="BS537" i="10"/>
  <c r="A538" i="10"/>
  <c r="F538" i="10"/>
  <c r="AD538" i="10"/>
  <c r="AH538" i="10"/>
  <c r="BW538" i="10" s="1"/>
  <c r="AI538" i="10"/>
  <c r="AJ538" i="10"/>
  <c r="BG538" i="10" s="1"/>
  <c r="BH538" i="10"/>
  <c r="BI538" i="10" a="1"/>
  <c r="BI538" i="10" s="1"/>
  <c r="CD538" i="10" a="1"/>
  <c r="CD538" i="10" s="1"/>
  <c r="CO538" i="10"/>
  <c r="F539" i="10"/>
  <c r="AD539" i="10"/>
  <c r="AH539" i="10"/>
  <c r="BW539" i="10" s="1"/>
  <c r="AI539" i="10"/>
  <c r="AJ539" i="10"/>
  <c r="BI539" i="10" a="1"/>
  <c r="BI539" i="10"/>
  <c r="BO539" i="10"/>
  <c r="CS539" i="10"/>
  <c r="A540" i="10"/>
  <c r="F540" i="10"/>
  <c r="AD540" i="10"/>
  <c r="AH540" i="10"/>
  <c r="AI540" i="10"/>
  <c r="AJ540" i="10"/>
  <c r="AO540" i="10"/>
  <c r="BE540" i="10" a="1"/>
  <c r="BE540" i="10"/>
  <c r="BF540" i="10" s="1"/>
  <c r="BI540" i="10" a="1"/>
  <c r="BI540" i="10"/>
  <c r="BJ540" i="10"/>
  <c r="BO540" i="10"/>
  <c r="BS540" i="10"/>
  <c r="BW540" i="10"/>
  <c r="CD540" i="10" a="1"/>
  <c r="CD540" i="10" s="1"/>
  <c r="CF540" i="10"/>
  <c r="CK540" i="10"/>
  <c r="CO540" i="10"/>
  <c r="CS540" i="10"/>
  <c r="F541" i="10"/>
  <c r="AD541" i="10"/>
  <c r="AH541" i="10"/>
  <c r="A541" i="10" s="1"/>
  <c r="AI541" i="10"/>
  <c r="AJ541" i="10"/>
  <c r="BG541" i="10"/>
  <c r="BH541" i="10"/>
  <c r="BI541" i="10" a="1"/>
  <c r="BI541" i="10"/>
  <c r="BO541" i="10"/>
  <c r="CO541" i="10"/>
  <c r="A542" i="10"/>
  <c r="F542" i="10"/>
  <c r="AD542" i="10"/>
  <c r="AH542" i="10"/>
  <c r="AI542" i="10"/>
  <c r="AJ542" i="10"/>
  <c r="BH542" i="10"/>
  <c r="BI542" i="10" a="1"/>
  <c r="BI542" i="10" s="1"/>
  <c r="F543" i="10"/>
  <c r="AD543" i="10"/>
  <c r="AH543" i="10"/>
  <c r="BE543" i="10" s="1" a="1"/>
  <c r="BE543" i="10" s="1"/>
  <c r="AI543" i="10"/>
  <c r="AJ543" i="10"/>
  <c r="BI543" i="10" a="1"/>
  <c r="BI543" i="10" s="1"/>
  <c r="BO543" i="10"/>
  <c r="BW543" i="10"/>
  <c r="CD543" i="10" a="1"/>
  <c r="CD543" i="10" s="1"/>
  <c r="CE543" i="10" s="1"/>
  <c r="CO543" i="10"/>
  <c r="CS543" i="10"/>
  <c r="A544" i="10"/>
  <c r="F544" i="10"/>
  <c r="AD544" i="10"/>
  <c r="AH544" i="10"/>
  <c r="BS544" i="10" s="1"/>
  <c r="AI544" i="10"/>
  <c r="AJ544" i="10"/>
  <c r="AO544" i="10"/>
  <c r="BE544" i="10" a="1"/>
  <c r="BE544" i="10" s="1"/>
  <c r="BI544" i="10" a="1"/>
  <c r="BI544" i="10"/>
  <c r="BJ544" i="10"/>
  <c r="BO544" i="10"/>
  <c r="BW544" i="10"/>
  <c r="CD544" i="10" a="1"/>
  <c r="CD544" i="10" s="1"/>
  <c r="CK544" i="10"/>
  <c r="CS544" i="10"/>
  <c r="F545" i="10"/>
  <c r="AD545" i="10"/>
  <c r="AH545" i="10"/>
  <c r="CO545" i="10" s="1"/>
  <c r="AI545" i="10"/>
  <c r="AJ545" i="10"/>
  <c r="BH545" i="10"/>
  <c r="BI545" i="10" a="1"/>
  <c r="BI545" i="10"/>
  <c r="BW545" i="10"/>
  <c r="F546" i="10"/>
  <c r="AD546" i="10"/>
  <c r="AH546" i="10"/>
  <c r="AO546" i="10" s="1"/>
  <c r="AI546" i="10"/>
  <c r="AJ546" i="10"/>
  <c r="BG546" i="10" s="1"/>
  <c r="BH546" i="10"/>
  <c r="BI546" i="10" a="1"/>
  <c r="BI546" i="10"/>
  <c r="BW546" i="10"/>
  <c r="CD546" i="10" a="1"/>
  <c r="CD546" i="10" s="1"/>
  <c r="CK546" i="10"/>
  <c r="CO546" i="10"/>
  <c r="F547" i="10"/>
  <c r="AD547" i="10"/>
  <c r="AH547" i="10"/>
  <c r="BS547" i="10" s="1"/>
  <c r="AI547" i="10"/>
  <c r="AJ547" i="10"/>
  <c r="AO547" i="10"/>
  <c r="BE547" i="10" a="1"/>
  <c r="BE547" i="10" s="1"/>
  <c r="BH547" i="10"/>
  <c r="BI547" i="10" a="1"/>
  <c r="BI547" i="10" s="1"/>
  <c r="BJ547" i="10"/>
  <c r="BO547" i="10"/>
  <c r="CF547" i="10"/>
  <c r="CS547" i="10"/>
  <c r="A548" i="10"/>
  <c r="F548" i="10"/>
  <c r="AD548" i="10"/>
  <c r="AH548" i="10"/>
  <c r="BE548" i="10" s="1" a="1"/>
  <c r="BE548" i="10" s="1"/>
  <c r="AI548" i="10"/>
  <c r="AJ548" i="10"/>
  <c r="BG548" i="10" s="1"/>
  <c r="AO548" i="10"/>
  <c r="BI548" i="10" a="1"/>
  <c r="BI548" i="10"/>
  <c r="BJ548" i="10"/>
  <c r="BO548" i="10"/>
  <c r="BS548" i="10"/>
  <c r="BW548" i="10"/>
  <c r="CD548" i="10" a="1"/>
  <c r="CD548" i="10"/>
  <c r="CF548" i="10"/>
  <c r="CK548" i="10"/>
  <c r="CO548" i="10"/>
  <c r="F549" i="10"/>
  <c r="AD549" i="10"/>
  <c r="AH549" i="10"/>
  <c r="BG549" i="10" s="1"/>
  <c r="AI549" i="10"/>
  <c r="AJ549" i="10"/>
  <c r="BH549" i="10"/>
  <c r="BI549" i="10" a="1"/>
  <c r="BI549" i="10" s="1"/>
  <c r="BO549" i="10"/>
  <c r="BS549" i="10"/>
  <c r="CF549" i="10"/>
  <c r="A550" i="10"/>
  <c r="F550" i="10"/>
  <c r="AD550" i="10"/>
  <c r="AH550" i="10"/>
  <c r="BS550" i="10" s="1"/>
  <c r="AI550" i="10"/>
  <c r="AJ550" i="10"/>
  <c r="BH550" i="10" s="1"/>
  <c r="AO550" i="10"/>
  <c r="BE550" i="10" a="1"/>
  <c r="BE550" i="10" s="1"/>
  <c r="BG550" i="10"/>
  <c r="BI550" i="10" a="1"/>
  <c r="BI550" i="10"/>
  <c r="BJ550" i="10"/>
  <c r="BO550" i="10"/>
  <c r="BW550" i="10"/>
  <c r="CD550" i="10" a="1"/>
  <c r="CD550" i="10" s="1"/>
  <c r="CF550" i="10"/>
  <c r="CK550" i="10"/>
  <c r="CO550" i="10"/>
  <c r="CS550" i="10"/>
  <c r="F551" i="10"/>
  <c r="AD551" i="10"/>
  <c r="AH551" i="10"/>
  <c r="BS551" i="10" s="1"/>
  <c r="AI551" i="10"/>
  <c r="AJ551" i="10"/>
  <c r="BG551" i="10" s="1"/>
  <c r="AO551" i="10"/>
  <c r="BE551" i="10" a="1"/>
  <c r="BE551" i="10" s="1"/>
  <c r="BH551" i="10"/>
  <c r="BI551" i="10" a="1"/>
  <c r="BI551" i="10" s="1"/>
  <c r="BJ551" i="10"/>
  <c r="BO551" i="10"/>
  <c r="CS551" i="10"/>
  <c r="A552" i="10"/>
  <c r="F552" i="10"/>
  <c r="AD552" i="10"/>
  <c r="AH552" i="10"/>
  <c r="BE552" i="10" s="1" a="1"/>
  <c r="BE552" i="10" s="1"/>
  <c r="AI552" i="10"/>
  <c r="AJ552" i="10"/>
  <c r="BG552" i="10" s="1"/>
  <c r="AO552" i="10"/>
  <c r="BI552" i="10" a="1"/>
  <c r="BI552" i="10"/>
  <c r="BJ552" i="10"/>
  <c r="BO552" i="10"/>
  <c r="BS552" i="10"/>
  <c r="BW552" i="10"/>
  <c r="CD552" i="10" a="1"/>
  <c r="CD552" i="10"/>
  <c r="CF552" i="10"/>
  <c r="CK552" i="10"/>
  <c r="CO552" i="10"/>
  <c r="F553" i="10"/>
  <c r="AD553" i="10"/>
  <c r="AH553" i="10"/>
  <c r="BG553" i="10" s="1"/>
  <c r="AI553" i="10"/>
  <c r="AJ553" i="10"/>
  <c r="BH553" i="10"/>
  <c r="BI553" i="10" a="1"/>
  <c r="BI553" i="10" s="1"/>
  <c r="BO553" i="10"/>
  <c r="BS553" i="10"/>
  <c r="CF553" i="10"/>
  <c r="A554" i="10"/>
  <c r="F554" i="10"/>
  <c r="AD554" i="10"/>
  <c r="AH554" i="10"/>
  <c r="BS554" i="10" s="1"/>
  <c r="AI554" i="10"/>
  <c r="AJ554" i="10"/>
  <c r="BH554" i="10" s="1"/>
  <c r="AO554" i="10"/>
  <c r="BE554" i="10" a="1"/>
  <c r="BE554" i="10" s="1"/>
  <c r="BG554" i="10"/>
  <c r="BI554" i="10" a="1"/>
  <c r="BI554" i="10"/>
  <c r="BJ554" i="10"/>
  <c r="BO554" i="10"/>
  <c r="BW554" i="10"/>
  <c r="CD554" i="10" a="1"/>
  <c r="CD554" i="10" s="1"/>
  <c r="CK554" i="10"/>
  <c r="CO554" i="10"/>
  <c r="CS554" i="10"/>
  <c r="F555" i="10"/>
  <c r="AD555" i="10"/>
  <c r="AH555" i="10"/>
  <c r="BS555" i="10" s="1"/>
  <c r="AI555" i="10"/>
  <c r="AJ555" i="10"/>
  <c r="BG555" i="10" s="1"/>
  <c r="AO555" i="10"/>
  <c r="BE555" i="10" a="1"/>
  <c r="BE555" i="10" s="1"/>
  <c r="BH555" i="10"/>
  <c r="BI555" i="10" a="1"/>
  <c r="BI555" i="10" s="1"/>
  <c r="BJ555" i="10"/>
  <c r="BO555" i="10"/>
  <c r="CS555" i="10"/>
  <c r="A556" i="10"/>
  <c r="F556" i="10"/>
  <c r="AD556" i="10"/>
  <c r="AH556" i="10"/>
  <c r="BE556" i="10" s="1" a="1"/>
  <c r="BE556" i="10" s="1"/>
  <c r="AI556" i="10"/>
  <c r="AJ556" i="10"/>
  <c r="BG556" i="10" s="1"/>
  <c r="AO556" i="10"/>
  <c r="BI556" i="10" a="1"/>
  <c r="BI556" i="10"/>
  <c r="BJ556" i="10"/>
  <c r="BO556" i="10"/>
  <c r="BS556" i="10"/>
  <c r="BW556" i="10"/>
  <c r="CD556" i="10" a="1"/>
  <c r="CD556" i="10"/>
  <c r="CF556" i="10"/>
  <c r="CK556" i="10"/>
  <c r="CO556" i="10"/>
  <c r="F557" i="10"/>
  <c r="AD557" i="10"/>
  <c r="AH557" i="10"/>
  <c r="BG557" i="10" s="1"/>
  <c r="AI557" i="10"/>
  <c r="AJ557" i="10"/>
  <c r="BH557" i="10"/>
  <c r="BI557" i="10" a="1"/>
  <c r="BI557" i="10" s="1"/>
  <c r="BO557" i="10"/>
  <c r="BS557" i="10"/>
  <c r="CF557" i="10"/>
  <c r="A558" i="10"/>
  <c r="F558" i="10"/>
  <c r="AD558" i="10"/>
  <c r="AH558" i="10"/>
  <c r="BS558" i="10" s="1"/>
  <c r="AI558" i="10"/>
  <c r="AJ558" i="10"/>
  <c r="BH558" i="10" s="1"/>
  <c r="AO558" i="10"/>
  <c r="BE558" i="10" a="1"/>
  <c r="BE558" i="10" s="1"/>
  <c r="BG558" i="10"/>
  <c r="BI558" i="10" a="1"/>
  <c r="BI558" i="10"/>
  <c r="BJ558" i="10"/>
  <c r="BO558" i="10"/>
  <c r="BW558" i="10"/>
  <c r="CD558" i="10" a="1"/>
  <c r="CD558" i="10" s="1"/>
  <c r="CF558" i="10"/>
  <c r="CK558" i="10"/>
  <c r="CO558" i="10"/>
  <c r="CS558" i="10"/>
  <c r="F559" i="10"/>
  <c r="AD559" i="10"/>
  <c r="AH559" i="10"/>
  <c r="BS559" i="10" s="1"/>
  <c r="AI559" i="10"/>
  <c r="AJ559" i="10"/>
  <c r="BG559" i="10" s="1"/>
  <c r="AO559" i="10"/>
  <c r="BE559" i="10" a="1"/>
  <c r="BE559" i="10" s="1"/>
  <c r="BH559" i="10"/>
  <c r="BI559" i="10" a="1"/>
  <c r="BI559" i="10" s="1"/>
  <c r="BJ559" i="10"/>
  <c r="BO559" i="10"/>
  <c r="CS559" i="10"/>
  <c r="A560" i="10"/>
  <c r="F560" i="10"/>
  <c r="AD560" i="10"/>
  <c r="AH560" i="10"/>
  <c r="BE560" i="10" s="1" a="1"/>
  <c r="BE560" i="10" s="1"/>
  <c r="AI560" i="10"/>
  <c r="AJ560" i="10"/>
  <c r="BG560" i="10" s="1"/>
  <c r="AO560" i="10"/>
  <c r="BI560" i="10" a="1"/>
  <c r="BI560" i="10"/>
  <c r="BJ560" i="10"/>
  <c r="BO560" i="10"/>
  <c r="BS560" i="10"/>
  <c r="BW560" i="10"/>
  <c r="CD560" i="10" a="1"/>
  <c r="CD560" i="10"/>
  <c r="CF560" i="10"/>
  <c r="CK560" i="10"/>
  <c r="CO560" i="10"/>
  <c r="F561" i="10"/>
  <c r="AD561" i="10"/>
  <c r="AH561" i="10"/>
  <c r="BG561" i="10" s="1"/>
  <c r="AI561" i="10"/>
  <c r="AJ561" i="10"/>
  <c r="BH561" i="10"/>
  <c r="BI561" i="10" a="1"/>
  <c r="BI561" i="10"/>
  <c r="BO561" i="10"/>
  <c r="BS561" i="10"/>
  <c r="CF561" i="10"/>
  <c r="A562" i="10"/>
  <c r="F562" i="10"/>
  <c r="AD562" i="10"/>
  <c r="AH562" i="10"/>
  <c r="BS562" i="10" s="1"/>
  <c r="AI562" i="10"/>
  <c r="AJ562" i="10"/>
  <c r="BH562" i="10" s="1"/>
  <c r="AO562" i="10"/>
  <c r="BE562" i="10" a="1"/>
  <c r="BE562" i="10" s="1"/>
  <c r="BG562" i="10"/>
  <c r="BI562" i="10" a="1"/>
  <c r="BI562" i="10"/>
  <c r="BJ562" i="10"/>
  <c r="BO562" i="10"/>
  <c r="BW562" i="10"/>
  <c r="CD562" i="10" a="1"/>
  <c r="CD562" i="10" s="1"/>
  <c r="CF562" i="10"/>
  <c r="CK562" i="10"/>
  <c r="CO562" i="10"/>
  <c r="CS562" i="10"/>
  <c r="F563" i="10"/>
  <c r="AD563" i="10"/>
  <c r="AH563" i="10"/>
  <c r="BS563" i="10" s="1"/>
  <c r="AI563" i="10"/>
  <c r="AJ563" i="10"/>
  <c r="BG563" i="10" s="1"/>
  <c r="AO563" i="10"/>
  <c r="BE563" i="10" a="1"/>
  <c r="BE563" i="10" s="1"/>
  <c r="BH563" i="10"/>
  <c r="BI563" i="10" a="1"/>
  <c r="BI563" i="10" s="1"/>
  <c r="BJ563" i="10"/>
  <c r="BO563" i="10"/>
  <c r="CS563" i="10"/>
  <c r="A564" i="10"/>
  <c r="F564" i="10"/>
  <c r="AD564" i="10"/>
  <c r="AH564" i="10"/>
  <c r="CO564" i="10" s="1"/>
  <c r="AI564" i="10"/>
  <c r="AJ564" i="10"/>
  <c r="BG564" i="10" s="1"/>
  <c r="AO564" i="10"/>
  <c r="BI564" i="10" a="1"/>
  <c r="BI564" i="10"/>
  <c r="BJ564" i="10"/>
  <c r="BO564" i="10"/>
  <c r="BS564" i="10"/>
  <c r="BW564" i="10"/>
  <c r="CD564" i="10" a="1"/>
  <c r="CD564" i="10"/>
  <c r="CF564" i="10"/>
  <c r="CK564" i="10"/>
  <c r="F565" i="10"/>
  <c r="AD565" i="10"/>
  <c r="AH565" i="10"/>
  <c r="BG565" i="10" s="1"/>
  <c r="AI565" i="10"/>
  <c r="AJ565" i="10"/>
  <c r="BH565" i="10"/>
  <c r="BI565" i="10" a="1"/>
  <c r="BI565" i="10"/>
  <c r="BO565" i="10"/>
  <c r="BS565" i="10"/>
  <c r="CF565" i="10"/>
  <c r="A566" i="10"/>
  <c r="F566" i="10"/>
  <c r="AD566" i="10"/>
  <c r="AH566" i="10"/>
  <c r="BS566" i="10" s="1"/>
  <c r="AI566" i="10"/>
  <c r="AJ566" i="10"/>
  <c r="BH566" i="10" s="1"/>
  <c r="AO566" i="10"/>
  <c r="BE566" i="10" a="1"/>
  <c r="BE566" i="10" s="1"/>
  <c r="BG566" i="10"/>
  <c r="BI566" i="10" a="1"/>
  <c r="BI566" i="10"/>
  <c r="BJ566" i="10"/>
  <c r="BO566" i="10"/>
  <c r="BW566" i="10"/>
  <c r="CD566" i="10" a="1"/>
  <c r="CD566" i="10" s="1"/>
  <c r="CF566" i="10"/>
  <c r="CK566" i="10"/>
  <c r="CO566" i="10"/>
  <c r="CS566" i="10"/>
  <c r="F567" i="10"/>
  <c r="AD567" i="10"/>
  <c r="AH567" i="10"/>
  <c r="AO567" i="10" s="1"/>
  <c r="AI567" i="10"/>
  <c r="AJ567" i="10"/>
  <c r="BG567" i="10" s="1"/>
  <c r="BE567" i="10" a="1"/>
  <c r="BE567" i="10" s="1"/>
  <c r="BH567" i="10"/>
  <c r="BI567" i="10" a="1"/>
  <c r="BI567" i="10" s="1"/>
  <c r="BO567" i="10"/>
  <c r="CS567" i="10"/>
  <c r="A568" i="10"/>
  <c r="F568" i="10"/>
  <c r="AD568" i="10"/>
  <c r="AH568" i="10"/>
  <c r="CO568" i="10" s="1"/>
  <c r="AI568" i="10"/>
  <c r="AJ568" i="10"/>
  <c r="BG568" i="10" s="1"/>
  <c r="AO568" i="10"/>
  <c r="BI568" i="10" a="1"/>
  <c r="BI568" i="10"/>
  <c r="BJ568" i="10"/>
  <c r="BO568" i="10"/>
  <c r="BS568" i="10"/>
  <c r="BW568" i="10"/>
  <c r="CD568" i="10" a="1"/>
  <c r="CD568" i="10"/>
  <c r="CF568" i="10"/>
  <c r="CK568" i="10"/>
  <c r="F569" i="10"/>
  <c r="AD569" i="10"/>
  <c r="AH569" i="10"/>
  <c r="BG569" i="10" s="1"/>
  <c r="AI569" i="10"/>
  <c r="AJ569" i="10"/>
  <c r="BH569" i="10"/>
  <c r="BI569" i="10" a="1"/>
  <c r="BI569" i="10"/>
  <c r="BO569" i="10"/>
  <c r="BS569" i="10"/>
  <c r="CF569" i="10"/>
  <c r="A570" i="10"/>
  <c r="F570" i="10"/>
  <c r="AD570" i="10"/>
  <c r="AH570" i="10"/>
  <c r="BS570" i="10" s="1"/>
  <c r="AI570" i="10"/>
  <c r="AJ570" i="10"/>
  <c r="BH570" i="10" s="1"/>
  <c r="AO570" i="10"/>
  <c r="BE570" i="10" a="1"/>
  <c r="BE570" i="10" s="1"/>
  <c r="BG570" i="10"/>
  <c r="BI570" i="10" a="1"/>
  <c r="BI570" i="10"/>
  <c r="BJ570" i="10"/>
  <c r="BO570" i="10"/>
  <c r="BW570" i="10"/>
  <c r="CD570" i="10" a="1"/>
  <c r="CD570" i="10" s="1"/>
  <c r="CK570" i="10"/>
  <c r="CO570" i="10"/>
  <c r="CS570" i="10"/>
  <c r="F571" i="10"/>
  <c r="AD571" i="10"/>
  <c r="AH571" i="10"/>
  <c r="AO571" i="10" s="1"/>
  <c r="AI571" i="10"/>
  <c r="AJ571" i="10"/>
  <c r="BG571" i="10" s="1"/>
  <c r="BE571" i="10" a="1"/>
  <c r="BE571" i="10" s="1"/>
  <c r="BH571" i="10"/>
  <c r="BI571" i="10" a="1"/>
  <c r="BI571" i="10" s="1"/>
  <c r="BO571" i="10"/>
  <c r="CS571" i="10"/>
  <c r="A572" i="10"/>
  <c r="F572" i="10"/>
  <c r="AD572" i="10"/>
  <c r="AH572" i="10"/>
  <c r="CO572" i="10" s="1"/>
  <c r="AI572" i="10"/>
  <c r="AJ572" i="10"/>
  <c r="BG572" i="10" s="1"/>
  <c r="AO572" i="10"/>
  <c r="BI572" i="10" a="1"/>
  <c r="BI572" i="10"/>
  <c r="BJ572" i="10"/>
  <c r="BO572" i="10"/>
  <c r="BS572" i="10"/>
  <c r="BW572" i="10"/>
  <c r="CD572" i="10" a="1"/>
  <c r="CD572" i="10"/>
  <c r="CF572" i="10"/>
  <c r="CK572" i="10"/>
  <c r="F573" i="10"/>
  <c r="AD573" i="10"/>
  <c r="AH573" i="10"/>
  <c r="BS573" i="10" s="1"/>
  <c r="AI573" i="10"/>
  <c r="AJ573" i="10"/>
  <c r="BH573" i="10"/>
  <c r="BI573" i="10" a="1"/>
  <c r="BI573" i="10"/>
  <c r="BO573" i="10"/>
  <c r="A574" i="10"/>
  <c r="F574" i="10"/>
  <c r="AD574" i="10"/>
  <c r="AH574" i="10"/>
  <c r="BS574" i="10" s="1"/>
  <c r="AI574" i="10"/>
  <c r="AJ574" i="10"/>
  <c r="AO574" i="10"/>
  <c r="BE574" i="10" a="1"/>
  <c r="BE574" i="10" s="1"/>
  <c r="BI574" i="10" a="1"/>
  <c r="BI574" i="10"/>
  <c r="BJ574" i="10"/>
  <c r="BO574" i="10"/>
  <c r="BW574" i="10"/>
  <c r="CD574" i="10" a="1"/>
  <c r="CD574" i="10" s="1"/>
  <c r="CF574" i="10"/>
  <c r="CK574" i="10"/>
  <c r="CO574" i="10"/>
  <c r="CS574" i="10"/>
  <c r="F575" i="10"/>
  <c r="AD575" i="10"/>
  <c r="AH575" i="10"/>
  <c r="AO575" i="10" s="1"/>
  <c r="AI575" i="10"/>
  <c r="AJ575" i="10"/>
  <c r="BG575" i="10" s="1"/>
  <c r="BE575" i="10" a="1"/>
  <c r="BE575" i="10" s="1"/>
  <c r="BH575" i="10"/>
  <c r="BI575" i="10" a="1"/>
  <c r="BI575" i="10" s="1"/>
  <c r="BO575" i="10"/>
  <c r="CS575" i="10"/>
  <c r="A576" i="10"/>
  <c r="F576" i="10"/>
  <c r="AD576" i="10"/>
  <c r="AH576" i="10"/>
  <c r="CO576" i="10" s="1"/>
  <c r="AI576" i="10"/>
  <c r="AJ576" i="10"/>
  <c r="BG576" i="10" s="1"/>
  <c r="AO576" i="10"/>
  <c r="BI576" i="10" a="1"/>
  <c r="BI576" i="10"/>
  <c r="BJ576" i="10"/>
  <c r="BO576" i="10"/>
  <c r="BS576" i="10"/>
  <c r="BW576" i="10"/>
  <c r="CD576" i="10" a="1"/>
  <c r="CD576" i="10"/>
  <c r="CF576" i="10"/>
  <c r="CK576" i="10"/>
  <c r="F577" i="10"/>
  <c r="AD577" i="10"/>
  <c r="AH577" i="10"/>
  <c r="BS577" i="10" s="1"/>
  <c r="AI577" i="10"/>
  <c r="AJ577" i="10"/>
  <c r="BH577" i="10"/>
  <c r="BI577" i="10" a="1"/>
  <c r="BI577" i="10"/>
  <c r="BO577" i="10"/>
  <c r="A578" i="10"/>
  <c r="F578" i="10"/>
  <c r="AD578" i="10"/>
  <c r="AH578" i="10"/>
  <c r="BS578" i="10" s="1"/>
  <c r="AI578" i="10"/>
  <c r="AJ578" i="10"/>
  <c r="BH578" i="10" s="1"/>
  <c r="AO578" i="10"/>
  <c r="BE578" i="10" a="1"/>
  <c r="BE578" i="10" s="1"/>
  <c r="BI578" i="10" a="1"/>
  <c r="BI578" i="10"/>
  <c r="BJ578" i="10"/>
  <c r="BO578" i="10"/>
  <c r="BW578" i="10"/>
  <c r="CD578" i="10" a="1"/>
  <c r="CD578" i="10" s="1"/>
  <c r="CF578" i="10"/>
  <c r="CK578" i="10"/>
  <c r="CO578" i="10"/>
  <c r="CS578" i="10"/>
  <c r="F579" i="10"/>
  <c r="AD579" i="10"/>
  <c r="AH579" i="10"/>
  <c r="AO579" i="10" s="1"/>
  <c r="AI579" i="10"/>
  <c r="AJ579" i="10"/>
  <c r="BG579" i="10" s="1"/>
  <c r="BE579" i="10" a="1"/>
  <c r="BE579" i="10" s="1"/>
  <c r="BH579" i="10"/>
  <c r="BI579" i="10" a="1"/>
  <c r="BI579" i="10" s="1"/>
  <c r="BO579" i="10"/>
  <c r="CS579" i="10"/>
  <c r="A580" i="10"/>
  <c r="F580" i="10"/>
  <c r="AD580" i="10"/>
  <c r="AH580" i="10"/>
  <c r="CO580" i="10" s="1"/>
  <c r="AI580" i="10"/>
  <c r="AJ580" i="10"/>
  <c r="BG580" i="10" s="1"/>
  <c r="AO580" i="10"/>
  <c r="BI580" i="10" a="1"/>
  <c r="BI580" i="10"/>
  <c r="BJ580" i="10"/>
  <c r="BO580" i="10"/>
  <c r="BS580" i="10"/>
  <c r="BW580" i="10"/>
  <c r="CD580" i="10" a="1"/>
  <c r="CD580" i="10"/>
  <c r="CF580" i="10"/>
  <c r="CK580" i="10"/>
  <c r="F581" i="10"/>
  <c r="AD581" i="10"/>
  <c r="AH581" i="10"/>
  <c r="BS581" i="10" s="1"/>
  <c r="AI581" i="10"/>
  <c r="AJ581" i="10"/>
  <c r="BH581" i="10"/>
  <c r="BI581" i="10" a="1"/>
  <c r="BI581" i="10"/>
  <c r="BO581" i="10"/>
  <c r="CF581" i="10"/>
  <c r="A582" i="10"/>
  <c r="F582" i="10"/>
  <c r="AD582" i="10"/>
  <c r="AH582" i="10"/>
  <c r="BS582" i="10" s="1"/>
  <c r="AI582" i="10"/>
  <c r="AJ582" i="10"/>
  <c r="BH582" i="10" s="1"/>
  <c r="AO582" i="10"/>
  <c r="BE582" i="10" a="1"/>
  <c r="BE582" i="10" s="1"/>
  <c r="BF582" i="10" s="1"/>
  <c r="BG582" i="10"/>
  <c r="BI582" i="10" a="1"/>
  <c r="BI582" i="10"/>
  <c r="BJ582" i="10"/>
  <c r="BO582" i="10"/>
  <c r="BT582" i="10"/>
  <c r="BW582" i="10"/>
  <c r="CD582" i="10" a="1"/>
  <c r="CD582" i="10" s="1"/>
  <c r="CF582" i="10"/>
  <c r="CK582" i="10"/>
  <c r="CO582" i="10"/>
  <c r="CS582" i="10"/>
  <c r="F583" i="10"/>
  <c r="AD583" i="10"/>
  <c r="AH583" i="10"/>
  <c r="AI583" i="10"/>
  <c r="AJ583" i="10"/>
  <c r="BG583" i="10" s="1"/>
  <c r="BE583" i="10" a="1"/>
  <c r="BE583" i="10" s="1"/>
  <c r="BH583" i="10"/>
  <c r="BI583" i="10" a="1"/>
  <c r="BI583" i="10" s="1"/>
  <c r="BO583" i="10"/>
  <c r="CS583" i="10"/>
  <c r="A584" i="10"/>
  <c r="F584" i="10"/>
  <c r="AD584" i="10"/>
  <c r="AH584" i="10"/>
  <c r="CO584" i="10" s="1"/>
  <c r="AI584" i="10"/>
  <c r="AJ584" i="10"/>
  <c r="AO584" i="10"/>
  <c r="BI584" i="10" a="1"/>
  <c r="BI584" i="10"/>
  <c r="BJ584" i="10"/>
  <c r="BO584" i="10"/>
  <c r="BS584" i="10"/>
  <c r="BW584" i="10"/>
  <c r="CD584" i="10" a="1"/>
  <c r="CD584" i="10" s="1"/>
  <c r="CF584" i="10"/>
  <c r="CK584" i="10"/>
  <c r="F585" i="10"/>
  <c r="AD585" i="10"/>
  <c r="AH585" i="10"/>
  <c r="AI585" i="10"/>
  <c r="AJ585" i="10"/>
  <c r="BH585" i="10"/>
  <c r="BI585" i="10" a="1"/>
  <c r="BI585" i="10"/>
  <c r="A586" i="10"/>
  <c r="F586" i="10"/>
  <c r="AD586" i="10"/>
  <c r="AH586" i="10"/>
  <c r="BS586" i="10" s="1"/>
  <c r="AI586" i="10"/>
  <c r="AJ586" i="10"/>
  <c r="BH586" i="10" s="1"/>
  <c r="AO586" i="10"/>
  <c r="BE586" i="10" a="1"/>
  <c r="BE586" i="10" s="1"/>
  <c r="BF586" i="10"/>
  <c r="BI586" i="10" a="1"/>
  <c r="BI586" i="10"/>
  <c r="BJ586" i="10"/>
  <c r="BO586" i="10"/>
  <c r="BW586" i="10"/>
  <c r="CD586" i="10" a="1"/>
  <c r="CD586" i="10" s="1"/>
  <c r="CF586" i="10"/>
  <c r="CK586" i="10"/>
  <c r="CO586" i="10"/>
  <c r="CS586" i="10"/>
  <c r="F587" i="10"/>
  <c r="AD587" i="10"/>
  <c r="AH587" i="10"/>
  <c r="AI587" i="10"/>
  <c r="AJ587" i="10"/>
  <c r="BH587" i="10"/>
  <c r="BI587" i="10" a="1"/>
  <c r="BI587" i="10" s="1"/>
  <c r="A588" i="10"/>
  <c r="F588" i="10"/>
  <c r="AD588" i="10"/>
  <c r="AH588" i="10"/>
  <c r="CO588" i="10" s="1"/>
  <c r="AI588" i="10"/>
  <c r="AJ588" i="10"/>
  <c r="AO588" i="10"/>
  <c r="BI588" i="10" a="1"/>
  <c r="BI588" i="10"/>
  <c r="BJ588" i="10"/>
  <c r="BO588" i="10"/>
  <c r="BS588" i="10"/>
  <c r="BW588" i="10"/>
  <c r="CD588" i="10" a="1"/>
  <c r="CD588" i="10"/>
  <c r="CF588" i="10"/>
  <c r="CK588" i="10"/>
  <c r="F589" i="10"/>
  <c r="AD589" i="10"/>
  <c r="AH589" i="10"/>
  <c r="BE589" i="10" s="1" a="1"/>
  <c r="BE589" i="10" s="1"/>
  <c r="AI589" i="10"/>
  <c r="AJ589" i="10"/>
  <c r="BH589" i="10"/>
  <c r="BI589" i="10" a="1"/>
  <c r="BI589" i="10"/>
  <c r="BS589" i="10"/>
  <c r="CF589" i="10"/>
  <c r="A590" i="10"/>
  <c r="F590" i="10"/>
  <c r="AD590" i="10"/>
  <c r="AH590" i="10"/>
  <c r="BS590" i="10" s="1"/>
  <c r="AI590" i="10"/>
  <c r="AJ590" i="10"/>
  <c r="BH590" i="10" s="1"/>
  <c r="AO590" i="10"/>
  <c r="BE590" i="10" a="1"/>
  <c r="BE590" i="10" s="1"/>
  <c r="BG590" i="10"/>
  <c r="BI590" i="10" a="1"/>
  <c r="BI590" i="10"/>
  <c r="BJ590" i="10"/>
  <c r="BO590" i="10"/>
  <c r="BW590" i="10"/>
  <c r="CD590" i="10" a="1"/>
  <c r="CD590" i="10" s="1"/>
  <c r="CF590" i="10"/>
  <c r="CK590" i="10"/>
  <c r="CO590" i="10"/>
  <c r="CS590" i="10"/>
  <c r="F591" i="10"/>
  <c r="AD591" i="10"/>
  <c r="AH591" i="10"/>
  <c r="AI591" i="10"/>
  <c r="AJ591" i="10"/>
  <c r="BG591" i="10" s="1"/>
  <c r="AO591" i="10"/>
  <c r="BE591" i="10" a="1"/>
  <c r="BE591" i="10" s="1"/>
  <c r="BH591" i="10"/>
  <c r="BI591" i="10" a="1"/>
  <c r="BI591" i="10" s="1"/>
  <c r="BJ591" i="10"/>
  <c r="BO591" i="10"/>
  <c r="CS591" i="10"/>
  <c r="F592" i="10"/>
  <c r="AD592" i="10"/>
  <c r="AH592" i="10"/>
  <c r="A592" i="10" s="1"/>
  <c r="AI592" i="10"/>
  <c r="AJ592" i="10"/>
  <c r="BI592" i="10" a="1"/>
  <c r="BI592" i="10"/>
  <c r="BO592" i="10"/>
  <c r="BS592" i="10"/>
  <c r="BW592" i="10"/>
  <c r="CD592" i="10" a="1"/>
  <c r="CD592" i="10" s="1"/>
  <c r="CK592" i="10"/>
  <c r="F593" i="10"/>
  <c r="AD593" i="10"/>
  <c r="AH593" i="10"/>
  <c r="CF593" i="10" s="1"/>
  <c r="AI593" i="10"/>
  <c r="AJ593" i="10"/>
  <c r="BI593" i="10" a="1"/>
  <c r="BI593" i="10"/>
  <c r="BO593" i="10"/>
  <c r="BS593" i="10"/>
  <c r="BW593" i="10"/>
  <c r="CD593" i="10" a="1"/>
  <c r="CD593" i="10" s="1"/>
  <c r="CE593" i="10" s="1"/>
  <c r="CK593" i="10"/>
  <c r="CO593" i="10"/>
  <c r="CS593" i="10"/>
  <c r="A594" i="10"/>
  <c r="F594" i="10"/>
  <c r="AD594" i="10"/>
  <c r="AH594" i="10"/>
  <c r="BS594" i="10" s="1"/>
  <c r="AI594" i="10"/>
  <c r="AJ594" i="10"/>
  <c r="AO594" i="10"/>
  <c r="BE594" i="10" a="1"/>
  <c r="BE594" i="10" s="1"/>
  <c r="BF594" i="10" s="1"/>
  <c r="BI594" i="10" a="1"/>
  <c r="BI594" i="10" s="1"/>
  <c r="BJ594" i="10"/>
  <c r="BO594" i="10"/>
  <c r="BW594" i="10"/>
  <c r="CD594" i="10" a="1"/>
  <c r="CD594" i="10" s="1"/>
  <c r="CE594" i="10"/>
  <c r="CF594" i="10"/>
  <c r="CK594" i="10"/>
  <c r="CO594" i="10"/>
  <c r="CS594" i="10"/>
  <c r="A595" i="10"/>
  <c r="F595" i="10"/>
  <c r="AD595" i="10"/>
  <c r="AH595" i="10"/>
  <c r="AI595" i="10"/>
  <c r="AJ595" i="10"/>
  <c r="BG595" i="10" s="1"/>
  <c r="AO595" i="10"/>
  <c r="BE595" i="10" a="1"/>
  <c r="BE595" i="10" s="1"/>
  <c r="BF595" i="10"/>
  <c r="BH595" i="10"/>
  <c r="BI595" i="10" a="1"/>
  <c r="BI595" i="10" s="1"/>
  <c r="BJ595" i="10"/>
  <c r="BL595" i="10"/>
  <c r="BO595" i="10"/>
  <c r="BP595" i="10" s="1"/>
  <c r="CS595" i="10"/>
  <c r="F596" i="10"/>
  <c r="AD596" i="10"/>
  <c r="AH596" i="10"/>
  <c r="A596" i="10" s="1"/>
  <c r="AI596" i="10"/>
  <c r="AJ596" i="10"/>
  <c r="AO596" i="10"/>
  <c r="BH596" i="10"/>
  <c r="BI596" i="10" a="1"/>
  <c r="BI596" i="10"/>
  <c r="BS596" i="10"/>
  <c r="CD596" i="10" a="1"/>
  <c r="CD596" i="10" s="1"/>
  <c r="F597" i="10"/>
  <c r="AD597" i="10"/>
  <c r="AH597" i="10"/>
  <c r="BE597" i="10" s="1" a="1"/>
  <c r="BE597" i="10" s="1"/>
  <c r="AI597" i="10"/>
  <c r="AJ597" i="10"/>
  <c r="BI597" i="10" a="1"/>
  <c r="BI597" i="10" s="1"/>
  <c r="BO597" i="10"/>
  <c r="BS597" i="10"/>
  <c r="BW597" i="10"/>
  <c r="CD597" i="10" a="1"/>
  <c r="CD597" i="10" s="1"/>
  <c r="CF597" i="10"/>
  <c r="CK597" i="10"/>
  <c r="CS597" i="10"/>
  <c r="A598" i="10"/>
  <c r="F598" i="10"/>
  <c r="AD598" i="10"/>
  <c r="AH598" i="10"/>
  <c r="AI598" i="10"/>
  <c r="AJ598" i="10"/>
  <c r="BH598" i="10" s="1"/>
  <c r="AO598" i="10"/>
  <c r="BE598" i="10" a="1"/>
  <c r="BE598" i="10" s="1"/>
  <c r="BG598" i="10"/>
  <c r="BI598" i="10" a="1"/>
  <c r="BI598" i="10"/>
  <c r="BJ598" i="10"/>
  <c r="BO598" i="10"/>
  <c r="BS598" i="10"/>
  <c r="BW598" i="10"/>
  <c r="CD598" i="10" a="1"/>
  <c r="CD598" i="10" s="1"/>
  <c r="CF598" i="10"/>
  <c r="CK598" i="10"/>
  <c r="CO598" i="10"/>
  <c r="CS598" i="10"/>
  <c r="A599" i="10"/>
  <c r="F599" i="10"/>
  <c r="AD599" i="10"/>
  <c r="AH599" i="10"/>
  <c r="AI599" i="10"/>
  <c r="AJ599" i="10"/>
  <c r="AO599" i="10"/>
  <c r="BE599" i="10" a="1"/>
  <c r="BE599" i="10"/>
  <c r="BG599" i="10"/>
  <c r="BH599" i="10"/>
  <c r="BI599" i="10" a="1"/>
  <c r="BI599" i="10" s="1"/>
  <c r="BJ599" i="10"/>
  <c r="BO599" i="10"/>
  <c r="BS599" i="10"/>
  <c r="BW599" i="10"/>
  <c r="CD599" i="10" a="1"/>
  <c r="CD599" i="10"/>
  <c r="CE599" i="10" s="1"/>
  <c r="CT599" i="10" s="1"/>
  <c r="CF599" i="10"/>
  <c r="CL599" i="10" s="1"/>
  <c r="CK599" i="10"/>
  <c r="CO599" i="10"/>
  <c r="CS599" i="10"/>
  <c r="A600" i="10"/>
  <c r="F600" i="10"/>
  <c r="AD600" i="10"/>
  <c r="AH600" i="10"/>
  <c r="BW600" i="10" s="1"/>
  <c r="AI600" i="10"/>
  <c r="AJ600" i="10"/>
  <c r="AO600" i="10"/>
  <c r="BG600" i="10"/>
  <c r="BH600" i="10"/>
  <c r="BI600" i="10" a="1"/>
  <c r="BI600" i="10" s="1"/>
  <c r="BJ600" i="10"/>
  <c r="BO600" i="10"/>
  <c r="BS600" i="10"/>
  <c r="CF600" i="10"/>
  <c r="CO600" i="10"/>
  <c r="F601" i="10"/>
  <c r="AD601" i="10"/>
  <c r="AH601" i="10"/>
  <c r="BW601" i="10" s="1"/>
  <c r="AI601" i="10"/>
  <c r="AJ601" i="10"/>
  <c r="BG601" i="10"/>
  <c r="BH601" i="10"/>
  <c r="BI601" i="10" a="1"/>
  <c r="BI601" i="10" s="1"/>
  <c r="BO601" i="10"/>
  <c r="BS601" i="10"/>
  <c r="CF601" i="10"/>
  <c r="CO601" i="10"/>
  <c r="F602" i="10"/>
  <c r="AD602" i="10"/>
  <c r="AH602" i="10"/>
  <c r="A602" i="10" s="1"/>
  <c r="AI602" i="10"/>
  <c r="AJ602" i="10"/>
  <c r="BH602" i="10" s="1"/>
  <c r="AO602" i="10"/>
  <c r="BE602" i="10" a="1"/>
  <c r="BE602" i="10" s="1"/>
  <c r="BG602" i="10"/>
  <c r="BI602" i="10" a="1"/>
  <c r="BI602" i="10" s="1"/>
  <c r="BJ602" i="10"/>
  <c r="BO602" i="10"/>
  <c r="BS602" i="10"/>
  <c r="BW602" i="10"/>
  <c r="CD602" i="10" a="1"/>
  <c r="CD602" i="10"/>
  <c r="CF602" i="10"/>
  <c r="CK602" i="10"/>
  <c r="CO602" i="10"/>
  <c r="CS602" i="10"/>
  <c r="A603" i="10"/>
  <c r="F603" i="10"/>
  <c r="AD603" i="10"/>
  <c r="AH603" i="10"/>
  <c r="AI603" i="10"/>
  <c r="AJ603" i="10"/>
  <c r="BG603" i="10" s="1"/>
  <c r="AO603" i="10"/>
  <c r="BE603" i="10" a="1"/>
  <c r="BE603" i="10"/>
  <c r="BI603" i="10" a="1"/>
  <c r="BI603" i="10" s="1"/>
  <c r="BJ603" i="10"/>
  <c r="BO603" i="10"/>
  <c r="BS603" i="10"/>
  <c r="BW603" i="10"/>
  <c r="CD603" i="10" a="1"/>
  <c r="CD603" i="10"/>
  <c r="CE603" i="10" s="1"/>
  <c r="CF603" i="10"/>
  <c r="CK603" i="10"/>
  <c r="CO603" i="10"/>
  <c r="CS603" i="10"/>
  <c r="A604" i="10"/>
  <c r="F604" i="10"/>
  <c r="AD604" i="10"/>
  <c r="AH604" i="10"/>
  <c r="AI604" i="10"/>
  <c r="AJ604" i="10"/>
  <c r="AO604" i="10"/>
  <c r="BG604" i="10"/>
  <c r="BH604" i="10"/>
  <c r="BI604" i="10" a="1"/>
  <c r="BI604" i="10"/>
  <c r="BJ604" i="10"/>
  <c r="BO604" i="10"/>
  <c r="BS604" i="10"/>
  <c r="CF604" i="10"/>
  <c r="CO604" i="10"/>
  <c r="F605" i="10"/>
  <c r="AD605" i="10"/>
  <c r="AH605" i="10"/>
  <c r="BW605" i="10" s="1"/>
  <c r="AI605" i="10"/>
  <c r="AJ605" i="10"/>
  <c r="BG605" i="10"/>
  <c r="BH605" i="10"/>
  <c r="BI605" i="10" a="1"/>
  <c r="BI605" i="10" s="1"/>
  <c r="BO605" i="10"/>
  <c r="BS605" i="10"/>
  <c r="CF605" i="10"/>
  <c r="CO605" i="10"/>
  <c r="F606" i="10"/>
  <c r="AD606" i="10"/>
  <c r="AH606" i="10"/>
  <c r="BS606" i="10" s="1"/>
  <c r="AI606" i="10"/>
  <c r="AJ606" i="10"/>
  <c r="BH606" i="10" s="1"/>
  <c r="AO606" i="10"/>
  <c r="BE606" i="10" a="1"/>
  <c r="BE606" i="10" s="1"/>
  <c r="BG606" i="10"/>
  <c r="BI606" i="10" a="1"/>
  <c r="BI606" i="10" s="1"/>
  <c r="BJ606" i="10"/>
  <c r="BO606" i="10"/>
  <c r="BW606" i="10"/>
  <c r="CD606" i="10" a="1"/>
  <c r="CD606" i="10"/>
  <c r="CF606" i="10"/>
  <c r="CK606" i="10"/>
  <c r="CO606" i="10"/>
  <c r="CS606" i="10"/>
  <c r="A607" i="10"/>
  <c r="F607" i="10"/>
  <c r="AD607" i="10"/>
  <c r="AH607" i="10"/>
  <c r="AI607" i="10"/>
  <c r="AJ607" i="10"/>
  <c r="BG607" i="10" s="1"/>
  <c r="AO607" i="10"/>
  <c r="BE607" i="10" a="1"/>
  <c r="BE607" i="10"/>
  <c r="BI607" i="10" a="1"/>
  <c r="BI607" i="10" s="1"/>
  <c r="BJ607" i="10"/>
  <c r="BO607" i="10"/>
  <c r="BS607" i="10"/>
  <c r="BW607" i="10"/>
  <c r="CD607" i="10" a="1"/>
  <c r="CD607" i="10"/>
  <c r="CE607" i="10" s="1"/>
  <c r="CF607" i="10"/>
  <c r="CK607" i="10"/>
  <c r="CO607" i="10"/>
  <c r="CS607" i="10"/>
  <c r="A608" i="10"/>
  <c r="F608" i="10"/>
  <c r="AD608" i="10"/>
  <c r="AH608" i="10"/>
  <c r="BW608" i="10" s="1"/>
  <c r="AI608" i="10"/>
  <c r="AJ608" i="10"/>
  <c r="AO608" i="10"/>
  <c r="BG608" i="10"/>
  <c r="BH608" i="10"/>
  <c r="BI608" i="10" a="1"/>
  <c r="BI608" i="10"/>
  <c r="BJ608" i="10"/>
  <c r="BO608" i="10"/>
  <c r="BS608" i="10"/>
  <c r="CF608" i="10"/>
  <c r="CO608" i="10"/>
  <c r="F609" i="10"/>
  <c r="AD609" i="10"/>
  <c r="AH609" i="10"/>
  <c r="BW609" i="10" s="1"/>
  <c r="AI609" i="10"/>
  <c r="AJ609" i="10"/>
  <c r="BG609" i="10"/>
  <c r="BH609" i="10"/>
  <c r="BI609" i="10" a="1"/>
  <c r="BI609" i="10" s="1"/>
  <c r="BO609" i="10"/>
  <c r="BS609" i="10"/>
  <c r="CF609" i="10"/>
  <c r="CO609" i="10"/>
  <c r="F610" i="10"/>
  <c r="AD610" i="10"/>
  <c r="AH610" i="10"/>
  <c r="BS610" i="10" s="1"/>
  <c r="AI610" i="10"/>
  <c r="AJ610" i="10"/>
  <c r="BH610" i="10" s="1"/>
  <c r="AO610" i="10"/>
  <c r="BE610" i="10" a="1"/>
  <c r="BE610" i="10" s="1"/>
  <c r="BG610" i="10"/>
  <c r="BI610" i="10" a="1"/>
  <c r="BI610" i="10" s="1"/>
  <c r="BJ610" i="10"/>
  <c r="BO610" i="10"/>
  <c r="BW610" i="10"/>
  <c r="CD610" i="10" a="1"/>
  <c r="CD610" i="10"/>
  <c r="CF610" i="10"/>
  <c r="CK610" i="10"/>
  <c r="CO610" i="10"/>
  <c r="CS610" i="10"/>
  <c r="A611" i="10"/>
  <c r="F611" i="10"/>
  <c r="AD611" i="10"/>
  <c r="AH611" i="10"/>
  <c r="AI611" i="10"/>
  <c r="AJ611" i="10"/>
  <c r="BG611" i="10" s="1"/>
  <c r="AO611" i="10"/>
  <c r="BE611" i="10" a="1"/>
  <c r="BE611" i="10"/>
  <c r="BI611" i="10" a="1"/>
  <c r="BI611" i="10" s="1"/>
  <c r="BJ611" i="10"/>
  <c r="BO611" i="10"/>
  <c r="BS611" i="10"/>
  <c r="BW611" i="10"/>
  <c r="CD611" i="10" a="1"/>
  <c r="CD611" i="10"/>
  <c r="CE611" i="10" s="1"/>
  <c r="CF611" i="10"/>
  <c r="CK611" i="10"/>
  <c r="CO611" i="10"/>
  <c r="CS611" i="10"/>
  <c r="A612" i="10"/>
  <c r="F612" i="10"/>
  <c r="AD612" i="10"/>
  <c r="AH612" i="10"/>
  <c r="BW612" i="10" s="1"/>
  <c r="AI612" i="10"/>
  <c r="AJ612" i="10"/>
  <c r="AO612" i="10"/>
  <c r="BG612" i="10"/>
  <c r="BH612" i="10"/>
  <c r="BI612" i="10" a="1"/>
  <c r="BI612" i="10"/>
  <c r="BJ612" i="10"/>
  <c r="BO612" i="10"/>
  <c r="BS612" i="10"/>
  <c r="CF612" i="10"/>
  <c r="CO612" i="10"/>
  <c r="F613" i="10"/>
  <c r="AD613" i="10"/>
  <c r="AH613" i="10"/>
  <c r="BW613" i="10" s="1"/>
  <c r="AI613" i="10"/>
  <c r="AJ613" i="10"/>
  <c r="BG613" i="10"/>
  <c r="BH613" i="10"/>
  <c r="BI613" i="10" a="1"/>
  <c r="BI613" i="10" s="1"/>
  <c r="BO613" i="10"/>
  <c r="BS613" i="10"/>
  <c r="CF613" i="10"/>
  <c r="CO613" i="10"/>
  <c r="A614" i="10"/>
  <c r="F614" i="10"/>
  <c r="AD614" i="10"/>
  <c r="AH614" i="10"/>
  <c r="BS614" i="10" s="1"/>
  <c r="AI614" i="10"/>
  <c r="AJ614" i="10"/>
  <c r="BH614" i="10" s="1"/>
  <c r="AO614" i="10"/>
  <c r="BE614" i="10" a="1"/>
  <c r="BE614" i="10" s="1"/>
  <c r="BG614" i="10"/>
  <c r="BI614" i="10" a="1"/>
  <c r="BI614" i="10" s="1"/>
  <c r="BJ614" i="10"/>
  <c r="BO614" i="10"/>
  <c r="BW614" i="10"/>
  <c r="CD614" i="10" a="1"/>
  <c r="CD614" i="10"/>
  <c r="CF614" i="10"/>
  <c r="CK614" i="10"/>
  <c r="CO614" i="10"/>
  <c r="CS614" i="10"/>
  <c r="A615" i="10"/>
  <c r="F615" i="10"/>
  <c r="AD615" i="10"/>
  <c r="AH615" i="10"/>
  <c r="CO615" i="10" s="1"/>
  <c r="AI615" i="10"/>
  <c r="AJ615" i="10"/>
  <c r="BG615" i="10" s="1"/>
  <c r="AO615" i="10"/>
  <c r="BE615" i="10" a="1"/>
  <c r="BE615" i="10"/>
  <c r="BH615" i="10"/>
  <c r="BI615" i="10" a="1"/>
  <c r="BI615" i="10" s="1"/>
  <c r="BJ615" i="10"/>
  <c r="BO615" i="10"/>
  <c r="BS615" i="10"/>
  <c r="CF615" i="10"/>
  <c r="CS615" i="10"/>
  <c r="A616" i="10"/>
  <c r="F616" i="10"/>
  <c r="AD616" i="10"/>
  <c r="AH616" i="10"/>
  <c r="BW616" i="10" s="1"/>
  <c r="AI616" i="10"/>
  <c r="AJ616" i="10"/>
  <c r="AO616" i="10"/>
  <c r="BG616" i="10"/>
  <c r="BH616" i="10"/>
  <c r="BI616" i="10" a="1"/>
  <c r="BI616" i="10"/>
  <c r="BJ616" i="10"/>
  <c r="BO616" i="10"/>
  <c r="BS616" i="10"/>
  <c r="CF616" i="10"/>
  <c r="CO616" i="10"/>
  <c r="F617" i="10"/>
  <c r="AD617" i="10"/>
  <c r="AH617" i="10"/>
  <c r="BW617" i="10" s="1"/>
  <c r="AI617" i="10"/>
  <c r="AJ617" i="10"/>
  <c r="BG617" i="10"/>
  <c r="BH617" i="10"/>
  <c r="BI617" i="10" a="1"/>
  <c r="BI617" i="10" s="1"/>
  <c r="BO617" i="10"/>
  <c r="BS617" i="10"/>
  <c r="CF617" i="10"/>
  <c r="CO617" i="10"/>
  <c r="A618" i="10"/>
  <c r="F618" i="10"/>
  <c r="AD618" i="10"/>
  <c r="AH618" i="10"/>
  <c r="BS618" i="10" s="1"/>
  <c r="AI618" i="10"/>
  <c r="AJ618" i="10"/>
  <c r="BH618" i="10" s="1"/>
  <c r="AO618" i="10"/>
  <c r="BE618" i="10" a="1"/>
  <c r="BE618" i="10" s="1"/>
  <c r="BG618" i="10"/>
  <c r="BI618" i="10" a="1"/>
  <c r="BI618" i="10" s="1"/>
  <c r="BJ618" i="10"/>
  <c r="BO618" i="10"/>
  <c r="BW618" i="10"/>
  <c r="CD618" i="10" a="1"/>
  <c r="CD618" i="10"/>
  <c r="CF618" i="10"/>
  <c r="CK618" i="10"/>
  <c r="CO618" i="10"/>
  <c r="CS618" i="10"/>
  <c r="A619" i="10"/>
  <c r="F619" i="10"/>
  <c r="AD619" i="10"/>
  <c r="AH619" i="10"/>
  <c r="CO619" i="10" s="1"/>
  <c r="AI619" i="10"/>
  <c r="AJ619" i="10"/>
  <c r="BG619" i="10" s="1"/>
  <c r="AO619" i="10"/>
  <c r="BE619" i="10" a="1"/>
  <c r="BE619" i="10"/>
  <c r="BH619" i="10"/>
  <c r="BI619" i="10" a="1"/>
  <c r="BI619" i="10" s="1"/>
  <c r="BJ619" i="10"/>
  <c r="BO619" i="10"/>
  <c r="BS619" i="10"/>
  <c r="CF619" i="10"/>
  <c r="CS619" i="10"/>
  <c r="A620" i="10"/>
  <c r="F620" i="10"/>
  <c r="AD620" i="10"/>
  <c r="AH620" i="10"/>
  <c r="BW620" i="10" s="1"/>
  <c r="AI620" i="10"/>
  <c r="AJ620" i="10"/>
  <c r="AO620" i="10"/>
  <c r="BG620" i="10"/>
  <c r="BH620" i="10"/>
  <c r="BI620" i="10" a="1"/>
  <c r="BI620" i="10"/>
  <c r="BJ620" i="10"/>
  <c r="BO620" i="10"/>
  <c r="BS620" i="10"/>
  <c r="CF620" i="10"/>
  <c r="CO620" i="10"/>
  <c r="F621" i="10"/>
  <c r="AD621" i="10"/>
  <c r="AH621" i="10"/>
  <c r="BW621" i="10" s="1"/>
  <c r="AI621" i="10"/>
  <c r="AJ621" i="10"/>
  <c r="BG621" i="10"/>
  <c r="BH621" i="10"/>
  <c r="BI621" i="10" a="1"/>
  <c r="BI621" i="10" s="1"/>
  <c r="BO621" i="10"/>
  <c r="BS621" i="10"/>
  <c r="CF621" i="10"/>
  <c r="CO621" i="10"/>
  <c r="A622" i="10"/>
  <c r="F622" i="10"/>
  <c r="AD622" i="10"/>
  <c r="AH622" i="10"/>
  <c r="BS622" i="10" s="1"/>
  <c r="AI622" i="10"/>
  <c r="AJ622" i="10"/>
  <c r="BH622" i="10" s="1"/>
  <c r="AO622" i="10"/>
  <c r="BE622" i="10" a="1"/>
  <c r="BE622" i="10" s="1"/>
  <c r="BG622" i="10"/>
  <c r="BI622" i="10" a="1"/>
  <c r="BI622" i="10" s="1"/>
  <c r="BJ622" i="10"/>
  <c r="BO622" i="10"/>
  <c r="BW622" i="10"/>
  <c r="CD622" i="10" a="1"/>
  <c r="CD622" i="10"/>
  <c r="CF622" i="10"/>
  <c r="CK622" i="10"/>
  <c r="CO622" i="10"/>
  <c r="CS622" i="10"/>
  <c r="A623" i="10"/>
  <c r="F623" i="10"/>
  <c r="AD623" i="10"/>
  <c r="AH623" i="10"/>
  <c r="CO623" i="10" s="1"/>
  <c r="AI623" i="10"/>
  <c r="AJ623" i="10"/>
  <c r="BG623" i="10" s="1"/>
  <c r="AO623" i="10"/>
  <c r="BE623" i="10" a="1"/>
  <c r="BE623" i="10"/>
  <c r="BH623" i="10"/>
  <c r="BI623" i="10" a="1"/>
  <c r="BI623" i="10" s="1"/>
  <c r="BJ623" i="10"/>
  <c r="BO623" i="10"/>
  <c r="BS623" i="10"/>
  <c r="CF623" i="10"/>
  <c r="CS623" i="10"/>
  <c r="A624" i="10"/>
  <c r="F624" i="10"/>
  <c r="AD624" i="10"/>
  <c r="AH624" i="10"/>
  <c r="BW624" i="10" s="1"/>
  <c r="AI624" i="10"/>
  <c r="AJ624" i="10"/>
  <c r="AO624" i="10"/>
  <c r="BG624" i="10"/>
  <c r="BH624" i="10"/>
  <c r="BI624" i="10" a="1"/>
  <c r="BI624" i="10"/>
  <c r="BJ624" i="10"/>
  <c r="BO624" i="10"/>
  <c r="BS624" i="10"/>
  <c r="CF624" i="10"/>
  <c r="CO624" i="10"/>
  <c r="F625" i="10"/>
  <c r="AD625" i="10"/>
  <c r="AH625" i="10"/>
  <c r="BW625" i="10" s="1"/>
  <c r="AI625" i="10"/>
  <c r="AJ625" i="10"/>
  <c r="BG625" i="10"/>
  <c r="BH625" i="10"/>
  <c r="BI625" i="10" a="1"/>
  <c r="BI625" i="10" s="1"/>
  <c r="BO625" i="10"/>
  <c r="BS625" i="10"/>
  <c r="CF625" i="10"/>
  <c r="CO625" i="10"/>
  <c r="A626" i="10"/>
  <c r="F626" i="10"/>
  <c r="AD626" i="10"/>
  <c r="AH626" i="10"/>
  <c r="BS626" i="10" s="1"/>
  <c r="AI626" i="10"/>
  <c r="AJ626" i="10"/>
  <c r="BH626" i="10" s="1"/>
  <c r="AO626" i="10"/>
  <c r="BE626" i="10" a="1"/>
  <c r="BE626" i="10" s="1"/>
  <c r="BG626" i="10"/>
  <c r="BI626" i="10" a="1"/>
  <c r="BI626" i="10" s="1"/>
  <c r="BJ626" i="10"/>
  <c r="BO626" i="10"/>
  <c r="BW626" i="10"/>
  <c r="CD626" i="10" a="1"/>
  <c r="CD626" i="10"/>
  <c r="CF626" i="10"/>
  <c r="CK626" i="10"/>
  <c r="CO626" i="10"/>
  <c r="CS626" i="10"/>
  <c r="A627" i="10"/>
  <c r="F627" i="10"/>
  <c r="AD627" i="10"/>
  <c r="AH627" i="10"/>
  <c r="CO627" i="10" s="1"/>
  <c r="AI627" i="10"/>
  <c r="AJ627" i="10"/>
  <c r="BG627" i="10" s="1"/>
  <c r="AO627" i="10"/>
  <c r="BE627" i="10" a="1"/>
  <c r="BE627" i="10"/>
  <c r="BH627" i="10"/>
  <c r="BI627" i="10" a="1"/>
  <c r="BI627" i="10" s="1"/>
  <c r="BJ627" i="10"/>
  <c r="BO627" i="10"/>
  <c r="BS627" i="10"/>
  <c r="CF627" i="10"/>
  <c r="CS627" i="10"/>
  <c r="A628" i="10"/>
  <c r="F628" i="10"/>
  <c r="AD628" i="10"/>
  <c r="AH628" i="10"/>
  <c r="BW628" i="10" s="1"/>
  <c r="AI628" i="10"/>
  <c r="AJ628" i="10"/>
  <c r="AO628" i="10"/>
  <c r="BG628" i="10"/>
  <c r="BH628" i="10"/>
  <c r="BI628" i="10" a="1"/>
  <c r="BI628" i="10"/>
  <c r="BJ628" i="10"/>
  <c r="BO628" i="10"/>
  <c r="BS628" i="10"/>
  <c r="CF628" i="10"/>
  <c r="CO628" i="10"/>
  <c r="F629" i="10"/>
  <c r="AD629" i="10"/>
  <c r="AH629" i="10"/>
  <c r="BW629" i="10" s="1"/>
  <c r="AI629" i="10"/>
  <c r="AJ629" i="10"/>
  <c r="BG629" i="10"/>
  <c r="BH629" i="10"/>
  <c r="BI629" i="10" a="1"/>
  <c r="BI629" i="10" s="1"/>
  <c r="BO629" i="10"/>
  <c r="BS629" i="10"/>
  <c r="CF629" i="10"/>
  <c r="CO629" i="10"/>
  <c r="A630" i="10"/>
  <c r="F630" i="10"/>
  <c r="AD630" i="10"/>
  <c r="AH630" i="10"/>
  <c r="BS630" i="10" s="1"/>
  <c r="AI630" i="10"/>
  <c r="AJ630" i="10"/>
  <c r="BH630" i="10" s="1"/>
  <c r="AO630" i="10"/>
  <c r="BE630" i="10" a="1"/>
  <c r="BE630" i="10" s="1"/>
  <c r="BG630" i="10"/>
  <c r="BI630" i="10" a="1"/>
  <c r="BI630" i="10" s="1"/>
  <c r="BJ630" i="10"/>
  <c r="BO630" i="10"/>
  <c r="BW630" i="10"/>
  <c r="CD630" i="10" a="1"/>
  <c r="CD630" i="10"/>
  <c r="CF630" i="10"/>
  <c r="CK630" i="10"/>
  <c r="CO630" i="10"/>
  <c r="CS630" i="10"/>
  <c r="A631" i="10"/>
  <c r="F631" i="10"/>
  <c r="AD631" i="10"/>
  <c r="AH631" i="10"/>
  <c r="CO631" i="10" s="1"/>
  <c r="AI631" i="10"/>
  <c r="AJ631" i="10"/>
  <c r="BG631" i="10" s="1"/>
  <c r="AO631" i="10"/>
  <c r="BE631" i="10" a="1"/>
  <c r="BE631" i="10"/>
  <c r="BH631" i="10"/>
  <c r="BI631" i="10" a="1"/>
  <c r="BI631" i="10" s="1"/>
  <c r="BJ631" i="10"/>
  <c r="BO631" i="10"/>
  <c r="BS631" i="10"/>
  <c r="CF631" i="10"/>
  <c r="CS631" i="10"/>
  <c r="A632" i="10"/>
  <c r="F632" i="10"/>
  <c r="AD632" i="10"/>
  <c r="AH632" i="10"/>
  <c r="BW632" i="10" s="1"/>
  <c r="AI632" i="10"/>
  <c r="AJ632" i="10"/>
  <c r="AO632" i="10"/>
  <c r="BG632" i="10"/>
  <c r="BH632" i="10"/>
  <c r="BI632" i="10" a="1"/>
  <c r="BI632" i="10"/>
  <c r="BJ632" i="10"/>
  <c r="BO632" i="10"/>
  <c r="BS632" i="10"/>
  <c r="CF632" i="10"/>
  <c r="CO632" i="10"/>
  <c r="F633" i="10"/>
  <c r="AD633" i="10"/>
  <c r="AH633" i="10"/>
  <c r="BW633" i="10" s="1"/>
  <c r="AI633" i="10"/>
  <c r="AJ633" i="10"/>
  <c r="BG633" i="10"/>
  <c r="BH633" i="10"/>
  <c r="BI633" i="10" a="1"/>
  <c r="BI633" i="10" s="1"/>
  <c r="BO633" i="10"/>
  <c r="BS633" i="10"/>
  <c r="CF633" i="10"/>
  <c r="CO633" i="10"/>
  <c r="A634" i="10"/>
  <c r="F634" i="10"/>
  <c r="AD634" i="10"/>
  <c r="AH634" i="10"/>
  <c r="BS634" i="10" s="1"/>
  <c r="AI634" i="10"/>
  <c r="AJ634" i="10"/>
  <c r="BH634" i="10" s="1"/>
  <c r="AO634" i="10"/>
  <c r="BE634" i="10" a="1"/>
  <c r="BE634" i="10" s="1"/>
  <c r="BG634" i="10"/>
  <c r="BI634" i="10" a="1"/>
  <c r="BI634" i="10" s="1"/>
  <c r="BJ634" i="10"/>
  <c r="BO634" i="10"/>
  <c r="BW634" i="10"/>
  <c r="CD634" i="10" a="1"/>
  <c r="CD634" i="10"/>
  <c r="CF634" i="10"/>
  <c r="CK634" i="10"/>
  <c r="CO634" i="10"/>
  <c r="CS634" i="10"/>
  <c r="A635" i="10"/>
  <c r="F635" i="10"/>
  <c r="AD635" i="10"/>
  <c r="AH635" i="10"/>
  <c r="CO635" i="10" s="1"/>
  <c r="AI635" i="10"/>
  <c r="AJ635" i="10"/>
  <c r="BG635" i="10" s="1"/>
  <c r="AO635" i="10"/>
  <c r="BE635" i="10" a="1"/>
  <c r="BE635" i="10"/>
  <c r="BH635" i="10"/>
  <c r="BI635" i="10" a="1"/>
  <c r="BI635" i="10" s="1"/>
  <c r="BJ635" i="10"/>
  <c r="BO635" i="10"/>
  <c r="BS635" i="10"/>
  <c r="CF635" i="10"/>
  <c r="CS635" i="10"/>
  <c r="A636" i="10"/>
  <c r="F636" i="10"/>
  <c r="AD636" i="10"/>
  <c r="AH636" i="10"/>
  <c r="BW636" i="10" s="1"/>
  <c r="AI636" i="10"/>
  <c r="AJ636" i="10"/>
  <c r="AO636" i="10"/>
  <c r="BG636" i="10"/>
  <c r="BH636" i="10"/>
  <c r="BI636" i="10" a="1"/>
  <c r="BI636" i="10"/>
  <c r="BJ636" i="10"/>
  <c r="BO636" i="10"/>
  <c r="BS636" i="10"/>
  <c r="CF636" i="10"/>
  <c r="CO636" i="10"/>
  <c r="F637" i="10"/>
  <c r="AD637" i="10"/>
  <c r="AH637" i="10"/>
  <c r="BW637" i="10" s="1"/>
  <c r="AI637" i="10"/>
  <c r="AJ637" i="10"/>
  <c r="BG637" i="10"/>
  <c r="BH637" i="10"/>
  <c r="BI637" i="10" a="1"/>
  <c r="BI637" i="10" s="1"/>
  <c r="BO637" i="10"/>
  <c r="BS637" i="10"/>
  <c r="CF637" i="10"/>
  <c r="CO637" i="10"/>
  <c r="A638" i="10"/>
  <c r="F638" i="10"/>
  <c r="AD638" i="10"/>
  <c r="AH638" i="10"/>
  <c r="BS638" i="10" s="1"/>
  <c r="AI638" i="10"/>
  <c r="AJ638" i="10"/>
  <c r="BH638" i="10" s="1"/>
  <c r="AO638" i="10"/>
  <c r="BE638" i="10" a="1"/>
  <c r="BE638" i="10" s="1"/>
  <c r="BG638" i="10"/>
  <c r="BI638" i="10" a="1"/>
  <c r="BI638" i="10" s="1"/>
  <c r="BJ638" i="10"/>
  <c r="BO638" i="10"/>
  <c r="BW638" i="10"/>
  <c r="CD638" i="10" a="1"/>
  <c r="CD638" i="10"/>
  <c r="CF638" i="10"/>
  <c r="CK638" i="10"/>
  <c r="CO638" i="10"/>
  <c r="CS638" i="10"/>
  <c r="A639" i="10"/>
  <c r="F639" i="10"/>
  <c r="AD639" i="10"/>
  <c r="AH639" i="10"/>
  <c r="CO639" i="10" s="1"/>
  <c r="AI639" i="10"/>
  <c r="AJ639" i="10"/>
  <c r="BG639" i="10" s="1"/>
  <c r="AO639" i="10"/>
  <c r="BE639" i="10" a="1"/>
  <c r="BE639" i="10"/>
  <c r="BH639" i="10"/>
  <c r="BI639" i="10" a="1"/>
  <c r="BI639" i="10" s="1"/>
  <c r="BJ639" i="10"/>
  <c r="BO639" i="10"/>
  <c r="BS639" i="10"/>
  <c r="CF639" i="10"/>
  <c r="CS639" i="10"/>
  <c r="A640" i="10"/>
  <c r="F640" i="10"/>
  <c r="AD640" i="10"/>
  <c r="AH640" i="10"/>
  <c r="BW640" i="10" s="1"/>
  <c r="AI640" i="10"/>
  <c r="AJ640" i="10"/>
  <c r="AO640" i="10"/>
  <c r="BG640" i="10"/>
  <c r="BH640" i="10"/>
  <c r="BI640" i="10" a="1"/>
  <c r="BI640" i="10"/>
  <c r="BJ640" i="10"/>
  <c r="BO640" i="10"/>
  <c r="BS640" i="10"/>
  <c r="CF640" i="10"/>
  <c r="CO640" i="10"/>
  <c r="F641" i="10"/>
  <c r="AD641" i="10"/>
  <c r="AH641" i="10"/>
  <c r="BW641" i="10" s="1"/>
  <c r="AI641" i="10"/>
  <c r="AJ641" i="10"/>
  <c r="BG641" i="10"/>
  <c r="BH641" i="10"/>
  <c r="BI641" i="10" a="1"/>
  <c r="BI641" i="10" s="1"/>
  <c r="BO641" i="10"/>
  <c r="BS641" i="10"/>
  <c r="CF641" i="10"/>
  <c r="CO641" i="10"/>
  <c r="A642" i="10"/>
  <c r="F642" i="10"/>
  <c r="AD642" i="10"/>
  <c r="AH642" i="10"/>
  <c r="BS642" i="10" s="1"/>
  <c r="AI642" i="10"/>
  <c r="AJ642" i="10"/>
  <c r="BH642" i="10" s="1"/>
  <c r="AO642" i="10"/>
  <c r="BE642" i="10" a="1"/>
  <c r="BE642" i="10" s="1"/>
  <c r="BG642" i="10"/>
  <c r="BI642" i="10" a="1"/>
  <c r="BI642" i="10" s="1"/>
  <c r="BJ642" i="10"/>
  <c r="BO642" i="10"/>
  <c r="BW642" i="10"/>
  <c r="CD642" i="10" a="1"/>
  <c r="CD642" i="10"/>
  <c r="CF642" i="10"/>
  <c r="CK642" i="10"/>
  <c r="CO642" i="10"/>
  <c r="CS642" i="10"/>
  <c r="A643" i="10"/>
  <c r="F643" i="10"/>
  <c r="AD643" i="10"/>
  <c r="AH643" i="10"/>
  <c r="CO643" i="10" s="1"/>
  <c r="AI643" i="10"/>
  <c r="AJ643" i="10"/>
  <c r="BG643" i="10" s="1"/>
  <c r="AO643" i="10"/>
  <c r="BE643" i="10" a="1"/>
  <c r="BE643" i="10"/>
  <c r="BH643" i="10"/>
  <c r="BI643" i="10" a="1"/>
  <c r="BI643" i="10" s="1"/>
  <c r="BJ643" i="10"/>
  <c r="BO643" i="10"/>
  <c r="BS643" i="10"/>
  <c r="CF643" i="10"/>
  <c r="CS643" i="10"/>
  <c r="A644" i="10"/>
  <c r="F644" i="10"/>
  <c r="AD644" i="10"/>
  <c r="AH644" i="10"/>
  <c r="BW644" i="10" s="1"/>
  <c r="AI644" i="10"/>
  <c r="AJ644" i="10"/>
  <c r="AO644" i="10"/>
  <c r="BG644" i="10"/>
  <c r="BH644" i="10"/>
  <c r="BI644" i="10" a="1"/>
  <c r="BI644" i="10"/>
  <c r="BJ644" i="10"/>
  <c r="BO644" i="10"/>
  <c r="BS644" i="10"/>
  <c r="CF644" i="10"/>
  <c r="CO644" i="10"/>
  <c r="F645" i="10"/>
  <c r="AD645" i="10"/>
  <c r="AH645" i="10"/>
  <c r="BW645" i="10" s="1"/>
  <c r="AI645" i="10"/>
  <c r="AJ645" i="10"/>
  <c r="BG645" i="10"/>
  <c r="BH645" i="10"/>
  <c r="BI645" i="10" a="1"/>
  <c r="BI645" i="10" s="1"/>
  <c r="BO645" i="10"/>
  <c r="BS645" i="10"/>
  <c r="CF645" i="10"/>
  <c r="CO645" i="10"/>
  <c r="A646" i="10"/>
  <c r="F646" i="10"/>
  <c r="AD646" i="10"/>
  <c r="AH646" i="10"/>
  <c r="BS646" i="10" s="1"/>
  <c r="AI646" i="10"/>
  <c r="AJ646" i="10"/>
  <c r="BH646" i="10" s="1"/>
  <c r="AO646" i="10"/>
  <c r="BE646" i="10" a="1"/>
  <c r="BE646" i="10" s="1"/>
  <c r="BG646" i="10"/>
  <c r="BI646" i="10" a="1"/>
  <c r="BI646" i="10" s="1"/>
  <c r="BJ646" i="10"/>
  <c r="BO646" i="10"/>
  <c r="BW646" i="10"/>
  <c r="CD646" i="10" a="1"/>
  <c r="CD646" i="10"/>
  <c r="CF646" i="10"/>
  <c r="CK646" i="10"/>
  <c r="CO646" i="10"/>
  <c r="CS646" i="10"/>
  <c r="A647" i="10"/>
  <c r="F647" i="10"/>
  <c r="AD647" i="10"/>
  <c r="AH647" i="10"/>
  <c r="CO647" i="10" s="1"/>
  <c r="AI647" i="10"/>
  <c r="AJ647" i="10"/>
  <c r="BG647" i="10" s="1"/>
  <c r="AO647" i="10"/>
  <c r="BE647" i="10" a="1"/>
  <c r="BE647" i="10"/>
  <c r="BH647" i="10"/>
  <c r="BI647" i="10" a="1"/>
  <c r="BI647" i="10" s="1"/>
  <c r="BJ647" i="10"/>
  <c r="BO647" i="10"/>
  <c r="BS647" i="10"/>
  <c r="CF647" i="10"/>
  <c r="CS647" i="10"/>
  <c r="A648" i="10"/>
  <c r="F648" i="10"/>
  <c r="AD648" i="10"/>
  <c r="AH648" i="10"/>
  <c r="BW648" i="10" s="1"/>
  <c r="AI648" i="10"/>
  <c r="AJ648" i="10"/>
  <c r="AO648" i="10"/>
  <c r="BG648" i="10"/>
  <c r="BH648" i="10"/>
  <c r="BI648" i="10" a="1"/>
  <c r="BI648" i="10"/>
  <c r="BJ648" i="10"/>
  <c r="BO648" i="10"/>
  <c r="BS648" i="10"/>
  <c r="CF648" i="10"/>
  <c r="CO648" i="10"/>
  <c r="F649" i="10"/>
  <c r="AD649" i="10"/>
  <c r="AH649" i="10"/>
  <c r="BW649" i="10" s="1"/>
  <c r="AI649" i="10"/>
  <c r="AJ649" i="10"/>
  <c r="BG649" i="10"/>
  <c r="BH649" i="10"/>
  <c r="BI649" i="10" a="1"/>
  <c r="BI649" i="10" s="1"/>
  <c r="BO649" i="10"/>
  <c r="BS649" i="10"/>
  <c r="CF649" i="10"/>
  <c r="CO649" i="10"/>
  <c r="A650" i="10"/>
  <c r="F650" i="10"/>
  <c r="AD650" i="10"/>
  <c r="AH650" i="10"/>
  <c r="BS650" i="10" s="1"/>
  <c r="AI650" i="10"/>
  <c r="AJ650" i="10"/>
  <c r="BH650" i="10" s="1"/>
  <c r="AO650" i="10"/>
  <c r="BE650" i="10" a="1"/>
  <c r="BE650" i="10" s="1"/>
  <c r="BG650" i="10"/>
  <c r="BI650" i="10" a="1"/>
  <c r="BI650" i="10" s="1"/>
  <c r="BJ650" i="10"/>
  <c r="BO650" i="10"/>
  <c r="BW650" i="10"/>
  <c r="CD650" i="10" a="1"/>
  <c r="CD650" i="10"/>
  <c r="CF650" i="10"/>
  <c r="CK650" i="10"/>
  <c r="CO650" i="10"/>
  <c r="CS650" i="10"/>
  <c r="A651" i="10"/>
  <c r="F651" i="10"/>
  <c r="AD651" i="10"/>
  <c r="AH651" i="10"/>
  <c r="CO651" i="10" s="1"/>
  <c r="AI651" i="10"/>
  <c r="AJ651" i="10"/>
  <c r="BG651" i="10" s="1"/>
  <c r="AO651" i="10"/>
  <c r="BE651" i="10" a="1"/>
  <c r="BE651" i="10"/>
  <c r="BH651" i="10"/>
  <c r="BI651" i="10" a="1"/>
  <c r="BI651" i="10" s="1"/>
  <c r="BJ651" i="10"/>
  <c r="BO651" i="10"/>
  <c r="BS651" i="10"/>
  <c r="CF651" i="10"/>
  <c r="CS651" i="10"/>
  <c r="A652" i="10"/>
  <c r="F652" i="10"/>
  <c r="AD652" i="10"/>
  <c r="AH652" i="10"/>
  <c r="BW652" i="10" s="1"/>
  <c r="AI652" i="10"/>
  <c r="AJ652" i="10"/>
  <c r="AO652" i="10"/>
  <c r="BG652" i="10"/>
  <c r="BH652" i="10"/>
  <c r="BI652" i="10" a="1"/>
  <c r="BI652" i="10"/>
  <c r="BJ652" i="10"/>
  <c r="BO652" i="10"/>
  <c r="BS652" i="10"/>
  <c r="CF652" i="10"/>
  <c r="CO652" i="10"/>
  <c r="F653" i="10"/>
  <c r="AD653" i="10"/>
  <c r="AH653" i="10"/>
  <c r="BO653" i="10" s="1"/>
  <c r="AI653" i="10"/>
  <c r="AJ653" i="10"/>
  <c r="BH653" i="10"/>
  <c r="BI653" i="10" a="1"/>
  <c r="BI653" i="10" s="1"/>
  <c r="BS653" i="10"/>
  <c r="CF653" i="10"/>
  <c r="CO653" i="10"/>
  <c r="A654" i="10"/>
  <c r="F654" i="10"/>
  <c r="AD654" i="10"/>
  <c r="AH654" i="10"/>
  <c r="BS654" i="10" s="1"/>
  <c r="AI654" i="10"/>
  <c r="AJ654" i="10"/>
  <c r="BH654" i="10" s="1"/>
  <c r="AO654" i="10"/>
  <c r="BE654" i="10" a="1"/>
  <c r="BE654" i="10" s="1"/>
  <c r="BG654" i="10"/>
  <c r="BI654" i="10" a="1"/>
  <c r="BI654" i="10"/>
  <c r="BJ654" i="10"/>
  <c r="BO654" i="10"/>
  <c r="BW654" i="10"/>
  <c r="CD654" i="10" a="1"/>
  <c r="CD654" i="10" s="1"/>
  <c r="CF654" i="10"/>
  <c r="CK654" i="10"/>
  <c r="CO654" i="10"/>
  <c r="CS654" i="10"/>
  <c r="A655" i="10"/>
  <c r="F655" i="10"/>
  <c r="AD655" i="10"/>
  <c r="AH655" i="10"/>
  <c r="CO655" i="10" s="1"/>
  <c r="AI655" i="10"/>
  <c r="AJ655" i="10"/>
  <c r="BG655" i="10" s="1"/>
  <c r="AO655" i="10"/>
  <c r="BE655" i="10" a="1"/>
  <c r="BE655" i="10"/>
  <c r="BH655" i="10"/>
  <c r="BI655" i="10" a="1"/>
  <c r="BI655" i="10" s="1"/>
  <c r="BJ655" i="10"/>
  <c r="BO655" i="10"/>
  <c r="BS655" i="10"/>
  <c r="CF655" i="10"/>
  <c r="CS655" i="10"/>
  <c r="A656" i="10"/>
  <c r="F656" i="10"/>
  <c r="AD656" i="10"/>
  <c r="AH656" i="10"/>
  <c r="BW656" i="10" s="1"/>
  <c r="AI656" i="10"/>
  <c r="AJ656" i="10"/>
  <c r="AO656" i="10"/>
  <c r="BG656" i="10"/>
  <c r="BH656" i="10"/>
  <c r="BI656" i="10" a="1"/>
  <c r="BI656" i="10"/>
  <c r="BJ656" i="10"/>
  <c r="BO656" i="10"/>
  <c r="BS656" i="10"/>
  <c r="CF656" i="10"/>
  <c r="CO656" i="10"/>
  <c r="F657" i="10"/>
  <c r="AD657" i="10"/>
  <c r="AH657" i="10"/>
  <c r="BO657" i="10" s="1"/>
  <c r="AI657" i="10"/>
  <c r="AJ657" i="10"/>
  <c r="BH657" i="10"/>
  <c r="BI657" i="10" a="1"/>
  <c r="BI657" i="10" s="1"/>
  <c r="BS657" i="10"/>
  <c r="CF657" i="10"/>
  <c r="CO657" i="10"/>
  <c r="A658" i="10"/>
  <c r="F658" i="10"/>
  <c r="AD658" i="10"/>
  <c r="AH658" i="10"/>
  <c r="BS658" i="10" s="1"/>
  <c r="AI658" i="10"/>
  <c r="AJ658" i="10"/>
  <c r="BH658" i="10" s="1"/>
  <c r="AO658" i="10"/>
  <c r="BE658" i="10" a="1"/>
  <c r="BE658" i="10" s="1"/>
  <c r="BG658" i="10"/>
  <c r="BI658" i="10" a="1"/>
  <c r="BI658" i="10"/>
  <c r="BJ658" i="10"/>
  <c r="BO658" i="10"/>
  <c r="BW658" i="10"/>
  <c r="CD658" i="10" a="1"/>
  <c r="CD658" i="10" s="1"/>
  <c r="CF658" i="10"/>
  <c r="CK658" i="10"/>
  <c r="CO658" i="10"/>
  <c r="CS658" i="10"/>
  <c r="A659" i="10"/>
  <c r="F659" i="10"/>
  <c r="AD659" i="10"/>
  <c r="AH659" i="10"/>
  <c r="CO659" i="10" s="1"/>
  <c r="AI659" i="10"/>
  <c r="AJ659" i="10"/>
  <c r="BG659" i="10" s="1"/>
  <c r="AO659" i="10"/>
  <c r="BE659" i="10" a="1"/>
  <c r="BE659" i="10" s="1"/>
  <c r="BH659" i="10"/>
  <c r="BI659" i="10" a="1"/>
  <c r="BI659" i="10" s="1"/>
  <c r="BJ659" i="10"/>
  <c r="BO659" i="10"/>
  <c r="BS659" i="10"/>
  <c r="CF659" i="10"/>
  <c r="CS659" i="10"/>
  <c r="A660" i="10"/>
  <c r="F660" i="10"/>
  <c r="AD660" i="10"/>
  <c r="AH660" i="10"/>
  <c r="AI660" i="10"/>
  <c r="AJ660" i="10"/>
  <c r="AO660" i="10"/>
  <c r="BG660" i="10"/>
  <c r="BH660" i="10"/>
  <c r="BI660" i="10" a="1"/>
  <c r="BI660" i="10"/>
  <c r="BJ660" i="10"/>
  <c r="BO660" i="10"/>
  <c r="BS660" i="10"/>
  <c r="CF660" i="10"/>
  <c r="CO660" i="10"/>
  <c r="F661" i="10"/>
  <c r="AD661" i="10"/>
  <c r="AH661" i="10"/>
  <c r="CD661" i="10" s="1" a="1"/>
  <c r="CD661" i="10" s="1"/>
  <c r="AI661" i="10"/>
  <c r="AJ661" i="10"/>
  <c r="BE661" i="10" a="1"/>
  <c r="BE661" i="10" s="1"/>
  <c r="BH661" i="10"/>
  <c r="BI661" i="10" a="1"/>
  <c r="BI661" i="10"/>
  <c r="BS661" i="10"/>
  <c r="CK661" i="10"/>
  <c r="CO661" i="10"/>
  <c r="A662" i="10"/>
  <c r="F662" i="10"/>
  <c r="AD662" i="10"/>
  <c r="AH662" i="10"/>
  <c r="BS662" i="10" s="1"/>
  <c r="AI662" i="10"/>
  <c r="AJ662" i="10"/>
  <c r="BH662" i="10" s="1"/>
  <c r="AO662" i="10"/>
  <c r="BE662" i="10" a="1"/>
  <c r="BE662" i="10" s="1"/>
  <c r="BF662" i="10"/>
  <c r="BI662" i="10" a="1"/>
  <c r="BI662" i="10"/>
  <c r="BJ662" i="10"/>
  <c r="BO662" i="10"/>
  <c r="BW662" i="10"/>
  <c r="CD662" i="10" a="1"/>
  <c r="CD662" i="10"/>
  <c r="CE662" i="10"/>
  <c r="CK662" i="10"/>
  <c r="CO662" i="10"/>
  <c r="CS662" i="10"/>
  <c r="F663" i="10"/>
  <c r="AD663" i="10"/>
  <c r="AH663" i="10"/>
  <c r="BE663" i="10" s="1" a="1"/>
  <c r="BE663" i="10" s="1"/>
  <c r="AI663" i="10"/>
  <c r="AJ663" i="10"/>
  <c r="AO663" i="10"/>
  <c r="BF663" i="10"/>
  <c r="BH663" i="10"/>
  <c r="BI663" i="10" a="1"/>
  <c r="BI663" i="10" s="1"/>
  <c r="BJ663" i="10"/>
  <c r="BS663" i="10"/>
  <c r="CS663" i="10"/>
  <c r="F664" i="10"/>
  <c r="AD664" i="10"/>
  <c r="AH664" i="10"/>
  <c r="AI664" i="10"/>
  <c r="AJ664" i="10"/>
  <c r="BI664" i="10" a="1"/>
  <c r="BI664" i="10"/>
  <c r="F665" i="10"/>
  <c r="AD665" i="10"/>
  <c r="AH665" i="10"/>
  <c r="AI665" i="10"/>
  <c r="AJ665" i="10"/>
  <c r="BH665" i="10" s="1"/>
  <c r="BI665" i="10" a="1"/>
  <c r="BI665" i="10"/>
  <c r="BS665" i="10"/>
  <c r="CK665" i="10"/>
  <c r="A666" i="10"/>
  <c r="F666" i="10"/>
  <c r="AD666" i="10"/>
  <c r="AH666" i="10"/>
  <c r="BS666" i="10" s="1"/>
  <c r="AI666" i="10"/>
  <c r="AJ666" i="10"/>
  <c r="AO666" i="10"/>
  <c r="BE666" i="10" a="1"/>
  <c r="BE666" i="10" s="1"/>
  <c r="BF666" i="10"/>
  <c r="BI666" i="10" a="1"/>
  <c r="BI666" i="10" s="1"/>
  <c r="BJ666" i="10"/>
  <c r="BO666" i="10"/>
  <c r="BW666" i="10"/>
  <c r="CD666" i="10" a="1"/>
  <c r="CD666" i="10"/>
  <c r="CE666" i="10"/>
  <c r="CF666" i="10"/>
  <c r="CK666" i="10"/>
  <c r="CO666" i="10"/>
  <c r="CS666" i="10"/>
  <c r="F667" i="10"/>
  <c r="AD667" i="10"/>
  <c r="AH667" i="10"/>
  <c r="AI667" i="10"/>
  <c r="AJ667" i="10"/>
  <c r="BG667" i="10" s="1"/>
  <c r="AO667" i="10"/>
  <c r="BE667" i="10" a="1"/>
  <c r="BE667" i="10" s="1"/>
  <c r="BH667" i="10"/>
  <c r="BI667" i="10" a="1"/>
  <c r="BI667" i="10" s="1"/>
  <c r="BJ667" i="10"/>
  <c r="BO667" i="10"/>
  <c r="BS667" i="10"/>
  <c r="CF667" i="10"/>
  <c r="CS667" i="10"/>
  <c r="F668" i="10"/>
  <c r="AD668" i="10"/>
  <c r="AH668" i="10"/>
  <c r="BJ668" i="10" s="1"/>
  <c r="AI668" i="10"/>
  <c r="AJ668" i="10"/>
  <c r="BG668" i="10"/>
  <c r="BH668" i="10"/>
  <c r="BI668" i="10" a="1"/>
  <c r="BI668" i="10"/>
  <c r="BO668" i="10"/>
  <c r="BS668" i="10"/>
  <c r="CK668" i="10"/>
  <c r="F669" i="10"/>
  <c r="AD669" i="10"/>
  <c r="AH669" i="10"/>
  <c r="CD669" i="10" s="1" a="1"/>
  <c r="CD669" i="10" s="1"/>
  <c r="AI669" i="10"/>
  <c r="AJ669" i="10"/>
  <c r="BG669" i="10" s="1"/>
  <c r="BH669" i="10"/>
  <c r="BI669" i="10" a="1"/>
  <c r="BI669" i="10" s="1"/>
  <c r="BO669" i="10"/>
  <c r="BS669" i="10"/>
  <c r="BW669" i="10"/>
  <c r="CF669" i="10"/>
  <c r="CK669" i="10"/>
  <c r="CS669" i="10"/>
  <c r="A670" i="10"/>
  <c r="F670" i="10"/>
  <c r="AD670" i="10"/>
  <c r="AH670" i="10"/>
  <c r="BS670" i="10" s="1"/>
  <c r="BT670" i="10" s="1"/>
  <c r="BU670" i="10" s="1"/>
  <c r="AI670" i="10"/>
  <c r="AJ670" i="10"/>
  <c r="BH670" i="10" s="1"/>
  <c r="AO670" i="10"/>
  <c r="BE670" i="10" a="1"/>
  <c r="BE670" i="10" s="1"/>
  <c r="BF670" i="10"/>
  <c r="BG670" i="10"/>
  <c r="BI670" i="10" a="1"/>
  <c r="BI670" i="10"/>
  <c r="BJ670" i="10"/>
  <c r="BO670" i="10"/>
  <c r="BP670" i="10"/>
  <c r="BW670" i="10"/>
  <c r="BX670" i="10"/>
  <c r="CD670" i="10" a="1"/>
  <c r="CD670" i="10" s="1"/>
  <c r="CF670" i="10"/>
  <c r="CK670" i="10"/>
  <c r="CO670" i="10"/>
  <c r="CS670" i="10"/>
  <c r="F671" i="10"/>
  <c r="AD671" i="10"/>
  <c r="AH671" i="10"/>
  <c r="BJ671" i="10" s="1"/>
  <c r="AI671" i="10"/>
  <c r="AJ671" i="10"/>
  <c r="AO671" i="10"/>
  <c r="BH671" i="10"/>
  <c r="BI671" i="10" a="1"/>
  <c r="BI671" i="10" s="1"/>
  <c r="CS671" i="10"/>
  <c r="F672" i="10"/>
  <c r="AD672" i="10"/>
  <c r="AH672" i="10"/>
  <c r="A672" i="10" s="1"/>
  <c r="AI672" i="10"/>
  <c r="AJ672" i="10"/>
  <c r="BI672" i="10" a="1"/>
  <c r="BI672" i="10"/>
  <c r="F673" i="10"/>
  <c r="AD673" i="10"/>
  <c r="AH673" i="10"/>
  <c r="AI673" i="10"/>
  <c r="AJ673" i="10"/>
  <c r="BG673" i="10" s="1"/>
  <c r="BI673" i="10" a="1"/>
  <c r="BI673" i="10"/>
  <c r="BS673" i="10"/>
  <c r="CD673" i="10" a="1"/>
  <c r="CD673" i="10" s="1"/>
  <c r="CK673" i="10"/>
  <c r="F674" i="10"/>
  <c r="AD674" i="10"/>
  <c r="AH674" i="10"/>
  <c r="BW674" i="10" s="1"/>
  <c r="AI674" i="10"/>
  <c r="AJ674" i="10"/>
  <c r="BG674" i="10" s="1"/>
  <c r="BI674" i="10" a="1"/>
  <c r="BI674" i="10"/>
  <c r="BO674" i="10"/>
  <c r="CD674" i="10" a="1"/>
  <c r="CD674" i="10" s="1"/>
  <c r="CK674" i="10"/>
  <c r="A675" i="10"/>
  <c r="F675" i="10"/>
  <c r="AD675" i="10"/>
  <c r="AH675" i="10"/>
  <c r="AI675" i="10"/>
  <c r="AJ675" i="10"/>
  <c r="AO675" i="10"/>
  <c r="BE675" i="10" a="1"/>
  <c r="BE675" i="10" s="1"/>
  <c r="BI675" i="10" a="1"/>
  <c r="BI675" i="10"/>
  <c r="BJ675" i="10"/>
  <c r="BO675" i="10"/>
  <c r="BS675" i="10"/>
  <c r="BW675" i="10"/>
  <c r="CD675" i="10" a="1"/>
  <c r="CD675" i="10" s="1"/>
  <c r="CE675" i="10"/>
  <c r="CF675" i="10"/>
  <c r="CK675" i="10"/>
  <c r="CO675" i="10"/>
  <c r="CS675" i="10"/>
  <c r="A676" i="10"/>
  <c r="F676" i="10"/>
  <c r="AD676" i="10"/>
  <c r="AH676" i="10"/>
  <c r="BW676" i="10" s="1"/>
  <c r="AI676" i="10"/>
  <c r="AJ676" i="10"/>
  <c r="BE676" i="10" a="1"/>
  <c r="BE676" i="10" s="1"/>
  <c r="BF676" i="10"/>
  <c r="BG676" i="10"/>
  <c r="BH676" i="10"/>
  <c r="BI676" i="10" a="1"/>
  <c r="BI676" i="10" s="1"/>
  <c r="BO676" i="10"/>
  <c r="BS676" i="10"/>
  <c r="CF676" i="10"/>
  <c r="CO676" i="10"/>
  <c r="CS676" i="10"/>
  <c r="F677" i="10"/>
  <c r="AD677" i="10"/>
  <c r="AH677" i="10"/>
  <c r="A677" i="10" s="1"/>
  <c r="AI677" i="10"/>
  <c r="AJ677" i="10"/>
  <c r="BH677" i="10"/>
  <c r="BI677" i="10" a="1"/>
  <c r="BI677" i="10" s="1"/>
  <c r="BO677" i="10"/>
  <c r="F678" i="10"/>
  <c r="AD678" i="10"/>
  <c r="AH678" i="10"/>
  <c r="BW678" i="10" s="1"/>
  <c r="AI678" i="10"/>
  <c r="AJ678" i="10"/>
  <c r="BH678" i="10" s="1"/>
  <c r="BI678" i="10" a="1"/>
  <c r="BI678" i="10"/>
  <c r="BO678" i="10"/>
  <c r="CK678" i="10"/>
  <c r="A679" i="10"/>
  <c r="F679" i="10"/>
  <c r="AD679" i="10"/>
  <c r="AH679" i="10"/>
  <c r="AI679" i="10"/>
  <c r="AJ679" i="10"/>
  <c r="AO679" i="10"/>
  <c r="BE679" i="10" a="1"/>
  <c r="BE679" i="10" s="1"/>
  <c r="BI679" i="10" a="1"/>
  <c r="BI679" i="10"/>
  <c r="BJ679" i="10"/>
  <c r="BO679" i="10"/>
  <c r="BS679" i="10"/>
  <c r="BW679" i="10"/>
  <c r="CD679" i="10" a="1"/>
  <c r="CD679" i="10" s="1"/>
  <c r="CE679" i="10" s="1"/>
  <c r="CF679" i="10"/>
  <c r="CK679" i="10"/>
  <c r="CO679" i="10"/>
  <c r="CS679" i="10"/>
  <c r="A680" i="10"/>
  <c r="F680" i="10"/>
  <c r="AD680" i="10"/>
  <c r="AH680" i="10"/>
  <c r="BW680" i="10" s="1"/>
  <c r="AI680" i="10"/>
  <c r="AJ680" i="10"/>
  <c r="BE680" i="10" a="1"/>
  <c r="BE680" i="10" s="1"/>
  <c r="BF680" i="10"/>
  <c r="BG680" i="10"/>
  <c r="BH680" i="10"/>
  <c r="BI680" i="10" a="1"/>
  <c r="BI680" i="10" s="1"/>
  <c r="BO680" i="10"/>
  <c r="BS680" i="10"/>
  <c r="CF680" i="10"/>
  <c r="CO680" i="10"/>
  <c r="CS680" i="10"/>
  <c r="A681" i="10"/>
  <c r="F681" i="10"/>
  <c r="AD681" i="10"/>
  <c r="AH681" i="10"/>
  <c r="AI681" i="10"/>
  <c r="AJ681" i="10"/>
  <c r="BH681" i="10"/>
  <c r="BI681" i="10" a="1"/>
  <c r="BI681" i="10" s="1"/>
  <c r="BO681" i="10"/>
  <c r="F682" i="10"/>
  <c r="AD682" i="10"/>
  <c r="AH682" i="10"/>
  <c r="AI682" i="10"/>
  <c r="AJ682" i="10"/>
  <c r="AO682" i="10"/>
  <c r="BI682" i="10" a="1"/>
  <c r="BI682" i="10"/>
  <c r="BJ682" i="10"/>
  <c r="BO682" i="10"/>
  <c r="BW682" i="10"/>
  <c r="CD682" i="10" a="1"/>
  <c r="CD682" i="10" s="1"/>
  <c r="CK682" i="10"/>
  <c r="A683" i="10"/>
  <c r="F683" i="10"/>
  <c r="AD683" i="10"/>
  <c r="AH683" i="10"/>
  <c r="AI683" i="10"/>
  <c r="AJ683" i="10"/>
  <c r="AO683" i="10"/>
  <c r="BE683" i="10" a="1"/>
  <c r="BE683" i="10" s="1"/>
  <c r="BI683" i="10" a="1"/>
  <c r="BI683" i="10"/>
  <c r="BJ683" i="10"/>
  <c r="BO683" i="10"/>
  <c r="BS683" i="10"/>
  <c r="BW683" i="10"/>
  <c r="CD683" i="10" a="1"/>
  <c r="CD683" i="10" s="1"/>
  <c r="CE683" i="10" s="1"/>
  <c r="CF683" i="10"/>
  <c r="CK683" i="10"/>
  <c r="CO683" i="10"/>
  <c r="CS683" i="10"/>
  <c r="A684" i="10"/>
  <c r="F684" i="10"/>
  <c r="AD684" i="10"/>
  <c r="AH684" i="10"/>
  <c r="BW684" i="10" s="1"/>
  <c r="AI684" i="10"/>
  <c r="AJ684" i="10"/>
  <c r="BE684" i="10" a="1"/>
  <c r="BE684" i="10" s="1"/>
  <c r="BG684" i="10"/>
  <c r="BH684" i="10"/>
  <c r="BI684" i="10" a="1"/>
  <c r="BI684" i="10" s="1"/>
  <c r="BO684" i="10"/>
  <c r="BS684" i="10"/>
  <c r="CF684" i="10"/>
  <c r="CO684" i="10"/>
  <c r="CS684" i="10"/>
  <c r="F685" i="10"/>
  <c r="AD685" i="10"/>
  <c r="AH685" i="10"/>
  <c r="AI685" i="10"/>
  <c r="AJ685" i="10"/>
  <c r="BH685" i="10"/>
  <c r="BI685" i="10" a="1"/>
  <c r="BI685" i="10" s="1"/>
  <c r="F686" i="10"/>
  <c r="AD686" i="10"/>
  <c r="AH686" i="10"/>
  <c r="AI686" i="10"/>
  <c r="AJ686" i="10"/>
  <c r="AO686" i="10"/>
  <c r="BI686" i="10" a="1"/>
  <c r="BI686" i="10"/>
  <c r="BJ686" i="10"/>
  <c r="BO686" i="10"/>
  <c r="BW686" i="10"/>
  <c r="CD686" i="10" a="1"/>
  <c r="CD686" i="10" s="1"/>
  <c r="CK686" i="10"/>
  <c r="A687" i="10"/>
  <c r="F687" i="10"/>
  <c r="AD687" i="10"/>
  <c r="AH687" i="10"/>
  <c r="AI687" i="10"/>
  <c r="AJ687" i="10"/>
  <c r="AO687" i="10"/>
  <c r="BE687" i="10" a="1"/>
  <c r="BE687" i="10" s="1"/>
  <c r="BI687" i="10" a="1"/>
  <c r="BI687" i="10"/>
  <c r="BJ687" i="10"/>
  <c r="BO687" i="10"/>
  <c r="BS687" i="10"/>
  <c r="BW687" i="10"/>
  <c r="CD687" i="10" a="1"/>
  <c r="CD687" i="10" s="1"/>
  <c r="CE687" i="10"/>
  <c r="CF687" i="10"/>
  <c r="CK687" i="10"/>
  <c r="CO687" i="10"/>
  <c r="CS687" i="10"/>
  <c r="A688" i="10"/>
  <c r="F688" i="10"/>
  <c r="AD688" i="10"/>
  <c r="AH688" i="10"/>
  <c r="BW688" i="10" s="1"/>
  <c r="AI688" i="10"/>
  <c r="AJ688" i="10"/>
  <c r="BE688" i="10" a="1"/>
  <c r="BE688" i="10" s="1"/>
  <c r="BF688" i="10" s="1"/>
  <c r="BG688" i="10"/>
  <c r="BH688" i="10"/>
  <c r="BI688" i="10" a="1"/>
  <c r="BI688" i="10" s="1"/>
  <c r="BO688" i="10"/>
  <c r="BS688" i="10"/>
  <c r="CF688" i="10"/>
  <c r="CO688" i="10"/>
  <c r="CS688" i="10"/>
  <c r="F689" i="10"/>
  <c r="AD689" i="10"/>
  <c r="AH689" i="10"/>
  <c r="AI689" i="10"/>
  <c r="AJ689" i="10"/>
  <c r="BH689" i="10"/>
  <c r="BI689" i="10" a="1"/>
  <c r="BI689" i="10" s="1"/>
  <c r="F690" i="10"/>
  <c r="AD690" i="10"/>
  <c r="AH690" i="10"/>
  <c r="CK690" i="10" s="1"/>
  <c r="AI690" i="10"/>
  <c r="AJ690" i="10"/>
  <c r="AO690" i="10"/>
  <c r="BH690" i="10"/>
  <c r="BI690" i="10" a="1"/>
  <c r="BI690" i="10"/>
  <c r="BJ690" i="10"/>
  <c r="BO690" i="10"/>
  <c r="BW690" i="10"/>
  <c r="CD690" i="10" a="1"/>
  <c r="CD690" i="10" s="1"/>
  <c r="A691" i="10"/>
  <c r="F691" i="10"/>
  <c r="AD691" i="10"/>
  <c r="AH691" i="10"/>
  <c r="AI691" i="10"/>
  <c r="AJ691" i="10"/>
  <c r="AO691" i="10"/>
  <c r="BE691" i="10" a="1"/>
  <c r="BE691" i="10" s="1"/>
  <c r="BI691" i="10" a="1"/>
  <c r="BI691" i="10"/>
  <c r="BJ691" i="10"/>
  <c r="BO691" i="10"/>
  <c r="BS691" i="10"/>
  <c r="BW691" i="10"/>
  <c r="CD691" i="10" a="1"/>
  <c r="CD691" i="10" s="1"/>
  <c r="CF691" i="10"/>
  <c r="CK691" i="10"/>
  <c r="CO691" i="10"/>
  <c r="CS691" i="10"/>
  <c r="A692" i="10"/>
  <c r="F692" i="10"/>
  <c r="AD692" i="10"/>
  <c r="AH692" i="10"/>
  <c r="BW692" i="10" s="1"/>
  <c r="AI692" i="10"/>
  <c r="AJ692" i="10"/>
  <c r="BE692" i="10" a="1"/>
  <c r="BE692" i="10" s="1"/>
  <c r="BF692" i="10"/>
  <c r="BG692" i="10"/>
  <c r="BH692" i="10"/>
  <c r="BI692" i="10" a="1"/>
  <c r="BI692" i="10" s="1"/>
  <c r="BO692" i="10"/>
  <c r="BS692" i="10"/>
  <c r="CF692" i="10"/>
  <c r="CO692" i="10"/>
  <c r="CS692" i="10"/>
  <c r="A693" i="10"/>
  <c r="F693" i="10"/>
  <c r="AD693" i="10"/>
  <c r="AH693" i="10"/>
  <c r="AI693" i="10"/>
  <c r="AJ693" i="10"/>
  <c r="BH693" i="10"/>
  <c r="BI693" i="10" a="1"/>
  <c r="BI693" i="10" s="1"/>
  <c r="BO693" i="10"/>
  <c r="F694" i="10"/>
  <c r="AD694" i="10"/>
  <c r="AH694" i="10"/>
  <c r="AI694" i="10"/>
  <c r="AJ694" i="10"/>
  <c r="BH694" i="10"/>
  <c r="BI694" i="10" a="1"/>
  <c r="BI694" i="10"/>
  <c r="BJ694" i="10"/>
  <c r="BO694" i="10"/>
  <c r="BW694" i="10"/>
  <c r="CD694" i="10" a="1"/>
  <c r="CD694" i="10" s="1"/>
  <c r="A695" i="10"/>
  <c r="F695" i="10"/>
  <c r="AD695" i="10"/>
  <c r="AH695" i="10"/>
  <c r="AI695" i="10"/>
  <c r="AJ695" i="10"/>
  <c r="AO695" i="10"/>
  <c r="BE695" i="10" a="1"/>
  <c r="BE695" i="10"/>
  <c r="BI695" i="10" a="1"/>
  <c r="BI695" i="10"/>
  <c r="BJ695" i="10"/>
  <c r="BO695" i="10"/>
  <c r="BS695" i="10"/>
  <c r="BW695" i="10"/>
  <c r="CD695" i="10" a="1"/>
  <c r="CD695" i="10" s="1"/>
  <c r="CF695" i="10"/>
  <c r="CK695" i="10"/>
  <c r="CO695" i="10"/>
  <c r="CS695" i="10"/>
  <c r="A696" i="10"/>
  <c r="F696" i="10"/>
  <c r="AD696" i="10"/>
  <c r="AH696" i="10"/>
  <c r="BW696" i="10" s="1"/>
  <c r="AI696" i="10"/>
  <c r="AJ696" i="10"/>
  <c r="BE696" i="10" a="1"/>
  <c r="BE696" i="10" s="1"/>
  <c r="BF696" i="10" s="1"/>
  <c r="BG696" i="10"/>
  <c r="BH696" i="10"/>
  <c r="BI696" i="10" a="1"/>
  <c r="BI696" i="10" s="1"/>
  <c r="BO696" i="10"/>
  <c r="BS696" i="10"/>
  <c r="CD696" i="10" a="1"/>
  <c r="CD696" i="10" s="1"/>
  <c r="CE696" i="10" s="1"/>
  <c r="CH696" i="10" s="1"/>
  <c r="CI696" i="10" s="1"/>
  <c r="CF696" i="10"/>
  <c r="CK696" i="10"/>
  <c r="CO696" i="10"/>
  <c r="CS696" i="10"/>
  <c r="F697" i="10"/>
  <c r="AD697" i="10"/>
  <c r="AH697" i="10"/>
  <c r="AI697" i="10"/>
  <c r="AJ697" i="10"/>
  <c r="BH697" i="10"/>
  <c r="BI697" i="10" a="1"/>
  <c r="BI697" i="10" s="1"/>
  <c r="F698" i="10"/>
  <c r="AD698" i="10"/>
  <c r="AH698" i="10"/>
  <c r="CK698" i="10" s="1"/>
  <c r="AI698" i="10"/>
  <c r="AJ698" i="10"/>
  <c r="AO698" i="10"/>
  <c r="BH698" i="10"/>
  <c r="BI698" i="10" a="1"/>
  <c r="BI698" i="10"/>
  <c r="BJ698" i="10"/>
  <c r="BO698" i="10"/>
  <c r="BW698" i="10"/>
  <c r="CD698" i="10" a="1"/>
  <c r="CD698" i="10" s="1"/>
  <c r="F699" i="10"/>
  <c r="AD699" i="10"/>
  <c r="AH699" i="10"/>
  <c r="A699" i="10" s="1"/>
  <c r="AI699" i="10"/>
  <c r="AJ699" i="10"/>
  <c r="AO699" i="10"/>
  <c r="BE699" i="10" a="1"/>
  <c r="BE699" i="10"/>
  <c r="BI699" i="10" a="1"/>
  <c r="BI699" i="10"/>
  <c r="BJ699" i="10"/>
  <c r="BO699" i="10"/>
  <c r="BS699" i="10"/>
  <c r="BW699" i="10"/>
  <c r="CD699" i="10" a="1"/>
  <c r="CD699" i="10" s="1"/>
  <c r="CE699" i="10" s="1"/>
  <c r="CF699" i="10"/>
  <c r="CK699" i="10"/>
  <c r="CO699" i="10"/>
  <c r="CS699" i="10"/>
  <c r="A700" i="10"/>
  <c r="F700" i="10"/>
  <c r="AD700" i="10"/>
  <c r="AH700" i="10"/>
  <c r="AO700" i="10" s="1"/>
  <c r="AI700" i="10"/>
  <c r="AJ700" i="10"/>
  <c r="BH700" i="10" s="1"/>
  <c r="BE700" i="10" a="1"/>
  <c r="BE700" i="10" s="1"/>
  <c r="BF700" i="10" s="1"/>
  <c r="BG700" i="10"/>
  <c r="BI700" i="10" a="1"/>
  <c r="BI700" i="10" s="1"/>
  <c r="BO700" i="10"/>
  <c r="BS700" i="10"/>
  <c r="BW700" i="10"/>
  <c r="CD700" i="10" a="1"/>
  <c r="CD700" i="10" s="1"/>
  <c r="CE700" i="10" s="1"/>
  <c r="CF700" i="10"/>
  <c r="CH700" i="10"/>
  <c r="CI700" i="10" s="1"/>
  <c r="CK700" i="10"/>
  <c r="CO700" i="10"/>
  <c r="CS700" i="10"/>
  <c r="F701" i="10"/>
  <c r="AD701" i="10"/>
  <c r="AH701" i="10"/>
  <c r="AI701" i="10"/>
  <c r="AJ701" i="10"/>
  <c r="BH701" i="10"/>
  <c r="BI701" i="10" a="1"/>
  <c r="BI701" i="10" s="1"/>
  <c r="F702" i="10"/>
  <c r="AD702" i="10"/>
  <c r="AH702" i="10"/>
  <c r="CK702" i="10" s="1"/>
  <c r="AI702" i="10"/>
  <c r="AJ702" i="10"/>
  <c r="AO702" i="10"/>
  <c r="BH702" i="10"/>
  <c r="BI702" i="10" a="1"/>
  <c r="BI702" i="10"/>
  <c r="BJ702" i="10"/>
  <c r="BO702" i="10"/>
  <c r="BW702" i="10"/>
  <c r="CD702" i="10" a="1"/>
  <c r="CD702" i="10" s="1"/>
  <c r="F703" i="10"/>
  <c r="AD703" i="10"/>
  <c r="AH703" i="10"/>
  <c r="A703" i="10" s="1"/>
  <c r="AI703" i="10"/>
  <c r="AJ703" i="10"/>
  <c r="AO703" i="10"/>
  <c r="BE703" i="10" a="1"/>
  <c r="BE703" i="10"/>
  <c r="BI703" i="10" a="1"/>
  <c r="BI703" i="10"/>
  <c r="BJ703" i="10"/>
  <c r="BO703" i="10"/>
  <c r="BS703" i="10"/>
  <c r="BW703" i="10"/>
  <c r="CD703" i="10" a="1"/>
  <c r="CD703" i="10" s="1"/>
  <c r="CE703" i="10" s="1"/>
  <c r="CF703" i="10"/>
  <c r="CK703" i="10"/>
  <c r="CO703" i="10"/>
  <c r="CS703" i="10"/>
  <c r="A704" i="10"/>
  <c r="F704" i="10"/>
  <c r="AD704" i="10"/>
  <c r="AH704" i="10"/>
  <c r="AO704" i="10" s="1"/>
  <c r="AI704" i="10"/>
  <c r="AJ704" i="10"/>
  <c r="BH704" i="10" s="1"/>
  <c r="BE704" i="10" a="1"/>
  <c r="BE704" i="10" s="1"/>
  <c r="BF704" i="10" s="1"/>
  <c r="BG704" i="10"/>
  <c r="BI704" i="10" a="1"/>
  <c r="BI704" i="10" s="1"/>
  <c r="BO704" i="10"/>
  <c r="BS704" i="10"/>
  <c r="BW704" i="10"/>
  <c r="CD704" i="10" a="1"/>
  <c r="CD704" i="10" s="1"/>
  <c r="CE704" i="10" s="1"/>
  <c r="CF704" i="10"/>
  <c r="CH704" i="10"/>
  <c r="CI704" i="10" s="1"/>
  <c r="CK704" i="10"/>
  <c r="CO704" i="10"/>
  <c r="CS704" i="10"/>
  <c r="F705" i="10"/>
  <c r="AD705" i="10"/>
  <c r="AH705" i="10"/>
  <c r="AI705" i="10"/>
  <c r="AJ705" i="10"/>
  <c r="BH705" i="10"/>
  <c r="BI705" i="10" a="1"/>
  <c r="BI705" i="10" s="1"/>
  <c r="F706" i="10"/>
  <c r="AD706" i="10"/>
  <c r="AH706" i="10"/>
  <c r="CK706" i="10" s="1"/>
  <c r="AI706" i="10"/>
  <c r="AJ706" i="10"/>
  <c r="AO706" i="10"/>
  <c r="BH706" i="10"/>
  <c r="BI706" i="10" a="1"/>
  <c r="BI706" i="10"/>
  <c r="BJ706" i="10"/>
  <c r="BO706" i="10"/>
  <c r="BW706" i="10"/>
  <c r="CD706" i="10" a="1"/>
  <c r="CD706" i="10" s="1"/>
  <c r="F707" i="10"/>
  <c r="AD707" i="10"/>
  <c r="AH707" i="10"/>
  <c r="A707" i="10" s="1"/>
  <c r="AI707" i="10"/>
  <c r="AJ707" i="10"/>
  <c r="AO707" i="10"/>
  <c r="BE707" i="10" a="1"/>
  <c r="BE707" i="10"/>
  <c r="BI707" i="10" a="1"/>
  <c r="BI707" i="10"/>
  <c r="BJ707" i="10"/>
  <c r="BO707" i="10"/>
  <c r="BS707" i="10"/>
  <c r="BW707" i="10"/>
  <c r="CD707" i="10" a="1"/>
  <c r="CD707" i="10" s="1"/>
  <c r="CF707" i="10"/>
  <c r="CK707" i="10"/>
  <c r="CO707" i="10"/>
  <c r="CS707" i="10"/>
  <c r="A708" i="10"/>
  <c r="F708" i="10"/>
  <c r="AD708" i="10"/>
  <c r="AH708" i="10"/>
  <c r="AO708" i="10" s="1"/>
  <c r="AI708" i="10"/>
  <c r="AJ708" i="10"/>
  <c r="BH708" i="10" s="1"/>
  <c r="BE708" i="10" a="1"/>
  <c r="BE708" i="10" s="1"/>
  <c r="BF708" i="10" s="1"/>
  <c r="BG708" i="10"/>
  <c r="BI708" i="10" a="1"/>
  <c r="BI708" i="10"/>
  <c r="BO708" i="10"/>
  <c r="BS708" i="10"/>
  <c r="BW708" i="10"/>
  <c r="CD708" i="10" a="1"/>
  <c r="CD708" i="10" s="1"/>
  <c r="CE708" i="10"/>
  <c r="CF708" i="10"/>
  <c r="CK708" i="10"/>
  <c r="CO708" i="10"/>
  <c r="CS708" i="10"/>
  <c r="F709" i="10"/>
  <c r="AD709" i="10"/>
  <c r="AH709" i="10"/>
  <c r="AI709" i="10"/>
  <c r="AJ709" i="10"/>
  <c r="BH709" i="10"/>
  <c r="BI709" i="10" a="1"/>
  <c r="BI709" i="10" s="1"/>
  <c r="F710" i="10"/>
  <c r="AD710" i="10"/>
  <c r="AH710" i="10"/>
  <c r="AI710" i="10"/>
  <c r="AJ710" i="10"/>
  <c r="AO710" i="10"/>
  <c r="BI710" i="10" a="1"/>
  <c r="BI710" i="10"/>
  <c r="BJ710" i="10"/>
  <c r="BO710" i="10"/>
  <c r="BW710" i="10"/>
  <c r="CD710" i="10" a="1"/>
  <c r="CD710" i="10" s="1"/>
  <c r="CK710" i="10"/>
  <c r="F711" i="10"/>
  <c r="AD711" i="10"/>
  <c r="AH711" i="10"/>
  <c r="A711" i="10" s="1"/>
  <c r="AI711" i="10"/>
  <c r="AJ711" i="10"/>
  <c r="AO711" i="10"/>
  <c r="BE711" i="10" a="1"/>
  <c r="BE711" i="10"/>
  <c r="BI711" i="10" a="1"/>
  <c r="BI711" i="10"/>
  <c r="BJ711" i="10"/>
  <c r="BO711" i="10"/>
  <c r="BS711" i="10"/>
  <c r="BW711" i="10"/>
  <c r="CD711" i="10" a="1"/>
  <c r="CD711" i="10" s="1"/>
  <c r="CF711" i="10"/>
  <c r="CK711" i="10"/>
  <c r="CO711" i="10"/>
  <c r="CS711" i="10"/>
  <c r="A712" i="10"/>
  <c r="F712" i="10"/>
  <c r="AD712" i="10"/>
  <c r="AH712" i="10"/>
  <c r="AO712" i="10" s="1"/>
  <c r="AI712" i="10"/>
  <c r="AJ712" i="10"/>
  <c r="BH712" i="10" s="1"/>
  <c r="BE712" i="10" a="1"/>
  <c r="BE712" i="10" s="1"/>
  <c r="BF712" i="10"/>
  <c r="BG712" i="10"/>
  <c r="BI712" i="10" a="1"/>
  <c r="BI712" i="10"/>
  <c r="BJ712" i="10"/>
  <c r="BO712" i="10"/>
  <c r="BS712" i="10"/>
  <c r="BW712" i="10"/>
  <c r="CD712" i="10" a="1"/>
  <c r="CD712" i="10" s="1"/>
  <c r="CF712" i="10"/>
  <c r="CK712" i="10"/>
  <c r="CO712" i="10"/>
  <c r="CS712" i="10"/>
  <c r="F713" i="10"/>
  <c r="AD713" i="10"/>
  <c r="AH713" i="10"/>
  <c r="A713" i="10" s="1"/>
  <c r="AI713" i="10"/>
  <c r="AJ713" i="10"/>
  <c r="BH713" i="10"/>
  <c r="BI713" i="10" a="1"/>
  <c r="BI713" i="10" s="1"/>
  <c r="F714" i="10"/>
  <c r="AD714" i="10"/>
  <c r="AH714" i="10"/>
  <c r="AI714" i="10"/>
  <c r="AJ714" i="10"/>
  <c r="BH714" i="10" s="1"/>
  <c r="BI714" i="10" a="1"/>
  <c r="BI714" i="10"/>
  <c r="F715" i="10"/>
  <c r="AD715" i="10"/>
  <c r="AH715" i="10"/>
  <c r="A715" i="10" s="1"/>
  <c r="AI715" i="10"/>
  <c r="AJ715" i="10"/>
  <c r="AO715" i="10"/>
  <c r="BE715" i="10" a="1"/>
  <c r="BE715" i="10" s="1"/>
  <c r="BI715" i="10" a="1"/>
  <c r="BI715" i="10"/>
  <c r="BJ715" i="10"/>
  <c r="BO715" i="10"/>
  <c r="BS715" i="10"/>
  <c r="BW715" i="10"/>
  <c r="CD715" i="10" a="1"/>
  <c r="CD715" i="10" s="1"/>
  <c r="CE715" i="10" s="1"/>
  <c r="CF715" i="10"/>
  <c r="CK715" i="10"/>
  <c r="CS715" i="10"/>
  <c r="A716" i="10"/>
  <c r="F716" i="10"/>
  <c r="AD716" i="10"/>
  <c r="AH716" i="10"/>
  <c r="AO716" i="10" s="1"/>
  <c r="AI716" i="10"/>
  <c r="AJ716" i="10"/>
  <c r="BH716" i="10" s="1"/>
  <c r="BE716" i="10" a="1"/>
  <c r="BE716" i="10" s="1"/>
  <c r="BG716" i="10"/>
  <c r="BI716" i="10" a="1"/>
  <c r="BI716" i="10"/>
  <c r="BJ716" i="10"/>
  <c r="BO716" i="10"/>
  <c r="BS716" i="10"/>
  <c r="BW716" i="10"/>
  <c r="CD716" i="10" a="1"/>
  <c r="CD716" i="10" s="1"/>
  <c r="CE716" i="10"/>
  <c r="CF716" i="10"/>
  <c r="CK716" i="10"/>
  <c r="CL716" i="10" s="1"/>
  <c r="CM716" i="10"/>
  <c r="CO716" i="10"/>
  <c r="CS716" i="10"/>
  <c r="F717" i="10"/>
  <c r="AD717" i="10"/>
  <c r="AH717" i="10"/>
  <c r="A717" i="10" s="1"/>
  <c r="AI717" i="10"/>
  <c r="AJ717" i="10"/>
  <c r="BH717" i="10"/>
  <c r="BI717" i="10" a="1"/>
  <c r="BI717" i="10" s="1"/>
  <c r="BO717" i="10"/>
  <c r="F718" i="10"/>
  <c r="AD718" i="10"/>
  <c r="AH718" i="10"/>
  <c r="CK718" i="10" s="1"/>
  <c r="AI718" i="10"/>
  <c r="AJ718" i="10"/>
  <c r="BH718" i="10" s="1"/>
  <c r="BI718" i="10" a="1"/>
  <c r="BI718" i="10"/>
  <c r="BO718" i="10"/>
  <c r="F719" i="10"/>
  <c r="AD719" i="10"/>
  <c r="AH719" i="10"/>
  <c r="A719" i="10" s="1"/>
  <c r="AI719" i="10"/>
  <c r="AJ719" i="10"/>
  <c r="AO719" i="10"/>
  <c r="BE719" i="10" a="1"/>
  <c r="BE719" i="10"/>
  <c r="BI719" i="10" a="1"/>
  <c r="BI719" i="10"/>
  <c r="BJ719" i="10"/>
  <c r="BO719" i="10"/>
  <c r="BS719" i="10"/>
  <c r="BW719" i="10"/>
  <c r="CD719" i="10" a="1"/>
  <c r="CD719" i="10" s="1"/>
  <c r="CE719" i="10" s="1"/>
  <c r="CF719" i="10"/>
  <c r="CK719" i="10"/>
  <c r="CS719" i="10"/>
  <c r="A720" i="10"/>
  <c r="F720" i="10"/>
  <c r="AD720" i="10"/>
  <c r="AH720" i="10"/>
  <c r="AO720" i="10" s="1"/>
  <c r="AI720" i="10"/>
  <c r="AJ720" i="10"/>
  <c r="BH720" i="10" s="1"/>
  <c r="BE720" i="10" a="1"/>
  <c r="BE720" i="10" s="1"/>
  <c r="BF720" i="10"/>
  <c r="BG720" i="10"/>
  <c r="BI720" i="10" a="1"/>
  <c r="BI720" i="10"/>
  <c r="BO720" i="10"/>
  <c r="BS720" i="10"/>
  <c r="BW720" i="10"/>
  <c r="CD720" i="10" a="1"/>
  <c r="CD720" i="10" s="1"/>
  <c r="CE720" i="10" s="1"/>
  <c r="CF720" i="10"/>
  <c r="CK720" i="10"/>
  <c r="CL720" i="10" s="1"/>
  <c r="CO720" i="10"/>
  <c r="CS720" i="10"/>
  <c r="A721" i="10"/>
  <c r="F721" i="10"/>
  <c r="AD721" i="10"/>
  <c r="AH721" i="10"/>
  <c r="AI721" i="10"/>
  <c r="AJ721" i="10"/>
  <c r="BH721" i="10"/>
  <c r="BI721" i="10" a="1"/>
  <c r="BI721" i="10" s="1"/>
  <c r="BO721" i="10"/>
  <c r="F722" i="10"/>
  <c r="AD722" i="10"/>
  <c r="AH722" i="10"/>
  <c r="AI722" i="10"/>
  <c r="AJ722" i="10"/>
  <c r="BH722" i="10"/>
  <c r="BI722" i="10" a="1"/>
  <c r="BI722" i="10"/>
  <c r="BO722" i="10"/>
  <c r="BW722" i="10"/>
  <c r="F723" i="10"/>
  <c r="AD723" i="10"/>
  <c r="AH723" i="10"/>
  <c r="A723" i="10" s="1"/>
  <c r="AI723" i="10"/>
  <c r="AJ723" i="10"/>
  <c r="AO723" i="10"/>
  <c r="BE723" i="10" a="1"/>
  <c r="BE723" i="10" s="1"/>
  <c r="BI723" i="10" a="1"/>
  <c r="BI723" i="10"/>
  <c r="BJ723" i="10"/>
  <c r="BO723" i="10"/>
  <c r="BS723" i="10"/>
  <c r="BW723" i="10"/>
  <c r="CD723" i="10" a="1"/>
  <c r="CD723" i="10" s="1"/>
  <c r="CE723" i="10"/>
  <c r="CF723" i="10"/>
  <c r="CK723" i="10"/>
  <c r="CS723" i="10"/>
  <c r="A724" i="10"/>
  <c r="F724" i="10"/>
  <c r="AD724" i="10"/>
  <c r="AH724" i="10"/>
  <c r="AO724" i="10" s="1"/>
  <c r="AI724" i="10"/>
  <c r="AJ724" i="10"/>
  <c r="BH724" i="10" s="1"/>
  <c r="BE724" i="10" a="1"/>
  <c r="BE724" i="10" s="1"/>
  <c r="BF724" i="10" s="1"/>
  <c r="BT724" i="10" s="1"/>
  <c r="BU724" i="10" s="1"/>
  <c r="BG724" i="10"/>
  <c r="BL724" i="10" s="1"/>
  <c r="BI724" i="10" a="1"/>
  <c r="BI724" i="10"/>
  <c r="BJ724" i="10"/>
  <c r="BO724" i="10"/>
  <c r="BS724" i="10"/>
  <c r="BW724" i="10"/>
  <c r="CD724" i="10" a="1"/>
  <c r="CD724" i="10" s="1"/>
  <c r="CE724" i="10" s="1"/>
  <c r="CF724" i="10"/>
  <c r="CH724" i="10"/>
  <c r="CK724" i="10"/>
  <c r="CO724" i="10"/>
  <c r="CS724" i="10"/>
  <c r="F725" i="10"/>
  <c r="AD725" i="10"/>
  <c r="AH725" i="10"/>
  <c r="AI725" i="10"/>
  <c r="AJ725" i="10"/>
  <c r="BH725" i="10"/>
  <c r="BI725" i="10" a="1"/>
  <c r="BI725" i="10" s="1"/>
  <c r="BO725" i="10"/>
  <c r="F726" i="10"/>
  <c r="AD726" i="10"/>
  <c r="AH726" i="10"/>
  <c r="BW726" i="10" s="1"/>
  <c r="AI726" i="10"/>
  <c r="AJ726" i="10"/>
  <c r="AO726" i="10"/>
  <c r="BI726" i="10" a="1"/>
  <c r="BI726" i="10"/>
  <c r="BJ726" i="10"/>
  <c r="BO726" i="10"/>
  <c r="CD726" i="10" a="1"/>
  <c r="CD726" i="10" s="1"/>
  <c r="CK726" i="10"/>
  <c r="F727" i="10"/>
  <c r="AD727" i="10"/>
  <c r="AH727" i="10"/>
  <c r="A727" i="10" s="1"/>
  <c r="AI727" i="10"/>
  <c r="AJ727" i="10"/>
  <c r="AO727" i="10"/>
  <c r="BE727" i="10" a="1"/>
  <c r="BE727" i="10"/>
  <c r="BI727" i="10" a="1"/>
  <c r="BI727" i="10"/>
  <c r="BJ727" i="10"/>
  <c r="BO727" i="10"/>
  <c r="BS727" i="10"/>
  <c r="BW727" i="10"/>
  <c r="CD727" i="10" a="1"/>
  <c r="CD727" i="10" s="1"/>
  <c r="CF727" i="10"/>
  <c r="CK727" i="10"/>
  <c r="CS727" i="10"/>
  <c r="A728" i="10"/>
  <c r="F728" i="10"/>
  <c r="AD728" i="10"/>
  <c r="AH728" i="10"/>
  <c r="AO728" i="10" s="1"/>
  <c r="AI728" i="10"/>
  <c r="AJ728" i="10"/>
  <c r="BH728" i="10" s="1"/>
  <c r="BE728" i="10" a="1"/>
  <c r="BE728" i="10" s="1"/>
  <c r="BF728" i="10" s="1"/>
  <c r="BG728" i="10"/>
  <c r="BI728" i="10" a="1"/>
  <c r="BI728" i="10"/>
  <c r="BJ728" i="10"/>
  <c r="BO728" i="10"/>
  <c r="BS728" i="10"/>
  <c r="BW728" i="10"/>
  <c r="CD728" i="10" a="1"/>
  <c r="CD728" i="10" s="1"/>
  <c r="CE728" i="10" s="1"/>
  <c r="CF728" i="10"/>
  <c r="CK728" i="10"/>
  <c r="CO728" i="10"/>
  <c r="CS728" i="10"/>
  <c r="F729" i="10"/>
  <c r="AD729" i="10"/>
  <c r="AH729" i="10"/>
  <c r="BO729" i="10" s="1"/>
  <c r="AI729" i="10"/>
  <c r="AJ729" i="10"/>
  <c r="BG729" i="10"/>
  <c r="BH729" i="10"/>
  <c r="BI729" i="10" a="1"/>
  <c r="BI729" i="10" s="1"/>
  <c r="CO729" i="10"/>
  <c r="F730" i="10"/>
  <c r="AD730" i="10"/>
  <c r="AH730" i="10"/>
  <c r="AI730" i="10"/>
  <c r="AJ730" i="10"/>
  <c r="BG730" i="10" s="1"/>
  <c r="AO730" i="10"/>
  <c r="BI730" i="10" a="1"/>
  <c r="BI730" i="10"/>
  <c r="BJ730" i="10"/>
  <c r="BO730" i="10"/>
  <c r="BW730" i="10"/>
  <c r="CD730" i="10" a="1"/>
  <c r="CD730" i="10" s="1"/>
  <c r="CK730" i="10"/>
  <c r="F731" i="10"/>
  <c r="AD731" i="10"/>
  <c r="AH731" i="10"/>
  <c r="A731" i="10" s="1"/>
  <c r="AI731" i="10"/>
  <c r="AJ731" i="10"/>
  <c r="AO731" i="10"/>
  <c r="BE731" i="10" a="1"/>
  <c r="BE731" i="10" s="1"/>
  <c r="BI731" i="10" a="1"/>
  <c r="BI731" i="10"/>
  <c r="BJ731" i="10"/>
  <c r="BO731" i="10"/>
  <c r="BS731" i="10"/>
  <c r="BW731" i="10"/>
  <c r="CD731" i="10" a="1"/>
  <c r="CD731" i="10" s="1"/>
  <c r="CF731" i="10"/>
  <c r="CK731" i="10"/>
  <c r="CS731" i="10"/>
  <c r="A732" i="10"/>
  <c r="F732" i="10"/>
  <c r="AD732" i="10"/>
  <c r="AH732" i="10"/>
  <c r="AO732" i="10" s="1"/>
  <c r="AI732" i="10"/>
  <c r="AJ732" i="10"/>
  <c r="BH732" i="10" s="1"/>
  <c r="BE732" i="10" a="1"/>
  <c r="BE732" i="10"/>
  <c r="BG732" i="10"/>
  <c r="BI732" i="10" a="1"/>
  <c r="BI732" i="10"/>
  <c r="BJ732" i="10"/>
  <c r="BO732" i="10"/>
  <c r="BS732" i="10"/>
  <c r="BW732" i="10"/>
  <c r="CD732" i="10" a="1"/>
  <c r="CD732" i="10" s="1"/>
  <c r="CE732" i="10" s="1"/>
  <c r="CH732" i="10" s="1"/>
  <c r="CI732" i="10" s="1"/>
  <c r="CF732" i="10"/>
  <c r="CK732" i="10"/>
  <c r="CO732" i="10"/>
  <c r="CS732" i="10"/>
  <c r="CT732" i="10" s="1"/>
  <c r="F733" i="10"/>
  <c r="AD733" i="10"/>
  <c r="AH733" i="10"/>
  <c r="CS733" i="10" s="1"/>
  <c r="AI733" i="10"/>
  <c r="AJ733" i="10"/>
  <c r="BE733" i="10" a="1"/>
  <c r="BE733" i="10" s="1"/>
  <c r="BF733" i="10" s="1"/>
  <c r="BH733" i="10"/>
  <c r="BI733" i="10" a="1"/>
  <c r="BI733" i="10" s="1"/>
  <c r="BO733" i="10"/>
  <c r="CO733" i="10"/>
  <c r="A734" i="10"/>
  <c r="F734" i="10"/>
  <c r="AD734" i="10"/>
  <c r="AH734" i="10"/>
  <c r="AI734" i="10"/>
  <c r="AJ734" i="10"/>
  <c r="BG734" i="10" s="1"/>
  <c r="AO734" i="10"/>
  <c r="BI734" i="10" a="1"/>
  <c r="BI734" i="10"/>
  <c r="BJ734" i="10"/>
  <c r="BO734" i="10"/>
  <c r="BW734" i="10"/>
  <c r="CD734" i="10" a="1"/>
  <c r="CD734" i="10" s="1"/>
  <c r="CK734" i="10"/>
  <c r="F735" i="10"/>
  <c r="AD735" i="10"/>
  <c r="AH735" i="10"/>
  <c r="AI735" i="10"/>
  <c r="AJ735" i="10"/>
  <c r="BH735" i="10"/>
  <c r="BI735" i="10" a="1"/>
  <c r="BI735" i="10"/>
  <c r="BJ735" i="10"/>
  <c r="A736" i="10"/>
  <c r="F736" i="10"/>
  <c r="AD736" i="10"/>
  <c r="AH736" i="10"/>
  <c r="AO736" i="10" s="1"/>
  <c r="AI736" i="10"/>
  <c r="AJ736" i="10"/>
  <c r="BH736" i="10" s="1"/>
  <c r="BE736" i="10" a="1"/>
  <c r="BE736" i="10" s="1"/>
  <c r="BG736" i="10"/>
  <c r="BI736" i="10" a="1"/>
  <c r="BI736" i="10"/>
  <c r="BJ736" i="10"/>
  <c r="BO736" i="10"/>
  <c r="BS736" i="10"/>
  <c r="BW736" i="10"/>
  <c r="CD736" i="10" a="1"/>
  <c r="CD736" i="10" s="1"/>
  <c r="CE736" i="10"/>
  <c r="CF736" i="10"/>
  <c r="CK736" i="10"/>
  <c r="CO736" i="10"/>
  <c r="CS736" i="10"/>
  <c r="CT736" i="10" s="1"/>
  <c r="CU736" i="10" s="1"/>
  <c r="F737" i="10"/>
  <c r="AD737" i="10"/>
  <c r="AH737" i="10"/>
  <c r="BE737" i="10" s="1" a="1"/>
  <c r="BE737" i="10" s="1"/>
  <c r="AI737" i="10"/>
  <c r="AJ737" i="10"/>
  <c r="BG737" i="10"/>
  <c r="BH737" i="10"/>
  <c r="BI737" i="10" a="1"/>
  <c r="BI737" i="10" s="1"/>
  <c r="CO737" i="10"/>
  <c r="CS737" i="10"/>
  <c r="F738" i="10"/>
  <c r="AD738" i="10"/>
  <c r="AH738" i="10"/>
  <c r="A738" i="10" s="1"/>
  <c r="AI738" i="10"/>
  <c r="AJ738" i="10"/>
  <c r="BI738" i="10" a="1"/>
  <c r="BI738" i="10" s="1"/>
  <c r="A739" i="10"/>
  <c r="F739" i="10"/>
  <c r="AD739" i="10"/>
  <c r="AH739" i="10"/>
  <c r="BE739" i="10" s="1" a="1"/>
  <c r="BE739" i="10" s="1"/>
  <c r="AI739" i="10"/>
  <c r="AJ739" i="10"/>
  <c r="AO739" i="10"/>
  <c r="BI739" i="10" a="1"/>
  <c r="BI739" i="10"/>
  <c r="BJ739" i="10"/>
  <c r="BO739" i="10"/>
  <c r="BS739" i="10"/>
  <c r="BW739" i="10"/>
  <c r="CD739" i="10" a="1"/>
  <c r="CD739" i="10"/>
  <c r="CF739" i="10"/>
  <c r="CK739" i="10"/>
  <c r="CO739" i="10"/>
  <c r="F740" i="10"/>
  <c r="AD740" i="10"/>
  <c r="AH740" i="10"/>
  <c r="BG740" i="10" s="1"/>
  <c r="AI740" i="10"/>
  <c r="AJ740" i="10"/>
  <c r="BE740" i="10" a="1"/>
  <c r="BE740" i="10"/>
  <c r="BH740" i="10"/>
  <c r="BI740" i="10" a="1"/>
  <c r="BI740" i="10" s="1"/>
  <c r="BO740" i="10"/>
  <c r="BS740" i="10"/>
  <c r="CF740" i="10"/>
  <c r="CS740" i="10"/>
  <c r="A741" i="10"/>
  <c r="F741" i="10"/>
  <c r="AD741" i="10"/>
  <c r="AH741" i="10"/>
  <c r="AI741" i="10"/>
  <c r="AJ741" i="10"/>
  <c r="BH741" i="10" s="1"/>
  <c r="AO741" i="10"/>
  <c r="BE741" i="10" a="1"/>
  <c r="BE741" i="10" s="1"/>
  <c r="BU741" i="10" s="1"/>
  <c r="BF741" i="10"/>
  <c r="BG741" i="10"/>
  <c r="BI741" i="10" a="1"/>
  <c r="BI741" i="10"/>
  <c r="BJ741" i="10"/>
  <c r="BO741" i="10"/>
  <c r="BS741" i="10"/>
  <c r="BT741" i="10"/>
  <c r="BW741" i="10"/>
  <c r="CD741" i="10" a="1"/>
  <c r="CD741" i="10" s="1"/>
  <c r="CF741" i="10"/>
  <c r="CK741" i="10"/>
  <c r="CO741" i="10"/>
  <c r="CS741" i="10"/>
  <c r="F742" i="10"/>
  <c r="AD742" i="10"/>
  <c r="AH742" i="10"/>
  <c r="BO742" i="10" s="1"/>
  <c r="AI742" i="10"/>
  <c r="AJ742" i="10"/>
  <c r="BH742" i="10"/>
  <c r="BI742" i="10" a="1"/>
  <c r="BI742" i="10" s="1"/>
  <c r="A743" i="10"/>
  <c r="F743" i="10"/>
  <c r="AD743" i="10"/>
  <c r="AH743" i="10"/>
  <c r="BE743" i="10" s="1" a="1"/>
  <c r="BE743" i="10" s="1"/>
  <c r="AI743" i="10"/>
  <c r="AJ743" i="10"/>
  <c r="AO743" i="10"/>
  <c r="BI743" i="10" a="1"/>
  <c r="BI743" i="10"/>
  <c r="BJ743" i="10"/>
  <c r="BO743" i="10"/>
  <c r="BS743" i="10"/>
  <c r="BW743" i="10"/>
  <c r="CD743" i="10" a="1"/>
  <c r="CD743" i="10"/>
  <c r="CF743" i="10"/>
  <c r="CK743" i="10"/>
  <c r="CO743" i="10"/>
  <c r="F744" i="10"/>
  <c r="AD744" i="10"/>
  <c r="AH744" i="10"/>
  <c r="BG744" i="10" s="1"/>
  <c r="AI744" i="10"/>
  <c r="AJ744" i="10"/>
  <c r="BE744" i="10" a="1"/>
  <c r="BE744" i="10"/>
  <c r="BH744" i="10"/>
  <c r="BI744" i="10" a="1"/>
  <c r="BI744" i="10" s="1"/>
  <c r="BO744" i="10"/>
  <c r="BS744" i="10"/>
  <c r="CF744" i="10"/>
  <c r="CS744" i="10"/>
  <c r="A745" i="10"/>
  <c r="F745" i="10"/>
  <c r="AD745" i="10"/>
  <c r="AH745" i="10"/>
  <c r="AI745" i="10"/>
  <c r="AJ745" i="10"/>
  <c r="BH745" i="10" s="1"/>
  <c r="AO745" i="10"/>
  <c r="BE745" i="10" a="1"/>
  <c r="BE745" i="10" s="1"/>
  <c r="BF745" i="10" s="1"/>
  <c r="BT745" i="10" s="1"/>
  <c r="BU745" i="10" s="1"/>
  <c r="BG745" i="10"/>
  <c r="BI745" i="10" a="1"/>
  <c r="BI745" i="10"/>
  <c r="BJ745" i="10"/>
  <c r="BO745" i="10"/>
  <c r="BS745" i="10"/>
  <c r="BW745" i="10"/>
  <c r="CD745" i="10" a="1"/>
  <c r="CD745" i="10" s="1"/>
  <c r="CF745" i="10"/>
  <c r="CK745" i="10"/>
  <c r="CO745" i="10"/>
  <c r="CS745" i="10"/>
  <c r="F746" i="10"/>
  <c r="AD746" i="10"/>
  <c r="AH746" i="10"/>
  <c r="AI746" i="10"/>
  <c r="AJ746" i="10"/>
  <c r="BH746" i="10"/>
  <c r="BI746" i="10" a="1"/>
  <c r="BI746" i="10" s="1"/>
  <c r="BO746" i="10"/>
  <c r="A747" i="10"/>
  <c r="F747" i="10"/>
  <c r="AD747" i="10"/>
  <c r="AH747" i="10"/>
  <c r="BE747" i="10" s="1" a="1"/>
  <c r="BE747" i="10" s="1"/>
  <c r="AI747" i="10"/>
  <c r="AJ747" i="10"/>
  <c r="AO747" i="10"/>
  <c r="BI747" i="10" a="1"/>
  <c r="BI747" i="10"/>
  <c r="BJ747" i="10"/>
  <c r="BO747" i="10"/>
  <c r="BS747" i="10"/>
  <c r="BW747" i="10"/>
  <c r="CD747" i="10" a="1"/>
  <c r="CD747" i="10" s="1"/>
  <c r="CF747" i="10"/>
  <c r="CK747" i="10"/>
  <c r="CO747" i="10"/>
  <c r="CS747" i="10"/>
  <c r="F748" i="10"/>
  <c r="AD748" i="10"/>
  <c r="AH748" i="10"/>
  <c r="BG748" i="10" s="1"/>
  <c r="AI748" i="10"/>
  <c r="AJ748" i="10"/>
  <c r="BE748" i="10" a="1"/>
  <c r="BE748" i="10"/>
  <c r="BH748" i="10"/>
  <c r="BI748" i="10" a="1"/>
  <c r="BI748" i="10"/>
  <c r="BO748" i="10"/>
  <c r="BS748" i="10"/>
  <c r="CF748" i="10"/>
  <c r="CS748" i="10"/>
  <c r="A749" i="10"/>
  <c r="F749" i="10"/>
  <c r="AD749" i="10"/>
  <c r="AH749" i="10"/>
  <c r="BS749" i="10" s="1"/>
  <c r="AI749" i="10"/>
  <c r="AJ749" i="10"/>
  <c r="BH749" i="10" s="1"/>
  <c r="AO749" i="10"/>
  <c r="BE749" i="10" a="1"/>
  <c r="BE749" i="10" s="1"/>
  <c r="BF749" i="10" s="1"/>
  <c r="BG749" i="10"/>
  <c r="BI749" i="10" a="1"/>
  <c r="BI749" i="10"/>
  <c r="BJ749" i="10"/>
  <c r="BO749" i="10"/>
  <c r="BW749" i="10"/>
  <c r="CD749" i="10" a="1"/>
  <c r="CD749" i="10" s="1"/>
  <c r="CF749" i="10"/>
  <c r="CK749" i="10"/>
  <c r="CO749" i="10"/>
  <c r="CS749" i="10"/>
  <c r="F750" i="10"/>
  <c r="AD750" i="10"/>
  <c r="AH750" i="10"/>
  <c r="AI750" i="10"/>
  <c r="AJ750" i="10"/>
  <c r="BH750" i="10"/>
  <c r="BI750" i="10" a="1"/>
  <c r="BI750" i="10" s="1"/>
  <c r="A751" i="10"/>
  <c r="F751" i="10"/>
  <c r="AD751" i="10"/>
  <c r="AH751" i="10"/>
  <c r="AI751" i="10"/>
  <c r="AJ751" i="10"/>
  <c r="AO751" i="10"/>
  <c r="BE751" i="10" a="1"/>
  <c r="BE751" i="10"/>
  <c r="BF751" i="10"/>
  <c r="BI751" i="10" a="1"/>
  <c r="BI751" i="10"/>
  <c r="BJ751" i="10"/>
  <c r="BO751" i="10"/>
  <c r="BS751" i="10"/>
  <c r="BW751" i="10"/>
  <c r="CD751" i="10" a="1"/>
  <c r="CD751" i="10"/>
  <c r="CF751" i="10"/>
  <c r="CK751" i="10"/>
  <c r="CO751" i="10"/>
  <c r="CS751" i="10"/>
  <c r="F752" i="10"/>
  <c r="AD752" i="10"/>
  <c r="AH752" i="10"/>
  <c r="BG752" i="10" s="1"/>
  <c r="AI752" i="10"/>
  <c r="AJ752" i="10"/>
  <c r="BE752" i="10" a="1"/>
  <c r="BE752" i="10" s="1"/>
  <c r="BH752" i="10"/>
  <c r="BI752" i="10" a="1"/>
  <c r="BI752" i="10"/>
  <c r="BO752" i="10"/>
  <c r="BS752" i="10"/>
  <c r="CF752" i="10"/>
  <c r="CS752" i="10"/>
  <c r="A753" i="10"/>
  <c r="F753" i="10"/>
  <c r="AD753" i="10"/>
  <c r="AH753" i="10"/>
  <c r="AO753" i="10" s="1"/>
  <c r="AI753" i="10"/>
  <c r="AJ753" i="10"/>
  <c r="BH753" i="10" s="1"/>
  <c r="BG753" i="10"/>
  <c r="BI753" i="10" a="1"/>
  <c r="BI753" i="10"/>
  <c r="BO753" i="10"/>
  <c r="BW753" i="10"/>
  <c r="CD753" i="10" a="1"/>
  <c r="CD753" i="10" s="1"/>
  <c r="CK753" i="10"/>
  <c r="CO753" i="10"/>
  <c r="F754" i="10"/>
  <c r="AD754" i="10"/>
  <c r="AH754" i="10"/>
  <c r="BO754" i="10" s="1"/>
  <c r="AI754" i="10"/>
  <c r="AJ754" i="10"/>
  <c r="BH754" i="10"/>
  <c r="BI754" i="10" a="1"/>
  <c r="BI754" i="10" s="1"/>
  <c r="A755" i="10"/>
  <c r="F755" i="10"/>
  <c r="AD755" i="10"/>
  <c r="AH755" i="10"/>
  <c r="CO755" i="10" s="1"/>
  <c r="AI755" i="10"/>
  <c r="AJ755" i="10"/>
  <c r="AO755" i="10"/>
  <c r="BE755" i="10" a="1"/>
  <c r="BE755" i="10"/>
  <c r="BF755" i="10"/>
  <c r="BI755" i="10" a="1"/>
  <c r="BI755" i="10"/>
  <c r="BJ755" i="10"/>
  <c r="BO755" i="10"/>
  <c r="BS755" i="10"/>
  <c r="BW755" i="10"/>
  <c r="CD755" i="10" a="1"/>
  <c r="CD755" i="10"/>
  <c r="CF755" i="10"/>
  <c r="CK755" i="10"/>
  <c r="CS755" i="10"/>
  <c r="F756" i="10"/>
  <c r="AD756" i="10"/>
  <c r="AH756" i="10"/>
  <c r="BG756" i="10" s="1"/>
  <c r="AI756" i="10"/>
  <c r="AJ756" i="10"/>
  <c r="BE756" i="10" a="1"/>
  <c r="BE756" i="10"/>
  <c r="BH756" i="10"/>
  <c r="BI756" i="10" a="1"/>
  <c r="BI756" i="10"/>
  <c r="BO756" i="10"/>
  <c r="BS756" i="10"/>
  <c r="CF756" i="10"/>
  <c r="CS756" i="10"/>
  <c r="A757" i="10"/>
  <c r="F757" i="10"/>
  <c r="AD757" i="10"/>
  <c r="AH757" i="10"/>
  <c r="AO757" i="10" s="1"/>
  <c r="AI757" i="10"/>
  <c r="AJ757" i="10"/>
  <c r="BH757" i="10" s="1"/>
  <c r="BG757" i="10"/>
  <c r="BI757" i="10" a="1"/>
  <c r="BI757" i="10"/>
  <c r="BO757" i="10"/>
  <c r="BW757" i="10"/>
  <c r="CD757" i="10" a="1"/>
  <c r="CD757" i="10" s="1"/>
  <c r="CK757" i="10"/>
  <c r="CO757" i="10"/>
  <c r="F758" i="10"/>
  <c r="AD758" i="10"/>
  <c r="AH758" i="10"/>
  <c r="AI758" i="10"/>
  <c r="AJ758" i="10"/>
  <c r="BG758" i="10" s="1"/>
  <c r="BH758" i="10"/>
  <c r="BI758" i="10" a="1"/>
  <c r="BI758" i="10" s="1"/>
  <c r="BO758" i="10"/>
  <c r="A759" i="10"/>
  <c r="F759" i="10"/>
  <c r="AD759" i="10"/>
  <c r="AH759" i="10"/>
  <c r="CO759" i="10" s="1"/>
  <c r="AI759" i="10"/>
  <c r="AJ759" i="10"/>
  <c r="AO759" i="10"/>
  <c r="BE759" i="10" a="1"/>
  <c r="BE759" i="10"/>
  <c r="BF759" i="10"/>
  <c r="BI759" i="10" a="1"/>
  <c r="BI759" i="10"/>
  <c r="BJ759" i="10"/>
  <c r="BO759" i="10"/>
  <c r="BS759" i="10"/>
  <c r="BW759" i="10"/>
  <c r="CD759" i="10" a="1"/>
  <c r="CD759" i="10" s="1"/>
  <c r="CF759" i="10"/>
  <c r="CK759" i="10"/>
  <c r="CS759" i="10"/>
  <c r="F760" i="10"/>
  <c r="AD760" i="10"/>
  <c r="AH760" i="10"/>
  <c r="BG760" i="10" s="1"/>
  <c r="AI760" i="10"/>
  <c r="AJ760" i="10"/>
  <c r="BE760" i="10" a="1"/>
  <c r="BE760" i="10" s="1"/>
  <c r="BH760" i="10"/>
  <c r="BI760" i="10" a="1"/>
  <c r="BI760" i="10"/>
  <c r="BO760" i="10"/>
  <c r="BS760" i="10"/>
  <c r="CF760" i="10"/>
  <c r="CS760" i="10"/>
  <c r="A761" i="10"/>
  <c r="F761" i="10"/>
  <c r="AD761" i="10"/>
  <c r="AH761" i="10"/>
  <c r="AO761" i="10" s="1"/>
  <c r="AI761" i="10"/>
  <c r="AJ761" i="10"/>
  <c r="BH761" i="10" s="1"/>
  <c r="BG761" i="10"/>
  <c r="BI761" i="10" a="1"/>
  <c r="BI761" i="10"/>
  <c r="BO761" i="10"/>
  <c r="BW761" i="10"/>
  <c r="CD761" i="10" a="1"/>
  <c r="CD761" i="10" s="1"/>
  <c r="CK761" i="10"/>
  <c r="CO761" i="10"/>
  <c r="F762" i="10"/>
  <c r="AD762" i="10"/>
  <c r="AH762" i="10"/>
  <c r="AI762" i="10"/>
  <c r="AJ762" i="10"/>
  <c r="BH762" i="10"/>
  <c r="BI762" i="10" a="1"/>
  <c r="BI762" i="10" s="1"/>
  <c r="A763" i="10"/>
  <c r="F763" i="10"/>
  <c r="AD763" i="10"/>
  <c r="AH763" i="10"/>
  <c r="AI763" i="10"/>
  <c r="AJ763" i="10"/>
  <c r="AO763" i="10"/>
  <c r="BE763" i="10" a="1"/>
  <c r="BE763" i="10"/>
  <c r="BF763" i="10"/>
  <c r="BI763" i="10" a="1"/>
  <c r="BI763" i="10"/>
  <c r="BJ763" i="10"/>
  <c r="BO763" i="10"/>
  <c r="BS763" i="10"/>
  <c r="BW763" i="10"/>
  <c r="CD763" i="10" a="1"/>
  <c r="CD763" i="10" s="1"/>
  <c r="CF763" i="10"/>
  <c r="CK763" i="10"/>
  <c r="CO763" i="10"/>
  <c r="CS763" i="10"/>
  <c r="F764" i="10"/>
  <c r="AD764" i="10"/>
  <c r="AH764" i="10"/>
  <c r="BG764" i="10" s="1"/>
  <c r="AI764" i="10"/>
  <c r="AJ764" i="10"/>
  <c r="BE764" i="10" a="1"/>
  <c r="BE764" i="10"/>
  <c r="BH764" i="10"/>
  <c r="BI764" i="10" a="1"/>
  <c r="BI764" i="10" s="1"/>
  <c r="BO764" i="10"/>
  <c r="BS764" i="10"/>
  <c r="CF764" i="10"/>
  <c r="CS764" i="10"/>
  <c r="A765" i="10"/>
  <c r="F765" i="10"/>
  <c r="AD765" i="10"/>
  <c r="AH765" i="10"/>
  <c r="BE765" i="10" s="1" a="1"/>
  <c r="BE765" i="10" s="1"/>
  <c r="AI765" i="10"/>
  <c r="AJ765" i="10"/>
  <c r="BH765" i="10" s="1"/>
  <c r="AO765" i="10"/>
  <c r="BF765" i="10"/>
  <c r="BG765" i="10"/>
  <c r="BI765" i="10" a="1"/>
  <c r="BI765" i="10"/>
  <c r="BJ765" i="10"/>
  <c r="BO765" i="10"/>
  <c r="BW765" i="10"/>
  <c r="BX765" i="10" s="1"/>
  <c r="CD765" i="10" a="1"/>
  <c r="CD765" i="10" s="1"/>
  <c r="CK765" i="10"/>
  <c r="CO765" i="10"/>
  <c r="F766" i="10"/>
  <c r="AD766" i="10"/>
  <c r="AH766" i="10"/>
  <c r="AI766" i="10"/>
  <c r="AJ766" i="10"/>
  <c r="BG766" i="10" s="1"/>
  <c r="BH766" i="10"/>
  <c r="BI766" i="10" a="1"/>
  <c r="BI766" i="10" s="1"/>
  <c r="BO766" i="10"/>
  <c r="A767" i="10"/>
  <c r="F767" i="10"/>
  <c r="AD767" i="10"/>
  <c r="AH767" i="10"/>
  <c r="AI767" i="10"/>
  <c r="AJ767" i="10"/>
  <c r="AO767" i="10"/>
  <c r="BE767" i="10" a="1"/>
  <c r="BE767" i="10"/>
  <c r="BF767" i="10"/>
  <c r="BI767" i="10" a="1"/>
  <c r="BI767" i="10"/>
  <c r="BJ767" i="10"/>
  <c r="BO767" i="10"/>
  <c r="BS767" i="10"/>
  <c r="BW767" i="10"/>
  <c r="CD767" i="10" a="1"/>
  <c r="CD767" i="10" s="1"/>
  <c r="CF767" i="10"/>
  <c r="CK767" i="10"/>
  <c r="CO767" i="10"/>
  <c r="CS767" i="10"/>
  <c r="F768" i="10"/>
  <c r="AD768" i="10"/>
  <c r="AH768" i="10"/>
  <c r="BG768" i="10" s="1"/>
  <c r="AI768" i="10"/>
  <c r="AJ768" i="10"/>
  <c r="BE768" i="10" a="1"/>
  <c r="BE768" i="10"/>
  <c r="BH768" i="10"/>
  <c r="BI768" i="10" a="1"/>
  <c r="BI768" i="10" s="1"/>
  <c r="BO768" i="10"/>
  <c r="BS768" i="10"/>
  <c r="CF768" i="10"/>
  <c r="CS768" i="10"/>
  <c r="A769" i="10"/>
  <c r="F769" i="10"/>
  <c r="AD769" i="10"/>
  <c r="AH769" i="10"/>
  <c r="BE769" i="10" s="1" a="1"/>
  <c r="BE769" i="10" s="1"/>
  <c r="AI769" i="10"/>
  <c r="AJ769" i="10"/>
  <c r="BH769" i="10" s="1"/>
  <c r="AO769" i="10"/>
  <c r="BF769" i="10"/>
  <c r="BG769" i="10"/>
  <c r="BI769" i="10" a="1"/>
  <c r="BI769" i="10"/>
  <c r="BJ769" i="10"/>
  <c r="BO769" i="10"/>
  <c r="BW769" i="10"/>
  <c r="CD769" i="10" a="1"/>
  <c r="CD769" i="10" s="1"/>
  <c r="CK769" i="10"/>
  <c r="CO769" i="10"/>
  <c r="F770" i="10"/>
  <c r="AD770" i="10"/>
  <c r="AH770" i="10"/>
  <c r="AI770" i="10"/>
  <c r="AJ770" i="10"/>
  <c r="BH770" i="10"/>
  <c r="BI770" i="10" a="1"/>
  <c r="BI770" i="10" s="1"/>
  <c r="A771" i="10"/>
  <c r="F771" i="10"/>
  <c r="AD771" i="10"/>
  <c r="AH771" i="10"/>
  <c r="AI771" i="10"/>
  <c r="AJ771" i="10"/>
  <c r="AO771" i="10"/>
  <c r="BE771" i="10" a="1"/>
  <c r="BE771" i="10" s="1"/>
  <c r="BI771" i="10" a="1"/>
  <c r="BI771" i="10"/>
  <c r="BJ771" i="10"/>
  <c r="BO771" i="10"/>
  <c r="BS771" i="10"/>
  <c r="BW771" i="10"/>
  <c r="CD771" i="10" a="1"/>
  <c r="CD771" i="10" s="1"/>
  <c r="CF771" i="10"/>
  <c r="CK771" i="10"/>
  <c r="CO771" i="10"/>
  <c r="CS771" i="10"/>
  <c r="F772" i="10"/>
  <c r="AD772" i="10"/>
  <c r="AH772" i="10"/>
  <c r="BG772" i="10" s="1"/>
  <c r="AI772" i="10"/>
  <c r="AJ772" i="10"/>
  <c r="BE772" i="10" a="1"/>
  <c r="BE772" i="10"/>
  <c r="BH772" i="10"/>
  <c r="BI772" i="10" a="1"/>
  <c r="BI772" i="10" s="1"/>
  <c r="BO772" i="10"/>
  <c r="BS772" i="10"/>
  <c r="CF772" i="10"/>
  <c r="CS772" i="10"/>
  <c r="A773" i="10"/>
  <c r="F773" i="10"/>
  <c r="AD773" i="10"/>
  <c r="AH773" i="10"/>
  <c r="BE773" i="10" s="1" a="1"/>
  <c r="BE773" i="10" s="1"/>
  <c r="AI773" i="10"/>
  <c r="AJ773" i="10"/>
  <c r="BH773" i="10" s="1"/>
  <c r="AO773" i="10"/>
  <c r="BG773" i="10"/>
  <c r="BI773" i="10" a="1"/>
  <c r="BI773" i="10"/>
  <c r="BJ773" i="10"/>
  <c r="BO773" i="10"/>
  <c r="BW773" i="10"/>
  <c r="CD773" i="10" a="1"/>
  <c r="CD773" i="10" s="1"/>
  <c r="CK773" i="10"/>
  <c r="CO773" i="10"/>
  <c r="F774" i="10"/>
  <c r="AD774" i="10"/>
  <c r="AH774" i="10"/>
  <c r="AI774" i="10"/>
  <c r="AJ774" i="10"/>
  <c r="BH774" i="10"/>
  <c r="BI774" i="10" a="1"/>
  <c r="BI774" i="10" s="1"/>
  <c r="A775" i="10"/>
  <c r="F775" i="10"/>
  <c r="AD775" i="10"/>
  <c r="AH775" i="10"/>
  <c r="AI775" i="10"/>
  <c r="AJ775" i="10"/>
  <c r="AO775" i="10"/>
  <c r="BE775" i="10" a="1"/>
  <c r="BE775" i="10" s="1"/>
  <c r="BI775" i="10" a="1"/>
  <c r="BI775" i="10"/>
  <c r="BJ775" i="10"/>
  <c r="BO775" i="10"/>
  <c r="BS775" i="10"/>
  <c r="BW775" i="10"/>
  <c r="CD775" i="10" a="1"/>
  <c r="CD775" i="10"/>
  <c r="CF775" i="10"/>
  <c r="CK775" i="10"/>
  <c r="CO775" i="10"/>
  <c r="CS775" i="10"/>
  <c r="F776" i="10"/>
  <c r="AD776" i="10"/>
  <c r="AH776" i="10"/>
  <c r="BG776" i="10" s="1"/>
  <c r="AI776" i="10"/>
  <c r="AJ776" i="10"/>
  <c r="BE776" i="10" a="1"/>
  <c r="BE776" i="10" s="1"/>
  <c r="BH776" i="10"/>
  <c r="BI776" i="10" a="1"/>
  <c r="BI776" i="10" s="1"/>
  <c r="BO776" i="10"/>
  <c r="BS776" i="10"/>
  <c r="CF776" i="10"/>
  <c r="CS776" i="10"/>
  <c r="A777" i="10"/>
  <c r="F777" i="10"/>
  <c r="AD777" i="10"/>
  <c r="AH777" i="10"/>
  <c r="BE777" i="10" s="1" a="1"/>
  <c r="BE777" i="10" s="1"/>
  <c r="AI777" i="10"/>
  <c r="AJ777" i="10"/>
  <c r="BH777" i="10" s="1"/>
  <c r="AO777" i="10"/>
  <c r="BG777" i="10"/>
  <c r="BI777" i="10" a="1"/>
  <c r="BI777" i="10"/>
  <c r="BJ777" i="10"/>
  <c r="BO777" i="10"/>
  <c r="BW777" i="10"/>
  <c r="CD777" i="10" a="1"/>
  <c r="CD777" i="10" s="1"/>
  <c r="CK777" i="10"/>
  <c r="CO777" i="10"/>
  <c r="F778" i="10"/>
  <c r="AD778" i="10"/>
  <c r="AH778" i="10"/>
  <c r="AI778" i="10"/>
  <c r="AJ778" i="10"/>
  <c r="BG778" i="10" s="1"/>
  <c r="BH778" i="10"/>
  <c r="BI778" i="10" a="1"/>
  <c r="BI778" i="10" s="1"/>
  <c r="BO778" i="10"/>
  <c r="A779" i="10"/>
  <c r="F779" i="10"/>
  <c r="AD779" i="10"/>
  <c r="AH779" i="10"/>
  <c r="AI779" i="10"/>
  <c r="AJ779" i="10"/>
  <c r="AO779" i="10"/>
  <c r="BE779" i="10" a="1"/>
  <c r="BE779" i="10" s="1"/>
  <c r="BI779" i="10" a="1"/>
  <c r="BI779" i="10"/>
  <c r="BJ779" i="10"/>
  <c r="BO779" i="10"/>
  <c r="BS779" i="10"/>
  <c r="BW779" i="10"/>
  <c r="CD779" i="10" a="1"/>
  <c r="CD779" i="10" s="1"/>
  <c r="CF779" i="10"/>
  <c r="CK779" i="10"/>
  <c r="CO779" i="10"/>
  <c r="CS779" i="10"/>
  <c r="F780" i="10"/>
  <c r="AD780" i="10"/>
  <c r="AH780" i="10"/>
  <c r="BG780" i="10" s="1"/>
  <c r="AI780" i="10"/>
  <c r="AJ780" i="10"/>
  <c r="BE780" i="10" a="1"/>
  <c r="BE780" i="10"/>
  <c r="BH780" i="10"/>
  <c r="BI780" i="10" a="1"/>
  <c r="BI780" i="10" s="1"/>
  <c r="BO780" i="10"/>
  <c r="BS780" i="10"/>
  <c r="CF780" i="10"/>
  <c r="CS780" i="10"/>
  <c r="A781" i="10"/>
  <c r="F781" i="10"/>
  <c r="AD781" i="10"/>
  <c r="AH781" i="10"/>
  <c r="BE781" i="10" s="1" a="1"/>
  <c r="BE781" i="10" s="1"/>
  <c r="AI781" i="10"/>
  <c r="AJ781" i="10"/>
  <c r="BH781" i="10" s="1"/>
  <c r="AO781" i="10"/>
  <c r="BF781" i="10"/>
  <c r="BG781" i="10"/>
  <c r="BI781" i="10" a="1"/>
  <c r="BI781" i="10"/>
  <c r="BJ781" i="10"/>
  <c r="BO781" i="10"/>
  <c r="BW781" i="10"/>
  <c r="CD781" i="10" a="1"/>
  <c r="CD781" i="10" s="1"/>
  <c r="CK781" i="10"/>
  <c r="CO781" i="10"/>
  <c r="F782" i="10"/>
  <c r="AD782" i="10"/>
  <c r="AH782" i="10"/>
  <c r="AI782" i="10"/>
  <c r="AJ782" i="10"/>
  <c r="BH782" i="10"/>
  <c r="BI782" i="10" a="1"/>
  <c r="BI782" i="10" s="1"/>
  <c r="A783" i="10"/>
  <c r="F783" i="10"/>
  <c r="AD783" i="10"/>
  <c r="AH783" i="10"/>
  <c r="AI783" i="10"/>
  <c r="AJ783" i="10"/>
  <c r="AO783" i="10"/>
  <c r="BE783" i="10" a="1"/>
  <c r="BE783" i="10" s="1"/>
  <c r="BF783" i="10" s="1"/>
  <c r="BI783" i="10" a="1"/>
  <c r="BI783" i="10"/>
  <c r="BJ783" i="10"/>
  <c r="BO783" i="10"/>
  <c r="BS783" i="10"/>
  <c r="BW783" i="10"/>
  <c r="CD783" i="10" a="1"/>
  <c r="CD783" i="10" s="1"/>
  <c r="CF783" i="10"/>
  <c r="CK783" i="10"/>
  <c r="CO783" i="10"/>
  <c r="CS783" i="10"/>
  <c r="F784" i="10"/>
  <c r="AD784" i="10"/>
  <c r="AH784" i="10"/>
  <c r="AI784" i="10"/>
  <c r="AJ784" i="10"/>
  <c r="BE784" i="10" a="1"/>
  <c r="BE784" i="10"/>
  <c r="BH784" i="10"/>
  <c r="BI784" i="10" a="1"/>
  <c r="BI784" i="10" s="1"/>
  <c r="BO784" i="10"/>
  <c r="BS784" i="10"/>
  <c r="CF784" i="10"/>
  <c r="CS784" i="10"/>
  <c r="A785" i="10"/>
  <c r="F785" i="10"/>
  <c r="AD785" i="10"/>
  <c r="AH785" i="10"/>
  <c r="AO785" i="10" s="1"/>
  <c r="AI785" i="10"/>
  <c r="AJ785" i="10"/>
  <c r="BH785" i="10" s="1"/>
  <c r="BG785" i="10"/>
  <c r="BI785" i="10" a="1"/>
  <c r="BI785" i="10"/>
  <c r="BO785" i="10"/>
  <c r="BW785" i="10"/>
  <c r="CD785" i="10" a="1"/>
  <c r="CD785" i="10" s="1"/>
  <c r="CK785" i="10"/>
  <c r="CO785" i="10"/>
  <c r="F786" i="10"/>
  <c r="AD786" i="10"/>
  <c r="AH786" i="10"/>
  <c r="AI786" i="10"/>
  <c r="AJ786" i="10"/>
  <c r="BE786" i="10" a="1"/>
  <c r="BE786" i="10" s="1"/>
  <c r="BH786" i="10"/>
  <c r="BI786" i="10" a="1"/>
  <c r="BI786" i="10" s="1"/>
  <c r="BO786" i="10"/>
  <c r="A787" i="10"/>
  <c r="F787" i="10"/>
  <c r="AD787" i="10"/>
  <c r="AH787" i="10"/>
  <c r="AI787" i="10"/>
  <c r="AJ787" i="10"/>
  <c r="AO787" i="10"/>
  <c r="BE787" i="10" a="1"/>
  <c r="BE787" i="10" s="1"/>
  <c r="BF787" i="10"/>
  <c r="BI787" i="10" a="1"/>
  <c r="BI787" i="10"/>
  <c r="BJ787" i="10"/>
  <c r="BO787" i="10"/>
  <c r="BS787" i="10"/>
  <c r="BW787" i="10"/>
  <c r="CD787" i="10" a="1"/>
  <c r="CD787" i="10"/>
  <c r="CF787" i="10"/>
  <c r="CK787" i="10"/>
  <c r="CO787" i="10"/>
  <c r="CS787" i="10"/>
  <c r="F788" i="10"/>
  <c r="AD788" i="10"/>
  <c r="AH788" i="10"/>
  <c r="AI788" i="10"/>
  <c r="AJ788" i="10"/>
  <c r="BH788" i="10"/>
  <c r="BI788" i="10" a="1"/>
  <c r="BI788" i="10" s="1"/>
  <c r="A789" i="10"/>
  <c r="F789" i="10"/>
  <c r="AD789" i="10"/>
  <c r="AH789" i="10"/>
  <c r="AO789" i="10" s="1"/>
  <c r="AI789" i="10"/>
  <c r="AJ789" i="10"/>
  <c r="BH789" i="10" s="1"/>
  <c r="BI789" i="10" a="1"/>
  <c r="BI789" i="10"/>
  <c r="BO789" i="10"/>
  <c r="BW789" i="10"/>
  <c r="CD789" i="10" a="1"/>
  <c r="CD789" i="10" s="1"/>
  <c r="CK789" i="10"/>
  <c r="CO789" i="10"/>
  <c r="F790" i="10"/>
  <c r="AD790" i="10"/>
  <c r="AH790" i="10"/>
  <c r="AI790" i="10"/>
  <c r="AJ790" i="10"/>
  <c r="BH790" i="10"/>
  <c r="BI790" i="10" a="1"/>
  <c r="BI790" i="10" s="1"/>
  <c r="A791" i="10"/>
  <c r="F791" i="10"/>
  <c r="AD791" i="10"/>
  <c r="AH791" i="10"/>
  <c r="AI791" i="10"/>
  <c r="AJ791" i="10"/>
  <c r="AO791" i="10"/>
  <c r="BE791" i="10" a="1"/>
  <c r="BE791" i="10" s="1"/>
  <c r="BF791" i="10" s="1"/>
  <c r="BI791" i="10" a="1"/>
  <c r="BI791" i="10"/>
  <c r="BJ791" i="10"/>
  <c r="BO791" i="10"/>
  <c r="BS791" i="10"/>
  <c r="BW791" i="10"/>
  <c r="CD791" i="10" a="1"/>
  <c r="CD791" i="10" s="1"/>
  <c r="CF791" i="10"/>
  <c r="CK791" i="10"/>
  <c r="CO791" i="10"/>
  <c r="CS791" i="10"/>
  <c r="F792" i="10"/>
  <c r="AD792" i="10"/>
  <c r="AH792" i="10"/>
  <c r="AI792" i="10"/>
  <c r="AJ792" i="10"/>
  <c r="BE792" i="10" a="1"/>
  <c r="BE792" i="10"/>
  <c r="BH792" i="10"/>
  <c r="BI792" i="10" a="1"/>
  <c r="BI792" i="10" s="1"/>
  <c r="BO792" i="10"/>
  <c r="BS792" i="10"/>
  <c r="CF792" i="10"/>
  <c r="CS792" i="10"/>
  <c r="A793" i="10"/>
  <c r="F793" i="10"/>
  <c r="AD793" i="10"/>
  <c r="AH793" i="10"/>
  <c r="AO793" i="10" s="1"/>
  <c r="AI793" i="10"/>
  <c r="AJ793" i="10"/>
  <c r="BH793" i="10" s="1"/>
  <c r="BG793" i="10"/>
  <c r="BI793" i="10" a="1"/>
  <c r="BI793" i="10"/>
  <c r="BO793" i="10"/>
  <c r="BW793" i="10"/>
  <c r="CD793" i="10" a="1"/>
  <c r="CD793" i="10" s="1"/>
  <c r="CK793" i="10"/>
  <c r="CO793" i="10"/>
  <c r="F794" i="10"/>
  <c r="AD794" i="10"/>
  <c r="AH794" i="10"/>
  <c r="AI794" i="10"/>
  <c r="AJ794" i="10"/>
  <c r="BE794" i="10" a="1"/>
  <c r="BE794" i="10" s="1"/>
  <c r="BH794" i="10"/>
  <c r="BI794" i="10" a="1"/>
  <c r="BI794" i="10" s="1"/>
  <c r="A795" i="10"/>
  <c r="F795" i="10"/>
  <c r="AD795" i="10"/>
  <c r="AH795" i="10"/>
  <c r="AI795" i="10"/>
  <c r="AJ795" i="10"/>
  <c r="AO795" i="10"/>
  <c r="BE795" i="10" a="1"/>
  <c r="BE795" i="10" s="1"/>
  <c r="BF795" i="10"/>
  <c r="BI795" i="10" a="1"/>
  <c r="BI795" i="10"/>
  <c r="BJ795" i="10"/>
  <c r="BO795" i="10"/>
  <c r="BS795" i="10"/>
  <c r="BW795" i="10"/>
  <c r="CD795" i="10" a="1"/>
  <c r="CD795" i="10"/>
  <c r="CF795" i="10"/>
  <c r="CK795" i="10"/>
  <c r="CO795" i="10"/>
  <c r="CS795" i="10"/>
  <c r="F796" i="10"/>
  <c r="AD796" i="10"/>
  <c r="AH796" i="10"/>
  <c r="AI796" i="10"/>
  <c r="AJ796" i="10"/>
  <c r="BH796" i="10"/>
  <c r="BI796" i="10" a="1"/>
  <c r="BI796" i="10" s="1"/>
  <c r="A797" i="10"/>
  <c r="F797" i="10"/>
  <c r="AD797" i="10"/>
  <c r="AH797" i="10"/>
  <c r="AO797" i="10" s="1"/>
  <c r="AI797" i="10"/>
  <c r="AJ797" i="10"/>
  <c r="BG797" i="10" s="1"/>
  <c r="BH797" i="10"/>
  <c r="BI797" i="10" a="1"/>
  <c r="BI797" i="10"/>
  <c r="BO797" i="10"/>
  <c r="BW797" i="10"/>
  <c r="CD797" i="10" a="1"/>
  <c r="CD797" i="10" s="1"/>
  <c r="CK797" i="10"/>
  <c r="CO797" i="10"/>
  <c r="F798" i="10"/>
  <c r="AD798" i="10"/>
  <c r="AH798" i="10"/>
  <c r="AI798" i="10"/>
  <c r="AJ798" i="10"/>
  <c r="BH798" i="10"/>
  <c r="BI798" i="10" a="1"/>
  <c r="BI798" i="10"/>
  <c r="BO798" i="10"/>
  <c r="BW798" i="10"/>
  <c r="CK798" i="10"/>
  <c r="A799" i="10"/>
  <c r="F799" i="10"/>
  <c r="AD799" i="10"/>
  <c r="AH799" i="10"/>
  <c r="AI799" i="10"/>
  <c r="AJ799" i="10"/>
  <c r="AO799" i="10"/>
  <c r="BE799" i="10" a="1"/>
  <c r="BE799" i="10" s="1"/>
  <c r="BF799" i="10"/>
  <c r="BI799" i="10" a="1"/>
  <c r="BI799" i="10"/>
  <c r="BJ799" i="10"/>
  <c r="BO799" i="10"/>
  <c r="BS799" i="10"/>
  <c r="BW799" i="10"/>
  <c r="CD799" i="10" a="1"/>
  <c r="CD799" i="10" s="1"/>
  <c r="CF799" i="10"/>
  <c r="CK799" i="10"/>
  <c r="CO799" i="10"/>
  <c r="CS799" i="10"/>
  <c r="A800" i="10"/>
  <c r="F800" i="10"/>
  <c r="AD800" i="10"/>
  <c r="AH800" i="10"/>
  <c r="BS800" i="10" s="1"/>
  <c r="AI800" i="10"/>
  <c r="AJ800" i="10"/>
  <c r="BE800" i="10" a="1"/>
  <c r="BE800" i="10"/>
  <c r="BF800" i="10" s="1"/>
  <c r="BH800" i="10"/>
  <c r="BI800" i="10" a="1"/>
  <c r="BI800" i="10" s="1"/>
  <c r="BO800" i="10"/>
  <c r="CS800" i="10"/>
  <c r="F801" i="10"/>
  <c r="AD801" i="10"/>
  <c r="AH801" i="10"/>
  <c r="AI801" i="10"/>
  <c r="AJ801" i="10"/>
  <c r="BH801" i="10"/>
  <c r="BI801" i="10" a="1"/>
  <c r="BI801" i="10"/>
  <c r="F802" i="10"/>
  <c r="AD802" i="10"/>
  <c r="AH802" i="10"/>
  <c r="AI802" i="10"/>
  <c r="AJ802" i="10"/>
  <c r="BE802" i="10" a="1"/>
  <c r="BE802" i="10" s="1"/>
  <c r="BH802" i="10"/>
  <c r="BI802" i="10" a="1"/>
  <c r="BI802" i="10"/>
  <c r="BO802" i="10"/>
  <c r="BW802" i="10"/>
  <c r="CK802" i="10"/>
  <c r="CS802" i="10"/>
  <c r="A803" i="10"/>
  <c r="F803" i="10"/>
  <c r="AD803" i="10"/>
  <c r="AH803" i="10"/>
  <c r="AI803" i="10"/>
  <c r="AJ803" i="10"/>
  <c r="AO803" i="10"/>
  <c r="BE803" i="10" a="1"/>
  <c r="BE803" i="10"/>
  <c r="BF803" i="10" s="1"/>
  <c r="BI803" i="10" a="1"/>
  <c r="BI803" i="10"/>
  <c r="BJ803" i="10"/>
  <c r="BO803" i="10"/>
  <c r="BS803" i="10"/>
  <c r="BW803" i="10"/>
  <c r="CD803" i="10" a="1"/>
  <c r="CD803" i="10"/>
  <c r="CF803" i="10"/>
  <c r="CK803" i="10"/>
  <c r="CO803" i="10"/>
  <c r="CS803" i="10"/>
  <c r="F804" i="10"/>
  <c r="AD804" i="10"/>
  <c r="AH804" i="10"/>
  <c r="BS804" i="10" s="1"/>
  <c r="AI804" i="10"/>
  <c r="AJ804" i="10"/>
  <c r="AO804" i="10"/>
  <c r="BE804" i="10" a="1"/>
  <c r="BE804" i="10" s="1"/>
  <c r="BH804" i="10"/>
  <c r="BI804" i="10" a="1"/>
  <c r="BI804" i="10" s="1"/>
  <c r="BJ804" i="10"/>
  <c r="BO804" i="10"/>
  <c r="CS804" i="10"/>
  <c r="A805" i="10"/>
  <c r="F805" i="10"/>
  <c r="AD805" i="10"/>
  <c r="AH805" i="10"/>
  <c r="CO805" i="10" s="1"/>
  <c r="AI805" i="10"/>
  <c r="AJ805" i="10"/>
  <c r="BG805" i="10" s="1"/>
  <c r="AO805" i="10"/>
  <c r="BH805" i="10"/>
  <c r="BI805" i="10" a="1"/>
  <c r="BI805" i="10"/>
  <c r="BJ805" i="10"/>
  <c r="BO805" i="10"/>
  <c r="CF805" i="10"/>
  <c r="F806" i="10"/>
  <c r="AD806" i="10"/>
  <c r="AH806" i="10"/>
  <c r="AI806" i="10"/>
  <c r="AJ806" i="10"/>
  <c r="BH806" i="10"/>
  <c r="BI806" i="10" a="1"/>
  <c r="BI806" i="10"/>
  <c r="A807" i="10"/>
  <c r="F807" i="10"/>
  <c r="AD807" i="10"/>
  <c r="AH807" i="10"/>
  <c r="AI807" i="10"/>
  <c r="AJ807" i="10"/>
  <c r="AO807" i="10"/>
  <c r="BE807" i="10" a="1"/>
  <c r="BE807" i="10" s="1"/>
  <c r="BI807" i="10" a="1"/>
  <c r="BI807" i="10"/>
  <c r="BJ807" i="10"/>
  <c r="BO807" i="10"/>
  <c r="BS807" i="10"/>
  <c r="BW807" i="10"/>
  <c r="CD807" i="10" a="1"/>
  <c r="CD807" i="10" s="1"/>
  <c r="CF807" i="10"/>
  <c r="CK807" i="10"/>
  <c r="CO807" i="10"/>
  <c r="CS807" i="10"/>
  <c r="A808" i="10"/>
  <c r="F808" i="10"/>
  <c r="AD808" i="10"/>
  <c r="AH808" i="10"/>
  <c r="BS808" i="10" s="1"/>
  <c r="AI808" i="10"/>
  <c r="AJ808" i="10"/>
  <c r="AO808" i="10"/>
  <c r="BE808" i="10" a="1"/>
  <c r="BE808" i="10" s="1"/>
  <c r="BH808" i="10"/>
  <c r="BI808" i="10" a="1"/>
  <c r="BI808" i="10" s="1"/>
  <c r="BJ808" i="10"/>
  <c r="BO808" i="10"/>
  <c r="CS808" i="10"/>
  <c r="A809" i="10"/>
  <c r="F809" i="10"/>
  <c r="AD809" i="10"/>
  <c r="AH809" i="10"/>
  <c r="CO809" i="10" s="1"/>
  <c r="AI809" i="10"/>
  <c r="AJ809" i="10"/>
  <c r="BG809" i="10" s="1"/>
  <c r="BH809" i="10"/>
  <c r="BI809" i="10" a="1"/>
  <c r="BI809" i="10"/>
  <c r="BO809" i="10"/>
  <c r="F810" i="10"/>
  <c r="AD810" i="10"/>
  <c r="AH810" i="10"/>
  <c r="BS810" i="10" s="1"/>
  <c r="AI810" i="10"/>
  <c r="AJ810" i="10"/>
  <c r="BI810" i="10" a="1"/>
  <c r="BI810" i="10"/>
  <c r="BO810" i="10"/>
  <c r="CF810" i="10"/>
  <c r="A811" i="10"/>
  <c r="F811" i="10"/>
  <c r="AD811" i="10"/>
  <c r="AH811" i="10"/>
  <c r="AI811" i="10"/>
  <c r="AJ811" i="10"/>
  <c r="BH811" i="10" s="1"/>
  <c r="AO811" i="10"/>
  <c r="BE811" i="10" a="1"/>
  <c r="BE811" i="10" s="1"/>
  <c r="BI811" i="10" a="1"/>
  <c r="BI811" i="10" s="1"/>
  <c r="BJ811" i="10"/>
  <c r="BO811" i="10"/>
  <c r="BS811" i="10"/>
  <c r="BW811" i="10"/>
  <c r="CD811" i="10" a="1"/>
  <c r="CD811" i="10" s="1"/>
  <c r="CE811" i="10" s="1"/>
  <c r="CF811" i="10"/>
  <c r="CK811" i="10"/>
  <c r="CO811" i="10"/>
  <c r="CS811" i="10"/>
  <c r="A812" i="10"/>
  <c r="F812" i="10"/>
  <c r="AD812" i="10"/>
  <c r="AH812" i="10"/>
  <c r="BS812" i="10" s="1"/>
  <c r="AI812" i="10"/>
  <c r="AJ812" i="10"/>
  <c r="AO812" i="10"/>
  <c r="BE812" i="10" a="1"/>
  <c r="BE812" i="10" s="1"/>
  <c r="BF812" i="10"/>
  <c r="BH812" i="10"/>
  <c r="BI812" i="10" a="1"/>
  <c r="BI812" i="10" s="1"/>
  <c r="BJ812" i="10"/>
  <c r="BO812" i="10"/>
  <c r="CS812" i="10"/>
  <c r="F813" i="10"/>
  <c r="AD813" i="10"/>
  <c r="AH813" i="10"/>
  <c r="A813" i="10" s="1"/>
  <c r="AI813" i="10"/>
  <c r="AJ813" i="10"/>
  <c r="BG813" i="10" s="1"/>
  <c r="AO813" i="10"/>
  <c r="BH813" i="10"/>
  <c r="BI813" i="10" a="1"/>
  <c r="BI813" i="10"/>
  <c r="BJ813" i="10"/>
  <c r="F814" i="10"/>
  <c r="AD814" i="10"/>
  <c r="AH814" i="10"/>
  <c r="AI814" i="10"/>
  <c r="AJ814" i="10"/>
  <c r="BE814" i="10" a="1"/>
  <c r="BE814" i="10" s="1"/>
  <c r="BG814" i="10"/>
  <c r="BH814" i="10"/>
  <c r="BI814" i="10" a="1"/>
  <c r="BI814" i="10"/>
  <c r="BO814" i="10"/>
  <c r="BS814" i="10"/>
  <c r="CD814" i="10" a="1"/>
  <c r="CD814" i="10" s="1"/>
  <c r="CE814" i="10" s="1"/>
  <c r="CF814" i="10"/>
  <c r="CK814" i="10"/>
  <c r="CO814" i="10"/>
  <c r="A815" i="10"/>
  <c r="F815" i="10"/>
  <c r="AD815" i="10"/>
  <c r="AH815" i="10"/>
  <c r="AI815" i="10"/>
  <c r="AJ815" i="10"/>
  <c r="BH815" i="10" s="1"/>
  <c r="AO815" i="10"/>
  <c r="BE815" i="10" a="1"/>
  <c r="BE815" i="10" s="1"/>
  <c r="BY815" i="10" s="1"/>
  <c r="BF815" i="10"/>
  <c r="BP815" i="10" s="1"/>
  <c r="BQ815" i="10" s="1"/>
  <c r="BG815" i="10"/>
  <c r="BL815" i="10" s="1"/>
  <c r="BI815" i="10" a="1"/>
  <c r="BI815" i="10" s="1"/>
  <c r="BJ815" i="10"/>
  <c r="BO815" i="10"/>
  <c r="BS815" i="10"/>
  <c r="BW815" i="10"/>
  <c r="BX815" i="10" s="1"/>
  <c r="CD815" i="10" a="1"/>
  <c r="CD815" i="10" s="1"/>
  <c r="CE815" i="10"/>
  <c r="CF815" i="10"/>
  <c r="CH815" i="10"/>
  <c r="CI815" i="10" s="1"/>
  <c r="CK815" i="10"/>
  <c r="CO815" i="10"/>
  <c r="CP815" i="10" s="1"/>
  <c r="CQ815" i="10" s="1"/>
  <c r="CS815" i="10"/>
  <c r="A816" i="10"/>
  <c r="F816" i="10"/>
  <c r="AD816" i="10"/>
  <c r="AH816" i="10"/>
  <c r="AI816" i="10"/>
  <c r="AJ816" i="10"/>
  <c r="AO816" i="10"/>
  <c r="BE816" i="10" a="1"/>
  <c r="BE816" i="10" s="1"/>
  <c r="BF816" i="10"/>
  <c r="BH816" i="10"/>
  <c r="BI816" i="10" a="1"/>
  <c r="BI816" i="10" s="1"/>
  <c r="BJ816" i="10"/>
  <c r="BO816" i="10"/>
  <c r="CS816" i="10"/>
  <c r="A817" i="10"/>
  <c r="F817" i="10"/>
  <c r="AD817" i="10"/>
  <c r="AH817" i="10"/>
  <c r="AI817" i="10"/>
  <c r="AJ817" i="10"/>
  <c r="BG817" i="10" s="1"/>
  <c r="AO817" i="10"/>
  <c r="BH817" i="10"/>
  <c r="BI817" i="10" a="1"/>
  <c r="BI817" i="10"/>
  <c r="BJ817" i="10"/>
  <c r="BO817" i="10"/>
  <c r="BS817" i="10"/>
  <c r="BW817" i="10"/>
  <c r="CD817" i="10" a="1"/>
  <c r="CD817" i="10" s="1"/>
  <c r="CF817" i="10"/>
  <c r="CK817" i="10"/>
  <c r="F818" i="10"/>
  <c r="AD818" i="10"/>
  <c r="AH818" i="10"/>
  <c r="AI818" i="10"/>
  <c r="AJ818" i="10"/>
  <c r="BE818" i="10" a="1"/>
  <c r="BE818" i="10" s="1"/>
  <c r="BG818" i="10"/>
  <c r="BH818" i="10"/>
  <c r="BI818" i="10" a="1"/>
  <c r="BI818" i="10"/>
  <c r="BO818" i="10"/>
  <c r="BS818" i="10"/>
  <c r="BW818" i="10"/>
  <c r="CD818" i="10" a="1"/>
  <c r="CD818" i="10" s="1"/>
  <c r="CE818" i="10" s="1"/>
  <c r="CT818" i="10" s="1"/>
  <c r="CF818" i="10"/>
  <c r="CK818" i="10"/>
  <c r="CO818" i="10"/>
  <c r="CP818" i="10" s="1"/>
  <c r="CS818" i="10"/>
  <c r="A819" i="10"/>
  <c r="F819" i="10"/>
  <c r="AD819" i="10"/>
  <c r="AH819" i="10"/>
  <c r="AO819" i="10" s="1"/>
  <c r="AI819" i="10"/>
  <c r="AJ819" i="10"/>
  <c r="BH819" i="10" s="1"/>
  <c r="BE819" i="10" a="1"/>
  <c r="BE819" i="10" s="1"/>
  <c r="BI819" i="10" a="1"/>
  <c r="BI819" i="10" s="1"/>
  <c r="BJ819" i="10"/>
  <c r="BO819" i="10"/>
  <c r="BS819" i="10"/>
  <c r="BW819" i="10"/>
  <c r="CD819" i="10" a="1"/>
  <c r="CD819" i="10" s="1"/>
  <c r="CE819" i="10"/>
  <c r="CF819" i="10"/>
  <c r="CK819" i="10"/>
  <c r="CO819" i="10"/>
  <c r="CS819" i="10"/>
  <c r="F820" i="10"/>
  <c r="AD820" i="10"/>
  <c r="AH820" i="10"/>
  <c r="AI820" i="10"/>
  <c r="AJ820" i="10"/>
  <c r="BE820" i="10" a="1"/>
  <c r="BE820" i="10" s="1"/>
  <c r="BF820" i="10" s="1"/>
  <c r="BG820" i="10"/>
  <c r="BH820" i="10"/>
  <c r="BI820" i="10" a="1"/>
  <c r="BI820" i="10" s="1"/>
  <c r="CO820" i="10"/>
  <c r="CS820" i="10"/>
  <c r="F821" i="10"/>
  <c r="AD821" i="10"/>
  <c r="AH821" i="10"/>
  <c r="BE821" i="10" s="1" a="1"/>
  <c r="AI821" i="10"/>
  <c r="AJ821" i="10"/>
  <c r="BG821" i="10" s="1"/>
  <c r="BE821" i="10"/>
  <c r="BF821" i="10" s="1"/>
  <c r="BI821" i="10" a="1"/>
  <c r="BI821" i="10"/>
  <c r="BS821" i="10"/>
  <c r="BW821" i="10"/>
  <c r="CF821" i="10"/>
  <c r="CO821" i="10"/>
  <c r="A822" i="10"/>
  <c r="F822" i="10"/>
  <c r="AD822" i="10"/>
  <c r="AH822" i="10"/>
  <c r="AI822" i="10"/>
  <c r="AJ822" i="10"/>
  <c r="BH822" i="10" s="1"/>
  <c r="AO822" i="10"/>
  <c r="BE822" i="10" a="1"/>
  <c r="BE822" i="10"/>
  <c r="BG822" i="10"/>
  <c r="BI822" i="10" a="1"/>
  <c r="BI822" i="10" s="1"/>
  <c r="BJ822" i="10"/>
  <c r="BO822" i="10"/>
  <c r="BS822" i="10"/>
  <c r="BW822" i="10"/>
  <c r="CD822" i="10" a="1"/>
  <c r="CD822" i="10"/>
  <c r="CE822" i="10" s="1"/>
  <c r="CF822" i="10"/>
  <c r="CK822" i="10"/>
  <c r="CO822" i="10"/>
  <c r="CS822" i="10"/>
  <c r="A823" i="10"/>
  <c r="F823" i="10"/>
  <c r="AD823" i="10"/>
  <c r="AH823" i="10"/>
  <c r="BE823" i="10" s="1" a="1"/>
  <c r="BE823" i="10" s="1"/>
  <c r="AI823" i="10"/>
  <c r="AJ823" i="10"/>
  <c r="AO823" i="10"/>
  <c r="BG823" i="10"/>
  <c r="BH823" i="10"/>
  <c r="BI823" i="10" a="1"/>
  <c r="BI823" i="10" s="1"/>
  <c r="BJ823" i="10"/>
  <c r="BO823" i="10"/>
  <c r="BS823" i="10"/>
  <c r="CF823" i="10"/>
  <c r="CO823" i="10"/>
  <c r="F824" i="10"/>
  <c r="AD824" i="10"/>
  <c r="AH824" i="10"/>
  <c r="A824" i="10" s="1"/>
  <c r="AI824" i="10"/>
  <c r="AJ824" i="10"/>
  <c r="AO824" i="10"/>
  <c r="BG824" i="10"/>
  <c r="BH824" i="10"/>
  <c r="BI824" i="10" a="1"/>
  <c r="BI824" i="10" s="1"/>
  <c r="BJ824" i="10"/>
  <c r="BO824" i="10"/>
  <c r="BS824" i="10"/>
  <c r="CD824" i="10" a="1"/>
  <c r="CD824" i="10"/>
  <c r="CF824" i="10"/>
  <c r="CK824" i="10"/>
  <c r="CO824" i="10"/>
  <c r="F825" i="10"/>
  <c r="AD825" i="10"/>
  <c r="AH825" i="10"/>
  <c r="A825" i="10" s="1"/>
  <c r="AI825" i="10"/>
  <c r="AJ825" i="10"/>
  <c r="BH825" i="10" s="1"/>
  <c r="AO825" i="10"/>
  <c r="BE825" i="10" a="1"/>
  <c r="BE825" i="10"/>
  <c r="BG825" i="10"/>
  <c r="BI825" i="10" a="1"/>
  <c r="BI825" i="10" s="1"/>
  <c r="BJ825" i="10"/>
  <c r="BO825" i="10"/>
  <c r="BS825" i="10"/>
  <c r="BW825" i="10"/>
  <c r="CD825" i="10" a="1"/>
  <c r="CD825" i="10"/>
  <c r="CE825" i="10" s="1"/>
  <c r="CF825" i="10"/>
  <c r="CK825" i="10"/>
  <c r="CO825" i="10"/>
  <c r="CS825" i="10"/>
  <c r="A826" i="10"/>
  <c r="F826" i="10"/>
  <c r="AD826" i="10"/>
  <c r="AH826" i="10"/>
  <c r="AI826" i="10"/>
  <c r="AJ826" i="10"/>
  <c r="BH826" i="10" s="1"/>
  <c r="AO826" i="10"/>
  <c r="BE826" i="10" a="1"/>
  <c r="BE826" i="10"/>
  <c r="BG826" i="10"/>
  <c r="BI826" i="10" a="1"/>
  <c r="BI826" i="10" s="1"/>
  <c r="BJ826" i="10"/>
  <c r="BO826" i="10"/>
  <c r="BS826" i="10"/>
  <c r="BW826" i="10"/>
  <c r="CD826" i="10" a="1"/>
  <c r="CD826" i="10"/>
  <c r="CE826" i="10" s="1"/>
  <c r="CF826" i="10"/>
  <c r="CK826" i="10"/>
  <c r="CO826" i="10"/>
  <c r="CS826" i="10"/>
  <c r="F827" i="10"/>
  <c r="AD827" i="10"/>
  <c r="AH827" i="10"/>
  <c r="BE827" i="10" s="1" a="1"/>
  <c r="BE827" i="10" s="1"/>
  <c r="AI827" i="10"/>
  <c r="AJ827" i="10"/>
  <c r="AO827" i="10"/>
  <c r="BG827" i="10"/>
  <c r="BH827" i="10"/>
  <c r="BI827" i="10" a="1"/>
  <c r="BI827" i="10" s="1"/>
  <c r="BJ827" i="10"/>
  <c r="BO827" i="10"/>
  <c r="BS827" i="10"/>
  <c r="CF827" i="10"/>
  <c r="CO827" i="10"/>
  <c r="F828" i="10"/>
  <c r="AD828" i="10"/>
  <c r="AH828" i="10"/>
  <c r="A828" i="10" s="1"/>
  <c r="AI828" i="10"/>
  <c r="AJ828" i="10"/>
  <c r="BH828" i="10" s="1"/>
  <c r="AO828" i="10"/>
  <c r="BG828" i="10"/>
  <c r="BI828" i="10" a="1"/>
  <c r="BI828" i="10" s="1"/>
  <c r="BJ828" i="10"/>
  <c r="BO828" i="10"/>
  <c r="BS828" i="10"/>
  <c r="BW828" i="10"/>
  <c r="CD828" i="10" a="1"/>
  <c r="CD828" i="10"/>
  <c r="CF828" i="10"/>
  <c r="CK828" i="10"/>
  <c r="CO828" i="10"/>
  <c r="F829" i="10"/>
  <c r="AD829" i="10"/>
  <c r="AH829" i="10"/>
  <c r="A829" i="10" s="1"/>
  <c r="AI829" i="10"/>
  <c r="AJ829" i="10"/>
  <c r="BH829" i="10" s="1"/>
  <c r="AO829" i="10"/>
  <c r="BE829" i="10" a="1"/>
  <c r="BE829" i="10"/>
  <c r="BG829" i="10"/>
  <c r="BI829" i="10" a="1"/>
  <c r="BI829" i="10" s="1"/>
  <c r="BJ829" i="10"/>
  <c r="BO829" i="10"/>
  <c r="BS829" i="10"/>
  <c r="BW829" i="10"/>
  <c r="CD829" i="10" a="1"/>
  <c r="CD829" i="10"/>
  <c r="CE829" i="10" s="1"/>
  <c r="CF829" i="10"/>
  <c r="CK829" i="10"/>
  <c r="CO829" i="10"/>
  <c r="CS829" i="10"/>
  <c r="A830" i="10"/>
  <c r="F830" i="10"/>
  <c r="AD830" i="10"/>
  <c r="AH830" i="10"/>
  <c r="AI830" i="10"/>
  <c r="AJ830" i="10"/>
  <c r="BH830" i="10" s="1"/>
  <c r="AO830" i="10"/>
  <c r="BE830" i="10" a="1"/>
  <c r="BE830" i="10" s="1"/>
  <c r="BG830" i="10"/>
  <c r="BI830" i="10" a="1"/>
  <c r="BI830" i="10" s="1"/>
  <c r="BJ830" i="10"/>
  <c r="BO830" i="10"/>
  <c r="BS830" i="10"/>
  <c r="BW830" i="10"/>
  <c r="CD830" i="10" a="1"/>
  <c r="CD830" i="10"/>
  <c r="CE830" i="10" s="1"/>
  <c r="CF830" i="10"/>
  <c r="CK830" i="10"/>
  <c r="CO830" i="10"/>
  <c r="CS830" i="10"/>
  <c r="F831" i="10"/>
  <c r="AD831" i="10"/>
  <c r="AH831" i="10"/>
  <c r="BE831" i="10" s="1" a="1"/>
  <c r="BE831" i="10" s="1"/>
  <c r="AI831" i="10"/>
  <c r="AJ831" i="10"/>
  <c r="AO831" i="10"/>
  <c r="BH831" i="10"/>
  <c r="BI831" i="10" a="1"/>
  <c r="BI831" i="10" s="1"/>
  <c r="BJ831" i="10"/>
  <c r="BO831" i="10"/>
  <c r="BS831" i="10"/>
  <c r="CF831" i="10"/>
  <c r="CO831" i="10"/>
  <c r="F832" i="10"/>
  <c r="AD832" i="10"/>
  <c r="AH832" i="10"/>
  <c r="A832" i="10" s="1"/>
  <c r="AI832" i="10"/>
  <c r="AJ832" i="10"/>
  <c r="BH832" i="10" s="1"/>
  <c r="AO832" i="10"/>
  <c r="BG832" i="10"/>
  <c r="BI832" i="10" a="1"/>
  <c r="BI832" i="10"/>
  <c r="BJ832" i="10"/>
  <c r="BO832" i="10"/>
  <c r="BS832" i="10"/>
  <c r="BW832" i="10"/>
  <c r="CD832" i="10" a="1"/>
  <c r="CD832" i="10"/>
  <c r="CF832" i="10"/>
  <c r="CK832" i="10"/>
  <c r="CO832" i="10"/>
  <c r="F833" i="10"/>
  <c r="AD833" i="10"/>
  <c r="AH833" i="10"/>
  <c r="A833" i="10" s="1"/>
  <c r="AI833" i="10"/>
  <c r="AJ833" i="10"/>
  <c r="BH833" i="10" s="1"/>
  <c r="AO833" i="10"/>
  <c r="BE833" i="10" a="1"/>
  <c r="BE833" i="10"/>
  <c r="BG833" i="10"/>
  <c r="BI833" i="10" a="1"/>
  <c r="BI833" i="10" s="1"/>
  <c r="BJ833" i="10"/>
  <c r="BO833" i="10"/>
  <c r="BS833" i="10"/>
  <c r="BW833" i="10"/>
  <c r="CD833" i="10" a="1"/>
  <c r="CD833" i="10" s="1"/>
  <c r="CF833" i="10"/>
  <c r="CK833" i="10"/>
  <c r="CO833" i="10"/>
  <c r="CS833" i="10"/>
  <c r="A834" i="10"/>
  <c r="F834" i="10"/>
  <c r="AD834" i="10"/>
  <c r="AH834" i="10"/>
  <c r="AI834" i="10"/>
  <c r="AJ834" i="10"/>
  <c r="BH834" i="10" s="1"/>
  <c r="AO834" i="10"/>
  <c r="BE834" i="10" a="1"/>
  <c r="BE834" i="10" s="1"/>
  <c r="BG834" i="10"/>
  <c r="BI834" i="10" a="1"/>
  <c r="BI834" i="10" s="1"/>
  <c r="BJ834" i="10"/>
  <c r="BO834" i="10"/>
  <c r="BS834" i="10"/>
  <c r="BW834" i="10"/>
  <c r="CD834" i="10" a="1"/>
  <c r="CD834" i="10"/>
  <c r="CE834" i="10" s="1"/>
  <c r="CF834" i="10"/>
  <c r="CK834" i="10"/>
  <c r="CO834" i="10"/>
  <c r="CS834" i="10"/>
  <c r="F835" i="10"/>
  <c r="AD835" i="10"/>
  <c r="AH835" i="10"/>
  <c r="BE835" i="10" s="1" a="1"/>
  <c r="BE835" i="10" s="1"/>
  <c r="AI835" i="10"/>
  <c r="AJ835" i="10"/>
  <c r="AO835" i="10"/>
  <c r="BH835" i="10"/>
  <c r="BI835" i="10" a="1"/>
  <c r="BI835" i="10" s="1"/>
  <c r="BJ835" i="10"/>
  <c r="BO835" i="10"/>
  <c r="BS835" i="10"/>
  <c r="CF835" i="10"/>
  <c r="F836" i="10"/>
  <c r="AD836" i="10"/>
  <c r="AH836" i="10"/>
  <c r="A836" i="10" s="1"/>
  <c r="AI836" i="10"/>
  <c r="AJ836" i="10"/>
  <c r="BH836" i="10" s="1"/>
  <c r="AO836" i="10"/>
  <c r="BG836" i="10"/>
  <c r="BI836" i="10" a="1"/>
  <c r="BI836" i="10"/>
  <c r="BJ836" i="10"/>
  <c r="BO836" i="10"/>
  <c r="BS836" i="10"/>
  <c r="BW836" i="10"/>
  <c r="CD836" i="10" a="1"/>
  <c r="CD836" i="10"/>
  <c r="CF836" i="10"/>
  <c r="CK836" i="10"/>
  <c r="CO836" i="10"/>
  <c r="F837" i="10"/>
  <c r="AD837" i="10"/>
  <c r="AH837" i="10"/>
  <c r="A837" i="10" s="1"/>
  <c r="AI837" i="10"/>
  <c r="AJ837" i="10"/>
  <c r="BH837" i="10" s="1"/>
  <c r="AO837" i="10"/>
  <c r="BE837" i="10" a="1"/>
  <c r="BE837" i="10"/>
  <c r="BG837" i="10"/>
  <c r="BI837" i="10" a="1"/>
  <c r="BI837" i="10" s="1"/>
  <c r="BJ837" i="10"/>
  <c r="BO837" i="10"/>
  <c r="BS837" i="10"/>
  <c r="BW837" i="10"/>
  <c r="CD837" i="10" a="1"/>
  <c r="CD837" i="10" s="1"/>
  <c r="CF837" i="10"/>
  <c r="CK837" i="10"/>
  <c r="CO837" i="10"/>
  <c r="CS837" i="10"/>
  <c r="A838" i="10"/>
  <c r="F838" i="10"/>
  <c r="AD838" i="10"/>
  <c r="AH838" i="10"/>
  <c r="AI838" i="10"/>
  <c r="AJ838" i="10"/>
  <c r="BH838" i="10" s="1"/>
  <c r="AO838" i="10"/>
  <c r="BE838" i="10" a="1"/>
  <c r="BE838" i="10" s="1"/>
  <c r="BG838" i="10"/>
  <c r="BI838" i="10" a="1"/>
  <c r="BI838" i="10" s="1"/>
  <c r="BJ838" i="10"/>
  <c r="BO838" i="10"/>
  <c r="BS838" i="10"/>
  <c r="BW838" i="10"/>
  <c r="CD838" i="10" a="1"/>
  <c r="CD838" i="10"/>
  <c r="CE838" i="10" s="1"/>
  <c r="CF838" i="10"/>
  <c r="CK838" i="10"/>
  <c r="CO838" i="10"/>
  <c r="CP838" i="10" s="1"/>
  <c r="CS838" i="10"/>
  <c r="CT838" i="10" s="1"/>
  <c r="F839" i="10"/>
  <c r="AD839" i="10"/>
  <c r="AH839" i="10"/>
  <c r="BE839" i="10" s="1" a="1"/>
  <c r="BE839" i="10" s="1"/>
  <c r="AI839" i="10"/>
  <c r="AJ839" i="10"/>
  <c r="BH839" i="10"/>
  <c r="BI839" i="10" a="1"/>
  <c r="BI839" i="10" s="1"/>
  <c r="BO839" i="10"/>
  <c r="BS839" i="10"/>
  <c r="CF839" i="10"/>
  <c r="F840" i="10"/>
  <c r="AD840" i="10"/>
  <c r="AH840" i="10"/>
  <c r="A840" i="10" s="1"/>
  <c r="AI840" i="10"/>
  <c r="AJ840" i="10"/>
  <c r="BG840" i="10" s="1"/>
  <c r="AO840" i="10"/>
  <c r="BI840" i="10" a="1"/>
  <c r="BI840" i="10"/>
  <c r="BJ840" i="10"/>
  <c r="BO840" i="10"/>
  <c r="BS840" i="10"/>
  <c r="BW840" i="10"/>
  <c r="CD840" i="10" a="1"/>
  <c r="CD840" i="10" s="1"/>
  <c r="CF840" i="10"/>
  <c r="CK840" i="10"/>
  <c r="CO840" i="10"/>
  <c r="F841" i="10"/>
  <c r="AD841" i="10"/>
  <c r="AH841" i="10"/>
  <c r="A841" i="10" s="1"/>
  <c r="AI841" i="10"/>
  <c r="AJ841" i="10"/>
  <c r="BH841" i="10" s="1"/>
  <c r="AO841" i="10"/>
  <c r="BE841" i="10" a="1"/>
  <c r="BE841" i="10" s="1"/>
  <c r="BG841" i="10"/>
  <c r="BI841" i="10" a="1"/>
  <c r="BI841" i="10" s="1"/>
  <c r="BJ841" i="10"/>
  <c r="BO841" i="10"/>
  <c r="BS841" i="10"/>
  <c r="BW841" i="10"/>
  <c r="CD841" i="10" a="1"/>
  <c r="CD841" i="10" s="1"/>
  <c r="CF841" i="10"/>
  <c r="CK841" i="10"/>
  <c r="CO841" i="10"/>
  <c r="CS841" i="10"/>
  <c r="A842" i="10"/>
  <c r="F842" i="10"/>
  <c r="AD842" i="10"/>
  <c r="AH842" i="10"/>
  <c r="AI842" i="10"/>
  <c r="AJ842" i="10"/>
  <c r="BH842" i="10" s="1"/>
  <c r="AO842" i="10"/>
  <c r="BE842" i="10" a="1"/>
  <c r="BE842" i="10" s="1"/>
  <c r="BG842" i="10"/>
  <c r="BI842" i="10" a="1"/>
  <c r="BI842" i="10" s="1"/>
  <c r="BJ842" i="10"/>
  <c r="BO842" i="10"/>
  <c r="BS842" i="10"/>
  <c r="BW842" i="10"/>
  <c r="CD842" i="10" a="1"/>
  <c r="CD842" i="10"/>
  <c r="CE842" i="10" s="1"/>
  <c r="CF842" i="10"/>
  <c r="CK842" i="10"/>
  <c r="CO842" i="10"/>
  <c r="CS842" i="10"/>
  <c r="CT842" i="10" s="1"/>
  <c r="CU842" i="10" s="1"/>
  <c r="F843" i="10"/>
  <c r="AD843" i="10"/>
  <c r="AH843" i="10"/>
  <c r="BE843" i="10" s="1" a="1"/>
  <c r="BE843" i="10" s="1"/>
  <c r="AI843" i="10"/>
  <c r="AJ843" i="10"/>
  <c r="BH843" i="10"/>
  <c r="BI843" i="10" a="1"/>
  <c r="BI843" i="10" s="1"/>
  <c r="BO843" i="10"/>
  <c r="F844" i="10"/>
  <c r="AD844" i="10"/>
  <c r="AH844" i="10"/>
  <c r="A844" i="10" s="1"/>
  <c r="AI844" i="10"/>
  <c r="AJ844" i="10"/>
  <c r="BG844" i="10" s="1"/>
  <c r="AO844" i="10"/>
  <c r="BI844" i="10" a="1"/>
  <c r="BI844" i="10"/>
  <c r="BJ844" i="10"/>
  <c r="BO844" i="10"/>
  <c r="BS844" i="10"/>
  <c r="BW844" i="10"/>
  <c r="CD844" i="10" a="1"/>
  <c r="CD844" i="10" s="1"/>
  <c r="CF844" i="10"/>
  <c r="CK844" i="10"/>
  <c r="CO844" i="10"/>
  <c r="F845" i="10"/>
  <c r="AD845" i="10"/>
  <c r="AH845" i="10"/>
  <c r="A845" i="10" s="1"/>
  <c r="AI845" i="10"/>
  <c r="AJ845" i="10"/>
  <c r="BH845" i="10" s="1"/>
  <c r="AO845" i="10"/>
  <c r="BE845" i="10" a="1"/>
  <c r="BE845" i="10" s="1"/>
  <c r="BI845" i="10" a="1"/>
  <c r="BI845" i="10" s="1"/>
  <c r="BJ845" i="10"/>
  <c r="BO845" i="10"/>
  <c r="BS845" i="10"/>
  <c r="BW845" i="10"/>
  <c r="CD845" i="10" a="1"/>
  <c r="CD845" i="10"/>
  <c r="CE845" i="10"/>
  <c r="CF845" i="10"/>
  <c r="CK845" i="10"/>
  <c r="CO845" i="10"/>
  <c r="CS845" i="10"/>
  <c r="A846" i="10"/>
  <c r="F846" i="10"/>
  <c r="AD846" i="10"/>
  <c r="AH846" i="10"/>
  <c r="AI846" i="10"/>
  <c r="AJ846" i="10"/>
  <c r="BH846" i="10" s="1"/>
  <c r="AO846" i="10"/>
  <c r="BE846" i="10" a="1"/>
  <c r="BE846" i="10"/>
  <c r="BF846" i="10"/>
  <c r="BG846" i="10"/>
  <c r="BI846" i="10" a="1"/>
  <c r="BI846" i="10" s="1"/>
  <c r="BJ846" i="10"/>
  <c r="BO846" i="10"/>
  <c r="BS846" i="10"/>
  <c r="BW846" i="10"/>
  <c r="CD846" i="10" a="1"/>
  <c r="CD846" i="10"/>
  <c r="CE846" i="10" s="1"/>
  <c r="CF846" i="10"/>
  <c r="CK846" i="10"/>
  <c r="CO846" i="10"/>
  <c r="CS846" i="10"/>
  <c r="F847" i="10"/>
  <c r="AD847" i="10"/>
  <c r="AH847" i="10"/>
  <c r="BE847" i="10" s="1" a="1"/>
  <c r="BE847" i="10" s="1"/>
  <c r="AI847" i="10"/>
  <c r="AJ847" i="10"/>
  <c r="BH847" i="10"/>
  <c r="BI847" i="10" a="1"/>
  <c r="BI847" i="10" s="1"/>
  <c r="BO847" i="10"/>
  <c r="F848" i="10"/>
  <c r="AD848" i="10"/>
  <c r="AH848" i="10"/>
  <c r="A848" i="10" s="1"/>
  <c r="AI848" i="10"/>
  <c r="AJ848" i="10"/>
  <c r="BG848" i="10" s="1"/>
  <c r="AO848" i="10"/>
  <c r="BI848" i="10" a="1"/>
  <c r="BI848" i="10"/>
  <c r="BJ848" i="10"/>
  <c r="BO848" i="10"/>
  <c r="BW848" i="10"/>
  <c r="CD848" i="10" a="1"/>
  <c r="CD848" i="10" s="1"/>
  <c r="CK848" i="10"/>
  <c r="CO848" i="10"/>
  <c r="F849" i="10"/>
  <c r="AD849" i="10"/>
  <c r="AH849" i="10"/>
  <c r="A849" i="10" s="1"/>
  <c r="AI849" i="10"/>
  <c r="AJ849" i="10"/>
  <c r="BH849" i="10" s="1"/>
  <c r="AO849" i="10"/>
  <c r="BE849" i="10" a="1"/>
  <c r="BE849" i="10" s="1"/>
  <c r="BI849" i="10" a="1"/>
  <c r="BI849" i="10" s="1"/>
  <c r="BJ849" i="10"/>
  <c r="BO849" i="10"/>
  <c r="BS849" i="10"/>
  <c r="BW849" i="10"/>
  <c r="CD849" i="10" a="1"/>
  <c r="CD849" i="10" s="1"/>
  <c r="CF849" i="10"/>
  <c r="CK849" i="10"/>
  <c r="CO849" i="10"/>
  <c r="CS849" i="10"/>
  <c r="A850" i="10"/>
  <c r="F850" i="10"/>
  <c r="AD850" i="10"/>
  <c r="AH850" i="10"/>
  <c r="AI850" i="10"/>
  <c r="AJ850" i="10"/>
  <c r="BH850" i="10" s="1"/>
  <c r="AO850" i="10"/>
  <c r="BE850" i="10" a="1"/>
  <c r="BE850" i="10" s="1"/>
  <c r="BG850" i="10"/>
  <c r="BI850" i="10" a="1"/>
  <c r="BI850" i="10" s="1"/>
  <c r="BJ850" i="10"/>
  <c r="BO850" i="10"/>
  <c r="BS850" i="10"/>
  <c r="BW850" i="10"/>
  <c r="CD850" i="10" a="1"/>
  <c r="CD850" i="10"/>
  <c r="CE850" i="10"/>
  <c r="CF850" i="10"/>
  <c r="CK850" i="10"/>
  <c r="CO850" i="10"/>
  <c r="CP850" i="10" s="1"/>
  <c r="CS850" i="10"/>
  <c r="F851" i="10"/>
  <c r="AD851" i="10"/>
  <c r="AH851" i="10"/>
  <c r="BE851" i="10" s="1" a="1"/>
  <c r="BE851" i="10" s="1"/>
  <c r="AI851" i="10"/>
  <c r="AJ851" i="10"/>
  <c r="BH851" i="10"/>
  <c r="BI851" i="10" a="1"/>
  <c r="BI851" i="10" s="1"/>
  <c r="BO851" i="10"/>
  <c r="F852" i="10"/>
  <c r="AD852" i="10"/>
  <c r="AH852" i="10"/>
  <c r="A852" i="10" s="1"/>
  <c r="AI852" i="10"/>
  <c r="AJ852" i="10"/>
  <c r="BG852" i="10" s="1"/>
  <c r="AO852" i="10"/>
  <c r="BI852" i="10" a="1"/>
  <c r="BI852" i="10"/>
  <c r="BJ852" i="10"/>
  <c r="BO852" i="10"/>
  <c r="BW852" i="10"/>
  <c r="CD852" i="10" a="1"/>
  <c r="CD852" i="10" s="1"/>
  <c r="CK852" i="10"/>
  <c r="CO852" i="10"/>
  <c r="F853" i="10"/>
  <c r="AD853" i="10"/>
  <c r="AH853" i="10"/>
  <c r="A853" i="10" s="1"/>
  <c r="AI853" i="10"/>
  <c r="AJ853" i="10"/>
  <c r="BH853" i="10" s="1"/>
  <c r="AO853" i="10"/>
  <c r="BE853" i="10" a="1"/>
  <c r="BE853" i="10" s="1"/>
  <c r="BI853" i="10" a="1"/>
  <c r="BI853" i="10"/>
  <c r="BJ853" i="10"/>
  <c r="BO853" i="10"/>
  <c r="BS853" i="10"/>
  <c r="BW853" i="10"/>
  <c r="CD853" i="10" a="1"/>
  <c r="CD853" i="10" s="1"/>
  <c r="CF853" i="10"/>
  <c r="CK853" i="10"/>
  <c r="CO853" i="10"/>
  <c r="CS853" i="10"/>
  <c r="A854" i="10"/>
  <c r="F854" i="10"/>
  <c r="AD854" i="10"/>
  <c r="AH854" i="10"/>
  <c r="AI854" i="10"/>
  <c r="AJ854" i="10"/>
  <c r="BH854" i="10" s="1"/>
  <c r="AO854" i="10"/>
  <c r="BE854" i="10" a="1"/>
  <c r="BE854" i="10" s="1"/>
  <c r="BG854" i="10"/>
  <c r="BI854" i="10" a="1"/>
  <c r="BI854" i="10" s="1"/>
  <c r="BJ854" i="10"/>
  <c r="BO854" i="10"/>
  <c r="BS854" i="10"/>
  <c r="BW854" i="10"/>
  <c r="CD854" i="10" a="1"/>
  <c r="CD854" i="10"/>
  <c r="CE854" i="10"/>
  <c r="CF854" i="10"/>
  <c r="CK854" i="10"/>
  <c r="CO854" i="10"/>
  <c r="CS854" i="10"/>
  <c r="F855" i="10"/>
  <c r="AD855" i="10"/>
  <c r="AH855" i="10"/>
  <c r="BE855" i="10" s="1" a="1"/>
  <c r="BE855" i="10" s="1"/>
  <c r="AI855" i="10"/>
  <c r="AJ855" i="10"/>
  <c r="BH855" i="10"/>
  <c r="BI855" i="10" a="1"/>
  <c r="BI855" i="10" s="1"/>
  <c r="BO855" i="10"/>
  <c r="F856" i="10"/>
  <c r="AD856" i="10"/>
  <c r="AH856" i="10"/>
  <c r="A856" i="10" s="1"/>
  <c r="AI856" i="10"/>
  <c r="AJ856" i="10"/>
  <c r="BG856" i="10" s="1"/>
  <c r="AO856" i="10"/>
  <c r="BI856" i="10" a="1"/>
  <c r="BI856" i="10"/>
  <c r="BJ856" i="10"/>
  <c r="BO856" i="10"/>
  <c r="BW856" i="10"/>
  <c r="CD856" i="10" a="1"/>
  <c r="CD856" i="10" s="1"/>
  <c r="CK856" i="10"/>
  <c r="F857" i="10"/>
  <c r="AD857" i="10"/>
  <c r="AH857" i="10"/>
  <c r="A857" i="10" s="1"/>
  <c r="AI857" i="10"/>
  <c r="AJ857" i="10"/>
  <c r="BH857" i="10" s="1"/>
  <c r="AO857" i="10"/>
  <c r="BE857" i="10" a="1"/>
  <c r="BE857" i="10" s="1"/>
  <c r="BI857" i="10" a="1"/>
  <c r="BI857" i="10"/>
  <c r="BJ857" i="10"/>
  <c r="BO857" i="10"/>
  <c r="BS857" i="10"/>
  <c r="BW857" i="10"/>
  <c r="CD857" i="10" a="1"/>
  <c r="CD857" i="10" s="1"/>
  <c r="CF857" i="10"/>
  <c r="CK857" i="10"/>
  <c r="CO857" i="10"/>
  <c r="CS857" i="10"/>
  <c r="A858" i="10"/>
  <c r="F858" i="10"/>
  <c r="AD858" i="10"/>
  <c r="AH858" i="10"/>
  <c r="AI858" i="10"/>
  <c r="AJ858" i="10"/>
  <c r="BH858" i="10" s="1"/>
  <c r="AO858" i="10"/>
  <c r="BE858" i="10" a="1"/>
  <c r="BE858" i="10" s="1"/>
  <c r="BG858" i="10"/>
  <c r="BI858" i="10" a="1"/>
  <c r="BI858" i="10" s="1"/>
  <c r="BJ858" i="10"/>
  <c r="BO858" i="10"/>
  <c r="BS858" i="10"/>
  <c r="BW858" i="10"/>
  <c r="CD858" i="10" a="1"/>
  <c r="CD858" i="10"/>
  <c r="CE858" i="10"/>
  <c r="CF858" i="10"/>
  <c r="CK858" i="10"/>
  <c r="CO858" i="10"/>
  <c r="CS858" i="10"/>
  <c r="F859" i="10"/>
  <c r="AD859" i="10"/>
  <c r="AH859" i="10"/>
  <c r="BE859" i="10" s="1" a="1"/>
  <c r="BE859" i="10" s="1"/>
  <c r="AI859" i="10"/>
  <c r="AJ859" i="10"/>
  <c r="BH859" i="10"/>
  <c r="BI859" i="10" a="1"/>
  <c r="BI859" i="10" s="1"/>
  <c r="BO859" i="10"/>
  <c r="F860" i="10"/>
  <c r="AD860" i="10"/>
  <c r="AH860" i="10"/>
  <c r="A860" i="10" s="1"/>
  <c r="AI860" i="10"/>
  <c r="AJ860" i="10"/>
  <c r="BG860" i="10" s="1"/>
  <c r="AO860" i="10"/>
  <c r="BI860" i="10" a="1"/>
  <c r="BI860" i="10"/>
  <c r="BJ860" i="10"/>
  <c r="BO860" i="10"/>
  <c r="BW860" i="10"/>
  <c r="CD860" i="10" a="1"/>
  <c r="CD860" i="10" s="1"/>
  <c r="CK860" i="10"/>
  <c r="F861" i="10"/>
  <c r="AD861" i="10"/>
  <c r="AH861" i="10"/>
  <c r="A861" i="10" s="1"/>
  <c r="AI861" i="10"/>
  <c r="AJ861" i="10"/>
  <c r="BH861" i="10" s="1"/>
  <c r="AO861" i="10"/>
  <c r="BE861" i="10" a="1"/>
  <c r="BE861" i="10" s="1"/>
  <c r="BI861" i="10" a="1"/>
  <c r="BI861" i="10"/>
  <c r="BJ861" i="10"/>
  <c r="BO861" i="10"/>
  <c r="BS861" i="10"/>
  <c r="BW861" i="10"/>
  <c r="CD861" i="10" a="1"/>
  <c r="CD861" i="10" s="1"/>
  <c r="CF861" i="10"/>
  <c r="CK861" i="10"/>
  <c r="CO861" i="10"/>
  <c r="CS861" i="10"/>
  <c r="A862" i="10"/>
  <c r="F862" i="10"/>
  <c r="AD862" i="10"/>
  <c r="AH862" i="10"/>
  <c r="AI862" i="10"/>
  <c r="AJ862" i="10"/>
  <c r="BH862" i="10" s="1"/>
  <c r="AO862" i="10"/>
  <c r="BE862" i="10" a="1"/>
  <c r="BE862" i="10" s="1"/>
  <c r="BG862" i="10"/>
  <c r="BI862" i="10" a="1"/>
  <c r="BI862" i="10"/>
  <c r="BJ862" i="10"/>
  <c r="BO862" i="10"/>
  <c r="BS862" i="10"/>
  <c r="BW862" i="10"/>
  <c r="CD862" i="10" a="1"/>
  <c r="CD862" i="10"/>
  <c r="CE862" i="10"/>
  <c r="CF862" i="10"/>
  <c r="CK862" i="10"/>
  <c r="CO862" i="10"/>
  <c r="CS862" i="10"/>
  <c r="CT862" i="10" s="1"/>
  <c r="CU862" i="10" s="1"/>
  <c r="F863" i="10"/>
  <c r="AD863" i="10"/>
  <c r="AH863" i="10"/>
  <c r="BE863" i="10" s="1" a="1"/>
  <c r="BE863" i="10" s="1"/>
  <c r="AI863" i="10"/>
  <c r="AJ863" i="10"/>
  <c r="BH863" i="10"/>
  <c r="BI863" i="10" a="1"/>
  <c r="BI863" i="10" s="1"/>
  <c r="BO863" i="10"/>
  <c r="F864" i="10"/>
  <c r="AD864" i="10"/>
  <c r="AH864" i="10"/>
  <c r="A864" i="10" s="1"/>
  <c r="AI864" i="10"/>
  <c r="AJ864" i="10"/>
  <c r="BG864" i="10" s="1"/>
  <c r="AO864" i="10"/>
  <c r="BI864" i="10" a="1"/>
  <c r="BI864" i="10"/>
  <c r="BJ864" i="10"/>
  <c r="BO864" i="10"/>
  <c r="BW864" i="10"/>
  <c r="CD864" i="10" a="1"/>
  <c r="CD864" i="10" s="1"/>
  <c r="CK864" i="10"/>
  <c r="F865" i="10"/>
  <c r="AD865" i="10"/>
  <c r="AH865" i="10"/>
  <c r="A865" i="10" s="1"/>
  <c r="AI865" i="10"/>
  <c r="AJ865" i="10"/>
  <c r="BH865" i="10" s="1"/>
  <c r="AO865" i="10"/>
  <c r="BE865" i="10" a="1"/>
  <c r="BE865" i="10" s="1"/>
  <c r="BI865" i="10" a="1"/>
  <c r="BI865" i="10"/>
  <c r="BJ865" i="10"/>
  <c r="BO865" i="10"/>
  <c r="BS865" i="10"/>
  <c r="BW865" i="10"/>
  <c r="CD865" i="10" a="1"/>
  <c r="CD865" i="10" s="1"/>
  <c r="CF865" i="10"/>
  <c r="CK865" i="10"/>
  <c r="CO865" i="10"/>
  <c r="CS865" i="10"/>
  <c r="A866" i="10"/>
  <c r="F866" i="10"/>
  <c r="AD866" i="10"/>
  <c r="AH866" i="10"/>
  <c r="AI866" i="10"/>
  <c r="AJ866" i="10"/>
  <c r="BH866" i="10" s="1"/>
  <c r="AO866" i="10"/>
  <c r="BE866" i="10" a="1"/>
  <c r="BE866" i="10" s="1"/>
  <c r="BG866" i="10"/>
  <c r="BI866" i="10" a="1"/>
  <c r="BI866" i="10"/>
  <c r="BJ866" i="10"/>
  <c r="BO866" i="10"/>
  <c r="BS866" i="10"/>
  <c r="BW866" i="10"/>
  <c r="CD866" i="10" a="1"/>
  <c r="CD866" i="10"/>
  <c r="CE866" i="10"/>
  <c r="CF866" i="10"/>
  <c r="CK866" i="10"/>
  <c r="CO866" i="10"/>
  <c r="CS866" i="10"/>
  <c r="CT866" i="10" s="1"/>
  <c r="CU866" i="10" s="1"/>
  <c r="F867" i="10"/>
  <c r="AD867" i="10"/>
  <c r="AH867" i="10"/>
  <c r="BE867" i="10" s="1" a="1"/>
  <c r="BE867" i="10" s="1"/>
  <c r="AI867" i="10"/>
  <c r="AJ867" i="10"/>
  <c r="BH867" i="10"/>
  <c r="BI867" i="10" a="1"/>
  <c r="BI867" i="10" s="1"/>
  <c r="BO867" i="10"/>
  <c r="F868" i="10"/>
  <c r="AD868" i="10"/>
  <c r="AH868" i="10"/>
  <c r="A868" i="10" s="1"/>
  <c r="AI868" i="10"/>
  <c r="AJ868" i="10"/>
  <c r="BG868" i="10" s="1"/>
  <c r="AO868" i="10"/>
  <c r="BI868" i="10" a="1"/>
  <c r="BI868" i="10"/>
  <c r="BJ868" i="10"/>
  <c r="BO868" i="10"/>
  <c r="BW868" i="10"/>
  <c r="CD868" i="10" a="1"/>
  <c r="CD868" i="10" s="1"/>
  <c r="CK868" i="10"/>
  <c r="F869" i="10"/>
  <c r="AD869" i="10"/>
  <c r="AH869" i="10"/>
  <c r="A869" i="10" s="1"/>
  <c r="AI869" i="10"/>
  <c r="AJ869" i="10"/>
  <c r="BH869" i="10" s="1"/>
  <c r="AO869" i="10"/>
  <c r="BE869" i="10" a="1"/>
  <c r="BE869" i="10" s="1"/>
  <c r="BI869" i="10" a="1"/>
  <c r="BI869" i="10"/>
  <c r="BJ869" i="10"/>
  <c r="BO869" i="10"/>
  <c r="BS869" i="10"/>
  <c r="BW869" i="10"/>
  <c r="CD869" i="10" a="1"/>
  <c r="CD869" i="10" s="1"/>
  <c r="CF869" i="10"/>
  <c r="CK869" i="10"/>
  <c r="CS869" i="10"/>
  <c r="A870" i="10"/>
  <c r="F870" i="10"/>
  <c r="AD870" i="10"/>
  <c r="AH870" i="10"/>
  <c r="AI870" i="10"/>
  <c r="AJ870" i="10"/>
  <c r="BH870" i="10" s="1"/>
  <c r="AO870" i="10"/>
  <c r="BE870" i="10" a="1"/>
  <c r="BE870" i="10" s="1"/>
  <c r="BG870" i="10"/>
  <c r="BI870" i="10" a="1"/>
  <c r="BI870" i="10"/>
  <c r="BJ870" i="10"/>
  <c r="BO870" i="10"/>
  <c r="BS870" i="10"/>
  <c r="BW870" i="10"/>
  <c r="CD870" i="10" a="1"/>
  <c r="CD870" i="10"/>
  <c r="CE870" i="10"/>
  <c r="CF870" i="10"/>
  <c r="CK870" i="10"/>
  <c r="CO870" i="10"/>
  <c r="CS870" i="10"/>
  <c r="CT870" i="10" s="1"/>
  <c r="CU870" i="10" s="1"/>
  <c r="F871" i="10"/>
  <c r="AD871" i="10"/>
  <c r="AH871" i="10"/>
  <c r="BE871" i="10" s="1" a="1"/>
  <c r="BE871" i="10" s="1"/>
  <c r="AI871" i="10"/>
  <c r="AJ871" i="10"/>
  <c r="BH871" i="10"/>
  <c r="BI871" i="10" a="1"/>
  <c r="BI871" i="10" s="1"/>
  <c r="BO871" i="10"/>
  <c r="F872" i="10"/>
  <c r="AD872" i="10"/>
  <c r="AH872" i="10"/>
  <c r="A872" i="10" s="1"/>
  <c r="AI872" i="10"/>
  <c r="AJ872" i="10"/>
  <c r="BG872" i="10" s="1"/>
  <c r="AO872" i="10"/>
  <c r="BI872" i="10" a="1"/>
  <c r="BI872" i="10"/>
  <c r="BJ872" i="10"/>
  <c r="BO872" i="10"/>
  <c r="BW872" i="10"/>
  <c r="CD872" i="10" a="1"/>
  <c r="CD872" i="10" s="1"/>
  <c r="CK872" i="10"/>
  <c r="F873" i="10"/>
  <c r="AD873" i="10"/>
  <c r="AH873" i="10"/>
  <c r="A873" i="10" s="1"/>
  <c r="AI873" i="10"/>
  <c r="AJ873" i="10"/>
  <c r="BH873" i="10" s="1"/>
  <c r="AO873" i="10"/>
  <c r="BE873" i="10" a="1"/>
  <c r="BE873" i="10" s="1"/>
  <c r="BI873" i="10" a="1"/>
  <c r="BI873" i="10"/>
  <c r="BJ873" i="10"/>
  <c r="BO873" i="10"/>
  <c r="BS873" i="10"/>
  <c r="BW873" i="10"/>
  <c r="CD873" i="10" a="1"/>
  <c r="CD873" i="10" s="1"/>
  <c r="CF873" i="10"/>
  <c r="CK873" i="10"/>
  <c r="CS873" i="10"/>
  <c r="A874" i="10"/>
  <c r="F874" i="10"/>
  <c r="AD874" i="10"/>
  <c r="AH874" i="10"/>
  <c r="AI874" i="10"/>
  <c r="AJ874" i="10"/>
  <c r="BH874" i="10" s="1"/>
  <c r="AO874" i="10"/>
  <c r="BE874" i="10" a="1"/>
  <c r="BE874" i="10" s="1"/>
  <c r="BG874" i="10"/>
  <c r="BI874" i="10" a="1"/>
  <c r="BI874" i="10"/>
  <c r="BJ874" i="10"/>
  <c r="BO874" i="10"/>
  <c r="BS874" i="10"/>
  <c r="BW874" i="10"/>
  <c r="CD874" i="10" a="1"/>
  <c r="CD874" i="10" s="1"/>
  <c r="CF874" i="10"/>
  <c r="CK874" i="10"/>
  <c r="CO874" i="10"/>
  <c r="CS874" i="10"/>
  <c r="F875" i="10"/>
  <c r="AD875" i="10"/>
  <c r="AH875" i="10"/>
  <c r="BE875" i="10" s="1" a="1"/>
  <c r="BE875" i="10" s="1"/>
  <c r="AI875" i="10"/>
  <c r="AJ875" i="10"/>
  <c r="BH875" i="10"/>
  <c r="BI875" i="10" a="1"/>
  <c r="BI875" i="10" s="1"/>
  <c r="BO875" i="10"/>
  <c r="F876" i="10"/>
  <c r="AD876" i="10"/>
  <c r="AH876" i="10"/>
  <c r="A876" i="10" s="1"/>
  <c r="AI876" i="10"/>
  <c r="AJ876" i="10"/>
  <c r="AO876" i="10"/>
  <c r="BI876" i="10" a="1"/>
  <c r="BI876" i="10"/>
  <c r="BJ876" i="10"/>
  <c r="BO876" i="10"/>
  <c r="BW876" i="10"/>
  <c r="CD876" i="10" a="1"/>
  <c r="CD876" i="10" s="1"/>
  <c r="CK876" i="10"/>
  <c r="F877" i="10"/>
  <c r="AD877" i="10"/>
  <c r="AH877" i="10"/>
  <c r="A877" i="10" s="1"/>
  <c r="AI877" i="10"/>
  <c r="AJ877" i="10"/>
  <c r="BH877" i="10" s="1"/>
  <c r="AO877" i="10"/>
  <c r="BE877" i="10" a="1"/>
  <c r="BE877" i="10" s="1"/>
  <c r="BI877" i="10" a="1"/>
  <c r="BI877" i="10"/>
  <c r="BJ877" i="10"/>
  <c r="BO877" i="10"/>
  <c r="BS877" i="10"/>
  <c r="BW877" i="10"/>
  <c r="CD877" i="10" a="1"/>
  <c r="CD877" i="10" s="1"/>
  <c r="CE877" i="10"/>
  <c r="CF877" i="10"/>
  <c r="CK877" i="10"/>
  <c r="CS877" i="10"/>
  <c r="A878" i="10"/>
  <c r="F878" i="10"/>
  <c r="AD878" i="10"/>
  <c r="AH878" i="10"/>
  <c r="AI878" i="10"/>
  <c r="AJ878" i="10"/>
  <c r="BH878" i="10" s="1"/>
  <c r="AO878" i="10"/>
  <c r="BE878" i="10" a="1"/>
  <c r="BE878" i="10" s="1"/>
  <c r="BF878" i="10"/>
  <c r="BG878" i="10"/>
  <c r="BI878" i="10" a="1"/>
  <c r="BI878" i="10"/>
  <c r="BJ878" i="10"/>
  <c r="BO878" i="10"/>
  <c r="BS878" i="10"/>
  <c r="BT878" i="10"/>
  <c r="BW878" i="10"/>
  <c r="CD878" i="10" a="1"/>
  <c r="CD878" i="10" s="1"/>
  <c r="CF878" i="10"/>
  <c r="CK878" i="10"/>
  <c r="CO878" i="10"/>
  <c r="CS878" i="10"/>
  <c r="F879" i="10"/>
  <c r="AD879" i="10"/>
  <c r="AH879" i="10"/>
  <c r="AI879" i="10"/>
  <c r="AJ879" i="10"/>
  <c r="BH879" i="10"/>
  <c r="BI879" i="10" a="1"/>
  <c r="BI879" i="10" s="1"/>
  <c r="F880" i="10"/>
  <c r="AD880" i="10"/>
  <c r="AH880" i="10"/>
  <c r="A880" i="10" s="1"/>
  <c r="AI880" i="10"/>
  <c r="AJ880" i="10"/>
  <c r="AO880" i="10"/>
  <c r="BI880" i="10" a="1"/>
  <c r="BI880" i="10"/>
  <c r="BJ880" i="10"/>
  <c r="BO880" i="10"/>
  <c r="BW880" i="10"/>
  <c r="CD880" i="10" a="1"/>
  <c r="CD880" i="10"/>
  <c r="CK880" i="10"/>
  <c r="F881" i="10"/>
  <c r="AD881" i="10"/>
  <c r="AH881" i="10"/>
  <c r="A881" i="10" s="1"/>
  <c r="AI881" i="10"/>
  <c r="AJ881" i="10"/>
  <c r="BH881" i="10" s="1"/>
  <c r="AO881" i="10"/>
  <c r="BE881" i="10" a="1"/>
  <c r="BE881" i="10"/>
  <c r="BI881" i="10" a="1"/>
  <c r="BI881" i="10"/>
  <c r="BJ881" i="10"/>
  <c r="BO881" i="10"/>
  <c r="BS881" i="10"/>
  <c r="BW881" i="10"/>
  <c r="CD881" i="10" a="1"/>
  <c r="CD881" i="10" s="1"/>
  <c r="CE881" i="10" s="1"/>
  <c r="CF881" i="10"/>
  <c r="CK881" i="10"/>
  <c r="CS881" i="10"/>
  <c r="A882" i="10"/>
  <c r="F882" i="10"/>
  <c r="AD882" i="10"/>
  <c r="AH882" i="10"/>
  <c r="AO882" i="10" s="1"/>
  <c r="AI882" i="10"/>
  <c r="AJ882" i="10"/>
  <c r="BH882" i="10" s="1"/>
  <c r="BE882" i="10" a="1"/>
  <c r="BE882" i="10" s="1"/>
  <c r="BF882" i="10" s="1"/>
  <c r="BG882" i="10"/>
  <c r="BI882" i="10" a="1"/>
  <c r="BI882" i="10"/>
  <c r="BO882" i="10"/>
  <c r="BS882" i="10"/>
  <c r="BW882" i="10"/>
  <c r="CD882" i="10" a="1"/>
  <c r="CD882" i="10" s="1"/>
  <c r="CF882" i="10"/>
  <c r="CK882" i="10"/>
  <c r="CO882" i="10"/>
  <c r="CS882" i="10"/>
  <c r="F883" i="10"/>
  <c r="AD883" i="10"/>
  <c r="AH883" i="10"/>
  <c r="AI883" i="10"/>
  <c r="AJ883" i="10"/>
  <c r="BH883" i="10"/>
  <c r="BI883" i="10" a="1"/>
  <c r="BI883" i="10" s="1"/>
  <c r="BO883" i="10"/>
  <c r="F884" i="10"/>
  <c r="AD884" i="10"/>
  <c r="AH884" i="10"/>
  <c r="A884" i="10" s="1"/>
  <c r="AI884" i="10"/>
  <c r="AJ884" i="10"/>
  <c r="AO884" i="10"/>
  <c r="BI884" i="10" a="1"/>
  <c r="BI884" i="10"/>
  <c r="BJ884" i="10"/>
  <c r="BO884" i="10"/>
  <c r="BW884" i="10"/>
  <c r="CD884" i="10" a="1"/>
  <c r="CD884" i="10" s="1"/>
  <c r="CK884" i="10"/>
  <c r="F885" i="10"/>
  <c r="AD885" i="10"/>
  <c r="AH885" i="10"/>
  <c r="A885" i="10" s="1"/>
  <c r="AI885" i="10"/>
  <c r="AJ885" i="10"/>
  <c r="BH885" i="10" s="1"/>
  <c r="AO885" i="10"/>
  <c r="BE885" i="10" a="1"/>
  <c r="BE885" i="10"/>
  <c r="BI885" i="10" a="1"/>
  <c r="BI885" i="10"/>
  <c r="BJ885" i="10"/>
  <c r="BO885" i="10"/>
  <c r="BS885" i="10"/>
  <c r="BW885" i="10"/>
  <c r="CD885" i="10" a="1"/>
  <c r="CD885" i="10" s="1"/>
  <c r="CE885" i="10"/>
  <c r="CF885" i="10"/>
  <c r="CK885" i="10"/>
  <c r="CS885" i="10"/>
  <c r="A886" i="10"/>
  <c r="F886" i="10"/>
  <c r="AD886" i="10"/>
  <c r="AH886" i="10"/>
  <c r="AO886" i="10" s="1"/>
  <c r="AI886" i="10"/>
  <c r="AJ886" i="10"/>
  <c r="BH886" i="10" s="1"/>
  <c r="BE886" i="10" a="1"/>
  <c r="BE886" i="10" s="1"/>
  <c r="BF886" i="10"/>
  <c r="BG886" i="10"/>
  <c r="BI886" i="10" a="1"/>
  <c r="BI886" i="10"/>
  <c r="BO886" i="10"/>
  <c r="BS886" i="10"/>
  <c r="BW886" i="10"/>
  <c r="CD886" i="10" a="1"/>
  <c r="CD886" i="10" s="1"/>
  <c r="CF886" i="10"/>
  <c r="CK886" i="10"/>
  <c r="CO886" i="10"/>
  <c r="CS886" i="10"/>
  <c r="F887" i="10"/>
  <c r="AD887" i="10"/>
  <c r="AH887" i="10"/>
  <c r="AI887" i="10"/>
  <c r="AJ887" i="10"/>
  <c r="BH887" i="10"/>
  <c r="BI887" i="10" a="1"/>
  <c r="BI887" i="10" s="1"/>
  <c r="BO887" i="10"/>
  <c r="F888" i="10"/>
  <c r="AD888" i="10"/>
  <c r="AH888" i="10"/>
  <c r="A888" i="10" s="1"/>
  <c r="AI888" i="10"/>
  <c r="AJ888" i="10"/>
  <c r="AO888" i="10"/>
  <c r="BI888" i="10" a="1"/>
  <c r="BI888" i="10"/>
  <c r="BJ888" i="10"/>
  <c r="BO888" i="10"/>
  <c r="BW888" i="10"/>
  <c r="CD888" i="10" a="1"/>
  <c r="CD888" i="10"/>
  <c r="CK888" i="10"/>
  <c r="F889" i="10"/>
  <c r="AD889" i="10"/>
  <c r="AH889" i="10"/>
  <c r="A889" i="10" s="1"/>
  <c r="AI889" i="10"/>
  <c r="AJ889" i="10"/>
  <c r="BH889" i="10" s="1"/>
  <c r="AO889" i="10"/>
  <c r="BE889" i="10" a="1"/>
  <c r="BE889" i="10" s="1"/>
  <c r="BI889" i="10" a="1"/>
  <c r="BI889" i="10"/>
  <c r="BJ889" i="10"/>
  <c r="BO889" i="10"/>
  <c r="BS889" i="10"/>
  <c r="BW889" i="10"/>
  <c r="CD889" i="10" a="1"/>
  <c r="CD889" i="10" s="1"/>
  <c r="CE889" i="10" s="1"/>
  <c r="CF889" i="10"/>
  <c r="CK889" i="10"/>
  <c r="CS889" i="10"/>
  <c r="A890" i="10"/>
  <c r="F890" i="10"/>
  <c r="AD890" i="10"/>
  <c r="AH890" i="10"/>
  <c r="AO890" i="10" s="1"/>
  <c r="AI890" i="10"/>
  <c r="AJ890" i="10"/>
  <c r="BH890" i="10" s="1"/>
  <c r="BE890" i="10" a="1"/>
  <c r="BE890" i="10" s="1"/>
  <c r="BF890" i="10"/>
  <c r="BG890" i="10"/>
  <c r="BI890" i="10" a="1"/>
  <c r="BI890" i="10"/>
  <c r="BO890" i="10"/>
  <c r="BS890" i="10"/>
  <c r="BW890" i="10"/>
  <c r="CD890" i="10" a="1"/>
  <c r="CD890" i="10" s="1"/>
  <c r="CU890" i="10" s="1"/>
  <c r="CE890" i="10"/>
  <c r="CF890" i="10"/>
  <c r="CK890" i="10"/>
  <c r="CO890" i="10"/>
  <c r="CS890" i="10"/>
  <c r="CT890" i="10" s="1"/>
  <c r="F891" i="10"/>
  <c r="AD891" i="10"/>
  <c r="AH891" i="10"/>
  <c r="A891" i="10" s="1"/>
  <c r="AI891" i="10"/>
  <c r="AJ891" i="10"/>
  <c r="BH891" i="10"/>
  <c r="BI891" i="10" a="1"/>
  <c r="BI891" i="10" s="1"/>
  <c r="F892" i="10"/>
  <c r="AD892" i="10"/>
  <c r="AH892" i="10"/>
  <c r="CK892" i="10" s="1"/>
  <c r="AI892" i="10"/>
  <c r="AJ892" i="10"/>
  <c r="BH892" i="10"/>
  <c r="BI892" i="10" a="1"/>
  <c r="BI892" i="10"/>
  <c r="BO892" i="10"/>
  <c r="F893" i="10"/>
  <c r="AD893" i="10"/>
  <c r="AH893" i="10"/>
  <c r="A893" i="10" s="1"/>
  <c r="AI893" i="10"/>
  <c r="AJ893" i="10"/>
  <c r="AO893" i="10"/>
  <c r="BE893" i="10" a="1"/>
  <c r="BE893" i="10"/>
  <c r="BI893" i="10" a="1"/>
  <c r="BI893" i="10"/>
  <c r="BJ893" i="10"/>
  <c r="BO893" i="10"/>
  <c r="BS893" i="10"/>
  <c r="BW893" i="10"/>
  <c r="CD893" i="10" a="1"/>
  <c r="CD893" i="10" s="1"/>
  <c r="CE893" i="10" s="1"/>
  <c r="CF893" i="10"/>
  <c r="CK893" i="10"/>
  <c r="CS893" i="10"/>
  <c r="A894" i="10"/>
  <c r="F894" i="10"/>
  <c r="AD894" i="10"/>
  <c r="AH894" i="10"/>
  <c r="AO894" i="10" s="1"/>
  <c r="AI894" i="10"/>
  <c r="AJ894" i="10"/>
  <c r="BH894" i="10" s="1"/>
  <c r="BE894" i="10" a="1"/>
  <c r="BE894" i="10" s="1"/>
  <c r="BF894" i="10"/>
  <c r="BG894" i="10"/>
  <c r="BI894" i="10" a="1"/>
  <c r="BI894" i="10"/>
  <c r="BO894" i="10"/>
  <c r="BS894" i="10"/>
  <c r="BW894" i="10"/>
  <c r="CD894" i="10" a="1"/>
  <c r="CD894" i="10" s="1"/>
  <c r="CU894" i="10" s="1"/>
  <c r="CE894" i="10"/>
  <c r="CF894" i="10"/>
  <c r="CK894" i="10"/>
  <c r="CO894" i="10"/>
  <c r="CS894" i="10"/>
  <c r="CT894" i="10" s="1"/>
  <c r="F895" i="10"/>
  <c r="AD895" i="10"/>
  <c r="AH895" i="10"/>
  <c r="A895" i="10" s="1"/>
  <c r="AI895" i="10"/>
  <c r="AJ895" i="10"/>
  <c r="BH895" i="10"/>
  <c r="BI895" i="10" a="1"/>
  <c r="BI895" i="10" s="1"/>
  <c r="F896" i="10"/>
  <c r="AD896" i="10"/>
  <c r="AH896" i="10"/>
  <c r="CK896" i="10" s="1"/>
  <c r="AI896" i="10"/>
  <c r="AJ896" i="10"/>
  <c r="BH896" i="10"/>
  <c r="BI896" i="10" a="1"/>
  <c r="BI896" i="10"/>
  <c r="BO896" i="10"/>
  <c r="F897" i="10"/>
  <c r="AD897" i="10"/>
  <c r="AH897" i="10"/>
  <c r="A897" i="10" s="1"/>
  <c r="AI897" i="10"/>
  <c r="AJ897" i="10"/>
  <c r="AO897" i="10"/>
  <c r="BE897" i="10" a="1"/>
  <c r="BE897" i="10" s="1"/>
  <c r="BI897" i="10" a="1"/>
  <c r="BI897" i="10"/>
  <c r="BJ897" i="10"/>
  <c r="BO897" i="10"/>
  <c r="BS897" i="10"/>
  <c r="BW897" i="10"/>
  <c r="CD897" i="10" a="1"/>
  <c r="CD897" i="10" s="1"/>
  <c r="CF897" i="10"/>
  <c r="CK897" i="10"/>
  <c r="CS897" i="10"/>
  <c r="A898" i="10"/>
  <c r="F898" i="10"/>
  <c r="AD898" i="10"/>
  <c r="AH898" i="10"/>
  <c r="AO898" i="10" s="1"/>
  <c r="AI898" i="10"/>
  <c r="AJ898" i="10"/>
  <c r="BH898" i="10" s="1"/>
  <c r="CT898" i="10" s="1"/>
  <c r="CU898" i="10" s="1"/>
  <c r="BE898" i="10" a="1"/>
  <c r="BE898" i="10"/>
  <c r="BF898" i="10"/>
  <c r="BG898" i="10"/>
  <c r="BI898" i="10" a="1"/>
  <c r="BI898" i="10"/>
  <c r="BO898" i="10"/>
  <c r="BS898" i="10"/>
  <c r="BW898" i="10"/>
  <c r="CD898" i="10" a="1"/>
  <c r="CD898" i="10" s="1"/>
  <c r="CE898" i="10"/>
  <c r="CF898" i="10"/>
  <c r="CK898" i="10"/>
  <c r="CL898" i="10" s="1"/>
  <c r="CO898" i="10"/>
  <c r="CS898" i="10"/>
  <c r="F899" i="10"/>
  <c r="AD899" i="10"/>
  <c r="AH899" i="10"/>
  <c r="BE899" i="10" s="1" a="1"/>
  <c r="BE899" i="10" s="1"/>
  <c r="AI899" i="10"/>
  <c r="AJ899" i="10"/>
  <c r="BG899" i="10"/>
  <c r="BH899" i="10"/>
  <c r="BI899" i="10" a="1"/>
  <c r="BI899" i="10" s="1"/>
  <c r="CS899" i="10"/>
  <c r="F900" i="10"/>
  <c r="AD900" i="10"/>
  <c r="AH900" i="10"/>
  <c r="A900" i="10" s="1"/>
  <c r="AI900" i="10"/>
  <c r="AJ900" i="10"/>
  <c r="BH900" i="10"/>
  <c r="BI900" i="10" a="1"/>
  <c r="BI900" i="10"/>
  <c r="BJ900" i="10"/>
  <c r="CD900" i="10" a="1"/>
  <c r="CD900" i="10" s="1"/>
  <c r="F901" i="10"/>
  <c r="AD901" i="10"/>
  <c r="AH901" i="10"/>
  <c r="CO901" i="10" s="1"/>
  <c r="AI901" i="10"/>
  <c r="AJ901" i="10"/>
  <c r="AO901" i="10"/>
  <c r="BE901" i="10" a="1"/>
  <c r="BE901" i="10" s="1"/>
  <c r="BI901" i="10" a="1"/>
  <c r="BI901" i="10"/>
  <c r="BO901" i="10"/>
  <c r="CD901" i="10" a="1"/>
  <c r="CD901" i="10"/>
  <c r="CE901" i="10" s="1"/>
  <c r="CF901" i="10"/>
  <c r="CK901" i="10"/>
  <c r="CS901" i="10"/>
  <c r="F902" i="10"/>
  <c r="AD902" i="10"/>
  <c r="AH902" i="10"/>
  <c r="AI902" i="10"/>
  <c r="AJ902" i="10"/>
  <c r="BH902" i="10" s="1"/>
  <c r="BE902" i="10" a="1"/>
  <c r="BE902" i="10"/>
  <c r="BG902" i="10"/>
  <c r="BI902" i="10" a="1"/>
  <c r="BI902" i="10"/>
  <c r="BO902" i="10"/>
  <c r="BS902" i="10"/>
  <c r="CD902" i="10" a="1"/>
  <c r="CD902" i="10" s="1"/>
  <c r="CE902" i="10"/>
  <c r="CK902" i="10"/>
  <c r="CS902" i="10"/>
  <c r="A903" i="10"/>
  <c r="F903" i="10"/>
  <c r="AD903" i="10"/>
  <c r="AH903" i="10"/>
  <c r="AO903" i="10" s="1"/>
  <c r="AI903" i="10"/>
  <c r="AJ903" i="10"/>
  <c r="BG903" i="10" s="1"/>
  <c r="BE903" i="10" a="1"/>
  <c r="BE903" i="10" s="1"/>
  <c r="BI903" i="10" a="1"/>
  <c r="BI903" i="10"/>
  <c r="BO903" i="10"/>
  <c r="BW903" i="10"/>
  <c r="CD903" i="10" a="1"/>
  <c r="CD903" i="10" s="1"/>
  <c r="CK903" i="10"/>
  <c r="CO903" i="10"/>
  <c r="CS903" i="10"/>
  <c r="A904" i="10"/>
  <c r="F904" i="10"/>
  <c r="AD904" i="10"/>
  <c r="AH904" i="10"/>
  <c r="BS904" i="10" s="1"/>
  <c r="AI904" i="10"/>
  <c r="AJ904" i="10"/>
  <c r="BG904" i="10" s="1"/>
  <c r="AO904" i="10"/>
  <c r="BE904" i="10" a="1"/>
  <c r="BE904" i="10" s="1"/>
  <c r="BH904" i="10"/>
  <c r="BI904" i="10" a="1"/>
  <c r="BI904" i="10" s="1"/>
  <c r="BJ904" i="10"/>
  <c r="BO904" i="10"/>
  <c r="CS904" i="10"/>
  <c r="A905" i="10"/>
  <c r="F905" i="10"/>
  <c r="AD905" i="10"/>
  <c r="AH905" i="10"/>
  <c r="CO905" i="10" s="1"/>
  <c r="AI905" i="10"/>
  <c r="AJ905" i="10"/>
  <c r="BG905" i="10" s="1"/>
  <c r="AO905" i="10"/>
  <c r="BH905" i="10"/>
  <c r="BI905" i="10" a="1"/>
  <c r="BI905" i="10"/>
  <c r="BJ905" i="10"/>
  <c r="BO905" i="10"/>
  <c r="BS905" i="10"/>
  <c r="CF905" i="10"/>
  <c r="F906" i="10"/>
  <c r="AD906" i="10"/>
  <c r="AH906" i="10"/>
  <c r="BG906" i="10" s="1"/>
  <c r="AI906" i="10"/>
  <c r="AJ906" i="10"/>
  <c r="BH906" i="10"/>
  <c r="BI906" i="10" a="1"/>
  <c r="BI906" i="10"/>
  <c r="BO906" i="10"/>
  <c r="A907" i="10"/>
  <c r="F907" i="10"/>
  <c r="AD907" i="10"/>
  <c r="AH907" i="10"/>
  <c r="AO907" i="10" s="1"/>
  <c r="AI907" i="10"/>
  <c r="AJ907" i="10"/>
  <c r="BG907" i="10" s="1"/>
  <c r="BE907" i="10" a="1"/>
  <c r="BE907" i="10" s="1"/>
  <c r="BI907" i="10" a="1"/>
  <c r="BI907" i="10"/>
  <c r="BO907" i="10"/>
  <c r="BW907" i="10"/>
  <c r="CD907" i="10" a="1"/>
  <c r="CD907" i="10" s="1"/>
  <c r="CK907" i="10"/>
  <c r="CO907" i="10"/>
  <c r="CS907" i="10"/>
  <c r="A908" i="10"/>
  <c r="F908" i="10"/>
  <c r="AD908" i="10"/>
  <c r="AH908" i="10"/>
  <c r="BS908" i="10" s="1"/>
  <c r="AI908" i="10"/>
  <c r="AJ908" i="10"/>
  <c r="BG908" i="10" s="1"/>
  <c r="AO908" i="10"/>
  <c r="BE908" i="10" a="1"/>
  <c r="BE908" i="10" s="1"/>
  <c r="BH908" i="10"/>
  <c r="BI908" i="10" a="1"/>
  <c r="BI908" i="10" s="1"/>
  <c r="BJ908" i="10"/>
  <c r="BO908" i="10"/>
  <c r="CS908" i="10"/>
  <c r="A909" i="10"/>
  <c r="F909" i="10"/>
  <c r="AD909" i="10"/>
  <c r="AH909" i="10"/>
  <c r="BS909" i="10" s="1"/>
  <c r="AI909" i="10"/>
  <c r="AJ909" i="10"/>
  <c r="BG909" i="10" s="1"/>
  <c r="AO909" i="10"/>
  <c r="BH909" i="10"/>
  <c r="BI909" i="10" a="1"/>
  <c r="BI909" i="10"/>
  <c r="BJ909" i="10"/>
  <c r="BO909" i="10"/>
  <c r="CF909" i="10"/>
  <c r="F910" i="10"/>
  <c r="AD910" i="10"/>
  <c r="AH910" i="10"/>
  <c r="CO910" i="10" s="1"/>
  <c r="AI910" i="10"/>
  <c r="AJ910" i="10"/>
  <c r="BG910" i="10" s="1"/>
  <c r="BH910" i="10"/>
  <c r="BI910" i="10" a="1"/>
  <c r="BI910" i="10"/>
  <c r="BO910" i="10"/>
  <c r="A911" i="10"/>
  <c r="F911" i="10"/>
  <c r="AD911" i="10"/>
  <c r="AH911" i="10"/>
  <c r="AO911" i="10" s="1"/>
  <c r="AI911" i="10"/>
  <c r="AJ911" i="10"/>
  <c r="BG911" i="10" s="1"/>
  <c r="BE911" i="10" a="1"/>
  <c r="BE911" i="10" s="1"/>
  <c r="BI911" i="10" a="1"/>
  <c r="BI911" i="10"/>
  <c r="BO911" i="10"/>
  <c r="BW911" i="10"/>
  <c r="CD911" i="10" a="1"/>
  <c r="CD911" i="10" s="1"/>
  <c r="CK911" i="10"/>
  <c r="CO911" i="10"/>
  <c r="CS911" i="10"/>
  <c r="A912" i="10"/>
  <c r="F912" i="10"/>
  <c r="AD912" i="10"/>
  <c r="AH912" i="10"/>
  <c r="BS912" i="10" s="1"/>
  <c r="AI912" i="10"/>
  <c r="AJ912" i="10"/>
  <c r="BG912" i="10" s="1"/>
  <c r="AO912" i="10"/>
  <c r="BE912" i="10" a="1"/>
  <c r="BE912" i="10" s="1"/>
  <c r="BH912" i="10"/>
  <c r="BI912" i="10" a="1"/>
  <c r="BI912" i="10" s="1"/>
  <c r="BJ912" i="10"/>
  <c r="BO912" i="10"/>
  <c r="CS912" i="10"/>
  <c r="A913" i="10"/>
  <c r="F913" i="10"/>
  <c r="AD913" i="10"/>
  <c r="AH913" i="10"/>
  <c r="BS913" i="10" s="1"/>
  <c r="AI913" i="10"/>
  <c r="AJ913" i="10"/>
  <c r="BG913" i="10" s="1"/>
  <c r="AO913" i="10"/>
  <c r="BH913" i="10"/>
  <c r="BI913" i="10" a="1"/>
  <c r="BI913" i="10"/>
  <c r="BJ913" i="10"/>
  <c r="BO913" i="10"/>
  <c r="F914" i="10"/>
  <c r="AD914" i="10"/>
  <c r="AH914" i="10"/>
  <c r="CO914" i="10" s="1"/>
  <c r="AI914" i="10"/>
  <c r="AJ914" i="10"/>
  <c r="BG914" i="10" s="1"/>
  <c r="BH914" i="10"/>
  <c r="BI914" i="10" a="1"/>
  <c r="BI914" i="10"/>
  <c r="BO914" i="10"/>
  <c r="A915" i="10"/>
  <c r="F915" i="10"/>
  <c r="AD915" i="10"/>
  <c r="AH915" i="10"/>
  <c r="AO915" i="10" s="1"/>
  <c r="AI915" i="10"/>
  <c r="AJ915" i="10"/>
  <c r="BG915" i="10" s="1"/>
  <c r="BE915" i="10" a="1"/>
  <c r="BE915" i="10" s="1"/>
  <c r="BI915" i="10" a="1"/>
  <c r="BI915" i="10"/>
  <c r="BO915" i="10"/>
  <c r="BW915" i="10"/>
  <c r="CD915" i="10" a="1"/>
  <c r="CD915" i="10" s="1"/>
  <c r="CK915" i="10"/>
  <c r="CO915" i="10"/>
  <c r="CS915" i="10"/>
  <c r="A916" i="10"/>
  <c r="F916" i="10"/>
  <c r="AD916" i="10"/>
  <c r="AH916" i="10"/>
  <c r="BS916" i="10" s="1"/>
  <c r="AI916" i="10"/>
  <c r="AJ916" i="10"/>
  <c r="BG916" i="10" s="1"/>
  <c r="AO916" i="10"/>
  <c r="BE916" i="10" a="1"/>
  <c r="BE916" i="10" s="1"/>
  <c r="BH916" i="10"/>
  <c r="BI916" i="10" a="1"/>
  <c r="BI916" i="10" s="1"/>
  <c r="BJ916" i="10"/>
  <c r="BO916" i="10"/>
  <c r="CS916" i="10"/>
  <c r="A917" i="10"/>
  <c r="F917" i="10"/>
  <c r="AD917" i="10"/>
  <c r="AH917" i="10"/>
  <c r="BS917" i="10" s="1"/>
  <c r="AI917" i="10"/>
  <c r="AJ917" i="10"/>
  <c r="BG917" i="10" s="1"/>
  <c r="BH917" i="10"/>
  <c r="BI917" i="10" a="1"/>
  <c r="BI917" i="10"/>
  <c r="BO917" i="10"/>
  <c r="F918" i="10"/>
  <c r="AD918" i="10"/>
  <c r="AH918" i="10"/>
  <c r="CO918" i="10" s="1"/>
  <c r="AI918" i="10"/>
  <c r="AJ918" i="10"/>
  <c r="BG918" i="10" s="1"/>
  <c r="BH918" i="10"/>
  <c r="BI918" i="10" a="1"/>
  <c r="BI918" i="10"/>
  <c r="BO918" i="10"/>
  <c r="A919" i="10"/>
  <c r="F919" i="10"/>
  <c r="AD919" i="10"/>
  <c r="AH919" i="10"/>
  <c r="AO919" i="10" s="1"/>
  <c r="AI919" i="10"/>
  <c r="AJ919" i="10"/>
  <c r="BG919" i="10" s="1"/>
  <c r="BE919" i="10" a="1"/>
  <c r="BE919" i="10" s="1"/>
  <c r="BI919" i="10" a="1"/>
  <c r="BI919" i="10"/>
  <c r="BO919" i="10"/>
  <c r="BW919" i="10"/>
  <c r="CD919" i="10" a="1"/>
  <c r="CD919" i="10" s="1"/>
  <c r="CK919" i="10"/>
  <c r="CO919" i="10"/>
  <c r="CS919" i="10"/>
  <c r="A920" i="10"/>
  <c r="F920" i="10"/>
  <c r="AD920" i="10"/>
  <c r="AH920" i="10"/>
  <c r="BS920" i="10" s="1"/>
  <c r="AI920" i="10"/>
  <c r="AJ920" i="10"/>
  <c r="BG920" i="10" s="1"/>
  <c r="AO920" i="10"/>
  <c r="BE920" i="10" a="1"/>
  <c r="BE920" i="10" s="1"/>
  <c r="BH920" i="10"/>
  <c r="BI920" i="10" a="1"/>
  <c r="BI920" i="10" s="1"/>
  <c r="BJ920" i="10"/>
  <c r="BO920" i="10"/>
  <c r="CS920" i="10"/>
  <c r="A921" i="10"/>
  <c r="F921" i="10"/>
  <c r="AD921" i="10"/>
  <c r="AH921" i="10"/>
  <c r="BS921" i="10" s="1"/>
  <c r="AI921" i="10"/>
  <c r="AJ921" i="10"/>
  <c r="BG921" i="10" s="1"/>
  <c r="BH921" i="10"/>
  <c r="BI921" i="10" a="1"/>
  <c r="BI921" i="10"/>
  <c r="BO921" i="10"/>
  <c r="F922" i="10"/>
  <c r="AD922" i="10"/>
  <c r="AH922" i="10"/>
  <c r="CO922" i="10" s="1"/>
  <c r="AI922" i="10"/>
  <c r="AJ922" i="10"/>
  <c r="BG922" i="10" s="1"/>
  <c r="BH922" i="10"/>
  <c r="BI922" i="10" a="1"/>
  <c r="BI922" i="10"/>
  <c r="BO922" i="10"/>
  <c r="A923" i="10"/>
  <c r="F923" i="10"/>
  <c r="AD923" i="10"/>
  <c r="AH923" i="10"/>
  <c r="AO923" i="10" s="1"/>
  <c r="AI923" i="10"/>
  <c r="AJ923" i="10"/>
  <c r="BG923" i="10" s="1"/>
  <c r="BE923" i="10" a="1"/>
  <c r="BE923" i="10" s="1"/>
  <c r="BI923" i="10" a="1"/>
  <c r="BI923" i="10"/>
  <c r="BO923" i="10"/>
  <c r="BW923" i="10"/>
  <c r="CD923" i="10" a="1"/>
  <c r="CD923" i="10" s="1"/>
  <c r="CK923" i="10"/>
  <c r="CO923" i="10"/>
  <c r="CS923" i="10"/>
  <c r="A924" i="10"/>
  <c r="F924" i="10"/>
  <c r="AD924" i="10"/>
  <c r="AH924" i="10"/>
  <c r="AO924" i="10" s="1"/>
  <c r="AI924" i="10"/>
  <c r="AJ924" i="10"/>
  <c r="BG924" i="10" s="1"/>
  <c r="BE924" i="10" a="1"/>
  <c r="BE924" i="10" s="1"/>
  <c r="BH924" i="10"/>
  <c r="BI924" i="10" a="1"/>
  <c r="BI924" i="10" s="1"/>
  <c r="BO924" i="10"/>
  <c r="CS924" i="10"/>
  <c r="A925" i="10"/>
  <c r="F925" i="10"/>
  <c r="AD925" i="10"/>
  <c r="AH925" i="10"/>
  <c r="BS925" i="10" s="1"/>
  <c r="AI925" i="10"/>
  <c r="AJ925" i="10"/>
  <c r="BG925" i="10" s="1"/>
  <c r="BH925" i="10"/>
  <c r="BI925" i="10" a="1"/>
  <c r="BI925" i="10"/>
  <c r="BO925" i="10"/>
  <c r="F926" i="10"/>
  <c r="AD926" i="10"/>
  <c r="AH926" i="10"/>
  <c r="CO926" i="10" s="1"/>
  <c r="AI926" i="10"/>
  <c r="AJ926" i="10"/>
  <c r="BG926" i="10" s="1"/>
  <c r="BH926" i="10"/>
  <c r="BI926" i="10" a="1"/>
  <c r="BI926" i="10"/>
  <c r="BO926" i="10"/>
  <c r="A927" i="10"/>
  <c r="F927" i="10"/>
  <c r="AD927" i="10"/>
  <c r="AH927" i="10"/>
  <c r="AO927" i="10" s="1"/>
  <c r="AI927" i="10"/>
  <c r="AJ927" i="10"/>
  <c r="BG927" i="10" s="1"/>
  <c r="BE927" i="10" a="1"/>
  <c r="BE927" i="10" s="1"/>
  <c r="BI927" i="10" a="1"/>
  <c r="BI927" i="10"/>
  <c r="BO927" i="10"/>
  <c r="BW927" i="10"/>
  <c r="CD927" i="10" a="1"/>
  <c r="CD927" i="10" s="1"/>
  <c r="CK927" i="10"/>
  <c r="CO927" i="10"/>
  <c r="CS927" i="10"/>
  <c r="A928" i="10"/>
  <c r="F928" i="10"/>
  <c r="AD928" i="10"/>
  <c r="AH928" i="10"/>
  <c r="AO928" i="10" s="1"/>
  <c r="AI928" i="10"/>
  <c r="AJ928" i="10"/>
  <c r="BG928" i="10" s="1"/>
  <c r="BE928" i="10" a="1"/>
  <c r="BE928" i="10" s="1"/>
  <c r="BH928" i="10"/>
  <c r="BI928" i="10" a="1"/>
  <c r="BI928" i="10" s="1"/>
  <c r="BO928" i="10"/>
  <c r="CS928" i="10"/>
  <c r="A929" i="10"/>
  <c r="F929" i="10"/>
  <c r="AD929" i="10"/>
  <c r="AH929" i="10"/>
  <c r="BS929" i="10" s="1"/>
  <c r="AI929" i="10"/>
  <c r="AJ929" i="10"/>
  <c r="BG929" i="10" s="1"/>
  <c r="BH929" i="10"/>
  <c r="BI929" i="10" a="1"/>
  <c r="BI929" i="10"/>
  <c r="BO929" i="10"/>
  <c r="F930" i="10"/>
  <c r="AD930" i="10"/>
  <c r="AH930" i="10"/>
  <c r="CO930" i="10" s="1"/>
  <c r="AI930" i="10"/>
  <c r="AJ930" i="10"/>
  <c r="BG930" i="10" s="1"/>
  <c r="BH930" i="10"/>
  <c r="BI930" i="10" a="1"/>
  <c r="BI930" i="10"/>
  <c r="BO930" i="10"/>
  <c r="A931" i="10"/>
  <c r="F931" i="10"/>
  <c r="AD931" i="10"/>
  <c r="AH931" i="10"/>
  <c r="AO931" i="10" s="1"/>
  <c r="AI931" i="10"/>
  <c r="AJ931" i="10"/>
  <c r="BG931" i="10" s="1"/>
  <c r="BE931" i="10" a="1"/>
  <c r="BE931" i="10" s="1"/>
  <c r="BI931" i="10" a="1"/>
  <c r="BI931" i="10"/>
  <c r="BO931" i="10"/>
  <c r="BW931" i="10"/>
  <c r="CD931" i="10" a="1"/>
  <c r="CD931" i="10" s="1"/>
  <c r="CK931" i="10"/>
  <c r="CO931" i="10"/>
  <c r="CS931" i="10"/>
  <c r="A932" i="10"/>
  <c r="F932" i="10"/>
  <c r="AD932" i="10"/>
  <c r="AH932" i="10"/>
  <c r="AO932" i="10" s="1"/>
  <c r="AI932" i="10"/>
  <c r="AJ932" i="10"/>
  <c r="BG932" i="10" s="1"/>
  <c r="BE932" i="10" a="1"/>
  <c r="BE932" i="10" s="1"/>
  <c r="BH932" i="10"/>
  <c r="BI932" i="10" a="1"/>
  <c r="BI932" i="10" s="1"/>
  <c r="BO932" i="10"/>
  <c r="CS932" i="10"/>
  <c r="A933" i="10"/>
  <c r="F933" i="10"/>
  <c r="AD933" i="10"/>
  <c r="AH933" i="10"/>
  <c r="BS933" i="10" s="1"/>
  <c r="AI933" i="10"/>
  <c r="AJ933" i="10"/>
  <c r="BG933" i="10" s="1"/>
  <c r="BH933" i="10"/>
  <c r="BI933" i="10" a="1"/>
  <c r="BI933" i="10"/>
  <c r="BO933" i="10"/>
  <c r="F934" i="10"/>
  <c r="AD934" i="10"/>
  <c r="AH934" i="10"/>
  <c r="AI934" i="10"/>
  <c r="AJ934" i="10"/>
  <c r="BG934" i="10" s="1"/>
  <c r="BH934" i="10"/>
  <c r="BI934" i="10" a="1"/>
  <c r="BI934" i="10"/>
  <c r="A935" i="10"/>
  <c r="F935" i="10"/>
  <c r="AD935" i="10"/>
  <c r="AH935" i="10"/>
  <c r="AO935" i="10" s="1"/>
  <c r="AI935" i="10"/>
  <c r="AJ935" i="10"/>
  <c r="BE935" i="10" a="1"/>
  <c r="BE935" i="10" s="1"/>
  <c r="BI935" i="10" a="1"/>
  <c r="BI935" i="10"/>
  <c r="BO935" i="10"/>
  <c r="BW935" i="10"/>
  <c r="CD935" i="10" a="1"/>
  <c r="CD935" i="10" s="1"/>
  <c r="CK935" i="10"/>
  <c r="CO935" i="10"/>
  <c r="CS935" i="10"/>
  <c r="A936" i="10"/>
  <c r="F936" i="10"/>
  <c r="AD936" i="10"/>
  <c r="AH936" i="10"/>
  <c r="AO936" i="10" s="1"/>
  <c r="AI936" i="10"/>
  <c r="AJ936" i="10"/>
  <c r="BG936" i="10" s="1"/>
  <c r="BE936" i="10" a="1"/>
  <c r="BE936" i="10" s="1"/>
  <c r="BH936" i="10"/>
  <c r="BI936" i="10" a="1"/>
  <c r="BI936" i="10" s="1"/>
  <c r="BO936" i="10"/>
  <c r="CS936" i="10"/>
  <c r="A937" i="10"/>
  <c r="F937" i="10"/>
  <c r="AD937" i="10"/>
  <c r="AH937" i="10"/>
  <c r="BS937" i="10" s="1"/>
  <c r="AI937" i="10"/>
  <c r="AJ937" i="10"/>
  <c r="BG937" i="10" s="1"/>
  <c r="BH937" i="10"/>
  <c r="BI937" i="10" a="1"/>
  <c r="BI937" i="10"/>
  <c r="BO937" i="10"/>
  <c r="F938" i="10"/>
  <c r="AD938" i="10"/>
  <c r="AH938" i="10"/>
  <c r="AI938" i="10"/>
  <c r="AJ938" i="10"/>
  <c r="BG938" i="10" s="1"/>
  <c r="BH938" i="10"/>
  <c r="BI938" i="10" a="1"/>
  <c r="BI938" i="10"/>
  <c r="BO938" i="10"/>
  <c r="A939" i="10"/>
  <c r="F939" i="10"/>
  <c r="AD939" i="10"/>
  <c r="AH939" i="10"/>
  <c r="AO939" i="10" s="1"/>
  <c r="AI939" i="10"/>
  <c r="AJ939" i="10"/>
  <c r="BE939" i="10" a="1"/>
  <c r="BE939" i="10" s="1"/>
  <c r="BI939" i="10" a="1"/>
  <c r="BI939" i="10"/>
  <c r="BO939" i="10"/>
  <c r="BW939" i="10"/>
  <c r="CD939" i="10" a="1"/>
  <c r="CD939" i="10" s="1"/>
  <c r="CK939" i="10"/>
  <c r="CO939" i="10"/>
  <c r="CS939" i="10"/>
  <c r="A940" i="10"/>
  <c r="F940" i="10"/>
  <c r="AD940" i="10"/>
  <c r="AH940" i="10"/>
  <c r="AO940" i="10" s="1"/>
  <c r="AI940" i="10"/>
  <c r="AJ940" i="10"/>
  <c r="BG940" i="10" s="1"/>
  <c r="BE940" i="10" a="1"/>
  <c r="BE940" i="10" s="1"/>
  <c r="BH940" i="10"/>
  <c r="BI940" i="10" a="1"/>
  <c r="BI940" i="10" s="1"/>
  <c r="BO940" i="10"/>
  <c r="CS940" i="10"/>
  <c r="A941" i="10"/>
  <c r="F941" i="10"/>
  <c r="AD941" i="10"/>
  <c r="AH941" i="10"/>
  <c r="BS941" i="10" s="1"/>
  <c r="AI941" i="10"/>
  <c r="AJ941" i="10"/>
  <c r="BG941" i="10" s="1"/>
  <c r="BH941" i="10"/>
  <c r="BI941" i="10" a="1"/>
  <c r="BI941" i="10"/>
  <c r="BO941" i="10"/>
  <c r="F942" i="10"/>
  <c r="AD942" i="10"/>
  <c r="AH942" i="10"/>
  <c r="AI942" i="10"/>
  <c r="AJ942" i="10"/>
  <c r="BH942" i="10"/>
  <c r="BI942" i="10" a="1"/>
  <c r="BI942" i="10"/>
  <c r="A943" i="10"/>
  <c r="F943" i="10"/>
  <c r="AD943" i="10"/>
  <c r="AH943" i="10"/>
  <c r="AO943" i="10" s="1"/>
  <c r="AI943" i="10"/>
  <c r="AJ943" i="10"/>
  <c r="BE943" i="10" a="1"/>
  <c r="BE943" i="10" s="1"/>
  <c r="BI943" i="10" a="1"/>
  <c r="BI943" i="10"/>
  <c r="BO943" i="10"/>
  <c r="BW943" i="10"/>
  <c r="CD943" i="10" a="1"/>
  <c r="CD943" i="10" s="1"/>
  <c r="CK943" i="10"/>
  <c r="CO943" i="10"/>
  <c r="CS943" i="10"/>
  <c r="A944" i="10"/>
  <c r="F944" i="10"/>
  <c r="AD944" i="10"/>
  <c r="AH944" i="10"/>
  <c r="AO944" i="10" s="1"/>
  <c r="AI944" i="10"/>
  <c r="AJ944" i="10"/>
  <c r="BG944" i="10" s="1"/>
  <c r="BE944" i="10" a="1"/>
  <c r="BE944" i="10" s="1"/>
  <c r="BH944" i="10"/>
  <c r="BI944" i="10" a="1"/>
  <c r="BI944" i="10" s="1"/>
  <c r="BO944" i="10"/>
  <c r="CS944" i="10"/>
  <c r="A945" i="10"/>
  <c r="F945" i="10"/>
  <c r="AD945" i="10"/>
  <c r="AH945" i="10"/>
  <c r="BS945" i="10" s="1"/>
  <c r="AI945" i="10"/>
  <c r="AJ945" i="10"/>
  <c r="BG945" i="10" s="1"/>
  <c r="BH945" i="10"/>
  <c r="BI945" i="10" a="1"/>
  <c r="BI945" i="10"/>
  <c r="BO945" i="10"/>
  <c r="F946" i="10"/>
  <c r="AD946" i="10"/>
  <c r="AH946" i="10"/>
  <c r="AI946" i="10"/>
  <c r="AJ946" i="10"/>
  <c r="BG946" i="10" s="1"/>
  <c r="BH946" i="10"/>
  <c r="BI946" i="10" a="1"/>
  <c r="BI946" i="10"/>
  <c r="A947" i="10"/>
  <c r="F947" i="10"/>
  <c r="AD947" i="10"/>
  <c r="AH947" i="10"/>
  <c r="AO947" i="10" s="1"/>
  <c r="AI947" i="10"/>
  <c r="AJ947" i="10"/>
  <c r="BE947" i="10" a="1"/>
  <c r="BE947" i="10" s="1"/>
  <c r="BI947" i="10" a="1"/>
  <c r="BI947" i="10"/>
  <c r="BO947" i="10"/>
  <c r="BW947" i="10"/>
  <c r="CD947" i="10" a="1"/>
  <c r="CD947" i="10" s="1"/>
  <c r="CK947" i="10"/>
  <c r="CO947" i="10"/>
  <c r="CS947" i="10"/>
  <c r="A948" i="10"/>
  <c r="F948" i="10"/>
  <c r="AD948" i="10"/>
  <c r="AH948" i="10"/>
  <c r="AO948" i="10" s="1"/>
  <c r="AI948" i="10"/>
  <c r="AJ948" i="10"/>
  <c r="BG948" i="10" s="1"/>
  <c r="BE948" i="10" a="1"/>
  <c r="BE948" i="10" s="1"/>
  <c r="BH948" i="10"/>
  <c r="BI948" i="10" a="1"/>
  <c r="BI948" i="10"/>
  <c r="BO948" i="10"/>
  <c r="CS948" i="10"/>
  <c r="A949" i="10"/>
  <c r="F949" i="10"/>
  <c r="AD949" i="10"/>
  <c r="AH949" i="10"/>
  <c r="BS949" i="10" s="1"/>
  <c r="AI949" i="10"/>
  <c r="AJ949" i="10"/>
  <c r="BG949" i="10" s="1"/>
  <c r="BH949" i="10"/>
  <c r="BI949" i="10" a="1"/>
  <c r="BI949" i="10"/>
  <c r="BO949" i="10"/>
  <c r="F950" i="10"/>
  <c r="AD950" i="10"/>
  <c r="AH950" i="10"/>
  <c r="BO950" i="10" s="1"/>
  <c r="AI950" i="10"/>
  <c r="AJ950" i="10"/>
  <c r="BH950" i="10"/>
  <c r="BI950" i="10" a="1"/>
  <c r="BI950" i="10"/>
  <c r="A951" i="10"/>
  <c r="F951" i="10"/>
  <c r="AD951" i="10"/>
  <c r="AH951" i="10"/>
  <c r="AO951" i="10" s="1"/>
  <c r="AI951" i="10"/>
  <c r="AJ951" i="10"/>
  <c r="BE951" i="10" a="1"/>
  <c r="BE951" i="10" s="1"/>
  <c r="BI951" i="10" a="1"/>
  <c r="BI951" i="10"/>
  <c r="BO951" i="10"/>
  <c r="BW951" i="10"/>
  <c r="CD951" i="10" a="1"/>
  <c r="CD951" i="10" s="1"/>
  <c r="CK951" i="10"/>
  <c r="CS951" i="10"/>
  <c r="A952" i="10"/>
  <c r="F952" i="10"/>
  <c r="AD952" i="10"/>
  <c r="AH952" i="10"/>
  <c r="AO952" i="10" s="1"/>
  <c r="AI952" i="10"/>
  <c r="AJ952" i="10"/>
  <c r="BG952" i="10" s="1"/>
  <c r="BE952" i="10" a="1"/>
  <c r="BE952" i="10" s="1"/>
  <c r="BH952" i="10"/>
  <c r="BI952" i="10" a="1"/>
  <c r="BI952" i="10"/>
  <c r="BO952" i="10"/>
  <c r="CS952" i="10"/>
  <c r="A953" i="10"/>
  <c r="F953" i="10"/>
  <c r="AD953" i="10"/>
  <c r="AH953" i="10"/>
  <c r="BS953" i="10" s="1"/>
  <c r="AI953" i="10"/>
  <c r="AJ953" i="10"/>
  <c r="BG953" i="10" s="1"/>
  <c r="BH953" i="10"/>
  <c r="BI953" i="10" a="1"/>
  <c r="BI953" i="10"/>
  <c r="BO953" i="10"/>
  <c r="F954" i="10"/>
  <c r="AD954" i="10"/>
  <c r="AH954" i="10"/>
  <c r="BW954" i="10" s="1"/>
  <c r="AI954" i="10"/>
  <c r="AJ954" i="10"/>
  <c r="BG954" i="10" s="1"/>
  <c r="BI954" i="10" a="1"/>
  <c r="BI954" i="10"/>
  <c r="A955" i="10"/>
  <c r="F955" i="10"/>
  <c r="AD955" i="10"/>
  <c r="AH955" i="10"/>
  <c r="AO955" i="10" s="1"/>
  <c r="AI955" i="10"/>
  <c r="AJ955" i="10"/>
  <c r="BE955" i="10" a="1"/>
  <c r="BE955" i="10" s="1"/>
  <c r="BI955" i="10" a="1"/>
  <c r="BI955" i="10"/>
  <c r="BO955" i="10"/>
  <c r="BW955" i="10"/>
  <c r="CD955" i="10" a="1"/>
  <c r="CD955" i="10" s="1"/>
  <c r="CE955" i="10"/>
  <c r="CK955" i="10"/>
  <c r="CS955" i="10"/>
  <c r="A956" i="10"/>
  <c r="F956" i="10"/>
  <c r="AD956" i="10"/>
  <c r="AH956" i="10"/>
  <c r="AO956" i="10" s="1"/>
  <c r="AI956" i="10"/>
  <c r="AJ956" i="10"/>
  <c r="BG956" i="10" s="1"/>
  <c r="BE956" i="10" a="1"/>
  <c r="BE956" i="10" s="1"/>
  <c r="BF956" i="10"/>
  <c r="BH956" i="10"/>
  <c r="BI956" i="10" a="1"/>
  <c r="BI956" i="10"/>
  <c r="BO956" i="10"/>
  <c r="CS956" i="10"/>
  <c r="A957" i="10"/>
  <c r="F957" i="10"/>
  <c r="AD957" i="10"/>
  <c r="AH957" i="10"/>
  <c r="AI957" i="10"/>
  <c r="AJ957" i="10"/>
  <c r="BG957" i="10" s="1"/>
  <c r="BH957" i="10"/>
  <c r="BI957" i="10" a="1"/>
  <c r="BI957" i="10"/>
  <c r="BO957" i="10"/>
  <c r="F958" i="10"/>
  <c r="AD958" i="10"/>
  <c r="AH958" i="10"/>
  <c r="AI958" i="10"/>
  <c r="AJ958" i="10"/>
  <c r="BG958" i="10" s="1"/>
  <c r="BI958" i="10" a="1"/>
  <c r="BI958" i="10"/>
  <c r="BO958" i="10"/>
  <c r="CK958" i="10"/>
  <c r="A959" i="10"/>
  <c r="F959" i="10"/>
  <c r="AD959" i="10"/>
  <c r="AH959" i="10"/>
  <c r="AO959" i="10" s="1"/>
  <c r="AI959" i="10"/>
  <c r="AJ959" i="10"/>
  <c r="BE959" i="10" a="1"/>
  <c r="BE959" i="10" s="1"/>
  <c r="BI959" i="10" a="1"/>
  <c r="BI959" i="10"/>
  <c r="BO959" i="10"/>
  <c r="BW959" i="10"/>
  <c r="CD959" i="10" a="1"/>
  <c r="CD959" i="10" s="1"/>
  <c r="CE959" i="10" s="1"/>
  <c r="CK959" i="10"/>
  <c r="CS959" i="10"/>
  <c r="A960" i="10"/>
  <c r="F960" i="10"/>
  <c r="AD960" i="10"/>
  <c r="AH960" i="10"/>
  <c r="AO960" i="10" s="1"/>
  <c r="AI960" i="10"/>
  <c r="AJ960" i="10"/>
  <c r="BG960" i="10" s="1"/>
  <c r="BE960" i="10" a="1"/>
  <c r="BE960" i="10" s="1"/>
  <c r="BF960" i="10" s="1"/>
  <c r="BH960" i="10"/>
  <c r="BI960" i="10" a="1"/>
  <c r="BI960" i="10"/>
  <c r="BO960" i="10"/>
  <c r="CS960" i="10"/>
  <c r="F961" i="10"/>
  <c r="AD961" i="10"/>
  <c r="AH961" i="10"/>
  <c r="A961" i="10" s="1"/>
  <c r="AI961" i="10"/>
  <c r="AJ961" i="10"/>
  <c r="BG961" i="10" s="1"/>
  <c r="BI961" i="10" a="1"/>
  <c r="BI961" i="10"/>
  <c r="BO961" i="10"/>
  <c r="CK961" i="10"/>
  <c r="F962" i="10"/>
  <c r="AD962" i="10"/>
  <c r="AH962" i="10"/>
  <c r="CS962" i="10" s="1"/>
  <c r="AI962" i="10"/>
  <c r="AJ962" i="10"/>
  <c r="BG962" i="10" s="1"/>
  <c r="BE962" i="10" a="1"/>
  <c r="BE962" i="10" s="1"/>
  <c r="BH962" i="10"/>
  <c r="BI962" i="10" a="1"/>
  <c r="BI962" i="10"/>
  <c r="BO962" i="10"/>
  <c r="BW962" i="10"/>
  <c r="CD962" i="10" a="1"/>
  <c r="CD962" i="10" s="1"/>
  <c r="CK962" i="10"/>
  <c r="A963" i="10"/>
  <c r="F963" i="10"/>
  <c r="AD963" i="10"/>
  <c r="AH963" i="10"/>
  <c r="AO963" i="10" s="1"/>
  <c r="AI963" i="10"/>
  <c r="AJ963" i="10"/>
  <c r="BE963" i="10" a="1"/>
  <c r="BE963" i="10" s="1"/>
  <c r="BF963" i="10" s="1"/>
  <c r="BI963" i="10" a="1"/>
  <c r="BI963" i="10"/>
  <c r="BO963" i="10"/>
  <c r="BW963" i="10"/>
  <c r="CD963" i="10" a="1"/>
  <c r="CD963" i="10" s="1"/>
  <c r="CE963" i="10"/>
  <c r="CK963" i="10"/>
  <c r="CS963" i="10"/>
  <c r="F964" i="10"/>
  <c r="AD964" i="10"/>
  <c r="AH964" i="10"/>
  <c r="A964" i="10" s="1"/>
  <c r="AI964" i="10"/>
  <c r="AJ964" i="10"/>
  <c r="BE964" i="10" a="1"/>
  <c r="BE964" i="10" s="1"/>
  <c r="BF964" i="10" s="1"/>
  <c r="BH964" i="10"/>
  <c r="BI964" i="10" a="1"/>
  <c r="BI964" i="10"/>
  <c r="F965" i="10"/>
  <c r="AD965" i="10"/>
  <c r="AH965" i="10"/>
  <c r="A965" i="10" s="1"/>
  <c r="AI965" i="10"/>
  <c r="AJ965" i="10"/>
  <c r="BG965" i="10" s="1"/>
  <c r="BI965" i="10" a="1"/>
  <c r="BI965" i="10"/>
  <c r="BO965" i="10"/>
  <c r="CK965" i="10"/>
  <c r="F966" i="10"/>
  <c r="AD966" i="10"/>
  <c r="AH966" i="10"/>
  <c r="CK966" i="10" s="1"/>
  <c r="AI966" i="10"/>
  <c r="AJ966" i="10"/>
  <c r="BE966" i="10" a="1"/>
  <c r="BE966" i="10" s="1"/>
  <c r="BH966" i="10"/>
  <c r="BI966" i="10" a="1"/>
  <c r="BI966" i="10"/>
  <c r="BO966" i="10"/>
  <c r="BW966" i="10"/>
  <c r="A967" i="10"/>
  <c r="F967" i="10"/>
  <c r="AD967" i="10"/>
  <c r="AH967" i="10"/>
  <c r="AO967" i="10" s="1"/>
  <c r="AI967" i="10"/>
  <c r="AJ967" i="10"/>
  <c r="BE967" i="10" a="1"/>
  <c r="BE967" i="10" s="1"/>
  <c r="BF967" i="10" s="1"/>
  <c r="BI967" i="10" a="1"/>
  <c r="BI967" i="10"/>
  <c r="BO967" i="10"/>
  <c r="BW967" i="10"/>
  <c r="CD967" i="10" a="1"/>
  <c r="CD967" i="10" s="1"/>
  <c r="CE967" i="10"/>
  <c r="CK967" i="10"/>
  <c r="CS967" i="10"/>
  <c r="F968" i="10"/>
  <c r="AD968" i="10"/>
  <c r="AH968" i="10"/>
  <c r="A968" i="10" s="1"/>
  <c r="AI968" i="10"/>
  <c r="AJ968" i="10"/>
  <c r="BE968" i="10" a="1"/>
  <c r="BE968" i="10" s="1"/>
  <c r="BF968" i="10" s="1"/>
  <c r="BH968" i="10"/>
  <c r="BI968" i="10" a="1"/>
  <c r="BI968" i="10"/>
  <c r="F969" i="10"/>
  <c r="AD969" i="10"/>
  <c r="AH969" i="10"/>
  <c r="A969" i="10" s="1"/>
  <c r="AI969" i="10"/>
  <c r="AJ969" i="10"/>
  <c r="BG969" i="10" s="1"/>
  <c r="BI969" i="10" a="1"/>
  <c r="BI969" i="10"/>
  <c r="BO969" i="10"/>
  <c r="CK969" i="10"/>
  <c r="F970" i="10"/>
  <c r="AD970" i="10"/>
  <c r="AH970" i="10"/>
  <c r="CK970" i="10" s="1"/>
  <c r="AI970" i="10"/>
  <c r="AJ970" i="10"/>
  <c r="BE970" i="10" a="1"/>
  <c r="BE970" i="10" s="1"/>
  <c r="BH970" i="10"/>
  <c r="BI970" i="10" a="1"/>
  <c r="BI970" i="10"/>
  <c r="BO970" i="10"/>
  <c r="BW970" i="10"/>
  <c r="A971" i="10"/>
  <c r="F971" i="10"/>
  <c r="AD971" i="10"/>
  <c r="AH971" i="10"/>
  <c r="AO971" i="10" s="1"/>
  <c r="AI971" i="10"/>
  <c r="AJ971" i="10"/>
  <c r="BE971" i="10" a="1"/>
  <c r="BE971" i="10" s="1"/>
  <c r="BF971" i="10" s="1"/>
  <c r="BI971" i="10" a="1"/>
  <c r="BI971" i="10"/>
  <c r="BO971" i="10"/>
  <c r="BW971" i="10"/>
  <c r="CD971" i="10" a="1"/>
  <c r="CD971" i="10" s="1"/>
  <c r="CE971" i="10"/>
  <c r="CK971" i="10"/>
  <c r="CS971" i="10"/>
  <c r="F972" i="10"/>
  <c r="AD972" i="10"/>
  <c r="AH972" i="10"/>
  <c r="A972" i="10" s="1"/>
  <c r="AI972" i="10"/>
  <c r="AJ972" i="10"/>
  <c r="BE972" i="10" a="1"/>
  <c r="BE972" i="10" s="1"/>
  <c r="BF972" i="10" s="1"/>
  <c r="BH972" i="10"/>
  <c r="BI972" i="10" a="1"/>
  <c r="BI972" i="10"/>
  <c r="F973" i="10"/>
  <c r="AD973" i="10"/>
  <c r="AH973" i="10"/>
  <c r="A973" i="10" s="1"/>
  <c r="AI973" i="10"/>
  <c r="AJ973" i="10"/>
  <c r="BG973" i="10" s="1"/>
  <c r="BI973" i="10" a="1"/>
  <c r="BI973" i="10"/>
  <c r="BO973" i="10"/>
  <c r="CK973" i="10"/>
  <c r="F974" i="10"/>
  <c r="AD974" i="10"/>
  <c r="AH974" i="10"/>
  <c r="CK974" i="10" s="1"/>
  <c r="AI974" i="10"/>
  <c r="AJ974" i="10"/>
  <c r="BE974" i="10" a="1"/>
  <c r="BE974" i="10" s="1"/>
  <c r="BH974" i="10"/>
  <c r="BI974" i="10" a="1"/>
  <c r="BI974" i="10"/>
  <c r="BO974" i="10"/>
  <c r="BW974" i="10"/>
  <c r="A975" i="10"/>
  <c r="F975" i="10"/>
  <c r="AD975" i="10"/>
  <c r="AH975" i="10"/>
  <c r="AO975" i="10" s="1"/>
  <c r="AI975" i="10"/>
  <c r="AJ975" i="10"/>
  <c r="BE975" i="10" a="1"/>
  <c r="BE975" i="10" s="1"/>
  <c r="BF975" i="10" s="1"/>
  <c r="BI975" i="10" a="1"/>
  <c r="BI975" i="10"/>
  <c r="BO975" i="10"/>
  <c r="BW975" i="10"/>
  <c r="CD975" i="10" a="1"/>
  <c r="CD975" i="10" s="1"/>
  <c r="CE975" i="10"/>
  <c r="CK975" i="10"/>
  <c r="CS975" i="10"/>
  <c r="A976" i="10"/>
  <c r="F976" i="10"/>
  <c r="AD976" i="10"/>
  <c r="AH976" i="10"/>
  <c r="AI976" i="10"/>
  <c r="AJ976" i="10"/>
  <c r="BG976" i="10" s="1"/>
  <c r="BE976" i="10" a="1"/>
  <c r="BE976" i="10" s="1"/>
  <c r="BF976" i="10" s="1"/>
  <c r="BH976" i="10"/>
  <c r="BI976" i="10" a="1"/>
  <c r="BI976" i="10"/>
  <c r="BO976" i="10"/>
  <c r="BW976" i="10"/>
  <c r="CD976" i="10" a="1"/>
  <c r="CD976" i="10" s="1"/>
  <c r="CE976" i="10" s="1"/>
  <c r="CK976" i="10"/>
  <c r="CS976" i="10"/>
  <c r="F977" i="10"/>
  <c r="AD977" i="10"/>
  <c r="AH977" i="10"/>
  <c r="A977" i="10" s="1"/>
  <c r="AI977" i="10"/>
  <c r="AJ977" i="10"/>
  <c r="BG977" i="10" s="1"/>
  <c r="BE977" i="10" a="1"/>
  <c r="BE977" i="10" s="1"/>
  <c r="BF977" i="10"/>
  <c r="BH977" i="10"/>
  <c r="BI977" i="10" a="1"/>
  <c r="BI977" i="10"/>
  <c r="BO977" i="10"/>
  <c r="BW977" i="10"/>
  <c r="CD977" i="10" a="1"/>
  <c r="CD977" i="10" s="1"/>
  <c r="CE977" i="10"/>
  <c r="CK977" i="10"/>
  <c r="CS977" i="10"/>
  <c r="F978" i="10"/>
  <c r="AD978" i="10"/>
  <c r="AH978" i="10"/>
  <c r="A978" i="10" s="1"/>
  <c r="AI978" i="10"/>
  <c r="AJ978" i="10"/>
  <c r="BH978" i="10"/>
  <c r="BI978" i="10" a="1"/>
  <c r="BI978" i="10"/>
  <c r="BW978" i="10"/>
  <c r="CK978" i="10"/>
  <c r="CS978" i="10"/>
  <c r="F979" i="10"/>
  <c r="AD979" i="10"/>
  <c r="AH979" i="10"/>
  <c r="A979" i="10" s="1"/>
  <c r="AI979" i="10"/>
  <c r="AJ979" i="10"/>
  <c r="BH979" i="10"/>
  <c r="BI979" i="10" a="1"/>
  <c r="BI979" i="10"/>
  <c r="F980" i="10"/>
  <c r="AD980" i="10"/>
  <c r="AH980" i="10"/>
  <c r="BO980" i="10" s="1"/>
  <c r="AI980" i="10"/>
  <c r="AJ980" i="10"/>
  <c r="BG980" i="10" s="1"/>
  <c r="AO980" i="10"/>
  <c r="BE980" i="10" a="1"/>
  <c r="BE980" i="10" s="1"/>
  <c r="BF980" i="10" s="1"/>
  <c r="BI980" i="10" a="1"/>
  <c r="BI980" i="10"/>
  <c r="BJ980" i="10"/>
  <c r="BS980" i="10"/>
  <c r="BW980" i="10"/>
  <c r="CD980" i="10" a="1"/>
  <c r="CD980" i="10"/>
  <c r="CE980" i="10"/>
  <c r="CF980" i="10"/>
  <c r="CK980" i="10"/>
  <c r="CO980" i="10"/>
  <c r="CS980" i="10"/>
  <c r="F981" i="10"/>
  <c r="AD981" i="10"/>
  <c r="AH981" i="10"/>
  <c r="BS981" i="10" s="1"/>
  <c r="AI981" i="10"/>
  <c r="AJ981" i="10"/>
  <c r="BH981" i="10"/>
  <c r="BI981" i="10" a="1"/>
  <c r="BI981" i="10" s="1"/>
  <c r="BO981" i="10"/>
  <c r="F982" i="10"/>
  <c r="AD982" i="10"/>
  <c r="AH982" i="10"/>
  <c r="CO982" i="10" s="1"/>
  <c r="AI982" i="10"/>
  <c r="AJ982" i="10"/>
  <c r="BG982" i="10" s="1"/>
  <c r="BI982" i="10" a="1"/>
  <c r="BI982" i="10"/>
  <c r="BO982" i="10"/>
  <c r="BW982" i="10"/>
  <c r="CD982" i="10" a="1"/>
  <c r="CD982" i="10" s="1"/>
  <c r="CK982" i="10"/>
  <c r="F983" i="10"/>
  <c r="AD983" i="10"/>
  <c r="AH983" i="10"/>
  <c r="A983" i="10" s="1"/>
  <c r="AI983" i="10"/>
  <c r="AJ983" i="10"/>
  <c r="BG983" i="10" s="1"/>
  <c r="AO983" i="10"/>
  <c r="BE983" i="10" a="1"/>
  <c r="BE983" i="10" s="1"/>
  <c r="BI983" i="10" a="1"/>
  <c r="BI983" i="10"/>
  <c r="BJ983" i="10"/>
  <c r="BO983" i="10"/>
  <c r="BS983" i="10"/>
  <c r="BW983" i="10"/>
  <c r="CD983" i="10" a="1"/>
  <c r="CD983" i="10" s="1"/>
  <c r="CF983" i="10"/>
  <c r="CK983" i="10"/>
  <c r="CS983" i="10"/>
  <c r="A984" i="10"/>
  <c r="F984" i="10"/>
  <c r="AD984" i="10"/>
  <c r="AH984" i="10"/>
  <c r="AI984" i="10"/>
  <c r="AJ984" i="10"/>
  <c r="BH984" i="10" s="1"/>
  <c r="AO984" i="10"/>
  <c r="BE984" i="10" a="1"/>
  <c r="BE984" i="10" s="1"/>
  <c r="BG984" i="10"/>
  <c r="BI984" i="10" a="1"/>
  <c r="BI984" i="10"/>
  <c r="BJ984" i="10"/>
  <c r="BO984" i="10"/>
  <c r="BS984" i="10"/>
  <c r="BW984" i="10"/>
  <c r="CD984" i="10" a="1"/>
  <c r="CD984" i="10"/>
  <c r="CE984" i="10"/>
  <c r="CF984" i="10"/>
  <c r="CK984" i="10"/>
  <c r="CO984" i="10"/>
  <c r="CP984" i="10" s="1"/>
  <c r="CS984" i="10"/>
  <c r="CT984" i="10" s="1"/>
  <c r="CU984" i="10" s="1"/>
  <c r="F985" i="10"/>
  <c r="AD985" i="10"/>
  <c r="AH985" i="10"/>
  <c r="BS985" i="10" s="1"/>
  <c r="AI985" i="10"/>
  <c r="AJ985" i="10"/>
  <c r="BH985" i="10"/>
  <c r="BI985" i="10" a="1"/>
  <c r="BI985" i="10" s="1"/>
  <c r="BO985" i="10"/>
  <c r="F986" i="10"/>
  <c r="AD986" i="10"/>
  <c r="AH986" i="10"/>
  <c r="CO986" i="10" s="1"/>
  <c r="AI986" i="10"/>
  <c r="AJ986" i="10"/>
  <c r="BG986" i="10" s="1"/>
  <c r="BI986" i="10" a="1"/>
  <c r="BI986" i="10"/>
  <c r="BO986" i="10"/>
  <c r="BW986" i="10"/>
  <c r="CD986" i="10" a="1"/>
  <c r="CD986" i="10" s="1"/>
  <c r="CK986" i="10"/>
  <c r="F987" i="10"/>
  <c r="AD987" i="10"/>
  <c r="AH987" i="10"/>
  <c r="A987" i="10" s="1"/>
  <c r="AI987" i="10"/>
  <c r="AJ987" i="10"/>
  <c r="BG987" i="10" s="1"/>
  <c r="AO987" i="10"/>
  <c r="BE987" i="10" a="1"/>
  <c r="BE987" i="10" s="1"/>
  <c r="BI987" i="10" a="1"/>
  <c r="BI987" i="10"/>
  <c r="BJ987" i="10"/>
  <c r="BO987" i="10"/>
  <c r="BS987" i="10"/>
  <c r="BW987" i="10"/>
  <c r="CD987" i="10" a="1"/>
  <c r="CD987" i="10" s="1"/>
  <c r="CF987" i="10"/>
  <c r="CK987" i="10"/>
  <c r="CS987" i="10"/>
  <c r="A988" i="10"/>
  <c r="F988" i="10"/>
  <c r="AD988" i="10"/>
  <c r="AH988" i="10"/>
  <c r="AI988" i="10"/>
  <c r="AJ988" i="10"/>
  <c r="BH988" i="10" s="1"/>
  <c r="AO988" i="10"/>
  <c r="BE988" i="10" a="1"/>
  <c r="BE988" i="10" s="1"/>
  <c r="BG988" i="10"/>
  <c r="BI988" i="10" a="1"/>
  <c r="BI988" i="10"/>
  <c r="BJ988" i="10"/>
  <c r="BO988" i="10"/>
  <c r="BS988" i="10"/>
  <c r="BW988" i="10"/>
  <c r="CD988" i="10" a="1"/>
  <c r="CD988" i="10"/>
  <c r="CE988" i="10"/>
  <c r="CF988" i="10"/>
  <c r="CK988" i="10"/>
  <c r="CO988" i="10"/>
  <c r="CP988" i="10" s="1"/>
  <c r="CS988" i="10"/>
  <c r="CT988" i="10" s="1"/>
  <c r="CU988" i="10" s="1"/>
  <c r="F989" i="10"/>
  <c r="AD989" i="10"/>
  <c r="AH989" i="10"/>
  <c r="BS989" i="10" s="1"/>
  <c r="AI989" i="10"/>
  <c r="AJ989" i="10"/>
  <c r="BH989" i="10"/>
  <c r="BI989" i="10" a="1"/>
  <c r="BI989" i="10" s="1"/>
  <c r="BO989" i="10"/>
  <c r="F990" i="10"/>
  <c r="AD990" i="10"/>
  <c r="AH990" i="10"/>
  <c r="CO990" i="10" s="1"/>
  <c r="AI990" i="10"/>
  <c r="AJ990" i="10"/>
  <c r="BG990" i="10" s="1"/>
  <c r="BI990" i="10" a="1"/>
  <c r="BI990" i="10"/>
  <c r="BO990" i="10"/>
  <c r="BW990" i="10"/>
  <c r="CD990" i="10" a="1"/>
  <c r="CD990" i="10" s="1"/>
  <c r="CK990" i="10"/>
  <c r="F991" i="10"/>
  <c r="AD991" i="10"/>
  <c r="AH991" i="10"/>
  <c r="A991" i="10" s="1"/>
  <c r="AI991" i="10"/>
  <c r="AJ991" i="10"/>
  <c r="BG991" i="10" s="1"/>
  <c r="AO991" i="10"/>
  <c r="BE991" i="10" a="1"/>
  <c r="BE991" i="10" s="1"/>
  <c r="BI991" i="10" a="1"/>
  <c r="BI991" i="10"/>
  <c r="BJ991" i="10"/>
  <c r="BO991" i="10"/>
  <c r="BS991" i="10"/>
  <c r="BW991" i="10"/>
  <c r="CD991" i="10" a="1"/>
  <c r="CD991" i="10" s="1"/>
  <c r="CF991" i="10"/>
  <c r="CK991" i="10"/>
  <c r="CS991" i="10"/>
  <c r="A992" i="10"/>
  <c r="F992" i="10"/>
  <c r="AD992" i="10"/>
  <c r="AH992" i="10"/>
  <c r="AI992" i="10"/>
  <c r="AJ992" i="10"/>
  <c r="BH992" i="10" s="1"/>
  <c r="AO992" i="10"/>
  <c r="BE992" i="10" a="1"/>
  <c r="BE992" i="10" s="1"/>
  <c r="BG992" i="10"/>
  <c r="BI992" i="10" a="1"/>
  <c r="BI992" i="10"/>
  <c r="BJ992" i="10"/>
  <c r="BO992" i="10"/>
  <c r="BS992" i="10"/>
  <c r="BW992" i="10"/>
  <c r="CD992" i="10" a="1"/>
  <c r="CD992" i="10"/>
  <c r="CE992" i="10"/>
  <c r="CF992" i="10"/>
  <c r="CK992" i="10"/>
  <c r="CO992" i="10"/>
  <c r="CS992" i="10"/>
  <c r="CT992" i="10" s="1"/>
  <c r="CU992" i="10" s="1"/>
  <c r="F993" i="10"/>
  <c r="AD993" i="10"/>
  <c r="AH993" i="10"/>
  <c r="BS993" i="10" s="1"/>
  <c r="AI993" i="10"/>
  <c r="AJ993" i="10"/>
  <c r="BH993" i="10"/>
  <c r="BI993" i="10" a="1"/>
  <c r="BI993" i="10" s="1"/>
  <c r="BO993" i="10"/>
  <c r="F994" i="10"/>
  <c r="AD994" i="10"/>
  <c r="AH994" i="10"/>
  <c r="CO994" i="10" s="1"/>
  <c r="AI994" i="10"/>
  <c r="AJ994" i="10"/>
  <c r="BG994" i="10" s="1"/>
  <c r="BI994" i="10" a="1"/>
  <c r="BI994" i="10"/>
  <c r="BO994" i="10"/>
  <c r="BW994" i="10"/>
  <c r="CD994" i="10" a="1"/>
  <c r="CD994" i="10" s="1"/>
  <c r="CK994" i="10"/>
  <c r="F995" i="10"/>
  <c r="AD995" i="10"/>
  <c r="AH995" i="10"/>
  <c r="A995" i="10" s="1"/>
  <c r="AI995" i="10"/>
  <c r="AJ995" i="10"/>
  <c r="BG995" i="10" s="1"/>
  <c r="AO995" i="10"/>
  <c r="BE995" i="10" a="1"/>
  <c r="BE995" i="10" s="1"/>
  <c r="BI995" i="10" a="1"/>
  <c r="BI995" i="10"/>
  <c r="BJ995" i="10"/>
  <c r="BO995" i="10"/>
  <c r="BS995" i="10"/>
  <c r="BW995" i="10"/>
  <c r="CD995" i="10" a="1"/>
  <c r="CD995" i="10" s="1"/>
  <c r="CF995" i="10"/>
  <c r="CK995" i="10"/>
  <c r="CS995" i="10"/>
  <c r="A996" i="10"/>
  <c r="F996" i="10"/>
  <c r="AD996" i="10"/>
  <c r="AH996" i="10"/>
  <c r="AI996" i="10"/>
  <c r="AJ996" i="10"/>
  <c r="BG996" i="10" s="1"/>
  <c r="AO996" i="10"/>
  <c r="BE996" i="10" a="1"/>
  <c r="BE996" i="10" s="1"/>
  <c r="BI996" i="10" a="1"/>
  <c r="BI996" i="10"/>
  <c r="BJ996" i="10"/>
  <c r="BO996" i="10"/>
  <c r="BS996" i="10"/>
  <c r="BW996" i="10"/>
  <c r="CD996" i="10" a="1"/>
  <c r="CD996" i="10"/>
  <c r="CE996" i="10"/>
  <c r="CF996" i="10"/>
  <c r="CK996" i="10"/>
  <c r="CO996" i="10"/>
  <c r="CS996" i="10"/>
  <c r="F997" i="10"/>
  <c r="AD997" i="10"/>
  <c r="AH997" i="10"/>
  <c r="BS997" i="10" s="1"/>
  <c r="AI997" i="10"/>
  <c r="AJ997" i="10"/>
  <c r="BH997" i="10"/>
  <c r="BI997" i="10" a="1"/>
  <c r="BI997" i="10" s="1"/>
  <c r="BO997" i="10"/>
  <c r="F998" i="10"/>
  <c r="AD998" i="10"/>
  <c r="AH998" i="10"/>
  <c r="CO998" i="10" s="1"/>
  <c r="AI998" i="10"/>
  <c r="AJ998" i="10"/>
  <c r="BG998" i="10" s="1"/>
  <c r="BI998" i="10" a="1"/>
  <c r="BI998" i="10"/>
  <c r="BO998" i="10"/>
  <c r="BW998" i="10"/>
  <c r="CD998" i="10" a="1"/>
  <c r="CD998" i="10" s="1"/>
  <c r="CK998" i="10"/>
  <c r="F999" i="10"/>
  <c r="AD999" i="10"/>
  <c r="AH999" i="10"/>
  <c r="BS999" i="10" s="1"/>
  <c r="AI999" i="10"/>
  <c r="AJ999" i="10"/>
  <c r="BG999" i="10" s="1"/>
  <c r="AO999" i="10"/>
  <c r="BE999" i="10" a="1"/>
  <c r="BE999" i="10" s="1"/>
  <c r="BI999" i="10" a="1"/>
  <c r="BI999" i="10"/>
  <c r="BJ999" i="10"/>
  <c r="BO999" i="10"/>
  <c r="BW999" i="10"/>
  <c r="CD999" i="10" a="1"/>
  <c r="CD999" i="10" s="1"/>
  <c r="CK999" i="10"/>
  <c r="CS999" i="10"/>
  <c r="A1000" i="10"/>
  <c r="F1000" i="10"/>
  <c r="AD1000" i="10"/>
  <c r="AH1000" i="10"/>
  <c r="AI1000" i="10"/>
  <c r="AJ1000" i="10"/>
  <c r="BG1000" i="10" s="1"/>
  <c r="AO1000" i="10"/>
  <c r="BE1000" i="10" a="1"/>
  <c r="BE1000" i="10" s="1"/>
  <c r="BI1000" i="10" a="1"/>
  <c r="BI1000" i="10"/>
  <c r="BJ1000" i="10"/>
  <c r="BO1000" i="10"/>
  <c r="BS1000" i="10"/>
  <c r="BW1000" i="10"/>
  <c r="CD1000" i="10" a="1"/>
  <c r="CD1000" i="10" s="1"/>
  <c r="CF1000" i="10"/>
  <c r="CK1000" i="10"/>
  <c r="CO1000" i="10"/>
  <c r="CS1000" i="10"/>
  <c r="F1001" i="10"/>
  <c r="AD1001" i="10"/>
  <c r="AH1001" i="10"/>
  <c r="BS1001" i="10" s="1"/>
  <c r="AI1001" i="10"/>
  <c r="AJ1001" i="10"/>
  <c r="BH1001" i="10"/>
  <c r="BI1001" i="10" a="1"/>
  <c r="BI1001" i="10" s="1"/>
  <c r="BO1001" i="10"/>
  <c r="F1002" i="10"/>
  <c r="AD1002" i="10"/>
  <c r="AH1002" i="10"/>
  <c r="CO1002" i="10" s="1"/>
  <c r="AI1002" i="10"/>
  <c r="AJ1002" i="10"/>
  <c r="BG1002" i="10" s="1"/>
  <c r="BI1002" i="10" a="1"/>
  <c r="BI1002" i="10"/>
  <c r="BO1002" i="10"/>
  <c r="BW1002" i="10"/>
  <c r="CD1002" i="10" a="1"/>
  <c r="CD1002" i="10" s="1"/>
  <c r="CK1002" i="10"/>
  <c r="F1003" i="10"/>
  <c r="AD1003" i="10"/>
  <c r="AH1003" i="10"/>
  <c r="BS1003" i="10" s="1"/>
  <c r="AI1003" i="10"/>
  <c r="AJ1003" i="10"/>
  <c r="BG1003" i="10" s="1"/>
  <c r="AO1003" i="10"/>
  <c r="BE1003" i="10" a="1"/>
  <c r="BE1003" i="10" s="1"/>
  <c r="BI1003" i="10" a="1"/>
  <c r="BI1003" i="10"/>
  <c r="BJ1003" i="10"/>
  <c r="BO1003" i="10"/>
  <c r="BW1003" i="10"/>
  <c r="CD1003" i="10" a="1"/>
  <c r="CD1003" i="10" s="1"/>
  <c r="CK1003" i="10"/>
  <c r="CS1003" i="10"/>
  <c r="A1004" i="10"/>
  <c r="F1004" i="10"/>
  <c r="AD1004" i="10"/>
  <c r="AH1004" i="10"/>
  <c r="AI1004" i="10"/>
  <c r="AJ1004" i="10"/>
  <c r="BG1004" i="10" s="1"/>
  <c r="AO1004" i="10"/>
  <c r="BE1004" i="10" a="1"/>
  <c r="BE1004" i="10" s="1"/>
  <c r="BI1004" i="10" a="1"/>
  <c r="BI1004" i="10"/>
  <c r="BJ1004" i="10"/>
  <c r="BO1004" i="10"/>
  <c r="BS1004" i="10"/>
  <c r="BW1004" i="10"/>
  <c r="CD1004" i="10" a="1"/>
  <c r="CD1004" i="10" s="1"/>
  <c r="CF1004" i="10"/>
  <c r="CK1004" i="10"/>
  <c r="CO1004" i="10"/>
  <c r="CS1004" i="10"/>
  <c r="F1005" i="10"/>
  <c r="AD1005" i="10"/>
  <c r="AH1005" i="10"/>
  <c r="BS1005" i="10" s="1"/>
  <c r="AI1005" i="10"/>
  <c r="AJ1005" i="10"/>
  <c r="BH1005" i="10"/>
  <c r="BI1005" i="10" a="1"/>
  <c r="BI1005" i="10" s="1"/>
  <c r="BO1005" i="10"/>
  <c r="F1006" i="10"/>
  <c r="AD1006" i="10"/>
  <c r="AH1006" i="10"/>
  <c r="CO1006" i="10" s="1"/>
  <c r="AI1006" i="10"/>
  <c r="AJ1006" i="10"/>
  <c r="BG1006" i="10" s="1"/>
  <c r="BI1006" i="10" a="1"/>
  <c r="BI1006" i="10"/>
  <c r="BO1006" i="10"/>
  <c r="BW1006" i="10"/>
  <c r="CD1006" i="10" a="1"/>
  <c r="CD1006" i="10" s="1"/>
  <c r="CK1006" i="10"/>
  <c r="F1007" i="10"/>
  <c r="AD1007" i="10"/>
  <c r="AH1007" i="10"/>
  <c r="AO1007" i="10" s="1"/>
  <c r="AI1007" i="10"/>
  <c r="AJ1007" i="10"/>
  <c r="BG1007" i="10" s="1"/>
  <c r="BE1007" i="10" a="1"/>
  <c r="BE1007" i="10" s="1"/>
  <c r="BI1007" i="10" a="1"/>
  <c r="BI1007" i="10"/>
  <c r="BO1007" i="10"/>
  <c r="BW1007" i="10"/>
  <c r="CD1007" i="10" a="1"/>
  <c r="CD1007" i="10" s="1"/>
  <c r="CK1007" i="10"/>
  <c r="CS1007" i="10"/>
  <c r="A1008" i="10"/>
  <c r="F1008" i="10"/>
  <c r="AD1008" i="10"/>
  <c r="AH1008" i="10"/>
  <c r="AI1008" i="10"/>
  <c r="AJ1008" i="10"/>
  <c r="BG1008" i="10" s="1"/>
  <c r="AO1008" i="10"/>
  <c r="BE1008" i="10" a="1"/>
  <c r="BE1008" i="10" s="1"/>
  <c r="BI1008" i="10" a="1"/>
  <c r="BI1008" i="10"/>
  <c r="BJ1008" i="10"/>
  <c r="BO1008" i="10"/>
  <c r="BS1008" i="10"/>
  <c r="BW1008" i="10"/>
  <c r="CD1008" i="10" a="1"/>
  <c r="CD1008" i="10" s="1"/>
  <c r="CF1008" i="10"/>
  <c r="CK1008" i="10"/>
  <c r="CO1008" i="10"/>
  <c r="CS1008" i="10"/>
  <c r="F1009" i="10"/>
  <c r="AD1009" i="10"/>
  <c r="AH1009" i="10"/>
  <c r="BS1009" i="10" s="1"/>
  <c r="AI1009" i="10"/>
  <c r="AJ1009" i="10"/>
  <c r="BH1009" i="10"/>
  <c r="BI1009" i="10" a="1"/>
  <c r="BI1009" i="10" s="1"/>
  <c r="BO1009" i="10"/>
  <c r="F1010" i="10"/>
  <c r="AD1010" i="10"/>
  <c r="AH1010" i="10"/>
  <c r="CO1010" i="10" s="1"/>
  <c r="AI1010" i="10"/>
  <c r="AJ1010" i="10"/>
  <c r="BG1010" i="10" s="1"/>
  <c r="BI1010" i="10" a="1"/>
  <c r="BI1010" i="10"/>
  <c r="BO1010" i="10"/>
  <c r="BW1010" i="10"/>
  <c r="CD1010" i="10" a="1"/>
  <c r="CD1010" i="10" s="1"/>
  <c r="CK1010" i="10"/>
  <c r="F1011" i="10"/>
  <c r="AD1011" i="10"/>
  <c r="AH1011" i="10"/>
  <c r="AO1011" i="10" s="1"/>
  <c r="AI1011" i="10"/>
  <c r="AJ1011" i="10"/>
  <c r="BG1011" i="10" s="1"/>
  <c r="BE1011" i="10" a="1"/>
  <c r="BE1011" i="10" s="1"/>
  <c r="BI1011" i="10" a="1"/>
  <c r="BI1011" i="10"/>
  <c r="BO1011" i="10"/>
  <c r="BW1011" i="10"/>
  <c r="CD1011" i="10" a="1"/>
  <c r="CD1011" i="10" s="1"/>
  <c r="CK1011" i="10"/>
  <c r="CS1011" i="10"/>
  <c r="A1012" i="10"/>
  <c r="F1012" i="10"/>
  <c r="AD1012" i="10"/>
  <c r="AH1012" i="10"/>
  <c r="AI1012" i="10"/>
  <c r="AJ1012" i="10"/>
  <c r="BG1012" i="10" s="1"/>
  <c r="AO1012" i="10"/>
  <c r="BE1012" i="10" a="1"/>
  <c r="BE1012" i="10" s="1"/>
  <c r="BI1012" i="10" a="1"/>
  <c r="BI1012" i="10"/>
  <c r="BJ1012" i="10"/>
  <c r="BO1012" i="10"/>
  <c r="BS1012" i="10"/>
  <c r="BW1012" i="10"/>
  <c r="CD1012" i="10" a="1"/>
  <c r="CD1012" i="10" s="1"/>
  <c r="CF1012" i="10"/>
  <c r="CK1012" i="10"/>
  <c r="CO1012" i="10"/>
  <c r="CS1012" i="10"/>
  <c r="F1013" i="10"/>
  <c r="AD1013" i="10"/>
  <c r="AH1013" i="10"/>
  <c r="BS1013" i="10" s="1"/>
  <c r="AI1013" i="10"/>
  <c r="AJ1013" i="10"/>
  <c r="BH1013" i="10"/>
  <c r="BI1013" i="10" a="1"/>
  <c r="BI1013" i="10" s="1"/>
  <c r="BO1013" i="10"/>
  <c r="F1014" i="10"/>
  <c r="AD1014" i="10"/>
  <c r="AH1014" i="10"/>
  <c r="CO1014" i="10" s="1"/>
  <c r="AI1014" i="10"/>
  <c r="AJ1014" i="10"/>
  <c r="BG1014" i="10" s="1"/>
  <c r="BI1014" i="10" a="1"/>
  <c r="BI1014" i="10"/>
  <c r="BO1014" i="10"/>
  <c r="BW1014" i="10"/>
  <c r="CD1014" i="10" a="1"/>
  <c r="CD1014" i="10" s="1"/>
  <c r="CK1014" i="10"/>
  <c r="F1015" i="10"/>
  <c r="AD1015" i="10"/>
  <c r="AH1015" i="10"/>
  <c r="AO1015" i="10" s="1"/>
  <c r="AI1015" i="10"/>
  <c r="AJ1015" i="10"/>
  <c r="BG1015" i="10" s="1"/>
  <c r="BE1015" i="10" a="1"/>
  <c r="BE1015" i="10" s="1"/>
  <c r="BI1015" i="10" a="1"/>
  <c r="BI1015" i="10"/>
  <c r="BO1015" i="10"/>
  <c r="BW1015" i="10"/>
  <c r="CD1015" i="10" a="1"/>
  <c r="CD1015" i="10" s="1"/>
  <c r="CK1015" i="10"/>
  <c r="CS1015" i="10"/>
  <c r="A1016" i="10"/>
  <c r="F1016" i="10"/>
  <c r="AD1016" i="10"/>
  <c r="AH1016" i="10"/>
  <c r="AI1016" i="10"/>
  <c r="AJ1016" i="10"/>
  <c r="BG1016" i="10" s="1"/>
  <c r="AO1016" i="10"/>
  <c r="BE1016" i="10" a="1"/>
  <c r="BE1016" i="10" s="1"/>
  <c r="BI1016" i="10" a="1"/>
  <c r="BI1016" i="10"/>
  <c r="BJ1016" i="10"/>
  <c r="BO1016" i="10"/>
  <c r="BS1016" i="10"/>
  <c r="BW1016" i="10"/>
  <c r="CD1016" i="10" a="1"/>
  <c r="CD1016" i="10" s="1"/>
  <c r="CF1016" i="10"/>
  <c r="CK1016" i="10"/>
  <c r="CO1016" i="10"/>
  <c r="CS1016" i="10"/>
  <c r="F1017" i="10"/>
  <c r="AD1017" i="10"/>
  <c r="AH1017" i="10"/>
  <c r="BS1017" i="10" s="1"/>
  <c r="AI1017" i="10"/>
  <c r="AJ1017" i="10"/>
  <c r="BH1017" i="10"/>
  <c r="BI1017" i="10" a="1"/>
  <c r="BI1017" i="10" s="1"/>
  <c r="F1018" i="10"/>
  <c r="AD1018" i="10"/>
  <c r="AH1018" i="10"/>
  <c r="CO1018" i="10" s="1"/>
  <c r="AI1018" i="10"/>
  <c r="AJ1018" i="10"/>
  <c r="BG1018" i="10" s="1"/>
  <c r="BI1018" i="10" a="1"/>
  <c r="BI1018" i="10"/>
  <c r="BW1018" i="10"/>
  <c r="CD1018" i="10" a="1"/>
  <c r="CD1018" i="10" s="1"/>
  <c r="CK1018" i="10"/>
  <c r="F1019" i="10"/>
  <c r="AD1019" i="10"/>
  <c r="AH1019" i="10"/>
  <c r="AO1019" i="10" s="1"/>
  <c r="AI1019" i="10"/>
  <c r="AJ1019" i="10"/>
  <c r="BG1019" i="10" s="1"/>
  <c r="BE1019" i="10" a="1"/>
  <c r="BE1019" i="10" s="1"/>
  <c r="BI1019" i="10" a="1"/>
  <c r="BI1019" i="10"/>
  <c r="BO1019" i="10"/>
  <c r="BW1019" i="10"/>
  <c r="CD1019" i="10" a="1"/>
  <c r="CD1019" i="10" s="1"/>
  <c r="CK1019" i="10"/>
  <c r="CS1019" i="10"/>
  <c r="A1020" i="10"/>
  <c r="F1020" i="10"/>
  <c r="AD1020" i="10"/>
  <c r="AH1020" i="10"/>
  <c r="AI1020" i="10"/>
  <c r="AJ1020" i="10"/>
  <c r="BG1020" i="10" s="1"/>
  <c r="AO1020" i="10"/>
  <c r="BE1020" i="10" a="1"/>
  <c r="BE1020" i="10" s="1"/>
  <c r="BI1020" i="10" a="1"/>
  <c r="BI1020" i="10"/>
  <c r="BJ1020" i="10"/>
  <c r="BO1020" i="10"/>
  <c r="BS1020" i="10"/>
  <c r="BW1020" i="10"/>
  <c r="CD1020" i="10" a="1"/>
  <c r="CD1020" i="10" s="1"/>
  <c r="CF1020" i="10"/>
  <c r="CK1020" i="10"/>
  <c r="CO1020" i="10"/>
  <c r="CS1020" i="10"/>
  <c r="F1021" i="10"/>
  <c r="AD1021" i="10"/>
  <c r="AH1021" i="10"/>
  <c r="BS1021" i="10" s="1"/>
  <c r="AI1021" i="10"/>
  <c r="AJ1021" i="10"/>
  <c r="BH1021" i="10"/>
  <c r="BI1021" i="10" a="1"/>
  <c r="BI1021" i="10" s="1"/>
  <c r="F1022" i="10"/>
  <c r="AD1022" i="10"/>
  <c r="AH1022" i="10"/>
  <c r="CO1022" i="10" s="1"/>
  <c r="AI1022" i="10"/>
  <c r="AJ1022" i="10"/>
  <c r="BG1022" i="10" s="1"/>
  <c r="BI1022" i="10" a="1"/>
  <c r="BI1022" i="10"/>
  <c r="BO1022" i="10"/>
  <c r="BW1022" i="10"/>
  <c r="CD1022" i="10" a="1"/>
  <c r="CD1022" i="10" s="1"/>
  <c r="CK1022" i="10"/>
  <c r="F15" i="10" a="1"/>
  <c r="F15" i="10" s="1"/>
  <c r="D6" i="10"/>
  <c r="D5"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23" i="10"/>
  <c r="BI122" i="10" a="1"/>
  <c r="BI122" i="10" s="1"/>
  <c r="AJ122" i="10"/>
  <c r="BH122" i="10" s="1"/>
  <c r="AI122" i="10"/>
  <c r="AH122" i="10"/>
  <c r="BI121" i="10" a="1"/>
  <c r="BI121" i="10" s="1"/>
  <c r="AJ121" i="10"/>
  <c r="BG121" i="10" s="1"/>
  <c r="AI121" i="10"/>
  <c r="AH121" i="10"/>
  <c r="CS121" i="10" s="1"/>
  <c r="BI120" i="10" a="1"/>
  <c r="BI120" i="10" s="1"/>
  <c r="AJ120" i="10"/>
  <c r="BH120" i="10" s="1"/>
  <c r="AI120" i="10"/>
  <c r="AH120" i="10"/>
  <c r="CK120" i="10" s="1"/>
  <c r="BI119" i="10" a="1"/>
  <c r="BI119" i="10" s="1"/>
  <c r="AJ119" i="10"/>
  <c r="BH119" i="10" s="1"/>
  <c r="AI119" i="10"/>
  <c r="AH119" i="10"/>
  <c r="BO119" i="10" s="1"/>
  <c r="BI118" i="10" a="1"/>
  <c r="BI118" i="10" s="1"/>
  <c r="AJ118" i="10"/>
  <c r="BH118" i="10" s="1"/>
  <c r="AI118" i="10"/>
  <c r="AH118" i="10"/>
  <c r="BI117" i="10" a="1"/>
  <c r="BI117" i="10" s="1"/>
  <c r="BH117" i="10"/>
  <c r="AJ117" i="10"/>
  <c r="AI117" i="10"/>
  <c r="AH117" i="10"/>
  <c r="BI116" i="10" a="1"/>
  <c r="BI116" i="10" s="1"/>
  <c r="AJ116" i="10"/>
  <c r="BH116" i="10" s="1"/>
  <c r="AI116" i="10"/>
  <c r="AH116" i="10"/>
  <c r="BW116" i="10" s="1"/>
  <c r="BI115" i="10" a="1"/>
  <c r="BI115" i="10" s="1"/>
  <c r="AJ115" i="10"/>
  <c r="BH115" i="10" s="1"/>
  <c r="AI115" i="10"/>
  <c r="AH115" i="10"/>
  <c r="CS115" i="10" s="1"/>
  <c r="BI114" i="10" a="1"/>
  <c r="BI114" i="10" s="1"/>
  <c r="AJ114" i="10"/>
  <c r="AI114" i="10"/>
  <c r="AH114" i="10"/>
  <c r="CK114" i="10" s="1"/>
  <c r="BI113" i="10" a="1"/>
  <c r="BI113" i="10" s="1"/>
  <c r="AJ113" i="10"/>
  <c r="AI113" i="10"/>
  <c r="AH113" i="10"/>
  <c r="CS113" i="10" s="1"/>
  <c r="BI112" i="10" a="1"/>
  <c r="BI112" i="10" s="1"/>
  <c r="AJ112" i="10"/>
  <c r="AI112" i="10"/>
  <c r="AH112" i="10"/>
  <c r="BW112" i="10" s="1"/>
  <c r="BI111" i="10" a="1"/>
  <c r="BI111" i="10" s="1"/>
  <c r="AJ111" i="10"/>
  <c r="BH111" i="10" s="1"/>
  <c r="AI111" i="10"/>
  <c r="AH111" i="10"/>
  <c r="BI110" i="10" a="1"/>
  <c r="BI110" i="10" s="1"/>
  <c r="AJ110" i="10"/>
  <c r="BH110" i="10" s="1"/>
  <c r="AI110" i="10"/>
  <c r="AH110" i="10"/>
  <c r="BO110" i="10" s="1"/>
  <c r="BI109" i="10" a="1"/>
  <c r="BI109" i="10" s="1"/>
  <c r="AJ109" i="10"/>
  <c r="BH109" i="10" s="1"/>
  <c r="AI109" i="10"/>
  <c r="AH109" i="10"/>
  <c r="BI108" i="10" a="1"/>
  <c r="BI108" i="10" s="1"/>
  <c r="AJ108" i="10"/>
  <c r="AI108" i="10"/>
  <c r="AH108" i="10"/>
  <c r="CS108" i="10" s="1"/>
  <c r="BI107" i="10" a="1"/>
  <c r="BI107" i="10" s="1"/>
  <c r="AJ107" i="10"/>
  <c r="BH107" i="10" s="1"/>
  <c r="AI107" i="10"/>
  <c r="AH107" i="10"/>
  <c r="BI106" i="10" a="1"/>
  <c r="BI106" i="10" s="1"/>
  <c r="AJ106" i="10"/>
  <c r="BH106" i="10" s="1"/>
  <c r="AI106" i="10"/>
  <c r="AH106" i="10"/>
  <c r="BO106" i="10" s="1"/>
  <c r="BI105" i="10" a="1"/>
  <c r="BI105" i="10" s="1"/>
  <c r="AJ105" i="10"/>
  <c r="BH105" i="10" s="1"/>
  <c r="AI105" i="10"/>
  <c r="AH105" i="10"/>
  <c r="BW105" i="10" s="1"/>
  <c r="BI104" i="10" a="1"/>
  <c r="BI104" i="10" s="1"/>
  <c r="AJ104" i="10"/>
  <c r="BH104" i="10" s="1"/>
  <c r="AI104" i="10"/>
  <c r="AH104" i="10"/>
  <c r="CF104" i="10" s="1"/>
  <c r="BI103" i="10" a="1"/>
  <c r="BI103" i="10" s="1"/>
  <c r="BH103" i="10"/>
  <c r="AJ103" i="10"/>
  <c r="AI103" i="10"/>
  <c r="AH103" i="10"/>
  <c r="CS103" i="10" s="1"/>
  <c r="CF102" i="10"/>
  <c r="BI102" i="10" a="1"/>
  <c r="BI102" i="10" s="1"/>
  <c r="BE102" i="10" a="1"/>
  <c r="BE102" i="10" s="1"/>
  <c r="BF102" i="10" s="1"/>
  <c r="AJ102" i="10"/>
  <c r="AI102" i="10"/>
  <c r="AH102" i="10"/>
  <c r="BO102" i="10" s="1"/>
  <c r="BI101" i="10" a="1"/>
  <c r="BI101" i="10" s="1"/>
  <c r="AJ101" i="10"/>
  <c r="AI101" i="10"/>
  <c r="AH101" i="10"/>
  <c r="CD101" i="10" s="1" a="1"/>
  <c r="CD101" i="10" s="1"/>
  <c r="BI100" i="10" a="1"/>
  <c r="BI100" i="10" s="1"/>
  <c r="AJ100" i="10"/>
  <c r="BH100" i="10" s="1"/>
  <c r="AI100" i="10"/>
  <c r="AH100" i="10"/>
  <c r="BI99" i="10" a="1"/>
  <c r="BI99" i="10" s="1"/>
  <c r="BH99" i="10"/>
  <c r="AJ99" i="10"/>
  <c r="AI99" i="10"/>
  <c r="AH99" i="10"/>
  <c r="BS99" i="10" s="1"/>
  <c r="BI98" i="10" a="1"/>
  <c r="BI98" i="10" s="1"/>
  <c r="AJ98" i="10"/>
  <c r="BH98" i="10" s="1"/>
  <c r="AI98" i="10"/>
  <c r="AH98" i="10"/>
  <c r="BJ97" i="10"/>
  <c r="BI97" i="10" a="1"/>
  <c r="BI97" i="10" s="1"/>
  <c r="AJ97" i="10"/>
  <c r="BH97" i="10" s="1"/>
  <c r="AI97" i="10"/>
  <c r="AH97" i="10"/>
  <c r="AO97" i="10" s="1"/>
  <c r="BI96" i="10" a="1"/>
  <c r="BI96" i="10" s="1"/>
  <c r="AJ96" i="10"/>
  <c r="BH96" i="10" s="1"/>
  <c r="AI96" i="10"/>
  <c r="AH96" i="10"/>
  <c r="BI95" i="10" a="1"/>
  <c r="BI95" i="10" s="1"/>
  <c r="AJ95" i="10"/>
  <c r="BH95" i="10" s="1"/>
  <c r="AI95" i="10"/>
  <c r="AH95" i="10"/>
  <c r="CS95" i="10" s="1"/>
  <c r="BI94" i="10" a="1"/>
  <c r="BI94" i="10" s="1"/>
  <c r="AJ94" i="10"/>
  <c r="AI94" i="10"/>
  <c r="AH94" i="10"/>
  <c r="BI93" i="10" a="1"/>
  <c r="BI93" i="10" s="1"/>
  <c r="AJ93" i="10"/>
  <c r="BH93" i="10" s="1"/>
  <c r="AI93" i="10"/>
  <c r="AH93" i="10"/>
  <c r="BE93" i="10" s="1" a="1"/>
  <c r="BE93" i="10" s="1"/>
  <c r="BI92" i="10" a="1"/>
  <c r="BI92" i="10" s="1"/>
  <c r="AJ92" i="10"/>
  <c r="AI92" i="10"/>
  <c r="AH92" i="10"/>
  <c r="BO92" i="10" s="1"/>
  <c r="BI91" i="10" a="1"/>
  <c r="BI91" i="10" s="1"/>
  <c r="AJ91" i="10"/>
  <c r="BH91" i="10" s="1"/>
  <c r="AI91" i="10"/>
  <c r="AH91" i="10"/>
  <c r="BI90" i="10" a="1"/>
  <c r="BI90" i="10" s="1"/>
  <c r="AJ90" i="10"/>
  <c r="AI90" i="10"/>
  <c r="AH90" i="10"/>
  <c r="BI89" i="10" a="1"/>
  <c r="BI89" i="10" s="1"/>
  <c r="AJ89" i="10"/>
  <c r="AI89" i="10"/>
  <c r="AH89" i="10"/>
  <c r="BS89" i="10" s="1"/>
  <c r="BI88" i="10" a="1"/>
  <c r="BI88" i="10" s="1"/>
  <c r="AJ88" i="10"/>
  <c r="BH88" i="10" s="1"/>
  <c r="AI88" i="10"/>
  <c r="AH88" i="10"/>
  <c r="BO88" i="10" s="1"/>
  <c r="BI87" i="10" a="1"/>
  <c r="BI87" i="10" s="1"/>
  <c r="AJ87" i="10"/>
  <c r="AI87" i="10"/>
  <c r="AH87" i="10"/>
  <c r="BI86" i="10" a="1"/>
  <c r="BI86" i="10" s="1"/>
  <c r="AJ86" i="10"/>
  <c r="BH86" i="10" s="1"/>
  <c r="AI86" i="10"/>
  <c r="AH86" i="10"/>
  <c r="BJ86" i="10" s="1"/>
  <c r="BI85" i="10" a="1"/>
  <c r="BI85" i="10" s="1"/>
  <c r="AJ85" i="10"/>
  <c r="BH85" i="10" s="1"/>
  <c r="AI85" i="10"/>
  <c r="AH85" i="10"/>
  <c r="BJ85" i="10" s="1"/>
  <c r="A85" i="10"/>
  <c r="CO84" i="10"/>
  <c r="BI84" i="10" a="1"/>
  <c r="BI84" i="10" s="1"/>
  <c r="AJ84" i="10"/>
  <c r="AI84" i="10"/>
  <c r="AH84" i="10"/>
  <c r="BO84" i="10" s="1"/>
  <c r="BI83" i="10" a="1"/>
  <c r="BI83" i="10" s="1"/>
  <c r="AJ83" i="10"/>
  <c r="AI83" i="10"/>
  <c r="AH83" i="10"/>
  <c r="CS83" i="10" s="1"/>
  <c r="BI82" i="10" a="1"/>
  <c r="BI82" i="10" s="1"/>
  <c r="BA82" i="10" a="1"/>
  <c r="BA82" i="10" s="1"/>
  <c r="AZ82" i="10" a="1"/>
  <c r="AZ82" i="10" s="1"/>
  <c r="AY82" i="10" a="1"/>
  <c r="AY82" i="10" s="1"/>
  <c r="AX82" i="10" a="1"/>
  <c r="AX82" i="10" s="1"/>
  <c r="AW82" i="10" a="1"/>
  <c r="AW82" i="10" s="1"/>
  <c r="AV82" i="10"/>
  <c r="AU82" i="10"/>
  <c r="AJ82" i="10"/>
  <c r="BH82" i="10" s="1"/>
  <c r="AI82" i="10"/>
  <c r="AH82" i="10"/>
  <c r="CD82" i="10" s="1" a="1"/>
  <c r="CD82" i="10" s="1"/>
  <c r="CK81" i="10"/>
  <c r="CD81" i="10" a="1"/>
  <c r="CD81" i="10" s="1"/>
  <c r="BI81" i="10" a="1"/>
  <c r="BI81" i="10" s="1"/>
  <c r="BA81" i="10" a="1"/>
  <c r="BA81" i="10" s="1"/>
  <c r="AZ81" i="10" a="1"/>
  <c r="AZ81" i="10" s="1"/>
  <c r="AY81" i="10" a="1"/>
  <c r="AY81" i="10" s="1"/>
  <c r="AX81" i="10" a="1"/>
  <c r="AX81" i="10" s="1"/>
  <c r="AW81" i="10" a="1"/>
  <c r="AW81" i="10" s="1"/>
  <c r="AV81" i="10"/>
  <c r="AU81" i="10"/>
  <c r="AJ81" i="10"/>
  <c r="BH81" i="10" s="1"/>
  <c r="AI81" i="10"/>
  <c r="AH81" i="10"/>
  <c r="BO81" i="10" s="1"/>
  <c r="BI80" i="10" a="1"/>
  <c r="BI80" i="10" s="1"/>
  <c r="BA80" i="10" a="1"/>
  <c r="BA80" i="10" s="1"/>
  <c r="AZ80" i="10" a="1"/>
  <c r="AZ80" i="10" s="1"/>
  <c r="AY80" i="10" a="1"/>
  <c r="AY80" i="10" s="1"/>
  <c r="AX80" i="10" a="1"/>
  <c r="AX80" i="10" s="1"/>
  <c r="AW80" i="10" a="1"/>
  <c r="AW80" i="10" s="1"/>
  <c r="AV80" i="10"/>
  <c r="AU80" i="10"/>
  <c r="AJ80" i="10"/>
  <c r="BH80" i="10" s="1"/>
  <c r="AI80" i="10"/>
  <c r="AH80" i="10"/>
  <c r="BJ80" i="10" s="1"/>
  <c r="BI79" i="10" a="1"/>
  <c r="BI79" i="10" s="1"/>
  <c r="BA79" i="10" a="1"/>
  <c r="BA79" i="10" s="1"/>
  <c r="AZ79" i="10" a="1"/>
  <c r="AZ79" i="10" s="1"/>
  <c r="AY79" i="10" a="1"/>
  <c r="AY79" i="10" s="1"/>
  <c r="AX79" i="10" a="1"/>
  <c r="AX79" i="10" s="1"/>
  <c r="AW79" i="10" a="1"/>
  <c r="AW79" i="10" s="1"/>
  <c r="AV79" i="10"/>
  <c r="AU79" i="10"/>
  <c r="AJ79" i="10"/>
  <c r="AI79" i="10"/>
  <c r="AH79" i="10"/>
  <c r="CS79" i="10" s="1"/>
  <c r="BI78" i="10" a="1"/>
  <c r="BI78" i="10" s="1"/>
  <c r="BA78" i="10" a="1"/>
  <c r="BA78" i="10" s="1"/>
  <c r="AZ78" i="10" a="1"/>
  <c r="AZ78" i="10" s="1"/>
  <c r="AY78" i="10" a="1"/>
  <c r="AY78" i="10" s="1"/>
  <c r="AX78" i="10" a="1"/>
  <c r="AX78" i="10" s="1"/>
  <c r="AW78" i="10" a="1"/>
  <c r="AW78" i="10" s="1"/>
  <c r="AV78" i="10"/>
  <c r="AU78" i="10"/>
  <c r="AJ78" i="10"/>
  <c r="BH78" i="10" s="1"/>
  <c r="AI78" i="10"/>
  <c r="AH78" i="10"/>
  <c r="BI77" i="10" a="1"/>
  <c r="BI77" i="10" s="1"/>
  <c r="BA77" i="10" a="1"/>
  <c r="BA77" i="10" s="1"/>
  <c r="AZ77" i="10" a="1"/>
  <c r="AZ77" i="10" s="1"/>
  <c r="AY77" i="10" a="1"/>
  <c r="AY77" i="10" s="1"/>
  <c r="AX77" i="10" a="1"/>
  <c r="AX77" i="10" s="1"/>
  <c r="AW77" i="10" a="1"/>
  <c r="AW77" i="10" s="1"/>
  <c r="AV77" i="10"/>
  <c r="AU77" i="10"/>
  <c r="AJ77" i="10"/>
  <c r="AI77" i="10"/>
  <c r="AH77" i="10"/>
  <c r="CS77" i="10" s="1"/>
  <c r="BI76" i="10" a="1"/>
  <c r="BI76" i="10" s="1"/>
  <c r="BA76" i="10" a="1"/>
  <c r="BA76" i="10" s="1"/>
  <c r="AZ76" i="10" a="1"/>
  <c r="AZ76" i="10" s="1"/>
  <c r="AY76" i="10" a="1"/>
  <c r="AY76" i="10" s="1"/>
  <c r="AX76" i="10" a="1"/>
  <c r="AX76" i="10" s="1"/>
  <c r="AW76" i="10" a="1"/>
  <c r="AW76" i="10" s="1"/>
  <c r="AV76" i="10"/>
  <c r="AU76" i="10"/>
  <c r="AJ76" i="10"/>
  <c r="BH76" i="10" s="1"/>
  <c r="AI76" i="10"/>
  <c r="AH76" i="10"/>
  <c r="CF76" i="10" s="1"/>
  <c r="BI75" i="10" a="1"/>
  <c r="BI75" i="10" s="1"/>
  <c r="BA75" i="10" a="1"/>
  <c r="BA75" i="10" s="1"/>
  <c r="AZ75" i="10" a="1"/>
  <c r="AZ75" i="10" s="1"/>
  <c r="AY75" i="10" a="1"/>
  <c r="AY75" i="10" s="1"/>
  <c r="AX75" i="10" a="1"/>
  <c r="AX75" i="10" s="1"/>
  <c r="AW75" i="10" a="1"/>
  <c r="AW75" i="10" s="1"/>
  <c r="AV75" i="10"/>
  <c r="AU75" i="10"/>
  <c r="AJ75" i="10"/>
  <c r="BH75" i="10" s="1"/>
  <c r="AI75" i="10"/>
  <c r="AH75" i="10"/>
  <c r="CS75" i="10" s="1"/>
  <c r="BI74" i="10" a="1"/>
  <c r="BI74" i="10" s="1"/>
  <c r="BA74" i="10" a="1"/>
  <c r="BA74" i="10" s="1"/>
  <c r="AZ74" i="10" a="1"/>
  <c r="AZ74" i="10" s="1"/>
  <c r="AY74" i="10" a="1"/>
  <c r="AY74" i="10" s="1"/>
  <c r="AX74" i="10" a="1"/>
  <c r="AX74" i="10" s="1"/>
  <c r="AW74" i="10" a="1"/>
  <c r="AW74" i="10" s="1"/>
  <c r="AV74" i="10"/>
  <c r="AU74" i="10"/>
  <c r="AJ74" i="10"/>
  <c r="BH74" i="10" s="1"/>
  <c r="AI74" i="10"/>
  <c r="AH74" i="10"/>
  <c r="CS74" i="10" s="1"/>
  <c r="BI73" i="10" a="1"/>
  <c r="BI73" i="10" s="1"/>
  <c r="BA73" i="10" a="1"/>
  <c r="BA73" i="10" s="1"/>
  <c r="AZ73" i="10" a="1"/>
  <c r="AZ73" i="10" s="1"/>
  <c r="AY73" i="10" a="1"/>
  <c r="AY73" i="10" s="1"/>
  <c r="AX73" i="10" a="1"/>
  <c r="AX73" i="10" s="1"/>
  <c r="AW73" i="10" a="1"/>
  <c r="AW73" i="10" s="1"/>
  <c r="AV73" i="10"/>
  <c r="AU73" i="10"/>
  <c r="AJ73" i="10"/>
  <c r="BH73" i="10" s="1"/>
  <c r="AI73" i="10"/>
  <c r="AH73" i="10"/>
  <c r="CS73" i="10" s="1"/>
  <c r="BI72" i="10" a="1"/>
  <c r="BI72" i="10" s="1"/>
  <c r="BA72" i="10" a="1"/>
  <c r="BA72" i="10" s="1"/>
  <c r="AZ72" i="10" a="1"/>
  <c r="AZ72" i="10" s="1"/>
  <c r="AY72" i="10" a="1"/>
  <c r="AY72" i="10" s="1"/>
  <c r="AX72" i="10" a="1"/>
  <c r="AX72" i="10" s="1"/>
  <c r="AW72" i="10" a="1"/>
  <c r="AW72" i="10" s="1"/>
  <c r="AV72" i="10"/>
  <c r="AU72" i="10"/>
  <c r="AJ72" i="10"/>
  <c r="BH72" i="10" s="1"/>
  <c r="AI72" i="10"/>
  <c r="AH72" i="10"/>
  <c r="BI71" i="10" a="1"/>
  <c r="BI71" i="10" s="1"/>
  <c r="BA71" i="10" a="1"/>
  <c r="BA71" i="10" s="1"/>
  <c r="AZ71" i="10" a="1"/>
  <c r="AZ71" i="10" s="1"/>
  <c r="AY71" i="10" a="1"/>
  <c r="AY71" i="10" s="1"/>
  <c r="AX71" i="10" a="1"/>
  <c r="AX71" i="10" s="1"/>
  <c r="AW71" i="10" a="1"/>
  <c r="AW71" i="10" s="1"/>
  <c r="AV71" i="10"/>
  <c r="AU71" i="10"/>
  <c r="AJ71" i="10"/>
  <c r="AI71" i="10"/>
  <c r="AH71" i="10"/>
  <c r="BI70" i="10" a="1"/>
  <c r="BI70" i="10" s="1"/>
  <c r="BA70" i="10" a="1"/>
  <c r="BA70" i="10" s="1"/>
  <c r="AZ70" i="10" a="1"/>
  <c r="AZ70" i="10" s="1"/>
  <c r="AY70" i="10" a="1"/>
  <c r="AY70" i="10" s="1"/>
  <c r="AX70" i="10" a="1"/>
  <c r="AX70" i="10" s="1"/>
  <c r="AW70" i="10" a="1"/>
  <c r="AW70" i="10" s="1"/>
  <c r="AV70" i="10"/>
  <c r="AU70" i="10"/>
  <c r="AJ70" i="10"/>
  <c r="BH70" i="10" s="1"/>
  <c r="AI70" i="10"/>
  <c r="AH70" i="10"/>
  <c r="BS70" i="10" s="1"/>
  <c r="BI69" i="10" a="1"/>
  <c r="BI69" i="10" s="1"/>
  <c r="BA69" i="10" a="1"/>
  <c r="BA69" i="10" s="1"/>
  <c r="AZ69" i="10" a="1"/>
  <c r="AZ69" i="10" s="1"/>
  <c r="AY69" i="10" a="1"/>
  <c r="AY69" i="10" s="1"/>
  <c r="AX69" i="10" a="1"/>
  <c r="AX69" i="10" s="1"/>
  <c r="AW69" i="10" a="1"/>
  <c r="AW69" i="10" s="1"/>
  <c r="AV69" i="10"/>
  <c r="AU69" i="10"/>
  <c r="AJ69" i="10"/>
  <c r="AI69" i="10"/>
  <c r="AH69" i="10"/>
  <c r="CS69" i="10" s="1"/>
  <c r="BI68" i="10" a="1"/>
  <c r="BI68" i="10" s="1"/>
  <c r="BA68" i="10" a="1"/>
  <c r="BA68" i="10" s="1"/>
  <c r="AZ68" i="10" a="1"/>
  <c r="AZ68" i="10" s="1"/>
  <c r="AY68" i="10" a="1"/>
  <c r="AY68" i="10" s="1"/>
  <c r="AX68" i="10" a="1"/>
  <c r="AX68" i="10" s="1"/>
  <c r="AW68" i="10" a="1"/>
  <c r="AW68" i="10" s="1"/>
  <c r="AV68" i="10"/>
  <c r="AU68" i="10"/>
  <c r="AJ68" i="10"/>
  <c r="BH68" i="10" s="1"/>
  <c r="AI68" i="10"/>
  <c r="AH68" i="10"/>
  <c r="CS68" i="10" s="1"/>
  <c r="BI67" i="10" a="1"/>
  <c r="BI67" i="10" s="1"/>
  <c r="BA67" i="10" a="1"/>
  <c r="BA67" i="10" s="1"/>
  <c r="AZ67" i="10" a="1"/>
  <c r="AZ67" i="10" s="1"/>
  <c r="AY67" i="10" a="1"/>
  <c r="AY67" i="10" s="1"/>
  <c r="AX67" i="10" a="1"/>
  <c r="AX67" i="10" s="1"/>
  <c r="AW67" i="10" a="1"/>
  <c r="AW67" i="10" s="1"/>
  <c r="AV67" i="10"/>
  <c r="AU67" i="10"/>
  <c r="AJ67" i="10"/>
  <c r="AI67" i="10"/>
  <c r="AH67" i="10"/>
  <c r="BO67" i="10" s="1"/>
  <c r="BI66" i="10" a="1"/>
  <c r="BI66" i="10" s="1"/>
  <c r="BA66" i="10" a="1"/>
  <c r="BA66" i="10" s="1"/>
  <c r="AZ66" i="10" a="1"/>
  <c r="AZ66" i="10" s="1"/>
  <c r="AY66" i="10" a="1"/>
  <c r="AY66" i="10" s="1"/>
  <c r="AX66" i="10" a="1"/>
  <c r="AX66" i="10" s="1"/>
  <c r="AW66" i="10" a="1"/>
  <c r="AW66" i="10" s="1"/>
  <c r="AV66" i="10"/>
  <c r="AU66" i="10"/>
  <c r="AJ66" i="10"/>
  <c r="BH66" i="10" s="1"/>
  <c r="AI66" i="10"/>
  <c r="AH66" i="10"/>
  <c r="CS66" i="10" s="1"/>
  <c r="BI65" i="10" a="1"/>
  <c r="BI65" i="10" s="1"/>
  <c r="BA65" i="10" a="1"/>
  <c r="BA65" i="10" s="1"/>
  <c r="AZ65" i="10" a="1"/>
  <c r="AZ65" i="10" s="1"/>
  <c r="AY65" i="10" a="1"/>
  <c r="AY65" i="10" s="1"/>
  <c r="AX65" i="10" a="1"/>
  <c r="AX65" i="10" s="1"/>
  <c r="AW65" i="10" a="1"/>
  <c r="AW65" i="10" s="1"/>
  <c r="AV65" i="10"/>
  <c r="AU65" i="10"/>
  <c r="AJ65" i="10"/>
  <c r="BH65" i="10" s="1"/>
  <c r="AI65" i="10"/>
  <c r="AH65" i="10"/>
  <c r="CS65" i="10" s="1"/>
  <c r="A65" i="10"/>
  <c r="BI64" i="10" a="1"/>
  <c r="BI64" i="10" s="1"/>
  <c r="BA64" i="10" a="1"/>
  <c r="BA64" i="10" s="1"/>
  <c r="AZ64" i="10" a="1"/>
  <c r="AZ64" i="10" s="1"/>
  <c r="AY64" i="10" a="1"/>
  <c r="AY64" i="10" s="1"/>
  <c r="AX64" i="10" a="1"/>
  <c r="AX64" i="10" s="1"/>
  <c r="AW64" i="10" a="1"/>
  <c r="AW64" i="10" s="1"/>
  <c r="AV64" i="10"/>
  <c r="AU64" i="10"/>
  <c r="AJ64" i="10"/>
  <c r="BH64" i="10" s="1"/>
  <c r="AI64" i="10"/>
  <c r="AH64" i="10"/>
  <c r="BI63" i="10" a="1"/>
  <c r="BI63" i="10" s="1"/>
  <c r="BA63" i="10" a="1"/>
  <c r="BA63" i="10" s="1"/>
  <c r="AZ63" i="10" a="1"/>
  <c r="AZ63" i="10" s="1"/>
  <c r="AY63" i="10" a="1"/>
  <c r="AY63" i="10" s="1"/>
  <c r="AX63" i="10" a="1"/>
  <c r="AX63" i="10" s="1"/>
  <c r="AW63" i="10" a="1"/>
  <c r="AW63" i="10" s="1"/>
  <c r="AV63" i="10"/>
  <c r="AU63" i="10"/>
  <c r="AJ63" i="10"/>
  <c r="AI63" i="10"/>
  <c r="AH63" i="10"/>
  <c r="CK63" i="10" s="1"/>
  <c r="BI62" i="10" a="1"/>
  <c r="BI62" i="10" s="1"/>
  <c r="BA62" i="10" a="1"/>
  <c r="BA62" i="10" s="1"/>
  <c r="AZ62" i="10" a="1"/>
  <c r="AZ62" i="10" s="1"/>
  <c r="AY62" i="10" a="1"/>
  <c r="AY62" i="10" s="1"/>
  <c r="AX62" i="10" a="1"/>
  <c r="AX62" i="10" s="1"/>
  <c r="AW62" i="10" a="1"/>
  <c r="AW62" i="10" s="1"/>
  <c r="AV62" i="10"/>
  <c r="AU62" i="10"/>
  <c r="AJ62" i="10"/>
  <c r="AI62" i="10"/>
  <c r="AH62" i="10"/>
  <c r="BI61" i="10" a="1"/>
  <c r="BI61" i="10" s="1"/>
  <c r="BA61" i="10" a="1"/>
  <c r="BA61" i="10" s="1"/>
  <c r="AZ61" i="10" a="1"/>
  <c r="AZ61" i="10" s="1"/>
  <c r="AY61" i="10" a="1"/>
  <c r="AY61" i="10" s="1"/>
  <c r="AX61" i="10" a="1"/>
  <c r="AX61" i="10" s="1"/>
  <c r="AW61" i="10" a="1"/>
  <c r="AW61" i="10" s="1"/>
  <c r="AV61" i="10"/>
  <c r="AU61" i="10"/>
  <c r="AJ61" i="10"/>
  <c r="AI61" i="10"/>
  <c r="AH61" i="10"/>
  <c r="BJ61" i="10" s="1"/>
  <c r="BI60" i="10" a="1"/>
  <c r="BI60" i="10" s="1"/>
  <c r="BA60" i="10" a="1"/>
  <c r="BA60" i="10" s="1"/>
  <c r="AZ60" i="10" a="1"/>
  <c r="AZ60" i="10" s="1"/>
  <c r="AY60" i="10" a="1"/>
  <c r="AY60" i="10" s="1"/>
  <c r="AX60" i="10" a="1"/>
  <c r="AX60" i="10" s="1"/>
  <c r="AW60" i="10" a="1"/>
  <c r="AW60" i="10" s="1"/>
  <c r="AV60" i="10"/>
  <c r="AU60" i="10"/>
  <c r="AJ60" i="10"/>
  <c r="BH60" i="10" s="1"/>
  <c r="AI60" i="10"/>
  <c r="AH60" i="10"/>
  <c r="CF60" i="10" s="1"/>
  <c r="BI59" i="10" a="1"/>
  <c r="BI59" i="10" s="1"/>
  <c r="BA59" i="10" a="1"/>
  <c r="BA59" i="10" s="1"/>
  <c r="AZ59" i="10" a="1"/>
  <c r="AZ59" i="10" s="1"/>
  <c r="AY59" i="10" a="1"/>
  <c r="AY59" i="10" s="1"/>
  <c r="AX59" i="10" a="1"/>
  <c r="AX59" i="10" s="1"/>
  <c r="AW59" i="10" a="1"/>
  <c r="AW59" i="10" s="1"/>
  <c r="AV59" i="10"/>
  <c r="AU59" i="10"/>
  <c r="AJ59" i="10"/>
  <c r="BH59" i="10" s="1"/>
  <c r="AI59" i="10"/>
  <c r="AH59" i="10"/>
  <c r="BW59" i="10" s="1"/>
  <c r="BI58" i="10" a="1"/>
  <c r="BI58" i="10" s="1"/>
  <c r="BA58" i="10" a="1"/>
  <c r="BA58" i="10" s="1"/>
  <c r="AZ58" i="10" a="1"/>
  <c r="AZ58" i="10" s="1"/>
  <c r="AY58" i="10" a="1"/>
  <c r="AY58" i="10" s="1"/>
  <c r="AX58" i="10" a="1"/>
  <c r="AX58" i="10" s="1"/>
  <c r="AW58" i="10" a="1"/>
  <c r="AW58" i="10" s="1"/>
  <c r="AV58" i="10"/>
  <c r="AU58" i="10"/>
  <c r="AJ58" i="10"/>
  <c r="BH58" i="10" s="1"/>
  <c r="AI58" i="10"/>
  <c r="AH58" i="10"/>
  <c r="BO58" i="10" s="1"/>
  <c r="BI57" i="10" a="1"/>
  <c r="BI57" i="10" s="1"/>
  <c r="BA57" i="10" a="1"/>
  <c r="BA57" i="10" s="1"/>
  <c r="AZ57" i="10" a="1"/>
  <c r="AZ57" i="10" s="1"/>
  <c r="AY57" i="10" a="1"/>
  <c r="AY57" i="10" s="1"/>
  <c r="AX57" i="10" a="1"/>
  <c r="AX57" i="10" s="1"/>
  <c r="AW57" i="10" a="1"/>
  <c r="AW57" i="10" s="1"/>
  <c r="AV57" i="10"/>
  <c r="AU57" i="10"/>
  <c r="AJ57" i="10"/>
  <c r="BH57" i="10" s="1"/>
  <c r="AI57" i="10"/>
  <c r="AH57" i="10"/>
  <c r="CF57" i="10" s="1"/>
  <c r="BI56" i="10" a="1"/>
  <c r="BI56" i="10" s="1"/>
  <c r="BA56" i="10" a="1"/>
  <c r="BA56" i="10" s="1"/>
  <c r="AZ56" i="10" a="1"/>
  <c r="AZ56" i="10" s="1"/>
  <c r="AY56" i="10" a="1"/>
  <c r="AY56" i="10" s="1"/>
  <c r="AX56" i="10" a="1"/>
  <c r="AX56" i="10" s="1"/>
  <c r="AW56" i="10" a="1"/>
  <c r="AW56" i="10" s="1"/>
  <c r="AV56" i="10"/>
  <c r="AU56" i="10"/>
  <c r="AJ56" i="10"/>
  <c r="BH56" i="10" s="1"/>
  <c r="AI56" i="10"/>
  <c r="AH56" i="10"/>
  <c r="CF56" i="10" s="1"/>
  <c r="BI55" i="10" a="1"/>
  <c r="BI55" i="10" s="1"/>
  <c r="BA55" i="10" a="1"/>
  <c r="BA55" i="10" s="1"/>
  <c r="AZ55" i="10" a="1"/>
  <c r="AZ55" i="10" s="1"/>
  <c r="AY55" i="10" a="1"/>
  <c r="AY55" i="10" s="1"/>
  <c r="AX55" i="10" a="1"/>
  <c r="AX55" i="10" s="1"/>
  <c r="AW55" i="10" a="1"/>
  <c r="AW55" i="10" s="1"/>
  <c r="AV55" i="10"/>
  <c r="AU55" i="10"/>
  <c r="AJ55" i="10"/>
  <c r="AI55" i="10"/>
  <c r="AH55" i="10"/>
  <c r="CO55" i="10" s="1"/>
  <c r="BI54" i="10" a="1"/>
  <c r="BI54" i="10" s="1"/>
  <c r="BA54" i="10" a="1"/>
  <c r="BA54" i="10" s="1"/>
  <c r="AZ54" i="10" a="1"/>
  <c r="AZ54" i="10" s="1"/>
  <c r="AY54" i="10" a="1"/>
  <c r="AY54" i="10" s="1"/>
  <c r="AX54" i="10" a="1"/>
  <c r="AX54" i="10" s="1"/>
  <c r="AW54" i="10" a="1"/>
  <c r="AW54" i="10" s="1"/>
  <c r="AV54" i="10"/>
  <c r="AU54" i="10"/>
  <c r="AJ54" i="10"/>
  <c r="BH54" i="10" s="1"/>
  <c r="AI54" i="10"/>
  <c r="AH54" i="10"/>
  <c r="BE54" i="10" s="1" a="1"/>
  <c r="BE54" i="10" s="1"/>
  <c r="BI53" i="10" a="1"/>
  <c r="BI53" i="10" s="1"/>
  <c r="BA53" i="10" a="1"/>
  <c r="BA53" i="10" s="1"/>
  <c r="AZ53" i="10" a="1"/>
  <c r="AZ53" i="10" s="1"/>
  <c r="AY53" i="10" a="1"/>
  <c r="AY53" i="10" s="1"/>
  <c r="AX53" i="10" a="1"/>
  <c r="AX53" i="10" s="1"/>
  <c r="AW53" i="10" a="1"/>
  <c r="AW53" i="10" s="1"/>
  <c r="AV53" i="10"/>
  <c r="AU53" i="10"/>
  <c r="AJ53" i="10"/>
  <c r="AI53" i="10"/>
  <c r="AH53" i="10"/>
  <c r="CS53" i="10" s="1"/>
  <c r="A53" i="10"/>
  <c r="BI52" i="10" a="1"/>
  <c r="BI52" i="10" s="1"/>
  <c r="BA52" i="10" a="1"/>
  <c r="BA52" i="10" s="1"/>
  <c r="AZ52" i="10" a="1"/>
  <c r="AZ52" i="10" s="1"/>
  <c r="AY52" i="10" a="1"/>
  <c r="AY52" i="10" s="1"/>
  <c r="AX52" i="10" a="1"/>
  <c r="AX52" i="10" s="1"/>
  <c r="AW52" i="10" a="1"/>
  <c r="AW52" i="10" s="1"/>
  <c r="AV52" i="10"/>
  <c r="AU52" i="10"/>
  <c r="AJ52" i="10"/>
  <c r="BH52" i="10" s="1"/>
  <c r="AI52" i="10"/>
  <c r="AH52" i="10"/>
  <c r="CK52" i="10" s="1"/>
  <c r="BI51" i="10" a="1"/>
  <c r="BI51" i="10" s="1"/>
  <c r="BA51" i="10" a="1"/>
  <c r="BA51" i="10" s="1"/>
  <c r="AZ51" i="10" a="1"/>
  <c r="AZ51" i="10" s="1"/>
  <c r="AY51" i="10" a="1"/>
  <c r="AY51" i="10" s="1"/>
  <c r="AX51" i="10" a="1"/>
  <c r="AX51" i="10" s="1"/>
  <c r="AW51" i="10" a="1"/>
  <c r="AW51" i="10" s="1"/>
  <c r="AV51" i="10"/>
  <c r="AU51" i="10"/>
  <c r="AJ51" i="10"/>
  <c r="BH51" i="10" s="1"/>
  <c r="AI51" i="10"/>
  <c r="AH51" i="10"/>
  <c r="BI50" i="10" a="1"/>
  <c r="BI50" i="10" s="1"/>
  <c r="BA50" i="10" a="1"/>
  <c r="BA50" i="10" s="1"/>
  <c r="AZ50" i="10" a="1"/>
  <c r="AZ50" i="10" s="1"/>
  <c r="AY50" i="10" a="1"/>
  <c r="AY50" i="10" s="1"/>
  <c r="AX50" i="10" a="1"/>
  <c r="AX50" i="10" s="1"/>
  <c r="AW50" i="10" a="1"/>
  <c r="AW50" i="10" s="1"/>
  <c r="AV50" i="10"/>
  <c r="AU50" i="10"/>
  <c r="AJ50" i="10"/>
  <c r="AI50" i="10"/>
  <c r="AH50" i="10"/>
  <c r="CD50" i="10" s="1" a="1"/>
  <c r="CD50" i="10" s="1"/>
  <c r="BI49" i="10" a="1"/>
  <c r="BI49" i="10" s="1"/>
  <c r="BA49" i="10" a="1"/>
  <c r="BA49" i="10" s="1"/>
  <c r="AZ49" i="10" a="1"/>
  <c r="AZ49" i="10" s="1"/>
  <c r="AY49" i="10" a="1"/>
  <c r="AY49" i="10" s="1"/>
  <c r="AX49" i="10" a="1"/>
  <c r="AX49" i="10" s="1"/>
  <c r="AW49" i="10" a="1"/>
  <c r="AW49" i="10" s="1"/>
  <c r="AV49" i="10"/>
  <c r="AU49" i="10"/>
  <c r="AJ49" i="10"/>
  <c r="BH49" i="10" s="1"/>
  <c r="AI49" i="10"/>
  <c r="AH49" i="10"/>
  <c r="BJ49" i="10" s="1"/>
  <c r="BI48" i="10" a="1"/>
  <c r="BI48" i="10" s="1"/>
  <c r="BA48" i="10" a="1"/>
  <c r="BA48" i="10" s="1"/>
  <c r="AZ48" i="10" a="1"/>
  <c r="AZ48" i="10" s="1"/>
  <c r="AY48" i="10" a="1"/>
  <c r="AY48" i="10" s="1"/>
  <c r="AX48" i="10" a="1"/>
  <c r="AX48" i="10" s="1"/>
  <c r="AW48" i="10" a="1"/>
  <c r="AW48" i="10" s="1"/>
  <c r="AV48" i="10"/>
  <c r="AU48" i="10"/>
  <c r="AJ48" i="10"/>
  <c r="BH48" i="10" s="1"/>
  <c r="AI48" i="10"/>
  <c r="AH48" i="10"/>
  <c r="CD48" i="10" s="1" a="1"/>
  <c r="CD48" i="10" s="1"/>
  <c r="BI47" i="10" a="1"/>
  <c r="BI47" i="10" s="1"/>
  <c r="BA47" i="10" a="1"/>
  <c r="BA47" i="10" s="1"/>
  <c r="AZ47" i="10" a="1"/>
  <c r="AZ47" i="10" s="1"/>
  <c r="AY47" i="10" a="1"/>
  <c r="AY47" i="10" s="1"/>
  <c r="AX47" i="10" a="1"/>
  <c r="AX47" i="10" s="1"/>
  <c r="AW47" i="10" a="1"/>
  <c r="AW47" i="10" s="1"/>
  <c r="AV47" i="10"/>
  <c r="AU47" i="10"/>
  <c r="AJ47" i="10"/>
  <c r="AI47" i="10"/>
  <c r="AH47" i="10"/>
  <c r="BE47" i="10" s="1" a="1"/>
  <c r="BE47" i="10" s="1"/>
  <c r="BI46" i="10" a="1"/>
  <c r="BI46" i="10" s="1"/>
  <c r="BA46" i="10" a="1"/>
  <c r="BA46" i="10" s="1"/>
  <c r="AZ46" i="10" a="1"/>
  <c r="AZ46" i="10" s="1"/>
  <c r="AY46" i="10" a="1"/>
  <c r="AY46" i="10" s="1"/>
  <c r="AX46" i="10" a="1"/>
  <c r="AX46" i="10" s="1"/>
  <c r="AW46" i="10" a="1"/>
  <c r="AW46" i="10" s="1"/>
  <c r="AV46" i="10"/>
  <c r="AU46" i="10"/>
  <c r="AJ46" i="10"/>
  <c r="AI46" i="10"/>
  <c r="AH46" i="10"/>
  <c r="CO46" i="10" s="1"/>
  <c r="BI45" i="10" a="1"/>
  <c r="BI45" i="10" s="1"/>
  <c r="BA45" i="10" a="1"/>
  <c r="BA45" i="10" s="1"/>
  <c r="AZ45" i="10" a="1"/>
  <c r="AZ45" i="10" s="1"/>
  <c r="AY45" i="10" a="1"/>
  <c r="AY45" i="10" s="1"/>
  <c r="AX45" i="10" a="1"/>
  <c r="AX45" i="10" s="1"/>
  <c r="AW45" i="10" a="1"/>
  <c r="AW45" i="10" s="1"/>
  <c r="AV45" i="10"/>
  <c r="AU45" i="10"/>
  <c r="AJ45" i="10"/>
  <c r="BH45" i="10" s="1"/>
  <c r="AI45" i="10"/>
  <c r="AH45" i="10"/>
  <c r="BS45" i="10" s="1"/>
  <c r="BI44" i="10" a="1"/>
  <c r="BI44" i="10" s="1"/>
  <c r="BA44" i="10" a="1"/>
  <c r="BA44" i="10" s="1"/>
  <c r="AZ44" i="10" a="1"/>
  <c r="AZ44" i="10" s="1"/>
  <c r="AY44" i="10" a="1"/>
  <c r="AY44" i="10" s="1"/>
  <c r="AX44" i="10" a="1"/>
  <c r="AX44" i="10" s="1"/>
  <c r="AW44" i="10" a="1"/>
  <c r="AW44" i="10" s="1"/>
  <c r="AV44" i="10"/>
  <c r="AU44" i="10"/>
  <c r="AJ44" i="10"/>
  <c r="AI44" i="10"/>
  <c r="AH44" i="10"/>
  <c r="CS44" i="10" s="1"/>
  <c r="BI43" i="10" a="1"/>
  <c r="BI43" i="10" s="1"/>
  <c r="BA43" i="10" a="1"/>
  <c r="BA43" i="10" s="1"/>
  <c r="AZ43" i="10" a="1"/>
  <c r="AZ43" i="10" s="1"/>
  <c r="AY43" i="10" a="1"/>
  <c r="AY43" i="10" s="1"/>
  <c r="AX43" i="10" a="1"/>
  <c r="AX43" i="10" s="1"/>
  <c r="AW43" i="10" a="1"/>
  <c r="AW43" i="10" s="1"/>
  <c r="AV43" i="10"/>
  <c r="AU43" i="10"/>
  <c r="AJ43" i="10"/>
  <c r="AI43" i="10"/>
  <c r="AH43" i="10"/>
  <c r="BI42" i="10" a="1"/>
  <c r="BI42" i="10" s="1"/>
  <c r="BA42" i="10" a="1"/>
  <c r="BA42" i="10" s="1"/>
  <c r="AZ42" i="10" a="1"/>
  <c r="AZ42" i="10" s="1"/>
  <c r="AY42" i="10" a="1"/>
  <c r="AY42" i="10" s="1"/>
  <c r="AX42" i="10" a="1"/>
  <c r="AX42" i="10" s="1"/>
  <c r="AW42" i="10" a="1"/>
  <c r="AW42" i="10" s="1"/>
  <c r="AV42" i="10"/>
  <c r="AU42" i="10"/>
  <c r="AJ42" i="10"/>
  <c r="BH42" i="10" s="1"/>
  <c r="AI42" i="10"/>
  <c r="AH42" i="10"/>
  <c r="BI41" i="10" a="1"/>
  <c r="BI41" i="10" s="1"/>
  <c r="BA41" i="10" a="1"/>
  <c r="BA41" i="10" s="1"/>
  <c r="AZ41" i="10" a="1"/>
  <c r="AZ41" i="10" s="1"/>
  <c r="AY41" i="10" a="1"/>
  <c r="AY41" i="10" s="1"/>
  <c r="AX41" i="10" a="1"/>
  <c r="AX41" i="10" s="1"/>
  <c r="AW41" i="10" a="1"/>
  <c r="AW41" i="10" s="1"/>
  <c r="AV41" i="10"/>
  <c r="AU41" i="10"/>
  <c r="AJ41" i="10"/>
  <c r="BH41" i="10" s="1"/>
  <c r="AI41" i="10"/>
  <c r="AH41" i="10"/>
  <c r="CS41" i="10" s="1"/>
  <c r="BI40" i="10" a="1"/>
  <c r="BI40" i="10" s="1"/>
  <c r="BA40" i="10" a="1"/>
  <c r="BA40" i="10" s="1"/>
  <c r="AZ40" i="10" a="1"/>
  <c r="AZ40" i="10" s="1"/>
  <c r="AY40" i="10" a="1"/>
  <c r="AY40" i="10" s="1"/>
  <c r="AX40" i="10" a="1"/>
  <c r="AX40" i="10" s="1"/>
  <c r="AW40" i="10" a="1"/>
  <c r="AW40" i="10" s="1"/>
  <c r="AV40" i="10"/>
  <c r="AU40" i="10"/>
  <c r="AJ40" i="10"/>
  <c r="BH40" i="10" s="1"/>
  <c r="AI40" i="10"/>
  <c r="AH40" i="10"/>
  <c r="BI39" i="10" a="1"/>
  <c r="BI39" i="10" s="1"/>
  <c r="BA39" i="10" a="1"/>
  <c r="BA39" i="10" s="1"/>
  <c r="AZ39" i="10" a="1"/>
  <c r="AZ39" i="10" s="1"/>
  <c r="AY39" i="10" a="1"/>
  <c r="AY39" i="10" s="1"/>
  <c r="AX39" i="10" a="1"/>
  <c r="AX39" i="10" s="1"/>
  <c r="AW39" i="10" a="1"/>
  <c r="AW39" i="10" s="1"/>
  <c r="AV39" i="10"/>
  <c r="AU39" i="10"/>
  <c r="AJ39" i="10"/>
  <c r="BH39" i="10" s="1"/>
  <c r="AI39" i="10"/>
  <c r="AH39" i="10"/>
  <c r="BO39" i="10" s="1"/>
  <c r="BI38" i="10" a="1"/>
  <c r="BI38" i="10" s="1"/>
  <c r="BA38" i="10" a="1"/>
  <c r="BA38" i="10" s="1"/>
  <c r="AZ38" i="10" a="1"/>
  <c r="AZ38" i="10" s="1"/>
  <c r="AY38" i="10" a="1"/>
  <c r="AY38" i="10" s="1"/>
  <c r="AX38" i="10" a="1"/>
  <c r="AX38" i="10" s="1"/>
  <c r="AW38" i="10" a="1"/>
  <c r="AW38" i="10" s="1"/>
  <c r="AV38" i="10"/>
  <c r="AU38" i="10"/>
  <c r="AJ38" i="10"/>
  <c r="BH38" i="10" s="1"/>
  <c r="AI38" i="10"/>
  <c r="AH38" i="10"/>
  <c r="CS38" i="10" s="1"/>
  <c r="BI37" i="10" a="1"/>
  <c r="BI37" i="10" s="1"/>
  <c r="BA37" i="10" a="1"/>
  <c r="BA37" i="10" s="1"/>
  <c r="AZ37" i="10" a="1"/>
  <c r="AZ37" i="10" s="1"/>
  <c r="AY37" i="10" a="1"/>
  <c r="AY37" i="10" s="1"/>
  <c r="AX37" i="10" a="1"/>
  <c r="AX37" i="10" s="1"/>
  <c r="AW37" i="10" a="1"/>
  <c r="AW37" i="10" s="1"/>
  <c r="AV37" i="10"/>
  <c r="AU37" i="10"/>
  <c r="AJ37" i="10"/>
  <c r="BH37" i="10" s="1"/>
  <c r="AI37" i="10"/>
  <c r="AH37" i="10"/>
  <c r="BI36" i="10" a="1"/>
  <c r="BI36" i="10" s="1"/>
  <c r="BA36" i="10" a="1"/>
  <c r="BA36" i="10" s="1"/>
  <c r="AZ36" i="10" a="1"/>
  <c r="AZ36" i="10" s="1"/>
  <c r="AY36" i="10" a="1"/>
  <c r="AY36" i="10" s="1"/>
  <c r="AX36" i="10" a="1"/>
  <c r="AX36" i="10" s="1"/>
  <c r="AW36" i="10" a="1"/>
  <c r="AW36" i="10" s="1"/>
  <c r="AV36" i="10"/>
  <c r="AU36" i="10"/>
  <c r="AJ36" i="10"/>
  <c r="BH36" i="10" s="1"/>
  <c r="AI36" i="10"/>
  <c r="AH36" i="10"/>
  <c r="BI35" i="10" a="1"/>
  <c r="BI35" i="10" s="1"/>
  <c r="BA35" i="10" a="1"/>
  <c r="BA35" i="10" s="1"/>
  <c r="AZ35" i="10" a="1"/>
  <c r="AZ35" i="10" s="1"/>
  <c r="AY35" i="10" a="1"/>
  <c r="AY35" i="10" s="1"/>
  <c r="AX35" i="10" a="1"/>
  <c r="AX35" i="10" s="1"/>
  <c r="AW35" i="10" a="1"/>
  <c r="AW35" i="10" s="1"/>
  <c r="AV35" i="10"/>
  <c r="AU35" i="10"/>
  <c r="AJ35" i="10"/>
  <c r="AI35" i="10"/>
  <c r="AH35" i="10"/>
  <c r="BI34" i="10" a="1"/>
  <c r="BI34" i="10" s="1"/>
  <c r="BA34" i="10" a="1"/>
  <c r="BA34" i="10" s="1"/>
  <c r="AZ34" i="10" a="1"/>
  <c r="AZ34" i="10" s="1"/>
  <c r="AY34" i="10" a="1"/>
  <c r="AY34" i="10" s="1"/>
  <c r="AX34" i="10" a="1"/>
  <c r="AX34" i="10" s="1"/>
  <c r="AW34" i="10" a="1"/>
  <c r="AW34" i="10" s="1"/>
  <c r="AV34" i="10"/>
  <c r="AU34" i="10"/>
  <c r="AJ34" i="10"/>
  <c r="BH34" i="10" s="1"/>
  <c r="AI34" i="10"/>
  <c r="AH34" i="10"/>
  <c r="BI33" i="10" a="1"/>
  <c r="BI33" i="10" s="1"/>
  <c r="BA33" i="10" a="1"/>
  <c r="BA33" i="10" s="1"/>
  <c r="AZ33" i="10" a="1"/>
  <c r="AZ33" i="10" s="1"/>
  <c r="AY33" i="10" a="1"/>
  <c r="AY33" i="10" s="1"/>
  <c r="AX33" i="10" a="1"/>
  <c r="AX33" i="10" s="1"/>
  <c r="AW33" i="10" a="1"/>
  <c r="AW33" i="10" s="1"/>
  <c r="AV33" i="10"/>
  <c r="AU33" i="10"/>
  <c r="AJ33" i="10"/>
  <c r="BH33" i="10" s="1"/>
  <c r="AI33" i="10"/>
  <c r="AH33" i="10"/>
  <c r="CS33" i="10" s="1"/>
  <c r="BI32" i="10" a="1"/>
  <c r="BI32" i="10" s="1"/>
  <c r="BA32" i="10" a="1"/>
  <c r="BA32" i="10" s="1"/>
  <c r="AZ32" i="10" a="1"/>
  <c r="AZ32" i="10" s="1"/>
  <c r="AY32" i="10" a="1"/>
  <c r="AY32" i="10" s="1"/>
  <c r="AX32" i="10" a="1"/>
  <c r="AX32" i="10" s="1"/>
  <c r="AW32" i="10" a="1"/>
  <c r="AW32" i="10" s="1"/>
  <c r="AV32" i="10"/>
  <c r="AU32" i="10"/>
  <c r="AJ32" i="10"/>
  <c r="AI32" i="10"/>
  <c r="AH32" i="10"/>
  <c r="BI31" i="10" a="1"/>
  <c r="BI31" i="10" s="1"/>
  <c r="BA31" i="10" a="1"/>
  <c r="BA31" i="10" s="1"/>
  <c r="AZ31" i="10" a="1"/>
  <c r="AZ31" i="10" s="1"/>
  <c r="AY31" i="10" a="1"/>
  <c r="AY31" i="10" s="1"/>
  <c r="AX31" i="10" a="1"/>
  <c r="AX31" i="10" s="1"/>
  <c r="AW31" i="10" a="1"/>
  <c r="AW31" i="10" s="1"/>
  <c r="AV31" i="10"/>
  <c r="AU31" i="10"/>
  <c r="AJ31" i="10"/>
  <c r="BG31" i="10" s="1"/>
  <c r="AI31" i="10"/>
  <c r="AH31" i="10"/>
  <c r="BW31" i="10" s="1"/>
  <c r="BI30" i="10" a="1"/>
  <c r="BI30" i="10" s="1"/>
  <c r="BA30" i="10" a="1"/>
  <c r="BA30" i="10" s="1"/>
  <c r="AZ30" i="10" a="1"/>
  <c r="AZ30" i="10" s="1"/>
  <c r="AY30" i="10" a="1"/>
  <c r="AY30" i="10" s="1"/>
  <c r="AX30" i="10" a="1"/>
  <c r="AX30" i="10" s="1"/>
  <c r="AW30" i="10" a="1"/>
  <c r="AW30" i="10" s="1"/>
  <c r="AV30" i="10"/>
  <c r="AU30" i="10"/>
  <c r="AJ30" i="10"/>
  <c r="AI30" i="10"/>
  <c r="AH30" i="10"/>
  <c r="CD30" i="10" s="1" a="1"/>
  <c r="CD30" i="10" s="1"/>
  <c r="CE30" i="10" s="1"/>
  <c r="BI29" i="10" a="1"/>
  <c r="BI29" i="10" s="1"/>
  <c r="BA29" i="10" a="1"/>
  <c r="BA29" i="10" s="1"/>
  <c r="AZ29" i="10" a="1"/>
  <c r="AZ29" i="10" s="1"/>
  <c r="AY29" i="10" a="1"/>
  <c r="AY29" i="10" s="1"/>
  <c r="AX29" i="10" a="1"/>
  <c r="AX29" i="10" s="1"/>
  <c r="AW29" i="10" a="1"/>
  <c r="AW29" i="10" s="1"/>
  <c r="AV29" i="10"/>
  <c r="AU29" i="10"/>
  <c r="AJ29" i="10"/>
  <c r="BH29" i="10" s="1"/>
  <c r="AI29" i="10"/>
  <c r="AH29" i="10"/>
  <c r="BW29" i="10" s="1"/>
  <c r="BI28" i="10" a="1"/>
  <c r="BI28" i="10" s="1"/>
  <c r="BA28" i="10" a="1"/>
  <c r="BA28" i="10" s="1"/>
  <c r="AZ28" i="10" a="1"/>
  <c r="AZ28" i="10" s="1"/>
  <c r="AY28" i="10" a="1"/>
  <c r="AY28" i="10" s="1"/>
  <c r="AX28" i="10" a="1"/>
  <c r="AX28" i="10" s="1"/>
  <c r="AW28" i="10" a="1"/>
  <c r="AW28" i="10" s="1"/>
  <c r="AV28" i="10"/>
  <c r="AU28" i="10"/>
  <c r="AJ28" i="10"/>
  <c r="AI28" i="10"/>
  <c r="AH28" i="10"/>
  <c r="CF28" i="10" s="1"/>
  <c r="BI27" i="10" a="1"/>
  <c r="BI27" i="10" s="1"/>
  <c r="BA27" i="10" a="1"/>
  <c r="BA27" i="10" s="1"/>
  <c r="AZ27" i="10" a="1"/>
  <c r="AZ27" i="10" s="1"/>
  <c r="AY27" i="10" a="1"/>
  <c r="AY27" i="10" s="1"/>
  <c r="AX27" i="10" a="1"/>
  <c r="AX27" i="10" s="1"/>
  <c r="AW27" i="10" a="1"/>
  <c r="AW27" i="10" s="1"/>
  <c r="AV27" i="10"/>
  <c r="AU27" i="10"/>
  <c r="AJ27" i="10"/>
  <c r="BH27" i="10" s="1"/>
  <c r="AI27" i="10"/>
  <c r="AH27" i="10"/>
  <c r="CO27" i="10" s="1"/>
  <c r="BI26" i="10" a="1"/>
  <c r="BI26" i="10" s="1"/>
  <c r="BA26" i="10" a="1"/>
  <c r="BA26" i="10" s="1"/>
  <c r="AZ26" i="10" a="1"/>
  <c r="AZ26" i="10" s="1"/>
  <c r="AY26" i="10" a="1"/>
  <c r="AY26" i="10" s="1"/>
  <c r="AX26" i="10" a="1"/>
  <c r="AX26" i="10" s="1"/>
  <c r="AW26" i="10" a="1"/>
  <c r="AW26" i="10" s="1"/>
  <c r="AV26" i="10"/>
  <c r="AU26" i="10"/>
  <c r="AJ26" i="10"/>
  <c r="BH26" i="10" s="1"/>
  <c r="AI26" i="10"/>
  <c r="AH26" i="10"/>
  <c r="CF26" i="10" s="1"/>
  <c r="BI25" i="10" a="1"/>
  <c r="BI25" i="10" s="1"/>
  <c r="BA25" i="10" a="1"/>
  <c r="BA25" i="10" s="1"/>
  <c r="AZ25" i="10" a="1"/>
  <c r="AZ25" i="10" s="1"/>
  <c r="AY25" i="10" a="1"/>
  <c r="AY25" i="10" s="1"/>
  <c r="AX25" i="10" a="1"/>
  <c r="AX25" i="10" s="1"/>
  <c r="AW25" i="10" a="1"/>
  <c r="AW25" i="10" s="1"/>
  <c r="AV25" i="10"/>
  <c r="AU25" i="10"/>
  <c r="AJ25" i="10"/>
  <c r="AI25" i="10"/>
  <c r="AH25" i="10"/>
  <c r="CO25" i="10" s="1"/>
  <c r="BA24" i="10" a="1"/>
  <c r="BA24" i="10" s="1"/>
  <c r="AZ24" i="10" a="1"/>
  <c r="AZ24" i="10" s="1"/>
  <c r="AY24" i="10" a="1"/>
  <c r="AY24" i="10" s="1"/>
  <c r="AX24" i="10" a="1"/>
  <c r="AX24" i="10" s="1"/>
  <c r="AW24" i="10" a="1"/>
  <c r="AW24" i="10" s="1"/>
  <c r="AV24" i="10"/>
  <c r="AU24" i="10"/>
  <c r="AJ24" i="10"/>
  <c r="BH24" i="10" s="1"/>
  <c r="AI24" i="10"/>
  <c r="AH24" i="10"/>
  <c r="CO24" i="10" s="1"/>
  <c r="BA23" i="10" a="1"/>
  <c r="BA23" i="10" s="1"/>
  <c r="AZ23" i="10" a="1"/>
  <c r="AZ23" i="10" s="1"/>
  <c r="AY23" i="10" a="1"/>
  <c r="AY23" i="10" s="1"/>
  <c r="AX23" i="10" a="1"/>
  <c r="AX23" i="10" s="1"/>
  <c r="AW23" i="10" a="1"/>
  <c r="AW23" i="10" s="1"/>
  <c r="AV23" i="10"/>
  <c r="AU23" i="10"/>
  <c r="AJ23" i="10"/>
  <c r="BH23" i="10" s="1"/>
  <c r="AI23" i="10"/>
  <c r="AH23" i="10"/>
  <c r="A23" i="10" s="1"/>
  <c r="CE1022" i="10" l="1"/>
  <c r="CE1011" i="10"/>
  <c r="CE1004" i="10"/>
  <c r="CE1000" i="10"/>
  <c r="CE990" i="10"/>
  <c r="BF983" i="10"/>
  <c r="BF1020" i="10"/>
  <c r="CE1014" i="10"/>
  <c r="BF1008" i="10"/>
  <c r="BF996" i="10"/>
  <c r="CL992" i="10"/>
  <c r="CM992" i="10" s="1"/>
  <c r="CH992" i="10"/>
  <c r="CE983" i="10"/>
  <c r="CE1020" i="10"/>
  <c r="CE1015" i="10"/>
  <c r="CE1008" i="10"/>
  <c r="BF1003" i="10"/>
  <c r="BF999" i="10"/>
  <c r="CE994" i="10"/>
  <c r="CP992" i="10"/>
  <c r="BF987" i="10"/>
  <c r="CI984" i="10"/>
  <c r="BF1019" i="10"/>
  <c r="BF1012" i="10"/>
  <c r="BF1007" i="10"/>
  <c r="CE987" i="10"/>
  <c r="BF984" i="10"/>
  <c r="BL984" i="10" s="1"/>
  <c r="BM984" i="10" s="1"/>
  <c r="BN984" i="10" s="1" a="1"/>
  <c r="BN984" i="10" s="1"/>
  <c r="CE1012" i="10"/>
  <c r="CE1003" i="10"/>
  <c r="CE999" i="10"/>
  <c r="CT995" i="10"/>
  <c r="BF991" i="10"/>
  <c r="CI988" i="10"/>
  <c r="CE982" i="10"/>
  <c r="CE1018" i="10"/>
  <c r="BF1016" i="10"/>
  <c r="BF1011" i="10"/>
  <c r="CE1006" i="10"/>
  <c r="CE1002" i="10"/>
  <c r="CE998" i="10"/>
  <c r="CE991" i="10"/>
  <c r="BF988" i="10"/>
  <c r="BP988" i="10" s="1"/>
  <c r="BQ988" i="10" s="1"/>
  <c r="BR988" i="10" s="1" a="1"/>
  <c r="BR988" i="10" s="1"/>
  <c r="BX984" i="10"/>
  <c r="BY984" i="10" s="1"/>
  <c r="CL984" i="10"/>
  <c r="CM984" i="10" s="1"/>
  <c r="CN984" i="10" s="1" a="1"/>
  <c r="CN984" i="10" s="1"/>
  <c r="CH984" i="10"/>
  <c r="CE1019" i="10"/>
  <c r="CE1016" i="10"/>
  <c r="CE1007" i="10"/>
  <c r="BP999" i="10"/>
  <c r="BQ999" i="10" s="1"/>
  <c r="BF995" i="10"/>
  <c r="CI992" i="10"/>
  <c r="BL991" i="10"/>
  <c r="BM991" i="10" s="1"/>
  <c r="BN991" i="10" s="1" a="1"/>
  <c r="BN991" i="10" s="1"/>
  <c r="CH991" i="10"/>
  <c r="CI991" i="10" s="1"/>
  <c r="CJ991" i="10" s="1" a="1"/>
  <c r="CJ991" i="10" s="1"/>
  <c r="CE986" i="10"/>
  <c r="BF1015" i="10"/>
  <c r="CE1010" i="10"/>
  <c r="BF1004" i="10"/>
  <c r="BF1000" i="10"/>
  <c r="CE995" i="10"/>
  <c r="CU995" i="10"/>
  <c r="CW995" i="10" s="1" a="1"/>
  <c r="CW995" i="10" s="1"/>
  <c r="BF992" i="10"/>
  <c r="BX992" i="10" s="1"/>
  <c r="BY992" i="10" s="1"/>
  <c r="BX988" i="10"/>
  <c r="BY988" i="10" s="1"/>
  <c r="CL988" i="10"/>
  <c r="CM988" i="10" s="1"/>
  <c r="CN988" i="10" s="1" a="1"/>
  <c r="CN988" i="10" s="1"/>
  <c r="BL988" i="10"/>
  <c r="BM988" i="10" s="1"/>
  <c r="BN988" i="10" s="1" a="1"/>
  <c r="BN988" i="10" s="1"/>
  <c r="BT988" i="10"/>
  <c r="BU988" i="10" s="1"/>
  <c r="CH988" i="10"/>
  <c r="A1022" i="10"/>
  <c r="CS1021" i="10"/>
  <c r="BE1021" i="10" a="1"/>
  <c r="BE1021" i="10" s="1"/>
  <c r="BH1019" i="10"/>
  <c r="CT1019" i="10" s="1"/>
  <c r="CU1019" i="10" s="1"/>
  <c r="A1018" i="10"/>
  <c r="CS1017" i="10"/>
  <c r="BE1017" i="10" a="1"/>
  <c r="BE1017" i="10" s="1"/>
  <c r="BH1015" i="10"/>
  <c r="CT1015" i="10" s="1"/>
  <c r="CU1015" i="10" s="1"/>
  <c r="A1014" i="10"/>
  <c r="CS1013" i="10"/>
  <c r="BE1013" i="10" a="1"/>
  <c r="BE1013" i="10" s="1"/>
  <c r="BH1011" i="10"/>
  <c r="CT1011" i="10" s="1"/>
  <c r="CU1011" i="10" s="1"/>
  <c r="A1010" i="10"/>
  <c r="CS1009" i="10"/>
  <c r="BE1009" i="10" a="1"/>
  <c r="BE1009" i="10" s="1"/>
  <c r="BH1007" i="10"/>
  <c r="BP1007" i="10" s="1"/>
  <c r="BQ1007" i="10" s="1"/>
  <c r="A1006" i="10"/>
  <c r="CS1005" i="10"/>
  <c r="BE1005" i="10" a="1"/>
  <c r="BE1005" i="10" s="1"/>
  <c r="BH1003" i="10"/>
  <c r="CL1003" i="10" s="1"/>
  <c r="CM1003" i="10" s="1"/>
  <c r="A1002" i="10"/>
  <c r="CS1001" i="10"/>
  <c r="BE1001" i="10" a="1"/>
  <c r="BE1001" i="10" s="1"/>
  <c r="BH999" i="10"/>
  <c r="CL999" i="10" s="1"/>
  <c r="CM999" i="10" s="1"/>
  <c r="A998" i="10"/>
  <c r="CS997" i="10"/>
  <c r="BE997" i="10" a="1"/>
  <c r="BE997" i="10" s="1"/>
  <c r="BH995" i="10"/>
  <c r="BX995" i="10" s="1"/>
  <c r="BY995" i="10" s="1"/>
  <c r="A994" i="10"/>
  <c r="CS993" i="10"/>
  <c r="BE993" i="10" a="1"/>
  <c r="BE993" i="10" s="1"/>
  <c r="BH991" i="10"/>
  <c r="CL991" i="10" s="1"/>
  <c r="CM991" i="10" s="1"/>
  <c r="CN991" i="10" s="1" a="1"/>
  <c r="CN991" i="10" s="1"/>
  <c r="A990" i="10"/>
  <c r="CS989" i="10"/>
  <c r="BE989" i="10" a="1"/>
  <c r="BE989" i="10" s="1"/>
  <c r="BH987" i="10"/>
  <c r="CT987" i="10" s="1"/>
  <c r="CU987" i="10" s="1"/>
  <c r="A986" i="10"/>
  <c r="CS985" i="10"/>
  <c r="BE985" i="10" a="1"/>
  <c r="BE985" i="10" s="1"/>
  <c r="BH983" i="10"/>
  <c r="CT983" i="10" s="1"/>
  <c r="CU983" i="10" s="1"/>
  <c r="A982" i="10"/>
  <c r="CS981" i="10"/>
  <c r="BE981" i="10" a="1"/>
  <c r="BE981" i="10" s="1"/>
  <c r="A980" i="10"/>
  <c r="CD978" i="10" a="1"/>
  <c r="CD978" i="10" s="1"/>
  <c r="BE978" i="10" a="1"/>
  <c r="BE978" i="10" s="1"/>
  <c r="CD974" i="10" a="1"/>
  <c r="CD974" i="10" s="1"/>
  <c r="CS972" i="10"/>
  <c r="CD970" i="10" a="1"/>
  <c r="CD970" i="10" s="1"/>
  <c r="CS968" i="10"/>
  <c r="CD966" i="10" a="1"/>
  <c r="CD966" i="10" s="1"/>
  <c r="CS964" i="10"/>
  <c r="CO958" i="10"/>
  <c r="AO958" i="10"/>
  <c r="BJ958" i="10"/>
  <c r="BE958" i="10" a="1"/>
  <c r="BE958" i="10" s="1"/>
  <c r="CS958" i="10"/>
  <c r="BS958" i="10"/>
  <c r="CF958" i="10"/>
  <c r="A958" i="10"/>
  <c r="BO954" i="10"/>
  <c r="BG947" i="10"/>
  <c r="BH947" i="10"/>
  <c r="BO946" i="10"/>
  <c r="BF944" i="10"/>
  <c r="CO934" i="10"/>
  <c r="BW934" i="10"/>
  <c r="CD934" i="10" a="1"/>
  <c r="CD934" i="10" s="1"/>
  <c r="CK934" i="10"/>
  <c r="AO934" i="10"/>
  <c r="BJ934" i="10"/>
  <c r="BE934" i="10" a="1"/>
  <c r="BE934" i="10" s="1"/>
  <c r="CS934" i="10"/>
  <c r="BS934" i="10"/>
  <c r="CF934" i="10"/>
  <c r="A934" i="10"/>
  <c r="CE931" i="10"/>
  <c r="BF923" i="10"/>
  <c r="BF920" i="10"/>
  <c r="BF915" i="10"/>
  <c r="CE907" i="10"/>
  <c r="CE903" i="10"/>
  <c r="CE897" i="10"/>
  <c r="BH1022" i="10"/>
  <c r="CP1022" i="10" s="1"/>
  <c r="CQ1022" i="10" s="1"/>
  <c r="CF1022" i="10"/>
  <c r="BS1022" i="10"/>
  <c r="BJ1021" i="10"/>
  <c r="AO1021" i="10"/>
  <c r="CO1019" i="10"/>
  <c r="CF1018" i="10"/>
  <c r="BS1018" i="10"/>
  <c r="BJ1017" i="10"/>
  <c r="AO1017" i="10"/>
  <c r="CO1015" i="10"/>
  <c r="CF1014" i="10"/>
  <c r="BS1014" i="10"/>
  <c r="BJ1013" i="10"/>
  <c r="AO1013" i="10"/>
  <c r="CO1011" i="10"/>
  <c r="CF1010" i="10"/>
  <c r="BS1010" i="10"/>
  <c r="BJ1009" i="10"/>
  <c r="AO1009" i="10"/>
  <c r="CO1007" i="10"/>
  <c r="CF1006" i="10"/>
  <c r="BS1006" i="10"/>
  <c r="BJ1005" i="10"/>
  <c r="AO1005" i="10"/>
  <c r="CO1003" i="10"/>
  <c r="CF1002" i="10"/>
  <c r="BS1002" i="10"/>
  <c r="BJ1001" i="10"/>
  <c r="AO1001" i="10"/>
  <c r="CO999" i="10"/>
  <c r="CF998" i="10"/>
  <c r="BS998" i="10"/>
  <c r="BJ997" i="10"/>
  <c r="AO997" i="10"/>
  <c r="CO995" i="10"/>
  <c r="CP995" i="10" s="1"/>
  <c r="CQ995" i="10" s="1"/>
  <c r="CF994" i="10"/>
  <c r="BS994" i="10"/>
  <c r="BJ993" i="10"/>
  <c r="AO993" i="10"/>
  <c r="CW992" i="10" a="1"/>
  <c r="CW992" i="10" s="1"/>
  <c r="CQ992" i="10"/>
  <c r="CR992" i="10" s="1" a="1"/>
  <c r="CR992" i="10" s="1"/>
  <c r="CO991" i="10"/>
  <c r="CP991" i="10" s="1"/>
  <c r="CQ991" i="10" s="1"/>
  <c r="CF990" i="10"/>
  <c r="BS990" i="10"/>
  <c r="BJ989" i="10"/>
  <c r="AO989" i="10"/>
  <c r="CW988" i="10" a="1"/>
  <c r="CW988" i="10" s="1"/>
  <c r="CQ988" i="10"/>
  <c r="CR988" i="10" s="1" a="1"/>
  <c r="CR988" i="10" s="1"/>
  <c r="CO987" i="10"/>
  <c r="CP987" i="10" s="1"/>
  <c r="CQ987" i="10" s="1"/>
  <c r="CF986" i="10"/>
  <c r="BS986" i="10"/>
  <c r="BJ985" i="10"/>
  <c r="AO985" i="10"/>
  <c r="CW984" i="10" a="1"/>
  <c r="CW984" i="10" s="1"/>
  <c r="CQ984" i="10"/>
  <c r="CR984" i="10" s="1" a="1"/>
  <c r="CR984" i="10" s="1"/>
  <c r="CO983" i="10"/>
  <c r="CP983" i="10" s="1"/>
  <c r="CQ983" i="10" s="1"/>
  <c r="CF982" i="10"/>
  <c r="BS982" i="10"/>
  <c r="BJ981" i="10"/>
  <c r="AO981" i="10"/>
  <c r="BH980" i="10"/>
  <c r="BP980" i="10" s="1"/>
  <c r="BQ980" i="10" s="1"/>
  <c r="CD979" i="10" a="1"/>
  <c r="CD979" i="10" s="1"/>
  <c r="BE979" i="10" a="1"/>
  <c r="BE979" i="10" s="1"/>
  <c r="BO978" i="10"/>
  <c r="BG978" i="10"/>
  <c r="AO976" i="10"/>
  <c r="BJ976" i="10"/>
  <c r="BL976" i="10" s="1"/>
  <c r="BM976" i="10" s="1"/>
  <c r="BS976" i="10"/>
  <c r="BT976" i="10" s="1"/>
  <c r="CF976" i="10"/>
  <c r="CH976" i="10" s="1"/>
  <c r="CO976" i="10"/>
  <c r="CP976" i="10" s="1"/>
  <c r="CS974" i="10"/>
  <c r="CS970" i="10"/>
  <c r="CS966" i="10"/>
  <c r="BS957" i="10"/>
  <c r="CF957" i="10"/>
  <c r="CO957" i="10"/>
  <c r="BW957" i="10"/>
  <c r="CD957" i="10" a="1"/>
  <c r="CD957" i="10" s="1"/>
  <c r="CK957" i="10"/>
  <c r="AO957" i="10"/>
  <c r="BJ957" i="10"/>
  <c r="BE957" i="10" a="1"/>
  <c r="BE957" i="10" s="1"/>
  <c r="CS957" i="10"/>
  <c r="CK954" i="10"/>
  <c r="BF951" i="10"/>
  <c r="CE947" i="10"/>
  <c r="BF935" i="10"/>
  <c r="CE927" i="10"/>
  <c r="CE911" i="10"/>
  <c r="BF908" i="10"/>
  <c r="BF904" i="10"/>
  <c r="A1021" i="10"/>
  <c r="CS1022" i="10"/>
  <c r="CT1022" i="10" s="1"/>
  <c r="CU1022" i="10" s="1"/>
  <c r="BE1022" i="10" a="1"/>
  <c r="BE1022" i="10" s="1"/>
  <c r="CK1021" i="10"/>
  <c r="CD1021" i="10" a="1"/>
  <c r="CD1021" i="10" s="1"/>
  <c r="BW1021" i="10"/>
  <c r="BH1020" i="10"/>
  <c r="CT1020" i="10" s="1"/>
  <c r="CU1020" i="10" s="1"/>
  <c r="A1019" i="10"/>
  <c r="CS1018" i="10"/>
  <c r="CT1018" i="10" s="1"/>
  <c r="CU1018" i="10" s="1"/>
  <c r="BE1018" i="10" a="1"/>
  <c r="BE1018" i="10" s="1"/>
  <c r="CK1017" i="10"/>
  <c r="CD1017" i="10" a="1"/>
  <c r="CD1017" i="10" s="1"/>
  <c r="BW1017" i="10"/>
  <c r="BH1016" i="10"/>
  <c r="CT1016" i="10" s="1"/>
  <c r="CU1016" i="10" s="1"/>
  <c r="A1015" i="10"/>
  <c r="CS1014" i="10"/>
  <c r="BE1014" i="10" a="1"/>
  <c r="BE1014" i="10" s="1"/>
  <c r="CK1013" i="10"/>
  <c r="CD1013" i="10" a="1"/>
  <c r="CD1013" i="10" s="1"/>
  <c r="BW1013" i="10"/>
  <c r="BH1012" i="10"/>
  <c r="CL1012" i="10" s="1"/>
  <c r="CM1012" i="10" s="1"/>
  <c r="A1011" i="10"/>
  <c r="CS1010" i="10"/>
  <c r="BE1010" i="10" a="1"/>
  <c r="BE1010" i="10" s="1"/>
  <c r="CK1009" i="10"/>
  <c r="CD1009" i="10" a="1"/>
  <c r="CD1009" i="10" s="1"/>
  <c r="BW1009" i="10"/>
  <c r="BH1008" i="10"/>
  <c r="BX1008" i="10" s="1"/>
  <c r="BY1008" i="10" s="1"/>
  <c r="A1007" i="10"/>
  <c r="CS1006" i="10"/>
  <c r="BE1006" i="10" a="1"/>
  <c r="BE1006" i="10" s="1"/>
  <c r="CK1005" i="10"/>
  <c r="CD1005" i="10" a="1"/>
  <c r="CD1005" i="10" s="1"/>
  <c r="BW1005" i="10"/>
  <c r="BH1004" i="10"/>
  <c r="BP1004" i="10" s="1"/>
  <c r="BQ1004" i="10" s="1"/>
  <c r="A1003" i="10"/>
  <c r="CS1002" i="10"/>
  <c r="BE1002" i="10" a="1"/>
  <c r="BE1002" i="10" s="1"/>
  <c r="CK1001" i="10"/>
  <c r="CD1001" i="10" a="1"/>
  <c r="CD1001" i="10" s="1"/>
  <c r="BW1001" i="10"/>
  <c r="BH1000" i="10"/>
  <c r="BX1000" i="10" s="1"/>
  <c r="BY1000" i="10" s="1"/>
  <c r="A999" i="10"/>
  <c r="CS998" i="10"/>
  <c r="BE998" i="10" a="1"/>
  <c r="BE998" i="10" s="1"/>
  <c r="CK997" i="10"/>
  <c r="CD997" i="10" a="1"/>
  <c r="CD997" i="10" s="1"/>
  <c r="BW997" i="10"/>
  <c r="BH996" i="10"/>
  <c r="BT996" i="10" s="1"/>
  <c r="BU996" i="10" s="1"/>
  <c r="CS994" i="10"/>
  <c r="BE994" i="10" a="1"/>
  <c r="BE994" i="10" s="1"/>
  <c r="CK993" i="10"/>
  <c r="CD993" i="10" a="1"/>
  <c r="CD993" i="10" s="1"/>
  <c r="BW993" i="10"/>
  <c r="CJ992" i="10" a="1"/>
  <c r="CJ992" i="10" s="1"/>
  <c r="CS990" i="10"/>
  <c r="BE990" i="10" a="1"/>
  <c r="BE990" i="10" s="1"/>
  <c r="CK989" i="10"/>
  <c r="CD989" i="10" a="1"/>
  <c r="CD989" i="10" s="1"/>
  <c r="BW989" i="10"/>
  <c r="CJ988" i="10" a="1"/>
  <c r="CJ988" i="10" s="1"/>
  <c r="CS986" i="10"/>
  <c r="BE986" i="10" a="1"/>
  <c r="BE986" i="10" s="1"/>
  <c r="CK985" i="10"/>
  <c r="CD985" i="10" a="1"/>
  <c r="CD985" i="10" s="1"/>
  <c r="BW985" i="10"/>
  <c r="CJ984" i="10" a="1"/>
  <c r="CJ984" i="10" s="1"/>
  <c r="CS982" i="10"/>
  <c r="BE982" i="10" a="1"/>
  <c r="BE982" i="10" s="1"/>
  <c r="CK981" i="10"/>
  <c r="CD981" i="10" a="1"/>
  <c r="CD981" i="10" s="1"/>
  <c r="BW981" i="10"/>
  <c r="BO979" i="10"/>
  <c r="BG979" i="10"/>
  <c r="BS977" i="10"/>
  <c r="CF977" i="10"/>
  <c r="CH977" i="10" s="1"/>
  <c r="CO977" i="10"/>
  <c r="AO977" i="10"/>
  <c r="BJ977" i="10"/>
  <c r="BP977" i="10" s="1"/>
  <c r="BQ977" i="10" s="1"/>
  <c r="CL976" i="10"/>
  <c r="CM976" i="10" s="1"/>
  <c r="CN976" i="10" s="1" a="1"/>
  <c r="CN976" i="10" s="1"/>
  <c r="BX976" i="10"/>
  <c r="BY976" i="10" s="1"/>
  <c r="BW973" i="10"/>
  <c r="BH973" i="10"/>
  <c r="BW969" i="10"/>
  <c r="BH969" i="10"/>
  <c r="BW965" i="10"/>
  <c r="BH965" i="10"/>
  <c r="BW961" i="10"/>
  <c r="BH961" i="10"/>
  <c r="BF955" i="10"/>
  <c r="BG951" i="10"/>
  <c r="BH951" i="10"/>
  <c r="BF948" i="10"/>
  <c r="BG942" i="10"/>
  <c r="CO938" i="10"/>
  <c r="BW938" i="10"/>
  <c r="CD938" i="10" a="1"/>
  <c r="CD938" i="10" s="1"/>
  <c r="CK938" i="10"/>
  <c r="AO938" i="10"/>
  <c r="BJ938" i="10"/>
  <c r="BE938" i="10" a="1"/>
  <c r="BE938" i="10" s="1"/>
  <c r="CS938" i="10"/>
  <c r="BS938" i="10"/>
  <c r="CF938" i="10"/>
  <c r="A938" i="10"/>
  <c r="BG935" i="10"/>
  <c r="BH935" i="10"/>
  <c r="BO934" i="10"/>
  <c r="BL920" i="10"/>
  <c r="BM920" i="10" s="1"/>
  <c r="BN920" i="10" s="1" a="1"/>
  <c r="BN920" i="10" s="1"/>
  <c r="BP920" i="10"/>
  <c r="BQ920" i="10" s="1"/>
  <c r="BF912" i="10"/>
  <c r="BQ912" i="10"/>
  <c r="BR912" i="10" s="1" a="1"/>
  <c r="BR912" i="10" s="1"/>
  <c r="CE884" i="10"/>
  <c r="BO1021" i="10"/>
  <c r="BH1018" i="10"/>
  <c r="BJ1022" i="10"/>
  <c r="AO1022" i="10"/>
  <c r="CF1019" i="10"/>
  <c r="BS1019" i="10"/>
  <c r="BJ1018" i="10"/>
  <c r="AO1018" i="10"/>
  <c r="CF1015" i="10"/>
  <c r="BS1015" i="10"/>
  <c r="BJ1014" i="10"/>
  <c r="AO1014" i="10"/>
  <c r="CF1011" i="10"/>
  <c r="BS1011" i="10"/>
  <c r="BJ1010" i="10"/>
  <c r="AO1010" i="10"/>
  <c r="CF1007" i="10"/>
  <c r="BS1007" i="10"/>
  <c r="BJ1006" i="10"/>
  <c r="AO1006" i="10"/>
  <c r="CF1003" i="10"/>
  <c r="BJ1002" i="10"/>
  <c r="AO1002" i="10"/>
  <c r="CF999" i="10"/>
  <c r="BJ998" i="10"/>
  <c r="AO998" i="10"/>
  <c r="BJ994" i="10"/>
  <c r="AO994" i="10"/>
  <c r="BJ990" i="10"/>
  <c r="AO990" i="10"/>
  <c r="BJ986" i="10"/>
  <c r="AO986" i="10"/>
  <c r="BJ982" i="10"/>
  <c r="AO982" i="10"/>
  <c r="CO978" i="10"/>
  <c r="AO978" i="10"/>
  <c r="BJ978" i="10"/>
  <c r="BS978" i="10"/>
  <c r="CF978" i="10"/>
  <c r="CL977" i="10"/>
  <c r="CM977" i="10" s="1"/>
  <c r="CN977" i="10" s="1" a="1"/>
  <c r="CN977" i="10" s="1"/>
  <c r="BX977" i="10"/>
  <c r="BY977" i="10" s="1"/>
  <c r="BG955" i="10"/>
  <c r="BH955" i="10"/>
  <c r="CT955" i="10" s="1"/>
  <c r="CU955" i="10" s="1"/>
  <c r="CD954" i="10" a="1"/>
  <c r="CD954" i="10" s="1"/>
  <c r="BH954" i="10"/>
  <c r="CE951" i="10"/>
  <c r="BF939" i="10"/>
  <c r="CE935" i="10"/>
  <c r="BF932" i="10"/>
  <c r="CE923" i="10"/>
  <c r="CE915" i="10"/>
  <c r="BL908" i="10"/>
  <c r="BM908" i="10" s="1"/>
  <c r="BN908" i="10" s="1" a="1"/>
  <c r="BN908" i="10" s="1"/>
  <c r="BP908" i="10"/>
  <c r="BQ908" i="10" s="1"/>
  <c r="BL904" i="10"/>
  <c r="BM904" i="10" s="1"/>
  <c r="BN904" i="10" s="1" a="1"/>
  <c r="BN904" i="10" s="1"/>
  <c r="BP904" i="10"/>
  <c r="BQ904" i="10" s="1"/>
  <c r="BR904" i="10" s="1" a="1"/>
  <c r="BR904" i="10" s="1"/>
  <c r="BF901" i="10"/>
  <c r="AO979" i="10"/>
  <c r="BJ979" i="10"/>
  <c r="BS979" i="10"/>
  <c r="CF979" i="10"/>
  <c r="CO979" i="10"/>
  <c r="BF974" i="10"/>
  <c r="BF970" i="10"/>
  <c r="BF966" i="10"/>
  <c r="BF962" i="10"/>
  <c r="BF959" i="10"/>
  <c r="CO942" i="10"/>
  <c r="BW942" i="10"/>
  <c r="CD942" i="10" a="1"/>
  <c r="CD942" i="10" s="1"/>
  <c r="CK942" i="10"/>
  <c r="AO942" i="10"/>
  <c r="BJ942" i="10"/>
  <c r="BE942" i="10" a="1"/>
  <c r="BE942" i="10" s="1"/>
  <c r="CS942" i="10"/>
  <c r="BS942" i="10"/>
  <c r="CF942" i="10"/>
  <c r="A942" i="10"/>
  <c r="BG939" i="10"/>
  <c r="BH939" i="10"/>
  <c r="BF936" i="10"/>
  <c r="BF928" i="10"/>
  <c r="BT920" i="10"/>
  <c r="BU920" i="10" s="1"/>
  <c r="BV920" i="10" s="1" a="1"/>
  <c r="BV920" i="10" s="1"/>
  <c r="BF919" i="10"/>
  <c r="BF916" i="10"/>
  <c r="BT916" i="10" s="1"/>
  <c r="BU916" i="10" s="1"/>
  <c r="BV916" i="10" s="1" a="1"/>
  <c r="BV916" i="10" s="1"/>
  <c r="BL912" i="10"/>
  <c r="BM912" i="10" s="1"/>
  <c r="BN912" i="10" s="1" a="1"/>
  <c r="BN912" i="10" s="1"/>
  <c r="BP912" i="10"/>
  <c r="CE900" i="10"/>
  <c r="BO1017" i="10"/>
  <c r="CO1021" i="10"/>
  <c r="BG1021" i="10"/>
  <c r="BJ1019" i="10"/>
  <c r="BL1019" i="10" s="1"/>
  <c r="BM1019" i="10" s="1"/>
  <c r="BN1019" i="10" s="1" a="1"/>
  <c r="BN1019" i="10" s="1"/>
  <c r="CO1017" i="10"/>
  <c r="BG1017" i="10"/>
  <c r="BJ1015" i="10"/>
  <c r="CO1013" i="10"/>
  <c r="BG1013" i="10"/>
  <c r="BJ1011" i="10"/>
  <c r="CO1009" i="10"/>
  <c r="BG1009" i="10"/>
  <c r="BJ1007" i="10"/>
  <c r="CO1005" i="10"/>
  <c r="BG1005" i="10"/>
  <c r="CO1001" i="10"/>
  <c r="BG1001" i="10"/>
  <c r="CO997" i="10"/>
  <c r="BG997" i="10"/>
  <c r="CO993" i="10"/>
  <c r="BG993" i="10"/>
  <c r="CO989" i="10"/>
  <c r="BG989" i="10"/>
  <c r="CO985" i="10"/>
  <c r="BG985" i="10"/>
  <c r="CO981" i="10"/>
  <c r="BG981" i="10"/>
  <c r="CK979" i="10"/>
  <c r="BW979" i="10"/>
  <c r="CT976" i="10"/>
  <c r="CU976" i="10" s="1"/>
  <c r="CW976" i="10" s="1" a="1"/>
  <c r="CW976" i="10" s="1"/>
  <c r="BG975" i="10"/>
  <c r="CL975" i="10" s="1"/>
  <c r="CM975" i="10" s="1"/>
  <c r="BH975" i="10"/>
  <c r="BG974" i="10"/>
  <c r="BX974" i="10" s="1"/>
  <c r="BY974" i="10" s="1"/>
  <c r="BO972" i="10"/>
  <c r="BG972" i="10"/>
  <c r="BG971" i="10"/>
  <c r="CT971" i="10" s="1"/>
  <c r="CU971" i="10" s="1"/>
  <c r="BH971" i="10"/>
  <c r="BG970" i="10"/>
  <c r="BX970" i="10" s="1"/>
  <c r="BY970" i="10" s="1"/>
  <c r="BO968" i="10"/>
  <c r="BG968" i="10"/>
  <c r="BG967" i="10"/>
  <c r="BH967" i="10"/>
  <c r="BG966" i="10"/>
  <c r="BO964" i="10"/>
  <c r="BG964" i="10"/>
  <c r="BG963" i="10"/>
  <c r="BH963" i="10"/>
  <c r="BG959" i="10"/>
  <c r="BH959" i="10"/>
  <c r="CD958" i="10" a="1"/>
  <c r="CD958" i="10" s="1"/>
  <c r="BH958" i="10"/>
  <c r="BF952" i="10"/>
  <c r="BG950" i="10"/>
  <c r="BF943" i="10"/>
  <c r="CE939" i="10"/>
  <c r="BF931" i="10"/>
  <c r="BF924" i="10"/>
  <c r="BT908" i="10"/>
  <c r="BU908" i="10" s="1"/>
  <c r="BV908" i="10" s="1" a="1"/>
  <c r="BV908" i="10" s="1"/>
  <c r="BF907" i="10"/>
  <c r="BT904" i="10"/>
  <c r="BU904" i="10" s="1"/>
  <c r="BF903" i="10"/>
  <c r="BO1018" i="10"/>
  <c r="A1017" i="10"/>
  <c r="BH1014" i="10"/>
  <c r="A1013" i="10"/>
  <c r="BH1010" i="10"/>
  <c r="A1009" i="10"/>
  <c r="BH1006" i="10"/>
  <c r="A1005" i="10"/>
  <c r="BH1002" i="10"/>
  <c r="A1001" i="10"/>
  <c r="BH998" i="10"/>
  <c r="A997" i="10"/>
  <c r="BH994" i="10"/>
  <c r="A993" i="10"/>
  <c r="BH990" i="10"/>
  <c r="A989" i="10"/>
  <c r="BH986" i="10"/>
  <c r="CP986" i="10" s="1"/>
  <c r="CQ986" i="10" s="1"/>
  <c r="A985" i="10"/>
  <c r="BH982" i="10"/>
  <c r="A981" i="10"/>
  <c r="CS979" i="10"/>
  <c r="CT977" i="10"/>
  <c r="CU977" i="10" s="1"/>
  <c r="CI976" i="10"/>
  <c r="CQ976" i="10"/>
  <c r="BU976" i="10"/>
  <c r="BV976" i="10" s="1" a="1"/>
  <c r="BV976" i="10" s="1"/>
  <c r="BS973" i="10"/>
  <c r="CF973" i="10"/>
  <c r="CO973" i="10"/>
  <c r="AO973" i="10"/>
  <c r="BJ973" i="10"/>
  <c r="BE973" i="10" a="1"/>
  <c r="BE973" i="10" s="1"/>
  <c r="CS973" i="10"/>
  <c r="BS969" i="10"/>
  <c r="CF969" i="10"/>
  <c r="CO969" i="10"/>
  <c r="AO969" i="10"/>
  <c r="BJ969" i="10"/>
  <c r="BE969" i="10" a="1"/>
  <c r="BE969" i="10" s="1"/>
  <c r="CS969" i="10"/>
  <c r="BS965" i="10"/>
  <c r="CF965" i="10"/>
  <c r="CO965" i="10"/>
  <c r="AO965" i="10"/>
  <c r="BJ965" i="10"/>
  <c r="BE965" i="10" a="1"/>
  <c r="BE965" i="10" s="1"/>
  <c r="CS965" i="10"/>
  <c r="BS961" i="10"/>
  <c r="CF961" i="10"/>
  <c r="CO961" i="10"/>
  <c r="AO961" i="10"/>
  <c r="BJ961" i="10"/>
  <c r="BE961" i="10" a="1"/>
  <c r="BE961" i="10" s="1"/>
  <c r="CS961" i="10"/>
  <c r="CO954" i="10"/>
  <c r="AO954" i="10"/>
  <c r="BJ954" i="10"/>
  <c r="BE954" i="10" a="1"/>
  <c r="BE954" i="10" s="1"/>
  <c r="CS954" i="10"/>
  <c r="BS954" i="10"/>
  <c r="CF954" i="10"/>
  <c r="A954" i="10"/>
  <c r="CO946" i="10"/>
  <c r="BW946" i="10"/>
  <c r="CD946" i="10" a="1"/>
  <c r="CD946" i="10" s="1"/>
  <c r="CK946" i="10"/>
  <c r="AO946" i="10"/>
  <c r="BJ946" i="10"/>
  <c r="BE946" i="10" a="1"/>
  <c r="BE946" i="10" s="1"/>
  <c r="CS946" i="10"/>
  <c r="BS946" i="10"/>
  <c r="CF946" i="10"/>
  <c r="A946" i="10"/>
  <c r="BG943" i="10"/>
  <c r="BH943" i="10"/>
  <c r="CP943" i="10" s="1"/>
  <c r="CQ943" i="10" s="1"/>
  <c r="BO942" i="10"/>
  <c r="BF940" i="10"/>
  <c r="BF927" i="10"/>
  <c r="BL916" i="10"/>
  <c r="BM916" i="10" s="1"/>
  <c r="BN916" i="10" s="1" a="1"/>
  <c r="BN916" i="10" s="1"/>
  <c r="BP916" i="10"/>
  <c r="BQ916" i="10" s="1"/>
  <c r="BT912" i="10"/>
  <c r="BU912" i="10" s="1"/>
  <c r="BV912" i="10" s="1" a="1"/>
  <c r="BV912" i="10" s="1"/>
  <c r="BF911" i="10"/>
  <c r="CF1021" i="10"/>
  <c r="CF1017" i="10"/>
  <c r="CF1013" i="10"/>
  <c r="CF1009" i="10"/>
  <c r="CF1005" i="10"/>
  <c r="CF1001" i="10"/>
  <c r="CF997" i="10"/>
  <c r="CF993" i="10"/>
  <c r="CF989" i="10"/>
  <c r="CF985" i="10"/>
  <c r="CF981" i="10"/>
  <c r="CI977" i="10"/>
  <c r="BP976" i="10"/>
  <c r="BQ976" i="10" s="1"/>
  <c r="BR976" i="10" s="1" a="1"/>
  <c r="BR976" i="10" s="1"/>
  <c r="CO974" i="10"/>
  <c r="AO974" i="10"/>
  <c r="BJ974" i="10"/>
  <c r="BS974" i="10"/>
  <c r="BT974" i="10" s="1"/>
  <c r="BU974" i="10" s="1"/>
  <c r="CF974" i="10"/>
  <c r="A974" i="10"/>
  <c r="CD973" i="10" a="1"/>
  <c r="CD973" i="10" s="1"/>
  <c r="AO972" i="10"/>
  <c r="BJ972" i="10"/>
  <c r="BS972" i="10"/>
  <c r="CF972" i="10"/>
  <c r="CO972" i="10"/>
  <c r="BW972" i="10"/>
  <c r="CD972" i="10" a="1"/>
  <c r="CD972" i="10" s="1"/>
  <c r="CK972" i="10"/>
  <c r="BP970" i="10"/>
  <c r="BQ970" i="10" s="1"/>
  <c r="CO970" i="10"/>
  <c r="AO970" i="10"/>
  <c r="BJ970" i="10"/>
  <c r="BS970" i="10"/>
  <c r="BT970" i="10" s="1"/>
  <c r="BU970" i="10" s="1"/>
  <c r="CF970" i="10"/>
  <c r="A970" i="10"/>
  <c r="CD969" i="10" a="1"/>
  <c r="CD969" i="10" s="1"/>
  <c r="AO968" i="10"/>
  <c r="BJ968" i="10"/>
  <c r="BS968" i="10"/>
  <c r="CF968" i="10"/>
  <c r="CO968" i="10"/>
  <c r="BW968" i="10"/>
  <c r="BX968" i="10" s="1"/>
  <c r="BY968" i="10" s="1"/>
  <c r="CD968" i="10" a="1"/>
  <c r="CD968" i="10" s="1"/>
  <c r="CK968" i="10"/>
  <c r="CO966" i="10"/>
  <c r="AO966" i="10"/>
  <c r="BJ966" i="10"/>
  <c r="BP966" i="10" s="1"/>
  <c r="BQ966" i="10" s="1"/>
  <c r="BS966" i="10"/>
  <c r="BT966" i="10" s="1"/>
  <c r="BU966" i="10" s="1"/>
  <c r="CF966" i="10"/>
  <c r="A966" i="10"/>
  <c r="CD965" i="10" a="1"/>
  <c r="CD965" i="10" s="1"/>
  <c r="AO964" i="10"/>
  <c r="BJ964" i="10"/>
  <c r="BS964" i="10"/>
  <c r="CF964" i="10"/>
  <c r="CO964" i="10"/>
  <c r="BW964" i="10"/>
  <c r="CD964" i="10" a="1"/>
  <c r="CD964" i="10" s="1"/>
  <c r="CK964" i="10"/>
  <c r="CE962" i="10"/>
  <c r="BP962" i="10"/>
  <c r="BQ962" i="10" s="1"/>
  <c r="CO962" i="10"/>
  <c r="AO962" i="10"/>
  <c r="BJ962" i="10"/>
  <c r="BX962" i="10" s="1"/>
  <c r="BY962" i="10" s="1"/>
  <c r="BS962" i="10"/>
  <c r="BT962" i="10" s="1"/>
  <c r="BU962" i="10" s="1"/>
  <c r="CF962" i="10"/>
  <c r="CL962" i="10" s="1"/>
  <c r="CM962" i="10" s="1"/>
  <c r="A962" i="10"/>
  <c r="CD961" i="10" a="1"/>
  <c r="CD961" i="10" s="1"/>
  <c r="BW958" i="10"/>
  <c r="CO950" i="10"/>
  <c r="BW950" i="10"/>
  <c r="CD950" i="10" a="1"/>
  <c r="CD950" i="10" s="1"/>
  <c r="CK950" i="10"/>
  <c r="AO950" i="10"/>
  <c r="BJ950" i="10"/>
  <c r="BE950" i="10" a="1"/>
  <c r="BE950" i="10" s="1"/>
  <c r="CS950" i="10"/>
  <c r="BS950" i="10"/>
  <c r="CF950" i="10"/>
  <c r="A950" i="10"/>
  <c r="BF947" i="10"/>
  <c r="CE943" i="10"/>
  <c r="CE919" i="10"/>
  <c r="BF899" i="10"/>
  <c r="BF897" i="10"/>
  <c r="BF889" i="10"/>
  <c r="CK960" i="10"/>
  <c r="CD960" i="10" a="1"/>
  <c r="CD960" i="10" s="1"/>
  <c r="BW960" i="10"/>
  <c r="CK956" i="10"/>
  <c r="CD956" i="10" a="1"/>
  <c r="CD956" i="10" s="1"/>
  <c r="BW956" i="10"/>
  <c r="CS953" i="10"/>
  <c r="BE953" i="10" a="1"/>
  <c r="BE953" i="10" s="1"/>
  <c r="CK952" i="10"/>
  <c r="CD952" i="10" a="1"/>
  <c r="CD952" i="10" s="1"/>
  <c r="BW952" i="10"/>
  <c r="CS949" i="10"/>
  <c r="BE949" i="10" a="1"/>
  <c r="BE949" i="10" s="1"/>
  <c r="CK948" i="10"/>
  <c r="CD948" i="10" a="1"/>
  <c r="CD948" i="10" s="1"/>
  <c r="BW948" i="10"/>
  <c r="CS945" i="10"/>
  <c r="BE945" i="10" a="1"/>
  <c r="BE945" i="10" s="1"/>
  <c r="CK944" i="10"/>
  <c r="CD944" i="10" a="1"/>
  <c r="CD944" i="10" s="1"/>
  <c r="BW944" i="10"/>
  <c r="CS941" i="10"/>
  <c r="BE941" i="10" a="1"/>
  <c r="BE941" i="10" s="1"/>
  <c r="CK940" i="10"/>
  <c r="CD940" i="10" a="1"/>
  <c r="CD940" i="10" s="1"/>
  <c r="BW940" i="10"/>
  <c r="CS937" i="10"/>
  <c r="BE937" i="10" a="1"/>
  <c r="BE937" i="10" s="1"/>
  <c r="CK936" i="10"/>
  <c r="CD936" i="10" a="1"/>
  <c r="CD936" i="10" s="1"/>
  <c r="BW936" i="10"/>
  <c r="CS933" i="10"/>
  <c r="BE933" i="10" a="1"/>
  <c r="BE933" i="10" s="1"/>
  <c r="CK932" i="10"/>
  <c r="CD932" i="10" a="1"/>
  <c r="CD932" i="10" s="1"/>
  <c r="BW932" i="10"/>
  <c r="BH931" i="10"/>
  <c r="BX931" i="10" s="1"/>
  <c r="BY931" i="10" s="1"/>
  <c r="A930" i="10"/>
  <c r="CS929" i="10"/>
  <c r="BE929" i="10" a="1"/>
  <c r="BE929" i="10" s="1"/>
  <c r="CK928" i="10"/>
  <c r="CD928" i="10" a="1"/>
  <c r="CD928" i="10" s="1"/>
  <c r="BW928" i="10"/>
  <c r="BH927" i="10"/>
  <c r="BX927" i="10" s="1"/>
  <c r="BY927" i="10" s="1"/>
  <c r="A926" i="10"/>
  <c r="CS925" i="10"/>
  <c r="BE925" i="10" a="1"/>
  <c r="BE925" i="10" s="1"/>
  <c r="CK924" i="10"/>
  <c r="CD924" i="10" a="1"/>
  <c r="CD924" i="10" s="1"/>
  <c r="BW924" i="10"/>
  <c r="BH923" i="10"/>
  <c r="BX923" i="10" s="1"/>
  <c r="BY923" i="10" s="1"/>
  <c r="A922" i="10"/>
  <c r="CS921" i="10"/>
  <c r="BE921" i="10" a="1"/>
  <c r="BE921" i="10" s="1"/>
  <c r="CK920" i="10"/>
  <c r="CD920" i="10" a="1"/>
  <c r="CD920" i="10" s="1"/>
  <c r="BW920" i="10"/>
  <c r="BX920" i="10" s="1"/>
  <c r="BY920" i="10" s="1"/>
  <c r="BH919" i="10"/>
  <c r="BX919" i="10" s="1"/>
  <c r="BY919" i="10" s="1"/>
  <c r="A918" i="10"/>
  <c r="CS917" i="10"/>
  <c r="BE917" i="10" a="1"/>
  <c r="BE917" i="10" s="1"/>
  <c r="CK916" i="10"/>
  <c r="CD916" i="10" a="1"/>
  <c r="CD916" i="10" s="1"/>
  <c r="BW916" i="10"/>
  <c r="BX916" i="10" s="1"/>
  <c r="BY916" i="10" s="1"/>
  <c r="BH915" i="10"/>
  <c r="BX915" i="10" s="1"/>
  <c r="BY915" i="10" s="1"/>
  <c r="A914" i="10"/>
  <c r="CS913" i="10"/>
  <c r="BE913" i="10" a="1"/>
  <c r="BE913" i="10" s="1"/>
  <c r="CK912" i="10"/>
  <c r="CD912" i="10" a="1"/>
  <c r="CD912" i="10" s="1"/>
  <c r="BW912" i="10"/>
  <c r="BX912" i="10" s="1"/>
  <c r="BY912" i="10" s="1"/>
  <c r="BH911" i="10"/>
  <c r="BX911" i="10" s="1"/>
  <c r="BY911" i="10" s="1"/>
  <c r="A910" i="10"/>
  <c r="CS909" i="10"/>
  <c r="BE909" i="10" a="1"/>
  <c r="BE909" i="10" s="1"/>
  <c r="CK908" i="10"/>
  <c r="CD908" i="10" a="1"/>
  <c r="CD908" i="10" s="1"/>
  <c r="BW908" i="10"/>
  <c r="BX908" i="10" s="1"/>
  <c r="BY908" i="10" s="1"/>
  <c r="BH907" i="10"/>
  <c r="CP907" i="10" s="1"/>
  <c r="CQ907" i="10" s="1"/>
  <c r="A906" i="10"/>
  <c r="CS905" i="10"/>
  <c r="BE905" i="10" a="1"/>
  <c r="BE905" i="10" s="1"/>
  <c r="CK904" i="10"/>
  <c r="CD904" i="10" a="1"/>
  <c r="CD904" i="10" s="1"/>
  <c r="BW904" i="10"/>
  <c r="BX904" i="10" s="1"/>
  <c r="BY904" i="10" s="1"/>
  <c r="BH903" i="10"/>
  <c r="BX903" i="10" s="1"/>
  <c r="BY903" i="10" s="1"/>
  <c r="BS901" i="10"/>
  <c r="BJ901" i="10"/>
  <c r="BG901" i="10"/>
  <c r="CT901" i="10" s="1"/>
  <c r="CU901" i="10" s="1"/>
  <c r="CS900" i="10"/>
  <c r="CK900" i="10"/>
  <c r="BO899" i="10"/>
  <c r="CH898" i="10"/>
  <c r="CI898" i="10" s="1"/>
  <c r="CD896" i="10" a="1"/>
  <c r="CD896" i="10" s="1"/>
  <c r="BJ896" i="10"/>
  <c r="CD892" i="10" a="1"/>
  <c r="CD892" i="10" s="1"/>
  <c r="BJ892" i="10"/>
  <c r="BX878" i="10"/>
  <c r="BL878" i="10"/>
  <c r="BF871" i="10"/>
  <c r="BF867" i="10"/>
  <c r="CP858" i="10"/>
  <c r="CP854" i="10"/>
  <c r="CE852" i="10"/>
  <c r="CT850" i="10"/>
  <c r="CU850" i="10" s="1"/>
  <c r="CE848" i="10"/>
  <c r="CW842" i="10" a="1"/>
  <c r="CW842" i="10" s="1"/>
  <c r="BF841" i="10"/>
  <c r="CL834" i="10"/>
  <c r="BF830" i="10"/>
  <c r="CP826" i="10"/>
  <c r="CP825" i="10"/>
  <c r="CQ825" i="10" s="1"/>
  <c r="CJ815" i="10" a="1"/>
  <c r="CJ815" i="10" s="1"/>
  <c r="CA815" i="10" a="1"/>
  <c r="CA815" i="10" s="1"/>
  <c r="CO975" i="10"/>
  <c r="CO971" i="10"/>
  <c r="CO967" i="10"/>
  <c r="CO963" i="10"/>
  <c r="CO959" i="10"/>
  <c r="CO955" i="10"/>
  <c r="BJ953" i="10"/>
  <c r="AO953" i="10"/>
  <c r="CO951" i="10"/>
  <c r="BJ949" i="10"/>
  <c r="AO949" i="10"/>
  <c r="BJ945" i="10"/>
  <c r="AO945" i="10"/>
  <c r="BJ941" i="10"/>
  <c r="AO941" i="10"/>
  <c r="BJ937" i="10"/>
  <c r="AO937" i="10"/>
  <c r="BJ933" i="10"/>
  <c r="AO933" i="10"/>
  <c r="CF930" i="10"/>
  <c r="BS930" i="10"/>
  <c r="BJ929" i="10"/>
  <c r="AO929" i="10"/>
  <c r="CF926" i="10"/>
  <c r="BS926" i="10"/>
  <c r="BJ925" i="10"/>
  <c r="AO925" i="10"/>
  <c r="CF922" i="10"/>
  <c r="BS922" i="10"/>
  <c r="BJ921" i="10"/>
  <c r="AO921" i="10"/>
  <c r="CF918" i="10"/>
  <c r="BS918" i="10"/>
  <c r="BJ917" i="10"/>
  <c r="AO917" i="10"/>
  <c r="CF914" i="10"/>
  <c r="BS914" i="10"/>
  <c r="CF910" i="10"/>
  <c r="BS910" i="10"/>
  <c r="CF906" i="10"/>
  <c r="BS906" i="10"/>
  <c r="BF893" i="10"/>
  <c r="BF885" i="10"/>
  <c r="BE879" i="10" a="1"/>
  <c r="BE879" i="10" s="1"/>
  <c r="CS879" i="10"/>
  <c r="BS879" i="10"/>
  <c r="CF879" i="10"/>
  <c r="A879" i="10"/>
  <c r="BG879" i="10"/>
  <c r="CO879" i="10"/>
  <c r="BW879" i="10"/>
  <c r="CD879" i="10" a="1"/>
  <c r="CD879" i="10" s="1"/>
  <c r="CK879" i="10"/>
  <c r="AO879" i="10"/>
  <c r="BJ879" i="10"/>
  <c r="CE876" i="10"/>
  <c r="BG876" i="10"/>
  <c r="CL876" i="10" s="1"/>
  <c r="CM876" i="10" s="1"/>
  <c r="BH876" i="10"/>
  <c r="BF873" i="10"/>
  <c r="BF869" i="10"/>
  <c r="BF863" i="10"/>
  <c r="BX846" i="10"/>
  <c r="CL846" i="10"/>
  <c r="BT846" i="10"/>
  <c r="BU846" i="10" s="1"/>
  <c r="CH846" i="10"/>
  <c r="BF843" i="10"/>
  <c r="CE841" i="10"/>
  <c r="BF827" i="10"/>
  <c r="BP827" i="10" s="1"/>
  <c r="BQ827" i="10"/>
  <c r="BF818" i="10"/>
  <c r="BF814" i="10"/>
  <c r="CK953" i="10"/>
  <c r="CD953" i="10" a="1"/>
  <c r="CD953" i="10" s="1"/>
  <c r="BW953" i="10"/>
  <c r="CK949" i="10"/>
  <c r="CD949" i="10" a="1"/>
  <c r="CD949" i="10" s="1"/>
  <c r="BW949" i="10"/>
  <c r="CK945" i="10"/>
  <c r="CD945" i="10" a="1"/>
  <c r="CD945" i="10" s="1"/>
  <c r="BW945" i="10"/>
  <c r="CK941" i="10"/>
  <c r="CD941" i="10" a="1"/>
  <c r="CD941" i="10" s="1"/>
  <c r="BW941" i="10"/>
  <c r="CK937" i="10"/>
  <c r="CD937" i="10" a="1"/>
  <c r="CD937" i="10" s="1"/>
  <c r="BW937" i="10"/>
  <c r="CK933" i="10"/>
  <c r="CD933" i="10" a="1"/>
  <c r="CD933" i="10" s="1"/>
  <c r="BW933" i="10"/>
  <c r="CS930" i="10"/>
  <c r="BE930" i="10" a="1"/>
  <c r="BE930" i="10" s="1"/>
  <c r="CK929" i="10"/>
  <c r="CD929" i="10" a="1"/>
  <c r="CD929" i="10" s="1"/>
  <c r="BW929" i="10"/>
  <c r="CS926" i="10"/>
  <c r="BE926" i="10" a="1"/>
  <c r="BE926" i="10" s="1"/>
  <c r="CK925" i="10"/>
  <c r="CD925" i="10" a="1"/>
  <c r="CD925" i="10" s="1"/>
  <c r="BW925" i="10"/>
  <c r="CS922" i="10"/>
  <c r="BE922" i="10" a="1"/>
  <c r="BE922" i="10" s="1"/>
  <c r="CK921" i="10"/>
  <c r="CD921" i="10" a="1"/>
  <c r="CD921" i="10" s="1"/>
  <c r="BW921" i="10"/>
  <c r="CS918" i="10"/>
  <c r="BE918" i="10" a="1"/>
  <c r="BE918" i="10" s="1"/>
  <c r="CK917" i="10"/>
  <c r="CD917" i="10" a="1"/>
  <c r="CD917" i="10" s="1"/>
  <c r="BW917" i="10"/>
  <c r="CS914" i="10"/>
  <c r="BE914" i="10" a="1"/>
  <c r="BE914" i="10" s="1"/>
  <c r="CK913" i="10"/>
  <c r="CD913" i="10" a="1"/>
  <c r="CD913" i="10" s="1"/>
  <c r="BW913" i="10"/>
  <c r="CS910" i="10"/>
  <c r="BE910" i="10" a="1"/>
  <c r="BE910" i="10" s="1"/>
  <c r="CK909" i="10"/>
  <c r="CD909" i="10" a="1"/>
  <c r="CD909" i="10" s="1"/>
  <c r="BW909" i="10"/>
  <c r="CS906" i="10"/>
  <c r="BE906" i="10" a="1"/>
  <c r="BE906" i="10" s="1"/>
  <c r="CK905" i="10"/>
  <c r="CD905" i="10" a="1"/>
  <c r="CD905" i="10" s="1"/>
  <c r="BW905" i="10"/>
  <c r="AO902" i="10"/>
  <c r="BJ902" i="10"/>
  <c r="BL902" i="10" s="1"/>
  <c r="BM902" i="10" s="1"/>
  <c r="A901" i="10"/>
  <c r="CP898" i="10"/>
  <c r="CL894" i="10"/>
  <c r="CM894" i="10" s="1"/>
  <c r="CL890" i="10"/>
  <c r="CM890" i="10" s="1"/>
  <c r="CE888" i="10"/>
  <c r="BF881" i="10"/>
  <c r="BY878" i="10"/>
  <c r="BM878" i="10"/>
  <c r="BN878" i="10" s="1" a="1"/>
  <c r="BN878" i="10" s="1"/>
  <c r="BU878" i="10"/>
  <c r="BF875" i="10"/>
  <c r="CE873" i="10"/>
  <c r="CE869" i="10"/>
  <c r="BF865" i="10"/>
  <c r="BF859" i="10"/>
  <c r="BF855" i="10"/>
  <c r="CP846" i="10"/>
  <c r="BF842" i="10"/>
  <c r="BL842" i="10" s="1"/>
  <c r="BM842" i="10" s="1"/>
  <c r="BN842" i="10" s="1" a="1"/>
  <c r="BN842" i="10" s="1"/>
  <c r="BX841" i="10"/>
  <c r="BY841" i="10" s="1"/>
  <c r="BP841" i="10"/>
  <c r="BQ841" i="10" s="1"/>
  <c r="BL841" i="10"/>
  <c r="BM841" i="10" s="1"/>
  <c r="BN841" i="10" s="1" a="1"/>
  <c r="BN841" i="10" s="1"/>
  <c r="CT834" i="10"/>
  <c r="BX830" i="10"/>
  <c r="BY830" i="10" s="1"/>
  <c r="CL830" i="10"/>
  <c r="CT829" i="10"/>
  <c r="BF819" i="10"/>
  <c r="CF975" i="10"/>
  <c r="BS975" i="10"/>
  <c r="CF971" i="10"/>
  <c r="BS971" i="10"/>
  <c r="CF967" i="10"/>
  <c r="BS967" i="10"/>
  <c r="CF963" i="10"/>
  <c r="CL963" i="10" s="1"/>
  <c r="CM963" i="10" s="1"/>
  <c r="BS963" i="10"/>
  <c r="CO960" i="10"/>
  <c r="CF959" i="10"/>
  <c r="CT959" i="10" s="1"/>
  <c r="CU959" i="10" s="1"/>
  <c r="BS959" i="10"/>
  <c r="CO956" i="10"/>
  <c r="CF955" i="10"/>
  <c r="CL955" i="10" s="1"/>
  <c r="CM955" i="10" s="1"/>
  <c r="BS955" i="10"/>
  <c r="CO952" i="10"/>
  <c r="CF951" i="10"/>
  <c r="BS951" i="10"/>
  <c r="CO948" i="10"/>
  <c r="CF947" i="10"/>
  <c r="CP947" i="10" s="1"/>
  <c r="CQ947" i="10" s="1"/>
  <c r="BS947" i="10"/>
  <c r="CO944" i="10"/>
  <c r="CF943" i="10"/>
  <c r="BS943" i="10"/>
  <c r="CO940" i="10"/>
  <c r="CF939" i="10"/>
  <c r="CP939" i="10" s="1"/>
  <c r="CQ939" i="10" s="1"/>
  <c r="BS939" i="10"/>
  <c r="CO936" i="10"/>
  <c r="CF935" i="10"/>
  <c r="CT935" i="10" s="1"/>
  <c r="CU935" i="10" s="1"/>
  <c r="BS935" i="10"/>
  <c r="CO932" i="10"/>
  <c r="CF931" i="10"/>
  <c r="BS931" i="10"/>
  <c r="BJ930" i="10"/>
  <c r="AO930" i="10"/>
  <c r="CO928" i="10"/>
  <c r="CF927" i="10"/>
  <c r="CP927" i="10" s="1"/>
  <c r="CQ927" i="10" s="1"/>
  <c r="BS927" i="10"/>
  <c r="BJ926" i="10"/>
  <c r="AO926" i="10"/>
  <c r="CO924" i="10"/>
  <c r="CF923" i="10"/>
  <c r="BS923" i="10"/>
  <c r="BJ922" i="10"/>
  <c r="AO922" i="10"/>
  <c r="CO920" i="10"/>
  <c r="CF919" i="10"/>
  <c r="BS919" i="10"/>
  <c r="BJ918" i="10"/>
  <c r="AO918" i="10"/>
  <c r="CO916" i="10"/>
  <c r="CF915" i="10"/>
  <c r="BS915" i="10"/>
  <c r="BJ914" i="10"/>
  <c r="AO914" i="10"/>
  <c r="CO912" i="10"/>
  <c r="CF911" i="10"/>
  <c r="CP911" i="10" s="1"/>
  <c r="CQ911" i="10" s="1"/>
  <c r="BS911" i="10"/>
  <c r="BJ910" i="10"/>
  <c r="AO910" i="10"/>
  <c r="CO908" i="10"/>
  <c r="CF907" i="10"/>
  <c r="BS907" i="10"/>
  <c r="BJ906" i="10"/>
  <c r="AO906" i="10"/>
  <c r="CO904" i="10"/>
  <c r="CF903" i="10"/>
  <c r="BS903" i="10"/>
  <c r="A902" i="10"/>
  <c r="BH901" i="10"/>
  <c r="AO900" i="10"/>
  <c r="BS899" i="10"/>
  <c r="BT899" i="10" s="1"/>
  <c r="BU899" i="10" s="1"/>
  <c r="CF899" i="10"/>
  <c r="BW899" i="10"/>
  <c r="BX899" i="10" s="1"/>
  <c r="BY899" i="10" s="1"/>
  <c r="CD899" i="10" a="1"/>
  <c r="CD899" i="10" s="1"/>
  <c r="CK899" i="10"/>
  <c r="AO899" i="10"/>
  <c r="BJ899" i="10"/>
  <c r="BL899" i="10" s="1"/>
  <c r="BM899" i="10" s="1"/>
  <c r="BN899" i="10" s="1" a="1"/>
  <c r="BN899" i="10" s="1"/>
  <c r="A899" i="10"/>
  <c r="CQ898" i="10"/>
  <c r="CJ898" i="10" a="1"/>
  <c r="CJ898" i="10" s="1"/>
  <c r="CW898" i="10" a="1"/>
  <c r="CW898" i="10" s="1"/>
  <c r="BH897" i="10"/>
  <c r="BG897" i="10"/>
  <c r="BW896" i="10"/>
  <c r="CI894" i="10"/>
  <c r="BW892" i="10"/>
  <c r="BP878" i="10"/>
  <c r="BQ878" i="10" s="1"/>
  <c r="BX870" i="10"/>
  <c r="CE865" i="10"/>
  <c r="BF861" i="10"/>
  <c r="BF857" i="10"/>
  <c r="BX854" i="10"/>
  <c r="BF853" i="10"/>
  <c r="BF851" i="10"/>
  <c r="CW850" i="10" a="1"/>
  <c r="CW850" i="10" s="1"/>
  <c r="BF849" i="10"/>
  <c r="BT841" i="10"/>
  <c r="BU841" i="10" s="1"/>
  <c r="BV841" i="10" s="1" a="1"/>
  <c r="BV841" i="10" s="1"/>
  <c r="CP834" i="10"/>
  <c r="CL822" i="10"/>
  <c r="CK930" i="10"/>
  <c r="CD930" i="10" a="1"/>
  <c r="CD930" i="10" s="1"/>
  <c r="BW930" i="10"/>
  <c r="CK926" i="10"/>
  <c r="CD926" i="10" a="1"/>
  <c r="CD926" i="10" s="1"/>
  <c r="BW926" i="10"/>
  <c r="CK922" i="10"/>
  <c r="CD922" i="10" a="1"/>
  <c r="CD922" i="10" s="1"/>
  <c r="BW922" i="10"/>
  <c r="CK918" i="10"/>
  <c r="CD918" i="10" a="1"/>
  <c r="CD918" i="10" s="1"/>
  <c r="BW918" i="10"/>
  <c r="CK914" i="10"/>
  <c r="CD914" i="10" a="1"/>
  <c r="CD914" i="10" s="1"/>
  <c r="BW914" i="10"/>
  <c r="CK910" i="10"/>
  <c r="CD910" i="10" a="1"/>
  <c r="CD910" i="10" s="1"/>
  <c r="BW910" i="10"/>
  <c r="CK906" i="10"/>
  <c r="CD906" i="10" a="1"/>
  <c r="CD906" i="10" s="1"/>
  <c r="BW906" i="10"/>
  <c r="BP901" i="10"/>
  <c r="BQ901" i="10" s="1"/>
  <c r="BW900" i="10"/>
  <c r="BO900" i="10"/>
  <c r="BG900" i="10"/>
  <c r="AO896" i="10"/>
  <c r="BE895" i="10" a="1"/>
  <c r="BE895" i="10" s="1"/>
  <c r="CS895" i="10"/>
  <c r="BS895" i="10"/>
  <c r="CF895" i="10"/>
  <c r="BG895" i="10"/>
  <c r="CO895" i="10"/>
  <c r="BW895" i="10"/>
  <c r="CD895" i="10" a="1"/>
  <c r="CD895" i="10" s="1"/>
  <c r="CK895" i="10"/>
  <c r="AO895" i="10"/>
  <c r="BJ895" i="10"/>
  <c r="CH894" i="10"/>
  <c r="BH893" i="10"/>
  <c r="BG893" i="10"/>
  <c r="BP893" i="10" s="1"/>
  <c r="BQ893" i="10" s="1"/>
  <c r="AO892" i="10"/>
  <c r="BE891" i="10" a="1"/>
  <c r="BE891" i="10" s="1"/>
  <c r="CS891" i="10"/>
  <c r="BS891" i="10"/>
  <c r="CF891" i="10"/>
  <c r="BG891" i="10"/>
  <c r="CO891" i="10"/>
  <c r="BW891" i="10"/>
  <c r="CD891" i="10" a="1"/>
  <c r="CD891" i="10" s="1"/>
  <c r="CK891" i="10"/>
  <c r="AO891" i="10"/>
  <c r="BJ891" i="10"/>
  <c r="CH890" i="10"/>
  <c r="CI890" i="10" s="1"/>
  <c r="CJ890" i="10" s="1" a="1"/>
  <c r="CJ890" i="10" s="1"/>
  <c r="CE880" i="10"/>
  <c r="BO879" i="10"/>
  <c r="BF877" i="10"/>
  <c r="CE874" i="10"/>
  <c r="CP874" i="10" s="1"/>
  <c r="CQ874" i="10" s="1"/>
  <c r="BF874" i="10"/>
  <c r="BX874" i="10" s="1"/>
  <c r="BY874" i="10" s="1"/>
  <c r="BU874" i="10"/>
  <c r="BV874" i="10" s="1" a="1"/>
  <c r="BV874" i="10" s="1"/>
  <c r="BY870" i="10"/>
  <c r="BF870" i="10"/>
  <c r="BF866" i="10"/>
  <c r="BX866" i="10" s="1"/>
  <c r="BY866" i="10" s="1"/>
  <c r="BU866" i="10"/>
  <c r="BF862" i="10"/>
  <c r="BX862" i="10" s="1"/>
  <c r="BY862" i="10" s="1"/>
  <c r="CE861" i="10"/>
  <c r="CQ858" i="10"/>
  <c r="CR858" i="10" s="1" a="1"/>
  <c r="CR858" i="10" s="1"/>
  <c r="BF858" i="10"/>
  <c r="BX858" i="10" s="1"/>
  <c r="BY858" i="10" s="1"/>
  <c r="CE857" i="10"/>
  <c r="CQ854" i="10"/>
  <c r="CR854" i="10" s="1" a="1"/>
  <c r="CR854" i="10" s="1"/>
  <c r="BY854" i="10"/>
  <c r="CA854" i="10" s="1" a="1"/>
  <c r="CA854" i="10" s="1"/>
  <c r="BF854" i="10"/>
  <c r="CE853" i="10"/>
  <c r="BF847" i="10"/>
  <c r="BL846" i="10"/>
  <c r="BM846" i="10" s="1"/>
  <c r="BN846" i="10" s="1" a="1"/>
  <c r="BN846" i="10" s="1"/>
  <c r="CE844" i="10"/>
  <c r="BX842" i="10"/>
  <c r="BY842" i="10" s="1"/>
  <c r="CL842" i="10"/>
  <c r="BT842" i="10"/>
  <c r="BU842" i="10" s="1"/>
  <c r="CH842" i="10"/>
  <c r="BF839" i="10"/>
  <c r="CE837" i="10"/>
  <c r="CH837" i="10" s="1"/>
  <c r="CI837" i="10" s="1"/>
  <c r="CJ837" i="10" s="1" a="1"/>
  <c r="CJ837" i="10" s="1"/>
  <c r="BF835" i="10"/>
  <c r="CP829" i="10"/>
  <c r="CQ829" i="10" s="1"/>
  <c r="CR829" i="10" s="1" a="1"/>
  <c r="CR829" i="10" s="1"/>
  <c r="CE817" i="10"/>
  <c r="CL817" i="10" s="1"/>
  <c r="CM817" i="10"/>
  <c r="BJ975" i="10"/>
  <c r="BJ971" i="10"/>
  <c r="BP971" i="10" s="1"/>
  <c r="BQ971" i="10" s="1"/>
  <c r="BJ967" i="10"/>
  <c r="BP967" i="10" s="1"/>
  <c r="BQ967" i="10" s="1"/>
  <c r="BJ963" i="10"/>
  <c r="BP963" i="10" s="1"/>
  <c r="BQ963" i="10" s="1"/>
  <c r="CF960" i="10"/>
  <c r="BS960" i="10"/>
  <c r="BJ959" i="10"/>
  <c r="CF956" i="10"/>
  <c r="BS956" i="10"/>
  <c r="BJ955" i="10"/>
  <c r="BX955" i="10" s="1"/>
  <c r="BY955" i="10" s="1"/>
  <c r="CO953" i="10"/>
  <c r="CF952" i="10"/>
  <c r="BS952" i="10"/>
  <c r="BJ951" i="10"/>
  <c r="BX951" i="10" s="1"/>
  <c r="BY951" i="10" s="1"/>
  <c r="CO949" i="10"/>
  <c r="CF948" i="10"/>
  <c r="BS948" i="10"/>
  <c r="BJ947" i="10"/>
  <c r="BX947" i="10" s="1"/>
  <c r="BY947" i="10" s="1"/>
  <c r="CO945" i="10"/>
  <c r="CF944" i="10"/>
  <c r="BS944" i="10"/>
  <c r="BJ943" i="10"/>
  <c r="CO941" i="10"/>
  <c r="CF940" i="10"/>
  <c r="BS940" i="10"/>
  <c r="BJ939" i="10"/>
  <c r="BX939" i="10" s="1"/>
  <c r="BY939" i="10" s="1"/>
  <c r="CO937" i="10"/>
  <c r="CF936" i="10"/>
  <c r="BS936" i="10"/>
  <c r="BJ935" i="10"/>
  <c r="BX935" i="10" s="1"/>
  <c r="BY935" i="10" s="1"/>
  <c r="CO933" i="10"/>
  <c r="CF932" i="10"/>
  <c r="BS932" i="10"/>
  <c r="BJ931" i="10"/>
  <c r="CO929" i="10"/>
  <c r="CF928" i="10"/>
  <c r="BS928" i="10"/>
  <c r="BJ927" i="10"/>
  <c r="CO925" i="10"/>
  <c r="CF924" i="10"/>
  <c r="BS924" i="10"/>
  <c r="BJ923" i="10"/>
  <c r="CO921" i="10"/>
  <c r="CF920" i="10"/>
  <c r="BJ919" i="10"/>
  <c r="CO917" i="10"/>
  <c r="CF916" i="10"/>
  <c r="BJ915" i="10"/>
  <c r="CO913" i="10"/>
  <c r="CF912" i="10"/>
  <c r="BJ911" i="10"/>
  <c r="BP911" i="10" s="1"/>
  <c r="BQ911" i="10" s="1"/>
  <c r="CO909" i="10"/>
  <c r="CF908" i="10"/>
  <c r="BJ907" i="10"/>
  <c r="BP907" i="10" s="1"/>
  <c r="BQ907" i="10" s="1"/>
  <c r="CF904" i="10"/>
  <c r="BJ903" i="10"/>
  <c r="CO902" i="10"/>
  <c r="CP902" i="10" s="1"/>
  <c r="CF902" i="10"/>
  <c r="CL902" i="10" s="1"/>
  <c r="CM902" i="10" s="1"/>
  <c r="BW902" i="10"/>
  <c r="BF902" i="10"/>
  <c r="BP902" i="10" s="1"/>
  <c r="BQ902" i="10" s="1"/>
  <c r="BR902" i="10" s="1" a="1"/>
  <c r="BR902" i="10" s="1"/>
  <c r="BW901" i="10"/>
  <c r="BX901" i="10" s="1"/>
  <c r="BY901" i="10" s="1"/>
  <c r="CO899" i="10"/>
  <c r="CV898" i="10" a="1"/>
  <c r="CV898" i="10" s="1"/>
  <c r="CM898" i="10"/>
  <c r="CN898" i="10" s="1" a="1"/>
  <c r="CN898" i="10" s="1"/>
  <c r="BG896" i="10"/>
  <c r="BO895" i="10"/>
  <c r="BG892" i="10"/>
  <c r="BO891" i="10"/>
  <c r="BG888" i="10"/>
  <c r="CL888" i="10" s="1"/>
  <c r="CM888" i="10" s="1"/>
  <c r="BH888" i="10"/>
  <c r="BE887" i="10" a="1"/>
  <c r="BE887" i="10" s="1"/>
  <c r="CS887" i="10"/>
  <c r="BS887" i="10"/>
  <c r="CF887" i="10"/>
  <c r="A887" i="10"/>
  <c r="BG887" i="10"/>
  <c r="CO887" i="10"/>
  <c r="BW887" i="10"/>
  <c r="CD887" i="10" a="1"/>
  <c r="CD887" i="10" s="1"/>
  <c r="CK887" i="10"/>
  <c r="AO887" i="10"/>
  <c r="BJ887" i="10"/>
  <c r="CE886" i="10"/>
  <c r="CH886" i="10" s="1"/>
  <c r="CI886" i="10" s="1"/>
  <c r="CJ886" i="10" s="1" a="1"/>
  <c r="CJ886" i="10" s="1"/>
  <c r="CE872" i="10"/>
  <c r="CE868" i="10"/>
  <c r="BF850" i="10"/>
  <c r="BP850" i="10" s="1"/>
  <c r="BQ850" i="10" s="1"/>
  <c r="BR850" i="10" s="1" a="1"/>
  <c r="BR850" i="10" s="1"/>
  <c r="CE849" i="10"/>
  <c r="CT841" i="10"/>
  <c r="CU841" i="10" s="1"/>
  <c r="BF838" i="10"/>
  <c r="BL838" i="10" s="1"/>
  <c r="BM838" i="10" s="1"/>
  <c r="BN838" i="10" s="1" a="1"/>
  <c r="BN838" i="10" s="1"/>
  <c r="BL834" i="10"/>
  <c r="BM834" i="10" s="1"/>
  <c r="BN834" i="10" s="1" a="1"/>
  <c r="BN834" i="10" s="1"/>
  <c r="CE833" i="10"/>
  <c r="CP833" i="10" s="1"/>
  <c r="CQ833" i="10" s="1"/>
  <c r="CP830" i="10"/>
  <c r="BL827" i="10"/>
  <c r="BM827" i="10" s="1"/>
  <c r="BF823" i="10"/>
  <c r="BP823" i="10" s="1"/>
  <c r="BQ823" i="10" s="1"/>
  <c r="CP822" i="10"/>
  <c r="CO900" i="10"/>
  <c r="BE900" i="10" a="1"/>
  <c r="BE900" i="10" s="1"/>
  <c r="BS900" i="10"/>
  <c r="CF900" i="10"/>
  <c r="BT897" i="10"/>
  <c r="BU897" i="10" s="1"/>
  <c r="CT886" i="10"/>
  <c r="CU886" i="10" s="1"/>
  <c r="BG884" i="10"/>
  <c r="BH884" i="10"/>
  <c r="BE883" i="10" a="1"/>
  <c r="BE883" i="10" s="1"/>
  <c r="CS883" i="10"/>
  <c r="BS883" i="10"/>
  <c r="CF883" i="10"/>
  <c r="A883" i="10"/>
  <c r="BG883" i="10"/>
  <c r="CO883" i="10"/>
  <c r="BW883" i="10"/>
  <c r="CD883" i="10" a="1"/>
  <c r="CD883" i="10" s="1"/>
  <c r="CK883" i="10"/>
  <c r="AO883" i="10"/>
  <c r="BJ883" i="10"/>
  <c r="CE882" i="10"/>
  <c r="CH882" i="10" s="1"/>
  <c r="CI882" i="10" s="1"/>
  <c r="CJ882" i="10" s="1" a="1"/>
  <c r="CJ882" i="10" s="1"/>
  <c r="CE878" i="10"/>
  <c r="CH878" i="10" s="1"/>
  <c r="CI878" i="10" s="1"/>
  <c r="CJ878" i="10" s="1" a="1"/>
  <c r="CJ878" i="10" s="1"/>
  <c r="BT874" i="10"/>
  <c r="CH874" i="10"/>
  <c r="CI874" i="10" s="1"/>
  <c r="CJ874" i="10" s="1" a="1"/>
  <c r="CJ874" i="10" s="1"/>
  <c r="BT870" i="10"/>
  <c r="BU870" i="10" s="1"/>
  <c r="BV870" i="10" s="1" a="1"/>
  <c r="BV870" i="10" s="1"/>
  <c r="CH870" i="10"/>
  <c r="CI870" i="10" s="1"/>
  <c r="BT866" i="10"/>
  <c r="CH866" i="10"/>
  <c r="CI866" i="10" s="1"/>
  <c r="CE864" i="10"/>
  <c r="CW862" i="10" a="1"/>
  <c r="CW862" i="10" s="1"/>
  <c r="BT862" i="10"/>
  <c r="BU862" i="10" s="1"/>
  <c r="BV862" i="10" s="1" a="1"/>
  <c r="BV862" i="10" s="1"/>
  <c r="CH862" i="10"/>
  <c r="CI862" i="10" s="1"/>
  <c r="BT858" i="10"/>
  <c r="BU858" i="10" s="1"/>
  <c r="BV858" i="10" s="1" a="1"/>
  <c r="BV858" i="10" s="1"/>
  <c r="CH858" i="10"/>
  <c r="CI858" i="10" s="1"/>
  <c r="CJ858" i="10" s="1" a="1"/>
  <c r="CJ858" i="10" s="1"/>
  <c r="BT854" i="10"/>
  <c r="BU854" i="10" s="1"/>
  <c r="CH854" i="10"/>
  <c r="CI854" i="10" s="1"/>
  <c r="CJ854" i="10" s="1" a="1"/>
  <c r="CJ854" i="10" s="1"/>
  <c r="BF845" i="10"/>
  <c r="CP841" i="10"/>
  <c r="CQ841" i="10" s="1"/>
  <c r="CR841" i="10" s="1" a="1"/>
  <c r="CR841" i="10" s="1"/>
  <c r="CE840" i="10"/>
  <c r="CT837" i="10"/>
  <c r="CU837" i="10" s="1"/>
  <c r="BF834" i="10"/>
  <c r="BX834" i="10" s="1"/>
  <c r="BY834" i="10" s="1"/>
  <c r="BF831" i="10"/>
  <c r="CL826" i="10"/>
  <c r="CT825" i="10"/>
  <c r="BJ960" i="10"/>
  <c r="BP960" i="10" s="1"/>
  <c r="BQ960" i="10" s="1"/>
  <c r="BJ956" i="10"/>
  <c r="BL956" i="10" s="1"/>
  <c r="BM956" i="10" s="1"/>
  <c r="BN956" i="10" s="1" a="1"/>
  <c r="BN956" i="10" s="1"/>
  <c r="CF953" i="10"/>
  <c r="BJ952" i="10"/>
  <c r="BL952" i="10" s="1"/>
  <c r="BM952" i="10" s="1"/>
  <c r="BN952" i="10" s="1" a="1"/>
  <c r="BN952" i="10" s="1"/>
  <c r="CF949" i="10"/>
  <c r="BJ948" i="10"/>
  <c r="BL948" i="10" s="1"/>
  <c r="BM948" i="10" s="1"/>
  <c r="BN948" i="10" s="1" a="1"/>
  <c r="BN948" i="10" s="1"/>
  <c r="CF945" i="10"/>
  <c r="BJ944" i="10"/>
  <c r="BP944" i="10" s="1"/>
  <c r="BQ944" i="10" s="1"/>
  <c r="CF941" i="10"/>
  <c r="BJ940" i="10"/>
  <c r="BL940" i="10" s="1"/>
  <c r="BM940" i="10" s="1"/>
  <c r="BN940" i="10" s="1" a="1"/>
  <c r="BN940" i="10" s="1"/>
  <c r="CF937" i="10"/>
  <c r="BJ936" i="10"/>
  <c r="BL936" i="10" s="1"/>
  <c r="BM936" i="10" s="1"/>
  <c r="BN936" i="10" s="1" a="1"/>
  <c r="BN936" i="10" s="1"/>
  <c r="CF933" i="10"/>
  <c r="BJ932" i="10"/>
  <c r="BP932" i="10" s="1"/>
  <c r="BQ932" i="10" s="1"/>
  <c r="CF929" i="10"/>
  <c r="BJ928" i="10"/>
  <c r="BL928" i="10" s="1"/>
  <c r="BM928" i="10" s="1"/>
  <c r="BN928" i="10" s="1" a="1"/>
  <c r="BN928" i="10" s="1"/>
  <c r="CF925" i="10"/>
  <c r="BJ924" i="10"/>
  <c r="BP924" i="10" s="1"/>
  <c r="BQ924" i="10" s="1"/>
  <c r="CF921" i="10"/>
  <c r="CF917" i="10"/>
  <c r="CF913" i="10"/>
  <c r="CO906" i="10"/>
  <c r="CQ902" i="10"/>
  <c r="CR902" i="10" s="1" a="1"/>
  <c r="CR902" i="10" s="1"/>
  <c r="A896" i="10"/>
  <c r="CO896" i="10"/>
  <c r="BE896" i="10" a="1"/>
  <c r="BE896" i="10" s="1"/>
  <c r="CS896" i="10"/>
  <c r="BS896" i="10"/>
  <c r="CF896" i="10"/>
  <c r="CP894" i="10"/>
  <c r="CQ894" i="10" s="1"/>
  <c r="BX893" i="10"/>
  <c r="BY893" i="10" s="1"/>
  <c r="CA893" i="10" a="1"/>
  <c r="CA893" i="10" s="1"/>
  <c r="A892" i="10"/>
  <c r="CO892" i="10"/>
  <c r="BE892" i="10" a="1"/>
  <c r="BE892" i="10" s="1"/>
  <c r="CS892" i="10"/>
  <c r="BS892" i="10"/>
  <c r="CF892" i="10"/>
  <c r="CP890" i="10"/>
  <c r="CQ890" i="10"/>
  <c r="CR890" i="10" s="1" a="1"/>
  <c r="CR890" i="10" s="1"/>
  <c r="CP886" i="10"/>
  <c r="CQ886" i="10" s="1"/>
  <c r="BG880" i="10"/>
  <c r="BH880" i="10"/>
  <c r="BP874" i="10"/>
  <c r="BQ874" i="10" s="1"/>
  <c r="CP870" i="10"/>
  <c r="CQ870" i="10" s="1"/>
  <c r="BP870" i="10"/>
  <c r="BQ870" i="10" s="1"/>
  <c r="CP866" i="10"/>
  <c r="CQ866" i="10" s="1"/>
  <c r="BP866" i="10"/>
  <c r="BQ866" i="10" s="1"/>
  <c r="CP862" i="10"/>
  <c r="CQ862" i="10" s="1"/>
  <c r="CE860" i="10"/>
  <c r="CT858" i="10"/>
  <c r="CU858" i="10" s="1"/>
  <c r="CV858" i="10" s="1" a="1"/>
  <c r="CV858" i="10" s="1"/>
  <c r="CE856" i="10"/>
  <c r="CT854" i="10"/>
  <c r="CU854" i="10" s="1"/>
  <c r="CV854" i="10" s="1" a="1"/>
  <c r="CV854" i="10" s="1"/>
  <c r="BX850" i="10"/>
  <c r="BY850" i="10" s="1"/>
  <c r="CL850" i="10"/>
  <c r="CM850" i="10" s="1"/>
  <c r="BL850" i="10"/>
  <c r="BM850" i="10" s="1"/>
  <c r="BN850" i="10" s="1" a="1"/>
  <c r="BN850" i="10" s="1"/>
  <c r="BT850" i="10"/>
  <c r="BU850" i="10" s="1"/>
  <c r="BV850" i="10" s="1" a="1"/>
  <c r="BV850" i="10" s="1"/>
  <c r="CH850" i="10"/>
  <c r="CI850" i="10" s="1"/>
  <c r="CJ850" i="10" s="1" a="1"/>
  <c r="CJ850" i="10" s="1"/>
  <c r="CP842" i="10"/>
  <c r="CL841" i="10"/>
  <c r="CM841" i="10" s="1"/>
  <c r="CH841" i="10"/>
  <c r="CI841" i="10" s="1"/>
  <c r="CJ841" i="10" s="1" a="1"/>
  <c r="CJ841" i="10" s="1"/>
  <c r="BX838" i="10"/>
  <c r="BY838" i="10" s="1"/>
  <c r="CL838" i="10"/>
  <c r="CH838" i="10"/>
  <c r="CT833" i="10"/>
  <c r="CU833" i="10" s="1"/>
  <c r="BL830" i="10"/>
  <c r="BM830" i="10" s="1"/>
  <c r="BN830" i="10" s="1" a="1"/>
  <c r="BN830" i="10" s="1"/>
  <c r="CP814" i="10"/>
  <c r="CO897" i="10"/>
  <c r="CP897" i="10" s="1"/>
  <c r="CQ897" i="10" s="1"/>
  <c r="CW894" i="10" a="1"/>
  <c r="CW894" i="10" s="1"/>
  <c r="CO893" i="10"/>
  <c r="CP893" i="10" s="1"/>
  <c r="CQ893" i="10" s="1"/>
  <c r="CW890" i="10" a="1"/>
  <c r="CW890" i="10" s="1"/>
  <c r="CO889" i="10"/>
  <c r="BG889" i="10"/>
  <c r="BT889" i="10" s="1"/>
  <c r="BU889" i="10" s="1"/>
  <c r="CF888" i="10"/>
  <c r="BS888" i="10"/>
  <c r="CW886" i="10" a="1"/>
  <c r="CW886" i="10" s="1"/>
  <c r="CO885" i="10"/>
  <c r="CP885" i="10" s="1"/>
  <c r="CQ885" i="10" s="1"/>
  <c r="BG885" i="10"/>
  <c r="CF884" i="10"/>
  <c r="BS884" i="10"/>
  <c r="CO881" i="10"/>
  <c r="CP881" i="10" s="1"/>
  <c r="CQ881" i="10" s="1"/>
  <c r="BG881" i="10"/>
  <c r="CF880" i="10"/>
  <c r="BS880" i="10"/>
  <c r="CO877" i="10"/>
  <c r="CP877" i="10" s="1"/>
  <c r="CQ877" i="10" s="1"/>
  <c r="BG877" i="10"/>
  <c r="CF876" i="10"/>
  <c r="BS876" i="10"/>
  <c r="BJ875" i="10"/>
  <c r="AO875" i="10"/>
  <c r="CO873" i="10"/>
  <c r="CP873" i="10" s="1"/>
  <c r="CQ873" i="10" s="1"/>
  <c r="BG873" i="10"/>
  <c r="CT873" i="10" s="1"/>
  <c r="CU873" i="10" s="1"/>
  <c r="CF872" i="10"/>
  <c r="BS872" i="10"/>
  <c r="BJ871" i="10"/>
  <c r="AO871" i="10"/>
  <c r="CW870" i="10" a="1"/>
  <c r="CW870" i="10" s="1"/>
  <c r="CO869" i="10"/>
  <c r="BG869" i="10"/>
  <c r="CL869" i="10" s="1"/>
  <c r="CM869" i="10" s="1"/>
  <c r="CF868" i="10"/>
  <c r="BS868" i="10"/>
  <c r="BJ867" i="10"/>
  <c r="AO867" i="10"/>
  <c r="CW866" i="10" a="1"/>
  <c r="CW866" i="10" s="1"/>
  <c r="BG865" i="10"/>
  <c r="BT865" i="10" s="1"/>
  <c r="BU865" i="10" s="1"/>
  <c r="CF864" i="10"/>
  <c r="BS864" i="10"/>
  <c r="BJ863" i="10"/>
  <c r="AO863" i="10"/>
  <c r="BP862" i="10"/>
  <c r="BQ862" i="10" s="1"/>
  <c r="BG861" i="10"/>
  <c r="CL861" i="10" s="1"/>
  <c r="CM861" i="10" s="1"/>
  <c r="CF860" i="10"/>
  <c r="BS860" i="10"/>
  <c r="BJ859" i="10"/>
  <c r="AO859" i="10"/>
  <c r="BP858" i="10"/>
  <c r="BQ858" i="10" s="1"/>
  <c r="BG857" i="10"/>
  <c r="CF856" i="10"/>
  <c r="BS856" i="10"/>
  <c r="BJ855" i="10"/>
  <c r="AO855" i="10"/>
  <c r="BP854" i="10"/>
  <c r="BQ854" i="10" s="1"/>
  <c r="BG853" i="10"/>
  <c r="BT853" i="10" s="1"/>
  <c r="BU853" i="10" s="1"/>
  <c r="CF852" i="10"/>
  <c r="BS852" i="10"/>
  <c r="BJ851" i="10"/>
  <c r="AO851" i="10"/>
  <c r="CQ850" i="10"/>
  <c r="CV850" i="10" s="1" a="1"/>
  <c r="CV850" i="10" s="1"/>
  <c r="BG849" i="10"/>
  <c r="CT849" i="10" s="1"/>
  <c r="CU849" i="10" s="1"/>
  <c r="CF848" i="10"/>
  <c r="BS848" i="10"/>
  <c r="BJ847" i="10"/>
  <c r="AO847" i="10"/>
  <c r="CQ846" i="10"/>
  <c r="CR846" i="10" s="1" a="1"/>
  <c r="CR846" i="10" s="1"/>
  <c r="BP846" i="10"/>
  <c r="BQ846" i="10" s="1"/>
  <c r="BG845" i="10"/>
  <c r="CT845" i="10" s="1"/>
  <c r="CU845" i="10" s="1"/>
  <c r="BJ843" i="10"/>
  <c r="AO843" i="10"/>
  <c r="CQ842" i="10"/>
  <c r="CV842" i="10" s="1" a="1"/>
  <c r="CV842" i="10" s="1"/>
  <c r="BP842" i="10"/>
  <c r="BQ842" i="10" s="1"/>
  <c r="BR842" i="10" s="1" a="1"/>
  <c r="BR842" i="10" s="1"/>
  <c r="BJ839" i="10"/>
  <c r="AO839" i="10"/>
  <c r="CQ838" i="10"/>
  <c r="CR838" i="10" s="1" a="1"/>
  <c r="CR838" i="10" s="1"/>
  <c r="BP838" i="10"/>
  <c r="BQ838" i="10" s="1"/>
  <c r="BR838" i="10" s="1" a="1"/>
  <c r="BR838" i="10" s="1"/>
  <c r="CQ834" i="10"/>
  <c r="CR834" i="10" s="1" a="1"/>
  <c r="CR834" i="10" s="1"/>
  <c r="BP834" i="10"/>
  <c r="BQ834" i="10" s="1"/>
  <c r="BR834" i="10" s="1" a="1"/>
  <c r="BR834" i="10" s="1"/>
  <c r="CQ830" i="10"/>
  <c r="CR830" i="10" s="1" a="1"/>
  <c r="CR830" i="10" s="1"/>
  <c r="BP830" i="10"/>
  <c r="BQ830" i="10" s="1"/>
  <c r="CQ826" i="10"/>
  <c r="CR826" i="10" s="1" a="1"/>
  <c r="CR826" i="10" s="1"/>
  <c r="CQ822" i="10"/>
  <c r="CR822" i="10" s="1" a="1"/>
  <c r="CR822" i="10" s="1"/>
  <c r="BS820" i="10"/>
  <c r="CF820" i="10"/>
  <c r="BW820" i="10"/>
  <c r="CD820" i="10" a="1"/>
  <c r="CD820" i="10" s="1"/>
  <c r="CK820" i="10"/>
  <c r="A820" i="10"/>
  <c r="CK810" i="10"/>
  <c r="BG810" i="10"/>
  <c r="BG801" i="10"/>
  <c r="CE767" i="10"/>
  <c r="CE751" i="10"/>
  <c r="BF740" i="10"/>
  <c r="CJ894" i="10" a="1"/>
  <c r="CJ894" i="10" s="1"/>
  <c r="CS888" i="10"/>
  <c r="CT888" i="10" s="1"/>
  <c r="CU888" i="10" s="1"/>
  <c r="BE888" i="10" a="1"/>
  <c r="BE888" i="10" s="1"/>
  <c r="CS884" i="10"/>
  <c r="BE884" i="10" a="1"/>
  <c r="BE884" i="10" s="1"/>
  <c r="CS880" i="10"/>
  <c r="CT880" i="10" s="1"/>
  <c r="CU880" i="10" s="1"/>
  <c r="BE880" i="10" a="1"/>
  <c r="BE880" i="10" s="1"/>
  <c r="CS876" i="10"/>
  <c r="CT876" i="10" s="1"/>
  <c r="CU876" i="10" s="1"/>
  <c r="BE876" i="10" a="1"/>
  <c r="BE876" i="10" s="1"/>
  <c r="CK875" i="10"/>
  <c r="CD875" i="10" a="1"/>
  <c r="CD875" i="10" s="1"/>
  <c r="BW875" i="10"/>
  <c r="CS872" i="10"/>
  <c r="BE872" i="10" a="1"/>
  <c r="BE872" i="10" s="1"/>
  <c r="CK871" i="10"/>
  <c r="CD871" i="10" a="1"/>
  <c r="CD871" i="10" s="1"/>
  <c r="BW871" i="10"/>
  <c r="CJ870" i="10" a="1"/>
  <c r="CJ870" i="10" s="1"/>
  <c r="CS868" i="10"/>
  <c r="BE868" i="10" a="1"/>
  <c r="BE868" i="10" s="1"/>
  <c r="CK867" i="10"/>
  <c r="CD867" i="10" a="1"/>
  <c r="CD867" i="10" s="1"/>
  <c r="BW867" i="10"/>
  <c r="CJ866" i="10" a="1"/>
  <c r="CJ866" i="10" s="1"/>
  <c r="CS864" i="10"/>
  <c r="BE864" i="10" a="1"/>
  <c r="BE864" i="10" s="1"/>
  <c r="CK863" i="10"/>
  <c r="CD863" i="10" a="1"/>
  <c r="CD863" i="10" s="1"/>
  <c r="BW863" i="10"/>
  <c r="CJ862" i="10" a="1"/>
  <c r="CJ862" i="10" s="1"/>
  <c r="CS860" i="10"/>
  <c r="BE860" i="10" a="1"/>
  <c r="BE860" i="10" s="1"/>
  <c r="CK859" i="10"/>
  <c r="CD859" i="10" a="1"/>
  <c r="CD859" i="10" s="1"/>
  <c r="BW859" i="10"/>
  <c r="CS856" i="10"/>
  <c r="BE856" i="10" a="1"/>
  <c r="BE856" i="10" s="1"/>
  <c r="CK855" i="10"/>
  <c r="CD855" i="10" a="1"/>
  <c r="CD855" i="10" s="1"/>
  <c r="BW855" i="10"/>
  <c r="CS852" i="10"/>
  <c r="BE852" i="10" a="1"/>
  <c r="BE852" i="10" s="1"/>
  <c r="CK851" i="10"/>
  <c r="CD851" i="10" a="1"/>
  <c r="CD851" i="10" s="1"/>
  <c r="BW851" i="10"/>
  <c r="CS848" i="10"/>
  <c r="BE848" i="10" a="1"/>
  <c r="BE848" i="10" s="1"/>
  <c r="CK847" i="10"/>
  <c r="CD847" i="10" a="1"/>
  <c r="CD847" i="10" s="1"/>
  <c r="BW847" i="10"/>
  <c r="CS844" i="10"/>
  <c r="BE844" i="10" a="1"/>
  <c r="BE844" i="10" s="1"/>
  <c r="CK843" i="10"/>
  <c r="CD843" i="10" a="1"/>
  <c r="CD843" i="10" s="1"/>
  <c r="BW843" i="10"/>
  <c r="CS840" i="10"/>
  <c r="BE840" i="10" a="1"/>
  <c r="BE840" i="10" s="1"/>
  <c r="CK839" i="10"/>
  <c r="CD839" i="10" a="1"/>
  <c r="CD839" i="10" s="1"/>
  <c r="BW839" i="10"/>
  <c r="BF837" i="10"/>
  <c r="BP837" i="10" s="1"/>
  <c r="BQ837" i="10" s="1"/>
  <c r="CS836" i="10"/>
  <c r="CT836" i="10" s="1"/>
  <c r="CU836" i="10" s="1"/>
  <c r="CE836" i="10"/>
  <c r="CP836" i="10" s="1"/>
  <c r="CQ836" i="10" s="1"/>
  <c r="BE836" i="10" a="1"/>
  <c r="BE836" i="10" s="1"/>
  <c r="CK835" i="10"/>
  <c r="CD835" i="10" a="1"/>
  <c r="CD835" i="10" s="1"/>
  <c r="BW835" i="10"/>
  <c r="CH833" i="10"/>
  <c r="CI833" i="10" s="1"/>
  <c r="CJ833" i="10" s="1" a="1"/>
  <c r="CJ833" i="10" s="1"/>
  <c r="BF833" i="10"/>
  <c r="BX833" i="10" s="1"/>
  <c r="BY833" i="10" s="1"/>
  <c r="CS832" i="10"/>
  <c r="CE832" i="10"/>
  <c r="CL832" i="10" s="1"/>
  <c r="CM832" i="10" s="1"/>
  <c r="BE832" i="10" a="1"/>
  <c r="BE832" i="10" s="1"/>
  <c r="CK831" i="10"/>
  <c r="CD831" i="10" a="1"/>
  <c r="CD831" i="10" s="1"/>
  <c r="BW831" i="10"/>
  <c r="CU829" i="10"/>
  <c r="CV829" i="10" s="1" a="1"/>
  <c r="CV829" i="10" s="1"/>
  <c r="CH829" i="10"/>
  <c r="CI829" i="10" s="1"/>
  <c r="CJ829" i="10" s="1" a="1"/>
  <c r="CJ829" i="10" s="1"/>
  <c r="BF829" i="10"/>
  <c r="BT829" i="10" s="1"/>
  <c r="BU829" i="10" s="1"/>
  <c r="CS828" i="10"/>
  <c r="CT828" i="10" s="1"/>
  <c r="CU828" i="10" s="1"/>
  <c r="CE828" i="10"/>
  <c r="CH828" i="10" s="1"/>
  <c r="CI828" i="10" s="1"/>
  <c r="CJ828" i="10" s="1" a="1"/>
  <c r="CJ828" i="10" s="1"/>
  <c r="BE828" i="10" a="1"/>
  <c r="BE828" i="10" s="1"/>
  <c r="CK827" i="10"/>
  <c r="CD827" i="10" a="1"/>
  <c r="CD827" i="10" s="1"/>
  <c r="BW827" i="10"/>
  <c r="BX827" i="10" s="1"/>
  <c r="BY827" i="10" s="1"/>
  <c r="CU825" i="10"/>
  <c r="CV825" i="10" s="1" a="1"/>
  <c r="CV825" i="10" s="1"/>
  <c r="CH825" i="10"/>
  <c r="CI825" i="10" s="1"/>
  <c r="CJ825" i="10" s="1" a="1"/>
  <c r="CJ825" i="10" s="1"/>
  <c r="BF825" i="10"/>
  <c r="BT825" i="10" s="1"/>
  <c r="BU825" i="10" s="1"/>
  <c r="CS824" i="10"/>
  <c r="CT824" i="10" s="1"/>
  <c r="CU824" i="10" s="1"/>
  <c r="CM824" i="10"/>
  <c r="CE824" i="10"/>
  <c r="CL824" i="10" s="1"/>
  <c r="BE824" i="10" a="1"/>
  <c r="BE824" i="10" s="1"/>
  <c r="CK823" i="10"/>
  <c r="CD823" i="10" a="1"/>
  <c r="CD823" i="10" s="1"/>
  <c r="BW823" i="10"/>
  <c r="BX823" i="10" s="1"/>
  <c r="BY823" i="10" s="1"/>
  <c r="BJ821" i="10"/>
  <c r="CP819" i="10"/>
  <c r="CQ819" i="10" s="1"/>
  <c r="CR819" i="10" s="1" a="1"/>
  <c r="CR819" i="10" s="1"/>
  <c r="BG819" i="10"/>
  <c r="CT819" i="10" s="1"/>
  <c r="CU819" i="10" s="1"/>
  <c r="CW818" i="10" a="1"/>
  <c r="CW818" i="10" s="1"/>
  <c r="AO818" i="10"/>
  <c r="BJ818" i="10"/>
  <c r="BL818" i="10" s="1"/>
  <c r="BM818" i="10" s="1"/>
  <c r="BN818" i="10" s="1" a="1"/>
  <c r="BN818" i="10" s="1"/>
  <c r="A818" i="10"/>
  <c r="CO817" i="10"/>
  <c r="CP817" i="10" s="1"/>
  <c r="CQ817" i="10" s="1"/>
  <c r="CR817" i="10" s="1" a="1"/>
  <c r="CR817" i="10" s="1"/>
  <c r="BE817" i="10" a="1"/>
  <c r="BE817" i="10" s="1"/>
  <c r="CS817" i="10"/>
  <c r="CT817" i="10" s="1"/>
  <c r="CU817" i="10" s="1"/>
  <c r="CL815" i="10"/>
  <c r="CM815" i="10" s="1"/>
  <c r="CN815" i="10" s="1" a="1"/>
  <c r="CN815" i="10" s="1"/>
  <c r="AO814" i="10"/>
  <c r="BJ814" i="10"/>
  <c r="BL814" i="10" s="1"/>
  <c r="BM814" i="10" s="1"/>
  <c r="BN814" i="10" s="1" a="1"/>
  <c r="BN814" i="10" s="1"/>
  <c r="A814" i="10"/>
  <c r="BO813" i="10"/>
  <c r="BF808" i="10"/>
  <c r="BG806" i="10"/>
  <c r="BF804" i="10"/>
  <c r="CE803" i="10"/>
  <c r="AO782" i="10"/>
  <c r="BJ782" i="10"/>
  <c r="BS782" i="10"/>
  <c r="CF782" i="10"/>
  <c r="A782" i="10"/>
  <c r="CO782" i="10"/>
  <c r="BW782" i="10"/>
  <c r="CD782" i="10" a="1"/>
  <c r="CD782" i="10" s="1"/>
  <c r="CK782" i="10"/>
  <c r="BE782" i="10" a="1"/>
  <c r="BE782" i="10" s="1"/>
  <c r="CS782" i="10"/>
  <c r="BO782" i="10"/>
  <c r="CE779" i="10"/>
  <c r="CE777" i="10"/>
  <c r="BF776" i="10"/>
  <c r="BF732" i="10"/>
  <c r="BL732" i="10" s="1"/>
  <c r="BM732" i="10" s="1"/>
  <c r="BN732" i="10" s="1" a="1"/>
  <c r="BN732" i="10" s="1"/>
  <c r="BE714" i="10" a="1"/>
  <c r="BE714" i="10" s="1"/>
  <c r="CS714" i="10"/>
  <c r="BS714" i="10"/>
  <c r="CF714" i="10"/>
  <c r="A714" i="10"/>
  <c r="CO714" i="10"/>
  <c r="CK714" i="10"/>
  <c r="AO714" i="10"/>
  <c r="BW714" i="10"/>
  <c r="BJ714" i="10"/>
  <c r="BO714" i="10"/>
  <c r="CD714" i="10" a="1"/>
  <c r="CD714" i="10" s="1"/>
  <c r="CJ704" i="10" a="1"/>
  <c r="CJ704" i="10" s="1"/>
  <c r="BH666" i="10"/>
  <c r="BG666" i="10"/>
  <c r="CI846" i="10"/>
  <c r="CJ846" i="10" s="1" a="1"/>
  <c r="CJ846" i="10" s="1"/>
  <c r="CI842" i="10"/>
  <c r="CJ842" i="10" s="1" a="1"/>
  <c r="CJ842" i="10" s="1"/>
  <c r="CI838" i="10"/>
  <c r="CJ838" i="10" s="1" a="1"/>
  <c r="CJ838" i="10" s="1"/>
  <c r="CI834" i="10"/>
  <c r="CJ834" i="10" s="1" a="1"/>
  <c r="CJ834" i="10" s="1"/>
  <c r="CI826" i="10"/>
  <c r="CJ826" i="10" s="1" a="1"/>
  <c r="CJ826" i="10" s="1"/>
  <c r="CI822" i="10"/>
  <c r="CJ822" i="10" s="1" a="1"/>
  <c r="CJ822" i="10" s="1"/>
  <c r="A821" i="10"/>
  <c r="CQ818" i="10"/>
  <c r="CU818" i="10"/>
  <c r="BT818" i="10"/>
  <c r="BU818" i="10" s="1"/>
  <c r="CQ814" i="10"/>
  <c r="BT814" i="10"/>
  <c r="BU814" i="10" s="1"/>
  <c r="AO810" i="10"/>
  <c r="BJ810" i="10"/>
  <c r="BE810" i="10" a="1"/>
  <c r="BE810" i="10" s="1"/>
  <c r="CS810" i="10"/>
  <c r="A810" i="10"/>
  <c r="CO810" i="10"/>
  <c r="AO801" i="10"/>
  <c r="BJ801" i="10"/>
  <c r="BE801" i="10" a="1"/>
  <c r="BE801" i="10" s="1"/>
  <c r="CS801" i="10"/>
  <c r="BS801" i="10"/>
  <c r="CF801" i="10"/>
  <c r="A801" i="10"/>
  <c r="CO801" i="10"/>
  <c r="BO801" i="10"/>
  <c r="CD801" i="10" a="1"/>
  <c r="CD801" i="10" s="1"/>
  <c r="BW801" i="10"/>
  <c r="CK801" i="10"/>
  <c r="BG788" i="10"/>
  <c r="CO788" i="10"/>
  <c r="BW788" i="10"/>
  <c r="CD788" i="10" a="1"/>
  <c r="CD788" i="10" s="1"/>
  <c r="CK788" i="10"/>
  <c r="AO788" i="10"/>
  <c r="BJ788" i="10"/>
  <c r="A788" i="10"/>
  <c r="BO788" i="10"/>
  <c r="CF788" i="10"/>
  <c r="BE788" i="10" a="1"/>
  <c r="BE788" i="10" s="1"/>
  <c r="BS788" i="10"/>
  <c r="CS788" i="10"/>
  <c r="CE783" i="10"/>
  <c r="CE781" i="10"/>
  <c r="BG775" i="10"/>
  <c r="BH775" i="10"/>
  <c r="BF752" i="10"/>
  <c r="AO750" i="10"/>
  <c r="BJ750" i="10"/>
  <c r="BE750" i="10" a="1"/>
  <c r="BE750" i="10" s="1"/>
  <c r="CS750" i="10"/>
  <c r="BS750" i="10"/>
  <c r="CF750" i="10"/>
  <c r="A750" i="10"/>
  <c r="CO750" i="10"/>
  <c r="BW750" i="10"/>
  <c r="CD750" i="10" a="1"/>
  <c r="CD750" i="10" s="1"/>
  <c r="CK750" i="10"/>
  <c r="BO750" i="10"/>
  <c r="BF602" i="10"/>
  <c r="CU838" i="10"/>
  <c r="CV838" i="10" s="1" a="1"/>
  <c r="CV838" i="10" s="1"/>
  <c r="BT838" i="10"/>
  <c r="BU838" i="10" s="1"/>
  <c r="BV838" i="10" s="1" a="1"/>
  <c r="BV838" i="10" s="1"/>
  <c r="CU834" i="10"/>
  <c r="CV834" i="10" s="1" a="1"/>
  <c r="CV834" i="10" s="1"/>
  <c r="CH834" i="10"/>
  <c r="BT834" i="10"/>
  <c r="BU834" i="10" s="1"/>
  <c r="CH830" i="10"/>
  <c r="CI830" i="10" s="1"/>
  <c r="CJ830" i="10" s="1" a="1"/>
  <c r="CJ830" i="10" s="1"/>
  <c r="BT830" i="10"/>
  <c r="BU830" i="10" s="1"/>
  <c r="BV830" i="10" s="1" a="1"/>
  <c r="BV830" i="10" s="1"/>
  <c r="CM829" i="10"/>
  <c r="CN829" i="10" s="1" a="1"/>
  <c r="CN829" i="10" s="1"/>
  <c r="BL829" i="10"/>
  <c r="BM829" i="10" s="1"/>
  <c r="BN829" i="10" s="1" a="1"/>
  <c r="BN829" i="10" s="1"/>
  <c r="CU826" i="10"/>
  <c r="CV826" i="10" s="1" a="1"/>
  <c r="CV826" i="10" s="1"/>
  <c r="CH826" i="10"/>
  <c r="BF826" i="10"/>
  <c r="BX826" i="10" s="1"/>
  <c r="BY826" i="10" s="1"/>
  <c r="BL825" i="10"/>
  <c r="BM825" i="10" s="1"/>
  <c r="BN825" i="10" s="1" a="1"/>
  <c r="BN825" i="10" s="1"/>
  <c r="BW824" i="10"/>
  <c r="CH822" i="10"/>
  <c r="BF822" i="10"/>
  <c r="BT822" i="10" s="1"/>
  <c r="BU822" i="10" s="1"/>
  <c r="CS821" i="10"/>
  <c r="BQ821" i="10"/>
  <c r="BO820" i="10"/>
  <c r="CT815" i="10"/>
  <c r="CU815" i="10" s="1"/>
  <c r="CV815" i="10" s="1" a="1"/>
  <c r="CV815" i="10" s="1"/>
  <c r="CP811" i="10"/>
  <c r="CQ811" i="10" s="1"/>
  <c r="BG811" i="10"/>
  <c r="CT811" i="10" s="1"/>
  <c r="CU811" i="10" s="1"/>
  <c r="CD810" i="10" a="1"/>
  <c r="CD810" i="10" s="1"/>
  <c r="CE807" i="10"/>
  <c r="BF807" i="10"/>
  <c r="BW806" i="10"/>
  <c r="CD806" i="10" a="1"/>
  <c r="CD806" i="10" s="1"/>
  <c r="CK806" i="10"/>
  <c r="AO806" i="10"/>
  <c r="BJ806" i="10"/>
  <c r="BE806" i="10" a="1"/>
  <c r="BE806" i="10" s="1"/>
  <c r="CS806" i="10"/>
  <c r="BS806" i="10"/>
  <c r="CF806" i="10"/>
  <c r="A806" i="10"/>
  <c r="CO806" i="10"/>
  <c r="BF784" i="10"/>
  <c r="BG783" i="10"/>
  <c r="BH783" i="10"/>
  <c r="BX783" i="10" s="1"/>
  <c r="BF780" i="10"/>
  <c r="BF773" i="10"/>
  <c r="CE765" i="10"/>
  <c r="CE763" i="10"/>
  <c r="CO875" i="10"/>
  <c r="BG875" i="10"/>
  <c r="BP875" i="10" s="1"/>
  <c r="BQ875" i="10" s="1"/>
  <c r="CO871" i="10"/>
  <c r="BG871" i="10"/>
  <c r="BP871" i="10" s="1"/>
  <c r="BQ871" i="10" s="1"/>
  <c r="CO867" i="10"/>
  <c r="BG867" i="10"/>
  <c r="BP867" i="10" s="1"/>
  <c r="BQ867" i="10" s="1"/>
  <c r="CO863" i="10"/>
  <c r="BG863" i="10"/>
  <c r="CO859" i="10"/>
  <c r="BG859" i="10"/>
  <c r="BP859" i="10" s="1"/>
  <c r="BQ859" i="10" s="1"/>
  <c r="CO855" i="10"/>
  <c r="BG855" i="10"/>
  <c r="BP855" i="10" s="1"/>
  <c r="BQ855" i="10" s="1"/>
  <c r="CO851" i="10"/>
  <c r="BG851" i="10"/>
  <c r="BP851" i="10" s="1"/>
  <c r="BQ851" i="10" s="1"/>
  <c r="CO847" i="10"/>
  <c r="BG847" i="10"/>
  <c r="CT846" i="10"/>
  <c r="CU846" i="10" s="1"/>
  <c r="CV846" i="10" s="1" a="1"/>
  <c r="CV846" i="10" s="1"/>
  <c r="CO843" i="10"/>
  <c r="BG843" i="10"/>
  <c r="BP843" i="10" s="1"/>
  <c r="BQ843" i="10" s="1"/>
  <c r="CO839" i="10"/>
  <c r="BG839" i="10"/>
  <c r="BT839" i="10" s="1"/>
  <c r="BU839" i="10" s="1"/>
  <c r="CO835" i="10"/>
  <c r="BG835" i="10"/>
  <c r="BG831" i="10"/>
  <c r="BT831" i="10" s="1"/>
  <c r="BU831" i="10" s="1"/>
  <c r="CT830" i="10"/>
  <c r="CU830" i="10" s="1"/>
  <c r="CL829" i="10"/>
  <c r="CT826" i="10"/>
  <c r="CL825" i="10"/>
  <c r="CM825" i="10" s="1"/>
  <c r="CT822" i="10"/>
  <c r="CU822" i="10" s="1"/>
  <c r="BH821" i="10"/>
  <c r="BL821" i="10" s="1"/>
  <c r="CH818" i="10"/>
  <c r="CH814" i="10"/>
  <c r="BF811" i="10"/>
  <c r="AO790" i="10"/>
  <c r="BJ790" i="10"/>
  <c r="BS790" i="10"/>
  <c r="CF790" i="10"/>
  <c r="A790" i="10"/>
  <c r="CO790" i="10"/>
  <c r="BW790" i="10"/>
  <c r="CD790" i="10" a="1"/>
  <c r="CD790" i="10" s="1"/>
  <c r="CK790" i="10"/>
  <c r="BE790" i="10" a="1"/>
  <c r="BE790" i="10" s="1"/>
  <c r="CS790" i="10"/>
  <c r="BO790" i="10"/>
  <c r="CE759" i="10"/>
  <c r="CE707" i="10"/>
  <c r="CE695" i="10"/>
  <c r="BF679" i="10"/>
  <c r="A875" i="10"/>
  <c r="BL874" i="10"/>
  <c r="BM874" i="10" s="1"/>
  <c r="BN874" i="10" s="1" a="1"/>
  <c r="BN874" i="10" s="1"/>
  <c r="BH872" i="10"/>
  <c r="A871" i="10"/>
  <c r="BL870" i="10"/>
  <c r="BM870" i="10" s="1"/>
  <c r="BN870" i="10" s="1" a="1"/>
  <c r="BN870" i="10" s="1"/>
  <c r="BH868" i="10"/>
  <c r="CH868" i="10" s="1"/>
  <c r="CI868" i="10" s="1"/>
  <c r="CJ868" i="10" s="1" a="1"/>
  <c r="CJ868" i="10" s="1"/>
  <c r="A867" i="10"/>
  <c r="BL866" i="10"/>
  <c r="BM866" i="10" s="1"/>
  <c r="BN866" i="10" s="1" a="1"/>
  <c r="BN866" i="10" s="1"/>
  <c r="BH864" i="10"/>
  <c r="CH864" i="10" s="1"/>
  <c r="CI864" i="10" s="1"/>
  <c r="CJ864" i="10" s="1" a="1"/>
  <c r="CJ864" i="10" s="1"/>
  <c r="A863" i="10"/>
  <c r="BL862" i="10"/>
  <c r="BM862" i="10" s="1"/>
  <c r="BN862" i="10" s="1" a="1"/>
  <c r="BN862" i="10" s="1"/>
  <c r="BH860" i="10"/>
  <c r="CL860" i="10" s="1"/>
  <c r="CM860" i="10" s="1"/>
  <c r="A859" i="10"/>
  <c r="BL858" i="10"/>
  <c r="BM858" i="10" s="1"/>
  <c r="BN858" i="10" s="1" a="1"/>
  <c r="BN858" i="10" s="1"/>
  <c r="BH856" i="10"/>
  <c r="CL856" i="10" s="1"/>
  <c r="CM856" i="10" s="1"/>
  <c r="A855" i="10"/>
  <c r="BL854" i="10"/>
  <c r="BM854" i="10" s="1"/>
  <c r="BN854" i="10" s="1" a="1"/>
  <c r="BN854" i="10" s="1"/>
  <c r="BH852" i="10"/>
  <c r="CL852" i="10" s="1"/>
  <c r="CM852" i="10" s="1"/>
  <c r="A851" i="10"/>
  <c r="BH848" i="10"/>
  <c r="A847" i="10"/>
  <c r="CM846" i="10"/>
  <c r="CN846" i="10" s="1" a="1"/>
  <c r="CN846" i="10" s="1"/>
  <c r="BY846" i="10"/>
  <c r="CA846" i="10" s="1" a="1"/>
  <c r="CA846" i="10" s="1"/>
  <c r="BH844" i="10"/>
  <c r="CP844" i="10" s="1"/>
  <c r="CQ844" i="10" s="1"/>
  <c r="A843" i="10"/>
  <c r="CM842" i="10"/>
  <c r="CN842" i="10" s="1" a="1"/>
  <c r="CN842" i="10" s="1"/>
  <c r="BH840" i="10"/>
  <c r="CP840" i="10" s="1"/>
  <c r="CQ840" i="10" s="1"/>
  <c r="A839" i="10"/>
  <c r="CM838" i="10"/>
  <c r="CN838" i="10" s="1" a="1"/>
  <c r="CN838" i="10" s="1"/>
  <c r="A835" i="10"/>
  <c r="CM834" i="10"/>
  <c r="CN834" i="10" s="1" a="1"/>
  <c r="CN834" i="10" s="1"/>
  <c r="A831" i="10"/>
  <c r="CM830" i="10"/>
  <c r="CN830" i="10" s="1" a="1"/>
  <c r="CN830" i="10" s="1"/>
  <c r="A827" i="10"/>
  <c r="CM826" i="10"/>
  <c r="CN826" i="10" s="1" a="1"/>
  <c r="CN826" i="10" s="1"/>
  <c r="CM822" i="10"/>
  <c r="CN822" i="10" s="1" a="1"/>
  <c r="CN822" i="10" s="1"/>
  <c r="CK821" i="10"/>
  <c r="CD821" i="10" a="1"/>
  <c r="CD821" i="10" s="1"/>
  <c r="BO821" i="10"/>
  <c r="BP821" i="10" s="1"/>
  <c r="AO820" i="10"/>
  <c r="CL819" i="10"/>
  <c r="CM819" i="10" s="1"/>
  <c r="CL818" i="10"/>
  <c r="CM818" i="10" s="1"/>
  <c r="CN818" i="10" s="1" a="1"/>
  <c r="CN818" i="10" s="1"/>
  <c r="BP818" i="10"/>
  <c r="BQ818" i="10" s="1"/>
  <c r="BR818" i="10" s="1" a="1"/>
  <c r="BR818" i="10" s="1"/>
  <c r="BM815" i="10"/>
  <c r="BR815" i="10" s="1" a="1"/>
  <c r="BR815" i="10" s="1"/>
  <c r="CL814" i="10"/>
  <c r="CM814" i="10" s="1"/>
  <c r="CN814" i="10" s="1" a="1"/>
  <c r="CN814" i="10" s="1"/>
  <c r="BP814" i="10"/>
  <c r="BQ814" i="10" s="1"/>
  <c r="BR814" i="10" s="1" a="1"/>
  <c r="BR814" i="10" s="1"/>
  <c r="CO813" i="10"/>
  <c r="BW813" i="10"/>
  <c r="CD813" i="10" a="1"/>
  <c r="CD813" i="10" s="1"/>
  <c r="CK813" i="10"/>
  <c r="BE813" i="10" a="1"/>
  <c r="BE813" i="10" s="1"/>
  <c r="CS813" i="10"/>
  <c r="CL811" i="10"/>
  <c r="CM811" i="10" s="1"/>
  <c r="BG807" i="10"/>
  <c r="CP807" i="10" s="1"/>
  <c r="CQ807" i="10" s="1"/>
  <c r="BH807" i="10"/>
  <c r="BO806" i="10"/>
  <c r="CE791" i="10"/>
  <c r="CE789" i="10"/>
  <c r="BP783" i="10"/>
  <c r="BF764" i="10"/>
  <c r="CE749" i="10"/>
  <c r="BJ898" i="10"/>
  <c r="BX898" i="10" s="1"/>
  <c r="BY898" i="10" s="1"/>
  <c r="BJ894" i="10"/>
  <c r="BX894" i="10" s="1"/>
  <c r="BY894" i="10" s="1"/>
  <c r="BJ890" i="10"/>
  <c r="BL890" i="10" s="1"/>
  <c r="BM890" i="10" s="1"/>
  <c r="BN890" i="10" s="1" a="1"/>
  <c r="BN890" i="10" s="1"/>
  <c r="CO888" i="10"/>
  <c r="CP888" i="10" s="1"/>
  <c r="CQ888" i="10" s="1"/>
  <c r="CR888" i="10" s="1" a="1"/>
  <c r="CR888" i="10" s="1"/>
  <c r="BJ886" i="10"/>
  <c r="BX886" i="10" s="1"/>
  <c r="BY886" i="10" s="1"/>
  <c r="CO884" i="10"/>
  <c r="CP884" i="10" s="1"/>
  <c r="CQ884" i="10" s="1"/>
  <c r="BJ882" i="10"/>
  <c r="BL882" i="10" s="1"/>
  <c r="BM882" i="10" s="1"/>
  <c r="BN882" i="10" s="1" a="1"/>
  <c r="BN882" i="10" s="1"/>
  <c r="CO880" i="10"/>
  <c r="CP880" i="10" s="1"/>
  <c r="CQ880" i="10" s="1"/>
  <c r="CO876" i="10"/>
  <c r="CP876" i="10" s="1"/>
  <c r="CQ876" i="10" s="1"/>
  <c r="CR876" i="10" s="1" a="1"/>
  <c r="CR876" i="10" s="1"/>
  <c r="CF875" i="10"/>
  <c r="BS875" i="10"/>
  <c r="BT875" i="10" s="1"/>
  <c r="BU875" i="10" s="1"/>
  <c r="BV875" i="10" s="1" a="1"/>
  <c r="BV875" i="10" s="1"/>
  <c r="CL874" i="10"/>
  <c r="CM874" i="10" s="1"/>
  <c r="CN874" i="10" s="1" a="1"/>
  <c r="CN874" i="10" s="1"/>
  <c r="CO872" i="10"/>
  <c r="CP872" i="10" s="1"/>
  <c r="CQ872" i="10" s="1"/>
  <c r="CF871" i="10"/>
  <c r="BS871" i="10"/>
  <c r="BT871" i="10" s="1"/>
  <c r="BU871" i="10" s="1"/>
  <c r="BV871" i="10" s="1" a="1"/>
  <c r="BV871" i="10" s="1"/>
  <c r="CL870" i="10"/>
  <c r="CM870" i="10" s="1"/>
  <c r="CN870" i="10" s="1" a="1"/>
  <c r="CN870" i="10" s="1"/>
  <c r="CO868" i="10"/>
  <c r="CP868" i="10" s="1"/>
  <c r="CQ868" i="10" s="1"/>
  <c r="CF867" i="10"/>
  <c r="BS867" i="10"/>
  <c r="BT867" i="10" s="1"/>
  <c r="BU867" i="10" s="1"/>
  <c r="BV867" i="10" s="1" a="1"/>
  <c r="BV867" i="10" s="1"/>
  <c r="CL866" i="10"/>
  <c r="CM866" i="10" s="1"/>
  <c r="CN866" i="10" s="1" a="1"/>
  <c r="CN866" i="10" s="1"/>
  <c r="CO864" i="10"/>
  <c r="CP864" i="10" s="1"/>
  <c r="CQ864" i="10" s="1"/>
  <c r="CF863" i="10"/>
  <c r="BS863" i="10"/>
  <c r="BT863" i="10" s="1"/>
  <c r="BU863" i="10" s="1"/>
  <c r="CL862" i="10"/>
  <c r="CM862" i="10" s="1"/>
  <c r="CN862" i="10" s="1" a="1"/>
  <c r="CN862" i="10" s="1"/>
  <c r="CO860" i="10"/>
  <c r="CP860" i="10" s="1"/>
  <c r="CQ860" i="10" s="1"/>
  <c r="CR860" i="10" s="1" a="1"/>
  <c r="CR860" i="10" s="1"/>
  <c r="CF859" i="10"/>
  <c r="BS859" i="10"/>
  <c r="BT859" i="10" s="1"/>
  <c r="BU859" i="10" s="1"/>
  <c r="BV859" i="10" s="1" a="1"/>
  <c r="BV859" i="10" s="1"/>
  <c r="CL858" i="10"/>
  <c r="CM858" i="10" s="1"/>
  <c r="CN858" i="10" s="1" a="1"/>
  <c r="CN858" i="10" s="1"/>
  <c r="CO856" i="10"/>
  <c r="CP856" i="10" s="1"/>
  <c r="CQ856" i="10" s="1"/>
  <c r="CR856" i="10" s="1" a="1"/>
  <c r="CR856" i="10" s="1"/>
  <c r="CF855" i="10"/>
  <c r="BS855" i="10"/>
  <c r="BT855" i="10" s="1"/>
  <c r="BU855" i="10" s="1"/>
  <c r="BV855" i="10" s="1" a="1"/>
  <c r="BV855" i="10" s="1"/>
  <c r="CL854" i="10"/>
  <c r="CM854" i="10" s="1"/>
  <c r="CN854" i="10" s="1" a="1"/>
  <c r="CN854" i="10" s="1"/>
  <c r="CF851" i="10"/>
  <c r="BS851" i="10"/>
  <c r="BT851" i="10" s="1"/>
  <c r="BU851" i="10" s="1"/>
  <c r="BV851" i="10" s="1" a="1"/>
  <c r="BV851" i="10" s="1"/>
  <c r="CF847" i="10"/>
  <c r="BS847" i="10"/>
  <c r="BT847" i="10" s="1"/>
  <c r="BU847" i="10" s="1"/>
  <c r="CF843" i="10"/>
  <c r="BS843" i="10"/>
  <c r="BT843" i="10" s="1"/>
  <c r="BU843" i="10" s="1"/>
  <c r="BV843" i="10" s="1" a="1"/>
  <c r="BV843" i="10" s="1"/>
  <c r="BX811" i="10"/>
  <c r="BY811" i="10" s="1"/>
  <c r="BW810" i="10"/>
  <c r="BH810" i="10"/>
  <c r="CT807" i="10"/>
  <c r="CU807" i="10" s="1"/>
  <c r="BG796" i="10"/>
  <c r="CO796" i="10"/>
  <c r="BW796" i="10"/>
  <c r="CD796" i="10" a="1"/>
  <c r="CD796" i="10" s="1"/>
  <c r="CK796" i="10"/>
  <c r="AO796" i="10"/>
  <c r="BJ796" i="10"/>
  <c r="A796" i="10"/>
  <c r="BO796" i="10"/>
  <c r="CF796" i="10"/>
  <c r="BE796" i="10" a="1"/>
  <c r="BE796" i="10" s="1"/>
  <c r="BS796" i="10"/>
  <c r="CS796" i="10"/>
  <c r="BF792" i="10"/>
  <c r="BG791" i="10"/>
  <c r="BH791" i="10"/>
  <c r="CE771" i="10"/>
  <c r="AO770" i="10"/>
  <c r="BJ770" i="10"/>
  <c r="BE770" i="10" a="1"/>
  <c r="BE770" i="10" s="1"/>
  <c r="CS770" i="10"/>
  <c r="BS770" i="10"/>
  <c r="CF770" i="10"/>
  <c r="A770" i="10"/>
  <c r="CO770" i="10"/>
  <c r="BW770" i="10"/>
  <c r="CD770" i="10" a="1"/>
  <c r="CD770" i="10" s="1"/>
  <c r="CK770" i="10"/>
  <c r="BO770" i="10"/>
  <c r="BF760" i="10"/>
  <c r="CE734" i="10"/>
  <c r="BF719" i="10"/>
  <c r="CS875" i="10"/>
  <c r="CS871" i="10"/>
  <c r="CS867" i="10"/>
  <c r="CS863" i="10"/>
  <c r="CS859" i="10"/>
  <c r="CS855" i="10"/>
  <c r="CS851" i="10"/>
  <c r="CS847" i="10"/>
  <c r="CS843" i="10"/>
  <c r="CS839" i="10"/>
  <c r="CS835" i="10"/>
  <c r="CS831" i="10"/>
  <c r="CS827" i="10"/>
  <c r="CS823" i="10"/>
  <c r="BM821" i="10"/>
  <c r="AO821" i="10"/>
  <c r="BJ820" i="10"/>
  <c r="BL820" i="10" s="1"/>
  <c r="BM820" i="10" s="1"/>
  <c r="BN820" i="10" s="1" a="1"/>
  <c r="BN820" i="10" s="1"/>
  <c r="CI818" i="10"/>
  <c r="BX818" i="10"/>
  <c r="BY818" i="10" s="1"/>
  <c r="BS816" i="10"/>
  <c r="CF816" i="10"/>
  <c r="BG816" i="10"/>
  <c r="BP816" i="10" s="1"/>
  <c r="BQ816" i="10" s="1"/>
  <c r="CO816" i="10"/>
  <c r="BW816" i="10"/>
  <c r="BX816" i="10" s="1"/>
  <c r="BY816" i="10" s="1"/>
  <c r="CA816" i="10" s="1" a="1"/>
  <c r="CA816" i="10" s="1"/>
  <c r="CD816" i="10" a="1"/>
  <c r="CD816" i="10" s="1"/>
  <c r="CK816" i="10"/>
  <c r="BT815" i="10"/>
  <c r="BU815" i="10" s="1"/>
  <c r="BZ815" i="10" s="1" a="1"/>
  <c r="BZ815" i="10" s="1"/>
  <c r="CS814" i="10"/>
  <c r="CT814" i="10" s="1"/>
  <c r="CU814" i="10" s="1"/>
  <c r="CI814" i="10"/>
  <c r="BW814" i="10"/>
  <c r="BX814" i="10" s="1"/>
  <c r="BY814" i="10" s="1"/>
  <c r="CF813" i="10"/>
  <c r="BS813" i="10"/>
  <c r="CE799" i="10"/>
  <c r="CH749" i="10"/>
  <c r="CI749" i="10" s="1"/>
  <c r="BT749" i="10"/>
  <c r="CE747" i="10"/>
  <c r="CF809" i="10"/>
  <c r="BS809" i="10"/>
  <c r="BS805" i="10"/>
  <c r="BG803" i="10"/>
  <c r="CT803" i="10" s="1"/>
  <c r="CU803" i="10" s="1"/>
  <c r="BH803" i="10"/>
  <c r="CL803" i="10" s="1"/>
  <c r="CM803" i="10" s="1"/>
  <c r="AO802" i="10"/>
  <c r="BJ802" i="10"/>
  <c r="BS802" i="10"/>
  <c r="CF802" i="10"/>
  <c r="A802" i="10"/>
  <c r="CO802" i="10"/>
  <c r="BG799" i="10"/>
  <c r="BH799" i="10"/>
  <c r="AO798" i="10"/>
  <c r="BJ798" i="10"/>
  <c r="BS798" i="10"/>
  <c r="CF798" i="10"/>
  <c r="A798" i="10"/>
  <c r="CO798" i="10"/>
  <c r="BF794" i="10"/>
  <c r="CP791" i="10"/>
  <c r="CQ791" i="10" s="1"/>
  <c r="BF786" i="10"/>
  <c r="CP783" i="10"/>
  <c r="CQ783" i="10" s="1"/>
  <c r="BG779" i="10"/>
  <c r="BH779" i="10"/>
  <c r="AO774" i="10"/>
  <c r="BJ774" i="10"/>
  <c r="BE774" i="10" a="1"/>
  <c r="BE774" i="10" s="1"/>
  <c r="CS774" i="10"/>
  <c r="BS774" i="10"/>
  <c r="CF774" i="10"/>
  <c r="A774" i="10"/>
  <c r="CO774" i="10"/>
  <c r="BW774" i="10"/>
  <c r="CD774" i="10" a="1"/>
  <c r="CD774" i="10" s="1"/>
  <c r="CK774" i="10"/>
  <c r="BX769" i="10"/>
  <c r="BP767" i="10"/>
  <c r="BQ767" i="10" s="1"/>
  <c r="BG767" i="10"/>
  <c r="BH767" i="10"/>
  <c r="BY765" i="10"/>
  <c r="CA765" i="10" s="1" a="1"/>
  <c r="CA765" i="10" s="1"/>
  <c r="CT749" i="10"/>
  <c r="CU749" i="10" s="1"/>
  <c r="BP745" i="10"/>
  <c r="BL745" i="10"/>
  <c r="CE743" i="10"/>
  <c r="BX741" i="10"/>
  <c r="BF739" i="10"/>
  <c r="BF731" i="10"/>
  <c r="CT728" i="10"/>
  <c r="CE712" i="10"/>
  <c r="BG711" i="10"/>
  <c r="BH711" i="10"/>
  <c r="CE702" i="10"/>
  <c r="BW701" i="10"/>
  <c r="CD701" i="10" a="1"/>
  <c r="CD701" i="10" s="1"/>
  <c r="CK701" i="10"/>
  <c r="AO701" i="10"/>
  <c r="BJ701" i="10"/>
  <c r="BE701" i="10" a="1"/>
  <c r="BE701" i="10" s="1"/>
  <c r="CS701" i="10"/>
  <c r="BS701" i="10"/>
  <c r="CF701" i="10"/>
  <c r="BG701" i="10"/>
  <c r="CO701" i="10"/>
  <c r="BO701" i="10"/>
  <c r="A701" i="10"/>
  <c r="BG699" i="10"/>
  <c r="BH699" i="10"/>
  <c r="CE690" i="10"/>
  <c r="BW689" i="10"/>
  <c r="CD689" i="10" a="1"/>
  <c r="CD689" i="10" s="1"/>
  <c r="CK689" i="10"/>
  <c r="AO689" i="10"/>
  <c r="BJ689" i="10"/>
  <c r="BE689" i="10" a="1"/>
  <c r="BE689" i="10" s="1"/>
  <c r="CS689" i="10"/>
  <c r="BS689" i="10"/>
  <c r="CF689" i="10"/>
  <c r="BG689" i="10"/>
  <c r="CO689" i="10"/>
  <c r="BO689" i="10"/>
  <c r="A689" i="10"/>
  <c r="CK812" i="10"/>
  <c r="CD812" i="10" a="1"/>
  <c r="CD812" i="10" s="1"/>
  <c r="BW812" i="10"/>
  <c r="CS809" i="10"/>
  <c r="BE809" i="10" a="1"/>
  <c r="BE809" i="10" s="1"/>
  <c r="CK808" i="10"/>
  <c r="CD808" i="10" a="1"/>
  <c r="CD808" i="10" s="1"/>
  <c r="BW808" i="10"/>
  <c r="CS805" i="10"/>
  <c r="BE805" i="10" a="1"/>
  <c r="BE805" i="10" s="1"/>
  <c r="CK804" i="10"/>
  <c r="CD804" i="10" a="1"/>
  <c r="CD804" i="10" s="1"/>
  <c r="BW804" i="10"/>
  <c r="CF800" i="10"/>
  <c r="CT799" i="10"/>
  <c r="CU799" i="10" s="1"/>
  <c r="BG794" i="10"/>
  <c r="BG786" i="10"/>
  <c r="BP786" i="10" s="1"/>
  <c r="BQ786" i="10" s="1"/>
  <c r="AO778" i="10"/>
  <c r="BJ778" i="10"/>
  <c r="BE778" i="10" a="1"/>
  <c r="BE778" i="10" s="1"/>
  <c r="CS778" i="10"/>
  <c r="BS778" i="10"/>
  <c r="CF778" i="10"/>
  <c r="A778" i="10"/>
  <c r="CO778" i="10"/>
  <c r="BW778" i="10"/>
  <c r="CD778" i="10" a="1"/>
  <c r="CD778" i="10" s="1"/>
  <c r="CK778" i="10"/>
  <c r="BX773" i="10"/>
  <c r="BY773" i="10" s="1"/>
  <c r="CA773" i="10" s="1" a="1"/>
  <c r="CA773" i="10" s="1"/>
  <c r="BP769" i="10"/>
  <c r="BL769" i="10"/>
  <c r="AO766" i="10"/>
  <c r="BJ766" i="10"/>
  <c r="BE766" i="10" a="1"/>
  <c r="BE766" i="10" s="1"/>
  <c r="CS766" i="10"/>
  <c r="BS766" i="10"/>
  <c r="CF766" i="10"/>
  <c r="A766" i="10"/>
  <c r="CO766" i="10"/>
  <c r="BW766" i="10"/>
  <c r="CD766" i="10" a="1"/>
  <c r="CD766" i="10" s="1"/>
  <c r="CK766" i="10"/>
  <c r="BG762" i="10"/>
  <c r="CE761" i="10"/>
  <c r="CP749" i="10"/>
  <c r="CQ749" i="10" s="1"/>
  <c r="CR749" i="10" s="1" a="1"/>
  <c r="CR749" i="10" s="1"/>
  <c r="CW749" i="10" a="1"/>
  <c r="CW749" i="10" s="1"/>
  <c r="BG746" i="10"/>
  <c r="CE731" i="10"/>
  <c r="CP728" i="10"/>
  <c r="BP712" i="10"/>
  <c r="BT712" i="10"/>
  <c r="BU712" i="10" s="1"/>
  <c r="CH712" i="10"/>
  <c r="CI712" i="10" s="1"/>
  <c r="BL712" i="10"/>
  <c r="CT708" i="10"/>
  <c r="CU708" i="10" s="1"/>
  <c r="CE691" i="10"/>
  <c r="BH674" i="10"/>
  <c r="BJ809" i="10"/>
  <c r="AO809" i="10"/>
  <c r="CE795" i="10"/>
  <c r="CE787" i="10"/>
  <c r="BX781" i="10"/>
  <c r="BY781" i="10" s="1"/>
  <c r="CE775" i="10"/>
  <c r="BL773" i="10"/>
  <c r="BM773" i="10" s="1"/>
  <c r="BN773" i="10" s="1" a="1"/>
  <c r="BN773" i="10" s="1"/>
  <c r="BG763" i="10"/>
  <c r="CP763" i="10" s="1"/>
  <c r="CQ763" i="10" s="1"/>
  <c r="BH763" i="10"/>
  <c r="BP763" i="10" s="1"/>
  <c r="BQ763" i="10" s="1"/>
  <c r="CE757" i="10"/>
  <c r="BF756" i="10"/>
  <c r="BX749" i="10"/>
  <c r="BF748" i="10"/>
  <c r="CP747" i="10"/>
  <c r="CQ747" i="10" s="1"/>
  <c r="CR747" i="10" s="1" a="1"/>
  <c r="CR747" i="10" s="1"/>
  <c r="BG747" i="10"/>
  <c r="CL747" i="10" s="1"/>
  <c r="CM747" i="10" s="1"/>
  <c r="BH747" i="10"/>
  <c r="BQ745" i="10"/>
  <c r="BM745" i="10"/>
  <c r="BN745" i="10" s="1" a="1"/>
  <c r="BN745" i="10" s="1"/>
  <c r="BP741" i="10"/>
  <c r="BL741" i="10"/>
  <c r="CE739" i="10"/>
  <c r="BF737" i="10"/>
  <c r="CH736" i="10"/>
  <c r="CI736" i="10" s="1"/>
  <c r="BG727" i="10"/>
  <c r="CT727" i="10" s="1"/>
  <c r="BH727" i="10"/>
  <c r="BF715" i="10"/>
  <c r="CE710" i="10"/>
  <c r="BG707" i="10"/>
  <c r="BH707" i="10"/>
  <c r="CJ700" i="10" a="1"/>
  <c r="CJ700" i="10" s="1"/>
  <c r="BG695" i="10"/>
  <c r="BH695" i="10"/>
  <c r="CE686" i="10"/>
  <c r="CE682" i="10"/>
  <c r="CL666" i="10"/>
  <c r="CM666" i="10" s="1"/>
  <c r="CK809" i="10"/>
  <c r="CD809" i="10" a="1"/>
  <c r="CD809" i="10" s="1"/>
  <c r="BW809" i="10"/>
  <c r="CK805" i="10"/>
  <c r="CD805" i="10" a="1"/>
  <c r="CD805" i="10" s="1"/>
  <c r="BW805" i="10"/>
  <c r="BG795" i="10"/>
  <c r="CL795" i="10" s="1"/>
  <c r="CM795" i="10" s="1"/>
  <c r="BH795" i="10"/>
  <c r="BP795" i="10" s="1"/>
  <c r="BQ795" i="10" s="1"/>
  <c r="AO794" i="10"/>
  <c r="BJ794" i="10"/>
  <c r="BS794" i="10"/>
  <c r="BT794" i="10" s="1"/>
  <c r="BU794" i="10" s="1"/>
  <c r="CF794" i="10"/>
  <c r="A794" i="10"/>
  <c r="CO794" i="10"/>
  <c r="BW794" i="10"/>
  <c r="BX794" i="10" s="1"/>
  <c r="BY794" i="10" s="1"/>
  <c r="CD794" i="10" a="1"/>
  <c r="CD794" i="10" s="1"/>
  <c r="CK794" i="10"/>
  <c r="CE793" i="10"/>
  <c r="BG792" i="10"/>
  <c r="BP792" i="10" s="1"/>
  <c r="BQ792" i="10" s="1"/>
  <c r="CO792" i="10"/>
  <c r="BW792" i="10"/>
  <c r="BX792" i="10" s="1"/>
  <c r="BY792" i="10" s="1"/>
  <c r="CD792" i="10" a="1"/>
  <c r="CD792" i="10" s="1"/>
  <c r="CK792" i="10"/>
  <c r="AO792" i="10"/>
  <c r="BJ792" i="10"/>
  <c r="A792" i="10"/>
  <c r="BG789" i="10"/>
  <c r="BG787" i="10"/>
  <c r="CL787" i="10" s="1"/>
  <c r="CM787" i="10" s="1"/>
  <c r="BH787" i="10"/>
  <c r="AO786" i="10"/>
  <c r="BJ786" i="10"/>
  <c r="BS786" i="10"/>
  <c r="BT786" i="10" s="1"/>
  <c r="BU786" i="10" s="1"/>
  <c r="BV786" i="10" s="1" a="1"/>
  <c r="BV786" i="10" s="1"/>
  <c r="CF786" i="10"/>
  <c r="A786" i="10"/>
  <c r="CO786" i="10"/>
  <c r="BW786" i="10"/>
  <c r="BX786" i="10" s="1"/>
  <c r="BY786" i="10" s="1"/>
  <c r="CD786" i="10" a="1"/>
  <c r="CD786" i="10" s="1"/>
  <c r="CK786" i="10"/>
  <c r="CE785" i="10"/>
  <c r="BG784" i="10"/>
  <c r="BT784" i="10" s="1"/>
  <c r="BU784" i="10" s="1"/>
  <c r="CO784" i="10"/>
  <c r="BW784" i="10"/>
  <c r="CD784" i="10" a="1"/>
  <c r="CD784" i="10" s="1"/>
  <c r="CK784" i="10"/>
  <c r="AO784" i="10"/>
  <c r="BJ784" i="10"/>
  <c r="A784" i="10"/>
  <c r="CT775" i="10"/>
  <c r="CU775" i="10" s="1"/>
  <c r="BO774" i="10"/>
  <c r="BP765" i="10"/>
  <c r="BQ765" i="10" s="1"/>
  <c r="BL765" i="10"/>
  <c r="BM765" i="10" s="1"/>
  <c r="BN765" i="10" s="1" a="1"/>
  <c r="BN765" i="10" s="1"/>
  <c r="AO762" i="10"/>
  <c r="BJ762" i="10"/>
  <c r="BE762" i="10" a="1"/>
  <c r="BE762" i="10" s="1"/>
  <c r="CS762" i="10"/>
  <c r="BS762" i="10"/>
  <c r="CF762" i="10"/>
  <c r="A762" i="10"/>
  <c r="CO762" i="10"/>
  <c r="BW762" i="10"/>
  <c r="CD762" i="10" a="1"/>
  <c r="CD762" i="10" s="1"/>
  <c r="CK762" i="10"/>
  <c r="BG759" i="10"/>
  <c r="CL759" i="10" s="1"/>
  <c r="CM759" i="10" s="1"/>
  <c r="BH759" i="10"/>
  <c r="BG754" i="10"/>
  <c r="CE753" i="10"/>
  <c r="CL749" i="10"/>
  <c r="CM749" i="10" s="1"/>
  <c r="BU749" i="10"/>
  <c r="BP749" i="10"/>
  <c r="BL749" i="10"/>
  <c r="AO746" i="10"/>
  <c r="BJ746" i="10"/>
  <c r="BE746" i="10" a="1"/>
  <c r="BE746" i="10" s="1"/>
  <c r="CS746" i="10"/>
  <c r="BS746" i="10"/>
  <c r="CF746" i="10"/>
  <c r="A746" i="10"/>
  <c r="CO746" i="10"/>
  <c r="BW746" i="10"/>
  <c r="CD746" i="10" a="1"/>
  <c r="CD746" i="10" s="1"/>
  <c r="CK746" i="10"/>
  <c r="CE745" i="10"/>
  <c r="CH745" i="10" s="1"/>
  <c r="CI745" i="10" s="1"/>
  <c r="BG742" i="10"/>
  <c r="BG738" i="10"/>
  <c r="BF736" i="10"/>
  <c r="BP736" i="10" s="1"/>
  <c r="BQ736" i="10" s="1"/>
  <c r="A735" i="10"/>
  <c r="CO735" i="10"/>
  <c r="AO735" i="10"/>
  <c r="CS735" i="10"/>
  <c r="BE735" i="10" a="1"/>
  <c r="BE735" i="10" s="1"/>
  <c r="BO735" i="10"/>
  <c r="CK735" i="10"/>
  <c r="CD735" i="10" a="1"/>
  <c r="CD735" i="10" s="1"/>
  <c r="BW735" i="10"/>
  <c r="CF735" i="10"/>
  <c r="BF716" i="10"/>
  <c r="BT716" i="10" s="1"/>
  <c r="BU716" i="10" s="1"/>
  <c r="CE711" i="10"/>
  <c r="BG710" i="10"/>
  <c r="BH710" i="10"/>
  <c r="BW709" i="10"/>
  <c r="CD709" i="10" a="1"/>
  <c r="CD709" i="10" s="1"/>
  <c r="CK709" i="10"/>
  <c r="AO709" i="10"/>
  <c r="BJ709" i="10"/>
  <c r="BE709" i="10" a="1"/>
  <c r="BE709" i="10" s="1"/>
  <c r="CS709" i="10"/>
  <c r="BS709" i="10"/>
  <c r="CF709" i="10"/>
  <c r="BG709" i="10"/>
  <c r="CO709" i="10"/>
  <c r="A709" i="10"/>
  <c r="CE698" i="10"/>
  <c r="BW697" i="10"/>
  <c r="CD697" i="10" a="1"/>
  <c r="CD697" i="10" s="1"/>
  <c r="CK697" i="10"/>
  <c r="AO697" i="10"/>
  <c r="BJ697" i="10"/>
  <c r="BE697" i="10" a="1"/>
  <c r="BE697" i="10" s="1"/>
  <c r="CS697" i="10"/>
  <c r="BS697" i="10"/>
  <c r="CF697" i="10"/>
  <c r="BG697" i="10"/>
  <c r="CO697" i="10"/>
  <c r="BO697" i="10"/>
  <c r="A697" i="10"/>
  <c r="BF691" i="10"/>
  <c r="BG686" i="10"/>
  <c r="BH686" i="10"/>
  <c r="BW685" i="10"/>
  <c r="CD685" i="10" a="1"/>
  <c r="CD685" i="10" s="1"/>
  <c r="CK685" i="10"/>
  <c r="AO685" i="10"/>
  <c r="BJ685" i="10"/>
  <c r="BE685" i="10" a="1"/>
  <c r="BE685" i="10" s="1"/>
  <c r="CS685" i="10"/>
  <c r="BS685" i="10"/>
  <c r="CF685" i="10"/>
  <c r="BG685" i="10"/>
  <c r="CO685" i="10"/>
  <c r="A685" i="10"/>
  <c r="BG682" i="10"/>
  <c r="BH682" i="10"/>
  <c r="BE664" i="10" a="1"/>
  <c r="BE664" i="10" s="1"/>
  <c r="CS664" i="10"/>
  <c r="BJ664" i="10"/>
  <c r="AO664" i="10"/>
  <c r="CD664" i="10" a="1"/>
  <c r="CD664" i="10" s="1"/>
  <c r="BW664" i="10"/>
  <c r="CF664" i="10"/>
  <c r="CO664" i="10"/>
  <c r="BO664" i="10"/>
  <c r="BS664" i="10"/>
  <c r="CK664" i="10"/>
  <c r="A664" i="10"/>
  <c r="CO812" i="10"/>
  <c r="BG812" i="10"/>
  <c r="CO808" i="10"/>
  <c r="BG808" i="10"/>
  <c r="BT808" i="10" s="1"/>
  <c r="BU808" i="10" s="1"/>
  <c r="CO804" i="10"/>
  <c r="BG804" i="10"/>
  <c r="A804" i="10"/>
  <c r="BQ803" i="10"/>
  <c r="CP799" i="10"/>
  <c r="CQ799" i="10" s="1"/>
  <c r="CE797" i="10"/>
  <c r="BO794" i="10"/>
  <c r="BP794" i="10" s="1"/>
  <c r="BQ794" i="10" s="1"/>
  <c r="CP787" i="10"/>
  <c r="CQ787" i="10" s="1"/>
  <c r="CR787" i="10" s="1" a="1"/>
  <c r="CR787" i="10" s="1"/>
  <c r="BL781" i="10"/>
  <c r="BM781" i="10" s="1"/>
  <c r="BN781" i="10" s="1" a="1"/>
  <c r="BN781" i="10" s="1"/>
  <c r="CT779" i="10"/>
  <c r="CU779" i="10" s="1"/>
  <c r="BF777" i="10"/>
  <c r="BX777" i="10" s="1"/>
  <c r="BY777" i="10" s="1"/>
  <c r="CA777" i="10" s="1" a="1"/>
  <c r="CA777" i="10" s="1"/>
  <c r="BP773" i="10"/>
  <c r="BQ773" i="10" s="1"/>
  <c r="BF771" i="10"/>
  <c r="AO758" i="10"/>
  <c r="BJ758" i="10"/>
  <c r="BE758" i="10" a="1"/>
  <c r="BE758" i="10" s="1"/>
  <c r="CS758" i="10"/>
  <c r="BS758" i="10"/>
  <c r="CF758" i="10"/>
  <c r="A758" i="10"/>
  <c r="CO758" i="10"/>
  <c r="BW758" i="10"/>
  <c r="CD758" i="10" a="1"/>
  <c r="CD758" i="10" s="1"/>
  <c r="CK758" i="10"/>
  <c r="BP755" i="10"/>
  <c r="BQ755" i="10" s="1"/>
  <c r="BG755" i="10"/>
  <c r="BH755" i="10"/>
  <c r="BF747" i="10"/>
  <c r="CT745" i="10"/>
  <c r="CU745" i="10" s="1"/>
  <c r="BG743" i="10"/>
  <c r="BH743" i="10"/>
  <c r="BQ741" i="10"/>
  <c r="BY741" i="10"/>
  <c r="CA741" i="10" s="1" a="1"/>
  <c r="CA741" i="10" s="1"/>
  <c r="BM741" i="10"/>
  <c r="BN741" i="10" s="1" a="1"/>
  <c r="BN741" i="10" s="1"/>
  <c r="BS735" i="10"/>
  <c r="CE726" i="10"/>
  <c r="BG726" i="10"/>
  <c r="BH726" i="10"/>
  <c r="BW725" i="10"/>
  <c r="CD725" i="10" a="1"/>
  <c r="CD725" i="10" s="1"/>
  <c r="CK725" i="10"/>
  <c r="AO725" i="10"/>
  <c r="BJ725" i="10"/>
  <c r="BE725" i="10" a="1"/>
  <c r="BE725" i="10" s="1"/>
  <c r="CS725" i="10"/>
  <c r="BS725" i="10"/>
  <c r="CF725" i="10"/>
  <c r="BG725" i="10"/>
  <c r="CO725" i="10"/>
  <c r="A725" i="10"/>
  <c r="BF723" i="10"/>
  <c r="CP712" i="10"/>
  <c r="CQ712" i="10" s="1"/>
  <c r="BF684" i="10"/>
  <c r="BF683" i="10"/>
  <c r="CE674" i="10"/>
  <c r="CE661" i="10"/>
  <c r="BY658" i="10"/>
  <c r="BF658" i="10"/>
  <c r="BX658" i="10" s="1"/>
  <c r="CP803" i="10"/>
  <c r="CQ803" i="10" s="1"/>
  <c r="BP803" i="10"/>
  <c r="BF802" i="10"/>
  <c r="CS798" i="10"/>
  <c r="BE798" i="10" a="1"/>
  <c r="BE798" i="10" s="1"/>
  <c r="CT791" i="10"/>
  <c r="CU791" i="10" s="1"/>
  <c r="BG790" i="10"/>
  <c r="CT783" i="10"/>
  <c r="CU783" i="10" s="1"/>
  <c r="BY783" i="10"/>
  <c r="BG782" i="10"/>
  <c r="BP777" i="10"/>
  <c r="BQ777" i="10" s="1"/>
  <c r="BF775" i="10"/>
  <c r="BP775" i="10" s="1"/>
  <c r="BQ775" i="10" s="1"/>
  <c r="BF772" i="10"/>
  <c r="BG770" i="10"/>
  <c r="CE769" i="10"/>
  <c r="BF768" i="10"/>
  <c r="CP767" i="10"/>
  <c r="CQ767" i="10" s="1"/>
  <c r="CP759" i="10"/>
  <c r="CQ759" i="10" s="1"/>
  <c r="CE755" i="10"/>
  <c r="AO754" i="10"/>
  <c r="BJ754" i="10"/>
  <c r="BE754" i="10" a="1"/>
  <c r="BE754" i="10" s="1"/>
  <c r="CS754" i="10"/>
  <c r="BS754" i="10"/>
  <c r="CF754" i="10"/>
  <c r="A754" i="10"/>
  <c r="CO754" i="10"/>
  <c r="BW754" i="10"/>
  <c r="CD754" i="10" a="1"/>
  <c r="CD754" i="10" s="1"/>
  <c r="CK754" i="10"/>
  <c r="BG750" i="10"/>
  <c r="BQ749" i="10"/>
  <c r="BY749" i="10"/>
  <c r="CA749" i="10" s="1" a="1"/>
  <c r="CA749" i="10" s="1"/>
  <c r="BM749" i="10"/>
  <c r="BN749" i="10" s="1" a="1"/>
  <c r="BN749" i="10" s="1"/>
  <c r="BP747" i="10"/>
  <c r="BQ747" i="10" s="1"/>
  <c r="CP745" i="10"/>
  <c r="CQ745" i="10" s="1"/>
  <c r="BF744" i="10"/>
  <c r="AO742" i="10"/>
  <c r="BJ742" i="10"/>
  <c r="BE742" i="10" a="1"/>
  <c r="BE742" i="10" s="1"/>
  <c r="CS742" i="10"/>
  <c r="BS742" i="10"/>
  <c r="CF742" i="10"/>
  <c r="A742" i="10"/>
  <c r="CO742" i="10"/>
  <c r="BW742" i="10"/>
  <c r="CD742" i="10" a="1"/>
  <c r="CD742" i="10" s="1"/>
  <c r="CK742" i="10"/>
  <c r="CE741" i="10"/>
  <c r="BE738" i="10" a="1"/>
  <c r="BE738" i="10" s="1"/>
  <c r="BS738" i="10"/>
  <c r="CF738" i="10"/>
  <c r="CD738" i="10" a="1"/>
  <c r="CD738" i="10" s="1"/>
  <c r="AO738" i="10"/>
  <c r="CS738" i="10"/>
  <c r="BO738" i="10"/>
  <c r="BW738" i="10"/>
  <c r="CO738" i="10"/>
  <c r="BJ738" i="10"/>
  <c r="CK738" i="10"/>
  <c r="CL736" i="10"/>
  <c r="CM736" i="10" s="1"/>
  <c r="BX732" i="10"/>
  <c r="BY732" i="10" s="1"/>
  <c r="CA732" i="10" s="1" a="1"/>
  <c r="CA732" i="10" s="1"/>
  <c r="CE730" i="10"/>
  <c r="CQ728" i="10"/>
  <c r="CU728" i="10"/>
  <c r="CI728" i="10"/>
  <c r="BP728" i="10"/>
  <c r="CH728" i="10"/>
  <c r="BL728" i="10"/>
  <c r="BT728" i="10"/>
  <c r="BU728" i="10" s="1"/>
  <c r="CU727" i="10"/>
  <c r="CE727" i="10"/>
  <c r="CH708" i="10"/>
  <c r="CI708" i="10" s="1"/>
  <c r="CE706" i="10"/>
  <c r="BW705" i="10"/>
  <c r="CD705" i="10" a="1"/>
  <c r="CD705" i="10" s="1"/>
  <c r="CK705" i="10"/>
  <c r="AO705" i="10"/>
  <c r="BJ705" i="10"/>
  <c r="BE705" i="10" a="1"/>
  <c r="BE705" i="10" s="1"/>
  <c r="CS705" i="10"/>
  <c r="BS705" i="10"/>
  <c r="CF705" i="10"/>
  <c r="BG705" i="10"/>
  <c r="CO705" i="10"/>
  <c r="BO705" i="10"/>
  <c r="A705" i="10"/>
  <c r="BG703" i="10"/>
  <c r="BH703" i="10"/>
  <c r="BG691" i="10"/>
  <c r="BH691" i="10"/>
  <c r="BF687" i="10"/>
  <c r="CE658" i="10"/>
  <c r="CF812" i="10"/>
  <c r="CF808" i="10"/>
  <c r="CF804" i="10"/>
  <c r="CD802" i="10" a="1"/>
  <c r="CD802" i="10" s="1"/>
  <c r="BG802" i="10"/>
  <c r="BX802" i="10" s="1"/>
  <c r="BY802" i="10" s="1"/>
  <c r="BG800" i="10"/>
  <c r="CO800" i="10"/>
  <c r="BW800" i="10"/>
  <c r="CD800" i="10" a="1"/>
  <c r="CD800" i="10" s="1"/>
  <c r="CK800" i="10"/>
  <c r="AO800" i="10"/>
  <c r="BJ800" i="10"/>
  <c r="CD798" i="10" a="1"/>
  <c r="CD798" i="10" s="1"/>
  <c r="BG798" i="10"/>
  <c r="CS794" i="10"/>
  <c r="BZ794" i="10" a="1"/>
  <c r="BZ794" i="10" s="1"/>
  <c r="CA794" i="10" a="1"/>
  <c r="CA794" i="10" s="1"/>
  <c r="CS786" i="10"/>
  <c r="BZ786" i="10" a="1"/>
  <c r="BZ786" i="10" s="1"/>
  <c r="CA786" i="10" a="1"/>
  <c r="CA786" i="10" s="1"/>
  <c r="BQ783" i="10"/>
  <c r="BP781" i="10"/>
  <c r="BQ781" i="10" s="1"/>
  <c r="BR781" i="10" s="1" a="1"/>
  <c r="BR781" i="10" s="1"/>
  <c r="BF779" i="10"/>
  <c r="BP779" i="10" s="1"/>
  <c r="BQ779" i="10" s="1"/>
  <c r="CP775" i="10"/>
  <c r="CQ775" i="10" s="1"/>
  <c r="BG774" i="10"/>
  <c r="CE773" i="10"/>
  <c r="BG771" i="10"/>
  <c r="BH771" i="10"/>
  <c r="BQ769" i="10"/>
  <c r="BY769" i="10"/>
  <c r="CA769" i="10" s="1" a="1"/>
  <c r="CA769" i="10" s="1"/>
  <c r="BM769" i="10"/>
  <c r="BN769" i="10" s="1" a="1"/>
  <c r="BN769" i="10" s="1"/>
  <c r="BO762" i="10"/>
  <c r="CP755" i="10"/>
  <c r="CQ755" i="10" s="1"/>
  <c r="BG751" i="10"/>
  <c r="BH751" i="10"/>
  <c r="BP751" i="10" s="1"/>
  <c r="BQ751" i="10" s="1"/>
  <c r="BX745" i="10"/>
  <c r="BY745" i="10" s="1"/>
  <c r="CA745" i="10" s="1" a="1"/>
  <c r="CA745" i="10" s="1"/>
  <c r="CW745" i="10" a="1"/>
  <c r="CW745" i="10" s="1"/>
  <c r="BF743" i="10"/>
  <c r="CT741" i="10"/>
  <c r="CU741" i="10" s="1"/>
  <c r="BG739" i="10"/>
  <c r="CP739" i="10" s="1"/>
  <c r="CQ739" i="10" s="1"/>
  <c r="BH739" i="10"/>
  <c r="BT732" i="10"/>
  <c r="BU732" i="10" s="1"/>
  <c r="BZ732" i="10" s="1" a="1"/>
  <c r="BZ732" i="10" s="1"/>
  <c r="BN712" i="10" a="1"/>
  <c r="BN712" i="10" s="1"/>
  <c r="CT711" i="10"/>
  <c r="CU711" i="10" s="1"/>
  <c r="BO709" i="10"/>
  <c r="CE694" i="10"/>
  <c r="BO685" i="10"/>
  <c r="BF659" i="10"/>
  <c r="A780" i="10"/>
  <c r="A776" i="10"/>
  <c r="A772" i="10"/>
  <c r="A768" i="10"/>
  <c r="A764" i="10"/>
  <c r="A760" i="10"/>
  <c r="A756" i="10"/>
  <c r="A752" i="10"/>
  <c r="CJ749" i="10" a="1"/>
  <c r="CJ749" i="10" s="1"/>
  <c r="BV749" i="10" a="1"/>
  <c r="BV749" i="10" s="1"/>
  <c r="A748" i="10"/>
  <c r="CJ745" i="10" a="1"/>
  <c r="CJ745" i="10" s="1"/>
  <c r="BV745" i="10" a="1"/>
  <c r="BV745" i="10" s="1"/>
  <c r="A744" i="10"/>
  <c r="CS743" i="10"/>
  <c r="CT743" i="10" s="1"/>
  <c r="CU743" i="10" s="1"/>
  <c r="BV741" i="10" a="1"/>
  <c r="BV741" i="10" s="1"/>
  <c r="A740" i="10"/>
  <c r="CS739" i="10"/>
  <c r="CJ736" i="10" a="1"/>
  <c r="CJ736" i="10" s="1"/>
  <c r="CW736" i="10" a="1"/>
  <c r="CW736" i="10" s="1"/>
  <c r="BG735" i="10"/>
  <c r="BE734" i="10" a="1"/>
  <c r="BE734" i="10" s="1"/>
  <c r="CS734" i="10"/>
  <c r="BS734" i="10"/>
  <c r="CF734" i="10"/>
  <c r="CO734" i="10"/>
  <c r="BG733" i="10"/>
  <c r="CU732" i="10"/>
  <c r="CL732" i="10"/>
  <c r="CM732" i="10" s="1"/>
  <c r="CN732" i="10" s="1" a="1"/>
  <c r="CN732" i="10" s="1"/>
  <c r="BP732" i="10"/>
  <c r="BQ732" i="10" s="1"/>
  <c r="BE730" i="10" a="1"/>
  <c r="BE730" i="10" s="1"/>
  <c r="CS730" i="10"/>
  <c r="BS730" i="10"/>
  <c r="CF730" i="10"/>
  <c r="A730" i="10"/>
  <c r="CO730" i="10"/>
  <c r="CI724" i="10"/>
  <c r="BX724" i="10"/>
  <c r="CM720" i="10"/>
  <c r="CD718" i="10" a="1"/>
  <c r="CD718" i="10" s="1"/>
  <c r="BJ718" i="10"/>
  <c r="CT712" i="10"/>
  <c r="CU712" i="10" s="1"/>
  <c r="CV712" i="10" s="1" a="1"/>
  <c r="CV712" i="10" s="1"/>
  <c r="BP691" i="10"/>
  <c r="BQ691" i="10" s="1"/>
  <c r="BG687" i="10"/>
  <c r="BH687" i="10"/>
  <c r="BW681" i="10"/>
  <c r="CD681" i="10" a="1"/>
  <c r="CD681" i="10" s="1"/>
  <c r="CK681" i="10"/>
  <c r="AO681" i="10"/>
  <c r="BJ681" i="10"/>
  <c r="BE681" i="10" a="1"/>
  <c r="BE681" i="10" s="1"/>
  <c r="CS681" i="10"/>
  <c r="BS681" i="10"/>
  <c r="CF681" i="10"/>
  <c r="BG681" i="10"/>
  <c r="CO681" i="10"/>
  <c r="BG675" i="10"/>
  <c r="CL675" i="10" s="1"/>
  <c r="CM675" i="10" s="1"/>
  <c r="BH675" i="10"/>
  <c r="AO673" i="10"/>
  <c r="BJ673" i="10"/>
  <c r="A673" i="10"/>
  <c r="BE673" i="10" a="1"/>
  <c r="BE673" i="10" s="1"/>
  <c r="CO673" i="10"/>
  <c r="BO673" i="10"/>
  <c r="BW673" i="10"/>
  <c r="CF673" i="10"/>
  <c r="CS673" i="10"/>
  <c r="CT666" i="10"/>
  <c r="BX666" i="10"/>
  <c r="BY666" i="10" s="1"/>
  <c r="CL658" i="10"/>
  <c r="CM658" i="10" s="1"/>
  <c r="CE654" i="10"/>
  <c r="BF654" i="10"/>
  <c r="BX654" i="10" s="1"/>
  <c r="BY654" i="10" s="1"/>
  <c r="CE596" i="10"/>
  <c r="CF797" i="10"/>
  <c r="BS797" i="10"/>
  <c r="CF793" i="10"/>
  <c r="CP793" i="10" s="1"/>
  <c r="CQ793" i="10" s="1"/>
  <c r="BS793" i="10"/>
  <c r="CF789" i="10"/>
  <c r="CL789" i="10" s="1"/>
  <c r="CM789" i="10" s="1"/>
  <c r="BS789" i="10"/>
  <c r="CF785" i="10"/>
  <c r="BS785" i="10"/>
  <c r="CF781" i="10"/>
  <c r="CH781" i="10" s="1"/>
  <c r="CI781" i="10" s="1"/>
  <c r="CJ781" i="10" s="1" a="1"/>
  <c r="CJ781" i="10" s="1"/>
  <c r="BS781" i="10"/>
  <c r="BT781" i="10" s="1"/>
  <c r="BU781" i="10" s="1"/>
  <c r="BV781" i="10" s="1" a="1"/>
  <c r="BV781" i="10" s="1"/>
  <c r="BJ780" i="10"/>
  <c r="AO780" i="10"/>
  <c r="CF777" i="10"/>
  <c r="BZ777" i="10" a="1"/>
  <c r="BZ777" i="10" s="1"/>
  <c r="BS777" i="10"/>
  <c r="BT777" i="10" s="1"/>
  <c r="BU777" i="10" s="1"/>
  <c r="BV777" i="10" s="1" a="1"/>
  <c r="BV777" i="10" s="1"/>
  <c r="BJ776" i="10"/>
  <c r="AO776" i="10"/>
  <c r="CF773" i="10"/>
  <c r="BS773" i="10"/>
  <c r="BT773" i="10" s="1"/>
  <c r="BU773" i="10" s="1"/>
  <c r="BV773" i="10" s="1" a="1"/>
  <c r="BV773" i="10" s="1"/>
  <c r="BJ772" i="10"/>
  <c r="BT772" i="10" s="1"/>
  <c r="BU772" i="10" s="1"/>
  <c r="AO772" i="10"/>
  <c r="CF769" i="10"/>
  <c r="BS769" i="10"/>
  <c r="BT769" i="10" s="1"/>
  <c r="BU769" i="10" s="1"/>
  <c r="BV769" i="10" s="1" a="1"/>
  <c r="BV769" i="10" s="1"/>
  <c r="BJ768" i="10"/>
  <c r="AO768" i="10"/>
  <c r="CF765" i="10"/>
  <c r="CH765" i="10" s="1"/>
  <c r="CI765" i="10" s="1"/>
  <c r="CJ765" i="10" s="1" a="1"/>
  <c r="CJ765" i="10" s="1"/>
  <c r="BZ765" i="10" a="1"/>
  <c r="BZ765" i="10" s="1"/>
  <c r="BS765" i="10"/>
  <c r="BT765" i="10" s="1"/>
  <c r="BU765" i="10" s="1"/>
  <c r="BV765" i="10" s="1" a="1"/>
  <c r="BV765" i="10" s="1"/>
  <c r="BJ764" i="10"/>
  <c r="AO764" i="10"/>
  <c r="CF761" i="10"/>
  <c r="BS761" i="10"/>
  <c r="BJ760" i="10"/>
  <c r="AO760" i="10"/>
  <c r="CF757" i="10"/>
  <c r="BS757" i="10"/>
  <c r="BJ756" i="10"/>
  <c r="AO756" i="10"/>
  <c r="CF753" i="10"/>
  <c r="BS753" i="10"/>
  <c r="BJ752" i="10"/>
  <c r="BP752" i="10" s="1"/>
  <c r="BQ752" i="10" s="1"/>
  <c r="AO752" i="10"/>
  <c r="CN749" i="10" a="1"/>
  <c r="CN749" i="10" s="1"/>
  <c r="BZ749" i="10" a="1"/>
  <c r="BZ749" i="10" s="1"/>
  <c r="BJ748" i="10"/>
  <c r="AO748" i="10"/>
  <c r="BZ745" i="10" a="1"/>
  <c r="BZ745" i="10" s="1"/>
  <c r="BJ744" i="10"/>
  <c r="BT744" i="10" s="1"/>
  <c r="BU744" i="10" s="1"/>
  <c r="AO744" i="10"/>
  <c r="BZ741" i="10" a="1"/>
  <c r="BZ741" i="10" s="1"/>
  <c r="BJ740" i="10"/>
  <c r="AO740" i="10"/>
  <c r="BH738" i="10"/>
  <c r="BH734" i="10"/>
  <c r="CT724" i="10"/>
  <c r="CU724" i="10" s="1"/>
  <c r="BG723" i="10"/>
  <c r="CL723" i="10" s="1"/>
  <c r="CM723" i="10" s="1"/>
  <c r="BH723" i="10"/>
  <c r="AO722" i="10"/>
  <c r="BW721" i="10"/>
  <c r="CD721" i="10" a="1"/>
  <c r="CD721" i="10" s="1"/>
  <c r="CK721" i="10"/>
  <c r="AO721" i="10"/>
  <c r="BJ721" i="10"/>
  <c r="BE721" i="10" a="1"/>
  <c r="BE721" i="10" s="1"/>
  <c r="CS721" i="10"/>
  <c r="BS721" i="10"/>
  <c r="CF721" i="10"/>
  <c r="BG721" i="10"/>
  <c r="CO721" i="10"/>
  <c r="CH720" i="10"/>
  <c r="CI720" i="10" s="1"/>
  <c r="BW718" i="10"/>
  <c r="BX716" i="10"/>
  <c r="BY716" i="10" s="1"/>
  <c r="BL716" i="10"/>
  <c r="BM716" i="10" s="1"/>
  <c r="BN716" i="10" s="1" a="1"/>
  <c r="BN716" i="10" s="1"/>
  <c r="BQ712" i="10"/>
  <c r="BM712" i="10"/>
  <c r="CP708" i="10"/>
  <c r="CQ708" i="10" s="1"/>
  <c r="CR708" i="10" s="1" a="1"/>
  <c r="CR708" i="10" s="1"/>
  <c r="BG706" i="10"/>
  <c r="CT704" i="10"/>
  <c r="CU704" i="10" s="1"/>
  <c r="BG702" i="10"/>
  <c r="CT700" i="10"/>
  <c r="CU700" i="10" s="1"/>
  <c r="BG698" i="10"/>
  <c r="CT696" i="10"/>
  <c r="CU696" i="10" s="1"/>
  <c r="AO694" i="10"/>
  <c r="BW693" i="10"/>
  <c r="CD693" i="10" a="1"/>
  <c r="CD693" i="10" s="1"/>
  <c r="CK693" i="10"/>
  <c r="AO693" i="10"/>
  <c r="BJ693" i="10"/>
  <c r="BE693" i="10" a="1"/>
  <c r="BE693" i="10" s="1"/>
  <c r="CS693" i="10"/>
  <c r="BS693" i="10"/>
  <c r="CF693" i="10"/>
  <c r="BG693" i="10"/>
  <c r="CO693" i="10"/>
  <c r="CP691" i="10"/>
  <c r="CQ691" i="10" s="1"/>
  <c r="BG690" i="10"/>
  <c r="BX687" i="10"/>
  <c r="BY687" i="10" s="1"/>
  <c r="CA687" i="10" a="1"/>
  <c r="CA687" i="10" s="1"/>
  <c r="BE682" i="10" a="1"/>
  <c r="BE682" i="10" s="1"/>
  <c r="CS682" i="10"/>
  <c r="CT682" i="10" s="1"/>
  <c r="CU682" i="10" s="1"/>
  <c r="BS682" i="10"/>
  <c r="CF682" i="10"/>
  <c r="A682" i="10"/>
  <c r="CO682" i="10"/>
  <c r="CP682" i="10" s="1"/>
  <c r="CQ682" i="10" s="1"/>
  <c r="AO665" i="10"/>
  <c r="BJ665" i="10"/>
  <c r="A665" i="10"/>
  <c r="CD665" i="10" a="1"/>
  <c r="CD665" i="10" s="1"/>
  <c r="BE665" i="10" a="1"/>
  <c r="BE665" i="10" s="1"/>
  <c r="CO665" i="10"/>
  <c r="BO665" i="10"/>
  <c r="BW665" i="10"/>
  <c r="CF665" i="10"/>
  <c r="BG665" i="10"/>
  <c r="CS665" i="10"/>
  <c r="BF630" i="10"/>
  <c r="CS797" i="10"/>
  <c r="BE797" i="10" a="1"/>
  <c r="BE797" i="10" s="1"/>
  <c r="CS793" i="10"/>
  <c r="BE793" i="10" a="1"/>
  <c r="BE793" i="10" s="1"/>
  <c r="CS789" i="10"/>
  <c r="CT789" i="10" s="1"/>
  <c r="CU789" i="10" s="1"/>
  <c r="BE789" i="10" a="1"/>
  <c r="BE789" i="10" s="1"/>
  <c r="CS785" i="10"/>
  <c r="CT785" i="10" s="1"/>
  <c r="CU785" i="10" s="1"/>
  <c r="BE785" i="10" a="1"/>
  <c r="BE785" i="10" s="1"/>
  <c r="CS781" i="10"/>
  <c r="CK780" i="10"/>
  <c r="CD780" i="10" a="1"/>
  <c r="CD780" i="10" s="1"/>
  <c r="BW780" i="10"/>
  <c r="BX780" i="10" s="1"/>
  <c r="BY780" i="10" s="1"/>
  <c r="CA780" i="10" s="1" a="1"/>
  <c r="CA780" i="10" s="1"/>
  <c r="CS777" i="10"/>
  <c r="CT777" i="10" s="1"/>
  <c r="CU777" i="10" s="1"/>
  <c r="CK776" i="10"/>
  <c r="CD776" i="10" a="1"/>
  <c r="CD776" i="10" s="1"/>
  <c r="BW776" i="10"/>
  <c r="CS773" i="10"/>
  <c r="CT773" i="10" s="1"/>
  <c r="CU773" i="10" s="1"/>
  <c r="CK772" i="10"/>
  <c r="CD772" i="10" a="1"/>
  <c r="CD772" i="10" s="1"/>
  <c r="BW772" i="10"/>
  <c r="BX772" i="10" s="1"/>
  <c r="BY772" i="10" s="1"/>
  <c r="CS769" i="10"/>
  <c r="CT769" i="10" s="1"/>
  <c r="CU769" i="10" s="1"/>
  <c r="CK768" i="10"/>
  <c r="CD768" i="10" a="1"/>
  <c r="CD768" i="10" s="1"/>
  <c r="BW768" i="10"/>
  <c r="BX768" i="10" s="1"/>
  <c r="BY768" i="10" s="1"/>
  <c r="CS765" i="10"/>
  <c r="CT765" i="10" s="1"/>
  <c r="CU765" i="10" s="1"/>
  <c r="CK764" i="10"/>
  <c r="CD764" i="10" a="1"/>
  <c r="CD764" i="10" s="1"/>
  <c r="BW764" i="10"/>
  <c r="BX764" i="10" s="1"/>
  <c r="BY764" i="10" s="1"/>
  <c r="CA764" i="10" s="1" a="1"/>
  <c r="CA764" i="10" s="1"/>
  <c r="CS761" i="10"/>
  <c r="CT761" i="10" s="1"/>
  <c r="CU761" i="10" s="1"/>
  <c r="BE761" i="10" a="1"/>
  <c r="BE761" i="10" s="1"/>
  <c r="CK760" i="10"/>
  <c r="CD760" i="10" a="1"/>
  <c r="CD760" i="10" s="1"/>
  <c r="BW760" i="10"/>
  <c r="BX760" i="10" s="1"/>
  <c r="BY760" i="10" s="1"/>
  <c r="CS757" i="10"/>
  <c r="CT757" i="10" s="1"/>
  <c r="CU757" i="10" s="1"/>
  <c r="BE757" i="10" a="1"/>
  <c r="BE757" i="10" s="1"/>
  <c r="CK756" i="10"/>
  <c r="CD756" i="10" a="1"/>
  <c r="CD756" i="10" s="1"/>
  <c r="BW756" i="10"/>
  <c r="CS753" i="10"/>
  <c r="CT753" i="10" s="1"/>
  <c r="CU753" i="10" s="1"/>
  <c r="BE753" i="10" a="1"/>
  <c r="BE753" i="10" s="1"/>
  <c r="CK752" i="10"/>
  <c r="CD752" i="10" a="1"/>
  <c r="CD752" i="10" s="1"/>
  <c r="BW752" i="10"/>
  <c r="BX752" i="10" s="1"/>
  <c r="BY752" i="10" s="1"/>
  <c r="CK748" i="10"/>
  <c r="CD748" i="10" a="1"/>
  <c r="CD748" i="10" s="1"/>
  <c r="BW748" i="10"/>
  <c r="BX748" i="10" s="1"/>
  <c r="BY748" i="10" s="1"/>
  <c r="CK744" i="10"/>
  <c r="CD744" i="10" a="1"/>
  <c r="CD744" i="10" s="1"/>
  <c r="BW744" i="10"/>
  <c r="BX744" i="10" s="1"/>
  <c r="BY744" i="10" s="1"/>
  <c r="CK740" i="10"/>
  <c r="CD740" i="10" a="1"/>
  <c r="CD740" i="10" s="1"/>
  <c r="BW740" i="10"/>
  <c r="BX740" i="10" s="1"/>
  <c r="BY740" i="10" s="1"/>
  <c r="CA740" i="10" s="1" a="1"/>
  <c r="CA740" i="10" s="1"/>
  <c r="BO737" i="10"/>
  <c r="BX736" i="10"/>
  <c r="BY736" i="10" s="1"/>
  <c r="CP732" i="10"/>
  <c r="BH730" i="10"/>
  <c r="BQ728" i="10"/>
  <c r="BV728" i="10" s="1" a="1"/>
  <c r="BV728" i="10" s="1"/>
  <c r="BM728" i="10"/>
  <c r="BN728" i="10" s="1" a="1"/>
  <c r="BN728" i="10" s="1"/>
  <c r="CW727" i="10" a="1"/>
  <c r="CW727" i="10" s="1"/>
  <c r="BE726" i="10" a="1"/>
  <c r="BE726" i="10" s="1"/>
  <c r="CS726" i="10"/>
  <c r="BS726" i="10"/>
  <c r="CF726" i="10"/>
  <c r="A726" i="10"/>
  <c r="CO726" i="10"/>
  <c r="CP726" i="10" s="1"/>
  <c r="CQ726" i="10" s="1"/>
  <c r="CP724" i="10"/>
  <c r="CQ724" i="10"/>
  <c r="BP724" i="10"/>
  <c r="CK722" i="10"/>
  <c r="BG722" i="10"/>
  <c r="BG719" i="10"/>
  <c r="BH719" i="10"/>
  <c r="AO718" i="10"/>
  <c r="BW717" i="10"/>
  <c r="CD717" i="10" a="1"/>
  <c r="CD717" i="10" s="1"/>
  <c r="CK717" i="10"/>
  <c r="AO717" i="10"/>
  <c r="BJ717" i="10"/>
  <c r="BE717" i="10" a="1"/>
  <c r="BE717" i="10" s="1"/>
  <c r="CS717" i="10"/>
  <c r="BS717" i="10"/>
  <c r="CF717" i="10"/>
  <c r="BG717" i="10"/>
  <c r="CO717" i="10"/>
  <c r="CH716" i="10"/>
  <c r="CI716" i="10" s="1"/>
  <c r="CL712" i="10"/>
  <c r="CM712" i="10" s="1"/>
  <c r="CN712" i="10" s="1" a="1"/>
  <c r="CN712" i="10" s="1"/>
  <c r="CW711" i="10" a="1"/>
  <c r="CW711" i="10" s="1"/>
  <c r="BE710" i="10" a="1"/>
  <c r="BE710" i="10" s="1"/>
  <c r="CS710" i="10"/>
  <c r="BS710" i="10"/>
  <c r="CF710" i="10"/>
  <c r="A710" i="10"/>
  <c r="CO710" i="10"/>
  <c r="CP707" i="10"/>
  <c r="CQ707" i="10" s="1"/>
  <c r="CR707" i="10" s="1" a="1"/>
  <c r="CR707" i="10" s="1"/>
  <c r="CP704" i="10"/>
  <c r="CQ704" i="10"/>
  <c r="CP703" i="10"/>
  <c r="CQ703" i="10" s="1"/>
  <c r="CR703" i="10" s="1" a="1"/>
  <c r="CR703" i="10" s="1"/>
  <c r="CP700" i="10"/>
  <c r="CQ700" i="10"/>
  <c r="CP699" i="10"/>
  <c r="CQ699" i="10" s="1"/>
  <c r="CP696" i="10"/>
  <c r="CQ696" i="10" s="1"/>
  <c r="CR696" i="10" s="1" a="1"/>
  <c r="CR696" i="10" s="1"/>
  <c r="CP695" i="10"/>
  <c r="CQ695" i="10" s="1"/>
  <c r="CR695" i="10" s="1" a="1"/>
  <c r="CR695" i="10" s="1"/>
  <c r="CK694" i="10"/>
  <c r="BG694" i="10"/>
  <c r="BX691" i="10"/>
  <c r="BY691" i="10" s="1"/>
  <c r="CA691" i="10" a="1"/>
  <c r="CA691" i="10" s="1"/>
  <c r="BT687" i="10"/>
  <c r="BU687" i="10" s="1"/>
  <c r="BE686" i="10" a="1"/>
  <c r="BE686" i="10" s="1"/>
  <c r="CS686" i="10"/>
  <c r="BS686" i="10"/>
  <c r="CF686" i="10"/>
  <c r="A686" i="10"/>
  <c r="CO686" i="10"/>
  <c r="BG679" i="10"/>
  <c r="BH679" i="10"/>
  <c r="BP679" i="10" s="1"/>
  <c r="BQ679" i="10" s="1"/>
  <c r="CD678" i="10" a="1"/>
  <c r="CD678" i="10" s="1"/>
  <c r="CT675" i="10"/>
  <c r="CU675" i="10" s="1"/>
  <c r="AO674" i="10"/>
  <c r="CJ674" i="10" s="1" a="1"/>
  <c r="CJ674" i="10" s="1"/>
  <c r="BJ674" i="10"/>
  <c r="BE674" i="10" a="1"/>
  <c r="BE674" i="10" s="1"/>
  <c r="CS674" i="10"/>
  <c r="BS674" i="10"/>
  <c r="CF674" i="10"/>
  <c r="CH674" i="10" s="1"/>
  <c r="CI674" i="10" s="1"/>
  <c r="A674" i="10"/>
  <c r="CO674" i="10"/>
  <c r="BG672" i="10"/>
  <c r="CE670" i="10"/>
  <c r="CP670" i="10" s="1"/>
  <c r="CQ670" i="10" s="1"/>
  <c r="BL670" i="10"/>
  <c r="BP659" i="10"/>
  <c r="BQ659" i="10" s="1"/>
  <c r="BP654" i="10"/>
  <c r="BQ654" i="10" s="1"/>
  <c r="BJ797" i="10"/>
  <c r="BJ793" i="10"/>
  <c r="BJ789" i="10"/>
  <c r="BJ785" i="10"/>
  <c r="BR773" i="10" a="1"/>
  <c r="BR773" i="10" s="1"/>
  <c r="BR769" i="10" a="1"/>
  <c r="BR769" i="10" s="1"/>
  <c r="BR765" i="10" a="1"/>
  <c r="BR765" i="10" s="1"/>
  <c r="BJ761" i="10"/>
  <c r="BJ757" i="10"/>
  <c r="BJ753" i="10"/>
  <c r="BR749" i="10" a="1"/>
  <c r="BR749" i="10" s="1"/>
  <c r="BR745" i="10" a="1"/>
  <c r="BR745" i="10" s="1"/>
  <c r="BR741" i="10" a="1"/>
  <c r="BR741" i="10" s="1"/>
  <c r="BW733" i="10"/>
  <c r="CD733" i="10" a="1"/>
  <c r="CD733" i="10" s="1"/>
  <c r="CK733" i="10"/>
  <c r="AO733" i="10"/>
  <c r="BJ733" i="10"/>
  <c r="BS733" i="10"/>
  <c r="CF733" i="10"/>
  <c r="A733" i="10"/>
  <c r="CQ732" i="10"/>
  <c r="CR732" i="10" s="1" a="1"/>
  <c r="CR732" i="10" s="1"/>
  <c r="BW729" i="10"/>
  <c r="CD729" i="10" a="1"/>
  <c r="CD729" i="10" s="1"/>
  <c r="CK729" i="10"/>
  <c r="AO729" i="10"/>
  <c r="BJ729" i="10"/>
  <c r="BE729" i="10" a="1"/>
  <c r="BE729" i="10" s="1"/>
  <c r="CS729" i="10"/>
  <c r="BS729" i="10"/>
  <c r="CF729" i="10"/>
  <c r="A729" i="10"/>
  <c r="CL728" i="10"/>
  <c r="CM728" i="10" s="1"/>
  <c r="CN728" i="10" s="1" a="1"/>
  <c r="CN728" i="10" s="1"/>
  <c r="CT720" i="10"/>
  <c r="CU720" i="10" s="1"/>
  <c r="BG718" i="10"/>
  <c r="BX712" i="10"/>
  <c r="BY712" i="10" s="1"/>
  <c r="BE706" i="10" a="1"/>
  <c r="BE706" i="10" s="1"/>
  <c r="CS706" i="10"/>
  <c r="BS706" i="10"/>
  <c r="CF706" i="10"/>
  <c r="A706" i="10"/>
  <c r="CO706" i="10"/>
  <c r="BE702" i="10" a="1"/>
  <c r="BE702" i="10" s="1"/>
  <c r="CS702" i="10"/>
  <c r="BS702" i="10"/>
  <c r="CF702" i="10"/>
  <c r="A702" i="10"/>
  <c r="CO702" i="10"/>
  <c r="BE698" i="10" a="1"/>
  <c r="BE698" i="10" s="1"/>
  <c r="CS698" i="10"/>
  <c r="CT698" i="10" s="1"/>
  <c r="CU698" i="10" s="1"/>
  <c r="BS698" i="10"/>
  <c r="CF698" i="10"/>
  <c r="A698" i="10"/>
  <c r="CO698" i="10"/>
  <c r="BT691" i="10"/>
  <c r="BU691" i="10" s="1"/>
  <c r="BV691" i="10" s="1" a="1"/>
  <c r="BV691" i="10" s="1"/>
  <c r="BE690" i="10" a="1"/>
  <c r="BE690" i="10" s="1"/>
  <c r="CS690" i="10"/>
  <c r="CT690" i="10" s="1"/>
  <c r="CU690" i="10" s="1"/>
  <c r="BS690" i="10"/>
  <c r="CF690" i="10"/>
  <c r="A690" i="10"/>
  <c r="CO690" i="10"/>
  <c r="CP690" i="10" s="1"/>
  <c r="CQ690" i="10" s="1"/>
  <c r="CL687" i="10"/>
  <c r="CM687" i="10" s="1"/>
  <c r="CV682" i="10" a="1"/>
  <c r="CV682" i="10" s="1"/>
  <c r="CW682" i="10" a="1"/>
  <c r="CW682" i="10" s="1"/>
  <c r="BG678" i="10"/>
  <c r="CA666" i="10" a="1"/>
  <c r="CA666" i="10" s="1"/>
  <c r="CP736" i="10"/>
  <c r="BV732" i="10" a="1"/>
  <c r="BV732" i="10" s="1"/>
  <c r="CJ732" i="10" a="1"/>
  <c r="CJ732" i="10" s="1"/>
  <c r="CW732" i="10" a="1"/>
  <c r="CW732" i="10" s="1"/>
  <c r="BR732" i="10" a="1"/>
  <c r="BR732" i="10" s="1"/>
  <c r="CH730" i="10"/>
  <c r="CI730" i="10" s="1"/>
  <c r="CJ730" i="10" s="1" a="1"/>
  <c r="CJ730" i="10" s="1"/>
  <c r="BX728" i="10"/>
  <c r="BY728" i="10" s="1"/>
  <c r="CL727" i="10"/>
  <c r="CM727" i="10" s="1"/>
  <c r="BF727" i="10"/>
  <c r="BP727" i="10" s="1"/>
  <c r="BQ727" i="10" s="1"/>
  <c r="BQ724" i="10"/>
  <c r="BV724" i="10" s="1" a="1"/>
  <c r="BV724" i="10" s="1"/>
  <c r="BM724" i="10"/>
  <c r="BN724" i="10" s="1" a="1"/>
  <c r="BN724" i="10" s="1"/>
  <c r="BX723" i="10"/>
  <c r="BY723" i="10" s="1"/>
  <c r="BE722" i="10" a="1"/>
  <c r="BE722" i="10" s="1"/>
  <c r="CS722" i="10"/>
  <c r="BS722" i="10"/>
  <c r="CF722" i="10"/>
  <c r="A722" i="10"/>
  <c r="CO722" i="10"/>
  <c r="CP720" i="10"/>
  <c r="CQ720" i="10"/>
  <c r="CR720" i="10" s="1" a="1"/>
  <c r="CR720" i="10" s="1"/>
  <c r="CT716" i="10"/>
  <c r="CU716" i="10" s="1"/>
  <c r="BG715" i="10"/>
  <c r="BP715" i="10" s="1"/>
  <c r="BQ715" i="10" s="1"/>
  <c r="BH715" i="10"/>
  <c r="BW713" i="10"/>
  <c r="CD713" i="10" a="1"/>
  <c r="CD713" i="10" s="1"/>
  <c r="CK713" i="10"/>
  <c r="AO713" i="10"/>
  <c r="BJ713" i="10"/>
  <c r="BE713" i="10" a="1"/>
  <c r="BE713" i="10" s="1"/>
  <c r="CS713" i="10"/>
  <c r="BS713" i="10"/>
  <c r="CF713" i="10"/>
  <c r="BG713" i="10"/>
  <c r="CO713" i="10"/>
  <c r="CL711" i="10"/>
  <c r="CM711" i="10" s="1"/>
  <c r="BF711" i="10"/>
  <c r="BT711" i="10" s="1"/>
  <c r="BU711" i="10" s="1"/>
  <c r="CL708" i="10"/>
  <c r="CM708" i="10" s="1"/>
  <c r="CN708" i="10" s="1" a="1"/>
  <c r="CN708" i="10" s="1"/>
  <c r="BT699" i="10"/>
  <c r="BE694" i="10" a="1"/>
  <c r="BE694" i="10" s="1"/>
  <c r="CS694" i="10"/>
  <c r="CT694" i="10" s="1"/>
  <c r="CU694" i="10" s="1"/>
  <c r="BS694" i="10"/>
  <c r="CF694" i="10"/>
  <c r="A694" i="10"/>
  <c r="CO694" i="10"/>
  <c r="CP694" i="10" s="1"/>
  <c r="CQ694" i="10" s="1"/>
  <c r="CL691" i="10"/>
  <c r="CM691" i="10" s="1"/>
  <c r="BW677" i="10"/>
  <c r="CD677" i="10" a="1"/>
  <c r="CD677" i="10" s="1"/>
  <c r="CK677" i="10"/>
  <c r="AO677" i="10"/>
  <c r="BJ677" i="10"/>
  <c r="BE677" i="10" a="1"/>
  <c r="BE677" i="10" s="1"/>
  <c r="CS677" i="10"/>
  <c r="BS677" i="10"/>
  <c r="CF677" i="10"/>
  <c r="BG677" i="10"/>
  <c r="CO677" i="10"/>
  <c r="CP675" i="10"/>
  <c r="CQ675" i="10" s="1"/>
  <c r="CR675" i="10" s="1" a="1"/>
  <c r="CR675" i="10" s="1"/>
  <c r="BF675" i="10"/>
  <c r="BT675" i="10" s="1"/>
  <c r="BU675" i="10" s="1"/>
  <c r="BE672" i="10" a="1"/>
  <c r="BE672" i="10" s="1"/>
  <c r="CS672" i="10"/>
  <c r="BJ672" i="10"/>
  <c r="AO672" i="10"/>
  <c r="CD672" i="10" a="1"/>
  <c r="CD672" i="10" s="1"/>
  <c r="BW672" i="10"/>
  <c r="CF672" i="10"/>
  <c r="CO672" i="10"/>
  <c r="BO672" i="10"/>
  <c r="BS672" i="10"/>
  <c r="CK672" i="10"/>
  <c r="BQ670" i="10"/>
  <c r="BF667" i="10"/>
  <c r="BP658" i="10"/>
  <c r="BQ658" i="10" s="1"/>
  <c r="BR658" i="10" s="1" a="1"/>
  <c r="BR658" i="10" s="1"/>
  <c r="CL654" i="10"/>
  <c r="CM654" i="10" s="1"/>
  <c r="CO780" i="10"/>
  <c r="CO776" i="10"/>
  <c r="CO772" i="10"/>
  <c r="CO768" i="10"/>
  <c r="CO764" i="10"/>
  <c r="CO760" i="10"/>
  <c r="CA760" i="10" a="1"/>
  <c r="CA760" i="10" s="1"/>
  <c r="CO756" i="10"/>
  <c r="CO752" i="10"/>
  <c r="CA752" i="10" a="1"/>
  <c r="CA752" i="10" s="1"/>
  <c r="CO748" i="10"/>
  <c r="CA748" i="10" a="1"/>
  <c r="CA748" i="10" s="1"/>
  <c r="CO744" i="10"/>
  <c r="CO740" i="10"/>
  <c r="BW737" i="10"/>
  <c r="CD737" i="10" a="1"/>
  <c r="CD737" i="10" s="1"/>
  <c r="CK737" i="10"/>
  <c r="AO737" i="10"/>
  <c r="BJ737" i="10"/>
  <c r="BL737" i="10" s="1"/>
  <c r="BM737" i="10" s="1"/>
  <c r="BS737" i="10"/>
  <c r="CF737" i="10"/>
  <c r="A737" i="10"/>
  <c r="CQ736" i="10"/>
  <c r="BG731" i="10"/>
  <c r="BH731" i="10"/>
  <c r="CL724" i="10"/>
  <c r="CM724" i="10" s="1"/>
  <c r="CN724" i="10" s="1" a="1"/>
  <c r="CN724" i="10" s="1"/>
  <c r="BY724" i="10"/>
  <c r="BT723" i="10"/>
  <c r="BU723" i="10" s="1"/>
  <c r="CD722" i="10" a="1"/>
  <c r="CD722" i="10" s="1"/>
  <c r="BJ722" i="10"/>
  <c r="BX719" i="10"/>
  <c r="BY719" i="10" s="1"/>
  <c r="CA719" i="10" s="1" a="1"/>
  <c r="CA719" i="10" s="1"/>
  <c r="BE718" i="10" a="1"/>
  <c r="BE718" i="10" s="1"/>
  <c r="CS718" i="10"/>
  <c r="BS718" i="10"/>
  <c r="CF718" i="10"/>
  <c r="A718" i="10"/>
  <c r="CO718" i="10"/>
  <c r="CP716" i="10"/>
  <c r="CQ716" i="10"/>
  <c r="CR716" i="10" s="1" a="1"/>
  <c r="CR716" i="10" s="1"/>
  <c r="BP716" i="10"/>
  <c r="BQ716" i="10" s="1"/>
  <c r="BV716" i="10" s="1" a="1"/>
  <c r="BV716" i="10" s="1"/>
  <c r="BG714" i="10"/>
  <c r="BO713" i="10"/>
  <c r="BV712" i="10" a="1"/>
  <c r="BV712" i="10" s="1"/>
  <c r="CL707" i="10"/>
  <c r="CM707" i="10" s="1"/>
  <c r="BF707" i="10"/>
  <c r="BX707" i="10" s="1"/>
  <c r="BY707" i="10" s="1"/>
  <c r="CL704" i="10"/>
  <c r="CM704" i="10" s="1"/>
  <c r="CN704" i="10" s="1" a="1"/>
  <c r="CN704" i="10" s="1"/>
  <c r="CL703" i="10"/>
  <c r="CM703" i="10" s="1"/>
  <c r="BF703" i="10"/>
  <c r="BT703" i="10" s="1"/>
  <c r="BU703" i="10" s="1"/>
  <c r="CL700" i="10"/>
  <c r="CM700" i="10" s="1"/>
  <c r="CN700" i="10" s="1" a="1"/>
  <c r="CN700" i="10" s="1"/>
  <c r="CL699" i="10"/>
  <c r="CM699" i="10" s="1"/>
  <c r="BF699" i="10"/>
  <c r="BX699" i="10" s="1"/>
  <c r="BY699" i="10" s="1"/>
  <c r="BU699" i="10"/>
  <c r="CW698" i="10" a="1"/>
  <c r="CW698" i="10" s="1"/>
  <c r="CL696" i="10"/>
  <c r="CM696" i="10" s="1"/>
  <c r="CN696" i="10" s="1" a="1"/>
  <c r="CN696" i="10" s="1"/>
  <c r="CL695" i="10"/>
  <c r="CM695" i="10" s="1"/>
  <c r="BF695" i="10"/>
  <c r="BP695" i="10" s="1"/>
  <c r="BQ695" i="10" s="1"/>
  <c r="CV690" i="10" a="1"/>
  <c r="CV690" i="10" s="1"/>
  <c r="CW690" i="10" a="1"/>
  <c r="CW690" i="10" s="1"/>
  <c r="BP687" i="10"/>
  <c r="BQ687" i="10" s="1"/>
  <c r="BG683" i="10"/>
  <c r="BX683" i="10" s="1"/>
  <c r="BY683" i="10" s="1"/>
  <c r="BH683" i="10"/>
  <c r="AO678" i="10"/>
  <c r="BJ678" i="10"/>
  <c r="BE678" i="10" a="1"/>
  <c r="BE678" i="10" s="1"/>
  <c r="CS678" i="10"/>
  <c r="BS678" i="10"/>
  <c r="CF678" i="10"/>
  <c r="A678" i="10"/>
  <c r="CO678" i="10"/>
  <c r="CL674" i="10"/>
  <c r="CM674" i="10" s="1"/>
  <c r="CN674" i="10" s="1" a="1"/>
  <c r="CN674" i="10" s="1"/>
  <c r="CE673" i="10"/>
  <c r="CE669" i="10"/>
  <c r="CT669" i="10" s="1"/>
  <c r="CU669" i="10" s="1"/>
  <c r="CQ669" i="10"/>
  <c r="BG664" i="10"/>
  <c r="BF661" i="10"/>
  <c r="CP658" i="10"/>
  <c r="CQ658" i="10" s="1"/>
  <c r="CR658" i="10" s="1" a="1"/>
  <c r="CR658" i="10" s="1"/>
  <c r="BY670" i="10"/>
  <c r="CA670" i="10" s="1" a="1"/>
  <c r="CA670" i="10" s="1"/>
  <c r="CO668" i="10"/>
  <c r="CF668" i="10"/>
  <c r="BW668" i="10"/>
  <c r="CU666" i="10"/>
  <c r="CV666" i="10" s="1" a="1"/>
  <c r="CV666" i="10" s="1"/>
  <c r="BG662" i="10"/>
  <c r="CF661" i="10"/>
  <c r="BW661" i="10"/>
  <c r="BO661" i="10"/>
  <c r="BW660" i="10"/>
  <c r="CD660" i="10" a="1"/>
  <c r="CD660" i="10" s="1"/>
  <c r="CK660" i="10"/>
  <c r="BE660" i="10" a="1"/>
  <c r="BE660" i="10" s="1"/>
  <c r="CS660" i="10"/>
  <c r="BL658" i="10"/>
  <c r="BM658" i="10" s="1"/>
  <c r="CH658" i="10"/>
  <c r="CI658" i="10" s="1"/>
  <c r="CJ658" i="10" s="1" a="1"/>
  <c r="CJ658" i="10" s="1"/>
  <c r="BG657" i="10"/>
  <c r="BL654" i="10"/>
  <c r="BM654" i="10" s="1"/>
  <c r="CH654" i="10"/>
  <c r="CI654" i="10" s="1"/>
  <c r="CJ654" i="10" s="1" a="1"/>
  <c r="CJ654" i="10" s="1"/>
  <c r="BG653" i="10"/>
  <c r="CE650" i="10"/>
  <c r="CL650" i="10" s="1"/>
  <c r="CM650" i="10" s="1"/>
  <c r="CN650" i="10" s="1" a="1"/>
  <c r="CN650" i="10" s="1"/>
  <c r="BF642" i="10"/>
  <c r="BP630" i="10"/>
  <c r="BQ630" i="10" s="1"/>
  <c r="BR630" i="10" s="1" a="1"/>
  <c r="BR630" i="10" s="1"/>
  <c r="BX630" i="10"/>
  <c r="BY630" i="10" s="1"/>
  <c r="BL630" i="10"/>
  <c r="BM630" i="10" s="1"/>
  <c r="BN630" i="10" s="1" a="1"/>
  <c r="BN630" i="10" s="1"/>
  <c r="BP602" i="10"/>
  <c r="BQ602" i="10" s="1"/>
  <c r="BX602" i="10"/>
  <c r="BY602" i="10" s="1"/>
  <c r="CA602" i="10" s="1" a="1"/>
  <c r="CA602" i="10" s="1"/>
  <c r="BL602" i="10"/>
  <c r="BM602" i="10" s="1"/>
  <c r="BF597" i="10"/>
  <c r="BR728" i="10" a="1"/>
  <c r="BR728" i="10" s="1"/>
  <c r="BR724" i="10" a="1"/>
  <c r="BR724" i="10" s="1"/>
  <c r="BJ720" i="10"/>
  <c r="BR716" i="10" a="1"/>
  <c r="BR716" i="10" s="1"/>
  <c r="BR712" i="10" a="1"/>
  <c r="BR712" i="10" s="1"/>
  <c r="BJ708" i="10"/>
  <c r="BT708" i="10" s="1"/>
  <c r="BU708" i="10" s="1"/>
  <c r="BJ704" i="10"/>
  <c r="BX704" i="10" s="1"/>
  <c r="BY704" i="10" s="1"/>
  <c r="BJ700" i="10"/>
  <c r="BJ696" i="10"/>
  <c r="BT696" i="10" s="1"/>
  <c r="BU696" i="10" s="1"/>
  <c r="AO696" i="10"/>
  <c r="BJ692" i="10"/>
  <c r="AO692" i="10"/>
  <c r="BJ688" i="10"/>
  <c r="AO688" i="10"/>
  <c r="BJ684" i="10"/>
  <c r="BT684" i="10" s="1"/>
  <c r="BU684" i="10" s="1"/>
  <c r="AO684" i="10"/>
  <c r="BJ680" i="10"/>
  <c r="BP680" i="10" s="1"/>
  <c r="BQ680" i="10" s="1"/>
  <c r="AO680" i="10"/>
  <c r="BJ676" i="10"/>
  <c r="BX676" i="10" s="1"/>
  <c r="BY676" i="10" s="1"/>
  <c r="AO676" i="10"/>
  <c r="BH672" i="10"/>
  <c r="CF671" i="10"/>
  <c r="BO671" i="10"/>
  <c r="CO669" i="10"/>
  <c r="CP669" i="10" s="1"/>
  <c r="BE669" i="10" a="1"/>
  <c r="BE669" i="10" s="1"/>
  <c r="CD668" i="10" a="1"/>
  <c r="CD668" i="10" s="1"/>
  <c r="AO668" i="10"/>
  <c r="BH664" i="10"/>
  <c r="CF663" i="10"/>
  <c r="BO663" i="10"/>
  <c r="CP654" i="10"/>
  <c r="CQ654" i="10" s="1"/>
  <c r="CR654" i="10" s="1" a="1"/>
  <c r="CR654" i="10" s="1"/>
  <c r="CP650" i="10"/>
  <c r="CQ650" i="10" s="1"/>
  <c r="CR650" i="10" s="1" a="1"/>
  <c r="CR650" i="10" s="1"/>
  <c r="CE646" i="10"/>
  <c r="CL646" i="10" s="1"/>
  <c r="CM646" i="10"/>
  <c r="BP638" i="10"/>
  <c r="BQ638" i="10" s="1"/>
  <c r="BF618" i="10"/>
  <c r="BP618" i="10" s="1"/>
  <c r="BQ618" i="10" s="1"/>
  <c r="BF606" i="10"/>
  <c r="BL606" i="10" s="1"/>
  <c r="BM606" i="10" s="1"/>
  <c r="BN606" i="10" s="1" a="1"/>
  <c r="BN606" i="10" s="1"/>
  <c r="BH594" i="10"/>
  <c r="BG594" i="10"/>
  <c r="BG592" i="10"/>
  <c r="BH592" i="10"/>
  <c r="BF548" i="10"/>
  <c r="CK692" i="10"/>
  <c r="CD692" i="10" a="1"/>
  <c r="CD692" i="10" s="1"/>
  <c r="CK688" i="10"/>
  <c r="CD688" i="10" a="1"/>
  <c r="CD688" i="10" s="1"/>
  <c r="CK684" i="10"/>
  <c r="CD684" i="10" a="1"/>
  <c r="CD684" i="10" s="1"/>
  <c r="CK680" i="10"/>
  <c r="CD680" i="10" a="1"/>
  <c r="CD680" i="10" s="1"/>
  <c r="CK676" i="10"/>
  <c r="CD676" i="10" a="1"/>
  <c r="CD676" i="10" s="1"/>
  <c r="BH673" i="10"/>
  <c r="CL673" i="10" s="1"/>
  <c r="CM673" i="10" s="1"/>
  <c r="BE671" i="10" a="1"/>
  <c r="BE671" i="10" s="1"/>
  <c r="BM670" i="10"/>
  <c r="BN670" i="10" s="1" a="1"/>
  <c r="BN670" i="10" s="1"/>
  <c r="CO667" i="10"/>
  <c r="BW667" i="10"/>
  <c r="BX667" i="10" s="1"/>
  <c r="BY667" i="10" s="1"/>
  <c r="CD667" i="10" a="1"/>
  <c r="CD667" i="10" s="1"/>
  <c r="CK667" i="10"/>
  <c r="A667" i="10"/>
  <c r="CA658" i="10" a="1"/>
  <c r="CA658" i="10" s="1"/>
  <c r="CT646" i="10"/>
  <c r="CU646" i="10" s="1"/>
  <c r="CN646" i="10" a="1"/>
  <c r="CN646" i="10" s="1"/>
  <c r="CJ646" i="10" a="1"/>
  <c r="CJ646" i="10" s="1"/>
  <c r="BF638" i="10"/>
  <c r="BX638" i="10" s="1"/>
  <c r="BY638" i="10" s="1"/>
  <c r="BP626" i="10"/>
  <c r="BQ626" i="10" s="1"/>
  <c r="BP610" i="10"/>
  <c r="BQ610" i="10" s="1"/>
  <c r="BR610" i="10" s="1" a="1"/>
  <c r="BR610" i="10" s="1"/>
  <c r="BL610" i="10"/>
  <c r="BT602" i="10"/>
  <c r="BU602" i="10" s="1"/>
  <c r="CP599" i="10"/>
  <c r="CQ599" i="10" s="1"/>
  <c r="CR599" i="10" s="1" a="1"/>
  <c r="CR599" i="10" s="1"/>
  <c r="CE592" i="10"/>
  <c r="BF589" i="10"/>
  <c r="BP582" i="10"/>
  <c r="BL582" i="10"/>
  <c r="BF563" i="10"/>
  <c r="BP563" i="10" s="1"/>
  <c r="BQ563" i="10" s="1"/>
  <c r="CE556" i="10"/>
  <c r="BW521" i="10"/>
  <c r="CD521" i="10" a="1"/>
  <c r="CD521" i="10" s="1"/>
  <c r="CK521" i="10"/>
  <c r="AO521" i="10"/>
  <c r="BJ521" i="10"/>
  <c r="BS521" i="10"/>
  <c r="CF521" i="10"/>
  <c r="A521" i="10"/>
  <c r="BE521" i="10" a="1"/>
  <c r="BE521" i="10" s="1"/>
  <c r="CO521" i="10"/>
  <c r="BO521" i="10"/>
  <c r="BG521" i="10"/>
  <c r="CS521" i="10"/>
  <c r="CO731" i="10"/>
  <c r="CP731" i="10" s="1"/>
  <c r="CQ731" i="10" s="1"/>
  <c r="CW728" i="10" a="1"/>
  <c r="CW728" i="10" s="1"/>
  <c r="CO727" i="10"/>
  <c r="CP727" i="10" s="1"/>
  <c r="CQ727" i="10" s="1"/>
  <c r="CW724" i="10" a="1"/>
  <c r="CW724" i="10" s="1"/>
  <c r="CO723" i="10"/>
  <c r="CP723" i="10" s="1"/>
  <c r="CQ723" i="10" s="1"/>
  <c r="CR723" i="10" s="1" a="1"/>
  <c r="CR723" i="10" s="1"/>
  <c r="CO719" i="10"/>
  <c r="CP719" i="10" s="1"/>
  <c r="CQ719" i="10" s="1"/>
  <c r="CW716" i="10" a="1"/>
  <c r="CW716" i="10" s="1"/>
  <c r="CO715" i="10"/>
  <c r="CP715" i="10" s="1"/>
  <c r="CQ715" i="10" s="1"/>
  <c r="CW712" i="10" a="1"/>
  <c r="CW712" i="10" s="1"/>
  <c r="AO661" i="10"/>
  <c r="BJ661" i="10"/>
  <c r="A661" i="10"/>
  <c r="BW657" i="10"/>
  <c r="CD657" i="10" a="1"/>
  <c r="CD657" i="10" s="1"/>
  <c r="CK657" i="10"/>
  <c r="AO657" i="10"/>
  <c r="BJ657" i="10"/>
  <c r="BE657" i="10" a="1"/>
  <c r="BE657" i="10" s="1"/>
  <c r="CS657" i="10"/>
  <c r="A657" i="10"/>
  <c r="BF655" i="10"/>
  <c r="BP655" i="10" s="1"/>
  <c r="BQ655" i="10"/>
  <c r="BW653" i="10"/>
  <c r="CD653" i="10" a="1"/>
  <c r="CD653" i="10" s="1"/>
  <c r="CK653" i="10"/>
  <c r="AO653" i="10"/>
  <c r="BJ653" i="10"/>
  <c r="BE653" i="10" a="1"/>
  <c r="BE653" i="10" s="1"/>
  <c r="CS653" i="10"/>
  <c r="A653" i="10"/>
  <c r="BF651" i="10"/>
  <c r="BP651" i="10" s="1"/>
  <c r="BQ651" i="10" s="1"/>
  <c r="BF647" i="10"/>
  <c r="BP647" i="10" s="1"/>
  <c r="BU647" i="10"/>
  <c r="BV647" i="10" s="1" a="1"/>
  <c r="BV647" i="10" s="1"/>
  <c r="BQ647" i="10"/>
  <c r="BR647" i="10" s="1" a="1"/>
  <c r="BR647" i="10" s="1"/>
  <c r="BL646" i="10"/>
  <c r="BM646" i="10" s="1"/>
  <c r="BN646" i="10" s="1" a="1"/>
  <c r="BN646" i="10" s="1"/>
  <c r="CH646" i="10"/>
  <c r="CI646" i="10" s="1"/>
  <c r="BT642" i="10"/>
  <c r="BU642" i="10" s="1"/>
  <c r="BF626" i="10"/>
  <c r="BX626" i="10" s="1"/>
  <c r="BY626" i="10" s="1"/>
  <c r="BM610" i="10"/>
  <c r="BN610" i="10" s="1" a="1"/>
  <c r="BN610" i="10" s="1"/>
  <c r="BF610" i="10"/>
  <c r="BT610" i="10" s="1"/>
  <c r="BU610" i="10" s="1"/>
  <c r="BV610" i="10" s="1" a="1"/>
  <c r="BV610" i="10" s="1"/>
  <c r="BT594" i="10"/>
  <c r="BU594" i="10" s="1"/>
  <c r="CE588" i="10"/>
  <c r="AO587" i="10"/>
  <c r="BJ587" i="10"/>
  <c r="BS587" i="10"/>
  <c r="CF587" i="10"/>
  <c r="A587" i="10"/>
  <c r="CO587" i="10"/>
  <c r="BW587" i="10"/>
  <c r="CD587" i="10" a="1"/>
  <c r="CD587" i="10" s="1"/>
  <c r="CK587" i="10"/>
  <c r="BE587" i="10" a="1"/>
  <c r="BE587" i="10" s="1"/>
  <c r="CS587" i="10"/>
  <c r="BO587" i="10"/>
  <c r="CJ728" i="10" a="1"/>
  <c r="CJ728" i="10" s="1"/>
  <c r="CJ724" i="10" a="1"/>
  <c r="CJ724" i="10" s="1"/>
  <c r="CJ720" i="10" a="1"/>
  <c r="CJ720" i="10" s="1"/>
  <c r="CJ712" i="10" a="1"/>
  <c r="CJ712" i="10" s="1"/>
  <c r="CJ708" i="10" a="1"/>
  <c r="CJ708" i="10" s="1"/>
  <c r="BG671" i="10"/>
  <c r="CT670" i="10"/>
  <c r="CU670" i="10" s="1"/>
  <c r="CL669" i="10"/>
  <c r="CM669" i="10" s="1"/>
  <c r="AO669" i="10"/>
  <c r="BJ669" i="10"/>
  <c r="A669" i="10"/>
  <c r="BE668" i="10" a="1"/>
  <c r="BE668" i="10" s="1"/>
  <c r="CS668" i="10"/>
  <c r="A668" i="10"/>
  <c r="CP666" i="10"/>
  <c r="CQ666" i="10" s="1"/>
  <c r="CR666" i="10" s="1" a="1"/>
  <c r="CR666" i="10" s="1"/>
  <c r="BG663" i="10"/>
  <c r="BT663" i="10" s="1"/>
  <c r="BU663" i="10" s="1"/>
  <c r="CS661" i="10"/>
  <c r="CT658" i="10"/>
  <c r="CU658" i="10" s="1"/>
  <c r="BT658" i="10"/>
  <c r="BU658" i="10" s="1"/>
  <c r="BV658" i="10" s="1" a="1"/>
  <c r="BV658" i="10" s="1"/>
  <c r="BT654" i="10"/>
  <c r="BU654" i="10" s="1"/>
  <c r="BV654" i="10" s="1" a="1"/>
  <c r="BV654" i="10" s="1"/>
  <c r="CJ650" i="10" a="1"/>
  <c r="CJ650" i="10" s="1"/>
  <c r="BT647" i="10"/>
  <c r="CP646" i="10"/>
  <c r="CQ646" i="10" s="1"/>
  <c r="CR646" i="10" s="1" a="1"/>
  <c r="CR646" i="10" s="1"/>
  <c r="BX646" i="10"/>
  <c r="BY646" i="10"/>
  <c r="CA646" i="10" s="1" a="1"/>
  <c r="CA646" i="10" s="1"/>
  <c r="BF646" i="10"/>
  <c r="BP646" i="10" s="1"/>
  <c r="BQ646" i="10" s="1"/>
  <c r="BR646" i="10" s="1" a="1"/>
  <c r="BR646" i="10" s="1"/>
  <c r="BL634" i="10"/>
  <c r="BM634" i="10" s="1"/>
  <c r="BN634" i="10" s="1" a="1"/>
  <c r="BN634" i="10" s="1"/>
  <c r="BT630" i="10"/>
  <c r="BU630" i="10" s="1"/>
  <c r="BV630" i="10" s="1" a="1"/>
  <c r="BV630" i="10" s="1"/>
  <c r="BF614" i="10"/>
  <c r="BX614" i="10" s="1"/>
  <c r="BY614" i="10" s="1"/>
  <c r="CE598" i="10"/>
  <c r="CP594" i="10"/>
  <c r="CQ594" i="10" s="1"/>
  <c r="BG585" i="10"/>
  <c r="CO585" i="10"/>
  <c r="BW585" i="10"/>
  <c r="CD585" i="10" a="1"/>
  <c r="CD585" i="10" s="1"/>
  <c r="CK585" i="10"/>
  <c r="AO585" i="10"/>
  <c r="BJ585" i="10"/>
  <c r="A585" i="10"/>
  <c r="BO585" i="10"/>
  <c r="CF585" i="10"/>
  <c r="BE585" i="10" a="1"/>
  <c r="BE585" i="10" s="1"/>
  <c r="BS585" i="10"/>
  <c r="CS585" i="10"/>
  <c r="BS671" i="10"/>
  <c r="BZ658" i="10" a="1"/>
  <c r="BZ658" i="10" s="1"/>
  <c r="BN658" i="10" a="1"/>
  <c r="BN658" i="10" s="1"/>
  <c r="CT654" i="10"/>
  <c r="CU654" i="10" s="1"/>
  <c r="CT650" i="10"/>
  <c r="CU650" i="10" s="1"/>
  <c r="BL650" i="10"/>
  <c r="BM650" i="10" s="1"/>
  <c r="BN650" i="10" s="1" a="1"/>
  <c r="BN650" i="10" s="1"/>
  <c r="CH650" i="10"/>
  <c r="CI650" i="10" s="1"/>
  <c r="BF634" i="10"/>
  <c r="BP634" i="10" s="1"/>
  <c r="BQ634" i="10" s="1"/>
  <c r="BR634" i="10" s="1" a="1"/>
  <c r="BR634" i="10" s="1"/>
  <c r="BX622" i="10"/>
  <c r="BT618" i="10"/>
  <c r="BU618" i="10" s="1"/>
  <c r="BV618" i="10" s="1" a="1"/>
  <c r="BV618" i="10" s="1"/>
  <c r="BT606" i="10"/>
  <c r="BU606" i="10" s="1"/>
  <c r="BG597" i="10"/>
  <c r="BP597" i="10" s="1"/>
  <c r="BQ597" i="10" s="1"/>
  <c r="BH597" i="10"/>
  <c r="BG588" i="10"/>
  <c r="BH588" i="10"/>
  <c r="CE584" i="10"/>
  <c r="BH574" i="10"/>
  <c r="BG574" i="10"/>
  <c r="CO671" i="10"/>
  <c r="BW671" i="10"/>
  <c r="CD671" i="10" a="1"/>
  <c r="CD671" i="10" s="1"/>
  <c r="CK671" i="10"/>
  <c r="A671" i="10"/>
  <c r="BZ670" i="10" a="1"/>
  <c r="BZ670" i="10" s="1"/>
  <c r="BV670" i="10" a="1"/>
  <c r="BV670" i="10" s="1"/>
  <c r="CO663" i="10"/>
  <c r="BW663" i="10"/>
  <c r="BX663" i="10" s="1"/>
  <c r="BY663" i="10" s="1"/>
  <c r="CA663" i="10" s="1" a="1"/>
  <c r="CA663" i="10" s="1"/>
  <c r="CD663" i="10" a="1"/>
  <c r="CD663" i="10" s="1"/>
  <c r="CK663" i="10"/>
  <c r="A663" i="10"/>
  <c r="BG661" i="10"/>
  <c r="CL661" i="10" s="1"/>
  <c r="CM661" i="10" s="1"/>
  <c r="BF650" i="10"/>
  <c r="BP650" i="10" s="1"/>
  <c r="BQ650" i="10" s="1"/>
  <c r="BR650" i="10" s="1" a="1"/>
  <c r="BR650" i="10" s="1"/>
  <c r="BL647" i="10"/>
  <c r="BM647" i="10" s="1"/>
  <c r="BN647" i="10" s="1" a="1"/>
  <c r="BN647" i="10" s="1"/>
  <c r="BP642" i="10"/>
  <c r="BQ642" i="10" s="1"/>
  <c r="BX642" i="10"/>
  <c r="BY642" i="10" s="1"/>
  <c r="BL642" i="10"/>
  <c r="BM642" i="10" s="1"/>
  <c r="BN642" i="10" s="1" a="1"/>
  <c r="BN642" i="10" s="1"/>
  <c r="BT638" i="10"/>
  <c r="BU638" i="10" s="1"/>
  <c r="BV638" i="10" s="1" a="1"/>
  <c r="BV638" i="10" s="1"/>
  <c r="BY622" i="10"/>
  <c r="CA622" i="10" s="1" a="1"/>
  <c r="CA622" i="10" s="1"/>
  <c r="BF622" i="10"/>
  <c r="BT622" i="10" s="1"/>
  <c r="BU622" i="10" s="1"/>
  <c r="CH603" i="10"/>
  <c r="CI603" i="10" s="1"/>
  <c r="CJ603" i="10" s="1" a="1"/>
  <c r="CJ603" i="10" s="1"/>
  <c r="BR602" i="10" a="1"/>
  <c r="BR602" i="10" s="1"/>
  <c r="BZ602" i="10" a="1"/>
  <c r="BZ602" i="10" s="1"/>
  <c r="BN602" i="10" a="1"/>
  <c r="BN602" i="10" s="1"/>
  <c r="CB602" i="10" s="1"/>
  <c r="S602" i="10" s="1"/>
  <c r="BV602" i="10" a="1"/>
  <c r="BV602" i="10" s="1"/>
  <c r="BF598" i="10"/>
  <c r="BP598" i="10" s="1"/>
  <c r="BQ598" i="10" s="1"/>
  <c r="CE597" i="10"/>
  <c r="BG593" i="10"/>
  <c r="CT593" i="10" s="1"/>
  <c r="CU593" i="10" s="1"/>
  <c r="BH593" i="10"/>
  <c r="BF590" i="10"/>
  <c r="BP590" i="10" s="1"/>
  <c r="BQ590" i="10" s="1"/>
  <c r="BF559" i="10"/>
  <c r="BP559" i="10" s="1"/>
  <c r="BQ559" i="10"/>
  <c r="BM554" i="10"/>
  <c r="BF554" i="10"/>
  <c r="BX554" i="10" s="1"/>
  <c r="BY554" i="10" s="1"/>
  <c r="CK659" i="10"/>
  <c r="CD659" i="10" a="1"/>
  <c r="CD659" i="10" s="1"/>
  <c r="BW659" i="10"/>
  <c r="BX659" i="10" s="1"/>
  <c r="BY659" i="10" s="1"/>
  <c r="CS656" i="10"/>
  <c r="BE656" i="10" a="1"/>
  <c r="BE656" i="10" s="1"/>
  <c r="CK655" i="10"/>
  <c r="CD655" i="10" a="1"/>
  <c r="CD655" i="10" s="1"/>
  <c r="BW655" i="10"/>
  <c r="BX655" i="10" s="1"/>
  <c r="BY655" i="10" s="1"/>
  <c r="CS652" i="10"/>
  <c r="BE652" i="10" a="1"/>
  <c r="BE652" i="10" s="1"/>
  <c r="CK651" i="10"/>
  <c r="CD651" i="10" a="1"/>
  <c r="CD651" i="10" s="1"/>
  <c r="BW651" i="10"/>
  <c r="BX651" i="10" s="1"/>
  <c r="BY651" i="10" s="1"/>
  <c r="A649" i="10"/>
  <c r="CS648" i="10"/>
  <c r="BE648" i="10" a="1"/>
  <c r="BE648" i="10" s="1"/>
  <c r="CK647" i="10"/>
  <c r="CD647" i="10" a="1"/>
  <c r="CD647" i="10" s="1"/>
  <c r="BW647" i="10"/>
  <c r="BX647" i="10" s="1"/>
  <c r="BY647" i="10" s="1"/>
  <c r="A645" i="10"/>
  <c r="CS644" i="10"/>
  <c r="BE644" i="10" a="1"/>
  <c r="BE644" i="10" s="1"/>
  <c r="CK643" i="10"/>
  <c r="CD643" i="10" a="1"/>
  <c r="CD643" i="10" s="1"/>
  <c r="BW643" i="10"/>
  <c r="A641" i="10"/>
  <c r="CS640" i="10"/>
  <c r="BE640" i="10" a="1"/>
  <c r="BE640" i="10" s="1"/>
  <c r="CK639" i="10"/>
  <c r="CD639" i="10" a="1"/>
  <c r="CD639" i="10" s="1"/>
  <c r="BW639" i="10"/>
  <c r="A637" i="10"/>
  <c r="CS636" i="10"/>
  <c r="BE636" i="10" a="1"/>
  <c r="BE636" i="10" s="1"/>
  <c r="CK635" i="10"/>
  <c r="CD635" i="10" a="1"/>
  <c r="CD635" i="10" s="1"/>
  <c r="BW635" i="10"/>
  <c r="A633" i="10"/>
  <c r="CS632" i="10"/>
  <c r="BE632" i="10" a="1"/>
  <c r="BE632" i="10" s="1"/>
  <c r="CK631" i="10"/>
  <c r="CD631" i="10" a="1"/>
  <c r="CD631" i="10" s="1"/>
  <c r="BW631" i="10"/>
  <c r="BX631" i="10" s="1"/>
  <c r="BY631" i="10" s="1"/>
  <c r="A629" i="10"/>
  <c r="CS628" i="10"/>
  <c r="BE628" i="10" a="1"/>
  <c r="BE628" i="10" s="1"/>
  <c r="CK627" i="10"/>
  <c r="CD627" i="10" a="1"/>
  <c r="CD627" i="10" s="1"/>
  <c r="BW627" i="10"/>
  <c r="A625" i="10"/>
  <c r="CS624" i="10"/>
  <c r="BE624" i="10" a="1"/>
  <c r="BE624" i="10" s="1"/>
  <c r="CK623" i="10"/>
  <c r="CD623" i="10" a="1"/>
  <c r="CD623" i="10" s="1"/>
  <c r="BW623" i="10"/>
  <c r="A621" i="10"/>
  <c r="CS620" i="10"/>
  <c r="BE620" i="10" a="1"/>
  <c r="BE620" i="10" s="1"/>
  <c r="CK619" i="10"/>
  <c r="CD619" i="10" a="1"/>
  <c r="CD619" i="10" s="1"/>
  <c r="BW619" i="10"/>
  <c r="A617" i="10"/>
  <c r="CS616" i="10"/>
  <c r="BE616" i="10" a="1"/>
  <c r="BE616" i="10" s="1"/>
  <c r="CK615" i="10"/>
  <c r="CD615" i="10" a="1"/>
  <c r="CD615" i="10" s="1"/>
  <c r="BW615" i="10"/>
  <c r="A613" i="10"/>
  <c r="CS612" i="10"/>
  <c r="BE612" i="10" a="1"/>
  <c r="BE612" i="10" s="1"/>
  <c r="A609" i="10"/>
  <c r="CS608" i="10"/>
  <c r="BE608" i="10" a="1"/>
  <c r="BE608" i="10" s="1"/>
  <c r="A605" i="10"/>
  <c r="CS604" i="10"/>
  <c r="BE604" i="10" a="1"/>
  <c r="BE604" i="10" s="1"/>
  <c r="A601" i="10"/>
  <c r="CS600" i="10"/>
  <c r="BE600" i="10" a="1"/>
  <c r="BE600" i="10" s="1"/>
  <c r="CO597" i="10"/>
  <c r="CP597" i="10" s="1"/>
  <c r="CQ597" i="10" s="1"/>
  <c r="CK596" i="10"/>
  <c r="BO596" i="10"/>
  <c r="BE593" i="10" a="1"/>
  <c r="BE593" i="10" s="1"/>
  <c r="AO592" i="10"/>
  <c r="BG586" i="10"/>
  <c r="CP586" i="10" s="1"/>
  <c r="CQ586" i="10" s="1"/>
  <c r="BU582" i="10"/>
  <c r="BF579" i="10"/>
  <c r="CF577" i="10"/>
  <c r="BF570" i="10"/>
  <c r="BX570" i="10" s="1"/>
  <c r="BY570" i="10" s="1"/>
  <c r="BF560" i="10"/>
  <c r="BP554" i="10"/>
  <c r="BQ554" i="10" s="1"/>
  <c r="BR554" i="10" s="1" a="1"/>
  <c r="BR554" i="10" s="1"/>
  <c r="BL554" i="10"/>
  <c r="CE544" i="10"/>
  <c r="BF544" i="10"/>
  <c r="BF543" i="10"/>
  <c r="CK656" i="10"/>
  <c r="CD656" i="10" a="1"/>
  <c r="CD656" i="10" s="1"/>
  <c r="CK652" i="10"/>
  <c r="CD652" i="10" a="1"/>
  <c r="CD652" i="10" s="1"/>
  <c r="CS649" i="10"/>
  <c r="BE649" i="10" a="1"/>
  <c r="BE649" i="10" s="1"/>
  <c r="CK648" i="10"/>
  <c r="CD648" i="10" a="1"/>
  <c r="CD648" i="10" s="1"/>
  <c r="CS645" i="10"/>
  <c r="BE645" i="10" a="1"/>
  <c r="BE645" i="10" s="1"/>
  <c r="CK644" i="10"/>
  <c r="CD644" i="10" a="1"/>
  <c r="CD644" i="10" s="1"/>
  <c r="CS641" i="10"/>
  <c r="BE641" i="10" a="1"/>
  <c r="BE641" i="10" s="1"/>
  <c r="CK640" i="10"/>
  <c r="CD640" i="10" a="1"/>
  <c r="CD640" i="10" s="1"/>
  <c r="CS637" i="10"/>
  <c r="BE637" i="10" a="1"/>
  <c r="BE637" i="10" s="1"/>
  <c r="CK636" i="10"/>
  <c r="CD636" i="10" a="1"/>
  <c r="CD636" i="10" s="1"/>
  <c r="CS633" i="10"/>
  <c r="BE633" i="10" a="1"/>
  <c r="BE633" i="10" s="1"/>
  <c r="CK632" i="10"/>
  <c r="CD632" i="10" a="1"/>
  <c r="CD632" i="10" s="1"/>
  <c r="CS629" i="10"/>
  <c r="BE629" i="10" a="1"/>
  <c r="BE629" i="10" s="1"/>
  <c r="CK628" i="10"/>
  <c r="CD628" i="10" a="1"/>
  <c r="CD628" i="10" s="1"/>
  <c r="CS625" i="10"/>
  <c r="BE625" i="10" a="1"/>
  <c r="BE625" i="10" s="1"/>
  <c r="CK624" i="10"/>
  <c r="CD624" i="10" a="1"/>
  <c r="CD624" i="10" s="1"/>
  <c r="CS621" i="10"/>
  <c r="BE621" i="10" a="1"/>
  <c r="BE621" i="10" s="1"/>
  <c r="CK620" i="10"/>
  <c r="CD620" i="10" a="1"/>
  <c r="CD620" i="10" s="1"/>
  <c r="CS617" i="10"/>
  <c r="BE617" i="10" a="1"/>
  <c r="BE617" i="10" s="1"/>
  <c r="CK616" i="10"/>
  <c r="CD616" i="10" a="1"/>
  <c r="CD616" i="10" s="1"/>
  <c r="CS613" i="10"/>
  <c r="BE613" i="10" a="1"/>
  <c r="BE613" i="10" s="1"/>
  <c r="CK612" i="10"/>
  <c r="CD612" i="10" a="1"/>
  <c r="CD612" i="10" s="1"/>
  <c r="BH611" i="10"/>
  <c r="CL611" i="10" s="1"/>
  <c r="CM611" i="10" s="1"/>
  <c r="A610" i="10"/>
  <c r="CS609" i="10"/>
  <c r="BE609" i="10" a="1"/>
  <c r="BE609" i="10" s="1"/>
  <c r="CK608" i="10"/>
  <c r="CD608" i="10" a="1"/>
  <c r="CD608" i="10" s="1"/>
  <c r="BH607" i="10"/>
  <c r="BX607" i="10" s="1"/>
  <c r="BY607" i="10" s="1"/>
  <c r="A606" i="10"/>
  <c r="CS605" i="10"/>
  <c r="BE605" i="10" a="1"/>
  <c r="BE605" i="10" s="1"/>
  <c r="CK604" i="10"/>
  <c r="CD604" i="10" a="1"/>
  <c r="CD604" i="10" s="1"/>
  <c r="BW604" i="10"/>
  <c r="BH603" i="10"/>
  <c r="BX603" i="10" s="1"/>
  <c r="BY603" i="10" s="1"/>
  <c r="CS601" i="10"/>
  <c r="BE601" i="10" a="1"/>
  <c r="BE601" i="10" s="1"/>
  <c r="CK600" i="10"/>
  <c r="CD600" i="10" a="1"/>
  <c r="CD600" i="10" s="1"/>
  <c r="CT598" i="10"/>
  <c r="CU598" i="10" s="1"/>
  <c r="BT598" i="10"/>
  <c r="BU598" i="10" s="1"/>
  <c r="BW596" i="10"/>
  <c r="BG596" i="10"/>
  <c r="BS595" i="10"/>
  <c r="BT595" i="10" s="1"/>
  <c r="CF595" i="10"/>
  <c r="CO595" i="10"/>
  <c r="BW595" i="10"/>
  <c r="BX595" i="10" s="1"/>
  <c r="BY595" i="10" s="1"/>
  <c r="CD595" i="10" a="1"/>
  <c r="CD595" i="10" s="1"/>
  <c r="CK595" i="10"/>
  <c r="CF592" i="10"/>
  <c r="BJ592" i="10"/>
  <c r="BS591" i="10"/>
  <c r="CF591" i="10"/>
  <c r="A591" i="10"/>
  <c r="CO591" i="10"/>
  <c r="BW591" i="10"/>
  <c r="CD591" i="10" a="1"/>
  <c r="CD591" i="10" s="1"/>
  <c r="CK591" i="10"/>
  <c r="CS589" i="10"/>
  <c r="BG589" i="10"/>
  <c r="BG584" i="10"/>
  <c r="BH584" i="10"/>
  <c r="AO583" i="10"/>
  <c r="BJ583" i="10"/>
  <c r="BP583" i="10" s="1"/>
  <c r="BQ583" i="10" s="1"/>
  <c r="BS583" i="10"/>
  <c r="CF583" i="10"/>
  <c r="A583" i="10"/>
  <c r="CO583" i="10"/>
  <c r="BW583" i="10"/>
  <c r="CD583" i="10" a="1"/>
  <c r="CD583" i="10" s="1"/>
  <c r="CK583" i="10"/>
  <c r="BQ582" i="10"/>
  <c r="CE580" i="10"/>
  <c r="CE578" i="10"/>
  <c r="BF575" i="10"/>
  <c r="CF573" i="10"/>
  <c r="CE562" i="10"/>
  <c r="CE558" i="10"/>
  <c r="CH558" i="10" s="1"/>
  <c r="CI558" i="10" s="1"/>
  <c r="CJ558" i="10" s="1" a="1"/>
  <c r="CJ558" i="10" s="1"/>
  <c r="CE546" i="10"/>
  <c r="CE540" i="10"/>
  <c r="BF531" i="10"/>
  <c r="CF662" i="10"/>
  <c r="CT662" i="10" s="1"/>
  <c r="CU662" i="10" s="1"/>
  <c r="BJ649" i="10"/>
  <c r="AO649" i="10"/>
  <c r="BJ645" i="10"/>
  <c r="AO645" i="10"/>
  <c r="BJ641" i="10"/>
  <c r="AO641" i="10"/>
  <c r="BJ637" i="10"/>
  <c r="AO637" i="10"/>
  <c r="BJ633" i="10"/>
  <c r="AO633" i="10"/>
  <c r="BJ629" i="10"/>
  <c r="AO629" i="10"/>
  <c r="BJ625" i="10"/>
  <c r="AO625" i="10"/>
  <c r="BJ621" i="10"/>
  <c r="AO621" i="10"/>
  <c r="BJ617" i="10"/>
  <c r="AO617" i="10"/>
  <c r="BJ613" i="10"/>
  <c r="AO613" i="10"/>
  <c r="BJ609" i="10"/>
  <c r="AO609" i="10"/>
  <c r="BJ605" i="10"/>
  <c r="AO605" i="10"/>
  <c r="BJ601" i="10"/>
  <c r="AO601" i="10"/>
  <c r="CL597" i="10"/>
  <c r="CM597" i="10" s="1"/>
  <c r="AO597" i="10"/>
  <c r="BJ597" i="10"/>
  <c r="BT597" i="10" s="1"/>
  <c r="BU597" i="10" s="1"/>
  <c r="BV597" i="10" s="1" a="1"/>
  <c r="BV597" i="10" s="1"/>
  <c r="A597" i="10"/>
  <c r="CF596" i="10"/>
  <c r="BJ596" i="10"/>
  <c r="BZ595" i="10" a="1"/>
  <c r="BZ595" i="10" s="1"/>
  <c r="CA595" i="10" a="1"/>
  <c r="CA595" i="10" s="1"/>
  <c r="AO593" i="10"/>
  <c r="BJ593" i="10"/>
  <c r="A593" i="10"/>
  <c r="CO592" i="10"/>
  <c r="CP592" i="10" s="1"/>
  <c r="CQ592" i="10" s="1"/>
  <c r="BE592" i="10" a="1"/>
  <c r="BE592" i="10" s="1"/>
  <c r="CS592" i="10"/>
  <c r="CT592" i="10" s="1"/>
  <c r="CU592" i="10" s="1"/>
  <c r="BX590" i="10"/>
  <c r="BY590" i="10" s="1"/>
  <c r="BO589" i="10"/>
  <c r="CP588" i="10"/>
  <c r="CQ588" i="10" s="1"/>
  <c r="CE586" i="10"/>
  <c r="CT586" i="10" s="1"/>
  <c r="CU586" i="10" s="1"/>
  <c r="BM582" i="10"/>
  <c r="BN582" i="10" s="1" a="1"/>
  <c r="BN582" i="10" s="1"/>
  <c r="BG581" i="10"/>
  <c r="CO581" i="10"/>
  <c r="BW581" i="10"/>
  <c r="CD581" i="10" a="1"/>
  <c r="CD581" i="10" s="1"/>
  <c r="CK581" i="10"/>
  <c r="AO581" i="10"/>
  <c r="BJ581" i="10"/>
  <c r="BE581" i="10" a="1"/>
  <c r="BE581" i="10" s="1"/>
  <c r="CS581" i="10"/>
  <c r="A581" i="10"/>
  <c r="BF567" i="10"/>
  <c r="CE566" i="10"/>
  <c r="CL566" i="10" s="1"/>
  <c r="CM566" i="10" s="1"/>
  <c r="CN566" i="10" s="1" a="1"/>
  <c r="CN566" i="10" s="1"/>
  <c r="CE564" i="10"/>
  <c r="BL563" i="10"/>
  <c r="BM563" i="10" s="1"/>
  <c r="BN563" i="10" s="1" a="1"/>
  <c r="BN563" i="10" s="1"/>
  <c r="CH562" i="10"/>
  <c r="CI562" i="10" s="1"/>
  <c r="CE560" i="10"/>
  <c r="BL559" i="10"/>
  <c r="BM559" i="10" s="1"/>
  <c r="BP558" i="10"/>
  <c r="BQ558" i="10" s="1"/>
  <c r="BF552" i="10"/>
  <c r="BF547" i="10"/>
  <c r="CK649" i="10"/>
  <c r="CD649" i="10" a="1"/>
  <c r="CD649" i="10" s="1"/>
  <c r="CK645" i="10"/>
  <c r="CD645" i="10" a="1"/>
  <c r="CD645" i="10" s="1"/>
  <c r="BF643" i="10"/>
  <c r="BP643" i="10" s="1"/>
  <c r="BQ643" i="10" s="1"/>
  <c r="CE642" i="10"/>
  <c r="CT642" i="10" s="1"/>
  <c r="CU642" i="10" s="1"/>
  <c r="CK641" i="10"/>
  <c r="CD641" i="10" a="1"/>
  <c r="CD641" i="10" s="1"/>
  <c r="BF639" i="10"/>
  <c r="BP639" i="10" s="1"/>
  <c r="BQ639" i="10" s="1"/>
  <c r="CE638" i="10"/>
  <c r="CT638" i="10" s="1"/>
  <c r="CU638" i="10" s="1"/>
  <c r="CK637" i="10"/>
  <c r="CD637" i="10" a="1"/>
  <c r="CD637" i="10" s="1"/>
  <c r="BF635" i="10"/>
  <c r="BP635" i="10" s="1"/>
  <c r="BQ635" i="10" s="1"/>
  <c r="CE634" i="10"/>
  <c r="CP634" i="10" s="1"/>
  <c r="CQ634" i="10" s="1"/>
  <c r="CK633" i="10"/>
  <c r="CD633" i="10" a="1"/>
  <c r="CD633" i="10" s="1"/>
  <c r="BF631" i="10"/>
  <c r="BP631" i="10" s="1"/>
  <c r="BQ631" i="10" s="1"/>
  <c r="CE630" i="10"/>
  <c r="CL630" i="10" s="1"/>
  <c r="CM630" i="10" s="1"/>
  <c r="CK629" i="10"/>
  <c r="CD629" i="10" a="1"/>
  <c r="CD629" i="10" s="1"/>
  <c r="BF627" i="10"/>
  <c r="BP627" i="10" s="1"/>
  <c r="BQ627" i="10" s="1"/>
  <c r="CE626" i="10"/>
  <c r="CT626" i="10" s="1"/>
  <c r="CU626" i="10" s="1"/>
  <c r="CK625" i="10"/>
  <c r="CD625" i="10" a="1"/>
  <c r="CD625" i="10" s="1"/>
  <c r="BF623" i="10"/>
  <c r="BP623" i="10" s="1"/>
  <c r="BQ623" i="10" s="1"/>
  <c r="CE622" i="10"/>
  <c r="CP622" i="10" s="1"/>
  <c r="CQ622" i="10" s="1"/>
  <c r="CK621" i="10"/>
  <c r="CD621" i="10" a="1"/>
  <c r="CD621" i="10" s="1"/>
  <c r="BF619" i="10"/>
  <c r="BP619" i="10" s="1"/>
  <c r="BQ619" i="10" s="1"/>
  <c r="CE618" i="10"/>
  <c r="CH618" i="10" s="1"/>
  <c r="CI618" i="10" s="1"/>
  <c r="CJ618" i="10" s="1" a="1"/>
  <c r="CJ618" i="10" s="1"/>
  <c r="CK617" i="10"/>
  <c r="CD617" i="10" a="1"/>
  <c r="CD617" i="10" s="1"/>
  <c r="BF615" i="10"/>
  <c r="BP615" i="10" s="1"/>
  <c r="BQ615" i="10" s="1"/>
  <c r="CE614" i="10"/>
  <c r="CT614" i="10" s="1"/>
  <c r="CU614" i="10" s="1"/>
  <c r="CK613" i="10"/>
  <c r="CD613" i="10" a="1"/>
  <c r="CD613" i="10" s="1"/>
  <c r="BF611" i="10"/>
  <c r="CE610" i="10"/>
  <c r="CL610" i="10" s="1"/>
  <c r="CM610" i="10" s="1"/>
  <c r="CK609" i="10"/>
  <c r="CD609" i="10" a="1"/>
  <c r="CD609" i="10" s="1"/>
  <c r="BF607" i="10"/>
  <c r="CE606" i="10"/>
  <c r="CH606" i="10" s="1"/>
  <c r="CI606" i="10" s="1"/>
  <c r="CJ606" i="10" s="1" a="1"/>
  <c r="CJ606" i="10" s="1"/>
  <c r="CK605" i="10"/>
  <c r="CD605" i="10" a="1"/>
  <c r="CD605" i="10" s="1"/>
  <c r="BF603" i="10"/>
  <c r="CE602" i="10"/>
  <c r="CL602" i="10" s="1"/>
  <c r="CM602" i="10" s="1"/>
  <c r="CK601" i="10"/>
  <c r="CD601" i="10" a="1"/>
  <c r="CD601" i="10" s="1"/>
  <c r="CU599" i="10"/>
  <c r="CW599" i="10" s="1" a="1"/>
  <c r="CW599" i="10" s="1"/>
  <c r="CH599" i="10"/>
  <c r="CI599" i="10" s="1"/>
  <c r="CJ599" i="10" s="1" a="1"/>
  <c r="CJ599" i="10" s="1"/>
  <c r="BF599" i="10"/>
  <c r="CO596" i="10"/>
  <c r="CP596" i="10" s="1"/>
  <c r="CQ596" i="10" s="1"/>
  <c r="BE596" i="10" a="1"/>
  <c r="BE596" i="10" s="1"/>
  <c r="CS596" i="10"/>
  <c r="CT596" i="10" s="1"/>
  <c r="CU596" i="10" s="1"/>
  <c r="CL594" i="10"/>
  <c r="CM594" i="10" s="1"/>
  <c r="CO589" i="10"/>
  <c r="CP584" i="10"/>
  <c r="CQ584" i="10" s="1"/>
  <c r="CE582" i="10"/>
  <c r="CT582" i="10" s="1"/>
  <c r="CU582" i="10" s="1"/>
  <c r="CT578" i="10"/>
  <c r="CU578" i="10" s="1"/>
  <c r="BG578" i="10"/>
  <c r="CE576" i="10"/>
  <c r="CE574" i="10"/>
  <c r="CP574" i="10" s="1"/>
  <c r="CQ574" i="10" s="1"/>
  <c r="BT570" i="10"/>
  <c r="BU570" i="10" s="1"/>
  <c r="BP566" i="10"/>
  <c r="BQ566" i="10" s="1"/>
  <c r="CH566" i="10"/>
  <c r="CI566" i="10" s="1"/>
  <c r="BF562" i="10"/>
  <c r="BP562" i="10" s="1"/>
  <c r="BQ562" i="10" s="1"/>
  <c r="BX558" i="10"/>
  <c r="BY558" i="10" s="1"/>
  <c r="BF558" i="10"/>
  <c r="BT558" i="10" s="1"/>
  <c r="BU558" i="10" s="1"/>
  <c r="BV558" i="10" s="1" a="1"/>
  <c r="BV558" i="10" s="1"/>
  <c r="BF551" i="10"/>
  <c r="BP551" i="10" s="1"/>
  <c r="BQ551" i="10" s="1"/>
  <c r="CE548" i="10"/>
  <c r="BF578" i="10"/>
  <c r="BX578" i="10" s="1"/>
  <c r="BY578" i="10" s="1"/>
  <c r="BG577" i="10"/>
  <c r="CO577" i="10"/>
  <c r="BW577" i="10"/>
  <c r="CD577" i="10" a="1"/>
  <c r="CD577" i="10" s="1"/>
  <c r="CK577" i="10"/>
  <c r="AO577" i="10"/>
  <c r="BJ577" i="10"/>
  <c r="BE577" i="10" a="1"/>
  <c r="BE577" i="10" s="1"/>
  <c r="CS577" i="10"/>
  <c r="A577" i="10"/>
  <c r="BF566" i="10"/>
  <c r="BL566" i="10" s="1"/>
  <c r="BM566" i="10" s="1"/>
  <c r="BN566" i="10" s="1" a="1"/>
  <c r="BN566" i="10" s="1"/>
  <c r="BT563" i="10"/>
  <c r="BU563" i="10" s="1"/>
  <c r="BV563" i="10" s="1" a="1"/>
  <c r="BV563" i="10" s="1"/>
  <c r="CT562" i="10"/>
  <c r="CU562" i="10" s="1"/>
  <c r="BT559" i="10"/>
  <c r="BU559" i="10" s="1"/>
  <c r="BV559" i="10" s="1" a="1"/>
  <c r="BV559" i="10" s="1"/>
  <c r="CT558" i="10"/>
  <c r="CU558" i="10" s="1"/>
  <c r="BT554" i="10"/>
  <c r="BU554" i="10" s="1"/>
  <c r="BV554" i="10" s="1" a="1"/>
  <c r="BV554" i="10" s="1"/>
  <c r="CE550" i="10"/>
  <c r="CP550" i="10" s="1"/>
  <c r="CQ550" i="10" s="1"/>
  <c r="CE536" i="10"/>
  <c r="CM599" i="10"/>
  <c r="CN599" i="10" s="1" a="1"/>
  <c r="CN599" i="10" s="1"/>
  <c r="CP598" i="10"/>
  <c r="CQ598" i="10" s="1"/>
  <c r="BM595" i="10"/>
  <c r="BN595" i="10" s="1" a="1"/>
  <c r="BN595" i="10" s="1"/>
  <c r="BU595" i="10"/>
  <c r="BV595" i="10" s="1" a="1"/>
  <c r="BV595" i="10" s="1"/>
  <c r="BQ595" i="10"/>
  <c r="BR595" i="10" s="1" a="1"/>
  <c r="BR595" i="10" s="1"/>
  <c r="CT594" i="10"/>
  <c r="CU594" i="10" s="1"/>
  <c r="CW594" i="10" s="1" a="1"/>
  <c r="CW594" i="10" s="1"/>
  <c r="BF591" i="10"/>
  <c r="BL591" i="10" s="1"/>
  <c r="BM591" i="10" s="1"/>
  <c r="BN591" i="10" s="1" a="1"/>
  <c r="BN591" i="10" s="1"/>
  <c r="BX586" i="10"/>
  <c r="BY586" i="10" s="1"/>
  <c r="CP578" i="10"/>
  <c r="CQ578" i="10" s="1"/>
  <c r="CR578" i="10" s="1" a="1"/>
  <c r="CR578" i="10" s="1"/>
  <c r="CT574" i="10"/>
  <c r="CU574" i="10" s="1"/>
  <c r="BX574" i="10"/>
  <c r="CE572" i="10"/>
  <c r="CE570" i="10"/>
  <c r="CE568" i="10"/>
  <c r="CT566" i="10"/>
  <c r="CU566" i="10" s="1"/>
  <c r="CP562" i="10"/>
  <c r="CQ562" i="10" s="1"/>
  <c r="CP558" i="10"/>
  <c r="CQ558" i="10" s="1"/>
  <c r="CR558" i="10" s="1" a="1"/>
  <c r="CR558" i="10" s="1"/>
  <c r="BF556" i="10"/>
  <c r="CE552" i="10"/>
  <c r="BL551" i="10"/>
  <c r="BM551" i="10" s="1"/>
  <c r="BN551" i="10" s="1" a="1"/>
  <c r="BN551" i="10" s="1"/>
  <c r="CH550" i="10"/>
  <c r="CI550" i="10" s="1"/>
  <c r="CJ550" i="10" s="1" a="1"/>
  <c r="CJ550" i="10" s="1"/>
  <c r="BG543" i="10"/>
  <c r="BH543" i="10"/>
  <c r="BX543" i="10" s="1"/>
  <c r="BY543" i="10" s="1"/>
  <c r="AO542" i="10"/>
  <c r="BJ542" i="10"/>
  <c r="BE542" i="10" a="1"/>
  <c r="BE542" i="10" s="1"/>
  <c r="BS542" i="10"/>
  <c r="BO542" i="10"/>
  <c r="BW542" i="10"/>
  <c r="CD542" i="10" a="1"/>
  <c r="CD542" i="10" s="1"/>
  <c r="CS542" i="10"/>
  <c r="CK542" i="10"/>
  <c r="CO542" i="10"/>
  <c r="CF542" i="10"/>
  <c r="BX597" i="10"/>
  <c r="BY597" i="10" s="1"/>
  <c r="BX594" i="10"/>
  <c r="BY594" i="10" s="1"/>
  <c r="CL593" i="10"/>
  <c r="CM593" i="10" s="1"/>
  <c r="CE590" i="10"/>
  <c r="CH590" i="10" s="1"/>
  <c r="CI590" i="10" s="1"/>
  <c r="CJ590" i="10" s="1" a="1"/>
  <c r="CJ590" i="10" s="1"/>
  <c r="BL590" i="10"/>
  <c r="BM590" i="10" s="1"/>
  <c r="BN590" i="10" s="1" a="1"/>
  <c r="BN590" i="10" s="1"/>
  <c r="BW589" i="10"/>
  <c r="CD589" i="10" a="1"/>
  <c r="CD589" i="10" s="1"/>
  <c r="CK589" i="10"/>
  <c r="AO589" i="10"/>
  <c r="BJ589" i="10"/>
  <c r="A589" i="10"/>
  <c r="BG587" i="10"/>
  <c r="CL586" i="10"/>
  <c r="CM586" i="10" s="1"/>
  <c r="BF583" i="10"/>
  <c r="BX582" i="10"/>
  <c r="BY582" i="10" s="1"/>
  <c r="BR582" i="10" a="1"/>
  <c r="BR582" i="10" s="1"/>
  <c r="BV582" i="10" a="1"/>
  <c r="BV582" i="10" s="1"/>
  <c r="CL578" i="10"/>
  <c r="CM578" i="10" s="1"/>
  <c r="BY574" i="10"/>
  <c r="CA574" i="10" s="1" a="1"/>
  <c r="CA574" i="10" s="1"/>
  <c r="BF574" i="10"/>
  <c r="BT574" i="10" s="1"/>
  <c r="BU574" i="10" s="1"/>
  <c r="BG573" i="10"/>
  <c r="CO573" i="10"/>
  <c r="BW573" i="10"/>
  <c r="CD573" i="10" a="1"/>
  <c r="CD573" i="10" s="1"/>
  <c r="CK573" i="10"/>
  <c r="AO573" i="10"/>
  <c r="BJ573" i="10"/>
  <c r="BE573" i="10" a="1"/>
  <c r="BE573" i="10" s="1"/>
  <c r="CS573" i="10"/>
  <c r="A573" i="10"/>
  <c r="BF571" i="10"/>
  <c r="BP570" i="10"/>
  <c r="BQ570" i="10" s="1"/>
  <c r="BL570" i="10"/>
  <c r="BM570" i="10" s="1"/>
  <c r="BN570" i="10" s="1" a="1"/>
  <c r="BN570" i="10" s="1"/>
  <c r="CP566" i="10"/>
  <c r="CQ566" i="10" s="1"/>
  <c r="CR566" i="10" s="1" a="1"/>
  <c r="CR566" i="10" s="1"/>
  <c r="CL562" i="10"/>
  <c r="CM562" i="10" s="1"/>
  <c r="CN562" i="10" s="1" a="1"/>
  <c r="CN562" i="10" s="1"/>
  <c r="CL558" i="10"/>
  <c r="CM558" i="10" s="1"/>
  <c r="CN558" i="10" s="1" a="1"/>
  <c r="CN558" i="10" s="1"/>
  <c r="BY555" i="10"/>
  <c r="CA555" i="10" s="1" a="1"/>
  <c r="CA555" i="10" s="1"/>
  <c r="BF555" i="10"/>
  <c r="BP555" i="10" s="1"/>
  <c r="BQ555" i="10" s="1"/>
  <c r="CE554" i="10"/>
  <c r="BF550" i="10"/>
  <c r="BL550" i="10" s="1"/>
  <c r="BM550" i="10" s="1"/>
  <c r="BN550" i="10" s="1" a="1"/>
  <c r="BN550" i="10" s="1"/>
  <c r="CE530" i="10"/>
  <c r="CS588" i="10"/>
  <c r="CT588" i="10" s="1"/>
  <c r="CU588" i="10" s="1"/>
  <c r="CV588" i="10" s="1" a="1"/>
  <c r="CV588" i="10" s="1"/>
  <c r="BE588" i="10" a="1"/>
  <c r="BE588" i="10" s="1"/>
  <c r="CS584" i="10"/>
  <c r="CT584" i="10" s="1"/>
  <c r="CU584" i="10" s="1"/>
  <c r="BE584" i="10" a="1"/>
  <c r="BE584" i="10" s="1"/>
  <c r="CS580" i="10"/>
  <c r="BE580" i="10" a="1"/>
  <c r="BE580" i="10" s="1"/>
  <c r="CK579" i="10"/>
  <c r="CD579" i="10" a="1"/>
  <c r="CD579" i="10" s="1"/>
  <c r="BW579" i="10"/>
  <c r="CS576" i="10"/>
  <c r="BE576" i="10" a="1"/>
  <c r="BE576" i="10" s="1"/>
  <c r="CK575" i="10"/>
  <c r="CD575" i="10" a="1"/>
  <c r="CD575" i="10" s="1"/>
  <c r="BW575" i="10"/>
  <c r="CS572" i="10"/>
  <c r="BE572" i="10" a="1"/>
  <c r="BE572" i="10" s="1"/>
  <c r="CK571" i="10"/>
  <c r="CD571" i="10" a="1"/>
  <c r="CD571" i="10" s="1"/>
  <c r="BW571" i="10"/>
  <c r="A569" i="10"/>
  <c r="CS568" i="10"/>
  <c r="BE568" i="10" a="1"/>
  <c r="BE568" i="10" s="1"/>
  <c r="CK567" i="10"/>
  <c r="CD567" i="10" a="1"/>
  <c r="CD567" i="10" s="1"/>
  <c r="BW567" i="10"/>
  <c r="CJ566" i="10" a="1"/>
  <c r="CJ566" i="10" s="1"/>
  <c r="A565" i="10"/>
  <c r="CS564" i="10"/>
  <c r="BE564" i="10" a="1"/>
  <c r="BE564" i="10" s="1"/>
  <c r="CK563" i="10"/>
  <c r="CD563" i="10" a="1"/>
  <c r="CD563" i="10" s="1"/>
  <c r="BW563" i="10"/>
  <c r="BX563" i="10" s="1"/>
  <c r="BY563" i="10" s="1"/>
  <c r="CJ562" i="10" a="1"/>
  <c r="CJ562" i="10" s="1"/>
  <c r="A561" i="10"/>
  <c r="CS560" i="10"/>
  <c r="CK559" i="10"/>
  <c r="CD559" i="10" a="1"/>
  <c r="CD559" i="10" s="1"/>
  <c r="BW559" i="10"/>
  <c r="BX559" i="10" s="1"/>
  <c r="BY559" i="10" s="1"/>
  <c r="A557" i="10"/>
  <c r="CS556" i="10"/>
  <c r="CK555" i="10"/>
  <c r="CD555" i="10" a="1"/>
  <c r="CD555" i="10" s="1"/>
  <c r="BW555" i="10"/>
  <c r="BX555" i="10" s="1"/>
  <c r="A553" i="10"/>
  <c r="CS552" i="10"/>
  <c r="CK551" i="10"/>
  <c r="CD551" i="10" a="1"/>
  <c r="CD551" i="10" s="1"/>
  <c r="BW551" i="10"/>
  <c r="BX551" i="10" s="1"/>
  <c r="BY551" i="10" s="1"/>
  <c r="A549" i="10"/>
  <c r="CS548" i="10"/>
  <c r="CK547" i="10"/>
  <c r="CD547" i="10" a="1"/>
  <c r="CD547" i="10" s="1"/>
  <c r="BW547" i="10"/>
  <c r="CF545" i="10"/>
  <c r="BO545" i="10"/>
  <c r="CK543" i="10"/>
  <c r="BJ539" i="10"/>
  <c r="BG532" i="10"/>
  <c r="BH532" i="10"/>
  <c r="CS569" i="10"/>
  <c r="BE569" i="10" a="1"/>
  <c r="BE569" i="10" s="1"/>
  <c r="CS565" i="10"/>
  <c r="BE565" i="10" a="1"/>
  <c r="BE565" i="10" s="1"/>
  <c r="CS561" i="10"/>
  <c r="BE561" i="10" a="1"/>
  <c r="BE561" i="10" s="1"/>
  <c r="CS557" i="10"/>
  <c r="BE557" i="10" a="1"/>
  <c r="BE557" i="10" s="1"/>
  <c r="BN554" i="10" a="1"/>
  <c r="BN554" i="10" s="1"/>
  <c r="CS553" i="10"/>
  <c r="BE553" i="10" a="1"/>
  <c r="BE553" i="10" s="1"/>
  <c r="CS549" i="10"/>
  <c r="BE549" i="10" a="1"/>
  <c r="BE549" i="10" s="1"/>
  <c r="BE545" i="10" a="1"/>
  <c r="BE545" i="10" s="1"/>
  <c r="CT543" i="10"/>
  <c r="CU543" i="10" s="1"/>
  <c r="BG536" i="10"/>
  <c r="BH536" i="10"/>
  <c r="BG535" i="10"/>
  <c r="BH535" i="10"/>
  <c r="CE526" i="10"/>
  <c r="CE522" i="10"/>
  <c r="CO579" i="10"/>
  <c r="CO575" i="10"/>
  <c r="CO571" i="10"/>
  <c r="CF570" i="10"/>
  <c r="CT570" i="10" s="1"/>
  <c r="CU570" i="10" s="1"/>
  <c r="BJ569" i="10"/>
  <c r="AO569" i="10"/>
  <c r="CO567" i="10"/>
  <c r="BJ565" i="10"/>
  <c r="AO565" i="10"/>
  <c r="CO563" i="10"/>
  <c r="BJ561" i="10"/>
  <c r="AO561" i="10"/>
  <c r="CO559" i="10"/>
  <c r="BJ557" i="10"/>
  <c r="AO557" i="10"/>
  <c r="CO555" i="10"/>
  <c r="CF554" i="10"/>
  <c r="CT554" i="10" s="1"/>
  <c r="CU554" i="10" s="1"/>
  <c r="BJ553" i="10"/>
  <c r="AO553" i="10"/>
  <c r="CO551" i="10"/>
  <c r="BJ549" i="10"/>
  <c r="AO549" i="10"/>
  <c r="CO547" i="10"/>
  <c r="BG547" i="10"/>
  <c r="CF546" i="10"/>
  <c r="CP546" i="10" s="1"/>
  <c r="CQ546" i="10" s="1"/>
  <c r="BS546" i="10"/>
  <c r="BE546" i="10" a="1"/>
  <c r="BE546" i="10" s="1"/>
  <c r="CD545" i="10" a="1"/>
  <c r="CD545" i="10" s="1"/>
  <c r="AO545" i="10"/>
  <c r="BG544" i="10"/>
  <c r="CL544" i="10" s="1"/>
  <c r="CM544" i="10" s="1"/>
  <c r="BH544" i="10"/>
  <c r="AO543" i="10"/>
  <c r="BJ543" i="10"/>
  <c r="BS543" i="10"/>
  <c r="BT543" i="10" s="1"/>
  <c r="BU543" i="10" s="1"/>
  <c r="CF543" i="10"/>
  <c r="CP543" i="10" s="1"/>
  <c r="CQ543" i="10" s="1"/>
  <c r="A543" i="10"/>
  <c r="BS541" i="10"/>
  <c r="BG540" i="10"/>
  <c r="BH540" i="10"/>
  <c r="BG539" i="10"/>
  <c r="BH539" i="10"/>
  <c r="BW537" i="10"/>
  <c r="CD537" i="10" a="1"/>
  <c r="CD537" i="10" s="1"/>
  <c r="CK537" i="10"/>
  <c r="AO537" i="10"/>
  <c r="BJ537" i="10"/>
  <c r="CO537" i="10"/>
  <c r="CF537" i="10"/>
  <c r="BE537" i="10" a="1"/>
  <c r="BE537" i="10" s="1"/>
  <c r="CS537" i="10"/>
  <c r="BW533" i="10"/>
  <c r="CD533" i="10" a="1"/>
  <c r="CD533" i="10" s="1"/>
  <c r="CK533" i="10"/>
  <c r="AO533" i="10"/>
  <c r="BJ533" i="10"/>
  <c r="BS533" i="10"/>
  <c r="CF533" i="10"/>
  <c r="A533" i="10"/>
  <c r="BE533" i="10" a="1"/>
  <c r="BE533" i="10" s="1"/>
  <c r="CO533" i="10"/>
  <c r="BO533" i="10"/>
  <c r="BG533" i="10"/>
  <c r="CS533" i="10"/>
  <c r="CT531" i="10"/>
  <c r="CU531" i="10" s="1"/>
  <c r="BO530" i="10"/>
  <c r="BF529" i="10"/>
  <c r="CE528" i="10"/>
  <c r="CE518" i="10"/>
  <c r="BH580" i="10"/>
  <c r="A579" i="10"/>
  <c r="BH576" i="10"/>
  <c r="CH576" i="10" s="1"/>
  <c r="CI576" i="10" s="1"/>
  <c r="CJ576" i="10" s="1" a="1"/>
  <c r="CJ576" i="10" s="1"/>
  <c r="A575" i="10"/>
  <c r="BH572" i="10"/>
  <c r="CP572" i="10" s="1"/>
  <c r="CQ572" i="10" s="1"/>
  <c r="A571" i="10"/>
  <c r="CK569" i="10"/>
  <c r="CD569" i="10" a="1"/>
  <c r="CD569" i="10" s="1"/>
  <c r="BW569" i="10"/>
  <c r="BH568" i="10"/>
  <c r="A567" i="10"/>
  <c r="CK565" i="10"/>
  <c r="CD565" i="10" a="1"/>
  <c r="CD565" i="10" s="1"/>
  <c r="BW565" i="10"/>
  <c r="BH564" i="10"/>
  <c r="A563" i="10"/>
  <c r="CK561" i="10"/>
  <c r="CD561" i="10" a="1"/>
  <c r="CD561" i="10" s="1"/>
  <c r="BW561" i="10"/>
  <c r="BH560" i="10"/>
  <c r="BX560" i="10" s="1"/>
  <c r="BY560" i="10" s="1"/>
  <c r="A559" i="10"/>
  <c r="CK557" i="10"/>
  <c r="CD557" i="10" a="1"/>
  <c r="CD557" i="10" s="1"/>
  <c r="BW557" i="10"/>
  <c r="BH556" i="10"/>
  <c r="CL556" i="10" s="1"/>
  <c r="CM556" i="10" s="1"/>
  <c r="A555" i="10"/>
  <c r="CK553" i="10"/>
  <c r="CD553" i="10" a="1"/>
  <c r="CD553" i="10" s="1"/>
  <c r="BW553" i="10"/>
  <c r="BH552" i="10"/>
  <c r="BT552" i="10" s="1"/>
  <c r="BU552" i="10" s="1"/>
  <c r="A551" i="10"/>
  <c r="CK549" i="10"/>
  <c r="CD549" i="10" a="1"/>
  <c r="CD549" i="10" s="1"/>
  <c r="BW549" i="10"/>
  <c r="BH548" i="10"/>
  <c r="CL548" i="10" s="1"/>
  <c r="CM548" i="10" s="1"/>
  <c r="A547" i="10"/>
  <c r="CS546" i="10"/>
  <c r="BJ546" i="10"/>
  <c r="BS545" i="10"/>
  <c r="BJ545" i="10"/>
  <c r="BG545" i="10"/>
  <c r="BW541" i="10"/>
  <c r="CD541" i="10" a="1"/>
  <c r="CD541" i="10" s="1"/>
  <c r="CK541" i="10"/>
  <c r="AO541" i="10"/>
  <c r="BJ541" i="10"/>
  <c r="CF541" i="10"/>
  <c r="BE541" i="10" a="1"/>
  <c r="BE541" i="10" s="1"/>
  <c r="CS541" i="10"/>
  <c r="BS535" i="10"/>
  <c r="CF535" i="10"/>
  <c r="A535" i="10"/>
  <c r="CO535" i="10"/>
  <c r="AO535" i="10"/>
  <c r="CK535" i="10"/>
  <c r="BE535" i="10" a="1"/>
  <c r="BE535" i="10" s="1"/>
  <c r="CD535" i="10" a="1"/>
  <c r="CD535" i="10" s="1"/>
  <c r="BF528" i="10"/>
  <c r="BF525" i="10"/>
  <c r="CE515" i="10"/>
  <c r="CF579" i="10"/>
  <c r="BS579" i="10"/>
  <c r="BT579" i="10" s="1"/>
  <c r="BU579" i="10" s="1"/>
  <c r="CF575" i="10"/>
  <c r="BS575" i="10"/>
  <c r="BT575" i="10" s="1"/>
  <c r="BU575" i="10" s="1"/>
  <c r="CF571" i="10"/>
  <c r="BS571" i="10"/>
  <c r="CF567" i="10"/>
  <c r="BS567" i="10"/>
  <c r="CF563" i="10"/>
  <c r="CF559" i="10"/>
  <c r="CF555" i="10"/>
  <c r="CF551" i="10"/>
  <c r="CS545" i="10"/>
  <c r="CK545" i="10"/>
  <c r="A545" i="10"/>
  <c r="BS539" i="10"/>
  <c r="CF539" i="10"/>
  <c r="A539" i="10"/>
  <c r="CO539" i="10"/>
  <c r="AO539" i="10"/>
  <c r="CK539" i="10"/>
  <c r="BE539" i="10" a="1"/>
  <c r="BE539" i="10" s="1"/>
  <c r="CD539" i="10" a="1"/>
  <c r="CD539" i="10" s="1"/>
  <c r="CT536" i="10"/>
  <c r="CU536" i="10" s="1"/>
  <c r="CA536" i="10" a="1"/>
  <c r="CA536" i="10" s="1"/>
  <c r="BX532" i="10"/>
  <c r="BY532" i="10" s="1"/>
  <c r="BG530" i="10"/>
  <c r="BH530" i="10"/>
  <c r="A530" i="10"/>
  <c r="CT540" i="10"/>
  <c r="CU540" i="10" s="1"/>
  <c r="BX536" i="10"/>
  <c r="BY536" i="10" s="1"/>
  <c r="BF532" i="10"/>
  <c r="CE523" i="10"/>
  <c r="BF516" i="10"/>
  <c r="AO514" i="10"/>
  <c r="BJ514" i="10"/>
  <c r="BE514" i="10" a="1"/>
  <c r="BE514" i="10" s="1"/>
  <c r="CS514" i="10"/>
  <c r="BS514" i="10"/>
  <c r="CF514" i="10"/>
  <c r="CO514" i="10"/>
  <c r="A514" i="10"/>
  <c r="CD514" i="10" a="1"/>
  <c r="CD514" i="10" s="1"/>
  <c r="CK514" i="10"/>
  <c r="BW514" i="10"/>
  <c r="BJ579" i="10"/>
  <c r="BL579" i="10" s="1"/>
  <c r="BM579" i="10" s="1"/>
  <c r="BN579" i="10" s="1" a="1"/>
  <c r="BN579" i="10" s="1"/>
  <c r="BJ575" i="10"/>
  <c r="BJ571" i="10"/>
  <c r="BL571" i="10" s="1"/>
  <c r="BM571" i="10" s="1"/>
  <c r="BN571" i="10" s="1" a="1"/>
  <c r="BN571" i="10" s="1"/>
  <c r="CO569" i="10"/>
  <c r="BJ567" i="10"/>
  <c r="BP567" i="10" s="1"/>
  <c r="BQ567" i="10" s="1"/>
  <c r="CO565" i="10"/>
  <c r="CO561" i="10"/>
  <c r="CO557" i="10"/>
  <c r="CO553" i="10"/>
  <c r="CO549" i="10"/>
  <c r="BO546" i="10"/>
  <c r="A546" i="10"/>
  <c r="BG542" i="10"/>
  <c r="BX540" i="10"/>
  <c r="BY540" i="10" s="1"/>
  <c r="CE538" i="10"/>
  <c r="CE534" i="10"/>
  <c r="AO530" i="10"/>
  <c r="BJ530" i="10"/>
  <c r="BE530" i="10" a="1"/>
  <c r="BE530" i="10" s="1"/>
  <c r="CS530" i="10"/>
  <c r="BS530" i="10"/>
  <c r="CF530" i="10"/>
  <c r="CO530" i="10"/>
  <c r="CP530" i="10" s="1"/>
  <c r="CQ530" i="10" s="1"/>
  <c r="BW530" i="10"/>
  <c r="CK530" i="10"/>
  <c r="CL530" i="10" s="1"/>
  <c r="CM530" i="10" s="1"/>
  <c r="BF524" i="10"/>
  <c r="BG523" i="10"/>
  <c r="BP523" i="10" s="1"/>
  <c r="BQ523" i="10" s="1"/>
  <c r="BH523" i="10"/>
  <c r="BF520" i="10"/>
  <c r="BP531" i="10"/>
  <c r="BQ531" i="10" s="1"/>
  <c r="BW529" i="10"/>
  <c r="CD529" i="10" a="1"/>
  <c r="CD529" i="10" s="1"/>
  <c r="CK529" i="10"/>
  <c r="AO529" i="10"/>
  <c r="BJ529" i="10"/>
  <c r="BS529" i="10"/>
  <c r="CF529" i="10"/>
  <c r="CS527" i="10"/>
  <c r="BG526" i="10"/>
  <c r="CO525" i="10"/>
  <c r="BS523" i="10"/>
  <c r="CF523" i="10"/>
  <c r="A523" i="10"/>
  <c r="CO523" i="10"/>
  <c r="AO518" i="10"/>
  <c r="BJ518" i="10"/>
  <c r="BE518" i="10" a="1"/>
  <c r="BE518" i="10" s="1"/>
  <c r="CS518" i="10"/>
  <c r="CT518" i="10" s="1"/>
  <c r="CU518" i="10" s="1"/>
  <c r="BS518" i="10"/>
  <c r="CF518" i="10"/>
  <c r="CL518" i="10" s="1"/>
  <c r="CM518" i="10" s="1"/>
  <c r="CO518" i="10"/>
  <c r="CP518" i="10" s="1"/>
  <c r="CQ518" i="10" s="1"/>
  <c r="CR518" i="10" s="1" a="1"/>
  <c r="CR518" i="10" s="1"/>
  <c r="A518" i="10"/>
  <c r="BF515" i="10"/>
  <c r="BP515" i="10" s="1"/>
  <c r="BQ515" i="10" s="1"/>
  <c r="BR515" i="10" s="1" a="1"/>
  <c r="BR515" i="10" s="1"/>
  <c r="BO511" i="10"/>
  <c r="BG510" i="10"/>
  <c r="CE508" i="10"/>
  <c r="CE500" i="10"/>
  <c r="CO544" i="10"/>
  <c r="CP544" i="10" s="1"/>
  <c r="CQ544" i="10" s="1"/>
  <c r="CK538" i="10"/>
  <c r="CL538" i="10" s="1"/>
  <c r="CM538" i="10" s="1"/>
  <c r="CN538" i="10" s="1" a="1"/>
  <c r="CN538" i="10" s="1"/>
  <c r="BL531" i="10"/>
  <c r="BM531" i="10" s="1"/>
  <c r="BN531" i="10" s="1" a="1"/>
  <c r="BN531" i="10" s="1"/>
  <c r="BG528" i="10"/>
  <c r="CL528" i="10" s="1"/>
  <c r="CM528" i="10" s="1"/>
  <c r="BH528" i="10"/>
  <c r="BE527" i="10" a="1"/>
  <c r="BE527" i="10" s="1"/>
  <c r="CH519" i="10"/>
  <c r="CI519" i="10" s="1"/>
  <c r="CJ519" i="10" s="1" a="1"/>
  <c r="CJ519" i="10" s="1"/>
  <c r="BG517" i="10"/>
  <c r="BF501" i="10"/>
  <c r="BG500" i="10"/>
  <c r="BH500" i="10"/>
  <c r="CP500" i="10" s="1"/>
  <c r="CQ500" i="10" s="1"/>
  <c r="CR500" i="10" s="1" a="1"/>
  <c r="CR500" i="10" s="1"/>
  <c r="BF485" i="10"/>
  <c r="BO538" i="10"/>
  <c r="BG534" i="10"/>
  <c r="CL534" i="10" s="1"/>
  <c r="CM534" i="10" s="1"/>
  <c r="BS531" i="10"/>
  <c r="BT531" i="10" s="1"/>
  <c r="BU531" i="10" s="1"/>
  <c r="CF531" i="10"/>
  <c r="CH531" i="10" s="1"/>
  <c r="CI531" i="10" s="1"/>
  <c r="CJ531" i="10" s="1" a="1"/>
  <c r="CJ531" i="10" s="1"/>
  <c r="A531" i="10"/>
  <c r="CO531" i="10"/>
  <c r="CP531" i="10" s="1"/>
  <c r="CQ531" i="10" s="1"/>
  <c r="CD527" i="10" a="1"/>
  <c r="CD527" i="10" s="1"/>
  <c r="AO527" i="10"/>
  <c r="AO526" i="10"/>
  <c r="BJ526" i="10"/>
  <c r="BE526" i="10" a="1"/>
  <c r="BE526" i="10" s="1"/>
  <c r="CS526" i="10"/>
  <c r="BS526" i="10"/>
  <c r="CF526" i="10"/>
  <c r="CL526" i="10" s="1"/>
  <c r="CM526" i="10" s="1"/>
  <c r="CO526" i="10"/>
  <c r="A526" i="10"/>
  <c r="BF512" i="10"/>
  <c r="BW510" i="10"/>
  <c r="CD510" i="10" a="1"/>
  <c r="CD510" i="10" s="1"/>
  <c r="CK510" i="10"/>
  <c r="AO510" i="10"/>
  <c r="BJ510" i="10"/>
  <c r="BE510" i="10" a="1"/>
  <c r="BE510" i="10" s="1"/>
  <c r="CS510" i="10"/>
  <c r="BS510" i="10"/>
  <c r="CF510" i="10"/>
  <c r="CO510" i="10"/>
  <c r="A510" i="10"/>
  <c r="BO510" i="10"/>
  <c r="BG504" i="10"/>
  <c r="BH504" i="10"/>
  <c r="CT504" i="10" s="1"/>
  <c r="CU504" i="10" s="1"/>
  <c r="CE496" i="10"/>
  <c r="BW483" i="10"/>
  <c r="CD483" i="10" a="1"/>
  <c r="CD483" i="10" s="1"/>
  <c r="CK483" i="10"/>
  <c r="AO483" i="10"/>
  <c r="BJ483" i="10"/>
  <c r="BE483" i="10" a="1"/>
  <c r="BE483" i="10" s="1"/>
  <c r="CS483" i="10"/>
  <c r="BS483" i="10"/>
  <c r="CF483" i="10"/>
  <c r="A483" i="10"/>
  <c r="CO483" i="10"/>
  <c r="BO483" i="10"/>
  <c r="CF544" i="10"/>
  <c r="CK531" i="10"/>
  <c r="CL531" i="10" s="1"/>
  <c r="CM531" i="10" s="1"/>
  <c r="BW531" i="10"/>
  <c r="BX531" i="10" s="1"/>
  <c r="BY531" i="10" s="1"/>
  <c r="CS529" i="10"/>
  <c r="BG529" i="10"/>
  <c r="BG527" i="10"/>
  <c r="BW525" i="10"/>
  <c r="BX525" i="10" s="1"/>
  <c r="BY525" i="10" s="1"/>
  <c r="CD525" i="10" a="1"/>
  <c r="CD525" i="10" s="1"/>
  <c r="CK525" i="10"/>
  <c r="AO525" i="10"/>
  <c r="BJ525" i="10"/>
  <c r="BL525" i="10" s="1"/>
  <c r="BM525" i="10" s="1"/>
  <c r="BS525" i="10"/>
  <c r="CF525" i="10"/>
  <c r="CT523" i="10"/>
  <c r="CU523" i="10" s="1"/>
  <c r="BG522" i="10"/>
  <c r="BS519" i="10"/>
  <c r="CF519" i="10"/>
  <c r="CT519" i="10" s="1"/>
  <c r="CU519" i="10" s="1"/>
  <c r="A519" i="10"/>
  <c r="CO519" i="10"/>
  <c r="BO517" i="10"/>
  <c r="BL515" i="10"/>
  <c r="BM515" i="10" s="1"/>
  <c r="BN515" i="10" s="1" a="1"/>
  <c r="BN515" i="10" s="1"/>
  <c r="BF508" i="10"/>
  <c r="CE507" i="10"/>
  <c r="BH507" i="10"/>
  <c r="CL507" i="10" s="1"/>
  <c r="CM507" i="10" s="1"/>
  <c r="CN507" i="10" s="1" a="1"/>
  <c r="CN507" i="10" s="1"/>
  <c r="BF497" i="10"/>
  <c r="AO538" i="10"/>
  <c r="BJ538" i="10"/>
  <c r="BE538" i="10" a="1"/>
  <c r="BE538" i="10" s="1"/>
  <c r="CS538" i="10"/>
  <c r="CT538" i="10" s="1"/>
  <c r="CU538" i="10" s="1"/>
  <c r="BS538" i="10"/>
  <c r="CF538" i="10"/>
  <c r="CH538" i="10" s="1"/>
  <c r="CI538" i="10" s="1"/>
  <c r="AO534" i="10"/>
  <c r="BJ534" i="10"/>
  <c r="BE534" i="10" a="1"/>
  <c r="BE534" i="10" s="1"/>
  <c r="CS534" i="10"/>
  <c r="BS534" i="10"/>
  <c r="CF534" i="10"/>
  <c r="CO534" i="10"/>
  <c r="A534" i="10"/>
  <c r="BP529" i="10"/>
  <c r="BQ529" i="10" s="1"/>
  <c r="BX524" i="10"/>
  <c r="BY524" i="10" s="1"/>
  <c r="BG524" i="10"/>
  <c r="CT524" i="10" s="1"/>
  <c r="CU524" i="10" s="1"/>
  <c r="BH524" i="10"/>
  <c r="BF523" i="10"/>
  <c r="CS517" i="10"/>
  <c r="BG516" i="10"/>
  <c r="BH516" i="10"/>
  <c r="BG514" i="10"/>
  <c r="BS527" i="10"/>
  <c r="CF527" i="10"/>
  <c r="A527" i="10"/>
  <c r="CO527" i="10"/>
  <c r="AO522" i="10"/>
  <c r="BJ522" i="10"/>
  <c r="BE522" i="10" a="1"/>
  <c r="BE522" i="10" s="1"/>
  <c r="CS522" i="10"/>
  <c r="BS522" i="10"/>
  <c r="CF522" i="10"/>
  <c r="CL522" i="10" s="1"/>
  <c r="CM522" i="10" s="1"/>
  <c r="CO522" i="10"/>
  <c r="A522" i="10"/>
  <c r="BW517" i="10"/>
  <c r="CD517" i="10" a="1"/>
  <c r="CD517" i="10" s="1"/>
  <c r="CK517" i="10"/>
  <c r="AO517" i="10"/>
  <c r="BJ517" i="10"/>
  <c r="BS517" i="10"/>
  <c r="CF517" i="10"/>
  <c r="BE517" i="10" a="1"/>
  <c r="BE517" i="10" s="1"/>
  <c r="CO517" i="10"/>
  <c r="BX515" i="10"/>
  <c r="BY515" i="10" s="1"/>
  <c r="CA515" i="10" a="1"/>
  <c r="CA515" i="10" s="1"/>
  <c r="BG512" i="10"/>
  <c r="BH512" i="10"/>
  <c r="CL512" i="10" s="1"/>
  <c r="CM512" i="10" s="1"/>
  <c r="BG508" i="10"/>
  <c r="BH508" i="10"/>
  <c r="BW499" i="10"/>
  <c r="CD499" i="10" a="1"/>
  <c r="CD499" i="10" s="1"/>
  <c r="CK499" i="10"/>
  <c r="AO499" i="10"/>
  <c r="BJ499" i="10"/>
  <c r="BE499" i="10" a="1"/>
  <c r="BE499" i="10" s="1"/>
  <c r="CS499" i="10"/>
  <c r="BS499" i="10"/>
  <c r="CF499" i="10"/>
  <c r="A499" i="10"/>
  <c r="CO499" i="10"/>
  <c r="BG496" i="10"/>
  <c r="BH496" i="10"/>
  <c r="BT496" i="10" s="1"/>
  <c r="BU496" i="10" s="1"/>
  <c r="BG520" i="10"/>
  <c r="CT520" i="10" s="1"/>
  <c r="CU520" i="10" s="1"/>
  <c r="BH520" i="10"/>
  <c r="BF519" i="10"/>
  <c r="BX519" i="10" s="1"/>
  <c r="BY519" i="10" s="1"/>
  <c r="BE511" i="10" a="1"/>
  <c r="BE511" i="10" s="1"/>
  <c r="CS511" i="10"/>
  <c r="BS511" i="10"/>
  <c r="CF511" i="10"/>
  <c r="A511" i="10"/>
  <c r="CO511" i="10"/>
  <c r="BW511" i="10"/>
  <c r="BJ511" i="10"/>
  <c r="CD511" i="10" a="1"/>
  <c r="CD511" i="10" s="1"/>
  <c r="CK511" i="10"/>
  <c r="BF509" i="10"/>
  <c r="BF500" i="10"/>
  <c r="CE484" i="10"/>
  <c r="BX512" i="10"/>
  <c r="BY512" i="10" s="1"/>
  <c r="CA512" i="10" s="1" a="1"/>
  <c r="CA512" i="10" s="1"/>
  <c r="BG511" i="10"/>
  <c r="BT508" i="10"/>
  <c r="BU508" i="10" s="1"/>
  <c r="CE504" i="10"/>
  <c r="CL504" i="10" s="1"/>
  <c r="CM504" i="10" s="1"/>
  <c r="BF504" i="10"/>
  <c r="BX504" i="10" s="1"/>
  <c r="BY504" i="10" s="1"/>
  <c r="BW503" i="10"/>
  <c r="CD503" i="10" a="1"/>
  <c r="CD503" i="10" s="1"/>
  <c r="CK503" i="10"/>
  <c r="AO503" i="10"/>
  <c r="BJ503" i="10"/>
  <c r="BE503" i="10" a="1"/>
  <c r="BE503" i="10" s="1"/>
  <c r="CS503" i="10"/>
  <c r="BS503" i="10"/>
  <c r="CF503" i="10"/>
  <c r="A503" i="10"/>
  <c r="CO503" i="10"/>
  <c r="CL496" i="10"/>
  <c r="CM496" i="10" s="1"/>
  <c r="BF493" i="10"/>
  <c r="CE492" i="10"/>
  <c r="BG479" i="10"/>
  <c r="CE468" i="10"/>
  <c r="BT512" i="10"/>
  <c r="BU512" i="10" s="1"/>
  <c r="CL508" i="10"/>
  <c r="CM508" i="10" s="1"/>
  <c r="BE507" i="10" a="1"/>
  <c r="BE507" i="10" s="1"/>
  <c r="CS507" i="10"/>
  <c r="CT507" i="10" s="1"/>
  <c r="CU507" i="10" s="1"/>
  <c r="BS507" i="10"/>
  <c r="CF507" i="10"/>
  <c r="CH507" i="10" s="1"/>
  <c r="CI507" i="10" s="1"/>
  <c r="A507" i="10"/>
  <c r="CO507" i="10"/>
  <c r="BW491" i="10"/>
  <c r="CD491" i="10" a="1"/>
  <c r="CD491" i="10" s="1"/>
  <c r="CK491" i="10"/>
  <c r="AO491" i="10"/>
  <c r="BJ491" i="10"/>
  <c r="BE491" i="10" a="1"/>
  <c r="BE491" i="10" s="1"/>
  <c r="CS491" i="10"/>
  <c r="BS491" i="10"/>
  <c r="CF491" i="10"/>
  <c r="A491" i="10"/>
  <c r="CO491" i="10"/>
  <c r="BG488" i="10"/>
  <c r="CL488" i="10" s="1"/>
  <c r="CM488" i="10" s="1"/>
  <c r="BH488" i="10"/>
  <c r="BT488" i="10" s="1"/>
  <c r="BU488" i="10" s="1"/>
  <c r="BO487" i="10"/>
  <c r="CE480" i="10"/>
  <c r="BG476" i="10"/>
  <c r="CL476" i="10" s="1"/>
  <c r="CM476" i="10" s="1"/>
  <c r="BH476" i="10"/>
  <c r="BO475" i="10"/>
  <c r="BF469" i="10"/>
  <c r="BW467" i="10"/>
  <c r="CD467" i="10" a="1"/>
  <c r="CD467" i="10" s="1"/>
  <c r="CK467" i="10"/>
  <c r="AO467" i="10"/>
  <c r="BJ467" i="10"/>
  <c r="BE467" i="10" a="1"/>
  <c r="BE467" i="10" s="1"/>
  <c r="CS467" i="10"/>
  <c r="BS467" i="10"/>
  <c r="CF467" i="10"/>
  <c r="BG467" i="10"/>
  <c r="CO467" i="10"/>
  <c r="BF481" i="10"/>
  <c r="BW479" i="10"/>
  <c r="CD479" i="10" a="1"/>
  <c r="CD479" i="10" s="1"/>
  <c r="CK479" i="10"/>
  <c r="AO479" i="10"/>
  <c r="BJ479" i="10"/>
  <c r="BE479" i="10" a="1"/>
  <c r="BE479" i="10" s="1"/>
  <c r="CS479" i="10"/>
  <c r="BS479" i="10"/>
  <c r="CF479" i="10"/>
  <c r="A479" i="10"/>
  <c r="CO479" i="10"/>
  <c r="BG471" i="10"/>
  <c r="BS515" i="10"/>
  <c r="BT515" i="10" s="1"/>
  <c r="BU515" i="10" s="1"/>
  <c r="CF515" i="10"/>
  <c r="CH515" i="10" s="1"/>
  <c r="CI515" i="10" s="1"/>
  <c r="CJ515" i="10" s="1" a="1"/>
  <c r="CJ515" i="10" s="1"/>
  <c r="A515" i="10"/>
  <c r="CO515" i="10"/>
  <c r="CL500" i="10"/>
  <c r="CM500" i="10" s="1"/>
  <c r="BG499" i="10"/>
  <c r="BW495" i="10"/>
  <c r="CD495" i="10" a="1"/>
  <c r="CD495" i="10" s="1"/>
  <c r="CK495" i="10"/>
  <c r="AO495" i="10"/>
  <c r="BJ495" i="10"/>
  <c r="BE495" i="10" a="1"/>
  <c r="BE495" i="10" s="1"/>
  <c r="CS495" i="10"/>
  <c r="BS495" i="10"/>
  <c r="CF495" i="10"/>
  <c r="A495" i="10"/>
  <c r="CO495" i="10"/>
  <c r="BG492" i="10"/>
  <c r="BX492" i="10" s="1"/>
  <c r="BY492" i="10" s="1"/>
  <c r="BH492" i="10"/>
  <c r="CL492" i="10" s="1"/>
  <c r="CM492" i="10" s="1"/>
  <c r="BO491" i="10"/>
  <c r="BG483" i="10"/>
  <c r="CE472" i="10"/>
  <c r="BG468" i="10"/>
  <c r="CP468" i="10" s="1"/>
  <c r="CQ468" i="10" s="1"/>
  <c r="BH468" i="10"/>
  <c r="CL468" i="10" s="1"/>
  <c r="CM468" i="10" s="1"/>
  <c r="BO467" i="10"/>
  <c r="CE444" i="10"/>
  <c r="CL444" i="10" s="1"/>
  <c r="CM444" i="10"/>
  <c r="CE429" i="10"/>
  <c r="BG480" i="10"/>
  <c r="BH480" i="10"/>
  <c r="BF473" i="10"/>
  <c r="BW471" i="10"/>
  <c r="CD471" i="10" a="1"/>
  <c r="CD471" i="10" s="1"/>
  <c r="CK471" i="10"/>
  <c r="AO471" i="10"/>
  <c r="BJ471" i="10"/>
  <c r="BE471" i="10" a="1"/>
  <c r="BE471" i="10" s="1"/>
  <c r="CS471" i="10"/>
  <c r="BS471" i="10"/>
  <c r="CF471" i="10"/>
  <c r="A471" i="10"/>
  <c r="CO471" i="10"/>
  <c r="CE465" i="10"/>
  <c r="BF463" i="10"/>
  <c r="BF460" i="10"/>
  <c r="BX460" i="10" s="1"/>
  <c r="BY460" i="10" s="1"/>
  <c r="BF448" i="10"/>
  <c r="BF439" i="10"/>
  <c r="CE416" i="10"/>
  <c r="AO507" i="10"/>
  <c r="BW506" i="10"/>
  <c r="CD506" i="10" a="1"/>
  <c r="CD506" i="10" s="1"/>
  <c r="CK506" i="10"/>
  <c r="AO506" i="10"/>
  <c r="BJ506" i="10"/>
  <c r="BE506" i="10" a="1"/>
  <c r="BE506" i="10" s="1"/>
  <c r="CS506" i="10"/>
  <c r="BS506" i="10"/>
  <c r="CF506" i="10"/>
  <c r="CO506" i="10"/>
  <c r="BX500" i="10"/>
  <c r="BY500" i="10" s="1"/>
  <c r="BF489" i="10"/>
  <c r="CE488" i="10"/>
  <c r="CE476" i="10"/>
  <c r="BG472" i="10"/>
  <c r="CL472" i="10" s="1"/>
  <c r="CM472" i="10" s="1"/>
  <c r="BH472" i="10"/>
  <c r="BO471" i="10"/>
  <c r="CE466" i="10"/>
  <c r="BF456" i="10"/>
  <c r="BT456" i="10" s="1"/>
  <c r="BU456" i="10" s="1"/>
  <c r="CE417" i="10"/>
  <c r="BW487" i="10"/>
  <c r="CD487" i="10" a="1"/>
  <c r="CD487" i="10" s="1"/>
  <c r="CK487" i="10"/>
  <c r="AO487" i="10"/>
  <c r="BJ487" i="10"/>
  <c r="BE487" i="10" a="1"/>
  <c r="BE487" i="10" s="1"/>
  <c r="CS487" i="10"/>
  <c r="BS487" i="10"/>
  <c r="CF487" i="10"/>
  <c r="A487" i="10"/>
  <c r="CO487" i="10"/>
  <c r="BG484" i="10"/>
  <c r="BH484" i="10"/>
  <c r="CL480" i="10"/>
  <c r="CM480" i="10" s="1"/>
  <c r="BF477" i="10"/>
  <c r="BW475" i="10"/>
  <c r="CD475" i="10" a="1"/>
  <c r="CD475" i="10" s="1"/>
  <c r="CK475" i="10"/>
  <c r="AO475" i="10"/>
  <c r="BJ475" i="10"/>
  <c r="BE475" i="10" a="1"/>
  <c r="BE475" i="10" s="1"/>
  <c r="CS475" i="10"/>
  <c r="BS475" i="10"/>
  <c r="CF475" i="10"/>
  <c r="A475" i="10"/>
  <c r="CO475" i="10"/>
  <c r="BF451" i="10"/>
  <c r="BP451" i="10" s="1"/>
  <c r="BQ451" i="10" s="1"/>
  <c r="BR451" i="10" s="1" a="1"/>
  <c r="BR451" i="10" s="1"/>
  <c r="CE450" i="10"/>
  <c r="CF513" i="10"/>
  <c r="BS513" i="10"/>
  <c r="BT513" i="10" s="1"/>
  <c r="BU513" i="10" s="1"/>
  <c r="CF509" i="10"/>
  <c r="BS509" i="10"/>
  <c r="BT509" i="10" s="1"/>
  <c r="BU509" i="10" s="1"/>
  <c r="CF505" i="10"/>
  <c r="BS505" i="10"/>
  <c r="CO502" i="10"/>
  <c r="CF501" i="10"/>
  <c r="BS501" i="10"/>
  <c r="BT501" i="10" s="1"/>
  <c r="BU501" i="10" s="1"/>
  <c r="CO498" i="10"/>
  <c r="CF497" i="10"/>
  <c r="BS497" i="10"/>
  <c r="CO494" i="10"/>
  <c r="CF493" i="10"/>
  <c r="BS493" i="10"/>
  <c r="CO490" i="10"/>
  <c r="CF489" i="10"/>
  <c r="BS489" i="10"/>
  <c r="CO486" i="10"/>
  <c r="CF485" i="10"/>
  <c r="BS485" i="10"/>
  <c r="CO482" i="10"/>
  <c r="CF481" i="10"/>
  <c r="BS481" i="10"/>
  <c r="BT481" i="10" s="1"/>
  <c r="BU481" i="10" s="1"/>
  <c r="CO478" i="10"/>
  <c r="CF477" i="10"/>
  <c r="BS477" i="10"/>
  <c r="CO474" i="10"/>
  <c r="CF473" i="10"/>
  <c r="BS473" i="10"/>
  <c r="CO470" i="10"/>
  <c r="CF469" i="10"/>
  <c r="BS469" i="10"/>
  <c r="BT469" i="10" s="1"/>
  <c r="BU469" i="10" s="1"/>
  <c r="CS465" i="10"/>
  <c r="CF463" i="10"/>
  <c r="BO463" i="10"/>
  <c r="CO461" i="10"/>
  <c r="BS461" i="10"/>
  <c r="CO457" i="10"/>
  <c r="BS457" i="10"/>
  <c r="BL456" i="10"/>
  <c r="BM456" i="10" s="1"/>
  <c r="BN456" i="10" s="1" a="1"/>
  <c r="BN456" i="10" s="1"/>
  <c r="CT450" i="10"/>
  <c r="CU450" i="10" s="1"/>
  <c r="BQ450" i="10"/>
  <c r="BF450" i="10"/>
  <c r="BX450" i="10" s="1"/>
  <c r="BY450" i="10" s="1"/>
  <c r="CQ448" i="10"/>
  <c r="CE448" i="10"/>
  <c r="CL448" i="10" s="1"/>
  <c r="CM448" i="10" s="1"/>
  <c r="CN448" i="10" s="1" a="1"/>
  <c r="CN448" i="10" s="1"/>
  <c r="CT446" i="10"/>
  <c r="AO435" i="10"/>
  <c r="BJ435" i="10"/>
  <c r="BS435" i="10"/>
  <c r="BE435" i="10" a="1"/>
  <c r="BE435" i="10" s="1"/>
  <c r="CK435" i="10"/>
  <c r="CS435" i="10"/>
  <c r="A435" i="10"/>
  <c r="BO435" i="10"/>
  <c r="CD435" i="10" a="1"/>
  <c r="CD435" i="10" s="1"/>
  <c r="BW435" i="10"/>
  <c r="CO435" i="10"/>
  <c r="CF434" i="10"/>
  <c r="AO434" i="10"/>
  <c r="BJ434" i="10"/>
  <c r="CO434" i="10"/>
  <c r="BE434" i="10" a="1"/>
  <c r="BE434" i="10" s="1"/>
  <c r="BS434" i="10"/>
  <c r="CK434" i="10"/>
  <c r="A434" i="10"/>
  <c r="CD434" i="10" a="1"/>
  <c r="CD434" i="10" s="1"/>
  <c r="CS434" i="10"/>
  <c r="CE433" i="10"/>
  <c r="CE431" i="10"/>
  <c r="BL426" i="10"/>
  <c r="BM426" i="10" s="1"/>
  <c r="BT426" i="10"/>
  <c r="BU426" i="10" s="1"/>
  <c r="BJ513" i="10"/>
  <c r="BL513" i="10" s="1"/>
  <c r="BM513" i="10" s="1"/>
  <c r="AO513" i="10"/>
  <c r="BJ509" i="10"/>
  <c r="BL509" i="10" s="1"/>
  <c r="BM509" i="10" s="1"/>
  <c r="AO509" i="10"/>
  <c r="BJ505" i="10"/>
  <c r="BP505" i="10" s="1"/>
  <c r="BQ505" i="10" s="1"/>
  <c r="AO505" i="10"/>
  <c r="CF502" i="10"/>
  <c r="BS502" i="10"/>
  <c r="BJ501" i="10"/>
  <c r="BL501" i="10" s="1"/>
  <c r="BM501" i="10" s="1"/>
  <c r="AO501" i="10"/>
  <c r="CF498" i="10"/>
  <c r="BS498" i="10"/>
  <c r="BJ497" i="10"/>
  <c r="BL497" i="10" s="1"/>
  <c r="BM497" i="10" s="1"/>
  <c r="AO497" i="10"/>
  <c r="CF494" i="10"/>
  <c r="BS494" i="10"/>
  <c r="BJ493" i="10"/>
  <c r="BL493" i="10" s="1"/>
  <c r="BM493" i="10" s="1"/>
  <c r="AO493" i="10"/>
  <c r="CF490" i="10"/>
  <c r="BS490" i="10"/>
  <c r="BJ489" i="10"/>
  <c r="BL489" i="10" s="1"/>
  <c r="BM489" i="10" s="1"/>
  <c r="AO489" i="10"/>
  <c r="CF486" i="10"/>
  <c r="BS486" i="10"/>
  <c r="BJ485" i="10"/>
  <c r="BL485" i="10" s="1"/>
  <c r="BM485" i="10" s="1"/>
  <c r="AO485" i="10"/>
  <c r="CF482" i="10"/>
  <c r="BS482" i="10"/>
  <c r="BJ481" i="10"/>
  <c r="BL481" i="10" s="1"/>
  <c r="BM481" i="10" s="1"/>
  <c r="AO481" i="10"/>
  <c r="CF478" i="10"/>
  <c r="BS478" i="10"/>
  <c r="BJ477" i="10"/>
  <c r="BL477" i="10" s="1"/>
  <c r="BM477" i="10" s="1"/>
  <c r="AO477" i="10"/>
  <c r="CF474" i="10"/>
  <c r="BS474" i="10"/>
  <c r="BJ473" i="10"/>
  <c r="BL473" i="10" s="1"/>
  <c r="BM473" i="10" s="1"/>
  <c r="AO473" i="10"/>
  <c r="CF470" i="10"/>
  <c r="BS470" i="10"/>
  <c r="BJ469" i="10"/>
  <c r="BL469" i="10" s="1"/>
  <c r="BM469" i="10" s="1"/>
  <c r="AO469" i="10"/>
  <c r="CO464" i="10"/>
  <c r="CF464" i="10"/>
  <c r="BW464" i="10"/>
  <c r="AO463" i="10"/>
  <c r="BG462" i="10"/>
  <c r="BX462" i="10" s="1"/>
  <c r="BY462" i="10" s="1"/>
  <c r="BP460" i="10"/>
  <c r="BQ460" i="10" s="1"/>
  <c r="BE459" i="10" a="1"/>
  <c r="BE459" i="10" s="1"/>
  <c r="BG458" i="10"/>
  <c r="BX458" i="10" s="1"/>
  <c r="BY458" i="10" s="1"/>
  <c r="BP450" i="10"/>
  <c r="CP448" i="10"/>
  <c r="CP446" i="10"/>
  <c r="CQ446" i="10" s="1"/>
  <c r="CR446" i="10" s="1" a="1"/>
  <c r="CR446" i="10" s="1"/>
  <c r="BG440" i="10"/>
  <c r="BH440" i="10"/>
  <c r="CH439" i="10"/>
  <c r="CI439" i="10" s="1"/>
  <c r="CT439" i="10"/>
  <c r="CU439" i="10" s="1"/>
  <c r="CE438" i="10"/>
  <c r="CL438" i="10" s="1"/>
  <c r="CM438" i="10" s="1"/>
  <c r="CN438" i="10" s="1" a="1"/>
  <c r="CN438" i="10" s="1"/>
  <c r="BF437" i="10"/>
  <c r="BX437" i="10" s="1"/>
  <c r="BY437" i="10" s="1"/>
  <c r="CF435" i="10"/>
  <c r="BO434" i="10"/>
  <c r="BN426" i="10" a="1"/>
  <c r="BN426" i="10" s="1"/>
  <c r="BU422" i="10"/>
  <c r="BF421" i="10"/>
  <c r="BQ414" i="10"/>
  <c r="BF414" i="10"/>
  <c r="BX414" i="10" s="1"/>
  <c r="BY414" i="10" s="1"/>
  <c r="BF413" i="10"/>
  <c r="BG406" i="10"/>
  <c r="BH406" i="10"/>
  <c r="CK513" i="10"/>
  <c r="CD513" i="10" a="1"/>
  <c r="CD513" i="10" s="1"/>
  <c r="CK509" i="10"/>
  <c r="CD509" i="10" a="1"/>
  <c r="CD509" i="10" s="1"/>
  <c r="CK505" i="10"/>
  <c r="CD505" i="10" a="1"/>
  <c r="CD505" i="10" s="1"/>
  <c r="CS502" i="10"/>
  <c r="BE502" i="10" a="1"/>
  <c r="BE502" i="10" s="1"/>
  <c r="CK501" i="10"/>
  <c r="CD501" i="10" a="1"/>
  <c r="CD501" i="10" s="1"/>
  <c r="CS498" i="10"/>
  <c r="BE498" i="10" a="1"/>
  <c r="BE498" i="10" s="1"/>
  <c r="CK497" i="10"/>
  <c r="CD497" i="10" a="1"/>
  <c r="CD497" i="10" s="1"/>
  <c r="CS494" i="10"/>
  <c r="BE494" i="10" a="1"/>
  <c r="BE494" i="10" s="1"/>
  <c r="CK493" i="10"/>
  <c r="CD493" i="10" a="1"/>
  <c r="CD493" i="10" s="1"/>
  <c r="CS490" i="10"/>
  <c r="BE490" i="10" a="1"/>
  <c r="BE490" i="10" s="1"/>
  <c r="CK489" i="10"/>
  <c r="CD489" i="10" a="1"/>
  <c r="CD489" i="10" s="1"/>
  <c r="CS486" i="10"/>
  <c r="BE486" i="10" a="1"/>
  <c r="BE486" i="10" s="1"/>
  <c r="CK485" i="10"/>
  <c r="CD485" i="10" a="1"/>
  <c r="CD485" i="10" s="1"/>
  <c r="CS482" i="10"/>
  <c r="BE482" i="10" a="1"/>
  <c r="BE482" i="10" s="1"/>
  <c r="CK481" i="10"/>
  <c r="CD481" i="10" a="1"/>
  <c r="CD481" i="10" s="1"/>
  <c r="CS478" i="10"/>
  <c r="BE478" i="10" a="1"/>
  <c r="BE478" i="10" s="1"/>
  <c r="CK477" i="10"/>
  <c r="CD477" i="10" a="1"/>
  <c r="CD477" i="10" s="1"/>
  <c r="CS474" i="10"/>
  <c r="BE474" i="10" a="1"/>
  <c r="BE474" i="10" s="1"/>
  <c r="CK473" i="10"/>
  <c r="CD473" i="10" a="1"/>
  <c r="CD473" i="10" s="1"/>
  <c r="CS470" i="10"/>
  <c r="BE470" i="10" a="1"/>
  <c r="BE470" i="10" s="1"/>
  <c r="CK469" i="10"/>
  <c r="CD469" i="10" a="1"/>
  <c r="CD469" i="10" s="1"/>
  <c r="BG466" i="10"/>
  <c r="BT466" i="10" s="1"/>
  <c r="BU466" i="10" s="1"/>
  <c r="CF465" i="10"/>
  <c r="CH465" i="10" s="1"/>
  <c r="CI465" i="10" s="1"/>
  <c r="BW465" i="10"/>
  <c r="BO465" i="10"/>
  <c r="BG463" i="10"/>
  <c r="BO461" i="10"/>
  <c r="BE461" i="10" a="1"/>
  <c r="BE461" i="10" s="1"/>
  <c r="BO459" i="10"/>
  <c r="AO459" i="10"/>
  <c r="BO457" i="10"/>
  <c r="BE457" i="10" a="1"/>
  <c r="BE457" i="10" s="1"/>
  <c r="BX456" i="10"/>
  <c r="BY456" i="10" s="1"/>
  <c r="CP450" i="10"/>
  <c r="CQ450" i="10" s="1"/>
  <c r="BX448" i="10"/>
  <c r="BY448" i="10" s="1"/>
  <c r="BX446" i="10"/>
  <c r="BY446" i="10" s="1"/>
  <c r="CL446" i="10"/>
  <c r="CH446" i="10"/>
  <c r="CI446" i="10" s="1"/>
  <c r="CJ446" i="10" s="1" a="1"/>
  <c r="CJ446" i="10" s="1"/>
  <c r="CH444" i="10"/>
  <c r="CI444" i="10" s="1"/>
  <c r="CJ444" i="10" s="1" a="1"/>
  <c r="CJ444" i="10" s="1"/>
  <c r="CJ442" i="10" a="1"/>
  <c r="CJ442" i="10" s="1"/>
  <c r="CH438" i="10"/>
  <c r="CI438" i="10" s="1"/>
  <c r="CJ438" i="10" s="1" a="1"/>
  <c r="CJ438" i="10" s="1"/>
  <c r="CE432" i="10"/>
  <c r="BF432" i="10"/>
  <c r="BF430" i="10"/>
  <c r="CE420" i="10"/>
  <c r="BJ502" i="10"/>
  <c r="AO502" i="10"/>
  <c r="BJ498" i="10"/>
  <c r="AO498" i="10"/>
  <c r="BJ494" i="10"/>
  <c r="AO494" i="10"/>
  <c r="BJ490" i="10"/>
  <c r="AO490" i="10"/>
  <c r="BJ486" i="10"/>
  <c r="AO486" i="10"/>
  <c r="BJ482" i="10"/>
  <c r="AO482" i="10"/>
  <c r="BJ478" i="10"/>
  <c r="AO478" i="10"/>
  <c r="BJ474" i="10"/>
  <c r="AO474" i="10"/>
  <c r="BJ470" i="10"/>
  <c r="AO470" i="10"/>
  <c r="CO465" i="10"/>
  <c r="CP465" i="10" s="1"/>
  <c r="CQ465" i="10" s="1"/>
  <c r="BE465" i="10" a="1"/>
  <c r="BE465" i="10" s="1"/>
  <c r="CD464" i="10" a="1"/>
  <c r="CD464" i="10" s="1"/>
  <c r="AO464" i="10"/>
  <c r="BS463" i="10"/>
  <c r="BT463" i="10" s="1"/>
  <c r="BU463" i="10" s="1"/>
  <c r="CS459" i="10"/>
  <c r="BG459" i="10"/>
  <c r="CH456" i="10"/>
  <c r="CI456" i="10" s="1"/>
  <c r="CJ456" i="10" s="1" a="1"/>
  <c r="CJ456" i="10" s="1"/>
  <c r="BL451" i="10"/>
  <c r="BM451" i="10" s="1"/>
  <c r="BN451" i="10" s="1" a="1"/>
  <c r="BN451" i="10" s="1"/>
  <c r="CL450" i="10"/>
  <c r="CM450" i="10" s="1"/>
  <c r="BT450" i="10"/>
  <c r="BU450" i="10" s="1"/>
  <c r="CH448" i="10"/>
  <c r="CI448" i="10" s="1"/>
  <c r="BF446" i="10"/>
  <c r="BP446" i="10" s="1"/>
  <c r="BQ446" i="10" s="1"/>
  <c r="BP442" i="10"/>
  <c r="CL442" i="10"/>
  <c r="BL442" i="10"/>
  <c r="CH442" i="10"/>
  <c r="CI442" i="10" s="1"/>
  <c r="BP440" i="10"/>
  <c r="BF438" i="10"/>
  <c r="BX438" i="10" s="1"/>
  <c r="BY438" i="10" s="1"/>
  <c r="CE428" i="10"/>
  <c r="BP414" i="10"/>
  <c r="CK502" i="10"/>
  <c r="CD502" i="10" a="1"/>
  <c r="CD502" i="10" s="1"/>
  <c r="CK498" i="10"/>
  <c r="CD498" i="10" a="1"/>
  <c r="CD498" i="10" s="1"/>
  <c r="BF496" i="10"/>
  <c r="BX496" i="10" s="1"/>
  <c r="BY496" i="10" s="1"/>
  <c r="CK494" i="10"/>
  <c r="CD494" i="10" a="1"/>
  <c r="CD494" i="10" s="1"/>
  <c r="BF492" i="10"/>
  <c r="CK490" i="10"/>
  <c r="CD490" i="10" a="1"/>
  <c r="CD490" i="10" s="1"/>
  <c r="BF488" i="10"/>
  <c r="BX488" i="10" s="1"/>
  <c r="BY488" i="10" s="1"/>
  <c r="CK486" i="10"/>
  <c r="CD486" i="10" a="1"/>
  <c r="CD486" i="10" s="1"/>
  <c r="BF484" i="10"/>
  <c r="CK482" i="10"/>
  <c r="CD482" i="10" a="1"/>
  <c r="CD482" i="10" s="1"/>
  <c r="BF480" i="10"/>
  <c r="CK478" i="10"/>
  <c r="CD478" i="10" a="1"/>
  <c r="CD478" i="10" s="1"/>
  <c r="BF476" i="10"/>
  <c r="BX476" i="10" s="1"/>
  <c r="BY476" i="10" s="1"/>
  <c r="CK474" i="10"/>
  <c r="CD474" i="10" a="1"/>
  <c r="CD474" i="10" s="1"/>
  <c r="BF472" i="10"/>
  <c r="BX472" i="10" s="1"/>
  <c r="BY472" i="10" s="1"/>
  <c r="CK470" i="10"/>
  <c r="CD470" i="10" a="1"/>
  <c r="CD470" i="10" s="1"/>
  <c r="BF468" i="10"/>
  <c r="CO463" i="10"/>
  <c r="BW463" i="10"/>
  <c r="BX463" i="10" s="1"/>
  <c r="BY463" i="10" s="1"/>
  <c r="CD463" i="10" a="1"/>
  <c r="CD463" i="10" s="1"/>
  <c r="CK463" i="10"/>
  <c r="A463" i="10"/>
  <c r="CH454" i="10"/>
  <c r="CI454" i="10" s="1"/>
  <c r="CJ454" i="10" s="1" a="1"/>
  <c r="CJ454" i="10" s="1"/>
  <c r="CH452" i="10"/>
  <c r="CI452" i="10" s="1"/>
  <c r="CJ452" i="10" s="1" a="1"/>
  <c r="CJ452" i="10" s="1"/>
  <c r="BT448" i="10"/>
  <c r="BU448" i="10" s="1"/>
  <c r="BV448" i="10" s="1" a="1"/>
  <c r="BV448" i="10" s="1"/>
  <c r="CP444" i="10"/>
  <c r="CQ444" i="10" s="1"/>
  <c r="CR444" i="10" s="1" a="1"/>
  <c r="CR444" i="10" s="1"/>
  <c r="BQ442" i="10"/>
  <c r="BR442" i="10" s="1" a="1"/>
  <c r="BR442" i="10" s="1"/>
  <c r="BM442" i="10"/>
  <c r="BN442" i="10" s="1" a="1"/>
  <c r="BN442" i="10" s="1"/>
  <c r="BF442" i="10"/>
  <c r="BX442" i="10" s="1"/>
  <c r="BY442" i="10" s="1"/>
  <c r="CT438" i="10"/>
  <c r="CU438" i="10" s="1"/>
  <c r="BT438" i="10"/>
  <c r="BU438" i="10" s="1"/>
  <c r="BG428" i="10"/>
  <c r="BH428" i="10"/>
  <c r="BW461" i="10"/>
  <c r="CD461" i="10" a="1"/>
  <c r="CD461" i="10" s="1"/>
  <c r="CK461" i="10"/>
  <c r="AO461" i="10"/>
  <c r="BJ461" i="10"/>
  <c r="A461" i="10"/>
  <c r="CP460" i="10"/>
  <c r="CQ460" i="10" s="1"/>
  <c r="CE460" i="10"/>
  <c r="CH460" i="10" s="1"/>
  <c r="CI460" i="10" s="1"/>
  <c r="CJ460" i="10" s="1" a="1"/>
  <c r="CJ460" i="10" s="1"/>
  <c r="A459" i="10"/>
  <c r="CO459" i="10"/>
  <c r="BW459" i="10"/>
  <c r="CD459" i="10" a="1"/>
  <c r="CD459" i="10" s="1"/>
  <c r="CK459" i="10"/>
  <c r="BW457" i="10"/>
  <c r="CD457" i="10" a="1"/>
  <c r="CD457" i="10" s="1"/>
  <c r="CK457" i="10"/>
  <c r="AO457" i="10"/>
  <c r="BJ457" i="10"/>
  <c r="A457" i="10"/>
  <c r="CP456" i="10"/>
  <c r="CQ456" i="10"/>
  <c r="CR456" i="10" s="1" a="1"/>
  <c r="CR456" i="10" s="1"/>
  <c r="CE456" i="10"/>
  <c r="CL456" i="10" s="1"/>
  <c r="CM456" i="10"/>
  <c r="BF454" i="10"/>
  <c r="BL454" i="10" s="1"/>
  <c r="BM454" i="10" s="1"/>
  <c r="BN454" i="10" s="1" a="1"/>
  <c r="BN454" i="10" s="1"/>
  <c r="CE452" i="10"/>
  <c r="CP452" i="10" s="1"/>
  <c r="CQ452" i="10" s="1"/>
  <c r="BF452" i="10"/>
  <c r="BX452" i="10" s="1"/>
  <c r="BY452" i="10" s="1"/>
  <c r="BV450" i="10" a="1"/>
  <c r="BV450" i="10" s="1"/>
  <c r="CE440" i="10"/>
  <c r="CP438" i="10"/>
  <c r="CQ438" i="10" s="1"/>
  <c r="BG380" i="10"/>
  <c r="BH380" i="10"/>
  <c r="CT466" i="10"/>
  <c r="CU466" i="10" s="1"/>
  <c r="CL465" i="10"/>
  <c r="CM465" i="10" s="1"/>
  <c r="CN465" i="10" s="1" a="1"/>
  <c r="CN465" i="10" s="1"/>
  <c r="AO465" i="10"/>
  <c r="BJ465" i="10"/>
  <c r="A465" i="10"/>
  <c r="BE464" i="10" a="1"/>
  <c r="BE464" i="10" s="1"/>
  <c r="CS464" i="10"/>
  <c r="A464" i="10"/>
  <c r="CP462" i="10"/>
  <c r="CQ462" i="10" s="1"/>
  <c r="CE462" i="10"/>
  <c r="CT462" i="10" s="1"/>
  <c r="CU462" i="10" s="1"/>
  <c r="BS459" i="10"/>
  <c r="CE458" i="10"/>
  <c r="CP458" i="10" s="1"/>
  <c r="CQ458" i="10" s="1"/>
  <c r="BT455" i="10"/>
  <c r="BF455" i="10"/>
  <c r="BP455" i="10" s="1"/>
  <c r="BU455" i="10"/>
  <c r="BV455" i="10" s="1" a="1"/>
  <c r="BV455" i="10" s="1"/>
  <c r="BQ455" i="10"/>
  <c r="CE454" i="10"/>
  <c r="CP454" i="10" s="1"/>
  <c r="CQ454" i="10" s="1"/>
  <c r="BL450" i="10"/>
  <c r="BM450" i="10" s="1"/>
  <c r="BN450" i="10" s="1" a="1"/>
  <c r="BN450" i="10" s="1"/>
  <c r="CH450" i="10"/>
  <c r="CI450" i="10" s="1"/>
  <c r="CJ450" i="10" s="1" a="1"/>
  <c r="CJ450" i="10" s="1"/>
  <c r="BP448" i="10"/>
  <c r="BQ448" i="10" s="1"/>
  <c r="BP444" i="10"/>
  <c r="BQ444" i="10" s="1"/>
  <c r="BR444" i="10" s="1" a="1"/>
  <c r="BR444" i="10" s="1"/>
  <c r="BM444" i="10"/>
  <c r="BN444" i="10" s="1" a="1"/>
  <c r="BN444" i="10" s="1"/>
  <c r="BF444" i="10"/>
  <c r="BX444" i="10" s="1"/>
  <c r="BY444" i="10" s="1"/>
  <c r="BG431" i="10"/>
  <c r="BH431" i="10"/>
  <c r="BP371" i="10"/>
  <c r="BL371" i="10"/>
  <c r="CS460" i="10"/>
  <c r="CT460" i="10" s="1"/>
  <c r="CU460" i="10" s="1"/>
  <c r="CS456" i="10"/>
  <c r="CT456" i="10" s="1"/>
  <c r="CU456" i="10" s="1"/>
  <c r="CV456" i="10" s="1" a="1"/>
  <c r="CV456" i="10" s="1"/>
  <c r="CK455" i="10"/>
  <c r="CD455" i="10" a="1"/>
  <c r="CD455" i="10" s="1"/>
  <c r="BW455" i="10"/>
  <c r="BX455" i="10" s="1"/>
  <c r="BY455" i="10" s="1"/>
  <c r="A453" i="10"/>
  <c r="CS452" i="10"/>
  <c r="CT452" i="10" s="1"/>
  <c r="CU452" i="10" s="1"/>
  <c r="CK451" i="10"/>
  <c r="CD451" i="10" a="1"/>
  <c r="CD451" i="10" s="1"/>
  <c r="BW451" i="10"/>
  <c r="BX451" i="10" s="1"/>
  <c r="BY451" i="10" s="1"/>
  <c r="A449" i="10"/>
  <c r="CS448" i="10"/>
  <c r="CT448" i="10" s="1"/>
  <c r="CU448" i="10" s="1"/>
  <c r="CV448" i="10" s="1" a="1"/>
  <c r="CV448" i="10" s="1"/>
  <c r="BL448" i="10"/>
  <c r="BM448" i="10" s="1"/>
  <c r="BN448" i="10" s="1" a="1"/>
  <c r="BN448" i="10" s="1"/>
  <c r="CK447" i="10"/>
  <c r="CD447" i="10" a="1"/>
  <c r="CD447" i="10" s="1"/>
  <c r="BW447" i="10"/>
  <c r="A445" i="10"/>
  <c r="CS444" i="10"/>
  <c r="CT444" i="10" s="1"/>
  <c r="CU444" i="10" s="1"/>
  <c r="BL444" i="10"/>
  <c r="CK443" i="10"/>
  <c r="CD443" i="10" a="1"/>
  <c r="CD443" i="10" s="1"/>
  <c r="BW443" i="10"/>
  <c r="A441" i="10"/>
  <c r="AO439" i="10"/>
  <c r="BJ439" i="10"/>
  <c r="BT439" i="10" s="1"/>
  <c r="BU439" i="10" s="1"/>
  <c r="BP438" i="10"/>
  <c r="BQ438" i="10" s="1"/>
  <c r="CS437" i="10"/>
  <c r="CD437" i="10" a="1"/>
  <c r="CD437" i="10" s="1"/>
  <c r="BO437" i="10"/>
  <c r="BP437" i="10" s="1"/>
  <c r="BQ437" i="10" s="1"/>
  <c r="BE436" i="10" a="1"/>
  <c r="BE436" i="10" s="1"/>
  <c r="BW433" i="10"/>
  <c r="A433" i="10"/>
  <c r="CK432" i="10"/>
  <c r="CL432" i="10" s="1"/>
  <c r="CM432" i="10" s="1"/>
  <c r="AO427" i="10"/>
  <c r="BJ427" i="10"/>
  <c r="BE427" i="10" a="1"/>
  <c r="BE427" i="10" s="1"/>
  <c r="CS427" i="10"/>
  <c r="BF420" i="10"/>
  <c r="BX420" i="10" s="1"/>
  <c r="BY420" i="10" s="1"/>
  <c r="CA420" i="10" s="1" a="1"/>
  <c r="CA420" i="10" s="1"/>
  <c r="BF416" i="10"/>
  <c r="BX416" i="10" s="1"/>
  <c r="BY416" i="10" s="1"/>
  <c r="BT414" i="10"/>
  <c r="BU414" i="10" s="1"/>
  <c r="BV414" i="10" s="1" a="1"/>
  <c r="BV414" i="10" s="1"/>
  <c r="BL414" i="10"/>
  <c r="BM414" i="10" s="1"/>
  <c r="AO398" i="10"/>
  <c r="BJ398" i="10"/>
  <c r="BE398" i="10" a="1"/>
  <c r="BE398" i="10" s="1"/>
  <c r="CS398" i="10"/>
  <c r="BS398" i="10"/>
  <c r="CF398" i="10"/>
  <c r="CO398" i="10"/>
  <c r="CK398" i="10"/>
  <c r="BW398" i="10"/>
  <c r="CD398" i="10" a="1"/>
  <c r="CD398" i="10" s="1"/>
  <c r="A398" i="10"/>
  <c r="CE378" i="10"/>
  <c r="BF355" i="10"/>
  <c r="CS453" i="10"/>
  <c r="BE453" i="10" a="1"/>
  <c r="BE453" i="10" s="1"/>
  <c r="CS449" i="10"/>
  <c r="BE449" i="10" a="1"/>
  <c r="BE449" i="10" s="1"/>
  <c r="CU446" i="10"/>
  <c r="CS445" i="10"/>
  <c r="BE445" i="10" a="1"/>
  <c r="BE445" i="10" s="1"/>
  <c r="CU442" i="10"/>
  <c r="CV442" i="10" s="1" a="1"/>
  <c r="CV442" i="10" s="1"/>
  <c r="CS441" i="10"/>
  <c r="BE441" i="10" a="1"/>
  <c r="BE441" i="10" s="1"/>
  <c r="BQ440" i="10"/>
  <c r="BH435" i="10"/>
  <c r="CK433" i="10"/>
  <c r="BL432" i="10"/>
  <c r="BM432" i="10" s="1"/>
  <c r="AO432" i="10"/>
  <c r="BS430" i="10"/>
  <c r="BJ430" i="10"/>
  <c r="AO430" i="10"/>
  <c r="BG429" i="10"/>
  <c r="BH429" i="10"/>
  <c r="CP429" i="10" s="1"/>
  <c r="CQ429" i="10" s="1"/>
  <c r="BH427" i="10"/>
  <c r="BY426" i="10"/>
  <c r="CE424" i="10"/>
  <c r="BG424" i="10"/>
  <c r="CF423" i="10"/>
  <c r="BS423" i="10"/>
  <c r="BF417" i="10"/>
  <c r="BF410" i="10"/>
  <c r="BF409" i="10"/>
  <c r="AO394" i="10"/>
  <c r="BJ394" i="10"/>
  <c r="BE394" i="10" a="1"/>
  <c r="BE394" i="10" s="1"/>
  <c r="CS394" i="10"/>
  <c r="BS394" i="10"/>
  <c r="CF394" i="10"/>
  <c r="CO394" i="10"/>
  <c r="CK394" i="10"/>
  <c r="BW394" i="10"/>
  <c r="CD394" i="10" a="1"/>
  <c r="CD394" i="10" s="1"/>
  <c r="A394" i="10"/>
  <c r="BF365" i="10"/>
  <c r="CW456" i="10" a="1"/>
  <c r="CW456" i="10" s="1"/>
  <c r="CO455" i="10"/>
  <c r="BJ453" i="10"/>
  <c r="AO453" i="10"/>
  <c r="CO451" i="10"/>
  <c r="BJ449" i="10"/>
  <c r="AO449" i="10"/>
  <c r="CW448" i="10" a="1"/>
  <c r="CW448" i="10" s="1"/>
  <c r="CO447" i="10"/>
  <c r="BJ445" i="10"/>
  <c r="AO445" i="10"/>
  <c r="CW444" i="10" a="1"/>
  <c r="CW444" i="10" s="1"/>
  <c r="CO443" i="10"/>
  <c r="BJ441" i="10"/>
  <c r="AO441" i="10"/>
  <c r="CK439" i="10"/>
  <c r="CL439" i="10" s="1"/>
  <c r="CM439" i="10" s="1"/>
  <c r="CN439" i="10" s="1" a="1"/>
  <c r="CN439" i="10" s="1"/>
  <c r="CR438" i="10" a="1"/>
  <c r="CR438" i="10" s="1"/>
  <c r="BS437" i="10"/>
  <c r="BT437" i="10" s="1"/>
  <c r="BU437" i="10" s="1"/>
  <c r="BV437" i="10" s="1" a="1"/>
  <c r="BV437" i="10" s="1"/>
  <c r="AO437" i="10"/>
  <c r="BE433" i="10" a="1"/>
  <c r="BE433" i="10" s="1"/>
  <c r="BJ432" i="10"/>
  <c r="BP432" i="10" s="1"/>
  <c r="BQ432" i="10" s="1"/>
  <c r="CL431" i="10"/>
  <c r="CM431" i="10" s="1"/>
  <c r="AO431" i="10"/>
  <c r="BJ431" i="10"/>
  <c r="BE431" i="10" a="1"/>
  <c r="BE431" i="10" s="1"/>
  <c r="CS431" i="10"/>
  <c r="CT431" i="10" s="1"/>
  <c r="CU431" i="10" s="1"/>
  <c r="CS430" i="10"/>
  <c r="CT428" i="10"/>
  <c r="CU428" i="10" s="1"/>
  <c r="BS428" i="10"/>
  <c r="CF428" i="10"/>
  <c r="A428" i="10"/>
  <c r="BF424" i="10"/>
  <c r="CF419" i="10"/>
  <c r="BO398" i="10"/>
  <c r="CK453" i="10"/>
  <c r="CD453" i="10" a="1"/>
  <c r="CD453" i="10" s="1"/>
  <c r="CK449" i="10"/>
  <c r="CD449" i="10" a="1"/>
  <c r="CD449" i="10" s="1"/>
  <c r="CJ448" i="10" a="1"/>
  <c r="CJ448" i="10" s="1"/>
  <c r="BF447" i="10"/>
  <c r="CM446" i="10"/>
  <c r="CN446" i="10" s="1" a="1"/>
  <c r="CN446" i="10" s="1"/>
  <c r="CK445" i="10"/>
  <c r="CD445" i="10" a="1"/>
  <c r="CD445" i="10" s="1"/>
  <c r="BF443" i="10"/>
  <c r="CM442" i="10"/>
  <c r="CR442" i="10" s="1" a="1"/>
  <c r="CR442" i="10" s="1"/>
  <c r="CK441" i="10"/>
  <c r="CD441" i="10" a="1"/>
  <c r="CD441" i="10" s="1"/>
  <c r="BS436" i="10"/>
  <c r="CF436" i="10"/>
  <c r="BS433" i="10"/>
  <c r="AO433" i="10"/>
  <c r="BQ426" i="10"/>
  <c r="BR426" i="10" s="1" a="1"/>
  <c r="BR426" i="10" s="1"/>
  <c r="BP422" i="10"/>
  <c r="BL422" i="10"/>
  <c r="BM422" i="10" s="1"/>
  <c r="BN422" i="10" s="1" a="1"/>
  <c r="BN422" i="10" s="1"/>
  <c r="BL420" i="10"/>
  <c r="BM420" i="10" s="1"/>
  <c r="BN420" i="10" s="1" a="1"/>
  <c r="BN420" i="10" s="1"/>
  <c r="BL416" i="10"/>
  <c r="BM416" i="10" s="1"/>
  <c r="BP408" i="10"/>
  <c r="BF408" i="10"/>
  <c r="BX408" i="10" s="1"/>
  <c r="BY408" i="10" s="1"/>
  <c r="BQ408" i="10"/>
  <c r="BG391" i="10"/>
  <c r="BH391" i="10"/>
  <c r="BF388" i="10"/>
  <c r="BF381" i="10"/>
  <c r="CJ439" i="10" a="1"/>
  <c r="CJ439" i="10" s="1"/>
  <c r="BJ433" i="10"/>
  <c r="BG433" i="10"/>
  <c r="BS432" i="10"/>
  <c r="BT432" i="10" s="1"/>
  <c r="BU432" i="10" s="1"/>
  <c r="CF432" i="10"/>
  <c r="CP432" i="10" s="1"/>
  <c r="CQ432" i="10" s="1"/>
  <c r="CR432" i="10" s="1" a="1"/>
  <c r="CR432" i="10" s="1"/>
  <c r="BW430" i="10"/>
  <c r="CD430" i="10" a="1"/>
  <c r="CD430" i="10" s="1"/>
  <c r="CK430" i="10"/>
  <c r="A430" i="10"/>
  <c r="BW423" i="10"/>
  <c r="CD423" i="10" a="1"/>
  <c r="CD423" i="10" s="1"/>
  <c r="CK423" i="10"/>
  <c r="AO423" i="10"/>
  <c r="BJ423" i="10"/>
  <c r="BE423" i="10" a="1"/>
  <c r="BE423" i="10" s="1"/>
  <c r="CS423" i="10"/>
  <c r="A423" i="10"/>
  <c r="BP418" i="10"/>
  <c r="BL418" i="10"/>
  <c r="BM418" i="10" s="1"/>
  <c r="BN418" i="10" s="1" a="1"/>
  <c r="BN418" i="10" s="1"/>
  <c r="BF412" i="10"/>
  <c r="CW438" i="10" a="1"/>
  <c r="CW438" i="10" s="1"/>
  <c r="CF433" i="10"/>
  <c r="BW432" i="10"/>
  <c r="BX432" i="10" s="1"/>
  <c r="BY432" i="10" s="1"/>
  <c r="A432" i="10"/>
  <c r="CO430" i="10"/>
  <c r="CF430" i="10"/>
  <c r="BG430" i="10"/>
  <c r="CE427" i="10"/>
  <c r="BQ422" i="10"/>
  <c r="BR422" i="10" s="1" a="1"/>
  <c r="BR422" i="10" s="1"/>
  <c r="BY422" i="10"/>
  <c r="BP420" i="10"/>
  <c r="BQ420" i="10" s="1"/>
  <c r="BW419" i="10"/>
  <c r="CD419" i="10" a="1"/>
  <c r="CD419" i="10" s="1"/>
  <c r="CK419" i="10"/>
  <c r="AO419" i="10"/>
  <c r="BJ419" i="10"/>
  <c r="BE419" i="10" a="1"/>
  <c r="BE419" i="10" s="1"/>
  <c r="CS419" i="10"/>
  <c r="A419" i="10"/>
  <c r="BP416" i="10"/>
  <c r="BQ416" i="10" s="1"/>
  <c r="CE413" i="10"/>
  <c r="CE412" i="10"/>
  <c r="AO402" i="10"/>
  <c r="BJ402" i="10"/>
  <c r="BE402" i="10" a="1"/>
  <c r="BE402" i="10" s="1"/>
  <c r="CS402" i="10"/>
  <c r="BS402" i="10"/>
  <c r="CF402" i="10"/>
  <c r="CO402" i="10"/>
  <c r="CK402" i="10"/>
  <c r="BW402" i="10"/>
  <c r="CD402" i="10" a="1"/>
  <c r="CD402" i="10" s="1"/>
  <c r="A402" i="10"/>
  <c r="CT432" i="10"/>
  <c r="CU432" i="10" s="1"/>
  <c r="BF428" i="10"/>
  <c r="BF425" i="10"/>
  <c r="BT424" i="10"/>
  <c r="BU424" i="10" s="1"/>
  <c r="BQ418" i="10"/>
  <c r="BY418" i="10"/>
  <c r="BX410" i="10"/>
  <c r="BY410" i="10" s="1"/>
  <c r="CE409" i="10"/>
  <c r="CE408" i="10"/>
  <c r="BL397" i="10"/>
  <c r="BN414" i="10" a="1"/>
  <c r="BN414" i="10" s="1"/>
  <c r="BO406" i="10"/>
  <c r="BE406" i="10" a="1"/>
  <c r="BE406" i="10" s="1"/>
  <c r="BG404" i="10"/>
  <c r="BP404" i="10" s="1"/>
  <c r="BQ404" i="10" s="1"/>
  <c r="BH404" i="10"/>
  <c r="BP401" i="10"/>
  <c r="BG400" i="10"/>
  <c r="BH400" i="10"/>
  <c r="BG396" i="10"/>
  <c r="BH396" i="10"/>
  <c r="BG392" i="10"/>
  <c r="BH392" i="10"/>
  <c r="BE391" i="10" a="1"/>
  <c r="BE391" i="10" s="1"/>
  <c r="BE389" i="10" a="1"/>
  <c r="BE389" i="10" s="1"/>
  <c r="CE384" i="10"/>
  <c r="CE380" i="10"/>
  <c r="CW370" i="10" a="1"/>
  <c r="CW370" i="10" s="1"/>
  <c r="CE366" i="10"/>
  <c r="BG364" i="10"/>
  <c r="BH364" i="10"/>
  <c r="BF350" i="10"/>
  <c r="A415" i="10"/>
  <c r="A411" i="10"/>
  <c r="A407" i="10"/>
  <c r="CS406" i="10"/>
  <c r="BW406" i="10"/>
  <c r="CO405" i="10"/>
  <c r="AO405" i="10"/>
  <c r="BJ405" i="10"/>
  <c r="BS405" i="10"/>
  <c r="CF405" i="10"/>
  <c r="AO403" i="10"/>
  <c r="BJ403" i="10"/>
  <c r="BS403" i="10"/>
  <c r="CF403" i="10"/>
  <c r="A403" i="10"/>
  <c r="CO403" i="10"/>
  <c r="CO401" i="10"/>
  <c r="BW401" i="10"/>
  <c r="CD401" i="10" a="1"/>
  <c r="CD401" i="10" s="1"/>
  <c r="CK401" i="10"/>
  <c r="AO401" i="10"/>
  <c r="BJ401" i="10"/>
  <c r="BL401" i="10" s="1"/>
  <c r="BM401" i="10" s="1"/>
  <c r="BR401" i="10" s="1" a="1"/>
  <c r="BR401" i="10" s="1"/>
  <c r="BS401" i="10"/>
  <c r="BT401" i="10" s="1"/>
  <c r="CF401" i="10"/>
  <c r="AO399" i="10"/>
  <c r="BJ399" i="10"/>
  <c r="BS399" i="10"/>
  <c r="CF399" i="10"/>
  <c r="A399" i="10"/>
  <c r="CO399" i="10"/>
  <c r="CO397" i="10"/>
  <c r="BW397" i="10"/>
  <c r="BX397" i="10" s="1"/>
  <c r="CD397" i="10" a="1"/>
  <c r="CD397" i="10" s="1"/>
  <c r="CK397" i="10"/>
  <c r="AO397" i="10"/>
  <c r="BJ397" i="10"/>
  <c r="BP397" i="10" s="1"/>
  <c r="BQ397" i="10" s="1"/>
  <c r="BR397" i="10" s="1" a="1"/>
  <c r="BR397" i="10" s="1"/>
  <c r="BS397" i="10"/>
  <c r="CF397" i="10"/>
  <c r="AO395" i="10"/>
  <c r="BJ395" i="10"/>
  <c r="BS395" i="10"/>
  <c r="CF395" i="10"/>
  <c r="A395" i="10"/>
  <c r="CO395" i="10"/>
  <c r="CO393" i="10"/>
  <c r="BW393" i="10"/>
  <c r="BX393" i="10" s="1"/>
  <c r="CD393" i="10" a="1"/>
  <c r="CD393" i="10" s="1"/>
  <c r="CK393" i="10"/>
  <c r="AO393" i="10"/>
  <c r="BJ393" i="10"/>
  <c r="BL393" i="10" s="1"/>
  <c r="BS393" i="10"/>
  <c r="BT393" i="10" s="1"/>
  <c r="CF393" i="10"/>
  <c r="AO390" i="10"/>
  <c r="BJ390" i="10"/>
  <c r="BE390" i="10" a="1"/>
  <c r="BE390" i="10" s="1"/>
  <c r="CS390" i="10"/>
  <c r="BS390" i="10"/>
  <c r="CF390" i="10"/>
  <c r="CO390" i="10"/>
  <c r="BG388" i="10"/>
  <c r="BH388" i="10"/>
  <c r="BF385" i="10"/>
  <c r="CE376" i="10"/>
  <c r="BF376" i="10"/>
  <c r="BW375" i="10"/>
  <c r="CD375" i="10" a="1"/>
  <c r="CD375" i="10" s="1"/>
  <c r="CK375" i="10"/>
  <c r="AO375" i="10"/>
  <c r="BJ375" i="10"/>
  <c r="BE375" i="10" a="1"/>
  <c r="BE375" i="10" s="1"/>
  <c r="CS375" i="10"/>
  <c r="BS375" i="10"/>
  <c r="CF375" i="10"/>
  <c r="A375" i="10"/>
  <c r="CO375" i="10"/>
  <c r="BL370" i="10"/>
  <c r="CE358" i="10"/>
  <c r="AO406" i="10"/>
  <c r="BS406" i="10"/>
  <c r="CA393" i="10" a="1"/>
  <c r="CA393" i="10" s="1"/>
  <c r="AO391" i="10"/>
  <c r="BJ391" i="10"/>
  <c r="BS391" i="10"/>
  <c r="CF391" i="10"/>
  <c r="A391" i="10"/>
  <c r="CO391" i="10"/>
  <c r="CE390" i="10"/>
  <c r="CO389" i="10"/>
  <c r="BW389" i="10"/>
  <c r="CD389" i="10" a="1"/>
  <c r="CD389" i="10" s="1"/>
  <c r="CK389" i="10"/>
  <c r="AO389" i="10"/>
  <c r="BJ389" i="10"/>
  <c r="BS389" i="10"/>
  <c r="CF389" i="10"/>
  <c r="CE386" i="10"/>
  <c r="CT380" i="10"/>
  <c r="CU380" i="10" s="1"/>
  <c r="BF377" i="10"/>
  <c r="BM370" i="10"/>
  <c r="BQ370" i="10"/>
  <c r="BF370" i="10"/>
  <c r="BP370" i="10" s="1"/>
  <c r="BF369" i="10"/>
  <c r="CK426" i="10"/>
  <c r="CD426" i="10" a="1"/>
  <c r="CD426" i="10" s="1"/>
  <c r="BH425" i="10"/>
  <c r="BT425" i="10" s="1"/>
  <c r="BU425" i="10" s="1"/>
  <c r="A424" i="10"/>
  <c r="CK422" i="10"/>
  <c r="CD422" i="10" a="1"/>
  <c r="CD422" i="10" s="1"/>
  <c r="BH421" i="10"/>
  <c r="CH421" i="10" s="1"/>
  <c r="CI421" i="10" s="1"/>
  <c r="CJ421" i="10" s="1" a="1"/>
  <c r="CJ421" i="10" s="1"/>
  <c r="A420" i="10"/>
  <c r="CK418" i="10"/>
  <c r="CD418" i="10" a="1"/>
  <c r="CD418" i="10" s="1"/>
  <c r="BH417" i="10"/>
  <c r="A416" i="10"/>
  <c r="CS415" i="10"/>
  <c r="BE415" i="10" a="1"/>
  <c r="BE415" i="10" s="1"/>
  <c r="CK414" i="10"/>
  <c r="CD414" i="10" a="1"/>
  <c r="CD414" i="10" s="1"/>
  <c r="BH413" i="10"/>
  <c r="CP413" i="10" s="1"/>
  <c r="CQ413" i="10" s="1"/>
  <c r="A412" i="10"/>
  <c r="CS411" i="10"/>
  <c r="BE411" i="10" a="1"/>
  <c r="BE411" i="10" s="1"/>
  <c r="CK410" i="10"/>
  <c r="CD410" i="10" a="1"/>
  <c r="CD410" i="10" s="1"/>
  <c r="BH409" i="10"/>
  <c r="BT409" i="10" s="1"/>
  <c r="BU409" i="10" s="1"/>
  <c r="A408" i="10"/>
  <c r="CS407" i="10"/>
  <c r="BE407" i="10" a="1"/>
  <c r="BE407" i="10" s="1"/>
  <c r="CK406" i="10"/>
  <c r="CD406" i="10" a="1"/>
  <c r="CD406" i="10" s="1"/>
  <c r="CS403" i="10"/>
  <c r="CS399" i="10"/>
  <c r="BY397" i="10"/>
  <c r="CA397" i="10" s="1" a="1"/>
  <c r="CA397" i="10" s="1"/>
  <c r="CS395" i="10"/>
  <c r="BY393" i="10"/>
  <c r="CD391" i="10" a="1"/>
  <c r="CD391" i="10" s="1"/>
  <c r="CS389" i="10"/>
  <c r="BE387" i="10" a="1"/>
  <c r="BE387" i="10" s="1"/>
  <c r="BG376" i="10"/>
  <c r="CL376" i="10" s="1"/>
  <c r="CM376" i="10" s="1"/>
  <c r="BH376" i="10"/>
  <c r="BO375" i="10"/>
  <c r="CE374" i="10"/>
  <c r="CF424" i="10"/>
  <c r="CP424" i="10" s="1"/>
  <c r="CQ424" i="10" s="1"/>
  <c r="CF420" i="10"/>
  <c r="CL420" i="10" s="1"/>
  <c r="CM420" i="10" s="1"/>
  <c r="BS420" i="10"/>
  <c r="BT420" i="10" s="1"/>
  <c r="BU420" i="10" s="1"/>
  <c r="BV420" i="10" s="1" a="1"/>
  <c r="BV420" i="10" s="1"/>
  <c r="CF416" i="10"/>
  <c r="CL416" i="10" s="1"/>
  <c r="CM416" i="10" s="1"/>
  <c r="BS416" i="10"/>
  <c r="BT416" i="10" s="1"/>
  <c r="BU416" i="10" s="1"/>
  <c r="BV416" i="10" s="1" a="1"/>
  <c r="BV416" i="10" s="1"/>
  <c r="BJ415" i="10"/>
  <c r="AO415" i="10"/>
  <c r="CF412" i="10"/>
  <c r="CL412" i="10" s="1"/>
  <c r="CM412" i="10" s="1"/>
  <c r="BS412" i="10"/>
  <c r="BT412" i="10" s="1"/>
  <c r="BU412" i="10" s="1"/>
  <c r="BJ411" i="10"/>
  <c r="AO411" i="10"/>
  <c r="CF408" i="10"/>
  <c r="CL408" i="10" s="1"/>
  <c r="CM408" i="10" s="1"/>
  <c r="BS408" i="10"/>
  <c r="BT408" i="10" s="1"/>
  <c r="BU408" i="10" s="1"/>
  <c r="BV408" i="10" s="1" a="1"/>
  <c r="BV408" i="10" s="1"/>
  <c r="BJ407" i="10"/>
  <c r="AO407" i="10"/>
  <c r="BH405" i="10"/>
  <c r="CH405" i="10" s="1"/>
  <c r="BX400" i="10"/>
  <c r="BY400" i="10" s="1"/>
  <c r="CS391" i="10"/>
  <c r="BG387" i="10"/>
  <c r="BH386" i="10"/>
  <c r="BG386" i="10"/>
  <c r="BW383" i="10"/>
  <c r="CD383" i="10" a="1"/>
  <c r="CD383" i="10" s="1"/>
  <c r="CK383" i="10"/>
  <c r="AO383" i="10"/>
  <c r="BJ383" i="10"/>
  <c r="BE383" i="10" a="1"/>
  <c r="BE383" i="10" s="1"/>
  <c r="CS383" i="10"/>
  <c r="BS383" i="10"/>
  <c r="CF383" i="10"/>
  <c r="A383" i="10"/>
  <c r="CO383" i="10"/>
  <c r="CP380" i="10"/>
  <c r="CQ380" i="10" s="1"/>
  <c r="BG379" i="10"/>
  <c r="CT376" i="10"/>
  <c r="CU376" i="10" s="1"/>
  <c r="CS416" i="10"/>
  <c r="CT416" i="10" s="1"/>
  <c r="CU416" i="10" s="1"/>
  <c r="CW416" i="10" s="1" a="1"/>
  <c r="CW416" i="10" s="1"/>
  <c r="CK415" i="10"/>
  <c r="CD415" i="10" a="1"/>
  <c r="CD415" i="10" s="1"/>
  <c r="CS412" i="10"/>
  <c r="CK411" i="10"/>
  <c r="CD411" i="10" a="1"/>
  <c r="CD411" i="10" s="1"/>
  <c r="CS408" i="10"/>
  <c r="CT408" i="10" s="1"/>
  <c r="CU408" i="10" s="1"/>
  <c r="CK407" i="10"/>
  <c r="CD407" i="10" a="1"/>
  <c r="CD407" i="10" s="1"/>
  <c r="CS405" i="10"/>
  <c r="CT405" i="10" s="1"/>
  <c r="CU405" i="10" s="1"/>
  <c r="BW403" i="10"/>
  <c r="BX403" i="10" s="1"/>
  <c r="BY403" i="10" s="1"/>
  <c r="BH403" i="10"/>
  <c r="CL403" i="10" s="1"/>
  <c r="CM403" i="10" s="1"/>
  <c r="BW399" i="10"/>
  <c r="BH399" i="10"/>
  <c r="BP399" i="10" s="1"/>
  <c r="BQ399" i="10" s="1"/>
  <c r="BW395" i="10"/>
  <c r="BH395" i="10"/>
  <c r="CH395" i="10" s="1"/>
  <c r="CI395" i="10" s="1"/>
  <c r="BW390" i="10"/>
  <c r="BH390" i="10"/>
  <c r="CL390" i="10" s="1"/>
  <c r="CM390" i="10" s="1"/>
  <c r="BF384" i="10"/>
  <c r="CL380" i="10"/>
  <c r="CM380" i="10" s="1"/>
  <c r="BF373" i="10"/>
  <c r="CE368" i="10"/>
  <c r="BF353" i="10"/>
  <c r="BF335" i="10"/>
  <c r="BX335" i="10" s="1"/>
  <c r="BY335" i="10"/>
  <c r="CI405" i="10"/>
  <c r="CJ405" i="10" s="1" a="1"/>
  <c r="CJ405" i="10" s="1"/>
  <c r="BF403" i="10"/>
  <c r="BG402" i="10"/>
  <c r="BU401" i="10"/>
  <c r="BV401" i="10" s="1" a="1"/>
  <c r="BV401" i="10" s="1"/>
  <c r="BQ401" i="10"/>
  <c r="BF399" i="10"/>
  <c r="BG398" i="10"/>
  <c r="BM397" i="10"/>
  <c r="BF395" i="10"/>
  <c r="BG394" i="10"/>
  <c r="BU393" i="10"/>
  <c r="BM393" i="10"/>
  <c r="BW387" i="10"/>
  <c r="CD387" i="10" a="1"/>
  <c r="CD387" i="10" s="1"/>
  <c r="CK387" i="10"/>
  <c r="AO387" i="10"/>
  <c r="BJ387" i="10"/>
  <c r="BS387" i="10"/>
  <c r="CF387" i="10"/>
  <c r="A387" i="10"/>
  <c r="CO387" i="10"/>
  <c r="BG384" i="10"/>
  <c r="BX384" i="10" s="1"/>
  <c r="BY384" i="10" s="1"/>
  <c r="BH384" i="10"/>
  <c r="CP384" i="10" s="1"/>
  <c r="CQ384" i="10" s="1"/>
  <c r="CE382" i="10"/>
  <c r="BF380" i="10"/>
  <c r="BX380" i="10" s="1"/>
  <c r="BY380" i="10" s="1"/>
  <c r="BW379" i="10"/>
  <c r="CD379" i="10" a="1"/>
  <c r="CD379" i="10" s="1"/>
  <c r="CK379" i="10"/>
  <c r="AO379" i="10"/>
  <c r="BJ379" i="10"/>
  <c r="BE379" i="10" a="1"/>
  <c r="BE379" i="10" s="1"/>
  <c r="CS379" i="10"/>
  <c r="BS379" i="10"/>
  <c r="CF379" i="10"/>
  <c r="A379" i="10"/>
  <c r="CO379" i="10"/>
  <c r="CP376" i="10"/>
  <c r="CQ376" i="10" s="1"/>
  <c r="BF343" i="10"/>
  <c r="BJ404" i="10"/>
  <c r="BX404" i="10" s="1"/>
  <c r="BY404" i="10" s="1"/>
  <c r="AO404" i="10"/>
  <c r="BJ400" i="10"/>
  <c r="AO400" i="10"/>
  <c r="BJ396" i="10"/>
  <c r="BX396" i="10" s="1"/>
  <c r="BY396" i="10" s="1"/>
  <c r="AO396" i="10"/>
  <c r="BZ393" i="10" a="1"/>
  <c r="BZ393" i="10" s="1"/>
  <c r="BJ392" i="10"/>
  <c r="BX392" i="10" s="1"/>
  <c r="BY392" i="10" s="1"/>
  <c r="AO392" i="10"/>
  <c r="BJ388" i="10"/>
  <c r="BX388" i="10" s="1"/>
  <c r="BY388" i="10" s="1"/>
  <c r="AO388" i="10"/>
  <c r="CO386" i="10"/>
  <c r="CF385" i="10"/>
  <c r="BS385" i="10"/>
  <c r="BT385" i="10" s="1"/>
  <c r="BU385" i="10" s="1"/>
  <c r="BJ384" i="10"/>
  <c r="AO384" i="10"/>
  <c r="CO382" i="10"/>
  <c r="BG382" i="10"/>
  <c r="CF381" i="10"/>
  <c r="BS381" i="10"/>
  <c r="BT381" i="10" s="1"/>
  <c r="BU381" i="10" s="1"/>
  <c r="CO378" i="10"/>
  <c r="BG378" i="10"/>
  <c r="CF377" i="10"/>
  <c r="BS377" i="10"/>
  <c r="BT377" i="10" s="1"/>
  <c r="BU377" i="10" s="1"/>
  <c r="CO374" i="10"/>
  <c r="BG374" i="10"/>
  <c r="CF373" i="10"/>
  <c r="BS373" i="10"/>
  <c r="CR370" i="10" a="1"/>
  <c r="CR370" i="10" s="1"/>
  <c r="CH370" i="10"/>
  <c r="CI370" i="10" s="1"/>
  <c r="BX370" i="10"/>
  <c r="BY370" i="10" s="1"/>
  <c r="CK369" i="10"/>
  <c r="CL369" i="10" s="1"/>
  <c r="CM369" i="10" s="1"/>
  <c r="BO369" i="10"/>
  <c r="CF368" i="10"/>
  <c r="CH368" i="10" s="1"/>
  <c r="CI368" i="10" s="1"/>
  <c r="CJ368" i="10" s="1" a="1"/>
  <c r="CJ368" i="10" s="1"/>
  <c r="BS368" i="10"/>
  <c r="BE367" i="10" a="1"/>
  <c r="BE367" i="10" s="1"/>
  <c r="A363" i="10"/>
  <c r="BG363" i="10"/>
  <c r="CO363" i="10"/>
  <c r="BW363" i="10"/>
  <c r="CD363" i="10" a="1"/>
  <c r="CD363" i="10" s="1"/>
  <c r="CK363" i="10"/>
  <c r="AO363" i="10"/>
  <c r="BJ363" i="10"/>
  <c r="BS363" i="10"/>
  <c r="CF363" i="10"/>
  <c r="BW361" i="10"/>
  <c r="CD361" i="10" a="1"/>
  <c r="CD361" i="10" s="1"/>
  <c r="CK361" i="10"/>
  <c r="AO361" i="10"/>
  <c r="BJ361" i="10"/>
  <c r="BS361" i="10"/>
  <c r="CF361" i="10"/>
  <c r="A361" i="10"/>
  <c r="CO361" i="10"/>
  <c r="BH360" i="10"/>
  <c r="BG360" i="10"/>
  <c r="CE352" i="10"/>
  <c r="BW349" i="10"/>
  <c r="CD349" i="10" a="1"/>
  <c r="CD349" i="10" s="1"/>
  <c r="CK349" i="10"/>
  <c r="AO349" i="10"/>
  <c r="BJ349" i="10"/>
  <c r="BE349" i="10" a="1"/>
  <c r="BE349" i="10" s="1"/>
  <c r="CS349" i="10"/>
  <c r="BS349" i="10"/>
  <c r="CF349" i="10"/>
  <c r="A349" i="10"/>
  <c r="BG349" i="10"/>
  <c r="CO349" i="10"/>
  <c r="BF338" i="10"/>
  <c r="CE335" i="10"/>
  <c r="BL335" i="10"/>
  <c r="BM335" i="10" s="1"/>
  <c r="BN335" i="10" s="1" a="1"/>
  <c r="BN335" i="10" s="1"/>
  <c r="CF386" i="10"/>
  <c r="BS386" i="10"/>
  <c r="BJ385" i="10"/>
  <c r="BL385" i="10" s="1"/>
  <c r="BM385" i="10" s="1"/>
  <c r="BN385" i="10" s="1" a="1"/>
  <c r="BN385" i="10" s="1"/>
  <c r="AO385" i="10"/>
  <c r="CF382" i="10"/>
  <c r="BS382" i="10"/>
  <c r="BJ381" i="10"/>
  <c r="BL381" i="10" s="1"/>
  <c r="BM381" i="10" s="1"/>
  <c r="AO381" i="10"/>
  <c r="BN381" i="10" s="1" a="1"/>
  <c r="BN381" i="10" s="1"/>
  <c r="CF378" i="10"/>
  <c r="CL378" i="10" s="1"/>
  <c r="CM378" i="10" s="1"/>
  <c r="BS378" i="10"/>
  <c r="BJ377" i="10"/>
  <c r="BL377" i="10" s="1"/>
  <c r="BM377" i="10" s="1"/>
  <c r="AO377" i="10"/>
  <c r="CF374" i="10"/>
  <c r="BS374" i="10"/>
  <c r="BJ373" i="10"/>
  <c r="AO373" i="10"/>
  <c r="AO372" i="10"/>
  <c r="CP370" i="10"/>
  <c r="CQ370" i="10" s="1"/>
  <c r="CV370" i="10" s="1" a="1"/>
  <c r="CV370" i="10" s="1"/>
  <c r="BN370" i="10" a="1"/>
  <c r="BN370" i="10" s="1"/>
  <c r="CE364" i="10"/>
  <c r="A359" i="10"/>
  <c r="BG359" i="10"/>
  <c r="CO359" i="10"/>
  <c r="BW359" i="10"/>
  <c r="CD359" i="10" a="1"/>
  <c r="CD359" i="10" s="1"/>
  <c r="CK359" i="10"/>
  <c r="AO359" i="10"/>
  <c r="BJ359" i="10"/>
  <c r="BS359" i="10"/>
  <c r="CF359" i="10"/>
  <c r="BW357" i="10"/>
  <c r="CD357" i="10" a="1"/>
  <c r="CD357" i="10" s="1"/>
  <c r="CK357" i="10"/>
  <c r="AO357" i="10"/>
  <c r="BJ357" i="10"/>
  <c r="BP357" i="10" s="1"/>
  <c r="BQ357" i="10" s="1"/>
  <c r="BS357" i="10"/>
  <c r="CF357" i="10"/>
  <c r="A357" i="10"/>
  <c r="BG357" i="10"/>
  <c r="CO357" i="10"/>
  <c r="BH356" i="10"/>
  <c r="BG356" i="10"/>
  <c r="CE350" i="10"/>
  <c r="BG350" i="10"/>
  <c r="CL350" i="10" s="1"/>
  <c r="CM350" i="10" s="1"/>
  <c r="BH350" i="10"/>
  <c r="BO349" i="10"/>
  <c r="CE341" i="10"/>
  <c r="BF336" i="10"/>
  <c r="CE331" i="10"/>
  <c r="BW324" i="10"/>
  <c r="CD324" i="10" a="1"/>
  <c r="CD324" i="10" s="1"/>
  <c r="CK324" i="10"/>
  <c r="AO324" i="10"/>
  <c r="BJ324" i="10"/>
  <c r="BE324" i="10" a="1"/>
  <c r="BE324" i="10" s="1"/>
  <c r="CS324" i="10"/>
  <c r="A324" i="10"/>
  <c r="BG324" i="10"/>
  <c r="CO324" i="10"/>
  <c r="CF324" i="10"/>
  <c r="BO324" i="10"/>
  <c r="BF314" i="10"/>
  <c r="CS386" i="10"/>
  <c r="CT386" i="10" s="1"/>
  <c r="CU386" i="10" s="1"/>
  <c r="BE386" i="10" a="1"/>
  <c r="BE386" i="10" s="1"/>
  <c r="CK385" i="10"/>
  <c r="CD385" i="10" a="1"/>
  <c r="CD385" i="10" s="1"/>
  <c r="BW385" i="10"/>
  <c r="BX385" i="10" s="1"/>
  <c r="BY385" i="10" s="1"/>
  <c r="BZ385" i="10" s="1" a="1"/>
  <c r="BZ385" i="10" s="1"/>
  <c r="CS382" i="10"/>
  <c r="CT382" i="10" s="1"/>
  <c r="CU382" i="10" s="1"/>
  <c r="BE382" i="10" a="1"/>
  <c r="BE382" i="10" s="1"/>
  <c r="CK381" i="10"/>
  <c r="CD381" i="10" a="1"/>
  <c r="CD381" i="10" s="1"/>
  <c r="BW381" i="10"/>
  <c r="BX381" i="10" s="1"/>
  <c r="BY381" i="10" s="1"/>
  <c r="CS378" i="10"/>
  <c r="CT378" i="10" s="1"/>
  <c r="CU378" i="10" s="1"/>
  <c r="BE378" i="10" a="1"/>
  <c r="BE378" i="10" s="1"/>
  <c r="CK377" i="10"/>
  <c r="CD377" i="10" a="1"/>
  <c r="CD377" i="10" s="1"/>
  <c r="BW377" i="10"/>
  <c r="BX377" i="10" s="1"/>
  <c r="BY377" i="10" s="1"/>
  <c r="CS374" i="10"/>
  <c r="CT374" i="10" s="1"/>
  <c r="CU374" i="10" s="1"/>
  <c r="BE374" i="10" a="1"/>
  <c r="BE374" i="10" s="1"/>
  <c r="CK373" i="10"/>
  <c r="CD373" i="10" a="1"/>
  <c r="CD373" i="10" s="1"/>
  <c r="BW373" i="10"/>
  <c r="BW372" i="10"/>
  <c r="BG372" i="10"/>
  <c r="CO371" i="10"/>
  <c r="BW371" i="10"/>
  <c r="BX371" i="10" s="1"/>
  <c r="BY371" i="10" s="1"/>
  <c r="CD371" i="10" a="1"/>
  <c r="CD371" i="10" s="1"/>
  <c r="CK371" i="10"/>
  <c r="BS371" i="10"/>
  <c r="BT371" i="10" s="1"/>
  <c r="CF371" i="10"/>
  <c r="BT370" i="10"/>
  <c r="BU370" i="10" s="1"/>
  <c r="BV370" i="10" s="1" a="1"/>
  <c r="BV370" i="10" s="1"/>
  <c r="CD365" i="10" a="1"/>
  <c r="CD365" i="10" s="1"/>
  <c r="AO364" i="10"/>
  <c r="BJ364" i="10"/>
  <c r="BE364" i="10" a="1"/>
  <c r="BE364" i="10" s="1"/>
  <c r="CS364" i="10"/>
  <c r="CT364" i="10" s="1"/>
  <c r="CU364" i="10" s="1"/>
  <c r="CO364" i="10"/>
  <c r="CP364" i="10" s="1"/>
  <c r="CQ364" i="10" s="1"/>
  <c r="BG362" i="10"/>
  <c r="BX362" i="10" s="1"/>
  <c r="BY362" i="10" s="1"/>
  <c r="BH362" i="10"/>
  <c r="BO359" i="10"/>
  <c r="CE354" i="10"/>
  <c r="BF351" i="10"/>
  <c r="CE348" i="10"/>
  <c r="AO340" i="10"/>
  <c r="BJ340" i="10"/>
  <c r="CO340" i="10"/>
  <c r="CD340" i="10" a="1"/>
  <c r="CD340" i="10" s="1"/>
  <c r="BE340" i="10" a="1"/>
  <c r="BE340" i="10" s="1"/>
  <c r="BO340" i="10"/>
  <c r="BW340" i="10"/>
  <c r="CF340" i="10"/>
  <c r="A340" i="10"/>
  <c r="CS340" i="10"/>
  <c r="BS339" i="10"/>
  <c r="CF339" i="10"/>
  <c r="BJ339" i="10"/>
  <c r="AO339" i="10"/>
  <c r="CD339" i="10" a="1"/>
  <c r="CD339" i="10" s="1"/>
  <c r="BE339" i="10" a="1"/>
  <c r="BE339" i="10" s="1"/>
  <c r="BW339" i="10"/>
  <c r="CO339" i="10"/>
  <c r="BO339" i="10"/>
  <c r="CK339" i="10"/>
  <c r="CS339" i="10"/>
  <c r="CO404" i="10"/>
  <c r="CO400" i="10"/>
  <c r="CO396" i="10"/>
  <c r="CO392" i="10"/>
  <c r="BJ386" i="10"/>
  <c r="BJ382" i="10"/>
  <c r="BJ378" i="10"/>
  <c r="BJ374" i="10"/>
  <c r="CF372" i="10"/>
  <c r="BJ372" i="10"/>
  <c r="AO369" i="10"/>
  <c r="BJ369" i="10"/>
  <c r="BX369" i="10" s="1"/>
  <c r="BY369" i="10" s="1"/>
  <c r="A369" i="10"/>
  <c r="AO368" i="10"/>
  <c r="BJ368" i="10"/>
  <c r="BE368" i="10" a="1"/>
  <c r="BE368" i="10" s="1"/>
  <c r="CS368" i="10"/>
  <c r="CT368" i="10" s="1"/>
  <c r="CU368" i="10" s="1"/>
  <c r="CO368" i="10"/>
  <c r="CP368" i="10" s="1"/>
  <c r="CQ368" i="10" s="1"/>
  <c r="BG367" i="10"/>
  <c r="CO367" i="10"/>
  <c r="BW367" i="10"/>
  <c r="CD367" i="10" a="1"/>
  <c r="CD367" i="10" s="1"/>
  <c r="CK367" i="10"/>
  <c r="BS367" i="10"/>
  <c r="CF367" i="10"/>
  <c r="BG366" i="10"/>
  <c r="CP366" i="10" s="1"/>
  <c r="CQ366" i="10" s="1"/>
  <c r="BH366" i="10"/>
  <c r="A355" i="10"/>
  <c r="BG355" i="10"/>
  <c r="CO355" i="10"/>
  <c r="BW355" i="10"/>
  <c r="CD355" i="10" a="1"/>
  <c r="CD355" i="10" s="1"/>
  <c r="CK355" i="10"/>
  <c r="AO355" i="10"/>
  <c r="BJ355" i="10"/>
  <c r="BS355" i="10"/>
  <c r="CF355" i="10"/>
  <c r="BW353" i="10"/>
  <c r="CD353" i="10" a="1"/>
  <c r="CD353" i="10" s="1"/>
  <c r="CK353" i="10"/>
  <c r="AO353" i="10"/>
  <c r="BJ353" i="10"/>
  <c r="BS353" i="10"/>
  <c r="BT353" i="10" s="1"/>
  <c r="BU353" i="10" s="1"/>
  <c r="CF353" i="10"/>
  <c r="A353" i="10"/>
  <c r="BG353" i="10"/>
  <c r="CO353" i="10"/>
  <c r="BW345" i="10"/>
  <c r="CD345" i="10" a="1"/>
  <c r="CD345" i="10" s="1"/>
  <c r="CK345" i="10"/>
  <c r="AO345" i="10"/>
  <c r="BJ345" i="10"/>
  <c r="BE345" i="10" a="1"/>
  <c r="BE345" i="10" s="1"/>
  <c r="CS345" i="10"/>
  <c r="BS345" i="10"/>
  <c r="CF345" i="10"/>
  <c r="A345" i="10"/>
  <c r="BG345" i="10"/>
  <c r="CO345" i="10"/>
  <c r="BF342" i="10"/>
  <c r="CE338" i="10"/>
  <c r="BE372" i="10" a="1"/>
  <c r="BE372" i="10" s="1"/>
  <c r="CS372" i="10"/>
  <c r="CO372" i="10"/>
  <c r="CN370" i="10" a="1"/>
  <c r="CN370" i="10" s="1"/>
  <c r="CJ370" i="10" a="1"/>
  <c r="CJ370" i="10" s="1"/>
  <c r="BR370" i="10" a="1"/>
  <c r="BR370" i="10" s="1"/>
  <c r="CU369" i="10"/>
  <c r="CW369" i="10" s="1" a="1"/>
  <c r="CW369" i="10" s="1"/>
  <c r="CQ369" i="10"/>
  <c r="CR369" i="10" s="1" a="1"/>
  <c r="CR369" i="10" s="1"/>
  <c r="BT369" i="10"/>
  <c r="BU369" i="10" s="1"/>
  <c r="CL368" i="10"/>
  <c r="CM368" i="10" s="1"/>
  <c r="CN368" i="10" s="1" a="1"/>
  <c r="CN368" i="10" s="1"/>
  <c r="BX366" i="10"/>
  <c r="BY366" i="10" s="1"/>
  <c r="BF363" i="10"/>
  <c r="BF361" i="10"/>
  <c r="CE360" i="10"/>
  <c r="CL360" i="10" s="1"/>
  <c r="CM360" i="10" s="1"/>
  <c r="BG358" i="10"/>
  <c r="CT358" i="10" s="1"/>
  <c r="CU358" i="10" s="1"/>
  <c r="BH358" i="10"/>
  <c r="BP355" i="10"/>
  <c r="BQ355" i="10" s="1"/>
  <c r="CT350" i="10"/>
  <c r="CU350" i="10" s="1"/>
  <c r="BF346" i="10"/>
  <c r="BT335" i="10"/>
  <c r="BU335" i="10" s="1"/>
  <c r="BF334" i="10"/>
  <c r="CF404" i="10"/>
  <c r="CL404" i="10" s="1"/>
  <c r="CM404" i="10" s="1"/>
  <c r="CF400" i="10"/>
  <c r="CL400" i="10" s="1"/>
  <c r="CM400" i="10" s="1"/>
  <c r="CF396" i="10"/>
  <c r="CL396" i="10" s="1"/>
  <c r="CM396" i="10" s="1"/>
  <c r="CF392" i="10"/>
  <c r="CL392" i="10" s="1"/>
  <c r="CM392" i="10" s="1"/>
  <c r="CF388" i="10"/>
  <c r="CT388" i="10" s="1"/>
  <c r="CU388" i="10" s="1"/>
  <c r="CO385" i="10"/>
  <c r="CF384" i="10"/>
  <c r="CL384" i="10" s="1"/>
  <c r="CM384" i="10" s="1"/>
  <c r="CW382" i="10" a="1"/>
  <c r="CW382" i="10" s="1"/>
  <c r="CO381" i="10"/>
  <c r="CW378" i="10" a="1"/>
  <c r="CW378" i="10" s="1"/>
  <c r="CO377" i="10"/>
  <c r="CW374" i="10" a="1"/>
  <c r="CW374" i="10" s="1"/>
  <c r="CO373" i="10"/>
  <c r="BG373" i="10"/>
  <c r="CD372" i="10" a="1"/>
  <c r="CD372" i="10" s="1"/>
  <c r="BS372" i="10"/>
  <c r="CT366" i="10"/>
  <c r="CU366" i="10" s="1"/>
  <c r="BL365" i="10"/>
  <c r="BM365" i="10" s="1"/>
  <c r="AO365" i="10"/>
  <c r="BJ365" i="10"/>
  <c r="BP365" i="10" s="1"/>
  <c r="BQ365" i="10" s="1"/>
  <c r="BR365" i="10" s="1" a="1"/>
  <c r="BR365" i="10" s="1"/>
  <c r="BS365" i="10"/>
  <c r="CF365" i="10"/>
  <c r="A365" i="10"/>
  <c r="CL364" i="10"/>
  <c r="CM364" i="10" s="1"/>
  <c r="BG361" i="10"/>
  <c r="BP361" i="10" s="1"/>
  <c r="BQ361" i="10" s="1"/>
  <c r="CL358" i="10"/>
  <c r="CM358" i="10" s="1"/>
  <c r="CE346" i="10"/>
  <c r="BG346" i="10"/>
  <c r="BH346" i="10"/>
  <c r="BO345" i="10"/>
  <c r="CE344" i="10"/>
  <c r="BT327" i="10"/>
  <c r="BX327" i="10"/>
  <c r="BU371" i="10"/>
  <c r="BV371" i="10" s="1" a="1"/>
  <c r="BV371" i="10" s="1"/>
  <c r="BQ371" i="10"/>
  <c r="BR371" i="10" s="1" a="1"/>
  <c r="BR371" i="10" s="1"/>
  <c r="BM371" i="10"/>
  <c r="BN371" i="10" s="1" a="1"/>
  <c r="BN371" i="10" s="1"/>
  <c r="CH369" i="10"/>
  <c r="CI369" i="10" s="1"/>
  <c r="CN369" i="10" s="1" a="1"/>
  <c r="CN369" i="10" s="1"/>
  <c r="BX365" i="10"/>
  <c r="BY365" i="10" s="1"/>
  <c r="CA365" i="10" s="1" a="1"/>
  <c r="CA365" i="10" s="1"/>
  <c r="CE362" i="10"/>
  <c r="CP362" i="10" s="1"/>
  <c r="CQ362" i="10" s="1"/>
  <c r="BF359" i="10"/>
  <c r="BF357" i="10"/>
  <c r="CE356" i="10"/>
  <c r="CL356" i="10" s="1"/>
  <c r="CM356" i="10" s="1"/>
  <c r="BG354" i="10"/>
  <c r="BH354" i="10"/>
  <c r="CP350" i="10"/>
  <c r="CQ350" i="10" s="1"/>
  <c r="CR350" i="10" s="1" a="1"/>
  <c r="CR350" i="10" s="1"/>
  <c r="BF347" i="10"/>
  <c r="CE334" i="10"/>
  <c r="BF325" i="10"/>
  <c r="BF323" i="10"/>
  <c r="BJ362" i="10"/>
  <c r="CO360" i="10"/>
  <c r="CP360" i="10" s="1"/>
  <c r="CQ360" i="10" s="1"/>
  <c r="CR360" i="10" s="1" a="1"/>
  <c r="CR360" i="10" s="1"/>
  <c r="BJ358" i="10"/>
  <c r="CO356" i="10"/>
  <c r="CP356" i="10" s="1"/>
  <c r="CQ356" i="10" s="1"/>
  <c r="CR356" i="10" s="1" a="1"/>
  <c r="CR356" i="10" s="1"/>
  <c r="BJ354" i="10"/>
  <c r="CO352" i="10"/>
  <c r="CP352" i="10" s="1"/>
  <c r="CQ352" i="10" s="1"/>
  <c r="BG352" i="10"/>
  <c r="CF351" i="10"/>
  <c r="BS351" i="10"/>
  <c r="BJ350" i="10"/>
  <c r="BX350" i="10" s="1"/>
  <c r="BY350" i="10" s="1"/>
  <c r="CO348" i="10"/>
  <c r="CP348" i="10" s="1"/>
  <c r="CQ348" i="10" s="1"/>
  <c r="BG348" i="10"/>
  <c r="CF347" i="10"/>
  <c r="BS347" i="10"/>
  <c r="BJ346" i="10"/>
  <c r="CO344" i="10"/>
  <c r="CF342" i="10"/>
  <c r="BW342" i="10"/>
  <c r="BE341" i="10" a="1"/>
  <c r="BE341" i="10" s="1"/>
  <c r="CO337" i="10"/>
  <c r="CD337" i="10" a="1"/>
  <c r="CD337" i="10" s="1"/>
  <c r="BP335" i="10"/>
  <c r="BQ335" i="10" s="1"/>
  <c r="BR335" i="10" s="1" a="1"/>
  <c r="BR335" i="10" s="1"/>
  <c r="CP331" i="10"/>
  <c r="CQ331" i="10" s="1"/>
  <c r="CR331" i="10" s="1" a="1"/>
  <c r="CR331" i="10" s="1"/>
  <c r="BF330" i="10"/>
  <c r="CE329" i="10"/>
  <c r="BL327" i="10"/>
  <c r="BP325" i="10"/>
  <c r="BQ325" i="10" s="1"/>
  <c r="BR325" i="10" s="1" a="1"/>
  <c r="BR325" i="10" s="1"/>
  <c r="BG321" i="10"/>
  <c r="BX319" i="10"/>
  <c r="BF291" i="10"/>
  <c r="BF283" i="10"/>
  <c r="BJ351" i="10"/>
  <c r="AO351" i="10"/>
  <c r="BJ347" i="10"/>
  <c r="AO347" i="10"/>
  <c r="CF344" i="10"/>
  <c r="BS344" i="10"/>
  <c r="BE344" i="10" a="1"/>
  <c r="BE344" i="10" s="1"/>
  <c r="CO343" i="10"/>
  <c r="BJ343" i="10"/>
  <c r="AO343" i="10"/>
  <c r="BH338" i="10"/>
  <c r="BX338" i="10" s="1"/>
  <c r="BY338" i="10" s="1"/>
  <c r="BG334" i="10"/>
  <c r="BH334" i="10"/>
  <c r="CD333" i="10" a="1"/>
  <c r="CD333" i="10" s="1"/>
  <c r="AO333" i="10"/>
  <c r="BW332" i="10"/>
  <c r="CD332" i="10" a="1"/>
  <c r="CD332" i="10" s="1"/>
  <c r="CK332" i="10"/>
  <c r="AO332" i="10"/>
  <c r="BJ332" i="10"/>
  <c r="BE332" i="10" a="1"/>
  <c r="BE332" i="10" s="1"/>
  <c r="CS332" i="10"/>
  <c r="BG332" i="10"/>
  <c r="CO332" i="10"/>
  <c r="A332" i="10"/>
  <c r="CT323" i="10"/>
  <c r="CU323" i="10" s="1"/>
  <c r="CE323" i="10"/>
  <c r="BP323" i="10"/>
  <c r="BQ323" i="10" s="1"/>
  <c r="BR323" i="10" s="1" a="1"/>
  <c r="BR323" i="10" s="1"/>
  <c r="BF318" i="10"/>
  <c r="BX318" i="10" s="1"/>
  <c r="BY318" i="10" s="1"/>
  <c r="BG317" i="10"/>
  <c r="BH317" i="10"/>
  <c r="BG308" i="10"/>
  <c r="CO308" i="10"/>
  <c r="BW308" i="10"/>
  <c r="CD308" i="10" a="1"/>
  <c r="CD308" i="10" s="1"/>
  <c r="CK308" i="10"/>
  <c r="BS308" i="10"/>
  <c r="CF308" i="10"/>
  <c r="A308" i="10"/>
  <c r="AO308" i="10"/>
  <c r="BE308" i="10" a="1"/>
  <c r="BE308" i="10" s="1"/>
  <c r="BO308" i="10"/>
  <c r="CS308" i="10"/>
  <c r="BJ308" i="10"/>
  <c r="CS360" i="10"/>
  <c r="CT360" i="10" s="1"/>
  <c r="CU360" i="10" s="1"/>
  <c r="CV360" i="10" s="1" a="1"/>
  <c r="CV360" i="10" s="1"/>
  <c r="BE360" i="10" a="1"/>
  <c r="BE360" i="10" s="1"/>
  <c r="CS356" i="10"/>
  <c r="CT356" i="10" s="1"/>
  <c r="CU356" i="10" s="1"/>
  <c r="CW356" i="10" s="1" a="1"/>
  <c r="CW356" i="10" s="1"/>
  <c r="BE356" i="10" a="1"/>
  <c r="BE356" i="10" s="1"/>
  <c r="CS352" i="10"/>
  <c r="CT352" i="10" s="1"/>
  <c r="CU352" i="10" s="1"/>
  <c r="BE352" i="10" a="1"/>
  <c r="BE352" i="10" s="1"/>
  <c r="CK351" i="10"/>
  <c r="CD351" i="10" a="1"/>
  <c r="CD351" i="10" s="1"/>
  <c r="BW351" i="10"/>
  <c r="CS348" i="10"/>
  <c r="CT348" i="10" s="1"/>
  <c r="CU348" i="10" s="1"/>
  <c r="BE348" i="10" a="1"/>
  <c r="BE348" i="10" s="1"/>
  <c r="CK347" i="10"/>
  <c r="CD347" i="10" a="1"/>
  <c r="CD347" i="10" s="1"/>
  <c r="BW347" i="10"/>
  <c r="CF343" i="10"/>
  <c r="CS341" i="10"/>
  <c r="CK341" i="10"/>
  <c r="CK337" i="10"/>
  <c r="BO337" i="10"/>
  <c r="BO333" i="10"/>
  <c r="CL331" i="10"/>
  <c r="CM331" i="10" s="1"/>
  <c r="BP331" i="10"/>
  <c r="BQ331" i="10" s="1"/>
  <c r="BM331" i="10"/>
  <c r="BN331" i="10" s="1" a="1"/>
  <c r="BN331" i="10" s="1"/>
  <c r="BU331" i="10"/>
  <c r="BF326" i="10"/>
  <c r="CE325" i="10"/>
  <c r="BL323" i="10"/>
  <c r="BM323" i="10" s="1"/>
  <c r="BN323" i="10" s="1" a="1"/>
  <c r="BN323" i="10" s="1"/>
  <c r="CE313" i="10"/>
  <c r="BJ360" i="10"/>
  <c r="BJ356" i="10"/>
  <c r="BJ352" i="10"/>
  <c r="CO342" i="10"/>
  <c r="AO342" i="10"/>
  <c r="BJ342" i="10"/>
  <c r="BS341" i="10"/>
  <c r="CF341" i="10"/>
  <c r="CH341" i="10" s="1"/>
  <c r="CI341" i="10" s="1"/>
  <c r="CJ341" i="10" s="1" a="1"/>
  <c r="CJ341" i="10" s="1"/>
  <c r="A341" i="10"/>
  <c r="BW336" i="10"/>
  <c r="CD336" i="10" a="1"/>
  <c r="CD336" i="10" s="1"/>
  <c r="CK336" i="10"/>
  <c r="AO336" i="10"/>
  <c r="BJ336" i="10"/>
  <c r="BP336" i="10" s="1"/>
  <c r="BQ336" i="10" s="1"/>
  <c r="CO336" i="10"/>
  <c r="A336" i="10"/>
  <c r="CO333" i="10"/>
  <c r="CP323" i="10"/>
  <c r="CQ323" i="10" s="1"/>
  <c r="BF321" i="10"/>
  <c r="BP321" i="10" s="1"/>
  <c r="BQ321" i="10" s="1"/>
  <c r="BW320" i="10"/>
  <c r="CD320" i="10" a="1"/>
  <c r="CD320" i="10" s="1"/>
  <c r="CK320" i="10"/>
  <c r="AO320" i="10"/>
  <c r="BJ320" i="10"/>
  <c r="BE320" i="10" a="1"/>
  <c r="BE320" i="10" s="1"/>
  <c r="CS320" i="10"/>
  <c r="A320" i="10"/>
  <c r="BG320" i="10"/>
  <c r="CO320" i="10"/>
  <c r="BY319" i="10"/>
  <c r="CA319" i="10" s="1" a="1"/>
  <c r="CA319" i="10" s="1"/>
  <c r="BU319" i="10"/>
  <c r="AO344" i="10"/>
  <c r="BJ344" i="10"/>
  <c r="CH338" i="10"/>
  <c r="CI338" i="10" s="1"/>
  <c r="CL334" i="10"/>
  <c r="CM334" i="10" s="1"/>
  <c r="BE333" i="10" a="1"/>
  <c r="BE333" i="10" s="1"/>
  <c r="CS333" i="10"/>
  <c r="BS333" i="10"/>
  <c r="CF333" i="10"/>
  <c r="A333" i="10"/>
  <c r="BX325" i="10"/>
  <c r="BY325" i="10" s="1"/>
  <c r="BL325" i="10"/>
  <c r="BM325" i="10" s="1"/>
  <c r="BN325" i="10" s="1" a="1"/>
  <c r="BN325" i="10" s="1"/>
  <c r="CE319" i="10"/>
  <c r="CL319" i="10" s="1"/>
  <c r="CM319" i="10" s="1"/>
  <c r="BP319" i="10"/>
  <c r="BQ319" i="10" s="1"/>
  <c r="BR319" i="10" s="1" a="1"/>
  <c r="BR319" i="10" s="1"/>
  <c r="BF315" i="10"/>
  <c r="BF302" i="10"/>
  <c r="BH301" i="10"/>
  <c r="BG301" i="10"/>
  <c r="BF295" i="10"/>
  <c r="BF287" i="10"/>
  <c r="CO351" i="10"/>
  <c r="BG351" i="10"/>
  <c r="CW348" i="10" a="1"/>
  <c r="CW348" i="10" s="1"/>
  <c r="CO347" i="10"/>
  <c r="BG347" i="10"/>
  <c r="CS343" i="10"/>
  <c r="CD343" i="10" a="1"/>
  <c r="CD343" i="10" s="1"/>
  <c r="BG343" i="10"/>
  <c r="A343" i="10"/>
  <c r="BH342" i="10"/>
  <c r="BT342" i="10" s="1"/>
  <c r="BU342" i="10" s="1"/>
  <c r="BO341" i="10"/>
  <c r="CS338" i="10"/>
  <c r="CT338" i="10" s="1"/>
  <c r="CU338" i="10" s="1"/>
  <c r="BJ337" i="10"/>
  <c r="BS336" i="10"/>
  <c r="BT336" i="10" s="1"/>
  <c r="BU336" i="10" s="1"/>
  <c r="CA335" i="10" a="1"/>
  <c r="CA335" i="10" s="1"/>
  <c r="CK333" i="10"/>
  <c r="BW333" i="10"/>
  <c r="CT331" i="10"/>
  <c r="CU331" i="10" s="1"/>
  <c r="CH331" i="10"/>
  <c r="CI331" i="10" s="1"/>
  <c r="CJ331" i="10" s="1" a="1"/>
  <c r="CJ331" i="10" s="1"/>
  <c r="BF329" i="10"/>
  <c r="BX329" i="10" s="1"/>
  <c r="BY329" i="10" s="1"/>
  <c r="BW328" i="10"/>
  <c r="CD328" i="10" a="1"/>
  <c r="CD328" i="10" s="1"/>
  <c r="CK328" i="10"/>
  <c r="AO328" i="10"/>
  <c r="BJ328" i="10"/>
  <c r="BE328" i="10" a="1"/>
  <c r="BE328" i="10" s="1"/>
  <c r="CS328" i="10"/>
  <c r="A328" i="10"/>
  <c r="BG328" i="10"/>
  <c r="CO328" i="10"/>
  <c r="BQ327" i="10"/>
  <c r="BR327" i="10" s="1" a="1"/>
  <c r="BR327" i="10" s="1"/>
  <c r="BY327" i="10"/>
  <c r="CA327" i="10" s="1" a="1"/>
  <c r="CA327" i="10" s="1"/>
  <c r="BM327" i="10"/>
  <c r="BN327" i="10" s="1" a="1"/>
  <c r="BN327" i="10" s="1"/>
  <c r="BU327" i="10"/>
  <c r="BV327" i="10" s="1" a="1"/>
  <c r="BV327" i="10" s="1"/>
  <c r="BF322" i="10"/>
  <c r="CE321" i="10"/>
  <c r="BL319" i="10"/>
  <c r="BM319" i="10" s="1"/>
  <c r="BN319" i="10" s="1" a="1"/>
  <c r="BN319" i="10" s="1"/>
  <c r="BF304" i="10"/>
  <c r="BG299" i="10"/>
  <c r="BH299" i="10"/>
  <c r="CE280" i="10"/>
  <c r="BO344" i="10"/>
  <c r="BG344" i="10"/>
  <c r="CL344" i="10" s="1"/>
  <c r="CM344" i="10" s="1"/>
  <c r="A344" i="10"/>
  <c r="CK343" i="10"/>
  <c r="CO341" i="10"/>
  <c r="CP341" i="10" s="1"/>
  <c r="CQ341" i="10" s="1"/>
  <c r="BW341" i="10"/>
  <c r="BG340" i="10"/>
  <c r="BL338" i="10"/>
  <c r="BM338" i="10" s="1"/>
  <c r="A338" i="10"/>
  <c r="CO338" i="10"/>
  <c r="CP338" i="10" s="1"/>
  <c r="CQ338" i="10" s="1"/>
  <c r="AO338" i="10"/>
  <c r="CJ338" i="10" s="1" a="1"/>
  <c r="CJ338" i="10" s="1"/>
  <c r="BJ338" i="10"/>
  <c r="BE337" i="10" a="1"/>
  <c r="BE337" i="10" s="1"/>
  <c r="CS337" i="10"/>
  <c r="BS337" i="10"/>
  <c r="CF337" i="10"/>
  <c r="BT334" i="10"/>
  <c r="BU334" i="10" s="1"/>
  <c r="CF332" i="10"/>
  <c r="BS332" i="10"/>
  <c r="CT327" i="10"/>
  <c r="CU327" i="10" s="1"/>
  <c r="CE327" i="10"/>
  <c r="CP327" i="10" s="1"/>
  <c r="CQ327" i="10" s="1"/>
  <c r="BP327" i="10"/>
  <c r="CP319" i="10"/>
  <c r="CQ319" i="10" s="1"/>
  <c r="CR319" i="10" s="1" a="1"/>
  <c r="CR319" i="10" s="1"/>
  <c r="CT318" i="10"/>
  <c r="CU318" i="10" s="1"/>
  <c r="BF316" i="10"/>
  <c r="BG307" i="10"/>
  <c r="BX307" i="10" s="1"/>
  <c r="BY307" i="10" s="1"/>
  <c r="BH307" i="10"/>
  <c r="BF271" i="10"/>
  <c r="CF318" i="10"/>
  <c r="CH318" i="10" s="1"/>
  <c r="CI318" i="10" s="1"/>
  <c r="CJ318" i="10" s="1" a="1"/>
  <c r="CJ318" i="10" s="1"/>
  <c r="BS318" i="10"/>
  <c r="BT318" i="10" s="1"/>
  <c r="BU318" i="10" s="1"/>
  <c r="AO318" i="10"/>
  <c r="CK317" i="10"/>
  <c r="BG314" i="10"/>
  <c r="CF313" i="10"/>
  <c r="BS313" i="10"/>
  <c r="AO310" i="10"/>
  <c r="BJ310" i="10"/>
  <c r="BS310" i="10"/>
  <c r="CF310" i="10"/>
  <c r="A310" i="10"/>
  <c r="CL307" i="10"/>
  <c r="BH305" i="10"/>
  <c r="BG305" i="10"/>
  <c r="CE299" i="10"/>
  <c r="CO298" i="10"/>
  <c r="A296" i="10"/>
  <c r="BG296" i="10"/>
  <c r="CO296" i="10"/>
  <c r="BW296" i="10"/>
  <c r="CD296" i="10" a="1"/>
  <c r="CD296" i="10" s="1"/>
  <c r="CK296" i="10"/>
  <c r="BS296" i="10"/>
  <c r="CF296" i="10"/>
  <c r="A292" i="10"/>
  <c r="BG292" i="10"/>
  <c r="CO292" i="10"/>
  <c r="BW292" i="10"/>
  <c r="BX292" i="10" s="1"/>
  <c r="BY292" i="10" s="1"/>
  <c r="CD292" i="10" a="1"/>
  <c r="CD292" i="10" s="1"/>
  <c r="CK292" i="10"/>
  <c r="BS292" i="10"/>
  <c r="CF292" i="10"/>
  <c r="A288" i="10"/>
  <c r="BG288" i="10"/>
  <c r="CO288" i="10"/>
  <c r="BW288" i="10"/>
  <c r="CD288" i="10" a="1"/>
  <c r="CD288" i="10" s="1"/>
  <c r="CK288" i="10"/>
  <c r="BS288" i="10"/>
  <c r="CF288" i="10"/>
  <c r="A284" i="10"/>
  <c r="BG284" i="10"/>
  <c r="CO284" i="10"/>
  <c r="BW284" i="10"/>
  <c r="CD284" i="10" a="1"/>
  <c r="CD284" i="10" s="1"/>
  <c r="CK284" i="10"/>
  <c r="BS284" i="10"/>
  <c r="CF284" i="10"/>
  <c r="BW279" i="10"/>
  <c r="CD279" i="10" a="1"/>
  <c r="CD279" i="10" s="1"/>
  <c r="CK279" i="10"/>
  <c r="AO279" i="10"/>
  <c r="BJ279" i="10"/>
  <c r="BG279" i="10"/>
  <c r="BO279" i="10"/>
  <c r="CO279" i="10"/>
  <c r="CF279" i="10"/>
  <c r="BF277" i="10"/>
  <c r="AO273" i="10"/>
  <c r="BJ273" i="10"/>
  <c r="BS273" i="10"/>
  <c r="CF273" i="10"/>
  <c r="A273" i="10"/>
  <c r="CO273" i="10"/>
  <c r="BE273" i="10" a="1"/>
  <c r="BE273" i="10" s="1"/>
  <c r="CS273" i="10"/>
  <c r="BW273" i="10"/>
  <c r="CK273" i="10"/>
  <c r="CD273" i="10" a="1"/>
  <c r="CD273" i="10" s="1"/>
  <c r="CE269" i="10"/>
  <c r="CF335" i="10"/>
  <c r="CT335" i="10" s="1"/>
  <c r="CU335" i="10" s="1"/>
  <c r="BJ334" i="10"/>
  <c r="BX334" i="10" s="1"/>
  <c r="BY334" i="10" s="1"/>
  <c r="AO334" i="10"/>
  <c r="BZ331" i="10" a="1"/>
  <c r="BZ331" i="10" s="1"/>
  <c r="BJ330" i="10"/>
  <c r="AO330" i="10"/>
  <c r="BZ327" i="10" a="1"/>
  <c r="BZ327" i="10" s="1"/>
  <c r="BJ326" i="10"/>
  <c r="AO326" i="10"/>
  <c r="BJ322" i="10"/>
  <c r="AO322" i="10"/>
  <c r="BZ319" i="10" a="1"/>
  <c r="BZ319" i="10" s="1"/>
  <c r="BG315" i="10"/>
  <c r="CT315" i="10" s="1"/>
  <c r="CU315" i="10" s="1"/>
  <c r="BH315" i="10"/>
  <c r="CS314" i="10"/>
  <c r="BO313" i="10"/>
  <c r="BG313" i="10"/>
  <c r="BH309" i="10"/>
  <c r="CH309" i="10" s="1"/>
  <c r="CI309" i="10" s="1"/>
  <c r="AO306" i="10"/>
  <c r="BJ306" i="10"/>
  <c r="BS306" i="10"/>
  <c r="CF306" i="10"/>
  <c r="A306" i="10"/>
  <c r="CE305" i="10"/>
  <c r="BF300" i="10"/>
  <c r="BE298" i="10" a="1"/>
  <c r="BE298" i="10" s="1"/>
  <c r="CE295" i="10"/>
  <c r="CE291" i="10"/>
  <c r="CE287" i="10"/>
  <c r="CE283" i="10"/>
  <c r="BH280" i="10"/>
  <c r="BG280" i="10"/>
  <c r="BF275" i="10"/>
  <c r="CE265" i="10"/>
  <c r="A318" i="10"/>
  <c r="AO317" i="10"/>
  <c r="BJ317" i="10"/>
  <c r="BE317" i="10" a="1"/>
  <c r="BE317" i="10" s="1"/>
  <c r="CO317" i="10"/>
  <c r="CT307" i="10"/>
  <c r="CU307" i="10" s="1"/>
  <c r="CP307" i="10"/>
  <c r="CQ307" i="10" s="1"/>
  <c r="BW302" i="10"/>
  <c r="CD302" i="10" a="1"/>
  <c r="CD302" i="10" s="1"/>
  <c r="CK302" i="10"/>
  <c r="AO302" i="10"/>
  <c r="BJ302" i="10"/>
  <c r="BS302" i="10"/>
  <c r="CF302" i="10"/>
  <c r="A302" i="10"/>
  <c r="CE301" i="10"/>
  <c r="BX299" i="10"/>
  <c r="BH297" i="10"/>
  <c r="BG297" i="10"/>
  <c r="BG295" i="10"/>
  <c r="CT295" i="10" s="1"/>
  <c r="CU295" i="10" s="1"/>
  <c r="BH295" i="10"/>
  <c r="BG291" i="10"/>
  <c r="CT291" i="10" s="1"/>
  <c r="CU291" i="10" s="1"/>
  <c r="BH291" i="10"/>
  <c r="BG287" i="10"/>
  <c r="CT287" i="10" s="1"/>
  <c r="CU287" i="10" s="1"/>
  <c r="BH287" i="10"/>
  <c r="BG283" i="10"/>
  <c r="CP283" i="10" s="1"/>
  <c r="CQ283" i="10" s="1"/>
  <c r="CR283" i="10" s="1" a="1"/>
  <c r="CR283" i="10" s="1"/>
  <c r="BH283" i="10"/>
  <c r="BG274" i="10"/>
  <c r="BH274" i="10"/>
  <c r="BO273" i="10"/>
  <c r="AO313" i="10"/>
  <c r="BJ313" i="10"/>
  <c r="BE313" i="10" a="1"/>
  <c r="BE313" i="10" s="1"/>
  <c r="CS313" i="10"/>
  <c r="CO313" i="10"/>
  <c r="A313" i="10"/>
  <c r="CE309" i="10"/>
  <c r="CL299" i="10"/>
  <c r="CM299" i="10" s="1"/>
  <c r="BF296" i="10"/>
  <c r="BF294" i="10"/>
  <c r="BF292" i="10"/>
  <c r="CP291" i="10"/>
  <c r="CQ291" i="10" s="1"/>
  <c r="CR291" i="10" s="1" a="1"/>
  <c r="CR291" i="10" s="1"/>
  <c r="BF290" i="10"/>
  <c r="BF288" i="10"/>
  <c r="CP287" i="10"/>
  <c r="CQ287" i="10" s="1"/>
  <c r="BF286" i="10"/>
  <c r="BF284" i="10"/>
  <c r="BF282" i="10"/>
  <c r="BH330" i="10"/>
  <c r="BX330" i="10" s="1"/>
  <c r="BY330" i="10" s="1"/>
  <c r="A329" i="10"/>
  <c r="BH326" i="10"/>
  <c r="CT326" i="10" s="1"/>
  <c r="CU326" i="10" s="1"/>
  <c r="A325" i="10"/>
  <c r="BH322" i="10"/>
  <c r="CT322" i="10" s="1"/>
  <c r="CU322" i="10" s="1"/>
  <c r="A321" i="10"/>
  <c r="BO318" i="10"/>
  <c r="BP318" i="10" s="1"/>
  <c r="BQ318" i="10" s="1"/>
  <c r="CD317" i="10" a="1"/>
  <c r="CD317" i="10" s="1"/>
  <c r="BW316" i="10"/>
  <c r="CD316" i="10" a="1"/>
  <c r="CD316" i="10" s="1"/>
  <c r="CK316" i="10"/>
  <c r="BS316" i="10"/>
  <c r="CF316" i="10"/>
  <c r="BS314" i="10"/>
  <c r="BT314" i="10" s="1"/>
  <c r="BU314" i="10" s="1"/>
  <c r="CF314" i="10"/>
  <c r="A314" i="10"/>
  <c r="CK313" i="10"/>
  <c r="BW313" i="10"/>
  <c r="CD310" i="10" a="1"/>
  <c r="CD310" i="10" s="1"/>
  <c r="BE310" i="10" a="1"/>
  <c r="BE310" i="10" s="1"/>
  <c r="A304" i="10"/>
  <c r="BG304" i="10"/>
  <c r="CO304" i="10"/>
  <c r="BW304" i="10"/>
  <c r="BX304" i="10" s="1"/>
  <c r="BY304" i="10" s="1"/>
  <c r="CD304" i="10" a="1"/>
  <c r="CD304" i="10" s="1"/>
  <c r="CK304" i="10"/>
  <c r="BS304" i="10"/>
  <c r="BT304" i="10" s="1"/>
  <c r="BU304" i="10" s="1"/>
  <c r="CF304" i="10"/>
  <c r="BW298" i="10"/>
  <c r="CD298" i="10" a="1"/>
  <c r="CD298" i="10" s="1"/>
  <c r="CK298" i="10"/>
  <c r="AO298" i="10"/>
  <c r="BJ298" i="10"/>
  <c r="BS298" i="10"/>
  <c r="CF298" i="10"/>
  <c r="A298" i="10"/>
  <c r="CE297" i="10"/>
  <c r="AO296" i="10"/>
  <c r="BX295" i="10"/>
  <c r="BY295" i="10" s="1"/>
  <c r="BH293" i="10"/>
  <c r="BG293" i="10"/>
  <c r="AO292" i="10"/>
  <c r="BX291" i="10"/>
  <c r="BY291" i="10" s="1"/>
  <c r="BH289" i="10"/>
  <c r="BG289" i="10"/>
  <c r="AO288" i="10"/>
  <c r="BX287" i="10"/>
  <c r="BY287" i="10" s="1"/>
  <c r="BH285" i="10"/>
  <c r="BG285" i="10"/>
  <c r="AO284" i="10"/>
  <c r="BX283" i="10"/>
  <c r="BY283" i="10" s="1"/>
  <c r="BH281" i="10"/>
  <c r="BG281" i="10"/>
  <c r="CL281" i="10" s="1"/>
  <c r="CM281" i="10" s="1"/>
  <c r="BE279" i="10" a="1"/>
  <c r="BE279" i="10" s="1"/>
  <c r="BH276" i="10"/>
  <c r="CO334" i="10"/>
  <c r="CP334" i="10" s="1"/>
  <c r="CQ334" i="10" s="1"/>
  <c r="CR334" i="10" s="1" a="1"/>
  <c r="CR334" i="10" s="1"/>
  <c r="CO330" i="10"/>
  <c r="CP330" i="10" s="1"/>
  <c r="CQ330" i="10" s="1"/>
  <c r="CF329" i="10"/>
  <c r="CL329" i="10" s="1"/>
  <c r="CM329" i="10" s="1"/>
  <c r="BS329" i="10"/>
  <c r="BT329" i="10" s="1"/>
  <c r="BU329" i="10" s="1"/>
  <c r="CO326" i="10"/>
  <c r="CP326" i="10" s="1"/>
  <c r="CQ326" i="10" s="1"/>
  <c r="CF325" i="10"/>
  <c r="CH325" i="10" s="1"/>
  <c r="CI325" i="10" s="1"/>
  <c r="CJ325" i="10" s="1" a="1"/>
  <c r="CJ325" i="10" s="1"/>
  <c r="BS325" i="10"/>
  <c r="BT325" i="10" s="1"/>
  <c r="BU325" i="10" s="1"/>
  <c r="CW323" i="10" a="1"/>
  <c r="CW323" i="10" s="1"/>
  <c r="CO322" i="10"/>
  <c r="CP322" i="10" s="1"/>
  <c r="CQ322" i="10" s="1"/>
  <c r="CF321" i="10"/>
  <c r="CL321" i="10" s="1"/>
  <c r="CM321" i="10" s="1"/>
  <c r="BS321" i="10"/>
  <c r="BT321" i="10" s="1"/>
  <c r="BU321" i="10" s="1"/>
  <c r="BV321" i="10" s="1" a="1"/>
  <c r="BV321" i="10" s="1"/>
  <c r="CO318" i="10"/>
  <c r="CP318" i="10" s="1"/>
  <c r="CQ318" i="10" s="1"/>
  <c r="BS317" i="10"/>
  <c r="CO314" i="10"/>
  <c r="CD314" i="10" a="1"/>
  <c r="CD314" i="10" s="1"/>
  <c r="BG312" i="10"/>
  <c r="CO312" i="10"/>
  <c r="BW312" i="10"/>
  <c r="CD312" i="10" a="1"/>
  <c r="CD312" i="10" s="1"/>
  <c r="CK312" i="10"/>
  <c r="BS312" i="10"/>
  <c r="BT312" i="10" s="1"/>
  <c r="BU312" i="10" s="1"/>
  <c r="CF312" i="10"/>
  <c r="BG311" i="10"/>
  <c r="CT311" i="10" s="1"/>
  <c r="CU311" i="10" s="1"/>
  <c r="BH311" i="10"/>
  <c r="CL311" i="10" s="1"/>
  <c r="CM311" i="10" s="1"/>
  <c r="BO310" i="10"/>
  <c r="BG306" i="10"/>
  <c r="CE303" i="10"/>
  <c r="CO302" i="10"/>
  <c r="A300" i="10"/>
  <c r="BG300" i="10"/>
  <c r="BP300" i="10" s="1"/>
  <c r="BQ300" i="10" s="1"/>
  <c r="CO300" i="10"/>
  <c r="BW300" i="10"/>
  <c r="CD300" i="10" a="1"/>
  <c r="CD300" i="10" s="1"/>
  <c r="CK300" i="10"/>
  <c r="BS300" i="10"/>
  <c r="BT300" i="10" s="1"/>
  <c r="BU300" i="10" s="1"/>
  <c r="BV300" i="10" s="1" a="1"/>
  <c r="BV300" i="10" s="1"/>
  <c r="CF300" i="10"/>
  <c r="CS298" i="10"/>
  <c r="BO296" i="10"/>
  <c r="BP296" i="10" s="1"/>
  <c r="BQ296" i="10" s="1"/>
  <c r="CL295" i="10"/>
  <c r="CM295" i="10" s="1"/>
  <c r="CL291" i="10"/>
  <c r="CM291" i="10" s="1"/>
  <c r="CL287" i="10"/>
  <c r="CM287" i="10" s="1"/>
  <c r="CL283" i="10"/>
  <c r="CM283" i="10" s="1"/>
  <c r="BS279" i="10"/>
  <c r="A279" i="10"/>
  <c r="CE278" i="10"/>
  <c r="BF256" i="10"/>
  <c r="CS329" i="10"/>
  <c r="CS325" i="10"/>
  <c r="CT325" i="10" s="1"/>
  <c r="CU325" i="10" s="1"/>
  <c r="CS321" i="10"/>
  <c r="BO316" i="10"/>
  <c r="BP316" i="10" s="1"/>
  <c r="BQ316" i="10" s="1"/>
  <c r="BG316" i="10"/>
  <c r="BH313" i="10"/>
  <c r="CO310" i="10"/>
  <c r="AO309" i="10"/>
  <c r="BJ309" i="10"/>
  <c r="BE309" i="10" a="1"/>
  <c r="BE309" i="10" s="1"/>
  <c r="CS309" i="10"/>
  <c r="CT309" i="10" s="1"/>
  <c r="CU309" i="10" s="1"/>
  <c r="CO309" i="10"/>
  <c r="CP309" i="10" s="1"/>
  <c r="CQ309" i="10" s="1"/>
  <c r="A309" i="10"/>
  <c r="CM307" i="10"/>
  <c r="CS306" i="10"/>
  <c r="CE306" i="10"/>
  <c r="CL306" i="10" s="1"/>
  <c r="CM306" i="10" s="1"/>
  <c r="BE306" i="10" a="1"/>
  <c r="BE306" i="10" s="1"/>
  <c r="CL305" i="10"/>
  <c r="CM305" i="10" s="1"/>
  <c r="BG303" i="10"/>
  <c r="CP303" i="10" s="1"/>
  <c r="CQ303" i="10" s="1"/>
  <c r="BH303" i="10"/>
  <c r="BG302" i="10"/>
  <c r="BP302" i="10" s="1"/>
  <c r="BQ302" i="10" s="1"/>
  <c r="CT299" i="10"/>
  <c r="CU299" i="10" s="1"/>
  <c r="BY299" i="10"/>
  <c r="BL294" i="10"/>
  <c r="BM294" i="10" s="1"/>
  <c r="BN294" i="10" s="1" a="1"/>
  <c r="BN294" i="10" s="1"/>
  <c r="BW294" i="10"/>
  <c r="BX294" i="10" s="1"/>
  <c r="BY294" i="10" s="1"/>
  <c r="CA294" i="10" s="1" a="1"/>
  <c r="CA294" i="10" s="1"/>
  <c r="CD294" i="10" a="1"/>
  <c r="CD294" i="10" s="1"/>
  <c r="CK294" i="10"/>
  <c r="AO294" i="10"/>
  <c r="BJ294" i="10"/>
  <c r="BP294" i="10" s="1"/>
  <c r="BQ294" i="10" s="1"/>
  <c r="BR294" i="10" s="1" a="1"/>
  <c r="BR294" i="10" s="1"/>
  <c r="BS294" i="10"/>
  <c r="BT294" i="10" s="1"/>
  <c r="BU294" i="10" s="1"/>
  <c r="CF294" i="10"/>
  <c r="A294" i="10"/>
  <c r="CE293" i="10"/>
  <c r="BO292" i="10"/>
  <c r="BP292" i="10" s="1"/>
  <c r="BQ292" i="10" s="1"/>
  <c r="BL290" i="10"/>
  <c r="BM290" i="10" s="1"/>
  <c r="BN290" i="10" s="1" a="1"/>
  <c r="BN290" i="10" s="1"/>
  <c r="BW290" i="10"/>
  <c r="BX290" i="10" s="1"/>
  <c r="BY290" i="10" s="1"/>
  <c r="CA290" i="10" s="1" a="1"/>
  <c r="CA290" i="10" s="1"/>
  <c r="CD290" i="10" a="1"/>
  <c r="CD290" i="10" s="1"/>
  <c r="CK290" i="10"/>
  <c r="AO290" i="10"/>
  <c r="BJ290" i="10"/>
  <c r="BP290" i="10" s="1"/>
  <c r="BQ290" i="10" s="1"/>
  <c r="BR290" i="10" s="1" a="1"/>
  <c r="BR290" i="10" s="1"/>
  <c r="BS290" i="10"/>
  <c r="BT290" i="10" s="1"/>
  <c r="BU290" i="10" s="1"/>
  <c r="CF290" i="10"/>
  <c r="A290" i="10"/>
  <c r="CE289" i="10"/>
  <c r="BO288" i="10"/>
  <c r="BP288" i="10" s="1"/>
  <c r="BQ288" i="10" s="1"/>
  <c r="BL286" i="10"/>
  <c r="BM286" i="10" s="1"/>
  <c r="BN286" i="10" s="1" a="1"/>
  <c r="BN286" i="10" s="1"/>
  <c r="BW286" i="10"/>
  <c r="BX286" i="10" s="1"/>
  <c r="BY286" i="10" s="1"/>
  <c r="CA286" i="10" s="1" a="1"/>
  <c r="CA286" i="10" s="1"/>
  <c r="CD286" i="10" a="1"/>
  <c r="CD286" i="10" s="1"/>
  <c r="CK286" i="10"/>
  <c r="AO286" i="10"/>
  <c r="BJ286" i="10"/>
  <c r="BP286" i="10" s="1"/>
  <c r="BQ286" i="10" s="1"/>
  <c r="BR286" i="10" s="1" a="1"/>
  <c r="BR286" i="10" s="1"/>
  <c r="BS286" i="10"/>
  <c r="BT286" i="10" s="1"/>
  <c r="BU286" i="10" s="1"/>
  <c r="CF286" i="10"/>
  <c r="A286" i="10"/>
  <c r="CE285" i="10"/>
  <c r="BO284" i="10"/>
  <c r="BP284" i="10" s="1"/>
  <c r="BQ284" i="10" s="1"/>
  <c r="BL282" i="10"/>
  <c r="BM282" i="10" s="1"/>
  <c r="BN282" i="10" s="1" a="1"/>
  <c r="BN282" i="10" s="1"/>
  <c r="BW282" i="10"/>
  <c r="BX282" i="10" s="1"/>
  <c r="BY282" i="10" s="1"/>
  <c r="CA282" i="10" s="1" a="1"/>
  <c r="CA282" i="10" s="1"/>
  <c r="CD282" i="10" a="1"/>
  <c r="CD282" i="10" s="1"/>
  <c r="CK282" i="10"/>
  <c r="AO282" i="10"/>
  <c r="BJ282" i="10"/>
  <c r="BP282" i="10" s="1"/>
  <c r="BQ282" i="10" s="1"/>
  <c r="BR282" i="10" s="1" a="1"/>
  <c r="BR282" i="10" s="1"/>
  <c r="BS282" i="10"/>
  <c r="BT282" i="10" s="1"/>
  <c r="BU282" i="10" s="1"/>
  <c r="BV282" i="10" s="1" a="1"/>
  <c r="BV282" i="10" s="1"/>
  <c r="CF282" i="10"/>
  <c r="A282" i="10"/>
  <c r="CE281" i="10"/>
  <c r="CS279" i="10"/>
  <c r="BJ315" i="10"/>
  <c r="CO305" i="10"/>
  <c r="CP305" i="10" s="1"/>
  <c r="CQ305" i="10" s="1"/>
  <c r="CR305" i="10" s="1" a="1"/>
  <c r="CR305" i="10" s="1"/>
  <c r="CO301" i="10"/>
  <c r="CP301" i="10" s="1"/>
  <c r="CQ301" i="10" s="1"/>
  <c r="CO297" i="10"/>
  <c r="CP297" i="10" s="1"/>
  <c r="CQ297" i="10" s="1"/>
  <c r="CO293" i="10"/>
  <c r="CP293" i="10" s="1"/>
  <c r="CQ293" i="10" s="1"/>
  <c r="CO289" i="10"/>
  <c r="CP289" i="10" s="1"/>
  <c r="CQ289" i="10" s="1"/>
  <c r="CO285" i="10"/>
  <c r="CP285" i="10" s="1"/>
  <c r="CQ285" i="10" s="1"/>
  <c r="CO281" i="10"/>
  <c r="CP281" i="10" s="1"/>
  <c r="CQ281" i="10" s="1"/>
  <c r="CR281" i="10" s="1" a="1"/>
  <c r="CR281" i="10" s="1"/>
  <c r="BG278" i="10"/>
  <c r="BH278" i="10"/>
  <c r="CT278" i="10" s="1"/>
  <c r="CU278" i="10" s="1"/>
  <c r="AO277" i="10"/>
  <c r="CJ277" i="10" s="1" a="1"/>
  <c r="CJ277" i="10" s="1"/>
  <c r="BJ277" i="10"/>
  <c r="BS277" i="10"/>
  <c r="CF277" i="10"/>
  <c r="A277" i="10"/>
  <c r="CO277" i="10"/>
  <c r="CK276" i="10"/>
  <c r="BW276" i="10"/>
  <c r="BG275" i="10"/>
  <c r="CO275" i="10"/>
  <c r="BW275" i="10"/>
  <c r="BX275" i="10" s="1"/>
  <c r="BY275" i="10" s="1"/>
  <c r="CD275" i="10" a="1"/>
  <c r="CD275" i="10" s="1"/>
  <c r="CK275" i="10"/>
  <c r="AO275" i="10"/>
  <c r="BJ275" i="10"/>
  <c r="BG273" i="10"/>
  <c r="CE258" i="10"/>
  <c r="CS305" i="10"/>
  <c r="CT305" i="10" s="1"/>
  <c r="CU305" i="10" s="1"/>
  <c r="CW305" i="10" s="1" a="1"/>
  <c r="CW305" i="10" s="1"/>
  <c r="BE305" i="10" a="1"/>
  <c r="BE305" i="10" s="1"/>
  <c r="CS301" i="10"/>
  <c r="CT301" i="10" s="1"/>
  <c r="CU301" i="10" s="1"/>
  <c r="CW301" i="10" s="1" a="1"/>
  <c r="CW301" i="10" s="1"/>
  <c r="BE301" i="10" a="1"/>
  <c r="BE301" i="10" s="1"/>
  <c r="CS297" i="10"/>
  <c r="CT297" i="10" s="1"/>
  <c r="CU297" i="10" s="1"/>
  <c r="CW297" i="10" s="1" a="1"/>
  <c r="CW297" i="10" s="1"/>
  <c r="BE297" i="10" a="1"/>
  <c r="BE297" i="10" s="1"/>
  <c r="CS293" i="10"/>
  <c r="CT293" i="10" s="1"/>
  <c r="CU293" i="10" s="1"/>
  <c r="CW293" i="10" s="1" a="1"/>
  <c r="CW293" i="10" s="1"/>
  <c r="BE293" i="10" a="1"/>
  <c r="BE293" i="10" s="1"/>
  <c r="CS289" i="10"/>
  <c r="CT289" i="10" s="1"/>
  <c r="CU289" i="10" s="1"/>
  <c r="CV289" i="10" s="1" a="1"/>
  <c r="CV289" i="10" s="1"/>
  <c r="BE289" i="10" a="1"/>
  <c r="BE289" i="10" s="1"/>
  <c r="CS285" i="10"/>
  <c r="CT285" i="10" s="1"/>
  <c r="CU285" i="10" s="1"/>
  <c r="CV285" i="10" s="1" a="1"/>
  <c r="CV285" i="10" s="1"/>
  <c r="BE285" i="10" a="1"/>
  <c r="BE285" i="10" s="1"/>
  <c r="CS281" i="10"/>
  <c r="CT281" i="10" s="1"/>
  <c r="CU281" i="10" s="1"/>
  <c r="CV281" i="10" s="1" a="1"/>
  <c r="CV281" i="10" s="1"/>
  <c r="BE281" i="10" a="1"/>
  <c r="BE281" i="10" s="1"/>
  <c r="CS275" i="10"/>
  <c r="CT274" i="10"/>
  <c r="CU274" i="10" s="1"/>
  <c r="CW274" i="10" s="1" a="1"/>
  <c r="CW274" i="10" s="1"/>
  <c r="BJ305" i="10"/>
  <c r="BJ301" i="10"/>
  <c r="BJ297" i="10"/>
  <c r="BJ293" i="10"/>
  <c r="BJ289" i="10"/>
  <c r="BJ285" i="10"/>
  <c r="BJ281" i="10"/>
  <c r="AO280" i="10"/>
  <c r="BJ280" i="10"/>
  <c r="BE280" i="10" a="1"/>
  <c r="BE280" i="10" s="1"/>
  <c r="BS280" i="10"/>
  <c r="CF280" i="10"/>
  <c r="CL280" i="10" s="1"/>
  <c r="CM280" i="10" s="1"/>
  <c r="BH277" i="10"/>
  <c r="BX277" i="10" s="1"/>
  <c r="BY277" i="10" s="1"/>
  <c r="CD276" i="10" a="1"/>
  <c r="CD276" i="10" s="1"/>
  <c r="BO275" i="10"/>
  <c r="BP275" i="10" s="1"/>
  <c r="BQ275" i="10" s="1"/>
  <c r="BW272" i="10"/>
  <c r="CD272" i="10" a="1"/>
  <c r="CD272" i="10" s="1"/>
  <c r="CK272" i="10"/>
  <c r="AO272" i="10"/>
  <c r="BJ272" i="10"/>
  <c r="BE272" i="10" a="1"/>
  <c r="BE272" i="10" s="1"/>
  <c r="CS272" i="10"/>
  <c r="BS272" i="10"/>
  <c r="CF272" i="10"/>
  <c r="CE270" i="10"/>
  <c r="BY267" i="10"/>
  <c r="CA267" i="10" s="1" a="1"/>
  <c r="CA267" i="10" s="1"/>
  <c r="BF267" i="10"/>
  <c r="CI277" i="10"/>
  <c r="CH277" i="10"/>
  <c r="CO276" i="10"/>
  <c r="BF270" i="10"/>
  <c r="CE266" i="10"/>
  <c r="BF266" i="10"/>
  <c r="BG262" i="10"/>
  <c r="BT262" i="10" s="1"/>
  <c r="BU262" i="10" s="1"/>
  <c r="BH262" i="10"/>
  <c r="AO261" i="10"/>
  <c r="BJ261" i="10"/>
  <c r="BS261" i="10"/>
  <c r="CF261" i="10"/>
  <c r="BE261" i="10" a="1"/>
  <c r="BE261" i="10" s="1"/>
  <c r="CK261" i="10"/>
  <c r="BO261" i="10"/>
  <c r="BG261" i="10"/>
  <c r="CD261" i="10" a="1"/>
  <c r="CD261" i="10" s="1"/>
  <c r="CO261" i="10"/>
  <c r="A261" i="10"/>
  <c r="BW261" i="10"/>
  <c r="CS261" i="10"/>
  <c r="BP278" i="10"/>
  <c r="BQ278" i="10" s="1"/>
  <c r="AO276" i="10"/>
  <c r="BJ276" i="10"/>
  <c r="BE276" i="10" a="1"/>
  <c r="BE276" i="10" s="1"/>
  <c r="CS276" i="10"/>
  <c r="BS276" i="10"/>
  <c r="CF276" i="10"/>
  <c r="A276" i="10"/>
  <c r="BT267" i="10"/>
  <c r="BU267" i="10" s="1"/>
  <c r="BV267" i="10" s="1" a="1"/>
  <c r="BV267" i="10" s="1"/>
  <c r="BG266" i="10"/>
  <c r="CT266" i="10" s="1"/>
  <c r="CU266" i="10" s="1"/>
  <c r="BH266" i="10"/>
  <c r="BX266" i="10" s="1"/>
  <c r="BY266" i="10" s="1"/>
  <c r="BG265" i="10"/>
  <c r="CP265" i="10" s="1"/>
  <c r="CQ265" i="10" s="1"/>
  <c r="BH265" i="10"/>
  <c r="BF260" i="10"/>
  <c r="CO264" i="10"/>
  <c r="AO264" i="10"/>
  <c r="BJ264" i="10"/>
  <c r="BS263" i="10"/>
  <c r="CF263" i="10"/>
  <c r="A263" i="10"/>
  <c r="BG254" i="10"/>
  <c r="BH254" i="10"/>
  <c r="BW251" i="10"/>
  <c r="CD251" i="10" a="1"/>
  <c r="CD251" i="10" s="1"/>
  <c r="CK251" i="10"/>
  <c r="AO251" i="10"/>
  <c r="BJ251" i="10"/>
  <c r="A251" i="10"/>
  <c r="CS251" i="10"/>
  <c r="BE251" i="10" a="1"/>
  <c r="BE251" i="10" s="1"/>
  <c r="BO251" i="10"/>
  <c r="BG251" i="10"/>
  <c r="BS251" i="10"/>
  <c r="CO251" i="10"/>
  <c r="BO263" i="10"/>
  <c r="BS259" i="10"/>
  <c r="CF259" i="10"/>
  <c r="A259" i="10"/>
  <c r="CO259" i="10"/>
  <c r="CE245" i="10"/>
  <c r="CE244" i="10"/>
  <c r="CE233" i="10"/>
  <c r="BJ271" i="10"/>
  <c r="BL271" i="10" s="1"/>
  <c r="BM271" i="10" s="1"/>
  <c r="AO271" i="10"/>
  <c r="CO269" i="10"/>
  <c r="CF268" i="10"/>
  <c r="BS268" i="10"/>
  <c r="BJ267" i="10"/>
  <c r="BP267" i="10" s="1"/>
  <c r="BQ267" i="10" s="1"/>
  <c r="AO267" i="10"/>
  <c r="AO266" i="10"/>
  <c r="BJ266" i="10"/>
  <c r="BS265" i="10"/>
  <c r="BT265" i="10" s="1"/>
  <c r="BU265" i="10" s="1"/>
  <c r="CF265" i="10"/>
  <c r="CT265" i="10" s="1"/>
  <c r="CU265" i="10" s="1"/>
  <c r="A265" i="10"/>
  <c r="CH264" i="10"/>
  <c r="CI264" i="10" s="1"/>
  <c r="CJ264" i="10" s="1" a="1"/>
  <c r="CJ264" i="10" s="1"/>
  <c r="CO263" i="10"/>
  <c r="BW263" i="10"/>
  <c r="AO262" i="10"/>
  <c r="BJ262" i="10"/>
  <c r="CO262" i="10"/>
  <c r="CP262" i="10" s="1"/>
  <c r="CQ262" i="10" s="1"/>
  <c r="A262" i="10"/>
  <c r="CK259" i="10"/>
  <c r="BW259" i="10"/>
  <c r="BW257" i="10"/>
  <c r="CD257" i="10" a="1"/>
  <c r="CD257" i="10" s="1"/>
  <c r="CK257" i="10"/>
  <c r="AO257" i="10"/>
  <c r="BJ257" i="10"/>
  <c r="BE257" i="10" a="1"/>
  <c r="BE257" i="10" s="1"/>
  <c r="BS257" i="10"/>
  <c r="CF257" i="10"/>
  <c r="CE252" i="10"/>
  <c r="CK271" i="10"/>
  <c r="CD271" i="10" a="1"/>
  <c r="CD271" i="10" s="1"/>
  <c r="BW271" i="10"/>
  <c r="BX271" i="10" s="1"/>
  <c r="BY271" i="10" s="1"/>
  <c r="BH270" i="10"/>
  <c r="BT270" i="10" s="1"/>
  <c r="BU270" i="10" s="1"/>
  <c r="A269" i="10"/>
  <c r="CS268" i="10"/>
  <c r="BE268" i="10" a="1"/>
  <c r="BE268" i="10" s="1"/>
  <c r="CK267" i="10"/>
  <c r="CD267" i="10" a="1"/>
  <c r="CD267" i="10" s="1"/>
  <c r="BW267" i="10"/>
  <c r="BX267" i="10" s="1"/>
  <c r="A266" i="10"/>
  <c r="CF264" i="10"/>
  <c r="CT264" i="10" s="1"/>
  <c r="CU264" i="10" s="1"/>
  <c r="BW264" i="10"/>
  <c r="BO264" i="10"/>
  <c r="BE263" i="10" a="1"/>
  <c r="BE263" i="10" s="1"/>
  <c r="BW253" i="10"/>
  <c r="CD253" i="10" a="1"/>
  <c r="CD253" i="10" s="1"/>
  <c r="CK253" i="10"/>
  <c r="AO253" i="10"/>
  <c r="BJ253" i="10"/>
  <c r="BE253" i="10" a="1"/>
  <c r="BE253" i="10" s="1"/>
  <c r="CS253" i="10"/>
  <c r="BS253" i="10"/>
  <c r="CF253" i="10"/>
  <c r="A253" i="10"/>
  <c r="BF238" i="10"/>
  <c r="BF226" i="10"/>
  <c r="BF222" i="10"/>
  <c r="BF210" i="10"/>
  <c r="BL210" i="10" s="1"/>
  <c r="BM210" i="10"/>
  <c r="CF269" i="10"/>
  <c r="CL269" i="10" s="1"/>
  <c r="CM269" i="10" s="1"/>
  <c r="BS269" i="10"/>
  <c r="BJ268" i="10"/>
  <c r="AO268" i="10"/>
  <c r="CO266" i="10"/>
  <c r="BO265" i="10"/>
  <c r="BP265" i="10" s="1"/>
  <c r="BQ265" i="10" s="1"/>
  <c r="BE264" i="10" a="1"/>
  <c r="BE264" i="10" s="1"/>
  <c r="CD263" i="10" a="1"/>
  <c r="CD263" i="10" s="1"/>
  <c r="AO263" i="10"/>
  <c r="CL262" i="10"/>
  <c r="CM262" i="10" s="1"/>
  <c r="CS259" i="10"/>
  <c r="BH259" i="10"/>
  <c r="BG258" i="10"/>
  <c r="CO257" i="10"/>
  <c r="CO253" i="10"/>
  <c r="CS269" i="10"/>
  <c r="BE269" i="10" a="1"/>
  <c r="BE269" i="10" s="1"/>
  <c r="CK268" i="10"/>
  <c r="CD268" i="10" a="1"/>
  <c r="CD268" i="10" s="1"/>
  <c r="BJ263" i="10"/>
  <c r="BE259" i="10" a="1"/>
  <c r="BE259" i="10" s="1"/>
  <c r="CE250" i="10"/>
  <c r="CP250" i="10" s="1"/>
  <c r="CQ250" i="10" s="1"/>
  <c r="CR250" i="10" s="1" a="1"/>
  <c r="CR250" i="10" s="1"/>
  <c r="CO271" i="10"/>
  <c r="BJ269" i="10"/>
  <c r="CO267" i="10"/>
  <c r="CS263" i="10"/>
  <c r="CK263" i="10"/>
  <c r="BF262" i="10"/>
  <c r="BG260" i="10"/>
  <c r="CL260" i="10" s="1"/>
  <c r="CM260" i="10" s="1"/>
  <c r="BH260" i="10"/>
  <c r="CD259" i="10" a="1"/>
  <c r="CD259" i="10" s="1"/>
  <c r="AO259" i="10"/>
  <c r="AO258" i="10"/>
  <c r="BJ258" i="10"/>
  <c r="BE258" i="10" a="1"/>
  <c r="BE258" i="10" s="1"/>
  <c r="CS258" i="10"/>
  <c r="BS258" i="10"/>
  <c r="CF258" i="10"/>
  <c r="CO258" i="10"/>
  <c r="A258" i="10"/>
  <c r="BF255" i="10"/>
  <c r="CE254" i="10"/>
  <c r="CF251" i="10"/>
  <c r="BT238" i="10"/>
  <c r="BU238" i="10" s="1"/>
  <c r="CE235" i="10"/>
  <c r="BW243" i="10"/>
  <c r="CD243" i="10" a="1"/>
  <c r="CD243" i="10" s="1"/>
  <c r="CK243" i="10"/>
  <c r="AO243" i="10"/>
  <c r="BJ243" i="10"/>
  <c r="BE243" i="10" a="1"/>
  <c r="BE243" i="10" s="1"/>
  <c r="CS243" i="10"/>
  <c r="BS243" i="10"/>
  <c r="CF243" i="10"/>
  <c r="A243" i="10"/>
  <c r="BX242" i="10"/>
  <c r="BF241" i="10"/>
  <c r="BL241" i="10" s="1"/>
  <c r="BM241" i="10" s="1"/>
  <c r="BN241" i="10" s="1" a="1"/>
  <c r="BN241" i="10" s="1"/>
  <c r="BP226" i="10"/>
  <c r="BQ226" i="10" s="1"/>
  <c r="BR226" i="10" s="1" a="1"/>
  <c r="BR226" i="10" s="1"/>
  <c r="BW224" i="10"/>
  <c r="CD224" i="10" a="1"/>
  <c r="CD224" i="10" s="1"/>
  <c r="CK224" i="10"/>
  <c r="BE224" i="10" a="1"/>
  <c r="BE224" i="10" s="1"/>
  <c r="CS224" i="10"/>
  <c r="BS224" i="10"/>
  <c r="CF224" i="10"/>
  <c r="A224" i="10"/>
  <c r="BG224" i="10"/>
  <c r="CO224" i="10"/>
  <c r="AO224" i="10"/>
  <c r="BJ224" i="10"/>
  <c r="CE213" i="10"/>
  <c r="BL250" i="10"/>
  <c r="BM250" i="10" s="1"/>
  <c r="BN250" i="10" s="1" a="1"/>
  <c r="BN250" i="10" s="1"/>
  <c r="CO243" i="10"/>
  <c r="BV242" i="10" a="1"/>
  <c r="BV242" i="10" s="1"/>
  <c r="BG240" i="10"/>
  <c r="BH240" i="10"/>
  <c r="CE231" i="10"/>
  <c r="CH231" i="10" s="1"/>
  <c r="CI231" i="10" s="1"/>
  <c r="CJ231" i="10" s="1" a="1"/>
  <c r="CJ231" i="10" s="1"/>
  <c r="BF227" i="10"/>
  <c r="BP227" i="10" s="1"/>
  <c r="BQ227" i="10" s="1"/>
  <c r="BL223" i="10"/>
  <c r="BP223" i="10"/>
  <c r="BJ260" i="10"/>
  <c r="AO260" i="10"/>
  <c r="BJ256" i="10"/>
  <c r="AO256" i="10"/>
  <c r="CO254" i="10"/>
  <c r="BJ252" i="10"/>
  <c r="AO252" i="10"/>
  <c r="CL250" i="10"/>
  <c r="CM250" i="10" s="1"/>
  <c r="BP250" i="10"/>
  <c r="BQ250" i="10" s="1"/>
  <c r="BR250" i="10" s="1" a="1"/>
  <c r="BR250" i="10" s="1"/>
  <c r="BG248" i="10"/>
  <c r="BH248" i="10"/>
  <c r="BU246" i="10"/>
  <c r="BQ246" i="10"/>
  <c r="BP242" i="10"/>
  <c r="CT241" i="10"/>
  <c r="CU241" i="10" s="1"/>
  <c r="BX238" i="10"/>
  <c r="BY238" i="10" s="1"/>
  <c r="BF235" i="10"/>
  <c r="BO224" i="10"/>
  <c r="CE223" i="10"/>
  <c r="CH223" i="10" s="1"/>
  <c r="CI223" i="10" s="1"/>
  <c r="CJ223" i="10" s="1" a="1"/>
  <c r="CJ223" i="10" s="1"/>
  <c r="AO216" i="10"/>
  <c r="BJ216" i="10"/>
  <c r="BS216" i="10"/>
  <c r="CF216" i="10"/>
  <c r="A216" i="10"/>
  <c r="BW216" i="10"/>
  <c r="CS216" i="10"/>
  <c r="BO216" i="10"/>
  <c r="BE216" i="10" a="1"/>
  <c r="BE216" i="10" s="1"/>
  <c r="CK216" i="10"/>
  <c r="BG216" i="10"/>
  <c r="CO216" i="10"/>
  <c r="CD216" i="10" a="1"/>
  <c r="CD216" i="10" s="1"/>
  <c r="BH255" i="10"/>
  <c r="CT255" i="10" s="1"/>
  <c r="CU255" i="10" s="1"/>
  <c r="A254" i="10"/>
  <c r="BF245" i="10"/>
  <c r="CP244" i="10"/>
  <c r="CQ244" i="10" s="1"/>
  <c r="BT242" i="10"/>
  <c r="CE240" i="10"/>
  <c r="BW239" i="10"/>
  <c r="CD239" i="10" a="1"/>
  <c r="CD239" i="10" s="1"/>
  <c r="CK239" i="10"/>
  <c r="AO239" i="10"/>
  <c r="BJ239" i="10"/>
  <c r="BE239" i="10" a="1"/>
  <c r="BE239" i="10" s="1"/>
  <c r="CS239" i="10"/>
  <c r="BS239" i="10"/>
  <c r="CF239" i="10"/>
  <c r="A239" i="10"/>
  <c r="BG221" i="10"/>
  <c r="BH221" i="10"/>
  <c r="CO255" i="10"/>
  <c r="CF254" i="10"/>
  <c r="BS254" i="10"/>
  <c r="CT250" i="10"/>
  <c r="CU250" i="10" s="1"/>
  <c r="BX250" i="10"/>
  <c r="BY250" i="10" s="1"/>
  <c r="CE248" i="10"/>
  <c r="BF248" i="10"/>
  <c r="BW247" i="10"/>
  <c r="CD247" i="10" a="1"/>
  <c r="CD247" i="10" s="1"/>
  <c r="CK247" i="10"/>
  <c r="AO247" i="10"/>
  <c r="BJ247" i="10"/>
  <c r="BE247" i="10" a="1"/>
  <c r="BE247" i="10" s="1"/>
  <c r="CS247" i="10"/>
  <c r="BS247" i="10"/>
  <c r="CF247" i="10"/>
  <c r="A247" i="10"/>
  <c r="BG243" i="10"/>
  <c r="BU242" i="10"/>
  <c r="BQ242" i="10"/>
  <c r="BR242" i="10" s="1" a="1"/>
  <c r="BR242" i="10" s="1"/>
  <c r="BY242" i="10"/>
  <c r="BZ242" i="10" s="1" a="1"/>
  <c r="BZ242" i="10" s="1"/>
  <c r="CP241" i="10"/>
  <c r="CQ241" i="10" s="1"/>
  <c r="CR241" i="10" s="1" a="1"/>
  <c r="CR241" i="10" s="1"/>
  <c r="CE237" i="10"/>
  <c r="A234" i="10"/>
  <c r="BW234" i="10"/>
  <c r="CD234" i="10" a="1"/>
  <c r="CD234" i="10" s="1"/>
  <c r="CK234" i="10"/>
  <c r="CF234" i="10"/>
  <c r="AO234" i="10"/>
  <c r="BE234" i="10" a="1"/>
  <c r="BE234" i="10" s="1"/>
  <c r="BO234" i="10"/>
  <c r="CS234" i="10"/>
  <c r="BG234" i="10"/>
  <c r="CE229" i="10"/>
  <c r="BF229" i="10"/>
  <c r="BT223" i="10"/>
  <c r="BU223" i="10" s="1"/>
  <c r="BH256" i="10"/>
  <c r="CP256" i="10" s="1"/>
  <c r="CQ256" i="10" s="1"/>
  <c r="A255" i="10"/>
  <c r="CS254" i="10"/>
  <c r="CT254" i="10" s="1"/>
  <c r="CU254" i="10" s="1"/>
  <c r="BE254" i="10" a="1"/>
  <c r="BE254" i="10" s="1"/>
  <c r="BH252" i="10"/>
  <c r="CH252" i="10" s="1"/>
  <c r="CI252" i="10" s="1"/>
  <c r="CJ252" i="10" s="1" a="1"/>
  <c r="CJ252" i="10" s="1"/>
  <c r="CH250" i="10"/>
  <c r="CI250" i="10" s="1"/>
  <c r="CJ250" i="10" s="1" a="1"/>
  <c r="CJ250" i="10" s="1"/>
  <c r="BO247" i="10"/>
  <c r="BX246" i="10"/>
  <c r="BY246" i="10" s="1"/>
  <c r="CL246" i="10"/>
  <c r="CM246" i="10" s="1"/>
  <c r="BG244" i="10"/>
  <c r="BX244" i="10" s="1"/>
  <c r="BY244" i="10" s="1"/>
  <c r="BH244" i="10"/>
  <c r="CO239" i="10"/>
  <c r="BF236" i="10"/>
  <c r="BL236" i="10" s="1"/>
  <c r="BM236" i="10" s="1"/>
  <c r="BN236" i="10" s="1" a="1"/>
  <c r="BN236" i="10" s="1"/>
  <c r="BF231" i="10"/>
  <c r="BF230" i="10"/>
  <c r="BL230" i="10" s="1"/>
  <c r="BM230" i="10" s="1"/>
  <c r="BN230" i="10" s="1" a="1"/>
  <c r="BN230" i="10" s="1"/>
  <c r="BQ230" i="10"/>
  <c r="BR230" i="10" s="1" a="1"/>
  <c r="BR230" i="10" s="1"/>
  <c r="BX227" i="10"/>
  <c r="BY227" i="10" s="1"/>
  <c r="BQ218" i="10"/>
  <c r="BR218" i="10" s="1" a="1"/>
  <c r="BR218" i="10" s="1"/>
  <c r="BM218" i="10"/>
  <c r="BF218" i="10"/>
  <c r="BL218" i="10" s="1"/>
  <c r="CF255" i="10"/>
  <c r="BJ254" i="10"/>
  <c r="BU250" i="10"/>
  <c r="BF249" i="10"/>
  <c r="CO247" i="10"/>
  <c r="BV246" i="10" a="1"/>
  <c r="BV246" i="10" s="1"/>
  <c r="CL241" i="10"/>
  <c r="CM241" i="10" s="1"/>
  <c r="CH241" i="10"/>
  <c r="CI241" i="10" s="1"/>
  <c r="BP238" i="10"/>
  <c r="BQ238" i="10" s="1"/>
  <c r="BR238" i="10" s="1" a="1"/>
  <c r="BR238" i="10" s="1"/>
  <c r="BF237" i="10"/>
  <c r="BP236" i="10"/>
  <c r="BQ236" i="10" s="1"/>
  <c r="BS234" i="10"/>
  <c r="CP231" i="10"/>
  <c r="CQ231" i="10" s="1"/>
  <c r="CR231" i="10" s="1" a="1"/>
  <c r="CR231" i="10" s="1"/>
  <c r="CQ223" i="10"/>
  <c r="CE246" i="10"/>
  <c r="CP246" i="10" s="1"/>
  <c r="CQ246" i="10" s="1"/>
  <c r="CR246" i="10" s="1" a="1"/>
  <c r="CR246" i="10" s="1"/>
  <c r="BL246" i="10"/>
  <c r="BM246" i="10" s="1"/>
  <c r="BN246" i="10" s="1" a="1"/>
  <c r="BN246" i="10" s="1"/>
  <c r="CE242" i="10"/>
  <c r="CP242" i="10" s="1"/>
  <c r="CQ242" i="10" s="1"/>
  <c r="BL242" i="10"/>
  <c r="BM242" i="10" s="1"/>
  <c r="BN242" i="10" s="1" a="1"/>
  <c r="BN242" i="10" s="1"/>
  <c r="CE238" i="10"/>
  <c r="CH238" i="10" s="1"/>
  <c r="CI238" i="10" s="1"/>
  <c r="CJ238" i="10" s="1" a="1"/>
  <c r="CJ238" i="10" s="1"/>
  <c r="BL238" i="10"/>
  <c r="BM238" i="10" s="1"/>
  <c r="BN238" i="10" s="1" a="1"/>
  <c r="BN238" i="10" s="1"/>
  <c r="BG233" i="10"/>
  <c r="BH233" i="10"/>
  <c r="BF225" i="10"/>
  <c r="CP223" i="10"/>
  <c r="BT236" i="10"/>
  <c r="BU236" i="10" s="1"/>
  <c r="BV236" i="10" s="1" a="1"/>
  <c r="BV236" i="10" s="1"/>
  <c r="BT230" i="10"/>
  <c r="BU230" i="10" s="1"/>
  <c r="CE227" i="10"/>
  <c r="CT227" i="10" s="1"/>
  <c r="CU227" i="10" s="1"/>
  <c r="BL226" i="10"/>
  <c r="BM226" i="10" s="1"/>
  <c r="BN226" i="10" s="1" a="1"/>
  <c r="BN226" i="10" s="1"/>
  <c r="CE225" i="10"/>
  <c r="BX221" i="10"/>
  <c r="BY221" i="10" s="1"/>
  <c r="CA221" i="10" s="1" a="1"/>
  <c r="CA221" i="10" s="1"/>
  <c r="CE219" i="10"/>
  <c r="BF206" i="10"/>
  <c r="BX204" i="10"/>
  <c r="BY204" i="10" s="1"/>
  <c r="BT204" i="10"/>
  <c r="BH249" i="10"/>
  <c r="CL249" i="10" s="1"/>
  <c r="CM249" i="10" s="1"/>
  <c r="A248" i="10"/>
  <c r="BH245" i="10"/>
  <c r="CT245" i="10" s="1"/>
  <c r="CU245" i="10" s="1"/>
  <c r="BF244" i="10"/>
  <c r="BF240" i="10"/>
  <c r="BX240" i="10" s="1"/>
  <c r="BY240" i="10" s="1"/>
  <c r="BW236" i="10"/>
  <c r="BX236" i="10" s="1"/>
  <c r="BY236" i="10" s="1"/>
  <c r="CD236" i="10" a="1"/>
  <c r="CD236" i="10" s="1"/>
  <c r="CK236" i="10"/>
  <c r="A236" i="10"/>
  <c r="BW232" i="10"/>
  <c r="CD232" i="10" a="1"/>
  <c r="CD232" i="10" s="1"/>
  <c r="CK232" i="10"/>
  <c r="BE232" i="10" a="1"/>
  <c r="BE232" i="10" s="1"/>
  <c r="CS232" i="10"/>
  <c r="BS232" i="10"/>
  <c r="CF232" i="10"/>
  <c r="A232" i="10"/>
  <c r="CL231" i="10"/>
  <c r="CM231" i="10" s="1"/>
  <c r="CN231" i="10" s="1" a="1"/>
  <c r="CN231" i="10" s="1"/>
  <c r="BG229" i="10"/>
  <c r="CP229" i="10" s="1"/>
  <c r="CQ229" i="10" s="1"/>
  <c r="BH229" i="10"/>
  <c r="BL227" i="10"/>
  <c r="BM227" i="10" s="1"/>
  <c r="BN227" i="10" s="1" a="1"/>
  <c r="BN227" i="10" s="1"/>
  <c r="CL223" i="10"/>
  <c r="CM223" i="10" s="1"/>
  <c r="BF203" i="10"/>
  <c r="BT226" i="10"/>
  <c r="BU226" i="10" s="1"/>
  <c r="BV226" i="10" s="1" a="1"/>
  <c r="BV226" i="10" s="1"/>
  <c r="BG225" i="10"/>
  <c r="BH225" i="10"/>
  <c r="BX223" i="10"/>
  <c r="BY223" i="10" s="1"/>
  <c r="BQ223" i="10"/>
  <c r="BM223" i="10"/>
  <c r="BN223" i="10" s="1" a="1"/>
  <c r="BN223" i="10" s="1"/>
  <c r="CE217" i="10"/>
  <c r="BQ214" i="10"/>
  <c r="BR214" i="10" s="1" a="1"/>
  <c r="BR214" i="10" s="1"/>
  <c r="BF214" i="10"/>
  <c r="BL214" i="10" s="1"/>
  <c r="BM214" i="10" s="1"/>
  <c r="BG235" i="10"/>
  <c r="BT235" i="10" s="1"/>
  <c r="BU235" i="10" s="1"/>
  <c r="CT231" i="10"/>
  <c r="CU231" i="10" s="1"/>
  <c r="BX231" i="10"/>
  <c r="BY231" i="10" s="1"/>
  <c r="BP230" i="10"/>
  <c r="BW228" i="10"/>
  <c r="CD228" i="10" a="1"/>
  <c r="CD228" i="10" s="1"/>
  <c r="CK228" i="10"/>
  <c r="BE228" i="10" a="1"/>
  <c r="BE228" i="10" s="1"/>
  <c r="CS228" i="10"/>
  <c r="BS228" i="10"/>
  <c r="CF228" i="10"/>
  <c r="A228" i="10"/>
  <c r="CE209" i="10"/>
  <c r="CH202" i="10"/>
  <c r="CI202" i="10" s="1"/>
  <c r="BG237" i="10"/>
  <c r="CT237" i="10" s="1"/>
  <c r="CU237" i="10" s="1"/>
  <c r="CP235" i="10"/>
  <c r="CQ235" i="10" s="1"/>
  <c r="BF233" i="10"/>
  <c r="BV223" i="10" a="1"/>
  <c r="BV223" i="10" s="1"/>
  <c r="BR223" i="10" a="1"/>
  <c r="BR223" i="10" s="1"/>
  <c r="BX222" i="10"/>
  <c r="BY222" i="10" s="1"/>
  <c r="BG219" i="10"/>
  <c r="BH219" i="10"/>
  <c r="BG217" i="10"/>
  <c r="BH217" i="10"/>
  <c r="BP206" i="10"/>
  <c r="BQ206" i="10" s="1"/>
  <c r="BR206" i="10" s="1" a="1"/>
  <c r="BR206" i="10" s="1"/>
  <c r="CD220" i="10" a="1"/>
  <c r="CD220" i="10" s="1"/>
  <c r="BO220" i="10"/>
  <c r="A220" i="10"/>
  <c r="BF213" i="10"/>
  <c r="CE202" i="10"/>
  <c r="CE199" i="10"/>
  <c r="CK230" i="10"/>
  <c r="CD230" i="10" a="1"/>
  <c r="CD230" i="10" s="1"/>
  <c r="BW230" i="10"/>
  <c r="BX230" i="10" s="1"/>
  <c r="BY230" i="10" s="1"/>
  <c r="CA230" i="10" s="1" a="1"/>
  <c r="CA230" i="10" s="1"/>
  <c r="CK226" i="10"/>
  <c r="CD226" i="10" a="1"/>
  <c r="CD226" i="10" s="1"/>
  <c r="BW226" i="10"/>
  <c r="BX226" i="10" s="1"/>
  <c r="BY226" i="10" s="1"/>
  <c r="CS223" i="10"/>
  <c r="CT223" i="10" s="1"/>
  <c r="CU223" i="10" s="1"/>
  <c r="BJ222" i="10"/>
  <c r="BG222" i="10"/>
  <c r="BS221" i="10"/>
  <c r="BT221" i="10" s="1"/>
  <c r="BU221" i="10" s="1"/>
  <c r="BZ221" i="10" s="1" a="1"/>
  <c r="BZ221" i="10" s="1"/>
  <c r="CF221" i="10"/>
  <c r="CL221" i="10" s="1"/>
  <c r="CM221" i="10" s="1"/>
  <c r="CS220" i="10"/>
  <c r="CK220" i="10"/>
  <c r="A219" i="10"/>
  <c r="BS218" i="10"/>
  <c r="BT218" i="10" s="1"/>
  <c r="BU218" i="10" s="1"/>
  <c r="BV218" i="10" s="1" a="1"/>
  <c r="BV218" i="10" s="1"/>
  <c r="BF209" i="10"/>
  <c r="BL206" i="10"/>
  <c r="BM206" i="10" s="1"/>
  <c r="BN206" i="10" s="1" a="1"/>
  <c r="BN206" i="10" s="1"/>
  <c r="BU204" i="10"/>
  <c r="CO218" i="10"/>
  <c r="BW218" i="10"/>
  <c r="BX218" i="10" s="1"/>
  <c r="BY218" i="10" s="1"/>
  <c r="CD218" i="10" a="1"/>
  <c r="CD218" i="10" s="1"/>
  <c r="CK218" i="10"/>
  <c r="BG213" i="10"/>
  <c r="BX213" i="10" s="1"/>
  <c r="BY213" i="10" s="1"/>
  <c r="BH213" i="10"/>
  <c r="CE211" i="10"/>
  <c r="CH211" i="10" s="1"/>
  <c r="CI211" i="10" s="1"/>
  <c r="CJ211" i="10" s="1" a="1"/>
  <c r="CJ211" i="10" s="1"/>
  <c r="BT210" i="10"/>
  <c r="BU210" i="10" s="1"/>
  <c r="BV210" i="10" s="1" a="1"/>
  <c r="BV210" i="10" s="1"/>
  <c r="BP204" i="10"/>
  <c r="BS198" i="10"/>
  <c r="CF198" i="10"/>
  <c r="A198" i="10"/>
  <c r="AO198" i="10"/>
  <c r="BJ198" i="10"/>
  <c r="BE198" i="10" a="1"/>
  <c r="BE198" i="10" s="1"/>
  <c r="CD198" i="10" a="1"/>
  <c r="CD198" i="10" s="1"/>
  <c r="CS198" i="10"/>
  <c r="BO198" i="10"/>
  <c r="CK198" i="10"/>
  <c r="CO198" i="10"/>
  <c r="BG195" i="10"/>
  <c r="BH195" i="10"/>
  <c r="CT221" i="10"/>
  <c r="CU221" i="10" s="1"/>
  <c r="CW221" i="10" s="1" a="1"/>
  <c r="CW221" i="10" s="1"/>
  <c r="BE220" i="10" a="1"/>
  <c r="BE220" i="10" s="1"/>
  <c r="BP219" i="10"/>
  <c r="BQ219" i="10" s="1"/>
  <c r="BT214" i="10"/>
  <c r="BU214" i="10" s="1"/>
  <c r="BV214" i="10" s="1" a="1"/>
  <c r="BV214" i="10" s="1"/>
  <c r="AO212" i="10"/>
  <c r="BJ212" i="10"/>
  <c r="BE212" i="10" a="1"/>
  <c r="BE212" i="10" s="1"/>
  <c r="CS212" i="10"/>
  <c r="BS212" i="10"/>
  <c r="CF212" i="10"/>
  <c r="A212" i="10"/>
  <c r="BW212" i="10"/>
  <c r="CD212" i="10" a="1"/>
  <c r="CD212" i="10" s="1"/>
  <c r="CK212" i="10"/>
  <c r="BG209" i="10"/>
  <c r="BX209" i="10" s="1"/>
  <c r="BY209" i="10" s="1"/>
  <c r="BH209" i="10"/>
  <c r="BP218" i="10"/>
  <c r="BT213" i="10"/>
  <c r="BU213" i="10" s="1"/>
  <c r="CP211" i="10"/>
  <c r="CQ211" i="10" s="1"/>
  <c r="CW211" i="10" a="1"/>
  <c r="CW211" i="10" s="1"/>
  <c r="BP210" i="10"/>
  <c r="BQ210" i="10" s="1"/>
  <c r="BR210" i="10" s="1" a="1"/>
  <c r="BR210" i="10" s="1"/>
  <c r="BQ204" i="10"/>
  <c r="BR204" i="10" s="1" a="1"/>
  <c r="BR204" i="10" s="1"/>
  <c r="CL200" i="10"/>
  <c r="CM200" i="10" s="1"/>
  <c r="BX195" i="10"/>
  <c r="BY195" i="10" s="1"/>
  <c r="CS222" i="10"/>
  <c r="CD222" i="10" a="1"/>
  <c r="CD222" i="10" s="1"/>
  <c r="BO222" i="10"/>
  <c r="BP222" i="10" s="1"/>
  <c r="BQ222" i="10" s="1"/>
  <c r="BN218" i="10" a="1"/>
  <c r="BN218" i="10" s="1"/>
  <c r="BG215" i="10"/>
  <c r="BT209" i="10"/>
  <c r="BU209" i="10" s="1"/>
  <c r="AO208" i="10"/>
  <c r="BJ208" i="10"/>
  <c r="BE208" i="10" a="1"/>
  <c r="BE208" i="10" s="1"/>
  <c r="CS208" i="10"/>
  <c r="BS208" i="10"/>
  <c r="CF208" i="10"/>
  <c r="A208" i="10"/>
  <c r="BG208" i="10"/>
  <c r="CO208" i="10"/>
  <c r="BW208" i="10"/>
  <c r="CD208" i="10" a="1"/>
  <c r="CD208" i="10" s="1"/>
  <c r="CK208" i="10"/>
  <c r="CE207" i="10"/>
  <c r="CT207" i="10" s="1"/>
  <c r="CU207" i="10" s="1"/>
  <c r="BT206" i="10"/>
  <c r="BU206" i="10" s="1"/>
  <c r="BV206" i="10" s="1" a="1"/>
  <c r="BV206" i="10" s="1"/>
  <c r="CE204" i="10"/>
  <c r="CP204" i="10" s="1"/>
  <c r="CQ204" i="10" s="1"/>
  <c r="BG189" i="10"/>
  <c r="BH189" i="10"/>
  <c r="AO220" i="10"/>
  <c r="BJ220" i="10"/>
  <c r="CE215" i="10"/>
  <c r="BP214" i="10"/>
  <c r="CL211" i="10"/>
  <c r="CM211" i="10" s="1"/>
  <c r="CN211" i="10" s="1" a="1"/>
  <c r="CN211" i="10" s="1"/>
  <c r="CT204" i="10"/>
  <c r="CU204" i="10" s="1"/>
  <c r="BN214" i="10" a="1"/>
  <c r="BN214" i="10" s="1"/>
  <c r="A214" i="10"/>
  <c r="BN210" i="10" a="1"/>
  <c r="BN210" i="10" s="1"/>
  <c r="A210" i="10"/>
  <c r="A206" i="10"/>
  <c r="BW205" i="10"/>
  <c r="CD205" i="10" a="1"/>
  <c r="CD205" i="10" s="1"/>
  <c r="CS203" i="10"/>
  <c r="CD203" i="10" a="1"/>
  <c r="CD203" i="10" s="1"/>
  <c r="BO203" i="10"/>
  <c r="BG203" i="10"/>
  <c r="AO201" i="10"/>
  <c r="BJ201" i="10"/>
  <c r="BW201" i="10"/>
  <c r="CD201" i="10" a="1"/>
  <c r="CD201" i="10" s="1"/>
  <c r="CK201" i="10"/>
  <c r="BO201" i="10"/>
  <c r="A201" i="10"/>
  <c r="CS201" i="10"/>
  <c r="BY188" i="10"/>
  <c r="CA188" i="10" s="1" a="1"/>
  <c r="CA188" i="10" s="1"/>
  <c r="BF188" i="10"/>
  <c r="BG194" i="10"/>
  <c r="BH194" i="10"/>
  <c r="BU192" i="10"/>
  <c r="BF192" i="10"/>
  <c r="BL192" i="10" s="1"/>
  <c r="BM192" i="10" s="1"/>
  <c r="BN192" i="10" s="1" a="1"/>
  <c r="BN192" i="10" s="1"/>
  <c r="BF190" i="10"/>
  <c r="CS215" i="10"/>
  <c r="CT215" i="10" s="1"/>
  <c r="CU215" i="10" s="1"/>
  <c r="BE215" i="10" a="1"/>
  <c r="BE215" i="10" s="1"/>
  <c r="CK214" i="10"/>
  <c r="CD214" i="10" a="1"/>
  <c r="CD214" i="10" s="1"/>
  <c r="BW214" i="10"/>
  <c r="BX214" i="10" s="1"/>
  <c r="BY214" i="10" s="1"/>
  <c r="CS211" i="10"/>
  <c r="CT211" i="10" s="1"/>
  <c r="CU211" i="10" s="1"/>
  <c r="BE211" i="10" a="1"/>
  <c r="BE211" i="10" s="1"/>
  <c r="CK210" i="10"/>
  <c r="CD210" i="10" a="1"/>
  <c r="CD210" i="10" s="1"/>
  <c r="BW210" i="10"/>
  <c r="BX210" i="10" s="1"/>
  <c r="BY210" i="10" s="1"/>
  <c r="BE207" i="10" a="1"/>
  <c r="BE207" i="10" s="1"/>
  <c r="CK206" i="10"/>
  <c r="CD206" i="10" a="1"/>
  <c r="CD206" i="10" s="1"/>
  <c r="BW206" i="10"/>
  <c r="BX206" i="10" s="1"/>
  <c r="BY206" i="10" s="1"/>
  <c r="BE205" i="10" a="1"/>
  <c r="BE205" i="10" s="1"/>
  <c r="BL204" i="10"/>
  <c r="BM204" i="10" s="1"/>
  <c r="BN204" i="10" s="1" a="1"/>
  <c r="BN204" i="10" s="1"/>
  <c r="BJ203" i="10"/>
  <c r="CE189" i="10"/>
  <c r="BP188" i="10"/>
  <c r="BQ188" i="10" s="1"/>
  <c r="BR188" i="10" s="1" a="1"/>
  <c r="BR188" i="10" s="1"/>
  <c r="BL188" i="10"/>
  <c r="BM188" i="10" s="1"/>
  <c r="BN188" i="10" s="1" a="1"/>
  <c r="BN188" i="10" s="1"/>
  <c r="CO217" i="10"/>
  <c r="BJ215" i="10"/>
  <c r="CO213" i="10"/>
  <c r="BJ211" i="10"/>
  <c r="CO205" i="10"/>
  <c r="BS205" i="10"/>
  <c r="AO205" i="10"/>
  <c r="CO203" i="10"/>
  <c r="CF203" i="10"/>
  <c r="AO202" i="10"/>
  <c r="BJ202" i="10"/>
  <c r="BE202" i="10" a="1"/>
  <c r="BE202" i="10" s="1"/>
  <c r="CS202" i="10"/>
  <c r="CT202" i="10" s="1"/>
  <c r="CU202" i="10" s="1"/>
  <c r="BS202" i="10"/>
  <c r="CF202" i="10"/>
  <c r="CP202" i="10" s="1"/>
  <c r="CQ202" i="10" s="1"/>
  <c r="A202" i="10"/>
  <c r="BE201" i="10" a="1"/>
  <c r="BE201" i="10" s="1"/>
  <c r="CL195" i="10"/>
  <c r="CM195" i="10" s="1"/>
  <c r="BF194" i="10"/>
  <c r="CE190" i="10"/>
  <c r="BV204" i="10" a="1"/>
  <c r="BV204" i="10" s="1"/>
  <c r="BG201" i="10"/>
  <c r="BH201" i="10"/>
  <c r="AO197" i="10"/>
  <c r="BJ197" i="10"/>
  <c r="BE197" i="10" a="1"/>
  <c r="BE197" i="10" s="1"/>
  <c r="CS197" i="10"/>
  <c r="CO197" i="10"/>
  <c r="BO197" i="10"/>
  <c r="CD197" i="10" a="1"/>
  <c r="CD197" i="10" s="1"/>
  <c r="BS197" i="10"/>
  <c r="CF197" i="10"/>
  <c r="CA195" i="10" a="1"/>
  <c r="CA195" i="10" s="1"/>
  <c r="AO193" i="10"/>
  <c r="BJ193" i="10"/>
  <c r="BE193" i="10" a="1"/>
  <c r="BE193" i="10" s="1"/>
  <c r="CS193" i="10"/>
  <c r="CO193" i="10"/>
  <c r="CD193" i="10" a="1"/>
  <c r="CD193" i="10" s="1"/>
  <c r="BS193" i="10"/>
  <c r="CF193" i="10"/>
  <c r="BW193" i="10"/>
  <c r="CK193" i="10"/>
  <c r="BO193" i="10"/>
  <c r="CF217" i="10"/>
  <c r="CT217" i="10" s="1"/>
  <c r="CU217" i="10" s="1"/>
  <c r="CF213" i="10"/>
  <c r="CT213" i="10" s="1"/>
  <c r="CU213" i="10" s="1"/>
  <c r="CF209" i="10"/>
  <c r="CF205" i="10"/>
  <c r="BW203" i="10"/>
  <c r="BX203" i="10" s="1"/>
  <c r="BY203" i="10" s="1"/>
  <c r="BW202" i="10"/>
  <c r="BS201" i="10"/>
  <c r="CE200" i="10"/>
  <c r="CO200" i="10"/>
  <c r="BE200" i="10" a="1"/>
  <c r="BE200" i="10" s="1"/>
  <c r="BW200" i="10"/>
  <c r="BO200" i="10"/>
  <c r="CF200" i="10"/>
  <c r="CH200" i="10" s="1"/>
  <c r="CI200" i="10" s="1"/>
  <c r="CJ200" i="10" s="1" a="1"/>
  <c r="CJ200" i="10" s="1"/>
  <c r="BG198" i="10"/>
  <c r="BP194" i="10"/>
  <c r="BQ194" i="10" s="1"/>
  <c r="BG199" i="10"/>
  <c r="BH199" i="10"/>
  <c r="CD194" i="10" a="1"/>
  <c r="CD194" i="10" s="1"/>
  <c r="BG193" i="10"/>
  <c r="BP192" i="10"/>
  <c r="BQ192" i="10" s="1"/>
  <c r="BG190" i="10"/>
  <c r="BF174" i="10"/>
  <c r="CE170" i="10"/>
  <c r="CI170" i="10"/>
  <c r="BG191" i="10"/>
  <c r="BH191" i="10"/>
  <c r="CL191" i="10" s="1"/>
  <c r="CM191" i="10" s="1"/>
  <c r="CE175" i="10"/>
  <c r="BW173" i="10"/>
  <c r="CD173" i="10" a="1"/>
  <c r="CD173" i="10" s="1"/>
  <c r="CK173" i="10"/>
  <c r="AO173" i="10"/>
  <c r="BJ173" i="10"/>
  <c r="BE173" i="10" a="1"/>
  <c r="BE173" i="10" s="1"/>
  <c r="CS173" i="10"/>
  <c r="A173" i="10"/>
  <c r="CO173" i="10"/>
  <c r="BS173" i="10"/>
  <c r="BL171" i="10"/>
  <c r="BM171" i="10" s="1"/>
  <c r="BN171" i="10" s="1" a="1"/>
  <c r="BN171" i="10" s="1"/>
  <c r="BF167" i="10"/>
  <c r="BW196" i="10"/>
  <c r="CD196" i="10" a="1"/>
  <c r="CD196" i="10" s="1"/>
  <c r="CK196" i="10"/>
  <c r="BS196" i="10"/>
  <c r="CF196" i="10"/>
  <c r="CO196" i="10"/>
  <c r="BS194" i="10"/>
  <c r="CF194" i="10"/>
  <c r="A194" i="10"/>
  <c r="AO194" i="10"/>
  <c r="BJ194" i="10"/>
  <c r="AO189" i="10"/>
  <c r="BJ189" i="10"/>
  <c r="BE189" i="10" a="1"/>
  <c r="BE189" i="10" s="1"/>
  <c r="CS189" i="10"/>
  <c r="CO189" i="10"/>
  <c r="A189" i="10"/>
  <c r="BG183" i="10"/>
  <c r="BH183" i="10"/>
  <c r="CF173" i="10"/>
  <c r="CK194" i="10"/>
  <c r="BW194" i="10"/>
  <c r="BX194" i="10" s="1"/>
  <c r="BY194" i="10" s="1"/>
  <c r="BW192" i="10"/>
  <c r="BX192" i="10" s="1"/>
  <c r="BY192" i="10" s="1"/>
  <c r="CD192" i="10" a="1"/>
  <c r="CD192" i="10" s="1"/>
  <c r="CK192" i="10"/>
  <c r="BS192" i="10"/>
  <c r="BT192" i="10" s="1"/>
  <c r="CF192" i="10"/>
  <c r="CO192" i="10"/>
  <c r="CP191" i="10"/>
  <c r="CQ191" i="10" s="1"/>
  <c r="BS190" i="10"/>
  <c r="CF190" i="10"/>
  <c r="A190" i="10"/>
  <c r="AO190" i="10"/>
  <c r="BJ190" i="10"/>
  <c r="CK189" i="10"/>
  <c r="BW189" i="10"/>
  <c r="BL182" i="10"/>
  <c r="BM182" i="10" s="1"/>
  <c r="BN182" i="10" s="1" a="1"/>
  <c r="BN182" i="10" s="1"/>
  <c r="BO173" i="10"/>
  <c r="BP172" i="10"/>
  <c r="BH198" i="10"/>
  <c r="CS196" i="10"/>
  <c r="CL190" i="10"/>
  <c r="CM190" i="10" s="1"/>
  <c r="BX190" i="10"/>
  <c r="BY190" i="10" s="1"/>
  <c r="BW188" i="10"/>
  <c r="BX188" i="10" s="1"/>
  <c r="CD188" i="10" a="1"/>
  <c r="CD188" i="10" s="1"/>
  <c r="CK188" i="10"/>
  <c r="BS188" i="10"/>
  <c r="BT188" i="10" s="1"/>
  <c r="BU188" i="10" s="1"/>
  <c r="CF188" i="10"/>
  <c r="CO188" i="10"/>
  <c r="BH186" i="10"/>
  <c r="CL186" i="10" s="1"/>
  <c r="CM186" i="10" s="1"/>
  <c r="BF178" i="10"/>
  <c r="CP170" i="10"/>
  <c r="CQ170" i="10" s="1"/>
  <c r="CR170" i="10" s="1" a="1"/>
  <c r="CR170" i="10" s="1"/>
  <c r="CS192" i="10"/>
  <c r="BF186" i="10"/>
  <c r="CE178" i="10"/>
  <c r="CE165" i="10"/>
  <c r="CQ165" i="10"/>
  <c r="BG197" i="10"/>
  <c r="BO196" i="10"/>
  <c r="BE196" i="10" a="1"/>
  <c r="BE196" i="10" s="1"/>
  <c r="CS194" i="10"/>
  <c r="BF191" i="10"/>
  <c r="CF189" i="10"/>
  <c r="BS189" i="10"/>
  <c r="CS188" i="10"/>
  <c r="BF187" i="10"/>
  <c r="CE183" i="10"/>
  <c r="CF199" i="10"/>
  <c r="CT199" i="10" s="1"/>
  <c r="CU199" i="10" s="1"/>
  <c r="BS199" i="10"/>
  <c r="BT199" i="10" s="1"/>
  <c r="BU199" i="10" s="1"/>
  <c r="CF195" i="10"/>
  <c r="CP195" i="10" s="1"/>
  <c r="CQ195" i="10" s="1"/>
  <c r="CR195" i="10" s="1" a="1"/>
  <c r="CR195" i="10" s="1"/>
  <c r="BS195" i="10"/>
  <c r="BT195" i="10" s="1"/>
  <c r="BU195" i="10" s="1"/>
  <c r="CA192" i="10" a="1"/>
  <c r="CA192" i="10" s="1"/>
  <c r="CF191" i="10"/>
  <c r="BS191" i="10"/>
  <c r="A187" i="10"/>
  <c r="BG185" i="10"/>
  <c r="BH181" i="10"/>
  <c r="CK178" i="10"/>
  <c r="BW178" i="10"/>
  <c r="CP171" i="10"/>
  <c r="CQ171" i="10" s="1"/>
  <c r="CE181" i="10"/>
  <c r="CS176" i="10"/>
  <c r="CE174" i="10"/>
  <c r="BF171" i="10"/>
  <c r="CL170" i="10"/>
  <c r="CM170" i="10" s="1"/>
  <c r="CN170" i="10" s="1" a="1"/>
  <c r="CN170" i="10" s="1"/>
  <c r="BF182" i="10"/>
  <c r="BP180" i="10"/>
  <c r="BQ180" i="10" s="1"/>
  <c r="BU180" i="10"/>
  <c r="CE177" i="10"/>
  <c r="CH177" i="10" s="1"/>
  <c r="CI177" i="10" s="1"/>
  <c r="CQ177" i="10"/>
  <c r="BQ172" i="10"/>
  <c r="BY172" i="10"/>
  <c r="BU172" i="10"/>
  <c r="BV172" i="10" s="1" a="1"/>
  <c r="BV172" i="10" s="1"/>
  <c r="BG165" i="10"/>
  <c r="BH165" i="10"/>
  <c r="BW160" i="10"/>
  <c r="CD160" i="10" a="1"/>
  <c r="CD160" i="10" s="1"/>
  <c r="BE160" i="10" a="1"/>
  <c r="BE160" i="10" s="1"/>
  <c r="CO160" i="10"/>
  <c r="A160" i="10"/>
  <c r="AO160" i="10"/>
  <c r="BO160" i="10"/>
  <c r="CK160" i="10"/>
  <c r="CS160" i="10"/>
  <c r="BS160" i="10"/>
  <c r="BJ160" i="10"/>
  <c r="CF160" i="10"/>
  <c r="AO185" i="10"/>
  <c r="BJ185" i="10"/>
  <c r="BE185" i="10" a="1"/>
  <c r="BE185" i="10" s="1"/>
  <c r="CS185" i="10"/>
  <c r="BJ184" i="10"/>
  <c r="BG184" i="10"/>
  <c r="AO181" i="10"/>
  <c r="BJ181" i="10"/>
  <c r="BE181" i="10" a="1"/>
  <c r="BE181" i="10" s="1"/>
  <c r="CS181" i="10"/>
  <c r="CO181" i="10"/>
  <c r="CP181" i="10" s="1"/>
  <c r="CQ181" i="10" s="1"/>
  <c r="A181" i="10"/>
  <c r="BG180" i="10"/>
  <c r="A180" i="10"/>
  <c r="BG179" i="10"/>
  <c r="BH179" i="10"/>
  <c r="CL179" i="10" s="1"/>
  <c r="CM179" i="10" s="1"/>
  <c r="BO178" i="10"/>
  <c r="BG176" i="10"/>
  <c r="BL172" i="10"/>
  <c r="BM172" i="10" s="1"/>
  <c r="BN172" i="10" s="1" a="1"/>
  <c r="BN172" i="10" s="1"/>
  <c r="BF162" i="10"/>
  <c r="BG161" i="10"/>
  <c r="CL161" i="10" s="1"/>
  <c r="CM161" i="10" s="1"/>
  <c r="BH161" i="10"/>
  <c r="BG187" i="10"/>
  <c r="BS186" i="10"/>
  <c r="CF186" i="10"/>
  <c r="CT186" i="10" s="1"/>
  <c r="CU186" i="10" s="1"/>
  <c r="A186" i="10"/>
  <c r="AO186" i="10"/>
  <c r="BJ186" i="10"/>
  <c r="BX186" i="10" s="1"/>
  <c r="BY186" i="10" s="1"/>
  <c r="CO185" i="10"/>
  <c r="CD185" i="10" a="1"/>
  <c r="CD185" i="10" s="1"/>
  <c r="A185" i="10"/>
  <c r="BS184" i="10"/>
  <c r="BT184" i="10" s="1"/>
  <c r="BU184" i="10" s="1"/>
  <c r="BS182" i="10"/>
  <c r="CF182" i="10"/>
  <c r="CP182" i="10" s="1"/>
  <c r="CQ182" i="10" s="1"/>
  <c r="A182" i="10"/>
  <c r="AO182" i="10"/>
  <c r="BJ182" i="10"/>
  <c r="BP182" i="10" s="1"/>
  <c r="BQ182" i="10" s="1"/>
  <c r="BR182" i="10" s="1" a="1"/>
  <c r="BR182" i="10" s="1"/>
  <c r="CK181" i="10"/>
  <c r="BW181" i="10"/>
  <c r="AO177" i="10"/>
  <c r="CJ177" i="10" s="1" a="1"/>
  <c r="CJ177" i="10" s="1"/>
  <c r="BJ177" i="10"/>
  <c r="BE177" i="10" a="1"/>
  <c r="BE177" i="10" s="1"/>
  <c r="CS177" i="10"/>
  <c r="CT177" i="10" s="1"/>
  <c r="CU177" i="10" s="1"/>
  <c r="CO177" i="10"/>
  <c r="CP177" i="10" s="1"/>
  <c r="A177" i="10"/>
  <c r="CE168" i="10"/>
  <c r="CE154" i="10"/>
  <c r="BW184" i="10"/>
  <c r="BX184" i="10" s="1"/>
  <c r="BY184" i="10" s="1"/>
  <c r="CD184" i="10" a="1"/>
  <c r="CD184" i="10" s="1"/>
  <c r="CK184" i="10"/>
  <c r="CO184" i="10"/>
  <c r="BX182" i="10"/>
  <c r="BY182" i="10" s="1"/>
  <c r="BW180" i="10"/>
  <c r="BX180" i="10" s="1"/>
  <c r="BY180" i="10" s="1"/>
  <c r="CD180" i="10" a="1"/>
  <c r="CD180" i="10" s="1"/>
  <c r="CK180" i="10"/>
  <c r="BS180" i="10"/>
  <c r="BT180" i="10" s="1"/>
  <c r="CF180" i="10"/>
  <c r="CO180" i="10"/>
  <c r="CP179" i="10"/>
  <c r="CQ179" i="10" s="1"/>
  <c r="BL178" i="10"/>
  <c r="BM178" i="10" s="1"/>
  <c r="BS178" i="10"/>
  <c r="CF178" i="10"/>
  <c r="CT178" i="10" s="1"/>
  <c r="CU178" i="10" s="1"/>
  <c r="A178" i="10"/>
  <c r="AO178" i="10"/>
  <c r="BN178" i="10" s="1" a="1"/>
  <c r="BN178" i="10" s="1"/>
  <c r="BJ178" i="10"/>
  <c r="CL177" i="10"/>
  <c r="CM177" i="10" s="1"/>
  <c r="CN177" i="10" s="1" a="1"/>
  <c r="CN177" i="10" s="1"/>
  <c r="CW177" i="10" a="1"/>
  <c r="CW177" i="10" s="1"/>
  <c r="BW176" i="10"/>
  <c r="CD176" i="10" a="1"/>
  <c r="CD176" i="10" s="1"/>
  <c r="CK176" i="10"/>
  <c r="BE176" i="10" a="1"/>
  <c r="BE176" i="10" s="1"/>
  <c r="BS176" i="10"/>
  <c r="CF176" i="10"/>
  <c r="CO176" i="10"/>
  <c r="BF175" i="10"/>
  <c r="BP174" i="10"/>
  <c r="BQ174" i="10" s="1"/>
  <c r="BG173" i="10"/>
  <c r="CT170" i="10"/>
  <c r="CU170" i="10" s="1"/>
  <c r="BF169" i="10"/>
  <c r="BF168" i="10"/>
  <c r="CF183" i="10"/>
  <c r="CP183" i="10" s="1"/>
  <c r="CQ183" i="10" s="1"/>
  <c r="BS183" i="10"/>
  <c r="BT183" i="10" s="1"/>
  <c r="BU183" i="10" s="1"/>
  <c r="CF179" i="10"/>
  <c r="BS179" i="10"/>
  <c r="CF175" i="10"/>
  <c r="BS175" i="10"/>
  <c r="BT175" i="10" s="1"/>
  <c r="BU175" i="10" s="1"/>
  <c r="BJ174" i="10"/>
  <c r="BL174" i="10" s="1"/>
  <c r="BM174" i="10" s="1"/>
  <c r="AO174" i="10"/>
  <c r="CO172" i="10"/>
  <c r="CA172" i="10" a="1"/>
  <c r="CA172" i="10" s="1"/>
  <c r="A170" i="10"/>
  <c r="BS166" i="10"/>
  <c r="CF166" i="10"/>
  <c r="A166" i="10"/>
  <c r="CO166" i="10"/>
  <c r="BW166" i="10"/>
  <c r="CD166" i="10" a="1"/>
  <c r="CD166" i="10" s="1"/>
  <c r="CK166" i="10"/>
  <c r="CI159" i="10"/>
  <c r="CF172" i="10"/>
  <c r="BS172" i="10"/>
  <c r="BT172" i="10" s="1"/>
  <c r="BF164" i="10"/>
  <c r="BF159" i="10"/>
  <c r="BP159" i="10" s="1"/>
  <c r="BQ159" i="10" s="1"/>
  <c r="BR159" i="10" s="1" a="1"/>
  <c r="BR159" i="10" s="1"/>
  <c r="BG157" i="10"/>
  <c r="BH157" i="10"/>
  <c r="BG167" i="10"/>
  <c r="CT167" i="10" s="1"/>
  <c r="CU167" i="10" s="1"/>
  <c r="BH167" i="10"/>
  <c r="CL163" i="10"/>
  <c r="CM163" i="10" s="1"/>
  <c r="BH149" i="10"/>
  <c r="BG149" i="10"/>
  <c r="BF166" i="10"/>
  <c r="BQ166" i="10"/>
  <c r="CE161" i="10"/>
  <c r="CE148" i="10"/>
  <c r="BH175" i="10"/>
  <c r="CH175" i="10" s="1"/>
  <c r="CI175" i="10" s="1"/>
  <c r="CJ175" i="10" s="1" a="1"/>
  <c r="CJ175" i="10" s="1"/>
  <c r="A174" i="10"/>
  <c r="CK172" i="10"/>
  <c r="CD172" i="10" a="1"/>
  <c r="CD172" i="10" s="1"/>
  <c r="BH171" i="10"/>
  <c r="BP171" i="10" s="1"/>
  <c r="BQ171" i="10" s="1"/>
  <c r="BR171" i="10" s="1" a="1"/>
  <c r="BR171" i="10" s="1"/>
  <c r="CH170" i="10"/>
  <c r="AO170" i="10"/>
  <c r="AO169" i="10"/>
  <c r="BJ169" i="10"/>
  <c r="CO169" i="10"/>
  <c r="BS168" i="10"/>
  <c r="BT168" i="10" s="1"/>
  <c r="BU168" i="10" s="1"/>
  <c r="CF168" i="10"/>
  <c r="A168" i="10"/>
  <c r="CM167" i="10"/>
  <c r="AO166" i="10"/>
  <c r="CL165" i="10"/>
  <c r="CM165" i="10" s="1"/>
  <c r="BW164" i="10"/>
  <c r="BX164" i="10" s="1"/>
  <c r="BY164" i="10" s="1"/>
  <c r="CD164" i="10" a="1"/>
  <c r="CD164" i="10" s="1"/>
  <c r="CK164" i="10"/>
  <c r="AO164" i="10"/>
  <c r="BJ164" i="10"/>
  <c r="BL164" i="10" s="1"/>
  <c r="BM164" i="10" s="1"/>
  <c r="BN164" i="10" s="1" a="1"/>
  <c r="BN164" i="10" s="1"/>
  <c r="BS164" i="10"/>
  <c r="BT164" i="10" s="1"/>
  <c r="BU164" i="10" s="1"/>
  <c r="CF164" i="10"/>
  <c r="A164" i="10"/>
  <c r="BP163" i="10"/>
  <c r="BQ163" i="10" s="1"/>
  <c r="CF174" i="10"/>
  <c r="CH174" i="10" s="1"/>
  <c r="CI174" i="10" s="1"/>
  <c r="BJ170" i="10"/>
  <c r="BL170" i="10" s="1"/>
  <c r="BM170" i="10" s="1"/>
  <c r="CS169" i="10"/>
  <c r="A169" i="10"/>
  <c r="BH168" i="10"/>
  <c r="CT168" i="10" s="1"/>
  <c r="CU168" i="10" s="1"/>
  <c r="CL167" i="10"/>
  <c r="BO166" i="10"/>
  <c r="BP166" i="10" s="1"/>
  <c r="BG166" i="10"/>
  <c r="CS164" i="10"/>
  <c r="CA164" i="10" a="1"/>
  <c r="CA164" i="10" s="1"/>
  <c r="CE163" i="10"/>
  <c r="BH169" i="10"/>
  <c r="BP168" i="10"/>
  <c r="BQ168" i="10" s="1"/>
  <c r="CP163" i="10"/>
  <c r="CQ163" i="10" s="1"/>
  <c r="CR163" i="10" s="1" a="1"/>
  <c r="CR163" i="10" s="1"/>
  <c r="BE150" i="10" a="1"/>
  <c r="BE150" i="10" s="1"/>
  <c r="CS150" i="10"/>
  <c r="CO150" i="10"/>
  <c r="A150" i="10"/>
  <c r="BJ150" i="10"/>
  <c r="CF150" i="10"/>
  <c r="BW150" i="10"/>
  <c r="AO150" i="10"/>
  <c r="BS150" i="10"/>
  <c r="CD150" i="10" a="1"/>
  <c r="CD150" i="10" s="1"/>
  <c r="BG147" i="10"/>
  <c r="BH147" i="10"/>
  <c r="CK162" i="10"/>
  <c r="CD162" i="10" a="1"/>
  <c r="CD162" i="10" s="1"/>
  <c r="BW162" i="10"/>
  <c r="CL159" i="10"/>
  <c r="CM159" i="10" s="1"/>
  <c r="BE157" i="10" a="1"/>
  <c r="BE157" i="10" s="1"/>
  <c r="CS157" i="10"/>
  <c r="BS157" i="10"/>
  <c r="CF157" i="10"/>
  <c r="A157" i="10"/>
  <c r="A155" i="10"/>
  <c r="AO155" i="10"/>
  <c r="BJ155" i="10"/>
  <c r="BS155" i="10"/>
  <c r="BE155" i="10" a="1"/>
  <c r="BE155" i="10" s="1"/>
  <c r="CD155" i="10" a="1"/>
  <c r="CD155" i="10" s="1"/>
  <c r="CK155" i="10"/>
  <c r="CF155" i="10"/>
  <c r="CO151" i="10"/>
  <c r="A134" i="10"/>
  <c r="BW134" i="10"/>
  <c r="CD134" i="10" a="1"/>
  <c r="CD134" i="10" s="1"/>
  <c r="CK134" i="10"/>
  <c r="AO134" i="10"/>
  <c r="BJ134" i="10"/>
  <c r="BE134" i="10" a="1"/>
  <c r="BE134" i="10" s="1"/>
  <c r="CS134" i="10"/>
  <c r="BS134" i="10"/>
  <c r="CF134" i="10"/>
  <c r="CO134" i="10"/>
  <c r="BO134" i="10"/>
  <c r="BJ167" i="10"/>
  <c r="BX167" i="10" s="1"/>
  <c r="BY167" i="10" s="1"/>
  <c r="AO167" i="10"/>
  <c r="CO165" i="10"/>
  <c r="CP165" i="10" s="1"/>
  <c r="BZ164" i="10" a="1"/>
  <c r="BZ164" i="10" s="1"/>
  <c r="BJ163" i="10"/>
  <c r="AO163" i="10"/>
  <c r="BT159" i="10"/>
  <c r="BU159" i="10" s="1"/>
  <c r="BL159" i="10"/>
  <c r="BM159" i="10" s="1"/>
  <c r="BN159" i="10" s="1" a="1"/>
  <c r="BN159" i="10" s="1"/>
  <c r="CK157" i="10"/>
  <c r="BW157" i="10"/>
  <c r="A151" i="10"/>
  <c r="AO151" i="10"/>
  <c r="BJ151" i="10"/>
  <c r="CF151" i="10"/>
  <c r="BW151" i="10"/>
  <c r="CS151" i="10"/>
  <c r="BE151" i="10" a="1"/>
  <c r="BE151" i="10" s="1"/>
  <c r="BS149" i="10"/>
  <c r="CF149" i="10"/>
  <c r="BE149" i="10" a="1"/>
  <c r="BE149" i="10" s="1"/>
  <c r="CK149" i="10"/>
  <c r="CO149" i="10"/>
  <c r="CD149" i="10" a="1"/>
  <c r="CD149" i="10" s="1"/>
  <c r="A149" i="10"/>
  <c r="CT159" i="10"/>
  <c r="CU159" i="10" s="1"/>
  <c r="CP158" i="10"/>
  <c r="CQ158" i="10" s="1"/>
  <c r="BF158" i="10"/>
  <c r="BG146" i="10"/>
  <c r="BH146" i="10"/>
  <c r="CO162" i="10"/>
  <c r="BG162" i="10"/>
  <c r="CJ159" i="10" a="1"/>
  <c r="CJ159" i="10" s="1"/>
  <c r="CN159" i="10" a="1"/>
  <c r="CN159" i="10" s="1"/>
  <c r="CE146" i="10"/>
  <c r="BH163" i="10"/>
  <c r="BX163" i="10" s="1"/>
  <c r="BY163" i="10" s="1"/>
  <c r="A162" i="10"/>
  <c r="BG160" i="10"/>
  <c r="BG155" i="10"/>
  <c r="CD151" i="10" a="1"/>
  <c r="CD151" i="10" s="1"/>
  <c r="CE147" i="10"/>
  <c r="BJ165" i="10"/>
  <c r="BX165" i="10" s="1"/>
  <c r="BY165" i="10" s="1"/>
  <c r="CF162" i="10"/>
  <c r="BJ161" i="10"/>
  <c r="BX161" i="10" s="1"/>
  <c r="BY161" i="10" s="1"/>
  <c r="CP159" i="10"/>
  <c r="CQ159" i="10" s="1"/>
  <c r="CR159" i="10" s="1" a="1"/>
  <c r="CR159" i="10" s="1"/>
  <c r="BX159" i="10"/>
  <c r="BY159" i="10" s="1"/>
  <c r="CL158" i="10"/>
  <c r="CM158" i="10" s="1"/>
  <c r="BG158" i="10"/>
  <c r="BT158" i="10" s="1"/>
  <c r="BU158" i="10" s="1"/>
  <c r="BH158" i="10"/>
  <c r="CD157" i="10" a="1"/>
  <c r="CD157" i="10" s="1"/>
  <c r="AO157" i="10"/>
  <c r="BW156" i="10"/>
  <c r="CD156" i="10" a="1"/>
  <c r="CD156" i="10" s="1"/>
  <c r="CK156" i="10"/>
  <c r="AO156" i="10"/>
  <c r="BJ156" i="10"/>
  <c r="BE156" i="10" a="1"/>
  <c r="BE156" i="10" s="1"/>
  <c r="CS156" i="10"/>
  <c r="CO156" i="10"/>
  <c r="BW155" i="10"/>
  <c r="BE154" i="10" a="1"/>
  <c r="BE154" i="10" s="1"/>
  <c r="CS154" i="10"/>
  <c r="CT154" i="10" s="1"/>
  <c r="CU154" i="10" s="1"/>
  <c r="CO154" i="10"/>
  <c r="A154" i="10"/>
  <c r="BJ154" i="10"/>
  <c r="CF154" i="10"/>
  <c r="BW154" i="10"/>
  <c r="AO154" i="10"/>
  <c r="BG151" i="10"/>
  <c r="BE153" i="10" a="1"/>
  <c r="BE153" i="10" s="1"/>
  <c r="BG152" i="10"/>
  <c r="BF145" i="10"/>
  <c r="CE152" i="10"/>
  <c r="CT152" i="10" s="1"/>
  <c r="CU152" i="10" s="1"/>
  <c r="BG148" i="10"/>
  <c r="BH148" i="10"/>
  <c r="BG154" i="10"/>
  <c r="BW153" i="10"/>
  <c r="CD153" i="10" a="1"/>
  <c r="CD153" i="10" s="1"/>
  <c r="CK153" i="10"/>
  <c r="BS153" i="10"/>
  <c r="CF153" i="10"/>
  <c r="BG153" i="10"/>
  <c r="CO153" i="10"/>
  <c r="BG150" i="10"/>
  <c r="CS148" i="10"/>
  <c r="BS147" i="10"/>
  <c r="CF147" i="10"/>
  <c r="CP147" i="10" s="1"/>
  <c r="CQ147" i="10" s="1"/>
  <c r="A147" i="10"/>
  <c r="CK147" i="10"/>
  <c r="CS147" i="10"/>
  <c r="BE147" i="10" a="1"/>
  <c r="BE147" i="10" s="1"/>
  <c r="BO147" i="10"/>
  <c r="CO148" i="10"/>
  <c r="AO148" i="10"/>
  <c r="BJ148" i="10"/>
  <c r="BO148" i="10"/>
  <c r="BW148" i="10"/>
  <c r="CF148" i="10"/>
  <c r="CL148" i="10" s="1"/>
  <c r="CM148" i="10" s="1"/>
  <c r="A148" i="10"/>
  <c r="BG144" i="10"/>
  <c r="BH144" i="10"/>
  <c r="BF143" i="10"/>
  <c r="BL143" i="10" s="1"/>
  <c r="BM143" i="10" s="1"/>
  <c r="BN143" i="10" s="1" a="1"/>
  <c r="BN143" i="10" s="1"/>
  <c r="BS143" i="10"/>
  <c r="CF143" i="10"/>
  <c r="A143" i="10"/>
  <c r="CO143" i="10"/>
  <c r="CE131" i="10"/>
  <c r="BO145" i="10"/>
  <c r="BW141" i="10"/>
  <c r="CD141" i="10" a="1"/>
  <c r="CD141" i="10" s="1"/>
  <c r="CK141" i="10"/>
  <c r="AO141" i="10"/>
  <c r="BJ141" i="10"/>
  <c r="BS141" i="10"/>
  <c r="CF141" i="10"/>
  <c r="BE141" i="10" a="1"/>
  <c r="BE141" i="10" s="1"/>
  <c r="BO141" i="10"/>
  <c r="CO141" i="10"/>
  <c r="BF140" i="10"/>
  <c r="CE139" i="10"/>
  <c r="BF136" i="10"/>
  <c r="AO146" i="10"/>
  <c r="BJ146" i="10"/>
  <c r="BE146" i="10" a="1"/>
  <c r="BE146" i="10" s="1"/>
  <c r="BS146" i="10"/>
  <c r="CF146" i="10"/>
  <c r="CT146" i="10" s="1"/>
  <c r="CU146" i="10" s="1"/>
  <c r="CO146" i="10"/>
  <c r="A146" i="10"/>
  <c r="CD143" i="10" a="1"/>
  <c r="CD143" i="10" s="1"/>
  <c r="AO143" i="10"/>
  <c r="BW145" i="10"/>
  <c r="CD145" i="10" a="1"/>
  <c r="CD145" i="10" s="1"/>
  <c r="CK145" i="10"/>
  <c r="AO145" i="10"/>
  <c r="BJ145" i="10"/>
  <c r="BL145" i="10" s="1"/>
  <c r="BM145" i="10" s="1"/>
  <c r="BS145" i="10"/>
  <c r="BT145" i="10" s="1"/>
  <c r="BU145" i="10" s="1"/>
  <c r="CF145" i="10"/>
  <c r="CP144" i="10"/>
  <c r="CQ144" i="10" s="1"/>
  <c r="BW138" i="10"/>
  <c r="CD138" i="10" a="1"/>
  <c r="CD138" i="10" s="1"/>
  <c r="CK138" i="10"/>
  <c r="AO138" i="10"/>
  <c r="BJ138" i="10"/>
  <c r="BE138" i="10" a="1"/>
  <c r="BE138" i="10" s="1"/>
  <c r="CS138" i="10"/>
  <c r="BS138" i="10"/>
  <c r="CF138" i="10"/>
  <c r="CO138" i="10"/>
  <c r="BO138" i="10"/>
  <c r="A138" i="10"/>
  <c r="BE142" i="10" a="1"/>
  <c r="BE142" i="10" s="1"/>
  <c r="BS142" i="10"/>
  <c r="CF142" i="10"/>
  <c r="A142" i="10"/>
  <c r="BG140" i="10"/>
  <c r="BH140" i="10"/>
  <c r="BG138" i="10"/>
  <c r="CK135" i="10"/>
  <c r="BG135" i="10"/>
  <c r="BF127" i="10"/>
  <c r="BJ144" i="10"/>
  <c r="AO144" i="10"/>
  <c r="CO142" i="10"/>
  <c r="BH139" i="10"/>
  <c r="BT136" i="10"/>
  <c r="BU136" i="10" s="1"/>
  <c r="BV136" i="10" s="1" a="1"/>
  <c r="BV136" i="10" s="1"/>
  <c r="BE135" i="10" a="1"/>
  <c r="BE135" i="10" s="1"/>
  <c r="CS135" i="10"/>
  <c r="BS135" i="10"/>
  <c r="CF135" i="10"/>
  <c r="A135" i="10"/>
  <c r="CO135" i="10"/>
  <c r="CD135" i="10" a="1"/>
  <c r="CD135" i="10" s="1"/>
  <c r="BJ135" i="10"/>
  <c r="CE127" i="10"/>
  <c r="CS142" i="10"/>
  <c r="BW142" i="10"/>
  <c r="BO142" i="10"/>
  <c r="BP136" i="10"/>
  <c r="BQ136" i="10" s="1"/>
  <c r="CE129" i="10"/>
  <c r="CD142" i="10" a="1"/>
  <c r="CD142" i="10" s="1"/>
  <c r="AO142" i="10"/>
  <c r="BP140" i="10"/>
  <c r="BQ140" i="10" s="1"/>
  <c r="BE139" i="10" a="1"/>
  <c r="BE139" i="10" s="1"/>
  <c r="BS139" i="10"/>
  <c r="CF139" i="10"/>
  <c r="CH139" i="10" s="1"/>
  <c r="CI139" i="10" s="1"/>
  <c r="CJ139" i="10" s="1" a="1"/>
  <c r="CJ139" i="10" s="1"/>
  <c r="A139" i="10"/>
  <c r="CO139" i="10"/>
  <c r="BG136" i="10"/>
  <c r="CP136" i="10" s="1"/>
  <c r="CQ136" i="10" s="1"/>
  <c r="BH136" i="10"/>
  <c r="BX136" i="10" s="1"/>
  <c r="BY136" i="10" s="1"/>
  <c r="BG134" i="10"/>
  <c r="BF131" i="10"/>
  <c r="CE130" i="10"/>
  <c r="CF137" i="10"/>
  <c r="BS137" i="10"/>
  <c r="BG132" i="10"/>
  <c r="BW125" i="10"/>
  <c r="CD125" i="10" a="1"/>
  <c r="CD125" i="10" s="1"/>
  <c r="CK125" i="10"/>
  <c r="AO125" i="10"/>
  <c r="BJ125" i="10"/>
  <c r="BE125" i="10" a="1"/>
  <c r="BE125" i="10" s="1"/>
  <c r="CS125" i="10"/>
  <c r="BS125" i="10"/>
  <c r="CF125" i="10"/>
  <c r="A125" i="10"/>
  <c r="CO125" i="10"/>
  <c r="CP123" i="10"/>
  <c r="CQ123" i="10" s="1"/>
  <c r="CR123" i="10" s="1" a="1"/>
  <c r="CR123" i="10" s="1"/>
  <c r="BJ137" i="10"/>
  <c r="BX137" i="10" s="1"/>
  <c r="BY137" i="10" s="1"/>
  <c r="AO137" i="10"/>
  <c r="AO133" i="10"/>
  <c r="BJ133" i="10"/>
  <c r="BE133" i="10" a="1"/>
  <c r="BE133" i="10" s="1"/>
  <c r="CS133" i="10"/>
  <c r="A133" i="10"/>
  <c r="CO133" i="10"/>
  <c r="BW132" i="10"/>
  <c r="CD132" i="10" a="1"/>
  <c r="CD132" i="10" s="1"/>
  <c r="CK132" i="10"/>
  <c r="AO132" i="10"/>
  <c r="BJ132" i="10"/>
  <c r="BE132" i="10" a="1"/>
  <c r="BE132" i="10" s="1"/>
  <c r="CS132" i="10"/>
  <c r="BS132" i="10"/>
  <c r="CF132" i="10"/>
  <c r="CO132" i="10"/>
  <c r="CT130" i="10"/>
  <c r="CU130" i="10" s="1"/>
  <c r="CK129" i="10"/>
  <c r="CE126" i="10"/>
  <c r="CT126" i="10" s="1"/>
  <c r="CU126" i="10" s="1"/>
  <c r="BF126" i="10"/>
  <c r="CT123" i="10"/>
  <c r="CU123" i="10" s="1"/>
  <c r="CK137" i="10"/>
  <c r="CD137" i="10" a="1"/>
  <c r="CD137" i="10" s="1"/>
  <c r="CD133" i="10" a="1"/>
  <c r="CD133" i="10" s="1"/>
  <c r="BX130" i="10"/>
  <c r="BY130" i="10" s="1"/>
  <c r="BZ130" i="10" s="1" a="1"/>
  <c r="BZ130" i="10" s="1"/>
  <c r="BF130" i="10"/>
  <c r="BU130" i="10"/>
  <c r="BV130" i="10" s="1" a="1"/>
  <c r="BV130" i="10" s="1"/>
  <c r="BX126" i="10"/>
  <c r="BY126" i="10" s="1"/>
  <c r="BG126" i="10"/>
  <c r="BH126" i="10"/>
  <c r="BG130" i="10"/>
  <c r="BH130" i="10"/>
  <c r="BG129" i="10"/>
  <c r="BF123" i="10"/>
  <c r="CL130" i="10"/>
  <c r="CM130" i="10" s="1"/>
  <c r="BP130" i="10"/>
  <c r="BQ130" i="10" s="1"/>
  <c r="CP131" i="10"/>
  <c r="CQ131" i="10" s="1"/>
  <c r="BT130" i="10"/>
  <c r="AO129" i="10"/>
  <c r="BJ129" i="10"/>
  <c r="BE129" i="10" a="1"/>
  <c r="BE129" i="10" s="1"/>
  <c r="CS129" i="10"/>
  <c r="BS129" i="10"/>
  <c r="CF129" i="10"/>
  <c r="A129" i="10"/>
  <c r="CO129" i="10"/>
  <c r="CP126" i="10"/>
  <c r="CQ126" i="10" s="1"/>
  <c r="CO128" i="10"/>
  <c r="CO124" i="10"/>
  <c r="CF123" i="10"/>
  <c r="CL123" i="10" s="1"/>
  <c r="CM123" i="10" s="1"/>
  <c r="BS123" i="10"/>
  <c r="CF128" i="10"/>
  <c r="BS128" i="10"/>
  <c r="BJ127" i="10"/>
  <c r="BP127" i="10" s="1"/>
  <c r="BQ127" i="10" s="1"/>
  <c r="CF124" i="10"/>
  <c r="BS124" i="10"/>
  <c r="BJ123" i="10"/>
  <c r="AO123" i="10"/>
  <c r="CS128" i="10"/>
  <c r="BE128" i="10" a="1"/>
  <c r="BE128" i="10" s="1"/>
  <c r="CS124" i="10"/>
  <c r="BE124" i="10" a="1"/>
  <c r="BE124" i="10" s="1"/>
  <c r="BJ128" i="10"/>
  <c r="AO128" i="10"/>
  <c r="AO124" i="10"/>
  <c r="BH131" i="10"/>
  <c r="CH131" i="10" s="1"/>
  <c r="CI131" i="10" s="1"/>
  <c r="CJ131" i="10" s="1" a="1"/>
  <c r="CJ131" i="10" s="1"/>
  <c r="A130" i="10"/>
  <c r="CK128" i="10"/>
  <c r="CD128" i="10" a="1"/>
  <c r="CD128" i="10" s="1"/>
  <c r="BH127" i="10"/>
  <c r="CL127" i="10" s="1"/>
  <c r="CM127" i="10" s="1"/>
  <c r="CK124" i="10"/>
  <c r="CD124" i="10" a="1"/>
  <c r="CD124" i="10" s="1"/>
  <c r="BH123" i="10"/>
  <c r="BL123" i="10" s="1"/>
  <c r="BM123" i="10" s="1"/>
  <c r="A88" i="10"/>
  <c r="BJ27" i="10"/>
  <c r="BE83" i="10" a="1"/>
  <c r="BE83" i="10" s="1"/>
  <c r="AO106" i="10"/>
  <c r="A28" i="10"/>
  <c r="BG106" i="10"/>
  <c r="BO83" i="10"/>
  <c r="BJ106" i="10"/>
  <c r="AO41" i="10"/>
  <c r="CK82" i="10"/>
  <c r="BE85" i="10" a="1"/>
  <c r="BE85" i="10" s="1"/>
  <c r="BF85" i="10" s="1"/>
  <c r="A104" i="10"/>
  <c r="CD116" i="10" a="1"/>
  <c r="CD116" i="10" s="1"/>
  <c r="BW46" i="10"/>
  <c r="BG55" i="10"/>
  <c r="CO69" i="10"/>
  <c r="CO73" i="10"/>
  <c r="CK75" i="10"/>
  <c r="BG89" i="10"/>
  <c r="CF99" i="10"/>
  <c r="BW102" i="10"/>
  <c r="CF103" i="10"/>
  <c r="CD46" i="10" a="1"/>
  <c r="CD46" i="10" s="1"/>
  <c r="BE89" i="10" a="1"/>
  <c r="BE89" i="10" s="1"/>
  <c r="CK101" i="10"/>
  <c r="A27" i="10"/>
  <c r="A81" i="10"/>
  <c r="A99" i="10"/>
  <c r="A102" i="10"/>
  <c r="CK102" i="10"/>
  <c r="CK106" i="10"/>
  <c r="CF30" i="10"/>
  <c r="A33" i="10"/>
  <c r="BG64" i="10"/>
  <c r="CO88" i="10"/>
  <c r="BS112" i="10"/>
  <c r="A31" i="10"/>
  <c r="BO45" i="10"/>
  <c r="BG47" i="10"/>
  <c r="BS49" i="10"/>
  <c r="CD61" i="10" a="1"/>
  <c r="CD61" i="10" s="1"/>
  <c r="AO68" i="10"/>
  <c r="A73" i="10"/>
  <c r="CS88" i="10"/>
  <c r="BO93" i="10"/>
  <c r="A89" i="10"/>
  <c r="A25" i="10"/>
  <c r="CD28" i="10" a="1"/>
  <c r="CD28" i="10" s="1"/>
  <c r="BO33" i="10"/>
  <c r="BJ41" i="10"/>
  <c r="A58" i="10"/>
  <c r="A67" i="10"/>
  <c r="AO69" i="10"/>
  <c r="BJ75" i="10"/>
  <c r="A77" i="10"/>
  <c r="CK84" i="10"/>
  <c r="BH89" i="10"/>
  <c r="BE110" i="10" a="1"/>
  <c r="BE110" i="10" s="1"/>
  <c r="CS27" i="10"/>
  <c r="CK30" i="10"/>
  <c r="CK49" i="10"/>
  <c r="A52" i="10"/>
  <c r="BO56" i="10"/>
  <c r="CF61" i="10"/>
  <c r="BG73" i="10"/>
  <c r="CO75" i="10"/>
  <c r="CO82" i="10"/>
  <c r="CK83" i="10"/>
  <c r="BO97" i="10"/>
  <c r="BG104" i="10"/>
  <c r="BS106" i="10"/>
  <c r="BJ110" i="10"/>
  <c r="BW115" i="10"/>
  <c r="BH121" i="10"/>
  <c r="BG25" i="10"/>
  <c r="BO53" i="10"/>
  <c r="CO56" i="10"/>
  <c r="AO60" i="10"/>
  <c r="BG60" i="10"/>
  <c r="BE64" i="10" a="1"/>
  <c r="BE64" i="10" s="1"/>
  <c r="BS65" i="10"/>
  <c r="A75" i="10"/>
  <c r="A84" i="10"/>
  <c r="A92" i="10"/>
  <c r="BS110" i="10"/>
  <c r="BG113" i="10"/>
  <c r="CO114" i="10"/>
  <c r="BJ25" i="10"/>
  <c r="AO44" i="10"/>
  <c r="BS53" i="10"/>
  <c r="BJ67" i="10"/>
  <c r="A69" i="10"/>
  <c r="BW110" i="10"/>
  <c r="BE113" i="10" a="1"/>
  <c r="BE113" i="10" s="1"/>
  <c r="BO25" i="10"/>
  <c r="A54" i="10"/>
  <c r="BH55" i="10"/>
  <c r="BW67" i="10"/>
  <c r="BG95" i="10"/>
  <c r="BJ108" i="10"/>
  <c r="BH31" i="10"/>
  <c r="BS108" i="10"/>
  <c r="BJ120" i="10"/>
  <c r="BG30" i="10"/>
  <c r="BE30" i="10" a="1"/>
  <c r="BE30" i="10" s="1"/>
  <c r="BG61" i="10"/>
  <c r="BE74" i="10" a="1"/>
  <c r="BE74" i="10" s="1"/>
  <c r="AO82" i="10"/>
  <c r="AO110" i="10"/>
  <c r="BE115" i="10" a="1"/>
  <c r="BE115" i="10" s="1"/>
  <c r="BF115" i="10" s="1"/>
  <c r="BE119" i="10" a="1"/>
  <c r="BE119" i="10" s="1"/>
  <c r="BO24" i="10"/>
  <c r="BJ24" i="10"/>
  <c r="CS37" i="10"/>
  <c r="BJ37" i="10"/>
  <c r="A37" i="10"/>
  <c r="CO37" i="10"/>
  <c r="BG37" i="10"/>
  <c r="CK37" i="10"/>
  <c r="AO37" i="10"/>
  <c r="CD37" i="10" a="1"/>
  <c r="CD37" i="10" s="1"/>
  <c r="BO62" i="10"/>
  <c r="BJ62" i="10"/>
  <c r="CS62" i="10"/>
  <c r="A62" i="10"/>
  <c r="CK62" i="10"/>
  <c r="CF62" i="10"/>
  <c r="BE62" i="10" a="1"/>
  <c r="BE62" i="10" s="1"/>
  <c r="CD62" i="10" a="1"/>
  <c r="CD62" i="10" s="1"/>
  <c r="CS94" i="10"/>
  <c r="CD94" i="10" a="1"/>
  <c r="CD94" i="10" s="1"/>
  <c r="BW94" i="10"/>
  <c r="BS94" i="10"/>
  <c r="A94" i="10"/>
  <c r="CO94" i="10"/>
  <c r="BO96" i="10"/>
  <c r="CO96" i="10"/>
  <c r="CK96" i="10"/>
  <c r="CF96" i="10"/>
  <c r="A96" i="10"/>
  <c r="BE96" i="10" a="1"/>
  <c r="BE96" i="10" s="1"/>
  <c r="BF96" i="10" s="1"/>
  <c r="CD96" i="10" a="1"/>
  <c r="CD96" i="10" s="1"/>
  <c r="CE96" i="10" s="1"/>
  <c r="AO96" i="10"/>
  <c r="BW96" i="10"/>
  <c r="CO71" i="10"/>
  <c r="CK71" i="10"/>
  <c r="A71" i="10"/>
  <c r="CF71" i="10"/>
  <c r="CD71" i="10" a="1"/>
  <c r="CD71" i="10" s="1"/>
  <c r="CE71" i="10" s="1"/>
  <c r="BW71" i="10"/>
  <c r="BS71" i="10"/>
  <c r="BO98" i="10"/>
  <c r="CS98" i="10"/>
  <c r="CK98" i="10"/>
  <c r="CF98" i="10"/>
  <c r="A98" i="10"/>
  <c r="BE98" i="10" a="1"/>
  <c r="BE98" i="10" s="1"/>
  <c r="BF98" i="10" s="1"/>
  <c r="CD98" i="10" a="1"/>
  <c r="CD98" i="10" s="1"/>
  <c r="CE98" i="10" s="1"/>
  <c r="AO98" i="10"/>
  <c r="BW98" i="10"/>
  <c r="CO78" i="10"/>
  <c r="A78" i="10"/>
  <c r="AO78" i="10"/>
  <c r="CK78" i="10"/>
  <c r="CK87" i="10"/>
  <c r="CD87" i="10" a="1"/>
  <c r="CD87" i="10" s="1"/>
  <c r="CE87" i="10" s="1"/>
  <c r="BS87" i="10"/>
  <c r="BJ23" i="10"/>
  <c r="BE23" i="10" a="1"/>
  <c r="BE23" i="10" s="1"/>
  <c r="BW25" i="10"/>
  <c r="AO26" i="10"/>
  <c r="BW27" i="10"/>
  <c r="CF40" i="10"/>
  <c r="BO40" i="10"/>
  <c r="CF48" i="10"/>
  <c r="BG48" i="10"/>
  <c r="A48" i="10"/>
  <c r="CO48" i="10"/>
  <c r="AO48" i="10"/>
  <c r="CK48" i="10"/>
  <c r="BS62" i="10"/>
  <c r="CK90" i="10"/>
  <c r="CD90" i="10" a="1"/>
  <c r="CD90" i="10" s="1"/>
  <c r="CE90" i="10" s="1"/>
  <c r="A90" i="10"/>
  <c r="A122" i="10"/>
  <c r="CO122" i="10"/>
  <c r="BG122" i="10"/>
  <c r="CO91" i="10"/>
  <c r="CS91" i="10"/>
  <c r="BG91" i="10"/>
  <c r="BG24" i="10"/>
  <c r="CD25" i="10" a="1"/>
  <c r="CD25" i="10" s="1"/>
  <c r="CE25" i="10" s="1"/>
  <c r="BG26" i="10"/>
  <c r="CD27" i="10" a="1"/>
  <c r="CD27" i="10" s="1"/>
  <c r="CE27" i="10" s="1"/>
  <c r="BO37" i="10"/>
  <c r="BW62" i="10"/>
  <c r="CF94" i="10"/>
  <c r="BJ96" i="10"/>
  <c r="BJ112" i="10"/>
  <c r="A112" i="10"/>
  <c r="AO112" i="10"/>
  <c r="CK112" i="10"/>
  <c r="CK32" i="10"/>
  <c r="CS32" i="10"/>
  <c r="CD32" i="10" a="1"/>
  <c r="CD32" i="10" s="1"/>
  <c r="CE32" i="10" s="1"/>
  <c r="A32" i="10"/>
  <c r="BE32" i="10" a="1"/>
  <c r="BE32" i="10" s="1"/>
  <c r="BF32" i="10" s="1"/>
  <c r="BO51" i="10"/>
  <c r="CK51" i="10"/>
  <c r="CD51" i="10" a="1"/>
  <c r="CD51" i="10" s="1"/>
  <c r="BE51" i="10" a="1"/>
  <c r="BE51" i="10" s="1"/>
  <c r="BO109" i="10"/>
  <c r="BE109" i="10" a="1"/>
  <c r="BE109" i="10" s="1"/>
  <c r="BF109" i="10" s="1"/>
  <c r="CS109" i="10"/>
  <c r="CK25" i="10"/>
  <c r="BG27" i="10"/>
  <c r="CK27" i="10"/>
  <c r="BW37" i="10"/>
  <c r="A45" i="10"/>
  <c r="BE45" i="10" a="1"/>
  <c r="BE45" i="10" s="1"/>
  <c r="CF45" i="10"/>
  <c r="BO78" i="10"/>
  <c r="CK94" i="10"/>
  <c r="BS96" i="10"/>
  <c r="BJ103" i="10"/>
  <c r="BS103" i="10"/>
  <c r="A103" i="10"/>
  <c r="BE103" i="10" a="1"/>
  <c r="BE103" i="10" s="1"/>
  <c r="CO59" i="10"/>
  <c r="BO59" i="10"/>
  <c r="BJ59" i="10"/>
  <c r="A59" i="10"/>
  <c r="CK59" i="10"/>
  <c r="A42" i="10"/>
  <c r="CK42" i="10"/>
  <c r="CD42" i="10" a="1"/>
  <c r="CD42" i="10" s="1"/>
  <c r="BE42" i="10" a="1"/>
  <c r="BE42" i="10" s="1"/>
  <c r="BF42" i="10" s="1"/>
  <c r="BW42" i="10"/>
  <c r="BO42" i="10"/>
  <c r="BW23" i="10"/>
  <c r="AO27" i="10"/>
  <c r="BE27" i="10" a="1"/>
  <c r="BE27" i="10" s="1"/>
  <c r="BF27" i="10" s="1"/>
  <c r="BL27" i="10" s="1"/>
  <c r="BM27" i="10" s="1"/>
  <c r="BN27" i="10" s="1" a="1"/>
  <c r="BN27" i="10" s="1"/>
  <c r="CF34" i="10"/>
  <c r="BS34" i="10"/>
  <c r="BO34" i="10"/>
  <c r="BE34" i="10" a="1"/>
  <c r="BE34" i="10" s="1"/>
  <c r="BF34" i="10" s="1"/>
  <c r="CD59" i="10" a="1"/>
  <c r="CD59" i="10" s="1"/>
  <c r="CE59" i="10" s="1"/>
  <c r="BJ71" i="10"/>
  <c r="BW78" i="10"/>
  <c r="CS96" i="10"/>
  <c r="BJ98" i="10"/>
  <c r="BS109" i="10"/>
  <c r="BF110" i="10"/>
  <c r="CK116" i="10"/>
  <c r="BJ116" i="10"/>
  <c r="A116" i="10"/>
  <c r="BE116" i="10" a="1"/>
  <c r="BE116" i="10" s="1"/>
  <c r="CS116" i="10"/>
  <c r="AO116" i="10"/>
  <c r="BJ29" i="10"/>
  <c r="BE29" i="10" a="1"/>
  <c r="BE29" i="10" s="1"/>
  <c r="BF29" i="10" s="1"/>
  <c r="A29" i="10"/>
  <c r="CO29" i="10"/>
  <c r="AO29" i="10"/>
  <c r="CD23" i="10" a="1"/>
  <c r="CD23" i="10" s="1"/>
  <c r="CE23" i="10" s="1"/>
  <c r="BI24" i="10" a="1"/>
  <c r="BI24" i="10" s="1"/>
  <c r="CO26" i="10"/>
  <c r="CD29" i="10" a="1"/>
  <c r="CD29" i="10" s="1"/>
  <c r="BJ42" i="10"/>
  <c r="BW48" i="10"/>
  <c r="CD63" i="10" a="1"/>
  <c r="CD63" i="10" s="1"/>
  <c r="BW63" i="10"/>
  <c r="A63" i="10"/>
  <c r="BO71" i="10"/>
  <c r="BS98" i="10"/>
  <c r="CF109" i="10"/>
  <c r="CS30" i="10"/>
  <c r="BW33" i="10"/>
  <c r="BG36" i="10"/>
  <c r="BO41" i="10"/>
  <c r="BG43" i="10"/>
  <c r="AO49" i="10"/>
  <c r="A50" i="10"/>
  <c r="BW53" i="10"/>
  <c r="BW54" i="10"/>
  <c r="BJ58" i="10"/>
  <c r="BO60" i="10"/>
  <c r="AO61" i="10"/>
  <c r="CK61" i="10"/>
  <c r="BW65" i="10"/>
  <c r="CD67" i="10" a="1"/>
  <c r="CD67" i="10" s="1"/>
  <c r="BO75" i="10"/>
  <c r="BO77" i="10"/>
  <c r="BO79" i="10"/>
  <c r="A82" i="10"/>
  <c r="CS84" i="10"/>
  <c r="BG87" i="10"/>
  <c r="BJ88" i="10"/>
  <c r="BJ92" i="10"/>
  <c r="BS93" i="10"/>
  <c r="BW108" i="10"/>
  <c r="CS120" i="10"/>
  <c r="A30" i="10"/>
  <c r="BO30" i="10"/>
  <c r="BG32" i="10"/>
  <c r="CD33" i="10" a="1"/>
  <c r="CD33" i="10" s="1"/>
  <c r="CE33" i="10" s="1"/>
  <c r="BJ39" i="10"/>
  <c r="BG40" i="10"/>
  <c r="BS41" i="10"/>
  <c r="BG42" i="10"/>
  <c r="A44" i="10"/>
  <c r="BG45" i="10"/>
  <c r="A46" i="10"/>
  <c r="CF46" i="10"/>
  <c r="BO50" i="10"/>
  <c r="CD53" i="10" a="1"/>
  <c r="CD53" i="10" s="1"/>
  <c r="CK54" i="10"/>
  <c r="BW58" i="10"/>
  <c r="BG59" i="10"/>
  <c r="CO60" i="10"/>
  <c r="BE61" i="10" a="1"/>
  <c r="BE61" i="10" s="1"/>
  <c r="CO61" i="10"/>
  <c r="CD65" i="10" a="1"/>
  <c r="CD65" i="10" s="1"/>
  <c r="CK67" i="10"/>
  <c r="BS69" i="10"/>
  <c r="BO70" i="10"/>
  <c r="BS73" i="10"/>
  <c r="BS75" i="10"/>
  <c r="BG76" i="10"/>
  <c r="CD77" i="10" a="1"/>
  <c r="CD77" i="10" s="1"/>
  <c r="CE77" i="10" s="1"/>
  <c r="A79" i="10"/>
  <c r="BS79" i="10"/>
  <c r="BJ82" i="10"/>
  <c r="BJ84" i="10"/>
  <c r="BG85" i="10"/>
  <c r="BS88" i="10"/>
  <c r="BS92" i="10"/>
  <c r="CF93" i="10"/>
  <c r="CO95" i="10"/>
  <c r="BS97" i="10"/>
  <c r="CO102" i="10"/>
  <c r="BE106" i="10" a="1"/>
  <c r="BE106" i="10" s="1"/>
  <c r="BF106" i="10" s="1"/>
  <c r="BP106" i="10" s="1"/>
  <c r="BQ106" i="10" s="1"/>
  <c r="BW106" i="10"/>
  <c r="CD108" i="10" a="1"/>
  <c r="CD108" i="10" s="1"/>
  <c r="A110" i="10"/>
  <c r="CD110" i="10" a="1"/>
  <c r="CD110" i="10" s="1"/>
  <c r="A113" i="10"/>
  <c r="CK115" i="10"/>
  <c r="BW119" i="10"/>
  <c r="A121" i="10"/>
  <c r="BS30" i="10"/>
  <c r="BJ31" i="10"/>
  <c r="CK33" i="10"/>
  <c r="A39" i="10"/>
  <c r="BW39" i="10"/>
  <c r="CD41" i="10" a="1"/>
  <c r="CD41" i="10" s="1"/>
  <c r="CO44" i="10"/>
  <c r="CK46" i="10"/>
  <c r="A49" i="10"/>
  <c r="BG49" i="10"/>
  <c r="BW50" i="10"/>
  <c r="CF53" i="10"/>
  <c r="A55" i="10"/>
  <c r="BO55" i="10"/>
  <c r="CD58" i="10" a="1"/>
  <c r="CD58" i="10" s="1"/>
  <c r="CE58" i="10" s="1"/>
  <c r="A61" i="10"/>
  <c r="CS61" i="10"/>
  <c r="BO64" i="10"/>
  <c r="CF65" i="10"/>
  <c r="BW69" i="10"/>
  <c r="CF70" i="10"/>
  <c r="BW73" i="10"/>
  <c r="BW75" i="10"/>
  <c r="CF79" i="10"/>
  <c r="BE80" i="10" a="1"/>
  <c r="BE80" i="10" s="1"/>
  <c r="BO82" i="10"/>
  <c r="BW83" i="10"/>
  <c r="BS84" i="10"/>
  <c r="BW88" i="10"/>
  <c r="CS89" i="10"/>
  <c r="BW92" i="10"/>
  <c r="CS93" i="10"/>
  <c r="CF97" i="10"/>
  <c r="BJ102" i="10"/>
  <c r="CS102" i="10"/>
  <c r="CO104" i="10"/>
  <c r="A106" i="10"/>
  <c r="CD106" i="10" a="1"/>
  <c r="CD106" i="10" s="1"/>
  <c r="CF108" i="10"/>
  <c r="CF110" i="10"/>
  <c r="BS113" i="10"/>
  <c r="BG114" i="10"/>
  <c r="CD119" i="10" a="1"/>
  <c r="CD119" i="10" s="1"/>
  <c r="BS121" i="10"/>
  <c r="BW30" i="10"/>
  <c r="CO33" i="10"/>
  <c r="CD39" i="10" a="1"/>
  <c r="CD39" i="10" s="1"/>
  <c r="CE39" i="10" s="1"/>
  <c r="CK41" i="10"/>
  <c r="BJ46" i="10"/>
  <c r="CK50" i="10"/>
  <c r="BG52" i="10"/>
  <c r="BG53" i="10"/>
  <c r="CL53" i="10" s="1"/>
  <c r="CM53" i="10" s="1"/>
  <c r="CK53" i="10"/>
  <c r="BW55" i="10"/>
  <c r="AO56" i="10"/>
  <c r="BG56" i="10"/>
  <c r="CK58" i="10"/>
  <c r="CO64" i="10"/>
  <c r="AO65" i="10"/>
  <c r="CK65" i="10"/>
  <c r="CD69" i="10" a="1"/>
  <c r="CD69" i="10" s="1"/>
  <c r="CS70" i="10"/>
  <c r="CD73" i="10" a="1"/>
  <c r="CD73" i="10" s="1"/>
  <c r="BS74" i="10"/>
  <c r="AO75" i="10"/>
  <c r="CD75" i="10" a="1"/>
  <c r="CD75" i="10" s="1"/>
  <c r="CE75" i="10" s="1"/>
  <c r="CK77" i="10"/>
  <c r="BW82" i="10"/>
  <c r="CF83" i="10"/>
  <c r="BW84" i="10"/>
  <c r="CD88" i="10" a="1"/>
  <c r="CD88" i="10" s="1"/>
  <c r="CD92" i="10" a="1"/>
  <c r="CD92" i="10" s="1"/>
  <c r="CE92" i="10" s="1"/>
  <c r="AO93" i="10"/>
  <c r="BS102" i="10"/>
  <c r="CF106" i="10"/>
  <c r="AO108" i="10"/>
  <c r="CK108" i="10"/>
  <c r="BG110" i="10"/>
  <c r="CK110" i="10"/>
  <c r="BW113" i="10"/>
  <c r="CK119" i="10"/>
  <c r="AO120" i="10"/>
  <c r="CF121" i="10"/>
  <c r="AO33" i="10"/>
  <c r="BG33" i="10"/>
  <c r="CK39" i="10"/>
  <c r="BO46" i="10"/>
  <c r="CD55" i="10" a="1"/>
  <c r="CD55" i="10" s="1"/>
  <c r="CE55" i="10" s="1"/>
  <c r="BS61" i="10"/>
  <c r="CS64" i="10"/>
  <c r="BG65" i="10"/>
  <c r="CO65" i="10"/>
  <c r="CF69" i="10"/>
  <c r="AO73" i="10"/>
  <c r="CF73" i="10"/>
  <c r="BO76" i="10"/>
  <c r="AO77" i="10"/>
  <c r="AO84" i="10"/>
  <c r="CD84" i="10" a="1"/>
  <c r="CD84" i="10" s="1"/>
  <c r="BL85" i="10"/>
  <c r="CS85" i="10"/>
  <c r="AO88" i="10"/>
  <c r="CF88" i="10"/>
  <c r="AO92" i="10"/>
  <c r="CF92" i="10"/>
  <c r="BG99" i="10"/>
  <c r="BW101" i="10"/>
  <c r="CO108" i="10"/>
  <c r="CO110" i="10"/>
  <c r="CS119" i="10"/>
  <c r="BE120" i="10" a="1"/>
  <c r="BE120" i="10" s="1"/>
  <c r="BF120" i="10" s="1"/>
  <c r="A41" i="10"/>
  <c r="BS46" i="10"/>
  <c r="BO49" i="10"/>
  <c r="BE50" i="10" a="1"/>
  <c r="BE50" i="10" s="1"/>
  <c r="BF50" i="10" s="1"/>
  <c r="CK55" i="10"/>
  <c r="BW61" i="10"/>
  <c r="AO64" i="10"/>
  <c r="CO68" i="10"/>
  <c r="CK69" i="10"/>
  <c r="CK73" i="10"/>
  <c r="CF75" i="10"/>
  <c r="AO76" i="10"/>
  <c r="CO76" i="10"/>
  <c r="BE77" i="10" a="1"/>
  <c r="BE77" i="10" s="1"/>
  <c r="BW81" i="10"/>
  <c r="AO83" i="10"/>
  <c r="BE84" i="10" a="1"/>
  <c r="BE84" i="10" s="1"/>
  <c r="BF84" i="10" s="1"/>
  <c r="CF84" i="10"/>
  <c r="BE88" i="10" a="1"/>
  <c r="BE88" i="10" s="1"/>
  <c r="CK88" i="10"/>
  <c r="BE92" i="10" a="1"/>
  <c r="BE92" i="10" s="1"/>
  <c r="BF92" i="10" s="1"/>
  <c r="CK92" i="10"/>
  <c r="AO102" i="10"/>
  <c r="CD102" i="10" a="1"/>
  <c r="CD102" i="10" s="1"/>
  <c r="CE102" i="10" s="1"/>
  <c r="CO106" i="10"/>
  <c r="A108" i="10"/>
  <c r="A114" i="10"/>
  <c r="BO114" i="10"/>
  <c r="A120" i="10"/>
  <c r="CF23" i="10"/>
  <c r="CK23" i="10"/>
  <c r="BS23" i="10"/>
  <c r="CE29" i="10"/>
  <c r="BF30" i="10"/>
  <c r="BO35" i="10"/>
  <c r="CO35" i="10"/>
  <c r="AO35" i="10"/>
  <c r="CF35" i="10"/>
  <c r="BS35" i="10"/>
  <c r="CS35" i="10"/>
  <c r="BE35" i="10" a="1"/>
  <c r="BE35" i="10" s="1"/>
  <c r="CS23" i="10"/>
  <c r="A24" i="10"/>
  <c r="BW24" i="10"/>
  <c r="CD24" i="10" a="1"/>
  <c r="CD24" i="10" s="1"/>
  <c r="CK24" i="10"/>
  <c r="BH25" i="10"/>
  <c r="BG28" i="10"/>
  <c r="CO31" i="10"/>
  <c r="AO31" i="10"/>
  <c r="CF31" i="10"/>
  <c r="BS31" i="10"/>
  <c r="BJ35" i="10"/>
  <c r="CD35" i="10" a="1"/>
  <c r="CD35" i="10" s="1"/>
  <c r="CF36" i="10"/>
  <c r="BS36" i="10"/>
  <c r="BJ36" i="10"/>
  <c r="CK36" i="10"/>
  <c r="CD36" i="10" a="1"/>
  <c r="CD36" i="10" s="1"/>
  <c r="BW36" i="10"/>
  <c r="A36" i="10"/>
  <c r="CO36" i="10"/>
  <c r="AO36" i="10"/>
  <c r="CF38" i="10"/>
  <c r="CE41" i="10"/>
  <c r="BH44" i="10"/>
  <c r="BG44" i="10"/>
  <c r="CE53" i="10"/>
  <c r="BE28" i="10" a="1"/>
  <c r="BE28" i="10" s="1"/>
  <c r="AO23" i="10"/>
  <c r="BG23" i="10"/>
  <c r="CO23" i="10"/>
  <c r="BS24" i="10"/>
  <c r="CF24" i="10"/>
  <c r="BO28" i="10"/>
  <c r="BW28" i="10"/>
  <c r="CS31" i="10"/>
  <c r="BH32" i="10"/>
  <c r="CK34" i="10"/>
  <c r="CD34" i="10" a="1"/>
  <c r="CD34" i="10" s="1"/>
  <c r="BW34" i="10"/>
  <c r="A34" i="10"/>
  <c r="CO34" i="10"/>
  <c r="AO34" i="10"/>
  <c r="BJ34" i="10"/>
  <c r="A35" i="10"/>
  <c r="BH35" i="10"/>
  <c r="BG35" i="10"/>
  <c r="CK35" i="10"/>
  <c r="BE36" i="10" a="1"/>
  <c r="BE36" i="10" s="1"/>
  <c r="BG50" i="10"/>
  <c r="BH50" i="10"/>
  <c r="CE42" i="10"/>
  <c r="BE24" i="10" a="1"/>
  <c r="BE24" i="10" s="1"/>
  <c r="CS24" i="10"/>
  <c r="BO26" i="10"/>
  <c r="CE28" i="10"/>
  <c r="CK38" i="10"/>
  <c r="CD38" i="10" a="1"/>
  <c r="CD38" i="10" s="1"/>
  <c r="BW38" i="10"/>
  <c r="A38" i="10"/>
  <c r="BO38" i="10"/>
  <c r="CO38" i="10"/>
  <c r="AO38" i="10"/>
  <c r="BJ38" i="10"/>
  <c r="BF45" i="10"/>
  <c r="BO23" i="10"/>
  <c r="BE25" i="10" a="1"/>
  <c r="BE25" i="10" s="1"/>
  <c r="CS25" i="10"/>
  <c r="A26" i="10"/>
  <c r="BW26" i="10"/>
  <c r="CD26" i="10" a="1"/>
  <c r="CD26" i="10" s="1"/>
  <c r="CK26" i="10"/>
  <c r="CF29" i="10"/>
  <c r="BS29" i="10"/>
  <c r="BG29" i="10"/>
  <c r="BO29" i="10"/>
  <c r="BH30" i="10"/>
  <c r="BE31" i="10" a="1"/>
  <c r="BE31" i="10" s="1"/>
  <c r="BO31" i="10"/>
  <c r="CK31" i="10"/>
  <c r="BG38" i="10"/>
  <c r="BS38" i="10"/>
  <c r="BF47" i="10"/>
  <c r="BF61" i="10"/>
  <c r="BI23" i="10" a="1"/>
  <c r="BI23" i="10" s="1"/>
  <c r="AO24" i="10"/>
  <c r="BS25" i="10"/>
  <c r="CF25" i="10"/>
  <c r="BJ26" i="10"/>
  <c r="CF27" i="10"/>
  <c r="BS27" i="10"/>
  <c r="BO27" i="10"/>
  <c r="BH28" i="10"/>
  <c r="CO30" i="10"/>
  <c r="AO30" i="10"/>
  <c r="BJ30" i="10"/>
  <c r="BW32" i="10"/>
  <c r="BG34" i="10"/>
  <c r="BW35" i="10"/>
  <c r="CS36" i="10"/>
  <c r="BE38" i="10" a="1"/>
  <c r="BE38" i="10" s="1"/>
  <c r="BG41" i="10"/>
  <c r="CE37" i="10"/>
  <c r="BE26" i="10" a="1"/>
  <c r="BE26" i="10" s="1"/>
  <c r="CS26" i="10"/>
  <c r="BJ28" i="10"/>
  <c r="CO28" i="10"/>
  <c r="AO28" i="10"/>
  <c r="CS28" i="10"/>
  <c r="AO25" i="10"/>
  <c r="BS26" i="10"/>
  <c r="BS28" i="10"/>
  <c r="CK28" i="10"/>
  <c r="CK29" i="10"/>
  <c r="CS29" i="10"/>
  <c r="CD31" i="10" a="1"/>
  <c r="CD31" i="10" s="1"/>
  <c r="CF32" i="10"/>
  <c r="BS32" i="10"/>
  <c r="BJ32" i="10"/>
  <c r="CO32" i="10"/>
  <c r="AO32" i="10"/>
  <c r="BO32" i="10"/>
  <c r="CS34" i="10"/>
  <c r="BO36" i="10"/>
  <c r="BF51" i="10"/>
  <c r="BS33" i="10"/>
  <c r="CF33" i="10"/>
  <c r="BS37" i="10"/>
  <c r="CF37" i="10"/>
  <c r="AO40" i="10"/>
  <c r="CO40" i="10"/>
  <c r="BH43" i="10"/>
  <c r="CF44" i="10"/>
  <c r="BS44" i="10"/>
  <c r="BJ44" i="10"/>
  <c r="BO44" i="10"/>
  <c r="BW44" i="10"/>
  <c r="CK44" i="10"/>
  <c r="CE50" i="10"/>
  <c r="BE39" i="10" a="1"/>
  <c r="BE39" i="10" s="1"/>
  <c r="CS39" i="10"/>
  <c r="A40" i="10"/>
  <c r="BW40" i="10"/>
  <c r="CD40" i="10" a="1"/>
  <c r="CD40" i="10" s="1"/>
  <c r="CK40" i="10"/>
  <c r="CO43" i="10"/>
  <c r="AO43" i="10"/>
  <c r="CF43" i="10"/>
  <c r="BS43" i="10"/>
  <c r="BJ43" i="10"/>
  <c r="CK43" i="10"/>
  <c r="CD43" i="10" a="1"/>
  <c r="CD43" i="10" s="1"/>
  <c r="BW43" i="10"/>
  <c r="CO47" i="10"/>
  <c r="AO47" i="10"/>
  <c r="CF47" i="10"/>
  <c r="BS47" i="10"/>
  <c r="BJ47" i="10"/>
  <c r="CK47" i="10"/>
  <c r="CD47" i="10" a="1"/>
  <c r="CD47" i="10" s="1"/>
  <c r="BW47" i="10"/>
  <c r="A47" i="10"/>
  <c r="BO47" i="10"/>
  <c r="BG62" i="10"/>
  <c r="BH62" i="10"/>
  <c r="BS39" i="10"/>
  <c r="CF39" i="10"/>
  <c r="BJ40" i="10"/>
  <c r="BW41" i="10"/>
  <c r="CF41" i="10"/>
  <c r="CO41" i="10"/>
  <c r="CO42" i="10"/>
  <c r="AO42" i="10"/>
  <c r="CF42" i="10"/>
  <c r="BS42" i="10"/>
  <c r="A43" i="10"/>
  <c r="BO43" i="10"/>
  <c r="BE44" i="10" a="1"/>
  <c r="BE44" i="10" s="1"/>
  <c r="CD44" i="10" a="1"/>
  <c r="CD44" i="10" s="1"/>
  <c r="CS47" i="10"/>
  <c r="BE40" i="10" a="1"/>
  <c r="BE40" i="10" s="1"/>
  <c r="CS40" i="10"/>
  <c r="BH63" i="10"/>
  <c r="BG63" i="10"/>
  <c r="BJ33" i="10"/>
  <c r="AO39" i="10"/>
  <c r="BG39" i="10"/>
  <c r="CO39" i="10"/>
  <c r="BS40" i="10"/>
  <c r="BE43" i="10" a="1"/>
  <c r="BE43" i="10" s="1"/>
  <c r="CS43" i="10"/>
  <c r="BH46" i="10"/>
  <c r="BG46" i="10"/>
  <c r="CE46" i="10"/>
  <c r="CE48" i="10"/>
  <c r="CH48" i="10" s="1"/>
  <c r="CI48" i="10" s="1"/>
  <c r="CJ48" i="10" s="1" a="1"/>
  <c r="CJ48" i="10" s="1"/>
  <c r="BE33" i="10" a="1"/>
  <c r="BE33" i="10" s="1"/>
  <c r="BE37" i="10" a="1"/>
  <c r="BE37" i="10" s="1"/>
  <c r="BE41" i="10" a="1"/>
  <c r="BE41" i="10" s="1"/>
  <c r="CS42" i="10"/>
  <c r="BJ45" i="10"/>
  <c r="CK45" i="10"/>
  <c r="CD45" i="10" a="1"/>
  <c r="CD45" i="10" s="1"/>
  <c r="BW45" i="10"/>
  <c r="CO45" i="10"/>
  <c r="AO45" i="10"/>
  <c r="CS45" i="10"/>
  <c r="BH47" i="10"/>
  <c r="BW49" i="10"/>
  <c r="CF49" i="10"/>
  <c r="CO49" i="10"/>
  <c r="BJ50" i="10"/>
  <c r="BG51" i="10"/>
  <c r="BO52" i="10"/>
  <c r="BH53" i="10"/>
  <c r="CO54" i="10"/>
  <c r="AO54" i="10"/>
  <c r="CF54" i="10"/>
  <c r="BS54" i="10"/>
  <c r="BJ54" i="10"/>
  <c r="BH69" i="10"/>
  <c r="BG69" i="10"/>
  <c r="BE46" i="10" a="1"/>
  <c r="BE46" i="10" s="1"/>
  <c r="CS46" i="10"/>
  <c r="BO48" i="10"/>
  <c r="CS50" i="10"/>
  <c r="BJ53" i="10"/>
  <c r="CO53" i="10"/>
  <c r="AO53" i="10"/>
  <c r="BG54" i="10"/>
  <c r="BO54" i="10"/>
  <c r="BH61" i="10"/>
  <c r="BF62" i="10"/>
  <c r="CS49" i="10"/>
  <c r="CF52" i="10"/>
  <c r="BS52" i="10"/>
  <c r="BJ52" i="10"/>
  <c r="CD52" i="10" a="1"/>
  <c r="CD52" i="10" s="1"/>
  <c r="CO52" i="10"/>
  <c r="CD54" i="10" a="1"/>
  <c r="CD54" i="10" s="1"/>
  <c r="BF54" i="10"/>
  <c r="BJ57" i="10"/>
  <c r="CK57" i="10"/>
  <c r="CD57" i="10" a="1"/>
  <c r="CD57" i="10" s="1"/>
  <c r="BW57" i="10"/>
  <c r="A57" i="10"/>
  <c r="BO57" i="10"/>
  <c r="CO57" i="10"/>
  <c r="AO57" i="10"/>
  <c r="BH67" i="10"/>
  <c r="BG67" i="10"/>
  <c r="CE67" i="10"/>
  <c r="AO46" i="10"/>
  <c r="BJ48" i="10"/>
  <c r="CE51" i="10"/>
  <c r="BE53" i="10" a="1"/>
  <c r="BE53" i="10" s="1"/>
  <c r="CS54" i="10"/>
  <c r="CS57" i="10"/>
  <c r="CE62" i="10"/>
  <c r="BE48" i="10" a="1"/>
  <c r="BE48" i="10" s="1"/>
  <c r="CS48" i="10"/>
  <c r="BE49" i="10" a="1"/>
  <c r="BE49" i="10" s="1"/>
  <c r="CD49" i="10" a="1"/>
  <c r="CD49" i="10" s="1"/>
  <c r="CO51" i="10"/>
  <c r="AO51" i="10"/>
  <c r="CF51" i="10"/>
  <c r="BS51" i="10"/>
  <c r="BJ51" i="10"/>
  <c r="AO52" i="10"/>
  <c r="BW52" i="10"/>
  <c r="CS52" i="10"/>
  <c r="BS57" i="10"/>
  <c r="BS48" i="10"/>
  <c r="CO50" i="10"/>
  <c r="AO50" i="10"/>
  <c r="CF50" i="10"/>
  <c r="BS50" i="10"/>
  <c r="BT50" i="10" s="1"/>
  <c r="BU50" i="10" s="1"/>
  <c r="A51" i="10"/>
  <c r="BW51" i="10"/>
  <c r="CS51" i="10"/>
  <c r="BE52" i="10" a="1"/>
  <c r="BE52" i="10" s="1"/>
  <c r="BE57" i="10" a="1"/>
  <c r="BE57" i="10" s="1"/>
  <c r="BG79" i="10"/>
  <c r="BH79" i="10"/>
  <c r="BE58" i="10" a="1"/>
  <c r="BE58" i="10" s="1"/>
  <c r="CS58" i="10"/>
  <c r="CE65" i="10"/>
  <c r="CT65" i="10" s="1"/>
  <c r="CU65" i="10" s="1"/>
  <c r="CW65" i="10" s="1" a="1"/>
  <c r="CW65" i="10" s="1"/>
  <c r="BE66" i="10" a="1"/>
  <c r="BE66" i="10" s="1"/>
  <c r="BO66" i="10"/>
  <c r="BO68" i="10"/>
  <c r="BH71" i="10"/>
  <c r="BG71" i="10"/>
  <c r="BF80" i="10"/>
  <c r="BJ55" i="10"/>
  <c r="BG57" i="10"/>
  <c r="BS58" i="10"/>
  <c r="CF58" i="10"/>
  <c r="CE63" i="10"/>
  <c r="BF64" i="10"/>
  <c r="BF74" i="10"/>
  <c r="BG77" i="10"/>
  <c r="BH77" i="10"/>
  <c r="BE55" i="10" a="1"/>
  <c r="BE55" i="10" s="1"/>
  <c r="CS55" i="10"/>
  <c r="A56" i="10"/>
  <c r="BW56" i="10"/>
  <c r="CD56" i="10" a="1"/>
  <c r="CD56" i="10" s="1"/>
  <c r="CK56" i="10"/>
  <c r="BE59" i="10" a="1"/>
  <c r="BE59" i="10" s="1"/>
  <c r="CS59" i="10"/>
  <c r="A60" i="10"/>
  <c r="BW60" i="10"/>
  <c r="CD60" i="10" a="1"/>
  <c r="CD60" i="10" s="1"/>
  <c r="CK60" i="10"/>
  <c r="CH65" i="10"/>
  <c r="CI65" i="10" s="1"/>
  <c r="CJ65" i="10" s="1" a="1"/>
  <c r="CJ65" i="10" s="1"/>
  <c r="BE68" i="10" a="1"/>
  <c r="BE68" i="10" s="1"/>
  <c r="CE69" i="10"/>
  <c r="CP69" i="10" s="1"/>
  <c r="CQ69" i="10" s="1"/>
  <c r="BE70" i="10" a="1"/>
  <c r="BE70" i="10" s="1"/>
  <c r="CF72" i="10"/>
  <c r="BS72" i="10"/>
  <c r="CS72" i="10"/>
  <c r="BE72" i="10" a="1"/>
  <c r="BE72" i="10" s="1"/>
  <c r="BJ72" i="10"/>
  <c r="CK72" i="10"/>
  <c r="CD72" i="10" a="1"/>
  <c r="CD72" i="10" s="1"/>
  <c r="BW72" i="10"/>
  <c r="A72" i="10"/>
  <c r="CO72" i="10"/>
  <c r="BG72" i="10"/>
  <c r="AO72" i="10"/>
  <c r="BO72" i="10"/>
  <c r="CK74" i="10"/>
  <c r="CD74" i="10" a="1"/>
  <c r="CD74" i="10" s="1"/>
  <c r="BW74" i="10"/>
  <c r="A74" i="10"/>
  <c r="BO74" i="10"/>
  <c r="CO74" i="10"/>
  <c r="BG74" i="10"/>
  <c r="AO74" i="10"/>
  <c r="BJ74" i="10"/>
  <c r="BS55" i="10"/>
  <c r="CF55" i="10"/>
  <c r="BJ56" i="10"/>
  <c r="AO58" i="10"/>
  <c r="BG58" i="10"/>
  <c r="CO58" i="10"/>
  <c r="BS59" i="10"/>
  <c r="CF59" i="10"/>
  <c r="BJ60" i="10"/>
  <c r="CE61" i="10"/>
  <c r="CK66" i="10"/>
  <c r="CD66" i="10" a="1"/>
  <c r="CD66" i="10" s="1"/>
  <c r="BW66" i="10"/>
  <c r="A66" i="10"/>
  <c r="CO66" i="10"/>
  <c r="AO66" i="10"/>
  <c r="BS66" i="10"/>
  <c r="CF66" i="10"/>
  <c r="CF68" i="10"/>
  <c r="BS68" i="10"/>
  <c r="BJ68" i="10"/>
  <c r="CK68" i="10"/>
  <c r="CD68" i="10" a="1"/>
  <c r="CD68" i="10" s="1"/>
  <c r="BW68" i="10"/>
  <c r="A68" i="10"/>
  <c r="BG68" i="10"/>
  <c r="BE56" i="10" a="1"/>
  <c r="BE56" i="10" s="1"/>
  <c r="CS56" i="10"/>
  <c r="BE60" i="10" a="1"/>
  <c r="BE60" i="10" s="1"/>
  <c r="CS60" i="10"/>
  <c r="CF64" i="10"/>
  <c r="BS64" i="10"/>
  <c r="BJ64" i="10"/>
  <c r="CK64" i="10"/>
  <c r="CD64" i="10" a="1"/>
  <c r="CD64" i="10" s="1"/>
  <c r="BW64" i="10"/>
  <c r="A64" i="10"/>
  <c r="CK70" i="10"/>
  <c r="CD70" i="10" a="1"/>
  <c r="CD70" i="10" s="1"/>
  <c r="BW70" i="10"/>
  <c r="A70" i="10"/>
  <c r="CO70" i="10"/>
  <c r="BG70" i="10"/>
  <c r="AO70" i="10"/>
  <c r="BJ70" i="10"/>
  <c r="CF74" i="10"/>
  <c r="AO55" i="10"/>
  <c r="BS56" i="10"/>
  <c r="AO59" i="10"/>
  <c r="BS60" i="10"/>
  <c r="BO61" i="10"/>
  <c r="CO62" i="10"/>
  <c r="AO62" i="10"/>
  <c r="BO63" i="10"/>
  <c r="CO63" i="10"/>
  <c r="AO63" i="10"/>
  <c r="CF63" i="10"/>
  <c r="BS63" i="10"/>
  <c r="CS63" i="10"/>
  <c r="BE63" i="10" a="1"/>
  <c r="BE63" i="10" s="1"/>
  <c r="BJ63" i="10"/>
  <c r="BG66" i="10"/>
  <c r="BJ66" i="10"/>
  <c r="CE73" i="10"/>
  <c r="CH73" i="10" s="1"/>
  <c r="CI73" i="10" s="1"/>
  <c r="BF93" i="10"/>
  <c r="BO65" i="10"/>
  <c r="BE67" i="10" a="1"/>
  <c r="BE67" i="10" s="1"/>
  <c r="CS67" i="10"/>
  <c r="BO69" i="10"/>
  <c r="BE71" i="10" a="1"/>
  <c r="BE71" i="10" s="1"/>
  <c r="CS71" i="10"/>
  <c r="BO73" i="10"/>
  <c r="CJ73" i="10" a="1"/>
  <c r="CJ73" i="10" s="1"/>
  <c r="BE75" i="10" a="1"/>
  <c r="BE75" i="10" s="1"/>
  <c r="A76" i="10"/>
  <c r="BW76" i="10"/>
  <c r="CD76" i="10" a="1"/>
  <c r="CD76" i="10" s="1"/>
  <c r="CK76" i="10"/>
  <c r="BW77" i="10"/>
  <c r="BG78" i="10"/>
  <c r="BS67" i="10"/>
  <c r="CF67" i="10"/>
  <c r="BJ76" i="10"/>
  <c r="BH84" i="10"/>
  <c r="BG84" i="10"/>
  <c r="BH90" i="10"/>
  <c r="BG90" i="10"/>
  <c r="BE76" i="10" a="1"/>
  <c r="BE76" i="10" s="1"/>
  <c r="CS76" i="10"/>
  <c r="CK80" i="10"/>
  <c r="CD80" i="10" a="1"/>
  <c r="CD80" i="10" s="1"/>
  <c r="BW80" i="10"/>
  <c r="A80" i="10"/>
  <c r="BO80" i="10"/>
  <c r="CO80" i="10"/>
  <c r="AO80" i="10"/>
  <c r="CF80" i="10"/>
  <c r="BS80" i="10"/>
  <c r="BJ65" i="10"/>
  <c r="AO67" i="10"/>
  <c r="CO67" i="10"/>
  <c r="BJ69" i="10"/>
  <c r="AO71" i="10"/>
  <c r="BJ73" i="10"/>
  <c r="BG75" i="10"/>
  <c r="BS76" i="10"/>
  <c r="BF77" i="10"/>
  <c r="BG83" i="10"/>
  <c r="BH83" i="10"/>
  <c r="BE65" i="10" a="1"/>
  <c r="BE65" i="10" s="1"/>
  <c r="BE69" i="10" a="1"/>
  <c r="BE69" i="10" s="1"/>
  <c r="BE73" i="10" a="1"/>
  <c r="BE73" i="10" s="1"/>
  <c r="CO77" i="10"/>
  <c r="CF77" i="10"/>
  <c r="BS77" i="10"/>
  <c r="BJ77" i="10"/>
  <c r="CF78" i="10"/>
  <c r="BS78" i="10"/>
  <c r="CS78" i="10"/>
  <c r="BE78" i="10" a="1"/>
  <c r="BE78" i="10" s="1"/>
  <c r="BJ78" i="10"/>
  <c r="CD78" i="10" a="1"/>
  <c r="CD78" i="10" s="1"/>
  <c r="CS80" i="10"/>
  <c r="CE81" i="10"/>
  <c r="AO79" i="10"/>
  <c r="CO79" i="10"/>
  <c r="BJ81" i="10"/>
  <c r="CO87" i="10"/>
  <c r="A87" i="10"/>
  <c r="CS87" i="10"/>
  <c r="BE87" i="10" a="1"/>
  <c r="BE87" i="10" s="1"/>
  <c r="BJ87" i="10"/>
  <c r="AO87" i="10"/>
  <c r="BO87" i="10"/>
  <c r="CF87" i="10"/>
  <c r="BE81" i="10" a="1"/>
  <c r="BE81" i="10" s="1"/>
  <c r="CS81" i="10"/>
  <c r="CE82" i="10"/>
  <c r="BF83" i="10"/>
  <c r="CF86" i="10"/>
  <c r="BS86" i="10"/>
  <c r="CS86" i="10"/>
  <c r="BE86" i="10" a="1"/>
  <c r="BE86" i="10" s="1"/>
  <c r="CK86" i="10"/>
  <c r="CD86" i="10" a="1"/>
  <c r="CD86" i="10" s="1"/>
  <c r="BW86" i="10"/>
  <c r="CO86" i="10"/>
  <c r="BG80" i="10"/>
  <c r="BS81" i="10"/>
  <c r="CF81" i="10"/>
  <c r="BO86" i="10"/>
  <c r="CE88" i="10"/>
  <c r="BH94" i="10"/>
  <c r="BG94" i="10"/>
  <c r="BW79" i="10"/>
  <c r="CD79" i="10" a="1"/>
  <c r="CD79" i="10" s="1"/>
  <c r="CK79" i="10"/>
  <c r="CF82" i="10"/>
  <c r="BS82" i="10"/>
  <c r="CS82" i="10"/>
  <c r="BE82" i="10" a="1"/>
  <c r="BE82" i="10" s="1"/>
  <c r="BG82" i="10"/>
  <c r="CE84" i="10"/>
  <c r="BG86" i="10"/>
  <c r="BF88" i="10"/>
  <c r="BJ79" i="10"/>
  <c r="AO81" i="10"/>
  <c r="BG81" i="10"/>
  <c r="CO81" i="10"/>
  <c r="CO83" i="10"/>
  <c r="A83" i="10"/>
  <c r="CD83" i="10" a="1"/>
  <c r="CD83" i="10" s="1"/>
  <c r="A86" i="10"/>
  <c r="AO86" i="10"/>
  <c r="BH87" i="10"/>
  <c r="BW87" i="10"/>
  <c r="BG88" i="10"/>
  <c r="BX88" i="10" s="1"/>
  <c r="BY88" i="10" s="1"/>
  <c r="BE79" i="10" a="1"/>
  <c r="BE79" i="10" s="1"/>
  <c r="BJ83" i="10"/>
  <c r="BS83" i="10"/>
  <c r="BM85" i="10"/>
  <c r="BF89" i="10"/>
  <c r="CS90" i="10"/>
  <c r="BE90" i="10" a="1"/>
  <c r="BE90" i="10" s="1"/>
  <c r="BJ90" i="10"/>
  <c r="AO90" i="10"/>
  <c r="BS90" i="10"/>
  <c r="BW90" i="10"/>
  <c r="BO90" i="10"/>
  <c r="CO90" i="10"/>
  <c r="CF90" i="10"/>
  <c r="BS85" i="10"/>
  <c r="BT85" i="10" s="1"/>
  <c r="BU85" i="10" s="1"/>
  <c r="CF85" i="10"/>
  <c r="CE94" i="10"/>
  <c r="CK97" i="10"/>
  <c r="CD97" i="10" a="1"/>
  <c r="CD97" i="10" s="1"/>
  <c r="BW97" i="10"/>
  <c r="CO97" i="10"/>
  <c r="BG97" i="10"/>
  <c r="A97" i="10"/>
  <c r="CS97" i="10"/>
  <c r="BE97" i="10" a="1"/>
  <c r="BE97" i="10" s="1"/>
  <c r="CO85" i="10"/>
  <c r="A91" i="10"/>
  <c r="CF91" i="10"/>
  <c r="BS91" i="10"/>
  <c r="CK91" i="10"/>
  <c r="CD91" i="10" a="1"/>
  <c r="CD91" i="10" s="1"/>
  <c r="BW91" i="10"/>
  <c r="BJ91" i="10"/>
  <c r="BH92" i="10"/>
  <c r="BG92" i="10"/>
  <c r="BH102" i="10"/>
  <c r="BG102" i="10"/>
  <c r="BO85" i="10"/>
  <c r="BP85" i="10" s="1"/>
  <c r="BQ85" i="10" s="1"/>
  <c r="CK89" i="10"/>
  <c r="CD89" i="10" a="1"/>
  <c r="CD89" i="10" s="1"/>
  <c r="BO89" i="10"/>
  <c r="A95" i="10"/>
  <c r="CF95" i="10"/>
  <c r="BS95" i="10"/>
  <c r="BJ95" i="10"/>
  <c r="AO95" i="10"/>
  <c r="CK95" i="10"/>
  <c r="CD95" i="10" a="1"/>
  <c r="CD95" i="10" s="1"/>
  <c r="BW95" i="10"/>
  <c r="BO95" i="10"/>
  <c r="CF100" i="10"/>
  <c r="BS100" i="10"/>
  <c r="CS100" i="10"/>
  <c r="BE100" i="10" a="1"/>
  <c r="BE100" i="10" s="1"/>
  <c r="BJ100" i="10"/>
  <c r="AO100" i="10"/>
  <c r="CO100" i="10"/>
  <c r="CK100" i="10"/>
  <c r="BO100" i="10"/>
  <c r="BW100" i="10"/>
  <c r="A100" i="10"/>
  <c r="CK111" i="10"/>
  <c r="CD111" i="10" a="1"/>
  <c r="CD111" i="10" s="1"/>
  <c r="BW111" i="10"/>
  <c r="CO111" i="10"/>
  <c r="BG111" i="10"/>
  <c r="A111" i="10"/>
  <c r="CF111" i="10"/>
  <c r="BS111" i="10"/>
  <c r="BJ111" i="10"/>
  <c r="AO111" i="10"/>
  <c r="CS111" i="10"/>
  <c r="BE111" i="10" a="1"/>
  <c r="BE111" i="10" s="1"/>
  <c r="BO111" i="10"/>
  <c r="BW85" i="10"/>
  <c r="BX85" i="10" s="1"/>
  <c r="BY85" i="10" s="1"/>
  <c r="CD85" i="10" a="1"/>
  <c r="CD85" i="10" s="1"/>
  <c r="CK85" i="10"/>
  <c r="BW89" i="10"/>
  <c r="AO91" i="10"/>
  <c r="BO91" i="10"/>
  <c r="CD100" i="10" a="1"/>
  <c r="CD100" i="10" s="1"/>
  <c r="AO85" i="10"/>
  <c r="AO89" i="10"/>
  <c r="BJ89" i="10"/>
  <c r="CF89" i="10"/>
  <c r="CO89" i="10"/>
  <c r="BE91" i="10" a="1"/>
  <c r="BE91" i="10" s="1"/>
  <c r="CK93" i="10"/>
  <c r="CD93" i="10" a="1"/>
  <c r="CD93" i="10" s="1"/>
  <c r="BW93" i="10"/>
  <c r="CO93" i="10"/>
  <c r="BG93" i="10"/>
  <c r="A93" i="10"/>
  <c r="BJ93" i="10"/>
  <c r="BE95" i="10" a="1"/>
  <c r="BE95" i="10" s="1"/>
  <c r="BG98" i="10"/>
  <c r="CE101" i="10"/>
  <c r="BF103" i="10"/>
  <c r="BG101" i="10"/>
  <c r="BH101" i="10"/>
  <c r="BO99" i="10"/>
  <c r="CS92" i="10"/>
  <c r="BO94" i="10"/>
  <c r="CO101" i="10"/>
  <c r="A101" i="10"/>
  <c r="CF101" i="10"/>
  <c r="BS101" i="10"/>
  <c r="BJ101" i="10"/>
  <c r="AO101" i="10"/>
  <c r="BO101" i="10"/>
  <c r="CE110" i="10"/>
  <c r="BJ99" i="10"/>
  <c r="AO99" i="10"/>
  <c r="CK99" i="10"/>
  <c r="CD99" i="10" a="1"/>
  <c r="CD99" i="10" s="1"/>
  <c r="BW99" i="10"/>
  <c r="CO99" i="10"/>
  <c r="CK105" i="10"/>
  <c r="CD105" i="10" a="1"/>
  <c r="CD105" i="10" s="1"/>
  <c r="BO105" i="10"/>
  <c r="A105" i="10"/>
  <c r="CS105" i="10"/>
  <c r="BS105" i="10"/>
  <c r="BE105" i="10" a="1"/>
  <c r="BE105" i="10" s="1"/>
  <c r="BJ105" i="10"/>
  <c r="AO105" i="10"/>
  <c r="CO105" i="10"/>
  <c r="CO92" i="10"/>
  <c r="AO94" i="10"/>
  <c r="BJ94" i="10"/>
  <c r="BG96" i="10"/>
  <c r="CS99" i="10"/>
  <c r="BG100" i="10"/>
  <c r="BE101" i="10" a="1"/>
  <c r="BE101" i="10" s="1"/>
  <c r="CS101" i="10"/>
  <c r="BE94" i="10" a="1"/>
  <c r="BE94" i="10" s="1"/>
  <c r="BE99" i="10" a="1"/>
  <c r="BE99" i="10" s="1"/>
  <c r="BG105" i="10"/>
  <c r="CF105" i="10"/>
  <c r="CE108" i="10"/>
  <c r="CE106" i="10"/>
  <c r="CH106" i="10" s="1"/>
  <c r="CI106" i="10" s="1"/>
  <c r="CK107" i="10"/>
  <c r="CD107" i="10" a="1"/>
  <c r="CD107" i="10" s="1"/>
  <c r="BW107" i="10"/>
  <c r="CO107" i="10"/>
  <c r="BG107" i="10"/>
  <c r="A107" i="10"/>
  <c r="CF107" i="10"/>
  <c r="BS107" i="10"/>
  <c r="BJ107" i="10"/>
  <c r="AO107" i="10"/>
  <c r="BH112" i="10"/>
  <c r="BG112" i="10"/>
  <c r="BO104" i="10"/>
  <c r="CS117" i="10"/>
  <c r="BE117" i="10" a="1"/>
  <c r="BE117" i="10" s="1"/>
  <c r="BJ117" i="10"/>
  <c r="AO117" i="10"/>
  <c r="CK117" i="10"/>
  <c r="CD117" i="10" a="1"/>
  <c r="CD117" i="10" s="1"/>
  <c r="BW117" i="10"/>
  <c r="CO117" i="10"/>
  <c r="BS117" i="10"/>
  <c r="A117" i="10"/>
  <c r="BO117" i="10"/>
  <c r="CF117" i="10"/>
  <c r="BG103" i="10"/>
  <c r="CO103" i="10"/>
  <c r="CJ106" i="10" a="1"/>
  <c r="CJ106" i="10" s="1"/>
  <c r="BE107" i="10" a="1"/>
  <c r="BE107" i="10" s="1"/>
  <c r="BO103" i="10"/>
  <c r="BW104" i="10"/>
  <c r="CD104" i="10" a="1"/>
  <c r="CD104" i="10" s="1"/>
  <c r="CK104" i="10"/>
  <c r="BH114" i="10"/>
  <c r="CO98" i="10"/>
  <c r="AO104" i="10"/>
  <c r="BJ104" i="10"/>
  <c r="CS107" i="10"/>
  <c r="BP110" i="10"/>
  <c r="BQ110" i="10" s="1"/>
  <c r="BF113" i="10"/>
  <c r="BW103" i="10"/>
  <c r="CD103" i="10" a="1"/>
  <c r="CD103" i="10" s="1"/>
  <c r="CK103" i="10"/>
  <c r="BE104" i="10" a="1"/>
  <c r="BE104" i="10" s="1"/>
  <c r="CS104" i="10"/>
  <c r="BH113" i="10"/>
  <c r="AO103" i="10"/>
  <c r="BS104" i="10"/>
  <c r="BO107" i="10"/>
  <c r="BH108" i="10"/>
  <c r="BG108" i="10"/>
  <c r="A109" i="10"/>
  <c r="BJ109" i="10"/>
  <c r="AO109" i="10"/>
  <c r="CK109" i="10"/>
  <c r="CD109" i="10" a="1"/>
  <c r="CD109" i="10" s="1"/>
  <c r="BW109" i="10"/>
  <c r="CO109" i="10"/>
  <c r="BG109" i="10"/>
  <c r="A118" i="10"/>
  <c r="CF118" i="10"/>
  <c r="BS118" i="10"/>
  <c r="CS118" i="10"/>
  <c r="BE118" i="10" a="1"/>
  <c r="BE118" i="10" s="1"/>
  <c r="BJ118" i="10"/>
  <c r="AO118" i="10"/>
  <c r="CK118" i="10"/>
  <c r="CD118" i="10" a="1"/>
  <c r="CD118" i="10" s="1"/>
  <c r="BW118" i="10"/>
  <c r="BO118" i="10"/>
  <c r="CE119" i="10"/>
  <c r="CO115" i="10"/>
  <c r="A115" i="10"/>
  <c r="CF115" i="10"/>
  <c r="BS115" i="10"/>
  <c r="BJ115" i="10"/>
  <c r="AO115" i="10"/>
  <c r="BO115" i="10"/>
  <c r="BF119" i="10"/>
  <c r="CS106" i="10"/>
  <c r="CT106" i="10" s="1"/>
  <c r="CU106" i="10" s="1"/>
  <c r="BO108" i="10"/>
  <c r="CS110" i="10"/>
  <c r="CO112" i="10"/>
  <c r="CF112" i="10"/>
  <c r="BO112" i="10"/>
  <c r="CD112" i="10" a="1"/>
  <c r="CD112" i="10" s="1"/>
  <c r="BJ113" i="10"/>
  <c r="AO113" i="10"/>
  <c r="CK113" i="10"/>
  <c r="CD113" i="10" a="1"/>
  <c r="CD113" i="10" s="1"/>
  <c r="CO113" i="10"/>
  <c r="CF113" i="10"/>
  <c r="BW114" i="10"/>
  <c r="CE116" i="10"/>
  <c r="BG117" i="10"/>
  <c r="BG118" i="10"/>
  <c r="CF114" i="10"/>
  <c r="BS114" i="10"/>
  <c r="CS114" i="10"/>
  <c r="BE114" i="10" a="1"/>
  <c r="BE114" i="10" s="1"/>
  <c r="BJ114" i="10"/>
  <c r="AO114" i="10"/>
  <c r="BG115" i="10"/>
  <c r="CD115" i="10" a="1"/>
  <c r="CD115" i="10" s="1"/>
  <c r="BF116" i="10"/>
  <c r="BE108" i="10" a="1"/>
  <c r="BE108" i="10" s="1"/>
  <c r="BE112" i="10" a="1"/>
  <c r="BE112" i="10" s="1"/>
  <c r="CS112" i="10"/>
  <c r="BO113" i="10"/>
  <c r="CD114" i="10" a="1"/>
  <c r="CD114" i="10" s="1"/>
  <c r="CO118" i="10"/>
  <c r="BO122" i="10"/>
  <c r="BS116" i="10"/>
  <c r="CF116" i="10"/>
  <c r="AO119" i="10"/>
  <c r="BJ119" i="10"/>
  <c r="BS120" i="10"/>
  <c r="CF120" i="10"/>
  <c r="CO121" i="10"/>
  <c r="BO121" i="10"/>
  <c r="BW122" i="10"/>
  <c r="CD122" i="10" a="1"/>
  <c r="CD122" i="10" s="1"/>
  <c r="CK122" i="10"/>
  <c r="BG116" i="10"/>
  <c r="CO116" i="10"/>
  <c r="BS119" i="10"/>
  <c r="CF119" i="10"/>
  <c r="BG120" i="10"/>
  <c r="CO120" i="10"/>
  <c r="AO122" i="10"/>
  <c r="BJ122" i="10"/>
  <c r="BO116" i="10"/>
  <c r="A119" i="10"/>
  <c r="BO120" i="10"/>
  <c r="BW121" i="10"/>
  <c r="CD121" i="10" a="1"/>
  <c r="CD121" i="10" s="1"/>
  <c r="CK121" i="10"/>
  <c r="BE122" i="10" a="1"/>
  <c r="BE122" i="10" s="1"/>
  <c r="CS122" i="10"/>
  <c r="BG119" i="10"/>
  <c r="CO119" i="10"/>
  <c r="AO121" i="10"/>
  <c r="BJ121" i="10"/>
  <c r="BS122" i="10"/>
  <c r="CF122" i="10"/>
  <c r="BW120" i="10"/>
  <c r="CD120" i="10" a="1"/>
  <c r="CD120" i="10" s="1"/>
  <c r="BE121" i="10" a="1"/>
  <c r="BE121" i="10" s="1"/>
  <c r="CV331" i="10" l="1" a="1"/>
  <c r="CV331" i="10" s="1"/>
  <c r="CW331" i="10" a="1"/>
  <c r="CW331" i="10" s="1"/>
  <c r="BZ362" i="10" a="1"/>
  <c r="BZ362" i="10" s="1"/>
  <c r="CA362" i="10" a="1"/>
  <c r="CA362" i="10" s="1"/>
  <c r="CW123" i="10" a="1"/>
  <c r="CW123" i="10" s="1"/>
  <c r="CV123" i="10" a="1"/>
  <c r="CV123" i="10" s="1"/>
  <c r="CW146" i="10" a="1"/>
  <c r="CW146" i="10" s="1"/>
  <c r="CV146" i="10" a="1"/>
  <c r="CV146" i="10" s="1"/>
  <c r="CW154" i="10" a="1"/>
  <c r="CW154" i="10" s="1"/>
  <c r="CA159" i="10" a="1"/>
  <c r="CA159" i="10" s="1"/>
  <c r="BZ159" i="10" a="1"/>
  <c r="BZ159" i="10" s="1"/>
  <c r="BR168" i="10" a="1"/>
  <c r="BR168" i="10" s="1"/>
  <c r="CW168" i="10" a="1"/>
  <c r="CW168" i="10" s="1"/>
  <c r="BN174" i="10" a="1"/>
  <c r="BN174" i="10" s="1"/>
  <c r="BZ184" i="10" a="1"/>
  <c r="BZ184" i="10" s="1"/>
  <c r="CA184" i="10" a="1"/>
  <c r="CA184" i="10" s="1"/>
  <c r="CA190" i="10" a="1"/>
  <c r="CA190" i="10" s="1"/>
  <c r="CW213" i="10" a="1"/>
  <c r="CW213" i="10" s="1"/>
  <c r="BZ210" i="10" a="1"/>
  <c r="BZ210" i="10" s="1"/>
  <c r="CA210" i="10" a="1"/>
  <c r="CA210" i="10" s="1"/>
  <c r="CH232" i="10"/>
  <c r="CI232" i="10" s="1"/>
  <c r="CJ232" i="10" s="1" a="1"/>
  <c r="CJ232" i="10" s="1"/>
  <c r="BV230" i="10" a="1"/>
  <c r="BV230" i="10" s="1"/>
  <c r="BZ230" i="10" a="1"/>
  <c r="BZ230" i="10" s="1"/>
  <c r="BV238" i="10" a="1"/>
  <c r="BV238" i="10" s="1"/>
  <c r="CW266" i="10" a="1"/>
  <c r="CW266" i="10" s="1"/>
  <c r="CA275" i="10" a="1"/>
  <c r="CA275" i="10" s="1"/>
  <c r="CN281" i="10" a="1"/>
  <c r="CN281" i="10" s="1"/>
  <c r="CW322" i="10" a="1"/>
  <c r="CW322" i="10" s="1"/>
  <c r="CV322" i="10" a="1"/>
  <c r="CV322" i="10" s="1"/>
  <c r="CR287" i="10" a="1"/>
  <c r="CR287" i="10" s="1"/>
  <c r="CA307" i="10" a="1"/>
  <c r="CA307" i="10" s="1"/>
  <c r="CA318" i="10" a="1"/>
  <c r="CA318" i="10" s="1"/>
  <c r="BZ318" i="10" a="1"/>
  <c r="BZ318" i="10" s="1"/>
  <c r="CW388" i="10" a="1"/>
  <c r="CW388" i="10" s="1"/>
  <c r="CV350" i="10" a="1"/>
  <c r="CV350" i="10" s="1"/>
  <c r="CW350" i="10" a="1"/>
  <c r="CW350" i="10" s="1"/>
  <c r="CA403" i="10" a="1"/>
  <c r="CA403" i="10" s="1"/>
  <c r="BZ299" i="10" a="1"/>
  <c r="BZ299" i="10" s="1"/>
  <c r="CW126" i="10" a="1"/>
  <c r="CW126" i="10" s="1"/>
  <c r="CV126" i="10" a="1"/>
  <c r="CV126" i="10" s="1"/>
  <c r="CR136" i="10" a="1"/>
  <c r="CR136" i="10" s="1"/>
  <c r="CA161" i="10" a="1"/>
  <c r="CA161" i="10" s="1"/>
  <c r="CA163" i="10" a="1"/>
  <c r="CA163" i="10" s="1"/>
  <c r="BV175" i="10" a="1"/>
  <c r="BV175" i="10" s="1"/>
  <c r="CV170" i="10" a="1"/>
  <c r="CV170" i="10" s="1"/>
  <c r="CW170" i="10" a="1"/>
  <c r="CW170" i="10" s="1"/>
  <c r="CW178" i="10" a="1"/>
  <c r="CW178" i="10" s="1"/>
  <c r="CR165" i="10" a="1"/>
  <c r="CR165" i="10" s="1"/>
  <c r="BX211" i="10"/>
  <c r="BY211" i="10" s="1"/>
  <c r="CN200" i="10" a="1"/>
  <c r="CN200" i="10" s="1"/>
  <c r="CA209" i="10" a="1"/>
  <c r="CA209" i="10" s="1"/>
  <c r="BZ209" i="10" a="1"/>
  <c r="BZ209" i="10" s="1"/>
  <c r="BZ213" i="10" a="1"/>
  <c r="BZ213" i="10" s="1"/>
  <c r="CA213" i="10" a="1"/>
  <c r="CA213" i="10" s="1"/>
  <c r="CV223" i="10" a="1"/>
  <c r="CV223" i="10" s="1"/>
  <c r="CW223" i="10" a="1"/>
  <c r="CW223" i="10" s="1"/>
  <c r="CN223" i="10" a="1"/>
  <c r="CN223" i="10" s="1"/>
  <c r="CA236" i="10" a="1"/>
  <c r="CA236" i="10" s="1"/>
  <c r="BZ236" i="10" a="1"/>
  <c r="BZ236" i="10" s="1"/>
  <c r="CJ241" i="10" a="1"/>
  <c r="CJ241" i="10" s="1"/>
  <c r="CN241" i="10" a="1"/>
  <c r="CN241" i="10" s="1"/>
  <c r="CH247" i="10"/>
  <c r="CI247" i="10" s="1"/>
  <c r="CJ247" i="10" s="1" a="1"/>
  <c r="CJ247" i="10" s="1"/>
  <c r="CR262" i="10" a="1"/>
  <c r="CR262" i="10" s="1"/>
  <c r="BV294" i="10" a="1"/>
  <c r="BV294" i="10" s="1"/>
  <c r="BZ294" i="10" a="1"/>
  <c r="BZ294" i="10" s="1"/>
  <c r="CW299" i="10" a="1"/>
  <c r="CW299" i="10" s="1"/>
  <c r="CR318" i="10" a="1"/>
  <c r="CR318" i="10" s="1"/>
  <c r="CA283" i="10" a="1"/>
  <c r="CA283" i="10" s="1"/>
  <c r="CA291" i="10" a="1"/>
  <c r="CA291" i="10" s="1"/>
  <c r="CV326" i="10" a="1"/>
  <c r="CV326" i="10" s="1"/>
  <c r="CW326" i="10" a="1"/>
  <c r="CW326" i="10" s="1"/>
  <c r="CW315" i="10" a="1"/>
  <c r="CW315" i="10" s="1"/>
  <c r="CW318" i="10" a="1"/>
  <c r="CW318" i="10" s="1"/>
  <c r="CV318" i="10" a="1"/>
  <c r="CV318" i="10" s="1"/>
  <c r="CB327" i="10"/>
  <c r="S327" i="10" s="1"/>
  <c r="CA338" i="10" a="1"/>
  <c r="CA338" i="10" s="1"/>
  <c r="CA350" i="10" a="1"/>
  <c r="CA350" i="10" s="1"/>
  <c r="CR364" i="10" a="1"/>
  <c r="CR364" i="10" s="1"/>
  <c r="CN378" i="10" a="1"/>
  <c r="CN378" i="10" s="1"/>
  <c r="CA388" i="10" a="1"/>
  <c r="CA388" i="10" s="1"/>
  <c r="CA126" i="10" a="1"/>
  <c r="CA126" i="10" s="1"/>
  <c r="CR158" i="10" a="1"/>
  <c r="CR158" i="10" s="1"/>
  <c r="BV168" i="10" a="1"/>
  <c r="BV168" i="10" s="1"/>
  <c r="CA180" i="10" a="1"/>
  <c r="CA180" i="10" s="1"/>
  <c r="BZ180" i="10" a="1"/>
  <c r="BZ180" i="10" s="1"/>
  <c r="BV209" i="10" a="1"/>
  <c r="BV209" i="10" s="1"/>
  <c r="BZ226" i="10" a="1"/>
  <c r="BZ226" i="10" s="1"/>
  <c r="CA226" i="10" a="1"/>
  <c r="CA226" i="10" s="1"/>
  <c r="CA240" i="10" a="1"/>
  <c r="CA240" i="10" s="1"/>
  <c r="CW254" i="10" a="1"/>
  <c r="CW254" i="10" s="1"/>
  <c r="CW255" i="10" a="1"/>
  <c r="CW255" i="10" s="1"/>
  <c r="CH276" i="10"/>
  <c r="CI276" i="10" s="1"/>
  <c r="CJ276" i="10" s="1" a="1"/>
  <c r="CJ276" i="10" s="1"/>
  <c r="CW278" i="10" a="1"/>
  <c r="CW278" i="10" s="1"/>
  <c r="CN329" i="10" a="1"/>
  <c r="CN329" i="10" s="1"/>
  <c r="BR331" i="10" a="1"/>
  <c r="BR331" i="10" s="1"/>
  <c r="BV331" i="10" a="1"/>
  <c r="BV331" i="10" s="1"/>
  <c r="CN400" i="10" a="1"/>
  <c r="CN400" i="10" s="1"/>
  <c r="CW358" i="10" a="1"/>
  <c r="CW358" i="10" s="1"/>
  <c r="CA369" i="10" a="1"/>
  <c r="CA369" i="10" s="1"/>
  <c r="BZ369" i="10" a="1"/>
  <c r="BZ369" i="10" s="1"/>
  <c r="CW364" i="10" a="1"/>
  <c r="CW364" i="10" s="1"/>
  <c r="CV364" i="10" a="1"/>
  <c r="CV364" i="10" s="1"/>
  <c r="BZ381" i="10" a="1"/>
  <c r="BZ381" i="10" s="1"/>
  <c r="CA381" i="10" a="1"/>
  <c r="CA381" i="10" s="1"/>
  <c r="CA404" i="10" a="1"/>
  <c r="CA404" i="10" s="1"/>
  <c r="CR384" i="10" a="1"/>
  <c r="CR384" i="10" s="1"/>
  <c r="CV376" i="10" a="1"/>
  <c r="CV376" i="10" s="1"/>
  <c r="CW376" i="10" a="1"/>
  <c r="CW376" i="10" s="1"/>
  <c r="CV380" i="10" a="1"/>
  <c r="CV380" i="10" s="1"/>
  <c r="CW380" i="10" a="1"/>
  <c r="CW380" i="10" s="1"/>
  <c r="BZ136" i="10" a="1"/>
  <c r="BZ136" i="10" s="1"/>
  <c r="CA136" i="10" a="1"/>
  <c r="CA136" i="10" s="1"/>
  <c r="CW215" i="10" a="1"/>
  <c r="CW215" i="10" s="1"/>
  <c r="CW295" i="10" a="1"/>
  <c r="CW295" i="10" s="1"/>
  <c r="BR355" i="10" a="1"/>
  <c r="BR355" i="10" s="1"/>
  <c r="CA380" i="10" a="1"/>
  <c r="CA380" i="10" s="1"/>
  <c r="CW405" i="10" a="1"/>
  <c r="CW405" i="10" s="1"/>
  <c r="CW130" i="10" a="1"/>
  <c r="CW130" i="10" s="1"/>
  <c r="CA165" i="10" a="1"/>
  <c r="CA165" i="10" s="1"/>
  <c r="CW159" i="10" a="1"/>
  <c r="CW159" i="10" s="1"/>
  <c r="CV159" i="10" a="1"/>
  <c r="CV159" i="10" s="1"/>
  <c r="CA167" i="10" a="1"/>
  <c r="CA167" i="10" s="1"/>
  <c r="BR174" i="10" a="1"/>
  <c r="BR174" i="10" s="1"/>
  <c r="CA182" i="10" a="1"/>
  <c r="CA182" i="10" s="1"/>
  <c r="CA186" i="10" a="1"/>
  <c r="CA186" i="10" s="1"/>
  <c r="BZ195" i="10" a="1"/>
  <c r="BZ195" i="10" s="1"/>
  <c r="BV188" i="10" a="1"/>
  <c r="BV188" i="10" s="1"/>
  <c r="CJ202" i="10" a="1"/>
  <c r="CJ202" i="10" s="1"/>
  <c r="BZ206" i="10" a="1"/>
  <c r="BZ206" i="10" s="1"/>
  <c r="CA206" i="10" a="1"/>
  <c r="CA206" i="10" s="1"/>
  <c r="CV204" i="10" a="1"/>
  <c r="CV204" i="10" s="1"/>
  <c r="CW204" i="10" a="1"/>
  <c r="CW204" i="10" s="1"/>
  <c r="CR204" i="10" a="1"/>
  <c r="CR204" i="10" s="1"/>
  <c r="CA222" i="10" a="1"/>
  <c r="CA222" i="10" s="1"/>
  <c r="CR223" i="10" a="1"/>
  <c r="CR223" i="10" s="1"/>
  <c r="CX223" i="10" s="1"/>
  <c r="Z223" i="10" s="1"/>
  <c r="CA244" i="10" a="1"/>
  <c r="CA244" i="10" s="1"/>
  <c r="BZ238" i="10" a="1"/>
  <c r="BZ238" i="10" s="1"/>
  <c r="CA238" i="10" a="1"/>
  <c r="CA238" i="10" s="1"/>
  <c r="CN250" i="10" a="1"/>
  <c r="CN250" i="10" s="1"/>
  <c r="BV286" i="10" a="1"/>
  <c r="BV286" i="10" s="1"/>
  <c r="BL298" i="10"/>
  <c r="BM298" i="10" s="1"/>
  <c r="BN298" i="10" s="1" a="1"/>
  <c r="BN298" i="10" s="1"/>
  <c r="CA330" i="10" a="1"/>
  <c r="CA330" i="10" s="1"/>
  <c r="BV318" i="10" a="1"/>
  <c r="BV318" i="10" s="1"/>
  <c r="CA325" i="10" a="1"/>
  <c r="CA325" i="10" s="1"/>
  <c r="BZ325" i="10" a="1"/>
  <c r="BZ325" i="10" s="1"/>
  <c r="BX360" i="10"/>
  <c r="BY360" i="10" s="1"/>
  <c r="CN331" i="10" a="1"/>
  <c r="CN331" i="10" s="1"/>
  <c r="CX331" i="10" s="1"/>
  <c r="Z331" i="10" s="1"/>
  <c r="CV352" i="10" a="1"/>
  <c r="CV352" i="10" s="1"/>
  <c r="CW352" i="10" a="1"/>
  <c r="CW352" i="10" s="1"/>
  <c r="CW366" i="10" a="1"/>
  <c r="CW366" i="10" s="1"/>
  <c r="CV366" i="10" a="1"/>
  <c r="CV366" i="10" s="1"/>
  <c r="CN360" i="10" a="1"/>
  <c r="CN360" i="10" s="1"/>
  <c r="CW386" i="10" a="1"/>
  <c r="CW386" i="10" s="1"/>
  <c r="CA392" i="10" a="1"/>
  <c r="CA392" i="10" s="1"/>
  <c r="CA384" i="10" a="1"/>
  <c r="CA384" i="10" s="1"/>
  <c r="CW408" i="10" a="1"/>
  <c r="CW408" i="10" s="1"/>
  <c r="BZ410" i="10" a="1"/>
  <c r="BZ410" i="10" s="1"/>
  <c r="CA410" i="10" a="1"/>
  <c r="CA410" i="10" s="1"/>
  <c r="CW217" i="10" a="1"/>
  <c r="CW217" i="10" s="1"/>
  <c r="CN376" i="10" a="1"/>
  <c r="CN376" i="10" s="1"/>
  <c r="CW152" i="10" a="1"/>
  <c r="CW152" i="10" s="1"/>
  <c r="BR163" i="10" a="1"/>
  <c r="BR163" i="10" s="1"/>
  <c r="CR179" i="10" a="1"/>
  <c r="CR179" i="10" s="1"/>
  <c r="CA194" i="10" a="1"/>
  <c r="CA194" i="10" s="1"/>
  <c r="CA203" i="10" a="1"/>
  <c r="CA203" i="10" s="1"/>
  <c r="BZ214" i="10" a="1"/>
  <c r="BZ214" i="10" s="1"/>
  <c r="CA214" i="10" a="1"/>
  <c r="CA214" i="10" s="1"/>
  <c r="BZ218" i="10" a="1"/>
  <c r="BZ218" i="10" s="1"/>
  <c r="CA218" i="10" a="1"/>
  <c r="CA218" i="10" s="1"/>
  <c r="CA231" i="10" a="1"/>
  <c r="CA231" i="10" s="1"/>
  <c r="CA223" i="10" a="1"/>
  <c r="CA223" i="10" s="1"/>
  <c r="BZ223" i="10" a="1"/>
  <c r="BZ223" i="10" s="1"/>
  <c r="CB223" i="10" s="1"/>
  <c r="S223" i="10" s="1"/>
  <c r="AF223" i="10" s="1"/>
  <c r="CW245" i="10" a="1"/>
  <c r="CW245" i="10" s="1"/>
  <c r="CA227" i="10" a="1"/>
  <c r="CA227" i="10" s="1"/>
  <c r="BZ250" i="10" a="1"/>
  <c r="BZ250" i="10" s="1"/>
  <c r="CA250" i="10" a="1"/>
  <c r="CA250" i="10" s="1"/>
  <c r="CV241" i="10" a="1"/>
  <c r="CV241" i="10" s="1"/>
  <c r="CW241" i="10" a="1"/>
  <c r="CW241" i="10" s="1"/>
  <c r="CV265" i="10" a="1"/>
  <c r="CV265" i="10" s="1"/>
  <c r="CW265" i="10" a="1"/>
  <c r="CW265" i="10" s="1"/>
  <c r="CA277" i="10" a="1"/>
  <c r="CA277" i="10" s="1"/>
  <c r="CW309" i="10" a="1"/>
  <c r="CW309" i="10" s="1"/>
  <c r="CV309" i="10" a="1"/>
  <c r="CV309" i="10" s="1"/>
  <c r="CA304" i="10" a="1"/>
  <c r="CA304" i="10" s="1"/>
  <c r="BZ304" i="10" a="1"/>
  <c r="BZ304" i="10" s="1"/>
  <c r="CV287" i="10" a="1"/>
  <c r="CV287" i="10" s="1"/>
  <c r="CW287" i="10" a="1"/>
  <c r="CW287" i="10" s="1"/>
  <c r="BZ334" i="10" a="1"/>
  <c r="BZ334" i="10" s="1"/>
  <c r="CA334" i="10" a="1"/>
  <c r="CA334" i="10" s="1"/>
  <c r="BV336" i="10" a="1"/>
  <c r="BV336" i="10" s="1"/>
  <c r="CR368" i="10" a="1"/>
  <c r="CR368" i="10" s="1"/>
  <c r="CA371" i="10" a="1"/>
  <c r="CA371" i="10" s="1"/>
  <c r="BZ371" i="10" a="1"/>
  <c r="BZ371" i="10" s="1"/>
  <c r="CA370" i="10" a="1"/>
  <c r="CA370" i="10" s="1"/>
  <c r="CB370" i="10" s="1"/>
  <c r="S370" i="10" s="1"/>
  <c r="BZ370" i="10" a="1"/>
  <c r="BZ370" i="10" s="1"/>
  <c r="CR376" i="10" a="1"/>
  <c r="CR376" i="10" s="1"/>
  <c r="CR380" i="10" a="1"/>
  <c r="CR380" i="10" s="1"/>
  <c r="CA400" i="10" a="1"/>
  <c r="CA400" i="10" s="1"/>
  <c r="BV412" i="10" a="1"/>
  <c r="BV412" i="10" s="1"/>
  <c r="CA408" i="10" a="1"/>
  <c r="CA408" i="10" s="1"/>
  <c r="BZ408" i="10" a="1"/>
  <c r="BZ408" i="10" s="1"/>
  <c r="CW202" i="10" a="1"/>
  <c r="CW202" i="10" s="1"/>
  <c r="CV202" i="10" a="1"/>
  <c r="CV202" i="10" s="1"/>
  <c r="CW237" i="10" a="1"/>
  <c r="CW237" i="10" s="1"/>
  <c r="CA204" i="10" a="1"/>
  <c r="CA204" i="10" s="1"/>
  <c r="BZ204" i="10" a="1"/>
  <c r="BZ204" i="10" s="1"/>
  <c r="BX268" i="10"/>
  <c r="BY268" i="10" s="1"/>
  <c r="CA292" i="10" a="1"/>
  <c r="CA292" i="10" s="1"/>
  <c r="BL128" i="10"/>
  <c r="BM128" i="10" s="1"/>
  <c r="BN128" i="10" s="1" a="1"/>
  <c r="BN128" i="10" s="1"/>
  <c r="CA137" i="10" a="1"/>
  <c r="CA137" i="10" s="1"/>
  <c r="BV158" i="10" a="1"/>
  <c r="BV158" i="10" s="1"/>
  <c r="BV159" i="10" a="1"/>
  <c r="BV159" i="10" s="1"/>
  <c r="CB159" i="10" s="1"/>
  <c r="S159" i="10" s="1"/>
  <c r="CW167" i="10" a="1"/>
  <c r="CW167" i="10" s="1"/>
  <c r="BP176" i="10"/>
  <c r="CR191" i="10" a="1"/>
  <c r="CR191" i="10" s="1"/>
  <c r="BR192" i="10" a="1"/>
  <c r="BR192" i="10" s="1"/>
  <c r="CW207" i="10" a="1"/>
  <c r="CW207" i="10" s="1"/>
  <c r="CR211" i="10" a="1"/>
  <c r="CR211" i="10" s="1"/>
  <c r="CV231" i="10" a="1"/>
  <c r="CV231" i="10" s="1"/>
  <c r="CW231" i="10" a="1"/>
  <c r="CW231" i="10" s="1"/>
  <c r="CB226" i="10"/>
  <c r="S226" i="10" s="1"/>
  <c r="CA246" i="10" a="1"/>
  <c r="CA246" i="10" s="1"/>
  <c r="BZ246" i="10" a="1"/>
  <c r="BZ246" i="10" s="1"/>
  <c r="CV250" i="10" a="1"/>
  <c r="CV250" i="10" s="1"/>
  <c r="CW250" i="10" a="1"/>
  <c r="CW250" i="10" s="1"/>
  <c r="BR227" i="10" a="1"/>
  <c r="BR227" i="10" s="1"/>
  <c r="BV265" i="10" a="1"/>
  <c r="BV265" i="10" s="1"/>
  <c r="CW264" i="10" a="1"/>
  <c r="CW264" i="10" s="1"/>
  <c r="BV270" i="10" a="1"/>
  <c r="BV270" i="10" s="1"/>
  <c r="CN305" i="10" a="1"/>
  <c r="CN305" i="10" s="1"/>
  <c r="CW325" i="10" a="1"/>
  <c r="CW325" i="10" s="1"/>
  <c r="CA287" i="10" a="1"/>
  <c r="CA287" i="10" s="1"/>
  <c r="CA295" i="10" a="1"/>
  <c r="CA295" i="10" s="1"/>
  <c r="CW335" i="10" a="1"/>
  <c r="CW335" i="10" s="1"/>
  <c r="CV327" i="10" a="1"/>
  <c r="CV327" i="10" s="1"/>
  <c r="CW327" i="10" a="1"/>
  <c r="CW327" i="10" s="1"/>
  <c r="BV319" i="10" a="1"/>
  <c r="BV319" i="10" s="1"/>
  <c r="CB319" i="10" s="1"/>
  <c r="S319" i="10" s="1"/>
  <c r="CN384" i="10" a="1"/>
  <c r="CN384" i="10" s="1"/>
  <c r="BZ335" i="10" a="1"/>
  <c r="BZ335" i="10" s="1"/>
  <c r="BV335" i="10" a="1"/>
  <c r="BV335" i="10" s="1"/>
  <c r="CB335" i="10" s="1"/>
  <c r="S335" i="10" s="1"/>
  <c r="CW368" i="10" a="1"/>
  <c r="CW368" i="10" s="1"/>
  <c r="CV368" i="10" a="1"/>
  <c r="CV368" i="10" s="1"/>
  <c r="BZ377" i="10" a="1"/>
  <c r="BZ377" i="10" s="1"/>
  <c r="CA377" i="10" a="1"/>
  <c r="CA377" i="10" s="1"/>
  <c r="BX378" i="10"/>
  <c r="BX305" i="10"/>
  <c r="BY305" i="10" s="1"/>
  <c r="BP155" i="10"/>
  <c r="BQ155" i="10" s="1"/>
  <c r="CW186" i="10" a="1"/>
  <c r="CW186" i="10" s="1"/>
  <c r="BX185" i="10"/>
  <c r="BY185" i="10" s="1"/>
  <c r="CW199" i="10" a="1"/>
  <c r="CW199" i="10" s="1"/>
  <c r="CW227" i="10" a="1"/>
  <c r="CW227" i="10" s="1"/>
  <c r="BR236" i="10" a="1"/>
  <c r="BR236" i="10" s="1"/>
  <c r="CB236" i="10" s="1"/>
  <c r="S236" i="10" s="1"/>
  <c r="BV250" i="10" a="1"/>
  <c r="BV250" i="10" s="1"/>
  <c r="CB230" i="10"/>
  <c r="S230" i="10" s="1"/>
  <c r="CN260" i="10" a="1"/>
  <c r="CN260" i="10" s="1"/>
  <c r="CA271" i="10" a="1"/>
  <c r="CA271" i="10" s="1"/>
  <c r="CA266" i="10" a="1"/>
  <c r="CA266" i="10" s="1"/>
  <c r="BV290" i="10" a="1"/>
  <c r="BV290" i="10" s="1"/>
  <c r="CW311" i="10" a="1"/>
  <c r="CW311" i="10" s="1"/>
  <c r="BV325" i="10" a="1"/>
  <c r="BV325" i="10" s="1"/>
  <c r="CB325" i="10" s="1"/>
  <c r="S325" i="10" s="1"/>
  <c r="BN288" i="10" a="1"/>
  <c r="BN288" i="10" s="1"/>
  <c r="CV291" i="10" a="1"/>
  <c r="CV291" i="10" s="1"/>
  <c r="CW291" i="10" a="1"/>
  <c r="CW291" i="10" s="1"/>
  <c r="CW307" i="10" a="1"/>
  <c r="CW307" i="10" s="1"/>
  <c r="CV307" i="10" a="1"/>
  <c r="CV307" i="10" s="1"/>
  <c r="BP305" i="10"/>
  <c r="BQ305" i="10" s="1"/>
  <c r="CA329" i="10" a="1"/>
  <c r="CA329" i="10" s="1"/>
  <c r="BZ329" i="10" a="1"/>
  <c r="BZ329" i="10" s="1"/>
  <c r="CV338" i="10" a="1"/>
  <c r="CV338" i="10" s="1"/>
  <c r="CW338" i="10" a="1"/>
  <c r="CW338" i="10" s="1"/>
  <c r="CV348" i="10" a="1"/>
  <c r="CV348" i="10" s="1"/>
  <c r="CA396" i="10" a="1"/>
  <c r="CA396" i="10" s="1"/>
  <c r="BV393" i="10" a="1"/>
  <c r="BV393" i="10" s="1"/>
  <c r="BN416" i="10" a="1"/>
  <c r="BN416" i="10" s="1"/>
  <c r="BR416" i="10" a="1"/>
  <c r="BR416" i="10" s="1"/>
  <c r="CT137" i="10"/>
  <c r="CU137" i="10" s="1"/>
  <c r="CH140" i="10"/>
  <c r="CI140" i="10" s="1"/>
  <c r="CJ140" i="10" s="1" a="1"/>
  <c r="CJ140" i="10" s="1"/>
  <c r="BL140" i="10"/>
  <c r="BM140" i="10" s="1"/>
  <c r="BN140" i="10" s="1" a="1"/>
  <c r="BN140" i="10" s="1"/>
  <c r="CE141" i="10"/>
  <c r="CH141" i="10" s="1"/>
  <c r="CI141" i="10" s="1"/>
  <c r="CJ141" i="10" s="1" a="1"/>
  <c r="CJ141" i="10" s="1"/>
  <c r="BM157" i="10"/>
  <c r="BN157" i="10" s="1" a="1"/>
  <c r="BN157" i="10" s="1"/>
  <c r="BF157" i="10"/>
  <c r="BP157" i="10" s="1"/>
  <c r="BQ157" i="10"/>
  <c r="CE150" i="10"/>
  <c r="CP150" i="10" s="1"/>
  <c r="CQ150" i="10" s="1"/>
  <c r="CR150" i="10" s="1" a="1"/>
  <c r="CR150" i="10" s="1"/>
  <c r="CM150" i="10"/>
  <c r="CU150" i="10"/>
  <c r="CE172" i="10"/>
  <c r="CT172" i="10" s="1"/>
  <c r="CU172" i="10" s="1"/>
  <c r="CE180" i="10"/>
  <c r="CT180" i="10" s="1"/>
  <c r="CU180" i="10" s="1"/>
  <c r="BF177" i="10"/>
  <c r="BL177" i="10" s="1"/>
  <c r="BM177" i="10" s="1"/>
  <c r="BN177" i="10" s="1" a="1"/>
  <c r="BN177" i="10" s="1"/>
  <c r="CE185" i="10"/>
  <c r="CU185" i="10"/>
  <c r="BL187" i="10"/>
  <c r="BM187" i="10" s="1"/>
  <c r="BN187" i="10" s="1" a="1"/>
  <c r="BN187" i="10" s="1"/>
  <c r="CP187" i="10"/>
  <c r="CQ187" i="10" s="1"/>
  <c r="CH187" i="10"/>
  <c r="CI187" i="10" s="1"/>
  <c r="CJ187" i="10" s="1" a="1"/>
  <c r="CJ187" i="10" s="1"/>
  <c r="BP187" i="10"/>
  <c r="BQ187" i="10" s="1"/>
  <c r="BR187" i="10" s="1" a="1"/>
  <c r="BR187" i="10" s="1"/>
  <c r="BT187" i="10"/>
  <c r="BU187" i="10" s="1"/>
  <c r="BU185" i="10"/>
  <c r="BF185" i="10"/>
  <c r="CL150" i="10"/>
  <c r="CR177" i="10" a="1"/>
  <c r="CR177" i="10" s="1"/>
  <c r="BV180" i="10" a="1"/>
  <c r="BV180" i="10" s="1"/>
  <c r="CT176" i="10"/>
  <c r="CE192" i="10"/>
  <c r="CH192" i="10" s="1"/>
  <c r="CI192" i="10" s="1"/>
  <c r="CJ192" i="10" s="1" a="1"/>
  <c r="CJ192" i="10" s="1"/>
  <c r="CT179" i="10"/>
  <c r="CU179" i="10" s="1"/>
  <c r="CT189" i="10"/>
  <c r="CU189" i="10" s="1"/>
  <c r="CE194" i="10"/>
  <c r="CT194" i="10" s="1"/>
  <c r="CU194" i="10" s="1"/>
  <c r="CT193" i="10"/>
  <c r="CU193" i="10" s="1"/>
  <c r="BF215" i="10"/>
  <c r="BP215" i="10" s="1"/>
  <c r="BQ215" i="10" s="1"/>
  <c r="BU215" i="10"/>
  <c r="BV192" i="10" a="1"/>
  <c r="BV192" i="10" s="1"/>
  <c r="BP198" i="10"/>
  <c r="CE230" i="10"/>
  <c r="BP220" i="10"/>
  <c r="BL225" i="10"/>
  <c r="BM225" i="10" s="1"/>
  <c r="BN225" i="10" s="1" a="1"/>
  <c r="BN225" i="10" s="1"/>
  <c r="CH225" i="10"/>
  <c r="CI225" i="10" s="1"/>
  <c r="CJ225" i="10" s="1" a="1"/>
  <c r="CJ225" i="10" s="1"/>
  <c r="BP225" i="10"/>
  <c r="BQ225" i="10" s="1"/>
  <c r="BR225" i="10" s="1" a="1"/>
  <c r="BR225" i="10" s="1"/>
  <c r="CT225" i="10"/>
  <c r="CU225" i="10" s="1"/>
  <c r="BL233" i="10"/>
  <c r="BM233" i="10" s="1"/>
  <c r="BN233" i="10" s="1" a="1"/>
  <c r="BN233" i="10" s="1"/>
  <c r="CH233" i="10"/>
  <c r="CI233" i="10" s="1"/>
  <c r="CJ233" i="10" s="1" a="1"/>
  <c r="CJ233" i="10" s="1"/>
  <c r="CT233" i="10"/>
  <c r="CU233" i="10" s="1"/>
  <c r="BX233" i="10"/>
  <c r="BY233" i="10" s="1"/>
  <c r="CL233" i="10"/>
  <c r="CM233" i="10" s="1"/>
  <c r="BP233" i="10"/>
  <c r="BQ233" i="10" s="1"/>
  <c r="BR233" i="10" s="1" a="1"/>
  <c r="BR233" i="10" s="1"/>
  <c r="CP233" i="10"/>
  <c r="CQ233" i="10" s="1"/>
  <c r="CR233" i="10" s="1" a="1"/>
  <c r="CR233" i="10" s="1"/>
  <c r="CE247" i="10"/>
  <c r="CU247" i="10"/>
  <c r="BL248" i="10"/>
  <c r="BM248" i="10" s="1"/>
  <c r="BN248" i="10" s="1" a="1"/>
  <c r="BN248" i="10" s="1"/>
  <c r="CT248" i="10"/>
  <c r="CU248" i="10" s="1"/>
  <c r="CH248" i="10"/>
  <c r="CI248" i="10" s="1"/>
  <c r="CJ248" i="10" s="1" a="1"/>
  <c r="CJ248" i="10" s="1"/>
  <c r="BP248" i="10"/>
  <c r="BQ248" i="10" s="1"/>
  <c r="BX235" i="10"/>
  <c r="BY235" i="10" s="1"/>
  <c r="BP249" i="10"/>
  <c r="BQ249" i="10" s="1"/>
  <c r="CH258" i="10"/>
  <c r="CI258" i="10" s="1"/>
  <c r="CJ258" i="10" s="1" a="1"/>
  <c r="CJ258" i="10" s="1"/>
  <c r="CE263" i="10"/>
  <c r="CH263" i="10" s="1"/>
  <c r="CI263" i="10" s="1"/>
  <c r="CJ263" i="10" s="1" a="1"/>
  <c r="CJ263" i="10" s="1"/>
  <c r="CT249" i="10"/>
  <c r="CU249" i="10" s="1"/>
  <c r="BQ253" i="10"/>
  <c r="BY253" i="10"/>
  <c r="BF253" i="10"/>
  <c r="BP253" i="10" s="1"/>
  <c r="CP252" i="10"/>
  <c r="CQ252" i="10" s="1"/>
  <c r="CH254" i="10"/>
  <c r="CI254" i="10" s="1"/>
  <c r="CJ254" i="10" s="1" a="1"/>
  <c r="CJ254" i="10" s="1"/>
  <c r="BL252" i="10"/>
  <c r="BM252" i="10" s="1"/>
  <c r="CL272" i="10"/>
  <c r="CM272" i="10" s="1"/>
  <c r="BF285" i="10"/>
  <c r="BP285" i="10" s="1"/>
  <c r="BQ285" i="10" s="1"/>
  <c r="BL312" i="10"/>
  <c r="BM312" i="10" s="1"/>
  <c r="BN312" i="10" s="1" a="1"/>
  <c r="BN312" i="10" s="1"/>
  <c r="BZ267" i="10" a="1"/>
  <c r="BZ267" i="10" s="1"/>
  <c r="CU304" i="10"/>
  <c r="CE304" i="10"/>
  <c r="CT304" i="10" s="1"/>
  <c r="CE316" i="10"/>
  <c r="CP316" i="10" s="1"/>
  <c r="CQ316" i="10" s="1"/>
  <c r="CJ306" i="10" a="1"/>
  <c r="CJ306" i="10" s="1"/>
  <c r="BL288" i="10"/>
  <c r="BM288" i="10" s="1"/>
  <c r="BR288" i="10" s="1" a="1"/>
  <c r="BR288" i="10" s="1"/>
  <c r="BF337" i="10"/>
  <c r="BL337" i="10" s="1"/>
  <c r="BM337" i="10" s="1"/>
  <c r="BN337" i="10" s="1" a="1"/>
  <c r="BN337" i="10" s="1"/>
  <c r="CT330" i="10"/>
  <c r="CU330" i="10" s="1"/>
  <c r="BT333" i="10"/>
  <c r="BU333" i="10" s="1"/>
  <c r="CP321" i="10"/>
  <c r="CQ321" i="10" s="1"/>
  <c r="CR321" i="10" s="1" a="1"/>
  <c r="CR321" i="10" s="1"/>
  <c r="BF356" i="10"/>
  <c r="BX356" i="10" s="1"/>
  <c r="BY356" i="10" s="1"/>
  <c r="BF308" i="10"/>
  <c r="CV323" i="10" a="1"/>
  <c r="CV323" i="10" s="1"/>
  <c r="CP332" i="10"/>
  <c r="CQ332" i="10" s="1"/>
  <c r="CW281" i="10" a="1"/>
  <c r="CW281" i="10" s="1"/>
  <c r="BX321" i="10"/>
  <c r="BY321" i="10" s="1"/>
  <c r="BF341" i="10"/>
  <c r="BL341" i="10" s="1"/>
  <c r="BM341" i="10" s="1"/>
  <c r="BN341" i="10" s="1" a="1"/>
  <c r="BN341" i="10" s="1"/>
  <c r="BQ341" i="10"/>
  <c r="BL354" i="10"/>
  <c r="BM354" i="10" s="1"/>
  <c r="BN354" i="10" s="1" a="1"/>
  <c r="BN354" i="10" s="1"/>
  <c r="BP354" i="10"/>
  <c r="BQ354" i="10" s="1"/>
  <c r="BT354" i="10"/>
  <c r="BU354" i="10" s="1"/>
  <c r="CH354" i="10"/>
  <c r="CI354" i="10" s="1"/>
  <c r="CJ354" i="10" s="1" a="1"/>
  <c r="CJ354" i="10" s="1"/>
  <c r="BL346" i="10"/>
  <c r="BM346" i="10" s="1"/>
  <c r="BN346" i="10" s="1" a="1"/>
  <c r="BN346" i="10" s="1"/>
  <c r="BT346" i="10"/>
  <c r="BU346" i="10" s="1"/>
  <c r="BV346" i="10" s="1" a="1"/>
  <c r="BV346" i="10" s="1"/>
  <c r="CH346" i="10"/>
  <c r="CI346" i="10" s="1"/>
  <c r="CJ346" i="10" s="1" a="1"/>
  <c r="CJ346" i="10" s="1"/>
  <c r="BP346" i="10"/>
  <c r="BQ346" i="10" s="1"/>
  <c r="BL322" i="10"/>
  <c r="BM322" i="10" s="1"/>
  <c r="BN322" i="10" s="1" a="1"/>
  <c r="BN322" i="10" s="1"/>
  <c r="BT367" i="10"/>
  <c r="BU367" i="10" s="1"/>
  <c r="BF368" i="10"/>
  <c r="BX368" i="10" s="1"/>
  <c r="BY368" i="10" s="1"/>
  <c r="BX358" i="10"/>
  <c r="BY358" i="10" s="1"/>
  <c r="BF386" i="10"/>
  <c r="BT386" i="10" s="1"/>
  <c r="BU386" i="10" s="1"/>
  <c r="BT357" i="10"/>
  <c r="BU357" i="10" s="1"/>
  <c r="BV357" i="10" s="1" a="1"/>
  <c r="BV357" i="10" s="1"/>
  <c r="BX363" i="10"/>
  <c r="BY363" i="10" s="1"/>
  <c r="CE379" i="10"/>
  <c r="CA385" i="10" a="1"/>
  <c r="CA385" i="10" s="1"/>
  <c r="CE411" i="10"/>
  <c r="CH387" i="10"/>
  <c r="CI387" i="10" s="1"/>
  <c r="CJ387" i="10" s="1" a="1"/>
  <c r="CJ387" i="10" s="1"/>
  <c r="CL410" i="10"/>
  <c r="CM410" i="10" s="1"/>
  <c r="CE426" i="10"/>
  <c r="CT392" i="10"/>
  <c r="CU392" i="10" s="1"/>
  <c r="CT400" i="10"/>
  <c r="CU400" i="10" s="1"/>
  <c r="BL369" i="10"/>
  <c r="BM369" i="10" s="1"/>
  <c r="BN369" i="10" s="1" a="1"/>
  <c r="BN369" i="10" s="1"/>
  <c r="CE375" i="10"/>
  <c r="CH375" i="10" s="1"/>
  <c r="CI375" i="10" s="1"/>
  <c r="CJ375" i="10" s="1" a="1"/>
  <c r="CJ375" i="10" s="1"/>
  <c r="BY390" i="10"/>
  <c r="BF390" i="10"/>
  <c r="CM397" i="10"/>
  <c r="CE397" i="10"/>
  <c r="CT397" i="10" s="1"/>
  <c r="CU397" i="10" s="1"/>
  <c r="BT403" i="10"/>
  <c r="BU403" i="10" s="1"/>
  <c r="BZ403" i="10" s="1" a="1"/>
  <c r="BZ403" i="10" s="1"/>
  <c r="BL396" i="10"/>
  <c r="BM396" i="10" s="1"/>
  <c r="CH396" i="10"/>
  <c r="CI396" i="10" s="1"/>
  <c r="CN396" i="10" s="1" a="1"/>
  <c r="CN396" i="10" s="1"/>
  <c r="BP405" i="10"/>
  <c r="BQ405" i="10" s="1"/>
  <c r="BZ418" i="10" a="1"/>
  <c r="BZ418" i="10" s="1"/>
  <c r="CA418" i="10" a="1"/>
  <c r="CA418" i="10" s="1"/>
  <c r="BP396" i="10"/>
  <c r="BQ396" i="10" s="1"/>
  <c r="BX430" i="10"/>
  <c r="BY430" i="10" s="1"/>
  <c r="CR439" i="10" a="1"/>
  <c r="CR439" i="10" s="1"/>
  <c r="BP447" i="10"/>
  <c r="BQ447" i="10" s="1"/>
  <c r="BR447" i="10" s="1" a="1"/>
  <c r="BR447" i="10" s="1"/>
  <c r="BL447" i="10"/>
  <c r="BM447" i="10" s="1"/>
  <c r="BN447" i="10" s="1" a="1"/>
  <c r="BN447" i="10" s="1"/>
  <c r="BT447" i="10"/>
  <c r="BU447" i="10" s="1"/>
  <c r="BY431" i="10"/>
  <c r="BF431" i="10"/>
  <c r="BX431" i="10" s="1"/>
  <c r="BP431" i="10"/>
  <c r="BQ431" i="10" s="1"/>
  <c r="CW466" i="10" a="1"/>
  <c r="CW466" i="10" s="1"/>
  <c r="BP486" i="10"/>
  <c r="BQ486" i="10" s="1"/>
  <c r="CP501" i="10"/>
  <c r="CQ501" i="10" s="1"/>
  <c r="CJ507" i="10" a="1"/>
  <c r="CJ507" i="10" s="1"/>
  <c r="BV515" i="10" a="1"/>
  <c r="BV515" i="10" s="1"/>
  <c r="BZ515" i="10" a="1"/>
  <c r="BZ515" i="10" s="1"/>
  <c r="CV507" i="10" a="1"/>
  <c r="CV507" i="10" s="1"/>
  <c r="CW507" i="10" a="1"/>
  <c r="CW507" i="10" s="1"/>
  <c r="CW520" i="10" a="1"/>
  <c r="CW520" i="10" s="1"/>
  <c r="CA524" i="10" a="1"/>
  <c r="CA524" i="10" s="1"/>
  <c r="CW519" i="10" a="1"/>
  <c r="CW519" i="10" s="1"/>
  <c r="CR544" i="10" a="1"/>
  <c r="CR544" i="10" s="1"/>
  <c r="BV570" i="10" a="1"/>
  <c r="BV570" i="10" s="1"/>
  <c r="BR570" i="10" a="1"/>
  <c r="BR570" i="10" s="1"/>
  <c r="CV574" i="10" a="1"/>
  <c r="CV574" i="10" s="1"/>
  <c r="CW574" i="10" a="1"/>
  <c r="CW574" i="10" s="1"/>
  <c r="CA558" i="10" a="1"/>
  <c r="CA558" i="10" s="1"/>
  <c r="BZ558" i="10" a="1"/>
  <c r="BZ558" i="10" s="1"/>
  <c r="CV578" i="10" a="1"/>
  <c r="CV578" i="10" s="1"/>
  <c r="CW578" i="10" a="1"/>
  <c r="CW578" i="10" s="1"/>
  <c r="CV586" i="10" a="1"/>
  <c r="CV586" i="10" s="1"/>
  <c r="CW586" i="10" a="1"/>
  <c r="CW586" i="10" s="1"/>
  <c r="BR590" i="10" a="1"/>
  <c r="BR590" i="10" s="1"/>
  <c r="CA614" i="10" a="1"/>
  <c r="CA614" i="10" s="1"/>
  <c r="CR727" i="10" a="1"/>
  <c r="CR727" i="10" s="1"/>
  <c r="CV727" i="10" a="1"/>
  <c r="CV727" i="10" s="1"/>
  <c r="CA707" i="10" a="1"/>
  <c r="CA707" i="10" s="1"/>
  <c r="BY128" i="10"/>
  <c r="BF128" i="10"/>
  <c r="BP123" i="10"/>
  <c r="BQ123" i="10" s="1"/>
  <c r="BR123" i="10" s="1" a="1"/>
  <c r="BR123" i="10" s="1"/>
  <c r="BX131" i="10"/>
  <c r="BY131" i="10" s="1"/>
  <c r="BL131" i="10"/>
  <c r="BM131" i="10" s="1"/>
  <c r="BN131" i="10" s="1" a="1"/>
  <c r="BN131" i="10" s="1"/>
  <c r="BX123" i="10"/>
  <c r="BY123" i="10" s="1"/>
  <c r="CL139" i="10"/>
  <c r="CM139" i="10" s="1"/>
  <c r="CN139" i="10" s="1" a="1"/>
  <c r="CN139" i="10" s="1"/>
  <c r="BL135" i="10"/>
  <c r="BM135" i="10" s="1"/>
  <c r="BN135" i="10" s="1" a="1"/>
  <c r="BN135" i="10" s="1"/>
  <c r="BX140" i="10"/>
  <c r="BY140" i="10" s="1"/>
  <c r="CL136" i="10"/>
  <c r="CM136" i="10" s="1"/>
  <c r="CP146" i="10"/>
  <c r="CQ146" i="10" s="1"/>
  <c r="BP141" i="10"/>
  <c r="BQ141" i="10" s="1"/>
  <c r="BR141" i="10" s="1" a="1"/>
  <c r="BR141" i="10" s="1"/>
  <c r="BX148" i="10"/>
  <c r="BY148" i="10" s="1"/>
  <c r="CE153" i="10"/>
  <c r="CT153" i="10" s="1"/>
  <c r="CU153" i="10" s="1"/>
  <c r="CP152" i="10"/>
  <c r="CQ152" i="10" s="1"/>
  <c r="BL152" i="10"/>
  <c r="BM152" i="10" s="1"/>
  <c r="BN152" i="10" s="1" a="1"/>
  <c r="BN152" i="10" s="1"/>
  <c r="BT152" i="10"/>
  <c r="BU152" i="10" s="1"/>
  <c r="BP152" i="10"/>
  <c r="BQ152" i="10" s="1"/>
  <c r="BR152" i="10" s="1" a="1"/>
  <c r="BR152" i="10" s="1"/>
  <c r="CH152" i="10"/>
  <c r="CI152" i="10" s="1"/>
  <c r="CJ152" i="10" s="1" a="1"/>
  <c r="CJ152" i="10" s="1"/>
  <c r="BX152" i="10"/>
  <c r="BY152" i="10" s="1"/>
  <c r="BU154" i="10"/>
  <c r="BF154" i="10"/>
  <c r="BP154" i="10" s="1"/>
  <c r="BQ154" i="10" s="1"/>
  <c r="CE156" i="10"/>
  <c r="CH156" i="10" s="1"/>
  <c r="CI156" i="10" s="1"/>
  <c r="CJ156" i="10" s="1" a="1"/>
  <c r="CJ156" i="10" s="1"/>
  <c r="CU156" i="10"/>
  <c r="BL162" i="10"/>
  <c r="BM162" i="10" s="1"/>
  <c r="BN162" i="10" s="1" a="1"/>
  <c r="BN162" i="10" s="1"/>
  <c r="BX162" i="10"/>
  <c r="BY162" i="10" s="1"/>
  <c r="CT150" i="10"/>
  <c r="CT163" i="10"/>
  <c r="CU163" i="10" s="1"/>
  <c r="CE164" i="10"/>
  <c r="CH164" i="10" s="1"/>
  <c r="CI164" i="10" s="1"/>
  <c r="CJ164" i="10" s="1" a="1"/>
  <c r="CJ164" i="10" s="1"/>
  <c r="CL172" i="10"/>
  <c r="CM172" i="10" s="1"/>
  <c r="BP164" i="10"/>
  <c r="BQ164" i="10" s="1"/>
  <c r="BR164" i="10" s="1" a="1"/>
  <c r="BR164" i="10" s="1"/>
  <c r="CL154" i="10"/>
  <c r="CM154" i="10" s="1"/>
  <c r="BX175" i="10"/>
  <c r="BY175" i="10" s="1"/>
  <c r="CP180" i="10"/>
  <c r="CQ180" i="10" s="1"/>
  <c r="CL182" i="10"/>
  <c r="CM182" i="10" s="1"/>
  <c r="CN182" i="10" s="1" a="1"/>
  <c r="CN182" i="10" s="1"/>
  <c r="CT171" i="10"/>
  <c r="CU171" i="10" s="1"/>
  <c r="BT182" i="10"/>
  <c r="BU182" i="10" s="1"/>
  <c r="BV182" i="10" s="1" a="1"/>
  <c r="BV182" i="10" s="1"/>
  <c r="CP185" i="10"/>
  <c r="CQ185" i="10" s="1"/>
  <c r="CL168" i="10"/>
  <c r="CM168" i="10" s="1"/>
  <c r="BL179" i="10"/>
  <c r="BM179" i="10" s="1"/>
  <c r="BN179" i="10" s="1" a="1"/>
  <c r="BN179" i="10" s="1"/>
  <c r="BP179" i="10"/>
  <c r="BQ179" i="10" s="1"/>
  <c r="CH179" i="10"/>
  <c r="CI179" i="10" s="1"/>
  <c r="CJ179" i="10" s="1" a="1"/>
  <c r="CJ179" i="10" s="1"/>
  <c r="CT181" i="10"/>
  <c r="CU181" i="10" s="1"/>
  <c r="CT182" i="10"/>
  <c r="CU182" i="10" s="1"/>
  <c r="CL174" i="10"/>
  <c r="CM174" i="10" s="1"/>
  <c r="CN174" i="10" s="1" a="1"/>
  <c r="CN174" i="10" s="1"/>
  <c r="BT191" i="10"/>
  <c r="BU191" i="10" s="1"/>
  <c r="BL186" i="10"/>
  <c r="BM186" i="10" s="1"/>
  <c r="CJ174" i="10" a="1"/>
  <c r="CJ174" i="10" s="1"/>
  <c r="CT195" i="10"/>
  <c r="CU195" i="10" s="1"/>
  <c r="CH182" i="10"/>
  <c r="CI182" i="10" s="1"/>
  <c r="CJ182" i="10" s="1" a="1"/>
  <c r="CJ182" i="10" s="1"/>
  <c r="BX189" i="10"/>
  <c r="BY189" i="10" s="1"/>
  <c r="CP192" i="10"/>
  <c r="CQ192" i="10" s="1"/>
  <c r="BF189" i="10"/>
  <c r="BP189" i="10" s="1"/>
  <c r="BQ189" i="10" s="1"/>
  <c r="BR189" i="10" s="1" a="1"/>
  <c r="BR189" i="10" s="1"/>
  <c r="BM189" i="10"/>
  <c r="BN189" i="10" s="1" a="1"/>
  <c r="BN189" i="10" s="1"/>
  <c r="CH171" i="10"/>
  <c r="CI171" i="10" s="1"/>
  <c r="CJ171" i="10" s="1" a="1"/>
  <c r="CJ171" i="10" s="1"/>
  <c r="CH191" i="10"/>
  <c r="CI191" i="10" s="1"/>
  <c r="CJ191" i="10" s="1" a="1"/>
  <c r="CJ191" i="10" s="1"/>
  <c r="BL191" i="10"/>
  <c r="BM191" i="10" s="1"/>
  <c r="BN191" i="10" s="1" a="1"/>
  <c r="BN191" i="10" s="1"/>
  <c r="BP191" i="10"/>
  <c r="BQ191" i="10" s="1"/>
  <c r="BP193" i="10"/>
  <c r="BQ193" i="10" s="1"/>
  <c r="BF193" i="10"/>
  <c r="BL201" i="10"/>
  <c r="BM201" i="10" s="1"/>
  <c r="BN201" i="10" s="1" a="1"/>
  <c r="BN201" i="10" s="1"/>
  <c r="CE201" i="10"/>
  <c r="CL201" i="10" s="1"/>
  <c r="CM201" i="10" s="1"/>
  <c r="CE205" i="10"/>
  <c r="CT205" i="10" s="1"/>
  <c r="CU205" i="10" s="1"/>
  <c r="BL189" i="10"/>
  <c r="CH189" i="10"/>
  <c r="CI189" i="10" s="1"/>
  <c r="BP202" i="10"/>
  <c r="BQ202" i="10" s="1"/>
  <c r="CT209" i="10"/>
  <c r="CU209" i="10" s="1"/>
  <c r="BL222" i="10"/>
  <c r="BM222" i="10" s="1"/>
  <c r="BN222" i="10" s="1" a="1"/>
  <c r="BN222" i="10" s="1"/>
  <c r="BT222" i="10"/>
  <c r="BU222" i="10" s="1"/>
  <c r="BV222" i="10" s="1" a="1"/>
  <c r="BV222" i="10" s="1"/>
  <c r="CL230" i="10"/>
  <c r="CM230" i="10" s="1"/>
  <c r="CE220" i="10"/>
  <c r="CL227" i="10"/>
  <c r="CM227" i="10" s="1"/>
  <c r="CE228" i="10"/>
  <c r="CP228" i="10" s="1"/>
  <c r="CQ228" i="10" s="1"/>
  <c r="CP225" i="10"/>
  <c r="CQ225" i="10" s="1"/>
  <c r="CP227" i="10"/>
  <c r="CQ227" i="10" s="1"/>
  <c r="CR227" i="10" s="1" a="1"/>
  <c r="CR227" i="10" s="1"/>
  <c r="CL235" i="10"/>
  <c r="CM235" i="10" s="1"/>
  <c r="CN235" i="10" s="1" a="1"/>
  <c r="CN235" i="10" s="1"/>
  <c r="BF216" i="10"/>
  <c r="BT216" i="10" s="1"/>
  <c r="BU216" i="10" s="1"/>
  <c r="BT248" i="10"/>
  <c r="BU248" i="10" s="1"/>
  <c r="BV248" i="10" s="1" a="1"/>
  <c r="BV248" i="10" s="1"/>
  <c r="CP254" i="10"/>
  <c r="CQ254" i="10" s="1"/>
  <c r="CV254" i="10" s="1" a="1"/>
  <c r="CV254" i="10" s="1"/>
  <c r="CE224" i="10"/>
  <c r="CL224" i="10" s="1"/>
  <c r="CM224" i="10" s="1"/>
  <c r="BF243" i="10"/>
  <c r="BX249" i="10"/>
  <c r="BY249" i="10" s="1"/>
  <c r="CP258" i="10"/>
  <c r="CQ258" i="10" s="1"/>
  <c r="CU259" i="10"/>
  <c r="CE259" i="10"/>
  <c r="CL259" i="10" s="1"/>
  <c r="CM259" i="10" s="1"/>
  <c r="BP256" i="10"/>
  <c r="BQ256" i="10" s="1"/>
  <c r="BX248" i="10"/>
  <c r="BY248" i="10" s="1"/>
  <c r="BF264" i="10"/>
  <c r="BT264" i="10" s="1"/>
  <c r="BU264" i="10" s="1"/>
  <c r="BM257" i="10"/>
  <c r="BN257" i="10" s="1" a="1"/>
  <c r="BN257" i="10" s="1"/>
  <c r="BF257" i="10"/>
  <c r="BL257" i="10" s="1"/>
  <c r="CL248" i="10"/>
  <c r="CM248" i="10" s="1"/>
  <c r="CN248" i="10" s="1" a="1"/>
  <c r="CN248" i="10" s="1"/>
  <c r="BP266" i="10"/>
  <c r="BQ266" i="10" s="1"/>
  <c r="BR266" i="10" s="1" a="1"/>
  <c r="BR266" i="10" s="1"/>
  <c r="CH266" i="10"/>
  <c r="CI266" i="10" s="1"/>
  <c r="CJ266" i="10" s="1" a="1"/>
  <c r="CJ266" i="10" s="1"/>
  <c r="BL266" i="10"/>
  <c r="BM266" i="10" s="1"/>
  <c r="BN266" i="10" s="1" a="1"/>
  <c r="BN266" i="10" s="1"/>
  <c r="BT266" i="10"/>
  <c r="BU266" i="10" s="1"/>
  <c r="BV266" i="10" s="1" a="1"/>
  <c r="BV266" i="10" s="1"/>
  <c r="CL266" i="10"/>
  <c r="CM266" i="10" s="1"/>
  <c r="BF276" i="10"/>
  <c r="BP276" i="10" s="1"/>
  <c r="BQ276" i="10" s="1"/>
  <c r="CL255" i="10"/>
  <c r="CM255" i="10" s="1"/>
  <c r="BT261" i="10"/>
  <c r="BU261" i="10" s="1"/>
  <c r="BP252" i="10"/>
  <c r="BQ252" i="10" s="1"/>
  <c r="BR252" i="10" s="1" a="1"/>
  <c r="BR252" i="10" s="1"/>
  <c r="CE272" i="10"/>
  <c r="CP272" i="10" s="1"/>
  <c r="CQ272" i="10" s="1"/>
  <c r="CR272" i="10" s="1" a="1"/>
  <c r="CR272" i="10" s="1"/>
  <c r="BT280" i="10"/>
  <c r="BU280" i="10" s="1"/>
  <c r="BZ286" i="10" a="1"/>
  <c r="BZ286" i="10" s="1"/>
  <c r="BF297" i="10"/>
  <c r="BX297" i="10" s="1"/>
  <c r="BY297" i="10" s="1"/>
  <c r="CL258" i="10"/>
  <c r="CM258" i="10" s="1"/>
  <c r="BL270" i="10"/>
  <c r="BM270" i="10" s="1"/>
  <c r="BN270" i="10" s="1" a="1"/>
  <c r="BN270" i="10" s="1"/>
  <c r="BX278" i="10"/>
  <c r="BY278" i="10" s="1"/>
  <c r="BL303" i="10"/>
  <c r="BM303" i="10" s="1"/>
  <c r="BN303" i="10" s="1" a="1"/>
  <c r="BN303" i="10" s="1"/>
  <c r="BP303" i="10"/>
  <c r="BQ303" i="10" s="1"/>
  <c r="BR303" i="10" s="1" a="1"/>
  <c r="BR303" i="10" s="1"/>
  <c r="CH303" i="10"/>
  <c r="CI303" i="10" s="1"/>
  <c r="CJ303" i="10" s="1" a="1"/>
  <c r="CJ303" i="10" s="1"/>
  <c r="BT303" i="10"/>
  <c r="BU303" i="10" s="1"/>
  <c r="CP248" i="10"/>
  <c r="CQ248" i="10" s="1"/>
  <c r="CR248" i="10" s="1" a="1"/>
  <c r="CR248" i="10" s="1"/>
  <c r="CH269" i="10"/>
  <c r="CI269" i="10" s="1"/>
  <c r="CJ269" i="10" s="1" a="1"/>
  <c r="CJ269" i="10" s="1"/>
  <c r="CT303" i="10"/>
  <c r="CU303" i="10" s="1"/>
  <c r="BP310" i="10"/>
  <c r="BQ310" i="10" s="1"/>
  <c r="BP271" i="10"/>
  <c r="BQ271" i="10" s="1"/>
  <c r="BR271" i="10" s="1" a="1"/>
  <c r="BR271" i="10" s="1"/>
  <c r="CV301" i="10" a="1"/>
  <c r="CV301" i="10" s="1"/>
  <c r="BX316" i="10"/>
  <c r="BY316" i="10" s="1"/>
  <c r="BP326" i="10"/>
  <c r="BQ326" i="10" s="1"/>
  <c r="BL326" i="10"/>
  <c r="BM326" i="10" s="1"/>
  <c r="BN326" i="10" s="1" a="1"/>
  <c r="BN326" i="10" s="1"/>
  <c r="CP280" i="10"/>
  <c r="CQ280" i="10" s="1"/>
  <c r="CR280" i="10" s="1" a="1"/>
  <c r="CR280" i="10" s="1"/>
  <c r="CV305" i="10" a="1"/>
  <c r="CV305" i="10" s="1"/>
  <c r="CP313" i="10"/>
  <c r="CQ313" i="10" s="1"/>
  <c r="CR307" i="10" a="1"/>
  <c r="CR307" i="10" s="1"/>
  <c r="BT284" i="10"/>
  <c r="BU284" i="10" s="1"/>
  <c r="BV284" i="10" s="1" a="1"/>
  <c r="BV284" i="10" s="1"/>
  <c r="BT296" i="10"/>
  <c r="BU296" i="10" s="1"/>
  <c r="BV296" i="10" s="1" a="1"/>
  <c r="BV296" i="10" s="1"/>
  <c r="BL296" i="10"/>
  <c r="BM296" i="10" s="1"/>
  <c r="BR296" i="10" s="1" a="1"/>
  <c r="BR296" i="10" s="1"/>
  <c r="CL309" i="10"/>
  <c r="CM309" i="10" s="1"/>
  <c r="CN309" i="10" s="1" a="1"/>
  <c r="CN309" i="10" s="1"/>
  <c r="CH322" i="10"/>
  <c r="CI322" i="10" s="1"/>
  <c r="CJ322" i="10" s="1" a="1"/>
  <c r="CJ322" i="10" s="1"/>
  <c r="CP328" i="10"/>
  <c r="CQ328" i="10" s="1"/>
  <c r="CE328" i="10"/>
  <c r="CL328" i="10" s="1"/>
  <c r="CM328" i="10" s="1"/>
  <c r="CN328" i="10" s="1" a="1"/>
  <c r="CN328" i="10" s="1"/>
  <c r="CI328" i="10"/>
  <c r="CJ328" i="10" s="1" a="1"/>
  <c r="CJ328" i="10" s="1"/>
  <c r="BL351" i="10"/>
  <c r="BM351" i="10" s="1"/>
  <c r="BN351" i="10" s="1" a="1"/>
  <c r="BN351" i="10" s="1"/>
  <c r="CH301" i="10"/>
  <c r="CI301" i="10" s="1"/>
  <c r="CJ301" i="10" s="1" a="1"/>
  <c r="CJ301" i="10" s="1"/>
  <c r="BT326" i="10"/>
  <c r="BU326" i="10" s="1"/>
  <c r="BV326" i="10" s="1" a="1"/>
  <c r="BV326" i="10" s="1"/>
  <c r="CW285" i="10" a="1"/>
  <c r="CW285" i="10" s="1"/>
  <c r="BF320" i="10"/>
  <c r="BN342" i="10" a="1"/>
  <c r="BN342" i="10" s="1"/>
  <c r="BL318" i="10"/>
  <c r="BM318" i="10" s="1"/>
  <c r="BR318" i="10" s="1" a="1"/>
  <c r="BR318" i="10" s="1"/>
  <c r="BT322" i="10"/>
  <c r="BU322" i="10" s="1"/>
  <c r="BT347" i="10"/>
  <c r="BU347" i="10" s="1"/>
  <c r="BT351" i="10"/>
  <c r="BU351" i="10" s="1"/>
  <c r="BV351" i="10" s="1" a="1"/>
  <c r="BV351" i="10" s="1"/>
  <c r="BN338" i="10" a="1"/>
  <c r="BN338" i="10" s="1"/>
  <c r="CV356" i="10" a="1"/>
  <c r="CV356" i="10" s="1"/>
  <c r="CE372" i="10"/>
  <c r="CH372" i="10" s="1"/>
  <c r="CI372" i="10" s="1"/>
  <c r="CJ372" i="10" s="1" a="1"/>
  <c r="CJ372" i="10" s="1"/>
  <c r="CU372" i="10"/>
  <c r="CW360" i="10" a="1"/>
  <c r="CW360" i="10" s="1"/>
  <c r="CL362" i="10"/>
  <c r="CM362" i="10" s="1"/>
  <c r="CR362" i="10" s="1" a="1"/>
  <c r="CR362" i="10" s="1"/>
  <c r="CP404" i="10"/>
  <c r="CQ404" i="10" s="1"/>
  <c r="CR404" i="10" s="1" a="1"/>
  <c r="CR404" i="10" s="1"/>
  <c r="BF339" i="10"/>
  <c r="BL339" i="10" s="1"/>
  <c r="BM339" i="10" s="1"/>
  <c r="BN339" i="10" s="1" a="1"/>
  <c r="BN339" i="10" s="1"/>
  <c r="BP359" i="10"/>
  <c r="BQ359" i="10" s="1"/>
  <c r="BX372" i="10"/>
  <c r="BY372" i="10" s="1"/>
  <c r="CE377" i="10"/>
  <c r="CT377" i="10" s="1"/>
  <c r="CU377" i="10" s="1"/>
  <c r="BM382" i="10"/>
  <c r="BN382" i="10" s="1" a="1"/>
  <c r="BN382" i="10" s="1"/>
  <c r="BF382" i="10"/>
  <c r="BL359" i="10"/>
  <c r="BM359" i="10" s="1"/>
  <c r="BN359" i="10" s="1" a="1"/>
  <c r="BN359" i="10" s="1"/>
  <c r="BL368" i="10"/>
  <c r="BM368" i="10" s="1"/>
  <c r="BN368" i="10" s="1" a="1"/>
  <c r="BN368" i="10" s="1"/>
  <c r="BT361" i="10"/>
  <c r="BU361" i="10" s="1"/>
  <c r="BV361" i="10" s="1" a="1"/>
  <c r="BV361" i="10" s="1"/>
  <c r="CT362" i="10"/>
  <c r="CU362" i="10" s="1"/>
  <c r="BL402" i="10"/>
  <c r="BP402" i="10"/>
  <c r="BQ402" i="10" s="1"/>
  <c r="BR402" i="10" s="1" a="1"/>
  <c r="BR402" i="10" s="1"/>
  <c r="CH379" i="10"/>
  <c r="CI379" i="10" s="1"/>
  <c r="CJ379" i="10" s="1" a="1"/>
  <c r="CJ379" i="10" s="1"/>
  <c r="CE383" i="10"/>
  <c r="CH383" i="10" s="1"/>
  <c r="CI383" i="10" s="1"/>
  <c r="CJ383" i="10" s="1" a="1"/>
  <c r="CJ383" i="10" s="1"/>
  <c r="CQ383" i="10"/>
  <c r="CQ391" i="10"/>
  <c r="CE391" i="10"/>
  <c r="CL391" i="10" s="1"/>
  <c r="CM391" i="10" s="1"/>
  <c r="CL426" i="10"/>
  <c r="CM426" i="10" s="1"/>
  <c r="BT380" i="10"/>
  <c r="BU380" i="10" s="1"/>
  <c r="CP391" i="10"/>
  <c r="BX375" i="10"/>
  <c r="BY375" i="10" s="1"/>
  <c r="CP395" i="10"/>
  <c r="CQ395" i="10" s="1"/>
  <c r="BP392" i="10"/>
  <c r="BQ392" i="10" s="1"/>
  <c r="BR392" i="10" s="1" a="1"/>
  <c r="BR392" i="10" s="1"/>
  <c r="BL392" i="10"/>
  <c r="BM392" i="10" s="1"/>
  <c r="CH392" i="10"/>
  <c r="CI392" i="10" s="1"/>
  <c r="CN392" i="10" s="1" a="1"/>
  <c r="CN392" i="10" s="1"/>
  <c r="BU406" i="10"/>
  <c r="BF406" i="10"/>
  <c r="BR418" i="10" a="1"/>
  <c r="BR418" i="10" s="1"/>
  <c r="BV418" i="10" a="1"/>
  <c r="BV418" i="10" s="1"/>
  <c r="BM402" i="10"/>
  <c r="BN402" i="10" s="1" a="1"/>
  <c r="BN402" i="10" s="1"/>
  <c r="BU402" i="10"/>
  <c r="BF402" i="10"/>
  <c r="BL430" i="10"/>
  <c r="BM430" i="10" s="1"/>
  <c r="BP430" i="10"/>
  <c r="BQ430" i="10" s="1"/>
  <c r="BR430" i="10" s="1" a="1"/>
  <c r="BR430" i="10" s="1"/>
  <c r="BP413" i="10"/>
  <c r="BQ413" i="10" s="1"/>
  <c r="BR413" i="10" s="1" a="1"/>
  <c r="BR413" i="10" s="1"/>
  <c r="CE441" i="10"/>
  <c r="BT413" i="10"/>
  <c r="BU413" i="10" s="1"/>
  <c r="CV446" i="10" a="1"/>
  <c r="CV446" i="10" s="1"/>
  <c r="CW446" i="10" a="1"/>
  <c r="CW446" i="10" s="1"/>
  <c r="CA416" i="10" a="1"/>
  <c r="CA416" i="10" s="1"/>
  <c r="BZ416" i="10" a="1"/>
  <c r="BZ416" i="10" s="1"/>
  <c r="CT427" i="10"/>
  <c r="CU427" i="10" s="1"/>
  <c r="BZ455" i="10" a="1"/>
  <c r="BZ455" i="10" s="1"/>
  <c r="CA455" i="10" a="1"/>
  <c r="CA455" i="10" s="1"/>
  <c r="CR460" i="10" a="1"/>
  <c r="CR460" i="10" s="1"/>
  <c r="CA462" i="10" a="1"/>
  <c r="CA462" i="10" s="1"/>
  <c r="CN472" i="10" a="1"/>
  <c r="CN472" i="10" s="1"/>
  <c r="CW540" i="10" a="1"/>
  <c r="CW540" i="10" s="1"/>
  <c r="BT537" i="10"/>
  <c r="BZ559" i="10" a="1"/>
  <c r="BZ559" i="10" s="1"/>
  <c r="CA559" i="10" a="1"/>
  <c r="CA559" i="10" s="1"/>
  <c r="CA582" i="10" a="1"/>
  <c r="CA582" i="10" s="1"/>
  <c r="BZ582" i="10" a="1"/>
  <c r="BZ582" i="10" s="1"/>
  <c r="CW582" i="10" a="1"/>
  <c r="CW582" i="10" s="1"/>
  <c r="CW614" i="10" a="1"/>
  <c r="CW614" i="10" s="1"/>
  <c r="CR622" i="10" a="1"/>
  <c r="CR622" i="10" s="1"/>
  <c r="CW638" i="10" a="1"/>
  <c r="CW638" i="10" s="1"/>
  <c r="BL613" i="10"/>
  <c r="BM613" i="10" s="1"/>
  <c r="BN613" i="10" s="1" a="1"/>
  <c r="BN613" i="10" s="1"/>
  <c r="CA631" i="10" a="1"/>
  <c r="CA631" i="10" s="1"/>
  <c r="CA647" i="10" a="1"/>
  <c r="CA647" i="10" s="1"/>
  <c r="BZ647" i="10" a="1"/>
  <c r="BZ647" i="10" s="1"/>
  <c r="CA659" i="10" a="1"/>
  <c r="CA659" i="10" s="1"/>
  <c r="BR563" i="10" a="1"/>
  <c r="BR563" i="10" s="1"/>
  <c r="BZ676" i="10" a="1"/>
  <c r="BZ676" i="10" s="1"/>
  <c r="CA676" i="10" a="1"/>
  <c r="CA676" i="10" s="1"/>
  <c r="CA630" i="10" a="1"/>
  <c r="CA630" i="10" s="1"/>
  <c r="BZ630" i="10" a="1"/>
  <c r="BZ630" i="10" s="1"/>
  <c r="CA683" i="10" a="1"/>
  <c r="CA683" i="10" s="1"/>
  <c r="BV723" i="10" a="1"/>
  <c r="BV723" i="10" s="1"/>
  <c r="CN658" i="10" a="1"/>
  <c r="CN658" i="10" s="1"/>
  <c r="BL127" i="10"/>
  <c r="BM127" i="10" s="1"/>
  <c r="BN127" i="10" s="1" a="1"/>
  <c r="BN127" i="10" s="1"/>
  <c r="BT123" i="10"/>
  <c r="BU123" i="10" s="1"/>
  <c r="BV123" i="10" s="1" a="1"/>
  <c r="BV123" i="10" s="1"/>
  <c r="CT129" i="10"/>
  <c r="CU129" i="10" s="1"/>
  <c r="CH123" i="10"/>
  <c r="CI123" i="10" s="1"/>
  <c r="CJ123" i="10" s="1" a="1"/>
  <c r="CJ123" i="10" s="1"/>
  <c r="BX128" i="10"/>
  <c r="BN123" i="10" a="1"/>
  <c r="BN123" i="10" s="1"/>
  <c r="BF133" i="10"/>
  <c r="BX133" i="10" s="1"/>
  <c r="BY133" i="10" s="1"/>
  <c r="CP125" i="10"/>
  <c r="CQ125" i="10" s="1"/>
  <c r="CP139" i="10"/>
  <c r="CQ139" i="10" s="1"/>
  <c r="CR139" i="10" s="1" a="1"/>
  <c r="CR139" i="10" s="1"/>
  <c r="CL140" i="10"/>
  <c r="CM140" i="10" s="1"/>
  <c r="CN140" i="10" s="1" a="1"/>
  <c r="CN140" i="10" s="1"/>
  <c r="BF142" i="10"/>
  <c r="BL142" i="10" s="1"/>
  <c r="BM142" i="10" s="1"/>
  <c r="BN142" i="10" s="1" a="1"/>
  <c r="BN142" i="10" s="1"/>
  <c r="BN145" i="10" a="1"/>
  <c r="BN145" i="10" s="1"/>
  <c r="BM141" i="10"/>
  <c r="BN141" i="10" s="1" a="1"/>
  <c r="BN141" i="10" s="1"/>
  <c r="BF141" i="10"/>
  <c r="BL141" i="10" s="1"/>
  <c r="BT143" i="10"/>
  <c r="BU143" i="10" s="1"/>
  <c r="BX143" i="10"/>
  <c r="BY143" i="10" s="1"/>
  <c r="BP148" i="10"/>
  <c r="BQ148" i="10" s="1"/>
  <c r="CT148" i="10"/>
  <c r="CU148" i="10" s="1"/>
  <c r="CH146" i="10"/>
  <c r="CI146" i="10" s="1"/>
  <c r="BF149" i="10"/>
  <c r="BX157" i="10"/>
  <c r="BY157" i="10" s="1"/>
  <c r="CE134" i="10"/>
  <c r="CT134" i="10" s="1"/>
  <c r="CU134" i="10" s="1"/>
  <c r="CE162" i="10"/>
  <c r="CT162" i="10" s="1"/>
  <c r="CU162" i="10" s="1"/>
  <c r="BF150" i="10"/>
  <c r="BT150" i="10" s="1"/>
  <c r="BU150" i="10" s="1"/>
  <c r="CT169" i="10"/>
  <c r="CU169" i="10" s="1"/>
  <c r="CL152" i="10"/>
  <c r="CM152" i="10" s="1"/>
  <c r="CN152" i="10" s="1" a="1"/>
  <c r="CN152" i="10" s="1"/>
  <c r="BT174" i="10"/>
  <c r="BU174" i="10" s="1"/>
  <c r="BV174" i="10" s="1" a="1"/>
  <c r="BV174" i="10" s="1"/>
  <c r="CP176" i="10"/>
  <c r="CQ176" i="10" s="1"/>
  <c r="CR176" i="10" s="1" a="1"/>
  <c r="CR176" i="10" s="1"/>
  <c r="CE176" i="10"/>
  <c r="CL176" i="10" s="1"/>
  <c r="CM176" i="10" s="1"/>
  <c r="CU176" i="10"/>
  <c r="CH172" i="10"/>
  <c r="CI172" i="10" s="1"/>
  <c r="CJ172" i="10" s="1" a="1"/>
  <c r="CJ172" i="10" s="1"/>
  <c r="BL161" i="10"/>
  <c r="BM161" i="10" s="1"/>
  <c r="BN161" i="10" s="1" a="1"/>
  <c r="BN161" i="10" s="1"/>
  <c r="CT161" i="10"/>
  <c r="CU161" i="10" s="1"/>
  <c r="BT161" i="10"/>
  <c r="BU161" i="10" s="1"/>
  <c r="CH161" i="10"/>
  <c r="CI161" i="10" s="1"/>
  <c r="CJ161" i="10" s="1" a="1"/>
  <c r="CJ161" i="10" s="1"/>
  <c r="CP161" i="10"/>
  <c r="CQ161" i="10" s="1"/>
  <c r="CR161" i="10" s="1" a="1"/>
  <c r="CR161" i="10" s="1"/>
  <c r="BP161" i="10"/>
  <c r="BQ161" i="10" s="1"/>
  <c r="BR161" i="10" s="1" a="1"/>
  <c r="BR161" i="10" s="1"/>
  <c r="BX170" i="10"/>
  <c r="BY170" i="10" s="1"/>
  <c r="BF181" i="10"/>
  <c r="BP181" i="10" s="1"/>
  <c r="BQ181" i="10" s="1"/>
  <c r="CT183" i="10"/>
  <c r="CU183" i="10" s="1"/>
  <c r="CL171" i="10"/>
  <c r="CM171" i="10" s="1"/>
  <c r="CN171" i="10" s="1" a="1"/>
  <c r="CN171" i="10" s="1"/>
  <c r="CH186" i="10"/>
  <c r="CI186" i="10" s="1"/>
  <c r="CN186" i="10" s="1" a="1"/>
  <c r="CN186" i="10" s="1"/>
  <c r="BZ188" i="10" a="1"/>
  <c r="BZ188" i="10" s="1"/>
  <c r="BP185" i="10"/>
  <c r="BQ185" i="10" s="1"/>
  <c r="CL189" i="10"/>
  <c r="CM189" i="10" s="1"/>
  <c r="CN189" i="10" s="1" a="1"/>
  <c r="CN189" i="10" s="1"/>
  <c r="BL183" i="10"/>
  <c r="BM183" i="10" s="1"/>
  <c r="BN183" i="10" s="1" a="1"/>
  <c r="BN183" i="10" s="1"/>
  <c r="BP183" i="10"/>
  <c r="BQ183" i="10" s="1"/>
  <c r="CH183" i="10"/>
  <c r="CI183" i="10" s="1"/>
  <c r="CJ183" i="10" s="1" a="1"/>
  <c r="CJ183" i="10" s="1"/>
  <c r="CL183" i="10"/>
  <c r="CM183" i="10" s="1"/>
  <c r="CN183" i="10" s="1" a="1"/>
  <c r="CN183" i="10" s="1"/>
  <c r="BT171" i="10"/>
  <c r="BU171" i="10" s="1"/>
  <c r="BV171" i="10" s="1" a="1"/>
  <c r="BV171" i="10" s="1"/>
  <c r="CP178" i="10"/>
  <c r="CQ178" i="10" s="1"/>
  <c r="CH190" i="10"/>
  <c r="CI190" i="10" s="1"/>
  <c r="CJ190" i="10" s="1" a="1"/>
  <c r="CJ190" i="10" s="1"/>
  <c r="BL190" i="10"/>
  <c r="BM190" i="10" s="1"/>
  <c r="BN190" i="10" s="1" a="1"/>
  <c r="BN190" i="10" s="1"/>
  <c r="CP190" i="10"/>
  <c r="CQ190" i="10" s="1"/>
  <c r="CR190" i="10" s="1" a="1"/>
  <c r="CR190" i="10" s="1"/>
  <c r="BF202" i="10"/>
  <c r="BT202" i="10" s="1"/>
  <c r="BU202" i="10" s="1"/>
  <c r="BV202" i="10" s="1" a="1"/>
  <c r="BV202" i="10" s="1"/>
  <c r="CP205" i="10"/>
  <c r="CQ205" i="10" s="1"/>
  <c r="CR205" i="10" s="1" a="1"/>
  <c r="CR205" i="10" s="1"/>
  <c r="CP217" i="10"/>
  <c r="CQ217" i="10" s="1"/>
  <c r="CV217" i="10" s="1" a="1"/>
  <c r="CV217" i="10" s="1"/>
  <c r="BF211" i="10"/>
  <c r="BL211" i="10" s="1"/>
  <c r="BM211" i="10" s="1"/>
  <c r="BN211" i="10" s="1" a="1"/>
  <c r="BN211" i="10" s="1"/>
  <c r="BX201" i="10"/>
  <c r="BY201" i="10" s="1"/>
  <c r="CB218" i="10"/>
  <c r="S218" i="10" s="1"/>
  <c r="CH209" i="10"/>
  <c r="CI209" i="10" s="1"/>
  <c r="CJ209" i="10" s="1" a="1"/>
  <c r="CJ209" i="10" s="1"/>
  <c r="CP209" i="10"/>
  <c r="CQ209" i="10" s="1"/>
  <c r="BP209" i="10"/>
  <c r="BQ209" i="10" s="1"/>
  <c r="BL209" i="10"/>
  <c r="BM209" i="10" s="1"/>
  <c r="BN209" i="10" s="1" a="1"/>
  <c r="BN209" i="10" s="1"/>
  <c r="BF212" i="10"/>
  <c r="BP212" i="10" s="1"/>
  <c r="BQ212" i="10" s="1"/>
  <c r="CE198" i="10"/>
  <c r="CT198" i="10" s="1"/>
  <c r="CU198" i="10" s="1"/>
  <c r="CT200" i="10"/>
  <c r="CU200" i="10" s="1"/>
  <c r="BX215" i="10"/>
  <c r="BY215" i="10" s="1"/>
  <c r="BP211" i="10"/>
  <c r="BQ211" i="10" s="1"/>
  <c r="CP215" i="10"/>
  <c r="CQ215" i="10" s="1"/>
  <c r="CL205" i="10"/>
  <c r="CM205" i="10" s="1"/>
  <c r="CL209" i="10"/>
  <c r="CM209" i="10" s="1"/>
  <c r="BX237" i="10"/>
  <c r="BY237" i="10" s="1"/>
  <c r="CT242" i="10"/>
  <c r="CU242" i="10" s="1"/>
  <c r="BP231" i="10"/>
  <c r="BQ231" i="10" s="1"/>
  <c r="BT231" i="10"/>
  <c r="BU231" i="10" s="1"/>
  <c r="BV231" i="10" s="1" a="1"/>
  <c r="BV231" i="10" s="1"/>
  <c r="BX241" i="10"/>
  <c r="BY241" i="10" s="1"/>
  <c r="BT256" i="10"/>
  <c r="BU256" i="10" s="1"/>
  <c r="BV256" i="10" s="1" a="1"/>
  <c r="BV256" i="10" s="1"/>
  <c r="CH256" i="10"/>
  <c r="CI256" i="10" s="1"/>
  <c r="CJ256" i="10" s="1" a="1"/>
  <c r="CJ256" i="10" s="1"/>
  <c r="BL256" i="10"/>
  <c r="BM256" i="10" s="1"/>
  <c r="CU234" i="10"/>
  <c r="CE234" i="10"/>
  <c r="CP234" i="10" s="1"/>
  <c r="CQ234" i="10" s="1"/>
  <c r="CL202" i="10"/>
  <c r="CM202" i="10" s="1"/>
  <c r="CN202" i="10" s="1" a="1"/>
  <c r="CN202" i="10" s="1"/>
  <c r="BP216" i="10"/>
  <c r="BQ216" i="10" s="1"/>
  <c r="CH227" i="10"/>
  <c r="CI227" i="10" s="1"/>
  <c r="CJ227" i="10" s="1" a="1"/>
  <c r="CJ227" i="10" s="1"/>
  <c r="CL238" i="10"/>
  <c r="CM238" i="10" s="1"/>
  <c r="CN238" i="10" s="1" a="1"/>
  <c r="CN238" i="10" s="1"/>
  <c r="BN256" i="10" a="1"/>
  <c r="BN256" i="10" s="1"/>
  <c r="BL240" i="10"/>
  <c r="BM240" i="10" s="1"/>
  <c r="BN240" i="10" s="1" a="1"/>
  <c r="BN240" i="10" s="1"/>
  <c r="CT240" i="10"/>
  <c r="CU240" i="10" s="1"/>
  <c r="CH240" i="10"/>
  <c r="CI240" i="10" s="1"/>
  <c r="CJ240" i="10" s="1" a="1"/>
  <c r="CJ240" i="10" s="1"/>
  <c r="BP240" i="10"/>
  <c r="BQ240" i="10" s="1"/>
  <c r="CA242" i="10" a="1"/>
  <c r="CA242" i="10" s="1"/>
  <c r="CB242" i="10" s="1"/>
  <c r="S242" i="10" s="1"/>
  <c r="CH224" i="10"/>
  <c r="CI224" i="10" s="1"/>
  <c r="CJ224" i="10" s="1" a="1"/>
  <c r="CJ224" i="10" s="1"/>
  <c r="BT241" i="10"/>
  <c r="BU241" i="10" s="1"/>
  <c r="BL249" i="10"/>
  <c r="BM249" i="10" s="1"/>
  <c r="BN249" i="10" s="1" a="1"/>
  <c r="BN249" i="10" s="1"/>
  <c r="BF259" i="10"/>
  <c r="BL259" i="10" s="1"/>
  <c r="BM259" i="10" s="1"/>
  <c r="BN259" i="10" s="1" a="1"/>
  <c r="BN259" i="10" s="1"/>
  <c r="BF269" i="10"/>
  <c r="BX269" i="10" s="1"/>
  <c r="BY269" i="10" s="1"/>
  <c r="BQ269" i="10"/>
  <c r="CT259" i="10"/>
  <c r="BP264" i="10"/>
  <c r="BQ264" i="10" s="1"/>
  <c r="CE267" i="10"/>
  <c r="CP269" i="10"/>
  <c r="CQ269" i="10" s="1"/>
  <c r="CR269" i="10" s="1" a="1"/>
  <c r="CR269" i="10" s="1"/>
  <c r="CH259" i="10"/>
  <c r="CI259" i="10" s="1"/>
  <c r="CJ259" i="10" s="1" a="1"/>
  <c r="CJ259" i="10" s="1"/>
  <c r="BM280" i="10"/>
  <c r="BN280" i="10" s="1" a="1"/>
  <c r="BN280" i="10" s="1"/>
  <c r="BF280" i="10"/>
  <c r="BX280" i="10" s="1"/>
  <c r="BY280" i="10" s="1"/>
  <c r="BL264" i="10"/>
  <c r="BM264" i="10" s="1"/>
  <c r="BN264" i="10" s="1" a="1"/>
  <c r="BN264" i="10" s="1"/>
  <c r="BP270" i="10"/>
  <c r="BQ270" i="10" s="1"/>
  <c r="BX276" i="10"/>
  <c r="BY276" i="10" s="1"/>
  <c r="CV297" i="10" a="1"/>
  <c r="CV297" i="10" s="1"/>
  <c r="BX255" i="10"/>
  <c r="BY255" i="10" s="1"/>
  <c r="BL269" i="10"/>
  <c r="BM269" i="10" s="1"/>
  <c r="BN269" i="10" s="1" a="1"/>
  <c r="BN269" i="10" s="1"/>
  <c r="CE300" i="10"/>
  <c r="CT300" i="10" s="1"/>
  <c r="CU300" i="10" s="1"/>
  <c r="BL285" i="10"/>
  <c r="BM285" i="10" s="1"/>
  <c r="BN285" i="10" s="1" a="1"/>
  <c r="BN285" i="10" s="1"/>
  <c r="CH285" i="10"/>
  <c r="CI285" i="10" s="1"/>
  <c r="CJ285" i="10" s="1" a="1"/>
  <c r="CJ285" i="10" s="1"/>
  <c r="CE317" i="10"/>
  <c r="CI317" i="10"/>
  <c r="CJ317" i="10" s="1" a="1"/>
  <c r="CJ317" i="10" s="1"/>
  <c r="CA299" i="10" a="1"/>
  <c r="CA299" i="10" s="1"/>
  <c r="CT313" i="10"/>
  <c r="CU313" i="10" s="1"/>
  <c r="CP279" i="10"/>
  <c r="CQ279" i="10" s="1"/>
  <c r="BL292" i="10"/>
  <c r="BM292" i="10" s="1"/>
  <c r="BN292" i="10" s="1" a="1"/>
  <c r="BN292" i="10" s="1"/>
  <c r="CL322" i="10"/>
  <c r="CM322" i="10" s="1"/>
  <c r="BX341" i="10"/>
  <c r="BY341" i="10" s="1"/>
  <c r="BT289" i="10"/>
  <c r="BU289" i="10" s="1"/>
  <c r="CH328" i="10"/>
  <c r="BL343" i="10"/>
  <c r="BM343" i="10" s="1"/>
  <c r="CT319" i="10"/>
  <c r="CU319" i="10" s="1"/>
  <c r="BP329" i="10"/>
  <c r="BQ329" i="10" s="1"/>
  <c r="BR329" i="10" s="1" a="1"/>
  <c r="BR329" i="10" s="1"/>
  <c r="BF333" i="10"/>
  <c r="BL333" i="10" s="1"/>
  <c r="BM333" i="10" s="1"/>
  <c r="BN333" i="10" s="1" a="1"/>
  <c r="BN333" i="10" s="1"/>
  <c r="CV293" i="10" a="1"/>
  <c r="CV293" i="10" s="1"/>
  <c r="CE336" i="10"/>
  <c r="CP342" i="10"/>
  <c r="CQ342" i="10" s="1"/>
  <c r="CL341" i="10"/>
  <c r="CM341" i="10" s="1"/>
  <c r="CN341" i="10" s="1" a="1"/>
  <c r="CN341" i="10" s="1"/>
  <c r="BX351" i="10"/>
  <c r="BY351" i="10" s="1"/>
  <c r="CE308" i="10"/>
  <c r="CL308" i="10" s="1"/>
  <c r="CM308" i="10" s="1"/>
  <c r="CL318" i="10"/>
  <c r="CM318" i="10" s="1"/>
  <c r="CN318" i="10" s="1" a="1"/>
  <c r="CN318" i="10" s="1"/>
  <c r="CX318" i="10" s="1"/>
  <c r="Z318" i="10" s="1"/>
  <c r="CE333" i="10"/>
  <c r="CH333" i="10" s="1"/>
  <c r="CI333" i="10" s="1"/>
  <c r="CJ333" i="10" s="1" a="1"/>
  <c r="CJ333" i="10" s="1"/>
  <c r="CW289" i="10" a="1"/>
  <c r="CW289" i="10" s="1"/>
  <c r="BX342" i="10"/>
  <c r="BY342" i="10" s="1"/>
  <c r="BL373" i="10"/>
  <c r="BM373" i="10" s="1"/>
  <c r="BN373" i="10" s="1" a="1"/>
  <c r="BN373" i="10" s="1"/>
  <c r="CT372" i="10"/>
  <c r="CH353" i="10"/>
  <c r="BL353" i="10"/>
  <c r="BM353" i="10" s="1"/>
  <c r="BN353" i="10" s="1" a="1"/>
  <c r="BN353" i="10" s="1"/>
  <c r="CI353" i="10"/>
  <c r="CJ353" i="10" s="1" a="1"/>
  <c r="CJ353" i="10" s="1"/>
  <c r="CE353" i="10"/>
  <c r="CL353" i="10" s="1"/>
  <c r="CM353" i="10" s="1"/>
  <c r="CN353" i="10" s="1" a="1"/>
  <c r="CN353" i="10" s="1"/>
  <c r="CE367" i="10"/>
  <c r="CT367" i="10" s="1"/>
  <c r="CU367" i="10"/>
  <c r="CL325" i="10"/>
  <c r="CM325" i="10" s="1"/>
  <c r="CN325" i="10" s="1" a="1"/>
  <c r="CN325" i="10" s="1"/>
  <c r="CT342" i="10"/>
  <c r="CU342" i="10" s="1"/>
  <c r="BX373" i="10"/>
  <c r="BY373" i="10" s="1"/>
  <c r="CL377" i="10"/>
  <c r="CM377" i="10" s="1"/>
  <c r="CL330" i="10"/>
  <c r="CM330" i="10" s="1"/>
  <c r="CR330" i="10" s="1" a="1"/>
  <c r="CR330" i="10" s="1"/>
  <c r="BT359" i="10"/>
  <c r="BU359" i="10" s="1"/>
  <c r="BV359" i="10" s="1" a="1"/>
  <c r="BV359" i="10" s="1"/>
  <c r="BN377" i="10" a="1"/>
  <c r="BN377" i="10" s="1"/>
  <c r="CT344" i="10"/>
  <c r="CU344" i="10" s="1"/>
  <c r="CL349" i="10"/>
  <c r="CM349" i="10" s="1"/>
  <c r="CL354" i="10"/>
  <c r="CM354" i="10" s="1"/>
  <c r="CN354" i="10" s="1" a="1"/>
  <c r="CN354" i="10" s="1"/>
  <c r="BL363" i="10"/>
  <c r="BM363" i="10" s="1"/>
  <c r="BN363" i="10" s="1" a="1"/>
  <c r="BN363" i="10" s="1"/>
  <c r="BP369" i="10"/>
  <c r="BQ369" i="10" s="1"/>
  <c r="BR369" i="10" s="1" a="1"/>
  <c r="BR369" i="10" s="1"/>
  <c r="BT373" i="10"/>
  <c r="BU373" i="10" s="1"/>
  <c r="BL382" i="10"/>
  <c r="CH382" i="10"/>
  <c r="CI382" i="10" s="1"/>
  <c r="CJ382" i="10" s="1" a="1"/>
  <c r="CJ382" i="10" s="1"/>
  <c r="CT379" i="10"/>
  <c r="CU379" i="10" s="1"/>
  <c r="CE387" i="10"/>
  <c r="CL387" i="10" s="1"/>
  <c r="CM387" i="10" s="1"/>
  <c r="CN387" i="10" s="1" a="1"/>
  <c r="CN387" i="10" s="1"/>
  <c r="CA366" i="10" a="1"/>
  <c r="CA366" i="10" s="1"/>
  <c r="BX390" i="10"/>
  <c r="BL399" i="10"/>
  <c r="BM399" i="10" s="1"/>
  <c r="BN399" i="10" s="1" a="1"/>
  <c r="BN399" i="10" s="1"/>
  <c r="CT412" i="10"/>
  <c r="CU412" i="10" s="1"/>
  <c r="CT391" i="10"/>
  <c r="CU391" i="10" s="1"/>
  <c r="CT384" i="10"/>
  <c r="CU384" i="10" s="1"/>
  <c r="CT403" i="10"/>
  <c r="CU403" i="10" s="1"/>
  <c r="BF407" i="10"/>
  <c r="BL407" i="10" s="1"/>
  <c r="BM407" i="10" s="1"/>
  <c r="BN407" i="10" s="1" a="1"/>
  <c r="BN407" i="10" s="1"/>
  <c r="BY411" i="10"/>
  <c r="BF411" i="10"/>
  <c r="BL411" i="10" s="1"/>
  <c r="BM411" i="10" s="1"/>
  <c r="BN411" i="10" s="1" a="1"/>
  <c r="BN411" i="10" s="1"/>
  <c r="BF415" i="10"/>
  <c r="BT415" i="10" s="1"/>
  <c r="BU415" i="10" s="1"/>
  <c r="BM415" i="10"/>
  <c r="BN415" i="10" s="1" a="1"/>
  <c r="BN415" i="10" s="1"/>
  <c r="BX421" i="10"/>
  <c r="BY421" i="10" s="1"/>
  <c r="CT421" i="10"/>
  <c r="CU421" i="10" s="1"/>
  <c r="BP421" i="10"/>
  <c r="BQ421" i="10" s="1"/>
  <c r="BR421" i="10" s="1" a="1"/>
  <c r="BR421" i="10" s="1"/>
  <c r="BL421" i="10"/>
  <c r="BM421" i="10" s="1"/>
  <c r="BN421" i="10" s="1" a="1"/>
  <c r="BN421" i="10" s="1"/>
  <c r="CE389" i="10"/>
  <c r="CT389" i="10" s="1"/>
  <c r="CU389" i="10" s="1"/>
  <c r="CT375" i="10"/>
  <c r="CU375" i="10" s="1"/>
  <c r="CH397" i="10"/>
  <c r="CI397" i="10" s="1"/>
  <c r="CJ397" i="10" s="1" a="1"/>
  <c r="CJ397" i="10" s="1"/>
  <c r="CP397" i="10"/>
  <c r="CQ397" i="10" s="1"/>
  <c r="CR397" i="10" s="1" a="1"/>
  <c r="CR397" i="10" s="1"/>
  <c r="CI401" i="10"/>
  <c r="CU401" i="10"/>
  <c r="CE401" i="10"/>
  <c r="CT401" i="10" s="1"/>
  <c r="CP405" i="10"/>
  <c r="CQ405" i="10" s="1"/>
  <c r="BU389" i="10"/>
  <c r="BF389" i="10"/>
  <c r="BP389" i="10" s="1"/>
  <c r="BQ389" i="10" s="1"/>
  <c r="BP406" i="10"/>
  <c r="BQ406" i="10" s="1"/>
  <c r="CP420" i="10"/>
  <c r="CQ420" i="10" s="1"/>
  <c r="CR420" i="10" s="1" a="1"/>
  <c r="CR420" i="10" s="1"/>
  <c r="CE402" i="10"/>
  <c r="CT402" i="10" s="1"/>
  <c r="CU402" i="10" s="1"/>
  <c r="CE419" i="10"/>
  <c r="CL419" i="10" s="1"/>
  <c r="CM419" i="10" s="1"/>
  <c r="BX412" i="10"/>
  <c r="BY412" i="10" s="1"/>
  <c r="BP412" i="10"/>
  <c r="BQ412" i="10" s="1"/>
  <c r="BL412" i="10"/>
  <c r="BM412" i="10" s="1"/>
  <c r="BN412" i="10" s="1" a="1"/>
  <c r="BN412" i="10" s="1"/>
  <c r="CH413" i="10"/>
  <c r="CI413" i="10" s="1"/>
  <c r="CJ413" i="10" s="1" a="1"/>
  <c r="CJ413" i="10" s="1"/>
  <c r="CL441" i="10"/>
  <c r="CM441" i="10" s="1"/>
  <c r="CJ431" i="10" a="1"/>
  <c r="CJ431" i="10" s="1"/>
  <c r="BN430" i="10" a="1"/>
  <c r="BN430" i="10" s="1"/>
  <c r="BL408" i="10"/>
  <c r="BM408" i="10" s="1"/>
  <c r="CA444" i="10" a="1"/>
  <c r="CA444" i="10" s="1"/>
  <c r="BV438" i="10" a="1"/>
  <c r="BV438" i="10" s="1"/>
  <c r="CA446" i="10" a="1"/>
  <c r="CA446" i="10" s="1"/>
  <c r="CR468" i="10" a="1"/>
  <c r="CR468" i="10" s="1"/>
  <c r="CA525" i="10" a="1"/>
  <c r="CA525" i="10" s="1"/>
  <c r="BV531" i="10" a="1"/>
  <c r="BV531" i="10" s="1"/>
  <c r="CW518" i="10" a="1"/>
  <c r="CW518" i="10" s="1"/>
  <c r="CV518" i="10" a="1"/>
  <c r="CV518" i="10" s="1"/>
  <c r="BP549" i="10"/>
  <c r="CR562" i="10" a="1"/>
  <c r="CR562" i="10" s="1"/>
  <c r="CA586" i="10" a="1"/>
  <c r="CA586" i="10" s="1"/>
  <c r="CR584" i="10" a="1"/>
  <c r="CR584" i="10" s="1"/>
  <c r="CA607" i="10" a="1"/>
  <c r="CA607" i="10" s="1"/>
  <c r="CW593" i="10" a="1"/>
  <c r="CW593" i="10" s="1"/>
  <c r="CR731" i="10" a="1"/>
  <c r="CR731" i="10" s="1"/>
  <c r="BZ699" i="10" a="1"/>
  <c r="BZ699" i="10" s="1"/>
  <c r="CA699" i="10" a="1"/>
  <c r="CA699" i="10" s="1"/>
  <c r="BZ723" i="10" a="1"/>
  <c r="BZ723" i="10" s="1"/>
  <c r="CN687" i="10" a="1"/>
  <c r="CN687" i="10" s="1"/>
  <c r="CE128" i="10"/>
  <c r="CP128" i="10" s="1"/>
  <c r="CQ128" i="10" s="1"/>
  <c r="BF129" i="10"/>
  <c r="BT129" i="10" s="1"/>
  <c r="BU129" i="10" s="1"/>
  <c r="BP128" i="10"/>
  <c r="BQ128" i="10" s="1"/>
  <c r="BR128" i="10" s="1" a="1"/>
  <c r="BR128" i="10" s="1"/>
  <c r="CP132" i="10"/>
  <c r="CQ132" i="10" s="1"/>
  <c r="CE142" i="10"/>
  <c r="CH142" i="10" s="1"/>
  <c r="CI142" i="10" s="1"/>
  <c r="CJ142" i="10" s="1" a="1"/>
  <c r="CJ142" i="10" s="1"/>
  <c r="CQ142" i="10"/>
  <c r="BF135" i="10"/>
  <c r="BT135" i="10" s="1"/>
  <c r="BU135" i="10" s="1"/>
  <c r="CA130" i="10" a="1"/>
  <c r="CA130" i="10" s="1"/>
  <c r="BQ138" i="10"/>
  <c r="BF138" i="10"/>
  <c r="BX138" i="10" s="1"/>
  <c r="BY138" i="10" s="1"/>
  <c r="BP143" i="10"/>
  <c r="BQ143" i="10" s="1"/>
  <c r="BR143" i="10" s="1" a="1"/>
  <c r="BR143" i="10" s="1"/>
  <c r="BT140" i="10"/>
  <c r="BU140" i="10" s="1"/>
  <c r="BV140" i="10" s="1" a="1"/>
  <c r="BV140" i="10" s="1"/>
  <c r="CL142" i="10"/>
  <c r="CM142" i="10" s="1"/>
  <c r="CN142" i="10" s="1" a="1"/>
  <c r="CN142" i="10" s="1"/>
  <c r="BF147" i="10"/>
  <c r="BX147" i="10" s="1"/>
  <c r="BY147" i="10" s="1"/>
  <c r="BL150" i="10"/>
  <c r="BM150" i="10" s="1"/>
  <c r="BN150" i="10" s="1" a="1"/>
  <c r="BN150" i="10" s="1"/>
  <c r="CH150" i="10"/>
  <c r="CI150" i="10" s="1"/>
  <c r="CJ150" i="10" s="1" a="1"/>
  <c r="CJ150" i="10" s="1"/>
  <c r="BL154" i="10"/>
  <c r="BM154" i="10" s="1"/>
  <c r="BN154" i="10" s="1" a="1"/>
  <c r="BN154" i="10" s="1"/>
  <c r="CH154" i="10"/>
  <c r="CI154" i="10" s="1"/>
  <c r="BT154" i="10"/>
  <c r="CJ144" i="10" a="1"/>
  <c r="CJ144" i="10" s="1"/>
  <c r="BX154" i="10"/>
  <c r="BY154" i="10" s="1"/>
  <c r="CP156" i="10"/>
  <c r="CQ156" i="10" s="1"/>
  <c r="CL157" i="10"/>
  <c r="CM157" i="10" s="1"/>
  <c r="BV164" i="10" a="1"/>
  <c r="BV164" i="10" s="1"/>
  <c r="BL167" i="10"/>
  <c r="BM167" i="10" s="1"/>
  <c r="BT167" i="10"/>
  <c r="BU167" i="10" s="1"/>
  <c r="CH167" i="10"/>
  <c r="CI167" i="10" s="1"/>
  <c r="CN167" i="10" s="1" a="1"/>
  <c r="CN167" i="10" s="1"/>
  <c r="BL157" i="10"/>
  <c r="CP172" i="10"/>
  <c r="CQ172" i="10" s="1"/>
  <c r="CR172" i="10" s="1" a="1"/>
  <c r="CR172" i="10" s="1"/>
  <c r="CJ178" i="10" a="1"/>
  <c r="CJ178" i="10" s="1"/>
  <c r="CE184" i="10"/>
  <c r="CT184" i="10" s="1"/>
  <c r="CU184" i="10" s="1"/>
  <c r="BX181" i="10"/>
  <c r="BY181" i="10" s="1"/>
  <c r="BR172" i="10" a="1"/>
  <c r="BR172" i="10" s="1"/>
  <c r="BL185" i="10"/>
  <c r="BM185" i="10" s="1"/>
  <c r="BN185" i="10" s="1" a="1"/>
  <c r="BN185" i="10" s="1"/>
  <c r="CH185" i="10"/>
  <c r="CI185" i="10" s="1"/>
  <c r="CJ185" i="10" s="1" a="1"/>
  <c r="CJ185" i="10" s="1"/>
  <c r="CH181" i="10"/>
  <c r="CI181" i="10" s="1"/>
  <c r="CP186" i="10"/>
  <c r="CQ186" i="10" s="1"/>
  <c r="CR186" i="10" s="1" a="1"/>
  <c r="CR186" i="10" s="1"/>
  <c r="BM196" i="10"/>
  <c r="BN196" i="10" s="1" a="1"/>
  <c r="BN196" i="10" s="1"/>
  <c r="BF196" i="10"/>
  <c r="BL196" i="10" s="1"/>
  <c r="CT191" i="10"/>
  <c r="CU191" i="10" s="1"/>
  <c r="BP170" i="10"/>
  <c r="BQ170" i="10" s="1"/>
  <c r="BR170" i="10" s="1" a="1"/>
  <c r="BR170" i="10" s="1"/>
  <c r="CL185" i="10"/>
  <c r="CM185" i="10" s="1"/>
  <c r="CN185" i="10" s="1" a="1"/>
  <c r="CN185" i="10" s="1"/>
  <c r="CL194" i="10"/>
  <c r="CM194" i="10" s="1"/>
  <c r="CJ189" i="10" a="1"/>
  <c r="CJ189" i="10" s="1"/>
  <c r="BX171" i="10"/>
  <c r="BY171" i="10" s="1"/>
  <c r="CE173" i="10"/>
  <c r="CT173" i="10" s="1"/>
  <c r="CU173" i="10" s="1"/>
  <c r="BL168" i="10"/>
  <c r="BM168" i="10" s="1"/>
  <c r="BN168" i="10" s="1" a="1"/>
  <c r="BN168" i="10" s="1"/>
  <c r="CT190" i="10"/>
  <c r="CU190" i="10" s="1"/>
  <c r="BX193" i="10"/>
  <c r="BY193" i="10" s="1"/>
  <c r="BY197" i="10"/>
  <c r="BF197" i="10"/>
  <c r="BP197" i="10" s="1"/>
  <c r="BQ197" i="10" s="1"/>
  <c r="CE206" i="10"/>
  <c r="CL206" i="10" s="1"/>
  <c r="CM206" i="10" s="1"/>
  <c r="CV211" i="10" a="1"/>
  <c r="CV211" i="10" s="1"/>
  <c r="CB214" i="10"/>
  <c r="S214" i="10" s="1"/>
  <c r="BX198" i="10"/>
  <c r="BY198" i="10" s="1"/>
  <c r="BF198" i="10"/>
  <c r="BL198" i="10" s="1"/>
  <c r="BM198" i="10" s="1"/>
  <c r="BN198" i="10" s="1" a="1"/>
  <c r="BN198" i="10" s="1"/>
  <c r="BQ198" i="10"/>
  <c r="CL215" i="10"/>
  <c r="CM215" i="10" s="1"/>
  <c r="CP207" i="10"/>
  <c r="CQ207" i="10" s="1"/>
  <c r="CE236" i="10"/>
  <c r="CL236" i="10" s="1"/>
  <c r="CM236" i="10" s="1"/>
  <c r="CL245" i="10"/>
  <c r="CM245" i="10" s="1"/>
  <c r="BL245" i="10"/>
  <c r="BM245" i="10" s="1"/>
  <c r="BN245" i="10" s="1" a="1"/>
  <c r="BN245" i="10" s="1"/>
  <c r="CH207" i="10"/>
  <c r="CI207" i="10" s="1"/>
  <c r="CJ207" i="10" s="1" a="1"/>
  <c r="CJ207" i="10" s="1"/>
  <c r="BT225" i="10"/>
  <c r="BU225" i="10" s="1"/>
  <c r="BV225" i="10" s="1" a="1"/>
  <c r="BV225" i="10" s="1"/>
  <c r="CH234" i="10"/>
  <c r="CI234" i="10" s="1"/>
  <c r="CJ234" i="10" s="1" a="1"/>
  <c r="CJ234" i="10" s="1"/>
  <c r="CH242" i="10"/>
  <c r="CI242" i="10" s="1"/>
  <c r="CJ242" i="10" s="1" a="1"/>
  <c r="CJ242" i="10" s="1"/>
  <c r="CT247" i="10"/>
  <c r="BT254" i="10"/>
  <c r="BU254" i="10" s="1"/>
  <c r="BP221" i="10"/>
  <c r="BQ221" i="10" s="1"/>
  <c r="CH221" i="10"/>
  <c r="CI221" i="10" s="1"/>
  <c r="CJ221" i="10" s="1" a="1"/>
  <c r="CJ221" i="10" s="1"/>
  <c r="BL221" i="10"/>
  <c r="BM221" i="10" s="1"/>
  <c r="BN221" i="10" s="1" a="1"/>
  <c r="BN221" i="10" s="1"/>
  <c r="CP221" i="10"/>
  <c r="CQ221" i="10" s="1"/>
  <c r="CR221" i="10" s="1" a="1"/>
  <c r="CR221" i="10" s="1"/>
  <c r="BF239" i="10"/>
  <c r="BP239" i="10" s="1"/>
  <c r="BQ239" i="10" s="1"/>
  <c r="BP241" i="10"/>
  <c r="BQ241" i="10" s="1"/>
  <c r="BR241" i="10" s="1" a="1"/>
  <c r="BR241" i="10" s="1"/>
  <c r="CP237" i="10"/>
  <c r="CQ237" i="10" s="1"/>
  <c r="CL242" i="10"/>
  <c r="CM242" i="10" s="1"/>
  <c r="CH249" i="10"/>
  <c r="CI249" i="10" s="1"/>
  <c r="CJ249" i="10" s="1" a="1"/>
  <c r="CJ249" i="10" s="1"/>
  <c r="CT269" i="10"/>
  <c r="CU269" i="10" s="1"/>
  <c r="BX264" i="10"/>
  <c r="BY264" i="10" s="1"/>
  <c r="CL267" i="10"/>
  <c r="CM267" i="10" s="1"/>
  <c r="CE271" i="10"/>
  <c r="BP255" i="10"/>
  <c r="BQ255" i="10" s="1"/>
  <c r="CL251" i="10"/>
  <c r="CM251" i="10" s="1"/>
  <c r="CP264" i="10"/>
  <c r="CQ264" i="10" s="1"/>
  <c r="CV264" i="10" s="1" a="1"/>
  <c r="CV264" i="10" s="1"/>
  <c r="BX256" i="10"/>
  <c r="BY256" i="10" s="1"/>
  <c r="CT272" i="10"/>
  <c r="CU272" i="10" s="1"/>
  <c r="CH272" i="10"/>
  <c r="CI272" i="10" s="1"/>
  <c r="CJ272" i="10" s="1" a="1"/>
  <c r="CJ272" i="10" s="1"/>
  <c r="BF289" i="10"/>
  <c r="BP289" i="10" s="1"/>
  <c r="BQ289" i="10" s="1"/>
  <c r="CL256" i="10"/>
  <c r="CM256" i="10" s="1"/>
  <c r="CN256" i="10" s="1" a="1"/>
  <c r="CN256" i="10" s="1"/>
  <c r="CP270" i="10"/>
  <c r="CQ270" i="10" s="1"/>
  <c r="CP278" i="10"/>
  <c r="CQ278" i="10" s="1"/>
  <c r="CV278" i="10" s="1" a="1"/>
  <c r="CV278" i="10" s="1"/>
  <c r="CL278" i="10"/>
  <c r="CM278" i="10" s="1"/>
  <c r="CN278" i="10" s="1" a="1"/>
  <c r="CN278" i="10" s="1"/>
  <c r="BL278" i="10"/>
  <c r="BM278" i="10" s="1"/>
  <c r="BN278" i="10" s="1" a="1"/>
  <c r="BN278" i="10" s="1"/>
  <c r="CH278" i="10"/>
  <c r="CI278" i="10" s="1"/>
  <c r="CJ278" i="10" s="1" a="1"/>
  <c r="CJ278" i="10" s="1"/>
  <c r="BT278" i="10"/>
  <c r="BU278" i="10" s="1"/>
  <c r="BV278" i="10" s="1" a="1"/>
  <c r="BV278" i="10" s="1"/>
  <c r="BF306" i="10"/>
  <c r="BP306" i="10" s="1"/>
  <c r="BQ306" i="10" s="1"/>
  <c r="CT321" i="10"/>
  <c r="CU321" i="10" s="1"/>
  <c r="BX300" i="10"/>
  <c r="BY300" i="10" s="1"/>
  <c r="BX301" i="10"/>
  <c r="BY301" i="10" s="1"/>
  <c r="BL311" i="10"/>
  <c r="BM311" i="10" s="1"/>
  <c r="BN311" i="10" s="1" a="1"/>
  <c r="BN311" i="10" s="1"/>
  <c r="CH311" i="10"/>
  <c r="CI311" i="10" s="1"/>
  <c r="CJ311" i="10" s="1" a="1"/>
  <c r="CJ311" i="10" s="1"/>
  <c r="BP311" i="10"/>
  <c r="BQ311" i="10" s="1"/>
  <c r="BR311" i="10" s="1" a="1"/>
  <c r="BR311" i="10" s="1"/>
  <c r="BT311" i="10"/>
  <c r="BU311" i="10" s="1"/>
  <c r="BV311" i="10" s="1" a="1"/>
  <c r="BV311" i="10" s="1"/>
  <c r="CE312" i="10"/>
  <c r="CL312" i="10" s="1"/>
  <c r="CM312" i="10" s="1"/>
  <c r="BF279" i="10"/>
  <c r="BT279" i="10" s="1"/>
  <c r="BU279" i="10" s="1"/>
  <c r="CP304" i="10"/>
  <c r="CQ304" i="10" s="1"/>
  <c r="CL285" i="10"/>
  <c r="CM285" i="10" s="1"/>
  <c r="CN285" i="10" s="1" a="1"/>
  <c r="CN285" i="10" s="1"/>
  <c r="BF313" i="10"/>
  <c r="BT313" i="10" s="1"/>
  <c r="BU313" i="10" s="1"/>
  <c r="BL287" i="10"/>
  <c r="BM287" i="10" s="1"/>
  <c r="BN287" i="10" s="1" a="1"/>
  <c r="BN287" i="10" s="1"/>
  <c r="BT287" i="10"/>
  <c r="BU287" i="10" s="1"/>
  <c r="BV287" i="10" s="1" a="1"/>
  <c r="BV287" i="10" s="1"/>
  <c r="BP287" i="10"/>
  <c r="BQ287" i="10" s="1"/>
  <c r="CH287" i="10"/>
  <c r="CI287" i="10" s="1"/>
  <c r="CJ287" i="10" s="1" a="1"/>
  <c r="CJ287" i="10" s="1"/>
  <c r="BL295" i="10"/>
  <c r="BM295" i="10" s="1"/>
  <c r="BN295" i="10" s="1" a="1"/>
  <c r="BN295" i="10" s="1"/>
  <c r="CP295" i="10"/>
  <c r="CQ295" i="10" s="1"/>
  <c r="CR295" i="10" s="1" a="1"/>
  <c r="CR295" i="10" s="1"/>
  <c r="BT295" i="10"/>
  <c r="BU295" i="10" s="1"/>
  <c r="BZ295" i="10" s="1" a="1"/>
  <c r="BZ295" i="10" s="1"/>
  <c r="BP295" i="10"/>
  <c r="BQ295" i="10" s="1"/>
  <c r="BR295" i="10" s="1" a="1"/>
  <c r="BR295" i="10" s="1"/>
  <c r="CH295" i="10"/>
  <c r="CI295" i="10" s="1"/>
  <c r="CJ295" i="10" s="1" a="1"/>
  <c r="CJ295" i="10" s="1"/>
  <c r="CL302" i="10"/>
  <c r="CM302" i="10" s="1"/>
  <c r="BX285" i="10"/>
  <c r="BY285" i="10" s="1"/>
  <c r="CP315" i="10"/>
  <c r="CQ315" i="10" s="1"/>
  <c r="CV315" i="10" s="1" a="1"/>
  <c r="CV315" i="10" s="1"/>
  <c r="BL315" i="10"/>
  <c r="BM315" i="10" s="1"/>
  <c r="BN315" i="10" s="1" a="1"/>
  <c r="BN315" i="10" s="1"/>
  <c r="BT315" i="10"/>
  <c r="BU315" i="10" s="1"/>
  <c r="BV315" i="10" s="1" a="1"/>
  <c r="BV315" i="10" s="1"/>
  <c r="CH315" i="10"/>
  <c r="CI315" i="10" s="1"/>
  <c r="CJ315" i="10" s="1" a="1"/>
  <c r="CJ315" i="10" s="1"/>
  <c r="BP315" i="10"/>
  <c r="BQ315" i="10" s="1"/>
  <c r="BR315" i="10" s="1" a="1"/>
  <c r="BR315" i="10" s="1"/>
  <c r="BF273" i="10"/>
  <c r="BP273" i="10" s="1"/>
  <c r="BQ273" i="10" s="1"/>
  <c r="CE284" i="10"/>
  <c r="CT284" i="10" s="1"/>
  <c r="CU284" i="10" s="1"/>
  <c r="BT288" i="10"/>
  <c r="BU288" i="10" s="1"/>
  <c r="BV288" i="10" s="1" a="1"/>
  <c r="BV288" i="10" s="1"/>
  <c r="BP269" i="10"/>
  <c r="CP329" i="10"/>
  <c r="CQ329" i="10" s="1"/>
  <c r="CR329" i="10" s="1" a="1"/>
  <c r="CR329" i="10" s="1"/>
  <c r="CP333" i="10"/>
  <c r="CQ333" i="10" s="1"/>
  <c r="BX336" i="10"/>
  <c r="BY336" i="10" s="1"/>
  <c r="CL342" i="10"/>
  <c r="CM342" i="10" s="1"/>
  <c r="BX326" i="10"/>
  <c r="BY326" i="10" s="1"/>
  <c r="CT341" i="10"/>
  <c r="CU341" i="10" s="1"/>
  <c r="CE351" i="10"/>
  <c r="CH351" i="10" s="1"/>
  <c r="CI351" i="10" s="1"/>
  <c r="CJ351" i="10" s="1" a="1"/>
  <c r="CJ351" i="10" s="1"/>
  <c r="BU360" i="10"/>
  <c r="BF360" i="10"/>
  <c r="BP360" i="10" s="1"/>
  <c r="BQ360" i="10" s="1"/>
  <c r="BX308" i="10"/>
  <c r="BY308" i="10" s="1"/>
  <c r="CH329" i="10"/>
  <c r="CI329" i="10" s="1"/>
  <c r="CJ329" i="10" s="1" a="1"/>
  <c r="CJ329" i="10" s="1"/>
  <c r="BF332" i="10"/>
  <c r="BL332" i="10" s="1"/>
  <c r="BM332" i="10" s="1"/>
  <c r="BN332" i="10" s="1" a="1"/>
  <c r="BN332" i="10" s="1"/>
  <c r="CE337" i="10"/>
  <c r="CH337" i="10" s="1"/>
  <c r="CI337" i="10" s="1"/>
  <c r="CJ337" i="10" s="1" a="1"/>
  <c r="CJ337" i="10" s="1"/>
  <c r="BT348" i="10"/>
  <c r="BU348" i="10" s="1"/>
  <c r="CH348" i="10"/>
  <c r="CI348" i="10" s="1"/>
  <c r="CJ348" i="10" s="1" a="1"/>
  <c r="CJ348" i="10" s="1"/>
  <c r="CH352" i="10"/>
  <c r="CI352" i="10" s="1"/>
  <c r="CJ352" i="10" s="1" a="1"/>
  <c r="CJ352" i="10" s="1"/>
  <c r="BT338" i="10"/>
  <c r="BU338" i="10" s="1"/>
  <c r="BZ338" i="10" s="1" a="1"/>
  <c r="BZ338" i="10" s="1"/>
  <c r="BL358" i="10"/>
  <c r="BM358" i="10" s="1"/>
  <c r="BN358" i="10" s="1" a="1"/>
  <c r="BN358" i="10" s="1"/>
  <c r="BP358" i="10"/>
  <c r="BQ358" i="10" s="1"/>
  <c r="CH358" i="10"/>
  <c r="CI358" i="10" s="1"/>
  <c r="CJ358" i="10" s="1" a="1"/>
  <c r="CJ358" i="10" s="1"/>
  <c r="BT358" i="10"/>
  <c r="BU358" i="10" s="1"/>
  <c r="BV358" i="10" s="1" a="1"/>
  <c r="BV358" i="10" s="1"/>
  <c r="BF372" i="10"/>
  <c r="BP372" i="10" s="1"/>
  <c r="BQ372" i="10" s="1"/>
  <c r="BN343" i="10" a="1"/>
  <c r="BN343" i="10" s="1"/>
  <c r="BX353" i="10"/>
  <c r="BY353" i="10" s="1"/>
  <c r="CU355" i="10"/>
  <c r="CE355" i="10"/>
  <c r="CT355" i="10" s="1"/>
  <c r="CP392" i="10"/>
  <c r="CQ392" i="10" s="1"/>
  <c r="CR392" i="10" s="1" a="1"/>
  <c r="CR392" i="10" s="1"/>
  <c r="BP330" i="10"/>
  <c r="BQ330" i="10" s="1"/>
  <c r="CE339" i="10"/>
  <c r="CH339" i="10" s="1"/>
  <c r="CI339" i="10" s="1"/>
  <c r="CJ339" i="10" s="1" a="1"/>
  <c r="CJ339" i="10" s="1"/>
  <c r="BT343" i="10"/>
  <c r="BU343" i="10" s="1"/>
  <c r="CE365" i="10"/>
  <c r="CL365" i="10" s="1"/>
  <c r="CM365" i="10" s="1"/>
  <c r="CE373" i="10"/>
  <c r="CT373" i="10" s="1"/>
  <c r="CU373" i="10" s="1"/>
  <c r="BY378" i="10"/>
  <c r="BF378" i="10"/>
  <c r="BP378" i="10" s="1"/>
  <c r="BQ378" i="10" s="1"/>
  <c r="BR378" i="10" s="1" a="1"/>
  <c r="BR378" i="10" s="1"/>
  <c r="BP324" i="10"/>
  <c r="BQ324" i="10" s="1"/>
  <c r="BF324" i="10"/>
  <c r="BT324" i="10" s="1"/>
  <c r="BU324" i="10"/>
  <c r="BX343" i="10"/>
  <c r="BY343" i="10" s="1"/>
  <c r="CE349" i="10"/>
  <c r="CH349" i="10" s="1"/>
  <c r="CI349" i="10" s="1"/>
  <c r="CJ349" i="10" s="1" a="1"/>
  <c r="CJ349" i="10" s="1"/>
  <c r="CU349" i="10"/>
  <c r="BL360" i="10"/>
  <c r="BM360" i="10" s="1"/>
  <c r="BN360" i="10" s="1" a="1"/>
  <c r="BN360" i="10" s="1"/>
  <c r="CH360" i="10"/>
  <c r="CI360" i="10" s="1"/>
  <c r="CJ360" i="10" s="1" a="1"/>
  <c r="CJ360" i="10" s="1"/>
  <c r="BT360" i="10"/>
  <c r="BT363" i="10"/>
  <c r="BU363" i="10" s="1"/>
  <c r="BL378" i="10"/>
  <c r="BM378" i="10" s="1"/>
  <c r="BN378" i="10" s="1" a="1"/>
  <c r="BN378" i="10" s="1"/>
  <c r="CH378" i="10"/>
  <c r="CI378" i="10" s="1"/>
  <c r="CJ378" i="10" s="1" a="1"/>
  <c r="CJ378" i="10" s="1"/>
  <c r="BN392" i="10" a="1"/>
  <c r="BN392" i="10" s="1"/>
  <c r="BP377" i="10"/>
  <c r="BQ377" i="10" s="1"/>
  <c r="BR377" i="10" s="1" a="1"/>
  <c r="BR377" i="10" s="1"/>
  <c r="BF379" i="10"/>
  <c r="BL379" i="10" s="1"/>
  <c r="BM379" i="10" s="1"/>
  <c r="BN379" i="10" s="1" a="1"/>
  <c r="BN379" i="10" s="1"/>
  <c r="BX387" i="10"/>
  <c r="BY387" i="10" s="1"/>
  <c r="BX399" i="10"/>
  <c r="BY399" i="10" s="1"/>
  <c r="CE415" i="10"/>
  <c r="CT383" i="10"/>
  <c r="CU383" i="10" s="1"/>
  <c r="BF387" i="10"/>
  <c r="BL387" i="10" s="1"/>
  <c r="BM387" i="10" s="1"/>
  <c r="BN387" i="10" s="1" a="1"/>
  <c r="BN387" i="10" s="1"/>
  <c r="BU387" i="10"/>
  <c r="CT415" i="10"/>
  <c r="CU415" i="10" s="1"/>
  <c r="CE422" i="10"/>
  <c r="BX376" i="10"/>
  <c r="BY376" i="10" s="1"/>
  <c r="BP382" i="10"/>
  <c r="BQ382" i="10" s="1"/>
  <c r="BR382" i="10" s="1" a="1"/>
  <c r="BR382" i="10" s="1"/>
  <c r="CH389" i="10"/>
  <c r="CI389" i="10" s="1"/>
  <c r="CJ389" i="10" s="1" a="1"/>
  <c r="CJ389" i="10" s="1"/>
  <c r="BX389" i="10"/>
  <c r="BY389" i="10" s="1"/>
  <c r="BX405" i="10"/>
  <c r="BY405" i="10" s="1"/>
  <c r="BP373" i="10"/>
  <c r="BQ373" i="10" s="1"/>
  <c r="BQ375" i="10"/>
  <c r="BF375" i="10"/>
  <c r="BL375" i="10" s="1"/>
  <c r="BM375" i="10" s="1"/>
  <c r="BN375" i="10" s="1" a="1"/>
  <c r="BN375" i="10" s="1"/>
  <c r="CP388" i="10"/>
  <c r="CQ388" i="10" s="1"/>
  <c r="BP388" i="10"/>
  <c r="BQ388" i="10" s="1"/>
  <c r="BR388" i="10" s="1" a="1"/>
  <c r="BR388" i="10" s="1"/>
  <c r="BL388" i="10"/>
  <c r="BM388" i="10" s="1"/>
  <c r="BN388" i="10" s="1" a="1"/>
  <c r="BN388" i="10" s="1"/>
  <c r="CH388" i="10"/>
  <c r="CI388" i="10" s="1"/>
  <c r="CJ388" i="10" s="1" a="1"/>
  <c r="CJ388" i="10" s="1"/>
  <c r="BT388" i="10"/>
  <c r="BU388" i="10" s="1"/>
  <c r="BP390" i="10"/>
  <c r="BQ390" i="10" s="1"/>
  <c r="BN393" i="10" a="1"/>
  <c r="BN393" i="10" s="1"/>
  <c r="BT397" i="10"/>
  <c r="BU397" i="10" s="1"/>
  <c r="CP399" i="10"/>
  <c r="CQ399" i="10" s="1"/>
  <c r="BX401" i="10"/>
  <c r="BY401" i="10" s="1"/>
  <c r="BP403" i="10"/>
  <c r="BQ403" i="10" s="1"/>
  <c r="BR403" i="10" s="1" a="1"/>
  <c r="BR403" i="10" s="1"/>
  <c r="BL405" i="10"/>
  <c r="BM405" i="10" s="1"/>
  <c r="BN405" i="10" s="1" a="1"/>
  <c r="BN405" i="10" s="1"/>
  <c r="BP393" i="10"/>
  <c r="BQ393" i="10" s="1"/>
  <c r="BR393" i="10" s="1" a="1"/>
  <c r="BR393" i="10" s="1"/>
  <c r="CH403" i="10"/>
  <c r="CI403" i="10" s="1"/>
  <c r="CN403" i="10" s="1" a="1"/>
  <c r="CN403" i="10" s="1"/>
  <c r="CT387" i="10"/>
  <c r="CU387" i="10" s="1"/>
  <c r="BX402" i="10"/>
  <c r="BY402" i="10" s="1"/>
  <c r="BF423" i="10"/>
  <c r="BT423" i="10" s="1"/>
  <c r="BU423" i="10" s="1"/>
  <c r="BV432" i="10" a="1"/>
  <c r="BV432" i="10" s="1"/>
  <c r="CL388" i="10"/>
  <c r="CM388" i="10" s="1"/>
  <c r="BL415" i="10"/>
  <c r="CH419" i="10"/>
  <c r="CI419" i="10" s="1"/>
  <c r="CJ419" i="10" s="1" a="1"/>
  <c r="CJ419" i="10" s="1"/>
  <c r="CP419" i="10"/>
  <c r="CQ419" i="10" s="1"/>
  <c r="CR419" i="10" s="1" a="1"/>
  <c r="CR419" i="10" s="1"/>
  <c r="BT394" i="10"/>
  <c r="BU394" i="10" s="1"/>
  <c r="CP412" i="10"/>
  <c r="CQ412" i="10" s="1"/>
  <c r="CR412" i="10" s="1" a="1"/>
  <c r="CR412" i="10" s="1"/>
  <c r="CV438" i="10" a="1"/>
  <c r="CV438" i="10" s="1"/>
  <c r="CA472" i="10" a="1"/>
  <c r="CA472" i="10" s="1"/>
  <c r="CA448" i="10" a="1"/>
  <c r="CA448" i="10" s="1"/>
  <c r="BZ448" i="10" a="1"/>
  <c r="BZ448" i="10" s="1"/>
  <c r="BP506" i="10"/>
  <c r="BQ506" i="10" s="1"/>
  <c r="CW523" i="10" a="1"/>
  <c r="CW523" i="10" s="1"/>
  <c r="CR530" i="10" a="1"/>
  <c r="CR530" i="10" s="1"/>
  <c r="CW570" i="10" a="1"/>
  <c r="CW570" i="10" s="1"/>
  <c r="CA543" i="10" a="1"/>
  <c r="CA543" i="10" s="1"/>
  <c r="BZ543" i="10" a="1"/>
  <c r="BZ543" i="10" s="1"/>
  <c r="CV566" i="10" a="1"/>
  <c r="CV566" i="10" s="1"/>
  <c r="CW566" i="10" a="1"/>
  <c r="CW566" i="10" s="1"/>
  <c r="BR566" i="10" a="1"/>
  <c r="BR566" i="10" s="1"/>
  <c r="CA590" i="10" a="1"/>
  <c r="CA590" i="10" s="1"/>
  <c r="CA603" i="10" a="1"/>
  <c r="CA603" i="10" s="1"/>
  <c r="CA570" i="10" a="1"/>
  <c r="CA570" i="10" s="1"/>
  <c r="BZ570" i="10" a="1"/>
  <c r="BZ570" i="10" s="1"/>
  <c r="CW658" i="10" a="1"/>
  <c r="CW658" i="10" s="1"/>
  <c r="CV658" i="10" a="1"/>
  <c r="CV658" i="10" s="1"/>
  <c r="BZ638" i="10" a="1"/>
  <c r="BZ638" i="10" s="1"/>
  <c r="CA638" i="10" a="1"/>
  <c r="CA638" i="10" s="1"/>
  <c r="CA667" i="10" a="1"/>
  <c r="CA667" i="10" s="1"/>
  <c r="CL128" i="10"/>
  <c r="CM128" i="10" s="1"/>
  <c r="BT128" i="10"/>
  <c r="BU128" i="10" s="1"/>
  <c r="BV128" i="10" s="1" a="1"/>
  <c r="BV128" i="10" s="1"/>
  <c r="BL129" i="10"/>
  <c r="BM129" i="10" s="1"/>
  <c r="BN129" i="10" s="1" a="1"/>
  <c r="BN129" i="10" s="1"/>
  <c r="CH129" i="10"/>
  <c r="CI129" i="10" s="1"/>
  <c r="CJ129" i="10" s="1" a="1"/>
  <c r="CJ129" i="10" s="1"/>
  <c r="BX127" i="10"/>
  <c r="BY127" i="10" s="1"/>
  <c r="CE132" i="10"/>
  <c r="CH132" i="10" s="1"/>
  <c r="CI132" i="10" s="1"/>
  <c r="CJ132" i="10" s="1" a="1"/>
  <c r="CJ132" i="10" s="1"/>
  <c r="CE125" i="10"/>
  <c r="CL125" i="10" s="1"/>
  <c r="CM125" i="10" s="1"/>
  <c r="BL133" i="10"/>
  <c r="BM133" i="10" s="1"/>
  <c r="BN133" i="10" s="1" a="1"/>
  <c r="BN133" i="10" s="1"/>
  <c r="CP140" i="10"/>
  <c r="CQ140" i="10" s="1"/>
  <c r="CR140" i="10" s="1" a="1"/>
  <c r="CR140" i="10" s="1"/>
  <c r="CP142" i="10"/>
  <c r="BT131" i="10"/>
  <c r="BU131" i="10" s="1"/>
  <c r="BF146" i="10"/>
  <c r="BX146" i="10" s="1"/>
  <c r="BY146" i="10" s="1"/>
  <c r="BT141" i="10"/>
  <c r="BU141" i="10" s="1"/>
  <c r="BV141" i="10" s="1" a="1"/>
  <c r="BV141" i="10" s="1"/>
  <c r="BP144" i="10"/>
  <c r="BQ144" i="10" s="1"/>
  <c r="BR144" i="10" s="1" a="1"/>
  <c r="BR144" i="10" s="1"/>
  <c r="BL144" i="10"/>
  <c r="BM144" i="10" s="1"/>
  <c r="BN144" i="10" s="1" a="1"/>
  <c r="BN144" i="10" s="1"/>
  <c r="CH144" i="10"/>
  <c r="CI144" i="10" s="1"/>
  <c r="BT144" i="10"/>
  <c r="BU144" i="10" s="1"/>
  <c r="CT147" i="10"/>
  <c r="CU147" i="10" s="1"/>
  <c r="CP153" i="10"/>
  <c r="CQ153" i="10" s="1"/>
  <c r="BF153" i="10"/>
  <c r="BX153" i="10" s="1"/>
  <c r="BY153" i="10" s="1"/>
  <c r="CT156" i="10"/>
  <c r="CE157" i="10"/>
  <c r="CH157" i="10" s="1"/>
  <c r="CI157" i="10" s="1"/>
  <c r="CJ157" i="10" s="1" a="1"/>
  <c r="CJ157" i="10" s="1"/>
  <c r="CH163" i="10"/>
  <c r="CI163" i="10" s="1"/>
  <c r="CJ163" i="10" s="1" a="1"/>
  <c r="CJ163" i="10" s="1"/>
  <c r="BT163" i="10"/>
  <c r="BU163" i="10" s="1"/>
  <c r="BV163" i="10" s="1" a="1"/>
  <c r="BV163" i="10" s="1"/>
  <c r="CE149" i="10"/>
  <c r="CT149" i="10" s="1"/>
  <c r="CU149" i="10" s="1"/>
  <c r="BT149" i="10"/>
  <c r="BU149" i="10" s="1"/>
  <c r="CE155" i="10"/>
  <c r="BX150" i="10"/>
  <c r="BY150" i="10" s="1"/>
  <c r="BL169" i="10"/>
  <c r="BM169" i="10" s="1"/>
  <c r="BN169" i="10" s="1" a="1"/>
  <c r="BN169" i="10" s="1"/>
  <c r="BT169" i="10"/>
  <c r="BU169" i="10" s="1"/>
  <c r="BV169" i="10" s="1" a="1"/>
  <c r="BV169" i="10" s="1"/>
  <c r="CT164" i="10"/>
  <c r="CU164" i="10" s="1"/>
  <c r="CL169" i="10"/>
  <c r="CM169" i="10" s="1"/>
  <c r="BP167" i="10"/>
  <c r="BQ167" i="10" s="1"/>
  <c r="BR167" i="10" s="1" a="1"/>
  <c r="BR167" i="10" s="1"/>
  <c r="BZ172" i="10" a="1"/>
  <c r="BZ172" i="10" s="1"/>
  <c r="BT179" i="10"/>
  <c r="BU179" i="10" s="1"/>
  <c r="BV179" i="10" s="1" a="1"/>
  <c r="BV179" i="10" s="1"/>
  <c r="CP174" i="10"/>
  <c r="CQ174" i="10" s="1"/>
  <c r="CR174" i="10" s="1" a="1"/>
  <c r="CR174" i="10" s="1"/>
  <c r="CT175" i="10"/>
  <c r="CU175" i="10" s="1"/>
  <c r="CL181" i="10"/>
  <c r="CM181" i="10" s="1"/>
  <c r="CN181" i="10" s="1" a="1"/>
  <c r="CN181" i="10" s="1"/>
  <c r="CT174" i="10"/>
  <c r="CU174" i="10" s="1"/>
  <c r="CJ181" i="10" a="1"/>
  <c r="CJ181" i="10" s="1"/>
  <c r="BF160" i="10"/>
  <c r="BP160" i="10" s="1"/>
  <c r="BQ160" i="10" s="1"/>
  <c r="CH178" i="10"/>
  <c r="CI178" i="10" s="1"/>
  <c r="BL181" i="10"/>
  <c r="BM181" i="10" s="1"/>
  <c r="BN181" i="10" s="1" a="1"/>
  <c r="BN181" i="10" s="1"/>
  <c r="BX169" i="10"/>
  <c r="BY169" i="10" s="1"/>
  <c r="BX178" i="10"/>
  <c r="BY178" i="10" s="1"/>
  <c r="CP164" i="10"/>
  <c r="CQ164" i="10" s="1"/>
  <c r="BP196" i="10"/>
  <c r="BQ196" i="10" s="1"/>
  <c r="BR196" i="10" s="1" a="1"/>
  <c r="BR196" i="10" s="1"/>
  <c r="BL175" i="10"/>
  <c r="BM175" i="10" s="1"/>
  <c r="BN175" i="10" s="1" a="1"/>
  <c r="BN175" i="10" s="1"/>
  <c r="CT192" i="10"/>
  <c r="CU192" i="10" s="1"/>
  <c r="BP169" i="10"/>
  <c r="BQ169" i="10" s="1"/>
  <c r="BZ192" i="10" a="1"/>
  <c r="BZ192" i="10" s="1"/>
  <c r="BT185" i="10"/>
  <c r="BX191" i="10"/>
  <c r="BY191" i="10" s="1"/>
  <c r="BT196" i="10"/>
  <c r="BU196" i="10" s="1"/>
  <c r="BV196" i="10" s="1" a="1"/>
  <c r="BV196" i="10" s="1"/>
  <c r="CP168" i="10"/>
  <c r="CQ168" i="10" s="1"/>
  <c r="CR168" i="10" s="1" a="1"/>
  <c r="CR168" i="10" s="1"/>
  <c r="BP199" i="10"/>
  <c r="BQ199" i="10" s="1"/>
  <c r="CL199" i="10"/>
  <c r="CM199" i="10" s="1"/>
  <c r="CH199" i="10"/>
  <c r="CI199" i="10" s="1"/>
  <c r="CJ199" i="10" s="1" a="1"/>
  <c r="CJ199" i="10" s="1"/>
  <c r="BL199" i="10"/>
  <c r="BM199" i="10" s="1"/>
  <c r="BN199" i="10" s="1" a="1"/>
  <c r="BN199" i="10" s="1"/>
  <c r="BT201" i="10"/>
  <c r="BU201" i="10" s="1"/>
  <c r="BV201" i="10" s="1" a="1"/>
  <c r="BV201" i="10" s="1"/>
  <c r="BF201" i="10"/>
  <c r="BQ201" i="10"/>
  <c r="CH169" i="10"/>
  <c r="CI169" i="10" s="1"/>
  <c r="CJ169" i="10" s="1" a="1"/>
  <c r="CJ169" i="10" s="1"/>
  <c r="CH204" i="10"/>
  <c r="CI204" i="10" s="1"/>
  <c r="CJ204" i="10" s="1" a="1"/>
  <c r="CJ204" i="10" s="1"/>
  <c r="CH194" i="10"/>
  <c r="CI194" i="10" s="1"/>
  <c r="CJ194" i="10" s="1" a="1"/>
  <c r="CJ194" i="10" s="1"/>
  <c r="BL194" i="10"/>
  <c r="BM194" i="10" s="1"/>
  <c r="BN194" i="10" s="1" a="1"/>
  <c r="BN194" i="10" s="1"/>
  <c r="CP194" i="10"/>
  <c r="CQ194" i="10" s="1"/>
  <c r="CR194" i="10" s="1" a="1"/>
  <c r="CR194" i="10" s="1"/>
  <c r="BT203" i="10"/>
  <c r="BU203" i="10" s="1"/>
  <c r="BZ203" i="10" s="1" a="1"/>
  <c r="BZ203" i="10" s="1"/>
  <c r="BX183" i="10"/>
  <c r="BY183" i="10" s="1"/>
  <c r="CE222" i="10"/>
  <c r="CP222" i="10" s="1"/>
  <c r="CQ222" i="10" s="1"/>
  <c r="CE212" i="10"/>
  <c r="CP212" i="10" s="1"/>
  <c r="CQ212" i="10" s="1"/>
  <c r="BP195" i="10"/>
  <c r="BQ195" i="10" s="1"/>
  <c r="BV195" i="10" s="1" a="1"/>
  <c r="BV195" i="10" s="1"/>
  <c r="CH195" i="10"/>
  <c r="CI195" i="10" s="1"/>
  <c r="CJ195" i="10" s="1" a="1"/>
  <c r="CJ195" i="10" s="1"/>
  <c r="BL195" i="10"/>
  <c r="BM195" i="10" s="1"/>
  <c r="BN195" i="10" s="1" a="1"/>
  <c r="BN195" i="10" s="1"/>
  <c r="CL204" i="10"/>
  <c r="CM204" i="10" s="1"/>
  <c r="CE218" i="10"/>
  <c r="CL220" i="10"/>
  <c r="CM220" i="10" s="1"/>
  <c r="BP217" i="10"/>
  <c r="BQ217" i="10" s="1"/>
  <c r="BR217" i="10" s="1" a="1"/>
  <c r="BR217" i="10" s="1"/>
  <c r="CL217" i="10"/>
  <c r="CM217" i="10" s="1"/>
  <c r="BT217" i="10"/>
  <c r="BU217" i="10" s="1"/>
  <c r="BL217" i="10"/>
  <c r="BM217" i="10" s="1"/>
  <c r="BN217" i="10" s="1" a="1"/>
  <c r="BN217" i="10" s="1"/>
  <c r="CH217" i="10"/>
  <c r="CI217" i="10" s="1"/>
  <c r="CJ217" i="10" s="1" a="1"/>
  <c r="CJ217" i="10" s="1"/>
  <c r="BX217" i="10"/>
  <c r="BY217" i="10" s="1"/>
  <c r="BF232" i="10"/>
  <c r="CH228" i="10"/>
  <c r="CI228" i="10" s="1"/>
  <c r="CJ228" i="10" s="1" a="1"/>
  <c r="CJ228" i="10" s="1"/>
  <c r="CT246" i="10"/>
  <c r="CU246" i="10" s="1"/>
  <c r="CH246" i="10"/>
  <c r="CI246" i="10" s="1"/>
  <c r="CJ246" i="10" s="1" a="1"/>
  <c r="CJ246" i="10" s="1"/>
  <c r="BT249" i="10"/>
  <c r="BU249" i="10" s="1"/>
  <c r="BV249" i="10" s="1" a="1"/>
  <c r="BV249" i="10" s="1"/>
  <c r="CT234" i="10"/>
  <c r="CP238" i="10"/>
  <c r="CQ238" i="10" s="1"/>
  <c r="CR238" i="10" s="1" a="1"/>
  <c r="CR238" i="10" s="1"/>
  <c r="BL243" i="10"/>
  <c r="BM243" i="10" s="1"/>
  <c r="BN243" i="10" s="1" a="1"/>
  <c r="BN243" i="10" s="1"/>
  <c r="BF247" i="10"/>
  <c r="BX247" i="10" s="1"/>
  <c r="BY247" i="10" s="1"/>
  <c r="CE216" i="10"/>
  <c r="CT216" i="10" s="1"/>
  <c r="CU216" i="10" s="1"/>
  <c r="BN252" i="10" a="1"/>
  <c r="BN252" i="10" s="1"/>
  <c r="BT227" i="10"/>
  <c r="BU227" i="10" s="1"/>
  <c r="BV227" i="10" s="1" a="1"/>
  <c r="BV227" i="10" s="1"/>
  <c r="BT240" i="10"/>
  <c r="BU240" i="10" s="1"/>
  <c r="BV240" i="10" s="1" a="1"/>
  <c r="BV240" i="10" s="1"/>
  <c r="CT258" i="10"/>
  <c r="CU258" i="10" s="1"/>
  <c r="CT260" i="10"/>
  <c r="CU260" i="10" s="1"/>
  <c r="BT260" i="10"/>
  <c r="BU260" i="10" s="1"/>
  <c r="BV260" i="10" s="1" a="1"/>
  <c r="BV260" i="10" s="1"/>
  <c r="CH260" i="10"/>
  <c r="CI260" i="10" s="1"/>
  <c r="CJ260" i="10" s="1" a="1"/>
  <c r="CJ260" i="10" s="1"/>
  <c r="BL260" i="10"/>
  <c r="BM260" i="10" s="1"/>
  <c r="BP260" i="10"/>
  <c r="BQ260" i="10" s="1"/>
  <c r="BR260" i="10" s="1" a="1"/>
  <c r="BR260" i="10" s="1"/>
  <c r="CL254" i="10"/>
  <c r="CM254" i="10" s="1"/>
  <c r="CP266" i="10"/>
  <c r="CQ266" i="10" s="1"/>
  <c r="CR266" i="10" s="1" a="1"/>
  <c r="CR266" i="10" s="1"/>
  <c r="BF268" i="10"/>
  <c r="CL271" i="10"/>
  <c r="CM271" i="10" s="1"/>
  <c r="BN271" i="10" a="1"/>
  <c r="BN271" i="10" s="1"/>
  <c r="CH251" i="10"/>
  <c r="CI251" i="10" s="1"/>
  <c r="CJ251" i="10" s="1" a="1"/>
  <c r="CJ251" i="10" s="1"/>
  <c r="CE251" i="10"/>
  <c r="CP251" i="10" s="1"/>
  <c r="CQ251" i="10" s="1"/>
  <c r="CR251" i="10" s="1" a="1"/>
  <c r="CR251" i="10" s="1"/>
  <c r="CL264" i="10"/>
  <c r="CM264" i="10" s="1"/>
  <c r="CN264" i="10" s="1" a="1"/>
  <c r="CN264" i="10" s="1"/>
  <c r="BR278" i="10" a="1"/>
  <c r="BR278" i="10" s="1"/>
  <c r="BQ272" i="10"/>
  <c r="BF272" i="10"/>
  <c r="BL272" i="10" s="1"/>
  <c r="BM272" i="10" s="1"/>
  <c r="BN272" i="10" s="1" a="1"/>
  <c r="BN272" i="10" s="1"/>
  <c r="CE276" i="10"/>
  <c r="CL276" i="10" s="1"/>
  <c r="CM276" i="10" s="1"/>
  <c r="CN276" i="10" s="1" a="1"/>
  <c r="CN276" i="10" s="1"/>
  <c r="CJ280" i="10" a="1"/>
  <c r="CJ280" i="10" s="1"/>
  <c r="BZ290" i="10" a="1"/>
  <c r="BZ290" i="10" s="1"/>
  <c r="BF301" i="10"/>
  <c r="BL301" i="10" s="1"/>
  <c r="BM301" i="10" s="1"/>
  <c r="BN301" i="10" s="1" a="1"/>
  <c r="BN301" i="10" s="1"/>
  <c r="CH270" i="10"/>
  <c r="CI270" i="10" s="1"/>
  <c r="CJ270" i="10" s="1" a="1"/>
  <c r="CJ270" i="10" s="1"/>
  <c r="BN275" i="10" a="1"/>
  <c r="BN275" i="10" s="1"/>
  <c r="BL275" i="10"/>
  <c r="BM275" i="10" s="1"/>
  <c r="BR275" i="10" s="1" a="1"/>
  <c r="BR275" i="10" s="1"/>
  <c r="BT275" i="10"/>
  <c r="BU275" i="10" s="1"/>
  <c r="BV275" i="10" s="1" a="1"/>
  <c r="BV275" i="10" s="1"/>
  <c r="CP277" i="10"/>
  <c r="CQ277" i="10" s="1"/>
  <c r="CR277" i="10" s="1" a="1"/>
  <c r="CR277" i="10" s="1"/>
  <c r="CT280" i="10"/>
  <c r="CU280" i="10" s="1"/>
  <c r="CT279" i="10"/>
  <c r="CU279" i="10" s="1"/>
  <c r="BF309" i="10"/>
  <c r="BP309" i="10" s="1"/>
  <c r="BQ309" i="10" s="1"/>
  <c r="BP272" i="10"/>
  <c r="CL277" i="10"/>
  <c r="CM277" i="10" s="1"/>
  <c r="CN277" i="10" s="1" a="1"/>
  <c r="CN277" i="10" s="1"/>
  <c r="CH306" i="10"/>
  <c r="CI306" i="10" s="1"/>
  <c r="CN306" i="10" s="1" a="1"/>
  <c r="CN306" i="10" s="1"/>
  <c r="BL306" i="10"/>
  <c r="BM306" i="10" s="1"/>
  <c r="BN306" i="10" s="1" a="1"/>
  <c r="BN306" i="10" s="1"/>
  <c r="CP306" i="10"/>
  <c r="CQ306" i="10" s="1"/>
  <c r="CR306" i="10" s="1" a="1"/>
  <c r="CR306" i="10" s="1"/>
  <c r="BX311" i="10"/>
  <c r="BY311" i="10" s="1"/>
  <c r="BX312" i="10"/>
  <c r="BY312" i="10" s="1"/>
  <c r="CE314" i="10"/>
  <c r="CP314" i="10" s="1"/>
  <c r="CQ314" i="10" s="1"/>
  <c r="BL255" i="10"/>
  <c r="BM255" i="10" s="1"/>
  <c r="BN255" i="10" s="1" a="1"/>
  <c r="BN255" i="10" s="1"/>
  <c r="CH293" i="10"/>
  <c r="CI293" i="10" s="1"/>
  <c r="CJ293" i="10" s="1" a="1"/>
  <c r="CJ293" i="10" s="1"/>
  <c r="CL289" i="10"/>
  <c r="CM289" i="10" s="1"/>
  <c r="CN289" i="10" s="1" a="1"/>
  <c r="CN289" i="10" s="1"/>
  <c r="CP274" i="10"/>
  <c r="CQ274" i="10" s="1"/>
  <c r="BP274" i="10"/>
  <c r="BQ274" i="10" s="1"/>
  <c r="BT274" i="10"/>
  <c r="BU274" i="10" s="1"/>
  <c r="BV274" i="10" s="1" a="1"/>
  <c r="BV274" i="10" s="1"/>
  <c r="BL274" i="10"/>
  <c r="BM274" i="10" s="1"/>
  <c r="BN274" i="10" s="1" a="1"/>
  <c r="BN274" i="10" s="1"/>
  <c r="CH274" i="10"/>
  <c r="CI274" i="10" s="1"/>
  <c r="CJ274" i="10" s="1" a="1"/>
  <c r="CJ274" i="10" s="1"/>
  <c r="BX274" i="10"/>
  <c r="BY274" i="10" s="1"/>
  <c r="CQ302" i="10"/>
  <c r="CE302" i="10"/>
  <c r="CT302" i="10" s="1"/>
  <c r="CU302" i="10" s="1"/>
  <c r="CP317" i="10"/>
  <c r="CQ317" i="10" s="1"/>
  <c r="BX315" i="10"/>
  <c r="BY315" i="10" s="1"/>
  <c r="CE279" i="10"/>
  <c r="CL279" i="10" s="1"/>
  <c r="CM279" i="10" s="1"/>
  <c r="BX284" i="10"/>
  <c r="BY284" i="10" s="1"/>
  <c r="CQ296" i="10"/>
  <c r="CE296" i="10"/>
  <c r="CH296" i="10" s="1"/>
  <c r="CI296" i="10" s="1"/>
  <c r="CJ296" i="10" s="1" a="1"/>
  <c r="CJ296" i="10" s="1"/>
  <c r="CT296" i="10"/>
  <c r="CU296" i="10" s="1"/>
  <c r="CL301" i="10"/>
  <c r="CM301" i="10" s="1"/>
  <c r="CN301" i="10" s="1" a="1"/>
  <c r="CN301" i="10" s="1"/>
  <c r="BL314" i="10"/>
  <c r="BM314" i="10" s="1"/>
  <c r="BN314" i="10" s="1" a="1"/>
  <c r="BN314" i="10" s="1"/>
  <c r="BP307" i="10"/>
  <c r="BQ307" i="10" s="1"/>
  <c r="BR307" i="10" s="1" a="1"/>
  <c r="BR307" i="10" s="1"/>
  <c r="BT307" i="10"/>
  <c r="BU307" i="10" s="1"/>
  <c r="BL307" i="10"/>
  <c r="BM307" i="10" s="1"/>
  <c r="BN307" i="10" s="1" a="1"/>
  <c r="BN307" i="10" s="1"/>
  <c r="CH307" i="10"/>
  <c r="CI307" i="10" s="1"/>
  <c r="CJ307" i="10" s="1" a="1"/>
  <c r="CJ307" i="10" s="1"/>
  <c r="BX322" i="10"/>
  <c r="BY322" i="10" s="1"/>
  <c r="CT328" i="10"/>
  <c r="CU328" i="10" s="1"/>
  <c r="CE343" i="10"/>
  <c r="CT343" i="10" s="1"/>
  <c r="CU343" i="10" s="1"/>
  <c r="CT283" i="10"/>
  <c r="CU283" i="10" s="1"/>
  <c r="BP314" i="10"/>
  <c r="BQ314" i="10" s="1"/>
  <c r="BR314" i="10" s="1" a="1"/>
  <c r="BR314" i="10" s="1"/>
  <c r="CH326" i="10"/>
  <c r="CI326" i="10" s="1"/>
  <c r="CJ326" i="10" s="1" a="1"/>
  <c r="CJ326" i="10" s="1"/>
  <c r="CP335" i="10"/>
  <c r="CQ335" i="10" s="1"/>
  <c r="CL338" i="10"/>
  <c r="CM338" i="10" s="1"/>
  <c r="CN338" i="10" s="1" a="1"/>
  <c r="CN338" i="10" s="1"/>
  <c r="BP337" i="10"/>
  <c r="BQ337" i="10" s="1"/>
  <c r="BR337" i="10" s="1" a="1"/>
  <c r="BR337" i="10" s="1"/>
  <c r="BL342" i="10"/>
  <c r="BM342" i="10" s="1"/>
  <c r="BX347" i="10"/>
  <c r="BY347" i="10" s="1"/>
  <c r="CL351" i="10"/>
  <c r="CM351" i="10" s="1"/>
  <c r="CN351" i="10" s="1" a="1"/>
  <c r="CN351" i="10" s="1"/>
  <c r="BL329" i="10"/>
  <c r="BM329" i="10" s="1"/>
  <c r="BN329" i="10" s="1" a="1"/>
  <c r="BN329" i="10" s="1"/>
  <c r="CL274" i="10"/>
  <c r="CM274" i="10" s="1"/>
  <c r="CN274" i="10" s="1" a="1"/>
  <c r="CN274" i="10" s="1"/>
  <c r="CP325" i="10"/>
  <c r="CQ325" i="10" s="1"/>
  <c r="CR325" i="10" s="1" a="1"/>
  <c r="CR325" i="10" s="1"/>
  <c r="CP337" i="10"/>
  <c r="CQ337" i="10" s="1"/>
  <c r="CR337" i="10" s="1" a="1"/>
  <c r="CR337" i="10" s="1"/>
  <c r="BP342" i="10"/>
  <c r="BQ342" i="10" s="1"/>
  <c r="BR342" i="10" s="1" a="1"/>
  <c r="BR342" i="10" s="1"/>
  <c r="BN365" i="10" a="1"/>
  <c r="BN365" i="10" s="1"/>
  <c r="CB371" i="10"/>
  <c r="S371" i="10" s="1"/>
  <c r="CP354" i="10"/>
  <c r="CQ354" i="10" s="1"/>
  <c r="CR354" i="10" s="1" a="1"/>
  <c r="CR354" i="10" s="1"/>
  <c r="CH342" i="10"/>
  <c r="CI342" i="10" s="1"/>
  <c r="CE345" i="10"/>
  <c r="CL345" i="10" s="1"/>
  <c r="CM345" i="10" s="1"/>
  <c r="BP353" i="10"/>
  <c r="BQ353" i="10" s="1"/>
  <c r="BR353" i="10" s="1" a="1"/>
  <c r="BR353" i="10" s="1"/>
  <c r="BX355" i="10"/>
  <c r="BY355" i="10" s="1"/>
  <c r="CP367" i="10"/>
  <c r="CQ367" i="10" s="1"/>
  <c r="BL330" i="10"/>
  <c r="BM330" i="10" s="1"/>
  <c r="BN330" i="10" s="1" a="1"/>
  <c r="BN330" i="10" s="1"/>
  <c r="BP339" i="10"/>
  <c r="BQ339" i="10" s="1"/>
  <c r="BR339" i="10" s="1" a="1"/>
  <c r="BR339" i="10" s="1"/>
  <c r="BL362" i="10"/>
  <c r="BM362" i="10" s="1"/>
  <c r="BN362" i="10" s="1" a="1"/>
  <c r="BN362" i="10" s="1"/>
  <c r="BP362" i="10"/>
  <c r="BQ362" i="10" s="1"/>
  <c r="BR362" i="10" s="1" a="1"/>
  <c r="BR362" i="10" s="1"/>
  <c r="CH362" i="10"/>
  <c r="CI362" i="10" s="1"/>
  <c r="CJ362" i="10" s="1" a="1"/>
  <c r="CJ362" i="10" s="1"/>
  <c r="BT362" i="10"/>
  <c r="BU362" i="10" s="1"/>
  <c r="CL373" i="10"/>
  <c r="CM373" i="10" s="1"/>
  <c r="BT378" i="10"/>
  <c r="BU378" i="10" s="1"/>
  <c r="BV378" i="10" s="1" a="1"/>
  <c r="BV378" i="10" s="1"/>
  <c r="BT382" i="10"/>
  <c r="BU382" i="10" s="1"/>
  <c r="BV382" i="10" s="1" a="1"/>
  <c r="BV382" i="10" s="1"/>
  <c r="BP348" i="10"/>
  <c r="BQ348" i="10" s="1"/>
  <c r="CH374" i="10"/>
  <c r="CI374" i="10" s="1"/>
  <c r="CJ374" i="10" s="1" a="1"/>
  <c r="CJ374" i="10" s="1"/>
  <c r="CP382" i="10"/>
  <c r="CQ382" i="10" s="1"/>
  <c r="BP387" i="10"/>
  <c r="BQ387" i="10" s="1"/>
  <c r="BR387" i="10" s="1" a="1"/>
  <c r="BR387" i="10" s="1"/>
  <c r="CL415" i="10"/>
  <c r="CM415" i="10" s="1"/>
  <c r="BP381" i="10"/>
  <c r="BQ381" i="10" s="1"/>
  <c r="BR381" i="10" s="1" a="1"/>
  <c r="BR381" i="10" s="1"/>
  <c r="BF383" i="10"/>
  <c r="BP383" i="10" s="1"/>
  <c r="BQ383" i="10" s="1"/>
  <c r="BP385" i="10"/>
  <c r="BQ385" i="10" s="1"/>
  <c r="BR385" i="10" s="1" a="1"/>
  <c r="BR385" i="10" s="1"/>
  <c r="CJ392" i="10" a="1"/>
  <c r="CJ392" i="10" s="1"/>
  <c r="CT395" i="10"/>
  <c r="CU395" i="10" s="1"/>
  <c r="CL422" i="10"/>
  <c r="CM422" i="10" s="1"/>
  <c r="BT389" i="10"/>
  <c r="CP389" i="10"/>
  <c r="CQ389" i="10" s="1"/>
  <c r="CT396" i="10"/>
  <c r="CU396" i="10" s="1"/>
  <c r="CT404" i="10"/>
  <c r="CU404" i="10" s="1"/>
  <c r="CL405" i="10"/>
  <c r="CM405" i="10" s="1"/>
  <c r="CN405" i="10" s="1" a="1"/>
  <c r="CN405" i="10" s="1"/>
  <c r="BP363" i="10"/>
  <c r="BQ363" i="10" s="1"/>
  <c r="BR363" i="10" s="1" a="1"/>
  <c r="BR363" i="10" s="1"/>
  <c r="CP390" i="10"/>
  <c r="CQ390" i="10" s="1"/>
  <c r="CR390" i="10" s="1" a="1"/>
  <c r="CR390" i="10" s="1"/>
  <c r="CH390" i="10"/>
  <c r="CI390" i="10" s="1"/>
  <c r="CN390" i="10" s="1" a="1"/>
  <c r="CN390" i="10" s="1"/>
  <c r="BT395" i="10"/>
  <c r="BU395" i="10" s="1"/>
  <c r="CH401" i="10"/>
  <c r="CP401" i="10"/>
  <c r="CQ401" i="10" s="1"/>
  <c r="BL390" i="10"/>
  <c r="BM390" i="10" s="1"/>
  <c r="BN390" i="10" s="1" a="1"/>
  <c r="BN390" i="10" s="1"/>
  <c r="CH399" i="10"/>
  <c r="CI399" i="10" s="1"/>
  <c r="CJ399" i="10" s="1" a="1"/>
  <c r="CJ399" i="10" s="1"/>
  <c r="BR420" i="10" a="1"/>
  <c r="BR420" i="10" s="1"/>
  <c r="BP423" i="10"/>
  <c r="BQ423" i="10" s="1"/>
  <c r="CH433" i="10"/>
  <c r="CI433" i="10" s="1"/>
  <c r="CJ433" i="10" s="1" a="1"/>
  <c r="CJ433" i="10" s="1"/>
  <c r="BL433" i="10"/>
  <c r="BM433" i="10" s="1"/>
  <c r="BN433" i="10" s="1" a="1"/>
  <c r="BN433" i="10" s="1"/>
  <c r="CP433" i="10"/>
  <c r="CQ433" i="10" s="1"/>
  <c r="CT433" i="10"/>
  <c r="CU433" i="10" s="1"/>
  <c r="CH416" i="10"/>
  <c r="CI416" i="10" s="1"/>
  <c r="CJ416" i="10" s="1" a="1"/>
  <c r="CJ416" i="10" s="1"/>
  <c r="CP436" i="10"/>
  <c r="CQ436" i="10" s="1"/>
  <c r="CL436" i="10"/>
  <c r="CM436" i="10" s="1"/>
  <c r="CN436" i="10" s="1" a="1"/>
  <c r="CN436" i="10" s="1"/>
  <c r="CH436" i="10"/>
  <c r="CI436" i="10" s="1"/>
  <c r="CJ436" i="10" s="1" a="1"/>
  <c r="CJ436" i="10" s="1"/>
  <c r="CT436" i="10"/>
  <c r="CU436" i="10" s="1"/>
  <c r="BP443" i="10"/>
  <c r="BQ443" i="10" s="1"/>
  <c r="BT443" i="10"/>
  <c r="BU443" i="10" s="1"/>
  <c r="BL443" i="10"/>
  <c r="BM443" i="10" s="1"/>
  <c r="BN443" i="10" s="1" a="1"/>
  <c r="BN443" i="10" s="1"/>
  <c r="CE453" i="10"/>
  <c r="CT420" i="10"/>
  <c r="CU420" i="10" s="1"/>
  <c r="CW428" i="10" a="1"/>
  <c r="CW428" i="10" s="1"/>
  <c r="BR432" i="10" a="1"/>
  <c r="BR432" i="10" s="1"/>
  <c r="BT430" i="10"/>
  <c r="BU430" i="10" s="1"/>
  <c r="BV430" i="10" s="1" a="1"/>
  <c r="BV430" i="10" s="1"/>
  <c r="BR438" i="10" a="1"/>
  <c r="BR438" i="10" s="1"/>
  <c r="CV444" i="10" a="1"/>
  <c r="CV444" i="10" s="1"/>
  <c r="CA451" i="10" a="1"/>
  <c r="CA451" i="10" s="1"/>
  <c r="CA442" i="10" a="1"/>
  <c r="CA442" i="10" s="1"/>
  <c r="BZ438" i="10" a="1"/>
  <c r="BZ438" i="10" s="1"/>
  <c r="CA438" i="10" a="1"/>
  <c r="CA438" i="10" s="1"/>
  <c r="CR450" i="10" a="1"/>
  <c r="CR450" i="10" s="1"/>
  <c r="CA450" i="10" a="1"/>
  <c r="CA450" i="10" s="1"/>
  <c r="BZ450" i="10" a="1"/>
  <c r="BZ450" i="10" s="1"/>
  <c r="BV509" i="10" a="1"/>
  <c r="BV509" i="10" s="1"/>
  <c r="CA460" i="10" a="1"/>
  <c r="CA460" i="10" s="1"/>
  <c r="CA504" i="10" a="1"/>
  <c r="CA504" i="10" s="1"/>
  <c r="BZ504" i="10" a="1"/>
  <c r="BZ504" i="10" s="1"/>
  <c r="CW538" i="10" a="1"/>
  <c r="CW538" i="10" s="1"/>
  <c r="CB515" i="10"/>
  <c r="S515" i="10" s="1"/>
  <c r="BR531" i="10" a="1"/>
  <c r="BR531" i="10" s="1"/>
  <c r="BZ540" i="10" a="1"/>
  <c r="BZ540" i="10" s="1"/>
  <c r="BP561" i="10"/>
  <c r="BQ561" i="10" s="1"/>
  <c r="CV584" i="10" a="1"/>
  <c r="CV584" i="10" s="1"/>
  <c r="CW584" i="10" a="1"/>
  <c r="CW584" i="10" s="1"/>
  <c r="CA578" i="10" a="1"/>
  <c r="CA578" i="10" s="1"/>
  <c r="CW592" i="10" a="1"/>
  <c r="CW592" i="10" s="1"/>
  <c r="CV592" i="10" a="1"/>
  <c r="CV592" i="10" s="1"/>
  <c r="CW662" i="10" a="1"/>
  <c r="CW662" i="10" s="1"/>
  <c r="CR597" i="10" a="1"/>
  <c r="CR597" i="10" s="1"/>
  <c r="CA655" i="10" a="1"/>
  <c r="CA655" i="10" s="1"/>
  <c r="CA554" i="10" a="1"/>
  <c r="CA554" i="10" s="1"/>
  <c r="BZ554" i="10" a="1"/>
  <c r="BZ554" i="10" s="1"/>
  <c r="BV598" i="10" a="1"/>
  <c r="BV598" i="10" s="1"/>
  <c r="CV650" i="10" a="1"/>
  <c r="CV650" i="10" s="1"/>
  <c r="CW650" i="10" a="1"/>
  <c r="CW650" i="10" s="1"/>
  <c r="BR751" i="10" a="1"/>
  <c r="BR751" i="10" s="1"/>
  <c r="CT127" i="10"/>
  <c r="CU127" i="10" s="1"/>
  <c r="CE133" i="10"/>
  <c r="CP127" i="10"/>
  <c r="CQ127" i="10" s="1"/>
  <c r="CR127" i="10" s="1" a="1"/>
  <c r="CR127" i="10" s="1"/>
  <c r="BP133" i="10"/>
  <c r="BQ133" i="10" s="1"/>
  <c r="BR133" i="10" s="1" a="1"/>
  <c r="BR133" i="10" s="1"/>
  <c r="BT133" i="10"/>
  <c r="BU133" i="10" s="1"/>
  <c r="BT139" i="10"/>
  <c r="BU139" i="10" s="1"/>
  <c r="BP137" i="10"/>
  <c r="BQ137" i="10" s="1"/>
  <c r="BP138" i="10"/>
  <c r="BX144" i="10"/>
  <c r="BY144" i="10" s="1"/>
  <c r="CE145" i="10"/>
  <c r="CT145" i="10" s="1"/>
  <c r="CU145" i="10" s="1"/>
  <c r="CT139" i="10"/>
  <c r="CU139" i="10" s="1"/>
  <c r="CP148" i="10"/>
  <c r="CQ148" i="10" s="1"/>
  <c r="CR148" i="10" s="1" a="1"/>
  <c r="CR148" i="10" s="1"/>
  <c r="CL147" i="10"/>
  <c r="CM147" i="10" s="1"/>
  <c r="BL153" i="10"/>
  <c r="BM153" i="10" s="1"/>
  <c r="BN153" i="10" s="1" a="1"/>
  <c r="BN153" i="10" s="1"/>
  <c r="CH153" i="10"/>
  <c r="CI153" i="10" s="1"/>
  <c r="CJ153" i="10" s="1" a="1"/>
  <c r="CJ153" i="10" s="1"/>
  <c r="BQ156" i="10"/>
  <c r="BR156" i="10" s="1" a="1"/>
  <c r="BR156" i="10" s="1"/>
  <c r="BF156" i="10"/>
  <c r="BL156" i="10" s="1"/>
  <c r="BM156" i="10"/>
  <c r="BN156" i="10" s="1" a="1"/>
  <c r="BN156" i="10" s="1"/>
  <c r="CE151" i="10"/>
  <c r="CL151" i="10" s="1"/>
  <c r="CM151" i="10" s="1"/>
  <c r="BP153" i="10"/>
  <c r="BQ153" i="10" s="1"/>
  <c r="BR153" i="10" s="1" a="1"/>
  <c r="BR153" i="10" s="1"/>
  <c r="BF155" i="10"/>
  <c r="BX155" i="10" s="1"/>
  <c r="BY155" i="10" s="1"/>
  <c r="BL166" i="10"/>
  <c r="BM166" i="10" s="1"/>
  <c r="BN166" i="10" s="1" a="1"/>
  <c r="BN166" i="10" s="1"/>
  <c r="CJ154" i="10" a="1"/>
  <c r="CJ154" i="10" s="1"/>
  <c r="BX158" i="10"/>
  <c r="BY158" i="10" s="1"/>
  <c r="BN170" i="10" a="1"/>
  <c r="BN170" i="10" s="1"/>
  <c r="CJ170" i="10" a="1"/>
  <c r="CJ170" i="10" s="1"/>
  <c r="CX170" i="10" s="1"/>
  <c r="Z170" i="10" s="1"/>
  <c r="BP162" i="10"/>
  <c r="BQ162" i="10" s="1"/>
  <c r="BR162" i="10" s="1" a="1"/>
  <c r="BR162" i="10" s="1"/>
  <c r="CL166" i="10"/>
  <c r="CM166" i="10" s="1"/>
  <c r="BT166" i="10"/>
  <c r="BU166" i="10" s="1"/>
  <c r="BV166" i="10" s="1" a="1"/>
  <c r="BV166" i="10" s="1"/>
  <c r="CV177" i="10" a="1"/>
  <c r="CV177" i="10" s="1"/>
  <c r="BX179" i="10"/>
  <c r="BY179" i="10" s="1"/>
  <c r="CH176" i="10"/>
  <c r="CI176" i="10" s="1"/>
  <c r="CJ176" i="10" s="1" a="1"/>
  <c r="CJ176" i="10" s="1"/>
  <c r="BL180" i="10"/>
  <c r="BM180" i="10" s="1"/>
  <c r="BN180" i="10" s="1" a="1"/>
  <c r="BN180" i="10" s="1"/>
  <c r="CH180" i="10"/>
  <c r="CI180" i="10" s="1"/>
  <c r="CJ180" i="10" s="1" a="1"/>
  <c r="CJ180" i="10" s="1"/>
  <c r="CH184" i="10"/>
  <c r="CI184" i="10" s="1"/>
  <c r="CJ184" i="10" s="1" a="1"/>
  <c r="CJ184" i="10" s="1"/>
  <c r="BL184" i="10"/>
  <c r="BM184" i="10" s="1"/>
  <c r="BN184" i="10" s="1" a="1"/>
  <c r="BN184" i="10" s="1"/>
  <c r="BT160" i="10"/>
  <c r="BU160" i="10" s="1"/>
  <c r="BV160" i="10" s="1" a="1"/>
  <c r="BV160" i="10" s="1"/>
  <c r="CE160" i="10"/>
  <c r="CH160" i="10" s="1"/>
  <c r="CI160" i="10" s="1"/>
  <c r="CJ160" i="10" s="1" a="1"/>
  <c r="CJ160" i="10" s="1"/>
  <c r="BL165" i="10"/>
  <c r="BM165" i="10" s="1"/>
  <c r="BN165" i="10" s="1" a="1"/>
  <c r="BN165" i="10" s="1"/>
  <c r="CT165" i="10"/>
  <c r="CU165" i="10" s="1"/>
  <c r="CH165" i="10"/>
  <c r="CI165" i="10" s="1"/>
  <c r="CJ165" i="10" s="1" a="1"/>
  <c r="CJ165" i="10" s="1"/>
  <c r="BT165" i="10"/>
  <c r="BU165" i="10" s="1"/>
  <c r="BZ165" i="10" s="1" a="1"/>
  <c r="BZ165" i="10" s="1"/>
  <c r="BP165" i="10"/>
  <c r="BQ165" i="10" s="1"/>
  <c r="CL178" i="10"/>
  <c r="CM178" i="10" s="1"/>
  <c r="CN178" i="10" s="1" a="1"/>
  <c r="CN178" i="10" s="1"/>
  <c r="CT187" i="10"/>
  <c r="CU187" i="10" s="1"/>
  <c r="BL197" i="10"/>
  <c r="BM197" i="10" s="1"/>
  <c r="BN197" i="10" s="1" a="1"/>
  <c r="BN197" i="10" s="1"/>
  <c r="CH197" i="10"/>
  <c r="CI197" i="10" s="1"/>
  <c r="CJ197" i="10" s="1" a="1"/>
  <c r="CJ197" i="10" s="1"/>
  <c r="BX174" i="10"/>
  <c r="BY174" i="10" s="1"/>
  <c r="CH168" i="10"/>
  <c r="CI168" i="10" s="1"/>
  <c r="CJ168" i="10" s="1" a="1"/>
  <c r="CJ168" i="10" s="1"/>
  <c r="BX200" i="10"/>
  <c r="BX202" i="10"/>
  <c r="BY202" i="10" s="1"/>
  <c r="BT193" i="10"/>
  <c r="BU193" i="10" s="1"/>
  <c r="BV193" i="10" s="1" a="1"/>
  <c r="BV193" i="10" s="1"/>
  <c r="BT211" i="10"/>
  <c r="BU211" i="10" s="1"/>
  <c r="BV211" i="10" s="1" a="1"/>
  <c r="BV211" i="10" s="1"/>
  <c r="BP177" i="10"/>
  <c r="BQ177" i="10" s="1"/>
  <c r="BR177" i="10" s="1" a="1"/>
  <c r="BR177" i="10" s="1"/>
  <c r="BF207" i="10"/>
  <c r="CE214" i="10"/>
  <c r="CL175" i="10"/>
  <c r="CM175" i="10" s="1"/>
  <c r="CN175" i="10" s="1" a="1"/>
  <c r="CN175" i="10" s="1"/>
  <c r="CT201" i="10"/>
  <c r="CU201" i="10" s="1"/>
  <c r="BL203" i="10"/>
  <c r="BM203" i="10" s="1"/>
  <c r="BN203" i="10" s="1" a="1"/>
  <c r="BN203" i="10" s="1"/>
  <c r="BP184" i="10"/>
  <c r="BQ184" i="10" s="1"/>
  <c r="BR184" i="10" s="1" a="1"/>
  <c r="BR184" i="10" s="1"/>
  <c r="BL215" i="10"/>
  <c r="BM215" i="10" s="1"/>
  <c r="BN215" i="10" s="1" a="1"/>
  <c r="BN215" i="10" s="1"/>
  <c r="BT215" i="10"/>
  <c r="CH215" i="10"/>
  <c r="CI215" i="10" s="1"/>
  <c r="CJ215" i="10" s="1" a="1"/>
  <c r="CJ215" i="10" s="1"/>
  <c r="CT222" i="10"/>
  <c r="CU222" i="10" s="1"/>
  <c r="BX212" i="10"/>
  <c r="BY212" i="10" s="1"/>
  <c r="CL207" i="10"/>
  <c r="CM207" i="10" s="1"/>
  <c r="CN207" i="10" s="1" a="1"/>
  <c r="CN207" i="10" s="1"/>
  <c r="CT220" i="10"/>
  <c r="CU220" i="10" s="1"/>
  <c r="CE226" i="10"/>
  <c r="CP201" i="10"/>
  <c r="CQ201" i="10" s="1"/>
  <c r="CR201" i="10" s="1" a="1"/>
  <c r="CR201" i="10" s="1"/>
  <c r="BT233" i="10"/>
  <c r="BU233" i="10" s="1"/>
  <c r="BV233" i="10" s="1" a="1"/>
  <c r="BV233" i="10" s="1"/>
  <c r="BL244" i="10"/>
  <c r="BM244" i="10" s="1"/>
  <c r="BN244" i="10" s="1" a="1"/>
  <c r="BN244" i="10" s="1"/>
  <c r="CT244" i="10"/>
  <c r="CU244" i="10" s="1"/>
  <c r="CH244" i="10"/>
  <c r="CI244" i="10" s="1"/>
  <c r="CJ244" i="10" s="1" a="1"/>
  <c r="CJ244" i="10" s="1"/>
  <c r="BP244" i="10"/>
  <c r="BQ244" i="10" s="1"/>
  <c r="BR244" i="10" s="1" a="1"/>
  <c r="BR244" i="10" s="1"/>
  <c r="CL244" i="10"/>
  <c r="CM244" i="10" s="1"/>
  <c r="CP255" i="10"/>
  <c r="CQ255" i="10" s="1"/>
  <c r="CR255" i="10" s="1" a="1"/>
  <c r="CR255" i="10" s="1"/>
  <c r="CP216" i="10"/>
  <c r="CQ216" i="10" s="1"/>
  <c r="BX216" i="10"/>
  <c r="BY216" i="10" s="1"/>
  <c r="BR246" i="10" a="1"/>
  <c r="BR246" i="10" s="1"/>
  <c r="CB246" i="10" s="1"/>
  <c r="S246" i="10" s="1"/>
  <c r="CP245" i="10"/>
  <c r="CQ245" i="10" s="1"/>
  <c r="CR245" i="10" s="1" a="1"/>
  <c r="CR245" i="10" s="1"/>
  <c r="CP240" i="10"/>
  <c r="CQ240" i="10" s="1"/>
  <c r="CE243" i="10"/>
  <c r="CH243" i="10" s="1"/>
  <c r="CI243" i="10" s="1"/>
  <c r="CJ243" i="10" s="1" a="1"/>
  <c r="CJ243" i="10" s="1"/>
  <c r="BF258" i="10"/>
  <c r="BL258" i="10" s="1"/>
  <c r="BM258" i="10" s="1"/>
  <c r="BN258" i="10" s="1" a="1"/>
  <c r="BN258" i="10" s="1"/>
  <c r="BN260" i="10" a="1"/>
  <c r="BN260" i="10" s="1"/>
  <c r="BT255" i="10"/>
  <c r="BU255" i="10" s="1"/>
  <c r="BV255" i="10" s="1" a="1"/>
  <c r="BV255" i="10" s="1"/>
  <c r="BF261" i="10"/>
  <c r="BL261" i="10" s="1"/>
  <c r="BM261" i="10" s="1"/>
  <c r="BN261" i="10" s="1" a="1"/>
  <c r="BN261" i="10" s="1"/>
  <c r="BL262" i="10"/>
  <c r="BM262" i="10" s="1"/>
  <c r="BN262" i="10" s="1" a="1"/>
  <c r="BN262" i="10" s="1"/>
  <c r="CH262" i="10"/>
  <c r="CI262" i="10" s="1"/>
  <c r="CN262" i="10" s="1" a="1"/>
  <c r="CN262" i="10" s="1"/>
  <c r="BP262" i="10"/>
  <c r="BQ262" i="10" s="1"/>
  <c r="CT275" i="10"/>
  <c r="CU275" i="10" s="1"/>
  <c r="BF281" i="10"/>
  <c r="BP281" i="10" s="1"/>
  <c r="BQ281" i="10" s="1"/>
  <c r="BR281" i="10" s="1" a="1"/>
  <c r="BR281" i="10" s="1"/>
  <c r="BL267" i="10"/>
  <c r="BM267" i="10" s="1"/>
  <c r="BR267" i="10" s="1" a="1"/>
  <c r="BR267" i="10" s="1"/>
  <c r="CT306" i="10"/>
  <c r="CU306" i="10" s="1"/>
  <c r="CP300" i="10"/>
  <c r="CQ300" i="10" s="1"/>
  <c r="CP302" i="10"/>
  <c r="CH255" i="10"/>
  <c r="CI255" i="10" s="1"/>
  <c r="CJ255" i="10" s="1" a="1"/>
  <c r="CJ255" i="10" s="1"/>
  <c r="BL281" i="10"/>
  <c r="BM281" i="10" s="1"/>
  <c r="BN281" i="10" s="1" a="1"/>
  <c r="BN281" i="10" s="1"/>
  <c r="CH281" i="10"/>
  <c r="CI281" i="10" s="1"/>
  <c r="CJ281" i="10" s="1" a="1"/>
  <c r="CJ281" i="10" s="1"/>
  <c r="CH304" i="10"/>
  <c r="CI304" i="10" s="1"/>
  <c r="CJ304" i="10" s="1" a="1"/>
  <c r="CJ304" i="10" s="1"/>
  <c r="BL304" i="10"/>
  <c r="BM304" i="10" s="1"/>
  <c r="BN304" i="10" s="1" a="1"/>
  <c r="BN304" i="10" s="1"/>
  <c r="BF310" i="10"/>
  <c r="BX310" i="10" s="1"/>
  <c r="BY310" i="10" s="1"/>
  <c r="BX313" i="10"/>
  <c r="BY313" i="10" s="1"/>
  <c r="BT316" i="10"/>
  <c r="BU316" i="10" s="1"/>
  <c r="BV316" i="10" s="1" a="1"/>
  <c r="BV316" i="10" s="1"/>
  <c r="CL293" i="10"/>
  <c r="CM293" i="10" s="1"/>
  <c r="CN293" i="10" s="1" a="1"/>
  <c r="CN293" i="10" s="1"/>
  <c r="BX302" i="10"/>
  <c r="BY302" i="10" s="1"/>
  <c r="BF317" i="10"/>
  <c r="BT317" i="10" s="1"/>
  <c r="BU317" i="10" s="1"/>
  <c r="BM317" i="10"/>
  <c r="BN317" i="10" s="1" a="1"/>
  <c r="BN317" i="10" s="1"/>
  <c r="CL297" i="10"/>
  <c r="CM297" i="10" s="1"/>
  <c r="CL303" i="10"/>
  <c r="CM303" i="10" s="1"/>
  <c r="CR303" i="10" s="1" a="1"/>
  <c r="CR303" i="10" s="1"/>
  <c r="CL335" i="10"/>
  <c r="CM335" i="10" s="1"/>
  <c r="CH335" i="10"/>
  <c r="CI335" i="10" s="1"/>
  <c r="CJ335" i="10" s="1" a="1"/>
  <c r="CJ335" i="10" s="1"/>
  <c r="BX279" i="10"/>
  <c r="BY279" i="10" s="1"/>
  <c r="CE288" i="10"/>
  <c r="CH288" i="10" s="1"/>
  <c r="CI288" i="10" s="1"/>
  <c r="CJ288" i="10" s="1" a="1"/>
  <c r="CJ288" i="10" s="1"/>
  <c r="BT292" i="10"/>
  <c r="BU292" i="10" s="1"/>
  <c r="BV292" i="10" s="1" a="1"/>
  <c r="BV292" i="10" s="1"/>
  <c r="BX296" i="10"/>
  <c r="BY296" i="10" s="1"/>
  <c r="CL343" i="10"/>
  <c r="CM343" i="10" s="1"/>
  <c r="BL299" i="10"/>
  <c r="BM299" i="10" s="1"/>
  <c r="BN299" i="10" s="1" a="1"/>
  <c r="BN299" i="10" s="1"/>
  <c r="CP299" i="10"/>
  <c r="CQ299" i="10" s="1"/>
  <c r="CR299" i="10" s="1" a="1"/>
  <c r="CR299" i="10" s="1"/>
  <c r="CH299" i="10"/>
  <c r="CI299" i="10" s="1"/>
  <c r="CJ299" i="10" s="1" a="1"/>
  <c r="CJ299" i="10" s="1"/>
  <c r="BT299" i="10"/>
  <c r="BU299" i="10" s="1"/>
  <c r="BV299" i="10" s="1" a="1"/>
  <c r="BV299" i="10" s="1"/>
  <c r="BP299" i="10"/>
  <c r="BQ299" i="10" s="1"/>
  <c r="BR299" i="10" s="1" a="1"/>
  <c r="BR299" i="10" s="1"/>
  <c r="BF328" i="10"/>
  <c r="BP328" i="10" s="1"/>
  <c r="BQ328" i="10" s="1"/>
  <c r="BX314" i="10"/>
  <c r="BY314" i="10" s="1"/>
  <c r="CP320" i="10"/>
  <c r="CQ320" i="10" s="1"/>
  <c r="CE320" i="10"/>
  <c r="CT320" i="10" s="1"/>
  <c r="CU320" i="10" s="1"/>
  <c r="CL326" i="10"/>
  <c r="CM326" i="10" s="1"/>
  <c r="CN326" i="10" s="1" a="1"/>
  <c r="CN326" i="10" s="1"/>
  <c r="BX303" i="10"/>
  <c r="BY303" i="10" s="1"/>
  <c r="CB331" i="10"/>
  <c r="S331" i="10" s="1"/>
  <c r="CL337" i="10"/>
  <c r="CM337" i="10" s="1"/>
  <c r="CN337" i="10" s="1" a="1"/>
  <c r="CN337" i="10" s="1"/>
  <c r="CI347" i="10"/>
  <c r="CJ347" i="10" s="1" a="1"/>
  <c r="CJ347" i="10" s="1"/>
  <c r="CE347" i="10"/>
  <c r="BF352" i="10"/>
  <c r="BL352" i="10" s="1"/>
  <c r="BM352" i="10" s="1"/>
  <c r="BN352" i="10" s="1" a="1"/>
  <c r="BN352" i="10" s="1"/>
  <c r="CT308" i="10"/>
  <c r="CU308" i="10" s="1"/>
  <c r="CP308" i="10"/>
  <c r="CQ308" i="10" s="1"/>
  <c r="CR308" i="10" s="1" a="1"/>
  <c r="CR308" i="10" s="1"/>
  <c r="BL317" i="10"/>
  <c r="CH317" i="10"/>
  <c r="CH334" i="10"/>
  <c r="CI334" i="10" s="1"/>
  <c r="CN334" i="10" s="1" a="1"/>
  <c r="CN334" i="10" s="1"/>
  <c r="CT334" i="10"/>
  <c r="CU334" i="10" s="1"/>
  <c r="BL334" i="10"/>
  <c r="BM334" i="10" s="1"/>
  <c r="BN334" i="10" s="1" a="1"/>
  <c r="BN334" i="10" s="1"/>
  <c r="BP334" i="10"/>
  <c r="BQ334" i="10" s="1"/>
  <c r="BR334" i="10" s="1" a="1"/>
  <c r="BR334" i="10" s="1"/>
  <c r="BP351" i="10"/>
  <c r="BQ351" i="10" s="1"/>
  <c r="BR351" i="10" s="1" a="1"/>
  <c r="BR351" i="10" s="1"/>
  <c r="CT317" i="10"/>
  <c r="CU317" i="10" s="1"/>
  <c r="BX337" i="10"/>
  <c r="BY337" i="10" s="1"/>
  <c r="CP377" i="10"/>
  <c r="CQ377" i="10" s="1"/>
  <c r="CR377" i="10" s="1" a="1"/>
  <c r="CR377" i="10" s="1"/>
  <c r="CX370" i="10"/>
  <c r="Z370" i="10" s="1"/>
  <c r="CT354" i="10"/>
  <c r="CU354" i="10" s="1"/>
  <c r="CP355" i="10"/>
  <c r="CQ355" i="10" s="1"/>
  <c r="BT366" i="10"/>
  <c r="BU366" i="10" s="1"/>
  <c r="BV366" i="10" s="1" a="1"/>
  <c r="BV366" i="10" s="1"/>
  <c r="BL366" i="10"/>
  <c r="BM366" i="10" s="1"/>
  <c r="BN366" i="10" s="1" a="1"/>
  <c r="BN366" i="10" s="1"/>
  <c r="CH366" i="10"/>
  <c r="CI366" i="10" s="1"/>
  <c r="CJ366" i="10" s="1" a="1"/>
  <c r="CJ366" i="10" s="1"/>
  <c r="BP366" i="10"/>
  <c r="BQ366" i="10" s="1"/>
  <c r="CH367" i="10"/>
  <c r="CI367" i="10" s="1"/>
  <c r="CJ367" i="10" s="1" a="1"/>
  <c r="CJ367" i="10" s="1"/>
  <c r="CP396" i="10"/>
  <c r="CQ396" i="10" s="1"/>
  <c r="CR396" i="10" s="1" a="1"/>
  <c r="CR396" i="10" s="1"/>
  <c r="CH330" i="10"/>
  <c r="CI330" i="10" s="1"/>
  <c r="CJ330" i="10" s="1" a="1"/>
  <c r="CJ330" i="10" s="1"/>
  <c r="BF340" i="10"/>
  <c r="BL340" i="10" s="1"/>
  <c r="BM340" i="10" s="1"/>
  <c r="BN340" i="10" s="1" a="1"/>
  <c r="BN340" i="10" s="1"/>
  <c r="CJ342" i="10" a="1"/>
  <c r="CJ342" i="10" s="1"/>
  <c r="CE371" i="10"/>
  <c r="CH371" i="10" s="1"/>
  <c r="CI371" i="10" s="1"/>
  <c r="CJ371" i="10" s="1" a="1"/>
  <c r="CJ371" i="10" s="1"/>
  <c r="BQ374" i="10"/>
  <c r="BF374" i="10"/>
  <c r="BL374" i="10" s="1"/>
  <c r="BM374" i="10" s="1"/>
  <c r="BN374" i="10" s="1" a="1"/>
  <c r="BN374" i="10" s="1"/>
  <c r="CE385" i="10"/>
  <c r="CT385" i="10" s="1"/>
  <c r="CU385" i="10" s="1"/>
  <c r="BL357" i="10"/>
  <c r="BM357" i="10" s="1"/>
  <c r="BN357" i="10" s="1" a="1"/>
  <c r="BN357" i="10" s="1"/>
  <c r="CE357" i="10"/>
  <c r="CP357" i="10" s="1"/>
  <c r="CQ357" i="10" s="1"/>
  <c r="CL348" i="10"/>
  <c r="CM348" i="10" s="1"/>
  <c r="CN348" i="10" s="1" a="1"/>
  <c r="CN348" i="10" s="1"/>
  <c r="CT349" i="10"/>
  <c r="CV369" i="10" a="1"/>
  <c r="CV369" i="10" s="1"/>
  <c r="CP378" i="10"/>
  <c r="CQ378" i="10" s="1"/>
  <c r="CR378" i="10" s="1" a="1"/>
  <c r="CR378" i="10" s="1"/>
  <c r="CP386" i="10"/>
  <c r="CQ386" i="10" s="1"/>
  <c r="CV386" i="10" s="1" a="1"/>
  <c r="CV386" i="10" s="1"/>
  <c r="BT387" i="10"/>
  <c r="CE407" i="10"/>
  <c r="CH386" i="10"/>
  <c r="CI386" i="10" s="1"/>
  <c r="CJ386" i="10" s="1" a="1"/>
  <c r="CJ386" i="10" s="1"/>
  <c r="BP411" i="10"/>
  <c r="BQ411" i="10" s="1"/>
  <c r="BR411" i="10" s="1" a="1"/>
  <c r="BR411" i="10" s="1"/>
  <c r="BP375" i="10"/>
  <c r="CH408" i="10"/>
  <c r="CI408" i="10" s="1"/>
  <c r="CJ408" i="10" s="1" a="1"/>
  <c r="CJ408" i="10" s="1"/>
  <c r="CH412" i="10"/>
  <c r="CI412" i="10" s="1"/>
  <c r="CJ412" i="10" s="1" a="1"/>
  <c r="CJ412" i="10" s="1"/>
  <c r="BL417" i="10"/>
  <c r="BM417" i="10" s="1"/>
  <c r="BN417" i="10" s="1" a="1"/>
  <c r="BN417" i="10" s="1"/>
  <c r="BT417" i="10"/>
  <c r="BU417" i="10" s="1"/>
  <c r="BV417" i="10" s="1" a="1"/>
  <c r="BV417" i="10" s="1"/>
  <c r="BP417" i="10"/>
  <c r="BQ417" i="10" s="1"/>
  <c r="CT417" i="10"/>
  <c r="CU417" i="10" s="1"/>
  <c r="CL417" i="10"/>
  <c r="CM417" i="10" s="1"/>
  <c r="BX417" i="10"/>
  <c r="BY417" i="10" s="1"/>
  <c r="BT406" i="10"/>
  <c r="CL374" i="10"/>
  <c r="CM374" i="10" s="1"/>
  <c r="CN374" i="10" s="1" a="1"/>
  <c r="CN374" i="10" s="1"/>
  <c r="BN397" i="10" a="1"/>
  <c r="BN397" i="10" s="1"/>
  <c r="CP403" i="10"/>
  <c r="CQ403" i="10" s="1"/>
  <c r="CR403" i="10" s="1" a="1"/>
  <c r="CR403" i="10" s="1"/>
  <c r="CH364" i="10"/>
  <c r="CI364" i="10" s="1"/>
  <c r="CJ364" i="10" s="1" a="1"/>
  <c r="CJ364" i="10" s="1"/>
  <c r="CL399" i="10"/>
  <c r="CM399" i="10" s="1"/>
  <c r="CN399" i="10" s="1" a="1"/>
  <c r="CN399" i="10" s="1"/>
  <c r="CT353" i="10"/>
  <c r="CU353" i="10" s="1"/>
  <c r="BX411" i="10"/>
  <c r="CT419" i="10"/>
  <c r="CU419" i="10" s="1"/>
  <c r="CP421" i="10"/>
  <c r="CQ421" i="10" s="1"/>
  <c r="CA432" i="10" a="1"/>
  <c r="CA432" i="10" s="1"/>
  <c r="BZ432" i="10" a="1"/>
  <c r="BZ432" i="10" s="1"/>
  <c r="BP407" i="10"/>
  <c r="BQ407" i="10" s="1"/>
  <c r="BR407" i="10" s="1" a="1"/>
  <c r="BR407" i="10" s="1"/>
  <c r="CH417" i="10"/>
  <c r="CI417" i="10" s="1"/>
  <c r="CJ417" i="10" s="1" a="1"/>
  <c r="CJ417" i="10" s="1"/>
  <c r="CH391" i="10"/>
  <c r="CI391" i="10" s="1"/>
  <c r="CJ391" i="10" s="1" a="1"/>
  <c r="CJ391" i="10" s="1"/>
  <c r="BL391" i="10"/>
  <c r="BM391" i="10" s="1"/>
  <c r="BN391" i="10" s="1" a="1"/>
  <c r="BN391" i="10" s="1"/>
  <c r="CE445" i="10"/>
  <c r="CL453" i="10"/>
  <c r="CM453" i="10" s="1"/>
  <c r="CL421" i="10"/>
  <c r="CM421" i="10" s="1"/>
  <c r="CN421" i="10" s="1" a="1"/>
  <c r="CN421" i="10" s="1"/>
  <c r="BF433" i="10"/>
  <c r="BP433" i="10" s="1"/>
  <c r="BQ433" i="10" s="1"/>
  <c r="BR433" i="10" s="1" a="1"/>
  <c r="BR433" i="10" s="1"/>
  <c r="BT410" i="10"/>
  <c r="BU410" i="10" s="1"/>
  <c r="BV410" i="10" s="1" a="1"/>
  <c r="BV410" i="10" s="1"/>
  <c r="BL410" i="10"/>
  <c r="BM410" i="10" s="1"/>
  <c r="BN410" i="10" s="1" a="1"/>
  <c r="BN410" i="10" s="1"/>
  <c r="BP410" i="10"/>
  <c r="BQ410" i="10" s="1"/>
  <c r="CV460" i="10" a="1"/>
  <c r="CV460" i="10" s="1"/>
  <c r="CW460" i="10" a="1"/>
  <c r="CW460" i="10" s="1"/>
  <c r="BR448" i="10" a="1"/>
  <c r="BR448" i="10" s="1"/>
  <c r="CB448" i="10" s="1"/>
  <c r="S448" i="10" s="1"/>
  <c r="CR458" i="10" a="1"/>
  <c r="CR458" i="10" s="1"/>
  <c r="BZ496" i="10" a="1"/>
  <c r="BZ496" i="10" s="1"/>
  <c r="CA496" i="10" a="1"/>
  <c r="CA496" i="10" s="1"/>
  <c r="CN450" i="10" a="1"/>
  <c r="CN450" i="10" s="1"/>
  <c r="CX438" i="10"/>
  <c r="Z438" i="10" s="1"/>
  <c r="BZ456" i="10" a="1"/>
  <c r="BZ456" i="10" s="1"/>
  <c r="CA456" i="10" a="1"/>
  <c r="CA456" i="10" s="1"/>
  <c r="BZ437" i="10" a="1"/>
  <c r="BZ437" i="10" s="1"/>
  <c r="CA437" i="10" a="1"/>
  <c r="CA437" i="10" s="1"/>
  <c r="CA500" i="10" a="1"/>
  <c r="CA500" i="10" s="1"/>
  <c r="CA532" i="10" a="1"/>
  <c r="CA532" i="10" s="1"/>
  <c r="CV543" i="10" a="1"/>
  <c r="CV543" i="10" s="1"/>
  <c r="CW543" i="10" a="1"/>
  <c r="CW543" i="10" s="1"/>
  <c r="CV558" i="10" a="1"/>
  <c r="CV558" i="10" s="1"/>
  <c r="CW558" i="10" a="1"/>
  <c r="CW558" i="10" s="1"/>
  <c r="CV596" i="10" a="1"/>
  <c r="CV596" i="10" s="1"/>
  <c r="CW596" i="10" a="1"/>
  <c r="CW596" i="10" s="1"/>
  <c r="CW626" i="10" a="1"/>
  <c r="CW626" i="10" s="1"/>
  <c r="CW642" i="10" a="1"/>
  <c r="CW642" i="10" s="1"/>
  <c r="CV642" i="10" a="1"/>
  <c r="CV642" i="10" s="1"/>
  <c r="CV654" i="10" a="1"/>
  <c r="CV654" i="10" s="1"/>
  <c r="CW654" i="10" a="1"/>
  <c r="CW654" i="10" s="1"/>
  <c r="BV663" i="10" a="1"/>
  <c r="BV663" i="10" s="1"/>
  <c r="CA626" i="10" a="1"/>
  <c r="CA626" i="10" s="1"/>
  <c r="CA704" i="10" a="1"/>
  <c r="CA704" i="10" s="1"/>
  <c r="CV669" i="10" a="1"/>
  <c r="CV669" i="10" s="1"/>
  <c r="CW669" i="10" a="1"/>
  <c r="CW669" i="10" s="1"/>
  <c r="CN654" i="10" a="1"/>
  <c r="CN654" i="10" s="1"/>
  <c r="CV675" i="10" a="1"/>
  <c r="CV675" i="10" s="1"/>
  <c r="CW675" i="10" a="1"/>
  <c r="CW675" i="10" s="1"/>
  <c r="CN716" i="10" a="1"/>
  <c r="CN716" i="10" s="1"/>
  <c r="CJ716" i="10" a="1"/>
  <c r="CJ716" i="10" s="1"/>
  <c r="BF124" i="10"/>
  <c r="BT124" i="10" s="1"/>
  <c r="BU124" i="10" s="1"/>
  <c r="CH128" i="10"/>
  <c r="CI128" i="10" s="1"/>
  <c r="CJ128" i="10" s="1" a="1"/>
  <c r="CJ128" i="10" s="1"/>
  <c r="CP129" i="10"/>
  <c r="CQ129" i="10" s="1"/>
  <c r="CH130" i="10"/>
  <c r="CI130" i="10" s="1"/>
  <c r="CJ130" i="10" s="1" a="1"/>
  <c r="CJ130" i="10" s="1"/>
  <c r="BL130" i="10"/>
  <c r="BM130" i="10" s="1"/>
  <c r="BN130" i="10" s="1" a="1"/>
  <c r="BN130" i="10" s="1"/>
  <c r="BL126" i="10"/>
  <c r="BM126" i="10" s="1"/>
  <c r="BN126" i="10" s="1" a="1"/>
  <c r="BN126" i="10" s="1"/>
  <c r="BT126" i="10"/>
  <c r="BU126" i="10" s="1"/>
  <c r="BZ126" i="10" s="1" a="1"/>
  <c r="BZ126" i="10" s="1"/>
  <c r="CH126" i="10"/>
  <c r="CI126" i="10" s="1"/>
  <c r="CJ126" i="10" s="1" a="1"/>
  <c r="CJ126" i="10" s="1"/>
  <c r="BP126" i="10"/>
  <c r="BQ126" i="10" s="1"/>
  <c r="BR126" i="10" s="1" a="1"/>
  <c r="BR126" i="10" s="1"/>
  <c r="CE137" i="10"/>
  <c r="CP137" i="10" s="1"/>
  <c r="CQ137" i="10" s="1"/>
  <c r="CH127" i="10"/>
  <c r="CI127" i="10" s="1"/>
  <c r="CJ127" i="10" s="1" a="1"/>
  <c r="CJ127" i="10" s="1"/>
  <c r="CT132" i="10"/>
  <c r="CU132" i="10" s="1"/>
  <c r="BN137" i="10" a="1"/>
  <c r="BN137" i="10" s="1"/>
  <c r="CT125" i="10"/>
  <c r="CU125" i="10" s="1"/>
  <c r="BF139" i="10"/>
  <c r="CE135" i="10"/>
  <c r="CT135" i="10" s="1"/>
  <c r="CU135" i="10" s="1"/>
  <c r="CP135" i="10"/>
  <c r="CQ135" i="10" s="1"/>
  <c r="BL138" i="10"/>
  <c r="BM138" i="10" s="1"/>
  <c r="BN138" i="10" s="1" a="1"/>
  <c r="BN138" i="10" s="1"/>
  <c r="BL137" i="10"/>
  <c r="BM137" i="10" s="1"/>
  <c r="CL144" i="10"/>
  <c r="CM144" i="10" s="1"/>
  <c r="CN144" i="10" s="1" a="1"/>
  <c r="CN144" i="10" s="1"/>
  <c r="BX145" i="10"/>
  <c r="BY145" i="10" s="1"/>
  <c r="CI143" i="10"/>
  <c r="CJ143" i="10" s="1" a="1"/>
  <c r="CJ143" i="10" s="1"/>
  <c r="CE143" i="10"/>
  <c r="CH143" i="10" s="1"/>
  <c r="CJ146" i="10" a="1"/>
  <c r="CJ146" i="10" s="1"/>
  <c r="BP145" i="10"/>
  <c r="BQ145" i="10" s="1"/>
  <c r="BR145" i="10" s="1" a="1"/>
  <c r="BR145" i="10" s="1"/>
  <c r="CL143" i="10"/>
  <c r="CM143" i="10" s="1"/>
  <c r="CN143" i="10" s="1" a="1"/>
  <c r="CN143" i="10" s="1"/>
  <c r="BP156" i="10"/>
  <c r="BL155" i="10"/>
  <c r="BM155" i="10" s="1"/>
  <c r="BN155" i="10" s="1" a="1"/>
  <c r="BN155" i="10" s="1"/>
  <c r="CH155" i="10"/>
  <c r="CI155" i="10" s="1"/>
  <c r="CJ155" i="10" s="1" a="1"/>
  <c r="CJ155" i="10" s="1"/>
  <c r="BF151" i="10"/>
  <c r="BP151" i="10" s="1"/>
  <c r="BQ151" i="10" s="1"/>
  <c r="BR151" i="10" s="1" a="1"/>
  <c r="BR151" i="10" s="1"/>
  <c r="BM151" i="10"/>
  <c r="BN151" i="10" s="1" a="1"/>
  <c r="BN151" i="10" s="1"/>
  <c r="BF134" i="10"/>
  <c r="BL134" i="10" s="1"/>
  <c r="BM134" i="10" s="1"/>
  <c r="BN134" i="10" s="1" a="1"/>
  <c r="BN134" i="10" s="1"/>
  <c r="BT157" i="10"/>
  <c r="BU157" i="10" s="1"/>
  <c r="BV157" i="10" s="1" a="1"/>
  <c r="BV157" i="10" s="1"/>
  <c r="BT162" i="10"/>
  <c r="BU162" i="10" s="1"/>
  <c r="BV162" i="10" s="1" a="1"/>
  <c r="BV162" i="10" s="1"/>
  <c r="CP169" i="10"/>
  <c r="CQ169" i="10" s="1"/>
  <c r="CR169" i="10" s="1" a="1"/>
  <c r="CR169" i="10" s="1"/>
  <c r="CE166" i="10"/>
  <c r="CP166" i="10" s="1"/>
  <c r="CQ166" i="10" s="1"/>
  <c r="CR166" i="10" s="1" a="1"/>
  <c r="CR166" i="10" s="1"/>
  <c r="CT166" i="10"/>
  <c r="CU166" i="10" s="1"/>
  <c r="BT170" i="10"/>
  <c r="BU170" i="10" s="1"/>
  <c r="BV170" i="10" s="1" a="1"/>
  <c r="BV170" i="10" s="1"/>
  <c r="BT178" i="10"/>
  <c r="BU178" i="10" s="1"/>
  <c r="BN186" i="10" a="1"/>
  <c r="BN186" i="10" s="1"/>
  <c r="BT186" i="10"/>
  <c r="BU186" i="10" s="1"/>
  <c r="CT160" i="10"/>
  <c r="CU160" i="10" s="1"/>
  <c r="BX160" i="10"/>
  <c r="BY160" i="10" s="1"/>
  <c r="CT188" i="10"/>
  <c r="BP186" i="10"/>
  <c r="BQ186" i="10" s="1"/>
  <c r="BR186" i="10" s="1" a="1"/>
  <c r="BR186" i="10" s="1"/>
  <c r="CL187" i="10"/>
  <c r="CM187" i="10" s="1"/>
  <c r="CN187" i="10" s="1" a="1"/>
  <c r="CN187" i="10" s="1"/>
  <c r="CQ188" i="10"/>
  <c r="CE188" i="10"/>
  <c r="CH188" i="10" s="1"/>
  <c r="CI188" i="10" s="1"/>
  <c r="CJ188" i="10" s="1" a="1"/>
  <c r="CJ188" i="10" s="1"/>
  <c r="CU188" i="10"/>
  <c r="BP175" i="10"/>
  <c r="BQ175" i="10" s="1"/>
  <c r="BT194" i="10"/>
  <c r="BU194" i="10" s="1"/>
  <c r="BV194" i="10" s="1" a="1"/>
  <c r="BV194" i="10" s="1"/>
  <c r="CL196" i="10"/>
  <c r="CM196" i="10" s="1"/>
  <c r="BF173" i="10"/>
  <c r="BP173" i="10" s="1"/>
  <c r="BQ173" i="10" s="1"/>
  <c r="BX168" i="10"/>
  <c r="BY168" i="10" s="1"/>
  <c r="BF200" i="10"/>
  <c r="BP200" i="10" s="1"/>
  <c r="BQ200" i="10" s="1"/>
  <c r="BY200" i="10"/>
  <c r="CE193" i="10"/>
  <c r="CL193" i="10" s="1"/>
  <c r="CM193" i="10" s="1"/>
  <c r="CQ193" i="10"/>
  <c r="BT197" i="10"/>
  <c r="BU197" i="10" s="1"/>
  <c r="BV197" i="10" s="1" a="1"/>
  <c r="BV197" i="10" s="1"/>
  <c r="BX197" i="10"/>
  <c r="CP199" i="10"/>
  <c r="CQ199" i="10" s="1"/>
  <c r="CR199" i="10" s="1" a="1"/>
  <c r="CR199" i="10" s="1"/>
  <c r="CL214" i="10"/>
  <c r="CM214" i="10" s="1"/>
  <c r="CL197" i="10"/>
  <c r="BP203" i="10"/>
  <c r="BQ203" i="10" s="1"/>
  <c r="BR203" i="10" s="1" a="1"/>
  <c r="BR203" i="10" s="1"/>
  <c r="CP198" i="10"/>
  <c r="CQ198" i="10" s="1"/>
  <c r="CP218" i="10"/>
  <c r="CQ218" i="10" s="1"/>
  <c r="CL226" i="10"/>
  <c r="CM226" i="10" s="1"/>
  <c r="BL219" i="10"/>
  <c r="BM219" i="10" s="1"/>
  <c r="BN219" i="10" s="1" a="1"/>
  <c r="BN219" i="10" s="1"/>
  <c r="CH219" i="10"/>
  <c r="CI219" i="10" s="1"/>
  <c r="CJ219" i="10" s="1" a="1"/>
  <c r="CJ219" i="10" s="1"/>
  <c r="CP219" i="10"/>
  <c r="CQ219" i="10" s="1"/>
  <c r="CR219" i="10" s="1" a="1"/>
  <c r="CR219" i="10" s="1"/>
  <c r="BT219" i="10"/>
  <c r="BU219" i="10" s="1"/>
  <c r="BV219" i="10" s="1" a="1"/>
  <c r="BV219" i="10" s="1"/>
  <c r="CL219" i="10"/>
  <c r="CM219" i="10" s="1"/>
  <c r="CT219" i="10"/>
  <c r="CU219" i="10" s="1"/>
  <c r="CT228" i="10"/>
  <c r="CU228" i="10" s="1"/>
  <c r="BL235" i="10"/>
  <c r="BM235" i="10" s="1"/>
  <c r="BN235" i="10" s="1" a="1"/>
  <c r="BN235" i="10" s="1"/>
  <c r="BP235" i="10"/>
  <c r="BQ235" i="10" s="1"/>
  <c r="CH235" i="10"/>
  <c r="CI235" i="10" s="1"/>
  <c r="CJ235" i="10" s="1" a="1"/>
  <c r="CJ235" i="10" s="1"/>
  <c r="CT235" i="10"/>
  <c r="CU235" i="10" s="1"/>
  <c r="BL229" i="10"/>
  <c r="BM229" i="10" s="1"/>
  <c r="BN229" i="10" s="1" a="1"/>
  <c r="BN229" i="10" s="1"/>
  <c r="CH229" i="10"/>
  <c r="CI229" i="10" s="1"/>
  <c r="CJ229" i="10" s="1" a="1"/>
  <c r="CJ229" i="10" s="1"/>
  <c r="CT229" i="10"/>
  <c r="CU229" i="10" s="1"/>
  <c r="BX229" i="10"/>
  <c r="BY229" i="10" s="1"/>
  <c r="CL229" i="10"/>
  <c r="CM229" i="10" s="1"/>
  <c r="CN229" i="10" s="1" a="1"/>
  <c r="CN229" i="10" s="1"/>
  <c r="BP229" i="10"/>
  <c r="BQ229" i="10" s="1"/>
  <c r="BR229" i="10" s="1" a="1"/>
  <c r="BR229" i="10" s="1"/>
  <c r="CE232" i="10"/>
  <c r="CP232" i="10" s="1"/>
  <c r="CQ232" i="10" s="1"/>
  <c r="BL231" i="10"/>
  <c r="BM231" i="10" s="1"/>
  <c r="BN231" i="10" s="1" a="1"/>
  <c r="BN231" i="10" s="1"/>
  <c r="BT234" i="10"/>
  <c r="BU234" i="10" s="1"/>
  <c r="CP247" i="10"/>
  <c r="CQ247" i="10" s="1"/>
  <c r="BP245" i="10"/>
  <c r="BQ245" i="10" s="1"/>
  <c r="BR245" i="10" s="1" a="1"/>
  <c r="BR245" i="10" s="1"/>
  <c r="CL225" i="10"/>
  <c r="CM225" i="10" s="1"/>
  <c r="CN225" i="10" s="1" a="1"/>
  <c r="CN225" i="10" s="1"/>
  <c r="BF234" i="10"/>
  <c r="BL234" i="10" s="1"/>
  <c r="BM234" i="10" s="1"/>
  <c r="BN234" i="10" s="1" a="1"/>
  <c r="BN234" i="10" s="1"/>
  <c r="BT245" i="10"/>
  <c r="BU245" i="10" s="1"/>
  <c r="CL239" i="10"/>
  <c r="CM239" i="10" s="1"/>
  <c r="CH216" i="10"/>
  <c r="CI216" i="10" s="1"/>
  <c r="CJ216" i="10" s="1" a="1"/>
  <c r="CJ216" i="10" s="1"/>
  <c r="BL216" i="10"/>
  <c r="BM216" i="10" s="1"/>
  <c r="BN216" i="10" s="1" a="1"/>
  <c r="BN216" i="10" s="1"/>
  <c r="BX225" i="10"/>
  <c r="BY225" i="10" s="1"/>
  <c r="CT224" i="10"/>
  <c r="CU224" i="10" s="1"/>
  <c r="BT229" i="10"/>
  <c r="BU229" i="10" s="1"/>
  <c r="BV229" i="10" s="1" a="1"/>
  <c r="BV229" i="10" s="1"/>
  <c r="BX243" i="10"/>
  <c r="BY243" i="10" s="1"/>
  <c r="CL263" i="10"/>
  <c r="CM263" i="10" s="1"/>
  <c r="CN263" i="10" s="1" a="1"/>
  <c r="CN263" i="10" s="1"/>
  <c r="CP267" i="10"/>
  <c r="CQ267" i="10" s="1"/>
  <c r="CR267" i="10" s="1" a="1"/>
  <c r="CR267" i="10" s="1"/>
  <c r="CL240" i="10"/>
  <c r="CM240" i="10" s="1"/>
  <c r="CN240" i="10" s="1" a="1"/>
  <c r="CN240" i="10" s="1"/>
  <c r="BX252" i="10"/>
  <c r="BY252" i="10" s="1"/>
  <c r="BX245" i="10"/>
  <c r="BY245" i="10" s="1"/>
  <c r="BT253" i="10"/>
  <c r="BU253" i="10" s="1"/>
  <c r="BV253" i="10" s="1" a="1"/>
  <c r="BV253" i="10" s="1"/>
  <c r="CE253" i="10"/>
  <c r="CL253" i="10" s="1"/>
  <c r="CM253" i="10" s="1"/>
  <c r="CE257" i="10"/>
  <c r="CT257" i="10" s="1"/>
  <c r="CU257" i="10" s="1"/>
  <c r="CI257" i="10"/>
  <c r="CJ257" i="10" s="1" a="1"/>
  <c r="CJ257" i="10" s="1"/>
  <c r="BT268" i="10"/>
  <c r="BU268" i="10" s="1"/>
  <c r="BF251" i="10"/>
  <c r="BL251" i="10" s="1"/>
  <c r="BM251" i="10" s="1"/>
  <c r="BN251" i="10" s="1" a="1"/>
  <c r="BN251" i="10" s="1"/>
  <c r="CL252" i="10"/>
  <c r="CM252" i="10" s="1"/>
  <c r="CN252" i="10" s="1" a="1"/>
  <c r="CN252" i="10" s="1"/>
  <c r="CH265" i="10"/>
  <c r="CI265" i="10" s="1"/>
  <c r="CJ265" i="10" s="1" a="1"/>
  <c r="CJ265" i="10" s="1"/>
  <c r="BL265" i="10"/>
  <c r="BM265" i="10" s="1"/>
  <c r="BN265" i="10" s="1" a="1"/>
  <c r="BN265" i="10" s="1"/>
  <c r="CL265" i="10"/>
  <c r="CM265" i="10" s="1"/>
  <c r="CN265" i="10" s="1" a="1"/>
  <c r="CN265" i="10" s="1"/>
  <c r="CP261" i="10"/>
  <c r="BP277" i="10"/>
  <c r="BQ277" i="10" s="1"/>
  <c r="BL277" i="10"/>
  <c r="BM277" i="10" s="1"/>
  <c r="BN277" i="10" s="1" a="1"/>
  <c r="BN277" i="10" s="1"/>
  <c r="BZ282" i="10" a="1"/>
  <c r="BZ282" i="10" s="1"/>
  <c r="CB282" i="10" s="1"/>
  <c r="S282" i="10" s="1"/>
  <c r="CT262" i="10"/>
  <c r="CU262" i="10" s="1"/>
  <c r="BF293" i="10"/>
  <c r="BP293" i="10" s="1"/>
  <c r="BQ293" i="10" s="1"/>
  <c r="BT271" i="10"/>
  <c r="BU271" i="10" s="1"/>
  <c r="BV271" i="10" s="1" a="1"/>
  <c r="BV271" i="10" s="1"/>
  <c r="CT256" i="10"/>
  <c r="CU256" i="10" s="1"/>
  <c r="CL286" i="10"/>
  <c r="CJ309" i="10" a="1"/>
  <c r="CJ309" i="10" s="1"/>
  <c r="CP312" i="10"/>
  <c r="CQ312" i="10" s="1"/>
  <c r="CR312" i="10" s="1" a="1"/>
  <c r="CR312" i="10" s="1"/>
  <c r="CE298" i="10"/>
  <c r="CP298" i="10" s="1"/>
  <c r="CQ298" i="10" s="1"/>
  <c r="CE310" i="10"/>
  <c r="CL310" i="10" s="1"/>
  <c r="CM310" i="10" s="1"/>
  <c r="CL313" i="10"/>
  <c r="CM313" i="10" s="1"/>
  <c r="CP260" i="10"/>
  <c r="CQ260" i="10" s="1"/>
  <c r="CR260" i="10" s="1" a="1"/>
  <c r="CR260" i="10" s="1"/>
  <c r="BL297" i="10"/>
  <c r="BM297" i="10" s="1"/>
  <c r="BN297" i="10" s="1" a="1"/>
  <c r="BN297" i="10" s="1"/>
  <c r="CH297" i="10"/>
  <c r="CI297" i="10" s="1"/>
  <c r="CJ297" i="10" s="1" a="1"/>
  <c r="CJ297" i="10" s="1"/>
  <c r="BT297" i="10"/>
  <c r="BU297" i="10" s="1"/>
  <c r="BP304" i="10"/>
  <c r="BQ304" i="10" s="1"/>
  <c r="BR304" i="10" s="1" a="1"/>
  <c r="BR304" i="10" s="1"/>
  <c r="BL280" i="10"/>
  <c r="CH280" i="10"/>
  <c r="CI280" i="10" s="1"/>
  <c r="CN280" i="10" s="1" a="1"/>
  <c r="CN280" i="10" s="1"/>
  <c r="BP280" i="10"/>
  <c r="BQ280" i="10" s="1"/>
  <c r="BR280" i="10" s="1" a="1"/>
  <c r="BR280" i="10" s="1"/>
  <c r="BF298" i="10"/>
  <c r="BT298" i="10" s="1"/>
  <c r="BU298" i="10" s="1"/>
  <c r="BT306" i="10"/>
  <c r="BU306" i="10" s="1"/>
  <c r="BV306" i="10" s="1" a="1"/>
  <c r="BV306" i="10" s="1"/>
  <c r="BP312" i="10"/>
  <c r="BQ312" i="10" s="1"/>
  <c r="BR312" i="10" s="1" a="1"/>
  <c r="BR312" i="10" s="1"/>
  <c r="BT252" i="10"/>
  <c r="BU252" i="10" s="1"/>
  <c r="BV252" i="10" s="1" a="1"/>
  <c r="BV252" i="10" s="1"/>
  <c r="BP279" i="10"/>
  <c r="BQ279" i="10" s="1"/>
  <c r="BR279" i="10" s="1" a="1"/>
  <c r="BR279" i="10" s="1"/>
  <c r="BL284" i="10"/>
  <c r="BM284" i="10" s="1"/>
  <c r="BR284" i="10" s="1" a="1"/>
  <c r="BR284" i="10" s="1"/>
  <c r="BX288" i="10"/>
  <c r="BY288" i="10" s="1"/>
  <c r="CL292" i="10"/>
  <c r="CH305" i="10"/>
  <c r="CI305" i="10" s="1"/>
  <c r="CJ305" i="10" s="1" a="1"/>
  <c r="CJ305" i="10" s="1"/>
  <c r="CL315" i="10"/>
  <c r="CM315" i="10" s="1"/>
  <c r="CN315" i="10" s="1" a="1"/>
  <c r="CN315" i="10" s="1"/>
  <c r="CH327" i="10"/>
  <c r="CI327" i="10" s="1"/>
  <c r="CJ327" i="10" s="1" a="1"/>
  <c r="CJ327" i="10" s="1"/>
  <c r="CL327" i="10"/>
  <c r="CM327" i="10" s="1"/>
  <c r="CN327" i="10" s="1" a="1"/>
  <c r="CN327" i="10" s="1"/>
  <c r="BT337" i="10"/>
  <c r="BU337" i="10" s="1"/>
  <c r="BV337" i="10" s="1" a="1"/>
  <c r="BV337" i="10" s="1"/>
  <c r="CH347" i="10"/>
  <c r="BL347" i="10"/>
  <c r="BM347" i="10" s="1"/>
  <c r="BN347" i="10" s="1" a="1"/>
  <c r="BN347" i="10" s="1"/>
  <c r="BL320" i="10"/>
  <c r="BM320" i="10" s="1"/>
  <c r="BN320" i="10" s="1" a="1"/>
  <c r="BN320" i="10" s="1"/>
  <c r="CH320" i="10"/>
  <c r="CI320" i="10" s="1"/>
  <c r="CJ320" i="10" s="1" a="1"/>
  <c r="CJ320" i="10" s="1"/>
  <c r="BX320" i="10"/>
  <c r="BY320" i="10" s="1"/>
  <c r="CL347" i="10"/>
  <c r="CM347" i="10" s="1"/>
  <c r="CN347" i="10" s="1" a="1"/>
  <c r="CN347" i="10" s="1"/>
  <c r="CL323" i="10"/>
  <c r="CM323" i="10" s="1"/>
  <c r="CN323" i="10" s="1" a="1"/>
  <c r="CN323" i="10" s="1"/>
  <c r="CH323" i="10"/>
  <c r="CI323" i="10" s="1"/>
  <c r="CJ323" i="10" s="1" a="1"/>
  <c r="CJ323" i="10" s="1"/>
  <c r="BT330" i="10"/>
  <c r="BU330" i="10" s="1"/>
  <c r="BV330" i="10" s="1" a="1"/>
  <c r="BV330" i="10" s="1"/>
  <c r="BT301" i="10"/>
  <c r="BU301" i="10" s="1"/>
  <c r="CP344" i="10"/>
  <c r="CQ344" i="10" s="1"/>
  <c r="CR344" i="10" s="1" a="1"/>
  <c r="CR344" i="10" s="1"/>
  <c r="BX346" i="10"/>
  <c r="BY346" i="10" s="1"/>
  <c r="BZ365" i="10" a="1"/>
  <c r="BZ365" i="10" s="1"/>
  <c r="BP338" i="10"/>
  <c r="BQ338" i="10" s="1"/>
  <c r="BR338" i="10" s="1" a="1"/>
  <c r="BR338" i="10" s="1"/>
  <c r="CT347" i="10"/>
  <c r="CU347" i="10" s="1"/>
  <c r="BT365" i="10"/>
  <c r="BU365" i="10" s="1"/>
  <c r="BV365" i="10" s="1" a="1"/>
  <c r="BV365" i="10" s="1"/>
  <c r="CH319" i="10"/>
  <c r="CI319" i="10" s="1"/>
  <c r="CJ319" i="10" s="1" a="1"/>
  <c r="CJ319" i="10" s="1"/>
  <c r="CL352" i="10"/>
  <c r="CM352" i="10" s="1"/>
  <c r="CN352" i="10" s="1" a="1"/>
  <c r="CN352" i="10" s="1"/>
  <c r="CP345" i="10"/>
  <c r="CQ345" i="10" s="1"/>
  <c r="CR345" i="10" s="1" a="1"/>
  <c r="CR345" i="10" s="1"/>
  <c r="CT345" i="10"/>
  <c r="CU345" i="10" s="1"/>
  <c r="CL346" i="10"/>
  <c r="CM346" i="10" s="1"/>
  <c r="CN346" i="10" s="1" a="1"/>
  <c r="CN346" i="10" s="1"/>
  <c r="CH355" i="10"/>
  <c r="CI355" i="10" s="1"/>
  <c r="CJ355" i="10" s="1" a="1"/>
  <c r="CJ355" i="10" s="1"/>
  <c r="BL355" i="10"/>
  <c r="BM355" i="10" s="1"/>
  <c r="BN355" i="10" s="1" a="1"/>
  <c r="BN355" i="10" s="1"/>
  <c r="CL366" i="10"/>
  <c r="CM366" i="10" s="1"/>
  <c r="CN366" i="10" s="1" a="1"/>
  <c r="CN366" i="10" s="1"/>
  <c r="CJ369" i="10" a="1"/>
  <c r="CJ369" i="10" s="1"/>
  <c r="CX369" i="10" s="1"/>
  <c r="Z369" i="10" s="1"/>
  <c r="BL336" i="10"/>
  <c r="BM336" i="10" s="1"/>
  <c r="BN336" i="10" s="1" a="1"/>
  <c r="BN336" i="10" s="1"/>
  <c r="BX339" i="10"/>
  <c r="BY339" i="10" s="1"/>
  <c r="CE340" i="10"/>
  <c r="CL340" i="10" s="1"/>
  <c r="CM340" i="10" s="1"/>
  <c r="CP346" i="10"/>
  <c r="CQ346" i="10" s="1"/>
  <c r="CR346" i="10" s="1" a="1"/>
  <c r="CR346" i="10" s="1"/>
  <c r="BL350" i="10"/>
  <c r="BM350" i="10" s="1"/>
  <c r="BN350" i="10" s="1" a="1"/>
  <c r="BN350" i="10" s="1"/>
  <c r="BT350" i="10"/>
  <c r="BU350" i="10" s="1"/>
  <c r="CH350" i="10"/>
  <c r="CI350" i="10" s="1"/>
  <c r="CJ350" i="10" s="1" a="1"/>
  <c r="CJ350" i="10" s="1"/>
  <c r="BP350" i="10"/>
  <c r="BQ350" i="10" s="1"/>
  <c r="BX357" i="10"/>
  <c r="BY357" i="10" s="1"/>
  <c r="CE359" i="10"/>
  <c r="CL359" i="10" s="1"/>
  <c r="CM359" i="10" s="1"/>
  <c r="BF349" i="10"/>
  <c r="BX349" i="10" s="1"/>
  <c r="BY349" i="10" s="1"/>
  <c r="CU361" i="10"/>
  <c r="CE361" i="10"/>
  <c r="CT361" i="10" s="1"/>
  <c r="BF367" i="10"/>
  <c r="BX367" i="10" s="1"/>
  <c r="BY367" i="10" s="1"/>
  <c r="CP374" i="10"/>
  <c r="CQ374" i="10" s="1"/>
  <c r="CR374" i="10" s="1" a="1"/>
  <c r="CR374" i="10" s="1"/>
  <c r="CP379" i="10"/>
  <c r="CQ379" i="10" s="1"/>
  <c r="BL384" i="10"/>
  <c r="BM384" i="10" s="1"/>
  <c r="BN384" i="10" s="1" a="1"/>
  <c r="BN384" i="10" s="1"/>
  <c r="CH384" i="10"/>
  <c r="CI384" i="10" s="1"/>
  <c r="CJ384" i="10" s="1" a="1"/>
  <c r="CJ384" i="10" s="1"/>
  <c r="BP384" i="10"/>
  <c r="BQ384" i="10" s="1"/>
  <c r="BT384" i="10"/>
  <c r="BU384" i="10" s="1"/>
  <c r="BV384" i="10" s="1" a="1"/>
  <c r="BV384" i="10" s="1"/>
  <c r="BX374" i="10"/>
  <c r="BY374" i="10" s="1"/>
  <c r="BL395" i="10"/>
  <c r="BM395" i="10" s="1"/>
  <c r="BN395" i="10" s="1" a="1"/>
  <c r="BN395" i="10" s="1"/>
  <c r="BL403" i="10"/>
  <c r="BM403" i="10" s="1"/>
  <c r="BN403" i="10" s="1" a="1"/>
  <c r="BN403" i="10" s="1"/>
  <c r="CL407" i="10"/>
  <c r="CM407" i="10" s="1"/>
  <c r="CL382" i="10"/>
  <c r="CM382" i="10" s="1"/>
  <c r="CN382" i="10" s="1" a="1"/>
  <c r="CN382" i="10" s="1"/>
  <c r="CT409" i="10"/>
  <c r="CU409" i="10" s="1"/>
  <c r="BX409" i="10"/>
  <c r="BY409" i="10" s="1"/>
  <c r="BP409" i="10"/>
  <c r="BQ409" i="10" s="1"/>
  <c r="CL409" i="10"/>
  <c r="CM409" i="10" s="1"/>
  <c r="CT413" i="10"/>
  <c r="CU413" i="10" s="1"/>
  <c r="BX413" i="10"/>
  <c r="BY413" i="10" s="1"/>
  <c r="CL413" i="10"/>
  <c r="CM413" i="10" s="1"/>
  <c r="CN413" i="10" s="1" a="1"/>
  <c r="CN413" i="10" s="1"/>
  <c r="BL413" i="10"/>
  <c r="BM413" i="10" s="1"/>
  <c r="BN413" i="10" s="1" a="1"/>
  <c r="BN413" i="10" s="1"/>
  <c r="CE418" i="10"/>
  <c r="BL389" i="10"/>
  <c r="BM389" i="10" s="1"/>
  <c r="BN389" i="10" s="1" a="1"/>
  <c r="BN389" i="10" s="1"/>
  <c r="CP375" i="10"/>
  <c r="CQ375" i="10" s="1"/>
  <c r="BT390" i="10"/>
  <c r="BU390" i="10" s="1"/>
  <c r="BV390" i="10" s="1" a="1"/>
  <c r="BV390" i="10" s="1"/>
  <c r="CE393" i="10"/>
  <c r="CT393" i="10" s="1"/>
  <c r="CU393" i="10" s="1"/>
  <c r="CJ395" i="10" a="1"/>
  <c r="CJ395" i="10" s="1"/>
  <c r="BT399" i="10"/>
  <c r="BU399" i="10" s="1"/>
  <c r="BV399" i="10" s="1" a="1"/>
  <c r="BV399" i="10" s="1"/>
  <c r="BX406" i="10"/>
  <c r="BY406" i="10" s="1"/>
  <c r="CT346" i="10"/>
  <c r="CU346" i="10" s="1"/>
  <c r="CL372" i="10"/>
  <c r="CM372" i="10" s="1"/>
  <c r="CN372" i="10" s="1" a="1"/>
  <c r="CN372" i="10" s="1"/>
  <c r="BF391" i="10"/>
  <c r="BT391" i="10" s="1"/>
  <c r="BU391" i="10" s="1"/>
  <c r="CL395" i="10"/>
  <c r="CM395" i="10" s="1"/>
  <c r="CN395" i="10" s="1" a="1"/>
  <c r="CN395" i="10" s="1"/>
  <c r="BL404" i="10"/>
  <c r="BM404" i="10" s="1"/>
  <c r="BR404" i="10" s="1" a="1"/>
  <c r="BR404" i="10" s="1"/>
  <c r="CH404" i="10"/>
  <c r="CI404" i="10" s="1"/>
  <c r="CJ404" i="10" s="1" a="1"/>
  <c r="CJ404" i="10" s="1"/>
  <c r="BT404" i="10"/>
  <c r="BU404" i="10" s="1"/>
  <c r="BV404" i="10" s="1" a="1"/>
  <c r="BV404" i="10" s="1"/>
  <c r="CP409" i="10"/>
  <c r="CQ409" i="10" s="1"/>
  <c r="CR409" i="10" s="1" a="1"/>
  <c r="CR409" i="10" s="1"/>
  <c r="CP416" i="10"/>
  <c r="CQ416" i="10" s="1"/>
  <c r="CR416" i="10" s="1" a="1"/>
  <c r="CR416" i="10" s="1"/>
  <c r="BT392" i="10"/>
  <c r="BU392" i="10" s="1"/>
  <c r="BV392" i="10" s="1" a="1"/>
  <c r="BV392" i="10" s="1"/>
  <c r="BT411" i="10"/>
  <c r="BU411" i="10" s="1"/>
  <c r="BV411" i="10" s="1" a="1"/>
  <c r="BV411" i="10" s="1"/>
  <c r="BZ422" i="10" a="1"/>
  <c r="BZ422" i="10" s="1"/>
  <c r="CA422" i="10" a="1"/>
  <c r="CA422" i="10" s="1"/>
  <c r="BL409" i="10"/>
  <c r="BM409" i="10" s="1"/>
  <c r="BN409" i="10" s="1" a="1"/>
  <c r="BN409" i="10" s="1"/>
  <c r="CL386" i="10"/>
  <c r="CM386" i="10" s="1"/>
  <c r="CN386" i="10" s="1" a="1"/>
  <c r="CN386" i="10" s="1"/>
  <c r="BT396" i="10"/>
  <c r="BU396" i="10" s="1"/>
  <c r="BV396" i="10" s="1" a="1"/>
  <c r="BV396" i="10" s="1"/>
  <c r="CL445" i="10"/>
  <c r="CM445" i="10" s="1"/>
  <c r="CE394" i="10"/>
  <c r="CL394" i="10" s="1"/>
  <c r="CM394" i="10" s="1"/>
  <c r="CA426" i="10" a="1"/>
  <c r="CA426" i="10" s="1"/>
  <c r="BZ426" i="10" a="1"/>
  <c r="BZ426" i="10" s="1"/>
  <c r="CV439" i="10" a="1"/>
  <c r="CV439" i="10" s="1"/>
  <c r="CW439" i="10" a="1"/>
  <c r="CW439" i="10" s="1"/>
  <c r="CA452" i="10" a="1"/>
  <c r="CA452" i="10" s="1"/>
  <c r="BZ463" i="10" a="1"/>
  <c r="BZ463" i="10" s="1"/>
  <c r="CA463" i="10" a="1"/>
  <c r="CA463" i="10" s="1"/>
  <c r="CA476" i="10" a="1"/>
  <c r="CA476" i="10" s="1"/>
  <c r="CR465" i="10" a="1"/>
  <c r="CR465" i="10" s="1"/>
  <c r="BZ414" i="10" a="1"/>
  <c r="BZ414" i="10" s="1"/>
  <c r="CA414" i="10" a="1"/>
  <c r="CA414" i="10" s="1"/>
  <c r="CA458" i="10" a="1"/>
  <c r="CA458" i="10" s="1"/>
  <c r="CW450" i="10" a="1"/>
  <c r="CW450" i="10" s="1"/>
  <c r="CV450" i="10" a="1"/>
  <c r="CV450" i="10" s="1"/>
  <c r="CA519" i="10" a="1"/>
  <c r="CA519" i="10" s="1"/>
  <c r="CA531" i="10" a="1"/>
  <c r="CA531" i="10" s="1"/>
  <c r="BZ531" i="10" a="1"/>
  <c r="BZ531" i="10" s="1"/>
  <c r="CW504" i="10" a="1"/>
  <c r="CW504" i="10" s="1"/>
  <c r="CT563" i="10"/>
  <c r="CW554" i="10" a="1"/>
  <c r="CW554" i="10" s="1"/>
  <c r="BZ594" i="10" a="1"/>
  <c r="BZ594" i="10" s="1"/>
  <c r="CA594" i="10" a="1"/>
  <c r="CA594" i="10" s="1"/>
  <c r="BR551" i="10" a="1"/>
  <c r="BR551" i="10" s="1"/>
  <c r="BR619" i="10" a="1"/>
  <c r="BR619" i="10" s="1"/>
  <c r="BR559" i="10" a="1"/>
  <c r="BR559" i="10" s="1"/>
  <c r="BN559" i="10" a="1"/>
  <c r="BN559" i="10" s="1"/>
  <c r="CV598" i="10" a="1"/>
  <c r="CV598" i="10" s="1"/>
  <c r="CW598" i="10" a="1"/>
  <c r="CW598" i="10" s="1"/>
  <c r="CA642" i="10" a="1"/>
  <c r="CA642" i="10" s="1"/>
  <c r="BZ642" i="10" a="1"/>
  <c r="BZ642" i="10" s="1"/>
  <c r="CV670" i="10" a="1"/>
  <c r="CV670" i="10" s="1"/>
  <c r="CW670" i="10" a="1"/>
  <c r="CW670" i="10" s="1"/>
  <c r="BV642" i="10" a="1"/>
  <c r="BV642" i="10" s="1"/>
  <c r="CV646" i="10" a="1"/>
  <c r="CV646" i="10" s="1"/>
  <c r="CW646" i="10" a="1"/>
  <c r="CW646" i="10" s="1"/>
  <c r="CV694" i="10" a="1"/>
  <c r="CV694" i="10" s="1"/>
  <c r="CW694" i="10" a="1"/>
  <c r="CW694" i="10" s="1"/>
  <c r="CV720" i="10" a="1"/>
  <c r="CV720" i="10" s="1"/>
  <c r="CW720" i="10" a="1"/>
  <c r="CW720" i="10" s="1"/>
  <c r="CR699" i="10" a="1"/>
  <c r="CR699" i="10" s="1"/>
  <c r="CE124" i="10"/>
  <c r="CP124" i="10" s="1"/>
  <c r="CQ124" i="10" s="1"/>
  <c r="BP131" i="10"/>
  <c r="BQ131" i="10" s="1"/>
  <c r="CL131" i="10"/>
  <c r="CM131" i="10" s="1"/>
  <c r="CN131" i="10" s="1" a="1"/>
  <c r="CN131" i="10" s="1"/>
  <c r="CP130" i="10"/>
  <c r="CQ130" i="10" s="1"/>
  <c r="CR130" i="10" s="1" a="1"/>
  <c r="CR130" i="10" s="1"/>
  <c r="CL137" i="10"/>
  <c r="CM137" i="10" s="1"/>
  <c r="BT127" i="10"/>
  <c r="BU127" i="10" s="1"/>
  <c r="BV127" i="10" s="1" a="1"/>
  <c r="BV127" i="10" s="1"/>
  <c r="CL129" i="10"/>
  <c r="CM129" i="10" s="1"/>
  <c r="CN129" i="10" s="1" a="1"/>
  <c r="CN129" i="10" s="1"/>
  <c r="BF132" i="10"/>
  <c r="BT132" i="10" s="1"/>
  <c r="BU132" i="10" s="1"/>
  <c r="CP133" i="10"/>
  <c r="CQ133" i="10" s="1"/>
  <c r="BM125" i="10"/>
  <c r="BN125" i="10" s="1" a="1"/>
  <c r="BN125" i="10" s="1"/>
  <c r="BF125" i="10"/>
  <c r="BL125" i="10" s="1"/>
  <c r="CL126" i="10"/>
  <c r="CM126" i="10" s="1"/>
  <c r="CN126" i="10" s="1" a="1"/>
  <c r="CN126" i="10" s="1"/>
  <c r="BT137" i="10"/>
  <c r="BU137" i="10" s="1"/>
  <c r="BV137" i="10" s="1" a="1"/>
  <c r="BV137" i="10" s="1"/>
  <c r="CH136" i="10"/>
  <c r="CI136" i="10" s="1"/>
  <c r="CJ136" i="10" s="1" a="1"/>
  <c r="CJ136" i="10" s="1"/>
  <c r="CT136" i="10"/>
  <c r="CU136" i="10" s="1"/>
  <c r="BL136" i="10"/>
  <c r="BM136" i="10" s="1"/>
  <c r="BN136" i="10" s="1" a="1"/>
  <c r="BN136" i="10" s="1"/>
  <c r="CT142" i="10"/>
  <c r="CU142" i="10" s="1"/>
  <c r="CT131" i="10"/>
  <c r="CU131" i="10" s="1"/>
  <c r="BP129" i="10"/>
  <c r="BQ129" i="10" s="1"/>
  <c r="BR129" i="10" s="1" a="1"/>
  <c r="BR129" i="10" s="1"/>
  <c r="CE138" i="10"/>
  <c r="CT138" i="10" s="1"/>
  <c r="CU138" i="10" s="1"/>
  <c r="CT140" i="10"/>
  <c r="CU140" i="10" s="1"/>
  <c r="CP143" i="10"/>
  <c r="CQ143" i="10" s="1"/>
  <c r="CR143" i="10" s="1" a="1"/>
  <c r="CR143" i="10" s="1"/>
  <c r="BT153" i="10"/>
  <c r="BU153" i="10" s="1"/>
  <c r="BV153" i="10" s="1" a="1"/>
  <c r="BV153" i="10" s="1"/>
  <c r="CT144" i="10"/>
  <c r="CU144" i="10" s="1"/>
  <c r="BL148" i="10"/>
  <c r="BM148" i="10" s="1"/>
  <c r="BN148" i="10" s="1" a="1"/>
  <c r="BN148" i="10" s="1"/>
  <c r="CH148" i="10"/>
  <c r="CI148" i="10" s="1"/>
  <c r="CJ148" i="10" s="1" a="1"/>
  <c r="CJ148" i="10" s="1"/>
  <c r="CL146" i="10"/>
  <c r="CM146" i="10" s="1"/>
  <c r="CN146" i="10" s="1" a="1"/>
  <c r="CN146" i="10" s="1"/>
  <c r="BL151" i="10"/>
  <c r="CP154" i="10"/>
  <c r="CQ154" i="10" s="1"/>
  <c r="CR154" i="10" s="1" a="1"/>
  <c r="CR154" i="10" s="1"/>
  <c r="CH158" i="10"/>
  <c r="CI158" i="10" s="1"/>
  <c r="CJ158" i="10" s="1" a="1"/>
  <c r="CJ158" i="10" s="1"/>
  <c r="BP158" i="10"/>
  <c r="BQ158" i="10" s="1"/>
  <c r="CT158" i="10"/>
  <c r="CU158" i="10" s="1"/>
  <c r="BL158" i="10"/>
  <c r="BM158" i="10" s="1"/>
  <c r="BN158" i="10" s="1" a="1"/>
  <c r="BN158" i="10" s="1"/>
  <c r="CX159" i="10"/>
  <c r="Z159" i="10" s="1"/>
  <c r="CP149" i="10"/>
  <c r="CQ149" i="10" s="1"/>
  <c r="BN167" i="10" a="1"/>
  <c r="BN167" i="10" s="1"/>
  <c r="CT157" i="10"/>
  <c r="CU157" i="10" s="1"/>
  <c r="CH147" i="10"/>
  <c r="CI147" i="10" s="1"/>
  <c r="CJ147" i="10" s="1" a="1"/>
  <c r="CJ147" i="10" s="1"/>
  <c r="BL147" i="10"/>
  <c r="BM147" i="10" s="1"/>
  <c r="BN147" i="10" s="1" a="1"/>
  <c r="BN147" i="10" s="1"/>
  <c r="BT148" i="10"/>
  <c r="BU148" i="10" s="1"/>
  <c r="BV148" i="10" s="1" a="1"/>
  <c r="BV148" i="10" s="1"/>
  <c r="BL163" i="10"/>
  <c r="BM163" i="10" s="1"/>
  <c r="BN163" i="10" s="1" a="1"/>
  <c r="BN163" i="10" s="1"/>
  <c r="CP167" i="10"/>
  <c r="CQ167" i="10" s="1"/>
  <c r="CR167" i="10" s="1" a="1"/>
  <c r="CR167" i="10" s="1"/>
  <c r="BX166" i="10"/>
  <c r="BY166" i="10" s="1"/>
  <c r="BQ176" i="10"/>
  <c r="BF176" i="10"/>
  <c r="BL176" i="10" s="1"/>
  <c r="BM176" i="10" s="1"/>
  <c r="BN176" i="10" s="1" a="1"/>
  <c r="BN176" i="10" s="1"/>
  <c r="CL180" i="10"/>
  <c r="CM180" i="10" s="1"/>
  <c r="CN180" i="10" s="1" a="1"/>
  <c r="CN180" i="10" s="1"/>
  <c r="BP178" i="10"/>
  <c r="BQ178" i="10" s="1"/>
  <c r="BR178" i="10" s="1" a="1"/>
  <c r="BR178" i="10" s="1"/>
  <c r="CT185" i="10"/>
  <c r="CL160" i="10"/>
  <c r="CM160" i="10" s="1"/>
  <c r="CN160" i="10" s="1" a="1"/>
  <c r="CN160" i="10" s="1"/>
  <c r="CP175" i="10"/>
  <c r="CQ175" i="10" s="1"/>
  <c r="CR175" i="10" s="1" a="1"/>
  <c r="CR175" i="10" s="1"/>
  <c r="BT189" i="10"/>
  <c r="BU189" i="10" s="1"/>
  <c r="BV189" i="10" s="1" a="1"/>
  <c r="BV189" i="10" s="1"/>
  <c r="BX187" i="10"/>
  <c r="BY187" i="10" s="1"/>
  <c r="CP188" i="10"/>
  <c r="BT190" i="10"/>
  <c r="BU190" i="10" s="1"/>
  <c r="CL192" i="10"/>
  <c r="CM192" i="10" s="1"/>
  <c r="CN192" i="10" s="1" a="1"/>
  <c r="CN192" i="10" s="1"/>
  <c r="CP189" i="10"/>
  <c r="CQ189" i="10" s="1"/>
  <c r="CR189" i="10" s="1" a="1"/>
  <c r="CR189" i="10" s="1"/>
  <c r="CE196" i="10"/>
  <c r="CH196" i="10" s="1"/>
  <c r="CI196" i="10" s="1"/>
  <c r="CJ196" i="10" s="1" a="1"/>
  <c r="CJ196" i="10" s="1"/>
  <c r="BP190" i="10"/>
  <c r="BQ190" i="10" s="1"/>
  <c r="BL193" i="10"/>
  <c r="BM193" i="10" s="1"/>
  <c r="BN193" i="10" s="1" a="1"/>
  <c r="BN193" i="10" s="1"/>
  <c r="CH193" i="10"/>
  <c r="CI193" i="10" s="1"/>
  <c r="CJ193" i="10" s="1" a="1"/>
  <c r="CJ193" i="10" s="1"/>
  <c r="CP200" i="10"/>
  <c r="CQ200" i="10" s="1"/>
  <c r="CR200" i="10" s="1" a="1"/>
  <c r="CR200" i="10" s="1"/>
  <c r="CP193" i="10"/>
  <c r="CE197" i="10"/>
  <c r="CT197" i="10" s="1"/>
  <c r="CU197" i="10" s="1"/>
  <c r="CM197" i="10"/>
  <c r="BX199" i="10"/>
  <c r="BY199" i="10" s="1"/>
  <c r="CP213" i="10"/>
  <c r="CQ213" i="10" s="1"/>
  <c r="CR213" i="10" s="1" a="1"/>
  <c r="CR213" i="10" s="1"/>
  <c r="BF205" i="10"/>
  <c r="BT205" i="10" s="1"/>
  <c r="BU205" i="10" s="1"/>
  <c r="CE210" i="10"/>
  <c r="CL210" i="10" s="1"/>
  <c r="CM210" i="10" s="1"/>
  <c r="BP201" i="10"/>
  <c r="CE203" i="10"/>
  <c r="CL203" i="10" s="1"/>
  <c r="CM203" i="10" s="1"/>
  <c r="CB210" i="10"/>
  <c r="S210" i="10" s="1"/>
  <c r="CE208" i="10"/>
  <c r="CT208" i="10" s="1"/>
  <c r="CU208" i="10" s="1"/>
  <c r="BF208" i="10"/>
  <c r="BL208" i="10" s="1"/>
  <c r="BM208" i="10" s="1"/>
  <c r="BN208" i="10" s="1" a="1"/>
  <c r="BN208" i="10" s="1"/>
  <c r="BU220" i="10"/>
  <c r="BF220" i="10"/>
  <c r="BL220" i="10" s="1"/>
  <c r="BM220" i="10" s="1"/>
  <c r="BN220" i="10" s="1" a="1"/>
  <c r="BN220" i="10" s="1"/>
  <c r="BQ220" i="10"/>
  <c r="CL198" i="10"/>
  <c r="CM198" i="10" s="1"/>
  <c r="CH213" i="10"/>
  <c r="CI213" i="10" s="1"/>
  <c r="CJ213" i="10" s="1" a="1"/>
  <c r="CJ213" i="10" s="1"/>
  <c r="BL213" i="10"/>
  <c r="BM213" i="10" s="1"/>
  <c r="BN213" i="10" s="1" a="1"/>
  <c r="BN213" i="10" s="1"/>
  <c r="BP213" i="10"/>
  <c r="BQ213" i="10" s="1"/>
  <c r="BR213" i="10" s="1" a="1"/>
  <c r="BR213" i="10" s="1"/>
  <c r="CL213" i="10"/>
  <c r="CM213" i="10" s="1"/>
  <c r="CN213" i="10" s="1" a="1"/>
  <c r="CN213" i="10" s="1"/>
  <c r="BV221" i="10" a="1"/>
  <c r="BV221" i="10" s="1"/>
  <c r="BT220" i="10"/>
  <c r="BL237" i="10"/>
  <c r="BM237" i="10" s="1"/>
  <c r="BN237" i="10" s="1" a="1"/>
  <c r="BN237" i="10" s="1"/>
  <c r="BP237" i="10"/>
  <c r="BQ237" i="10" s="1"/>
  <c r="CH237" i="10"/>
  <c r="CI237" i="10" s="1"/>
  <c r="CJ237" i="10" s="1" a="1"/>
  <c r="CJ237" i="10" s="1"/>
  <c r="BT237" i="10"/>
  <c r="BU237" i="10" s="1"/>
  <c r="BV237" i="10" s="1" a="1"/>
  <c r="BV237" i="10" s="1"/>
  <c r="CL237" i="10"/>
  <c r="CM237" i="10" s="1"/>
  <c r="CN237" i="10" s="1" a="1"/>
  <c r="CN237" i="10" s="1"/>
  <c r="BX220" i="10"/>
  <c r="BY220" i="10" s="1"/>
  <c r="BF228" i="10"/>
  <c r="BX219" i="10"/>
  <c r="BY219" i="10" s="1"/>
  <c r="BX232" i="10"/>
  <c r="BY232" i="10" s="1"/>
  <c r="CP249" i="10"/>
  <c r="CQ249" i="10" s="1"/>
  <c r="CR249" i="10" s="1" a="1"/>
  <c r="CR249" i="10" s="1"/>
  <c r="CH245" i="10"/>
  <c r="CI245" i="10" s="1"/>
  <c r="CJ245" i="10" s="1" a="1"/>
  <c r="CJ245" i="10" s="1"/>
  <c r="BF254" i="10"/>
  <c r="BX254" i="10" s="1"/>
  <c r="BY254" i="10" s="1"/>
  <c r="CL247" i="10"/>
  <c r="CM247" i="10" s="1"/>
  <c r="CN247" i="10" s="1" a="1"/>
  <c r="CN247" i="10" s="1"/>
  <c r="CE239" i="10"/>
  <c r="CH239" i="10" s="1"/>
  <c r="CI239" i="10" s="1"/>
  <c r="CJ239" i="10" s="1" a="1"/>
  <c r="CJ239" i="10" s="1"/>
  <c r="BT244" i="10"/>
  <c r="BU244" i="10" s="1"/>
  <c r="BV244" i="10" s="1" a="1"/>
  <c r="BV244" i="10" s="1"/>
  <c r="CL216" i="10"/>
  <c r="CM216" i="10" s="1"/>
  <c r="CN216" i="10" s="1" a="1"/>
  <c r="CN216" i="10" s="1"/>
  <c r="BF224" i="10"/>
  <c r="BX224" i="10" s="1"/>
  <c r="BY224" i="10" s="1"/>
  <c r="BT243" i="10"/>
  <c r="BU243" i="10" s="1"/>
  <c r="CT263" i="10"/>
  <c r="CU263" i="10" s="1"/>
  <c r="BP243" i="10"/>
  <c r="BQ243" i="10" s="1"/>
  <c r="BR243" i="10" s="1" a="1"/>
  <c r="BR243" i="10" s="1"/>
  <c r="CE268" i="10"/>
  <c r="CP268" i="10" s="1"/>
  <c r="CQ268" i="10" s="1"/>
  <c r="BX253" i="10"/>
  <c r="BF263" i="10"/>
  <c r="BT263" i="10" s="1"/>
  <c r="BU263" i="10" s="1"/>
  <c r="BX270" i="10"/>
  <c r="BY270" i="10" s="1"/>
  <c r="CL270" i="10"/>
  <c r="CM270" i="10" s="1"/>
  <c r="CN270" i="10" s="1" a="1"/>
  <c r="CN270" i="10" s="1"/>
  <c r="CT238" i="10"/>
  <c r="CU238" i="10" s="1"/>
  <c r="CH257" i="10"/>
  <c r="BX257" i="10"/>
  <c r="BY257" i="10" s="1"/>
  <c r="BX259" i="10"/>
  <c r="BY259" i="10" s="1"/>
  <c r="CP263" i="10"/>
  <c r="CQ263" i="10" s="1"/>
  <c r="CR263" i="10" s="1" a="1"/>
  <c r="CR263" i="10" s="1"/>
  <c r="CP259" i="10"/>
  <c r="CQ259" i="10" s="1"/>
  <c r="CR259" i="10" s="1" a="1"/>
  <c r="CR259" i="10" s="1"/>
  <c r="CT251" i="10"/>
  <c r="CU251" i="10" s="1"/>
  <c r="BX265" i="10"/>
  <c r="BY265" i="10" s="1"/>
  <c r="BT276" i="10"/>
  <c r="BU276" i="10" s="1"/>
  <c r="BV276" i="10" s="1" a="1"/>
  <c r="BV276" i="10" s="1"/>
  <c r="CQ261" i="10"/>
  <c r="CE261" i="10"/>
  <c r="CH261" i="10" s="1"/>
  <c r="CI261" i="10" s="1"/>
  <c r="CJ261" i="10" s="1" a="1"/>
  <c r="CJ261" i="10" s="1"/>
  <c r="CT270" i="10"/>
  <c r="CU270" i="10" s="1"/>
  <c r="CT252" i="10"/>
  <c r="CU252" i="10" s="1"/>
  <c r="BF305" i="10"/>
  <c r="BL305" i="10" s="1"/>
  <c r="BM305" i="10" s="1"/>
  <c r="BN305" i="10" s="1" a="1"/>
  <c r="BN305" i="10" s="1"/>
  <c r="CE275" i="10"/>
  <c r="CH275" i="10" s="1"/>
  <c r="CI275" i="10" s="1"/>
  <c r="CJ275" i="10" s="1" a="1"/>
  <c r="CJ275" i="10" s="1"/>
  <c r="BT277" i="10"/>
  <c r="BU277" i="10" s="1"/>
  <c r="BV277" i="10" s="1" a="1"/>
  <c r="BV277" i="10" s="1"/>
  <c r="BX262" i="10"/>
  <c r="BY262" i="10" s="1"/>
  <c r="CE282" i="10"/>
  <c r="CP282" i="10" s="1"/>
  <c r="CQ282" i="10" s="1"/>
  <c r="CE286" i="10"/>
  <c r="CP286" i="10" s="1"/>
  <c r="CQ286" i="10" s="1"/>
  <c r="CR286" i="10" s="1" a="1"/>
  <c r="CR286" i="10" s="1"/>
  <c r="CM286" i="10"/>
  <c r="CE290" i="10"/>
  <c r="CH290" i="10" s="1"/>
  <c r="CI290" i="10" s="1"/>
  <c r="CJ290" i="10" s="1" a="1"/>
  <c r="CJ290" i="10" s="1"/>
  <c r="CE294" i="10"/>
  <c r="CH294" i="10" s="1"/>
  <c r="CI294" i="10" s="1"/>
  <c r="CJ294" i="10" s="1" a="1"/>
  <c r="CJ294" i="10" s="1"/>
  <c r="CH302" i="10"/>
  <c r="CI302" i="10" s="1"/>
  <c r="CJ302" i="10" s="1" a="1"/>
  <c r="CJ302" i="10" s="1"/>
  <c r="BL302" i="10"/>
  <c r="BM302" i="10" s="1"/>
  <c r="BN302" i="10" s="1" a="1"/>
  <c r="BN302" i="10" s="1"/>
  <c r="BL316" i="10"/>
  <c r="BM316" i="10" s="1"/>
  <c r="BN316" i="10" s="1" a="1"/>
  <c r="BN316" i="10" s="1"/>
  <c r="CH316" i="10"/>
  <c r="CI316" i="10" s="1"/>
  <c r="CJ316" i="10" s="1" a="1"/>
  <c r="CJ316" i="10" s="1"/>
  <c r="CT329" i="10"/>
  <c r="CU329" i="10" s="1"/>
  <c r="BL300" i="10"/>
  <c r="BM300" i="10" s="1"/>
  <c r="BN300" i="10" s="1" a="1"/>
  <c r="BN300" i="10" s="1"/>
  <c r="BL289" i="10"/>
  <c r="BM289" i="10" s="1"/>
  <c r="BN289" i="10" s="1" a="1"/>
  <c r="BN289" i="10" s="1"/>
  <c r="CH289" i="10"/>
  <c r="CI289" i="10" s="1"/>
  <c r="CJ289" i="10" s="1" a="1"/>
  <c r="CJ289" i="10" s="1"/>
  <c r="BX298" i="10"/>
  <c r="BY298" i="10" s="1"/>
  <c r="CL304" i="10"/>
  <c r="CM304" i="10" s="1"/>
  <c r="CN304" i="10" s="1" a="1"/>
  <c r="CN304" i="10" s="1"/>
  <c r="CL316" i="10"/>
  <c r="CM316" i="10" s="1"/>
  <c r="CN316" i="10" s="1" a="1"/>
  <c r="CN316" i="10" s="1"/>
  <c r="BP322" i="10"/>
  <c r="BQ322" i="10" s="1"/>
  <c r="BR322" i="10" s="1" a="1"/>
  <c r="BR322" i="10" s="1"/>
  <c r="CT277" i="10"/>
  <c r="CU277" i="10" s="1"/>
  <c r="BX306" i="10"/>
  <c r="BY306" i="10" s="1"/>
  <c r="BX260" i="10"/>
  <c r="BY260" i="10" s="1"/>
  <c r="BL283" i="10"/>
  <c r="BM283" i="10" s="1"/>
  <c r="BN283" i="10" s="1" a="1"/>
  <c r="BN283" i="10" s="1"/>
  <c r="BT283" i="10"/>
  <c r="BU283" i="10" s="1"/>
  <c r="BP283" i="10"/>
  <c r="BQ283" i="10" s="1"/>
  <c r="BR283" i="10" s="1" a="1"/>
  <c r="BR283" i="10" s="1"/>
  <c r="CH283" i="10"/>
  <c r="CI283" i="10" s="1"/>
  <c r="CJ283" i="10" s="1" a="1"/>
  <c r="CJ283" i="10" s="1"/>
  <c r="BL291" i="10"/>
  <c r="BM291" i="10" s="1"/>
  <c r="BN291" i="10" s="1" a="1"/>
  <c r="BN291" i="10" s="1"/>
  <c r="BT291" i="10"/>
  <c r="BU291" i="10" s="1"/>
  <c r="BZ291" i="10" s="1" a="1"/>
  <c r="BZ291" i="10" s="1"/>
  <c r="BP291" i="10"/>
  <c r="BQ291" i="10" s="1"/>
  <c r="BR291" i="10" s="1" a="1"/>
  <c r="BR291" i="10" s="1"/>
  <c r="CH291" i="10"/>
  <c r="CI291" i="10" s="1"/>
  <c r="CJ291" i="10" s="1" a="1"/>
  <c r="CJ291" i="10" s="1"/>
  <c r="BT302" i="10"/>
  <c r="BU302" i="10" s="1"/>
  <c r="BV302" i="10" s="1" a="1"/>
  <c r="BV302" i="10" s="1"/>
  <c r="BL313" i="10"/>
  <c r="BM313" i="10" s="1"/>
  <c r="BN313" i="10" s="1" a="1"/>
  <c r="BN313" i="10" s="1"/>
  <c r="CH313" i="10"/>
  <c r="CI313" i="10" s="1"/>
  <c r="CJ313" i="10" s="1" a="1"/>
  <c r="CJ313" i="10" s="1"/>
  <c r="CE273" i="10"/>
  <c r="CL273" i="10" s="1"/>
  <c r="CM273" i="10" s="1"/>
  <c r="BL279" i="10"/>
  <c r="BM279" i="10" s="1"/>
  <c r="BN279" i="10" s="1" a="1"/>
  <c r="BN279" i="10" s="1"/>
  <c r="CH279" i="10"/>
  <c r="CI279" i="10" s="1"/>
  <c r="CJ279" i="10" s="1" a="1"/>
  <c r="CJ279" i="10" s="1"/>
  <c r="CP288" i="10"/>
  <c r="CQ288" i="10" s="1"/>
  <c r="CU292" i="10"/>
  <c r="CE292" i="10"/>
  <c r="CP292" i="10" s="1"/>
  <c r="CQ292" i="10" s="1"/>
  <c r="CR292" i="10" s="1" a="1"/>
  <c r="CR292" i="10" s="1"/>
  <c r="CM292" i="10"/>
  <c r="CP296" i="10"/>
  <c r="CP311" i="10"/>
  <c r="CQ311" i="10" s="1"/>
  <c r="CR311" i="10" s="1" a="1"/>
  <c r="CR311" i="10" s="1"/>
  <c r="CL317" i="10"/>
  <c r="CM317" i="10" s="1"/>
  <c r="CN317" i="10" s="1" a="1"/>
  <c r="CN317" i="10" s="1"/>
  <c r="CT292" i="10"/>
  <c r="CT337" i="10"/>
  <c r="CU337" i="10" s="1"/>
  <c r="BL344" i="10"/>
  <c r="CH344" i="10"/>
  <c r="CI344" i="10" s="1"/>
  <c r="CJ344" i="10" s="1" a="1"/>
  <c r="CJ344" i="10" s="1"/>
  <c r="BX333" i="10"/>
  <c r="BY333" i="10" s="1"/>
  <c r="BP341" i="10"/>
  <c r="CP347" i="10"/>
  <c r="CQ347" i="10" s="1"/>
  <c r="CR347" i="10" s="1" a="1"/>
  <c r="CR347" i="10" s="1"/>
  <c r="BP343" i="10"/>
  <c r="BQ343" i="10" s="1"/>
  <c r="BR343" i="10" s="1" a="1"/>
  <c r="BR343" i="10" s="1"/>
  <c r="CT316" i="10"/>
  <c r="CU316" i="10" s="1"/>
  <c r="BT341" i="10"/>
  <c r="BU341" i="10" s="1"/>
  <c r="BV341" i="10" s="1" a="1"/>
  <c r="BV341" i="10" s="1"/>
  <c r="BF348" i="10"/>
  <c r="BL348" i="10" s="1"/>
  <c r="BM348" i="10" s="1"/>
  <c r="BN348" i="10" s="1" a="1"/>
  <c r="BN348" i="10" s="1"/>
  <c r="BT285" i="10"/>
  <c r="BU285" i="10" s="1"/>
  <c r="BV285" i="10" s="1" a="1"/>
  <c r="BV285" i="10" s="1"/>
  <c r="BP308" i="10"/>
  <c r="BQ308" i="10" s="1"/>
  <c r="BR308" i="10" s="1" a="1"/>
  <c r="BR308" i="10" s="1"/>
  <c r="BT308" i="10"/>
  <c r="BU308" i="10" s="1"/>
  <c r="BV308" i="10" s="1" a="1"/>
  <c r="BV308" i="10" s="1"/>
  <c r="BL308" i="10"/>
  <c r="BM308" i="10" s="1"/>
  <c r="BN308" i="10" s="1" a="1"/>
  <c r="BN308" i="10" s="1"/>
  <c r="CH308" i="10"/>
  <c r="CI308" i="10" s="1"/>
  <c r="CJ308" i="10" s="1" a="1"/>
  <c r="CJ308" i="10" s="1"/>
  <c r="CE332" i="10"/>
  <c r="CL332" i="10" s="1"/>
  <c r="CM332" i="10" s="1"/>
  <c r="BM344" i="10"/>
  <c r="BN344" i="10" s="1" a="1"/>
  <c r="BN344" i="10" s="1"/>
  <c r="BF344" i="10"/>
  <c r="BP344" i="10" s="1"/>
  <c r="BQ344" i="10" s="1"/>
  <c r="BR344" i="10" s="1" a="1"/>
  <c r="BR344" i="10" s="1"/>
  <c r="BT305" i="10"/>
  <c r="BU305" i="10" s="1"/>
  <c r="BV305" i="10" s="1" a="1"/>
  <c r="BV305" i="10" s="1"/>
  <c r="BL321" i="10"/>
  <c r="BM321" i="10" s="1"/>
  <c r="BN321" i="10" s="1" a="1"/>
  <c r="BN321" i="10" s="1"/>
  <c r="CH321" i="10"/>
  <c r="CI321" i="10" s="1"/>
  <c r="CJ321" i="10" s="1" a="1"/>
  <c r="CJ321" i="10" s="1"/>
  <c r="BT323" i="10"/>
  <c r="BU323" i="10" s="1"/>
  <c r="BV323" i="10" s="1" a="1"/>
  <c r="BV323" i="10" s="1"/>
  <c r="BX323" i="10"/>
  <c r="BY323" i="10" s="1"/>
  <c r="BT340" i="10"/>
  <c r="BU340" i="10" s="1"/>
  <c r="CH361" i="10"/>
  <c r="CI361" i="10" s="1"/>
  <c r="CJ361" i="10" s="1" a="1"/>
  <c r="CJ361" i="10" s="1"/>
  <c r="BL361" i="10"/>
  <c r="BM361" i="10" s="1"/>
  <c r="BN361" i="10" s="1" a="1"/>
  <c r="BN361" i="10" s="1"/>
  <c r="CP381" i="10"/>
  <c r="BX354" i="10"/>
  <c r="BY354" i="10" s="1"/>
  <c r="BF345" i="10"/>
  <c r="BP345" i="10" s="1"/>
  <c r="BQ345" i="10" s="1"/>
  <c r="BT355" i="10"/>
  <c r="BU355" i="10" s="1"/>
  <c r="BV355" i="10" s="1" a="1"/>
  <c r="BV355" i="10" s="1"/>
  <c r="CP358" i="10"/>
  <c r="CQ358" i="10" s="1"/>
  <c r="CR358" i="10" s="1" a="1"/>
  <c r="CR358" i="10" s="1"/>
  <c r="CP400" i="10"/>
  <c r="CQ400" i="10" s="1"/>
  <c r="CR400" i="10" s="1" a="1"/>
  <c r="CR400" i="10" s="1"/>
  <c r="BT339" i="10"/>
  <c r="BU339" i="10" s="1"/>
  <c r="BV339" i="10" s="1" a="1"/>
  <c r="BV339" i="10" s="1"/>
  <c r="CP340" i="10"/>
  <c r="CQ340" i="10" s="1"/>
  <c r="CR340" i="10" s="1" a="1"/>
  <c r="CR340" i="10" s="1"/>
  <c r="BP347" i="10"/>
  <c r="BQ347" i="10" s="1"/>
  <c r="BR347" i="10" s="1" a="1"/>
  <c r="BR347" i="10" s="1"/>
  <c r="BY364" i="10"/>
  <c r="BF364" i="10"/>
  <c r="BX364" i="10" s="1"/>
  <c r="CP371" i="10"/>
  <c r="CQ371" i="10" s="1"/>
  <c r="CQ381" i="10"/>
  <c r="CE381" i="10"/>
  <c r="CH381" i="10" s="1"/>
  <c r="CI381" i="10" s="1"/>
  <c r="CJ381" i="10" s="1" a="1"/>
  <c r="CJ381" i="10" s="1"/>
  <c r="CE324" i="10"/>
  <c r="CH324" i="10" s="1"/>
  <c r="CI324" i="10" s="1"/>
  <c r="CJ324" i="10" s="1" a="1"/>
  <c r="CJ324" i="10" s="1"/>
  <c r="CH356" i="10"/>
  <c r="CI356" i="10" s="1"/>
  <c r="CJ356" i="10" s="1" a="1"/>
  <c r="CJ356" i="10" s="1"/>
  <c r="BX359" i="10"/>
  <c r="BY359" i="10" s="1"/>
  <c r="CP349" i="10"/>
  <c r="CQ349" i="10" s="1"/>
  <c r="CR349" i="10" s="1" a="1"/>
  <c r="CR349" i="10" s="1"/>
  <c r="BX361" i="10"/>
  <c r="BY361" i="10" s="1"/>
  <c r="CE363" i="10"/>
  <c r="CT363" i="10" s="1"/>
  <c r="CU363" i="10" s="1"/>
  <c r="BN396" i="10" a="1"/>
  <c r="BN396" i="10" s="1"/>
  <c r="BN404" i="10" a="1"/>
  <c r="BN404" i="10" s="1"/>
  <c r="CL379" i="10"/>
  <c r="CM379" i="10" s="1"/>
  <c r="CN379" i="10" s="1" a="1"/>
  <c r="CN379" i="10" s="1"/>
  <c r="BL398" i="10"/>
  <c r="BM398" i="10" s="1"/>
  <c r="BN398" i="10" s="1" a="1"/>
  <c r="BN398" i="10" s="1"/>
  <c r="BX395" i="10"/>
  <c r="BY395" i="10" s="1"/>
  <c r="CP383" i="10"/>
  <c r="BL376" i="10"/>
  <c r="BM376" i="10" s="1"/>
  <c r="BN376" i="10" s="1" a="1"/>
  <c r="BN376" i="10" s="1"/>
  <c r="BT376" i="10"/>
  <c r="BU376" i="10" s="1"/>
  <c r="CH376" i="10"/>
  <c r="CI376" i="10" s="1"/>
  <c r="CJ376" i="10" s="1" a="1"/>
  <c r="CJ376" i="10" s="1"/>
  <c r="BP376" i="10"/>
  <c r="BQ376" i="10" s="1"/>
  <c r="BR376" i="10" s="1" a="1"/>
  <c r="BR376" i="10" s="1"/>
  <c r="CJ396" i="10" a="1"/>
  <c r="CJ396" i="10" s="1"/>
  <c r="CT399" i="10"/>
  <c r="CU399" i="10" s="1"/>
  <c r="CQ406" i="10"/>
  <c r="CE406" i="10"/>
  <c r="CP406" i="10" s="1"/>
  <c r="CE410" i="10"/>
  <c r="CE414" i="10"/>
  <c r="CL414" i="10" s="1"/>
  <c r="CM414" i="10" s="1"/>
  <c r="BL425" i="10"/>
  <c r="BM425" i="10" s="1"/>
  <c r="BN425" i="10" s="1" a="1"/>
  <c r="BN425" i="10" s="1"/>
  <c r="BP425" i="10"/>
  <c r="BQ425" i="10" s="1"/>
  <c r="BR425" i="10" s="1" a="1"/>
  <c r="BR425" i="10" s="1"/>
  <c r="CL425" i="10"/>
  <c r="CM425" i="10" s="1"/>
  <c r="CN425" i="10" s="1" a="1"/>
  <c r="CN425" i="10" s="1"/>
  <c r="CH425" i="10"/>
  <c r="CI425" i="10" s="1"/>
  <c r="CJ425" i="10" s="1" a="1"/>
  <c r="CJ425" i="10" s="1"/>
  <c r="BX425" i="10"/>
  <c r="BY425" i="10" s="1"/>
  <c r="CT425" i="10"/>
  <c r="CU425" i="10" s="1"/>
  <c r="CP425" i="10"/>
  <c r="CQ425" i="10" s="1"/>
  <c r="CL375" i="10"/>
  <c r="CM375" i="10" s="1"/>
  <c r="CN375" i="10" s="1" a="1"/>
  <c r="CN375" i="10" s="1"/>
  <c r="CT390" i="10"/>
  <c r="CU390" i="10" s="1"/>
  <c r="CH393" i="10"/>
  <c r="CI393" i="10" s="1"/>
  <c r="CJ393" i="10" s="1" a="1"/>
  <c r="CJ393" i="10" s="1"/>
  <c r="BP395" i="10"/>
  <c r="BQ395" i="10" s="1"/>
  <c r="BR395" i="10" s="1" a="1"/>
  <c r="BR395" i="10" s="1"/>
  <c r="CL397" i="10"/>
  <c r="CJ401" i="10" a="1"/>
  <c r="CJ401" i="10" s="1"/>
  <c r="BN401" i="10" a="1"/>
  <c r="BN401" i="10" s="1"/>
  <c r="BT405" i="10"/>
  <c r="BU405" i="10" s="1"/>
  <c r="BV405" i="10" s="1" a="1"/>
  <c r="BV405" i="10" s="1"/>
  <c r="CT406" i="10"/>
  <c r="CU406" i="10" s="1"/>
  <c r="BP374" i="10"/>
  <c r="BL400" i="10"/>
  <c r="BM400" i="10" s="1"/>
  <c r="BN400" i="10" s="1" a="1"/>
  <c r="BN400" i="10" s="1"/>
  <c r="CH400" i="10"/>
  <c r="CI400" i="10" s="1"/>
  <c r="CJ400" i="10" s="1" a="1"/>
  <c r="CJ400" i="10" s="1"/>
  <c r="BT400" i="10"/>
  <c r="BU400" i="10" s="1"/>
  <c r="CP417" i="10"/>
  <c r="CQ417" i="10" s="1"/>
  <c r="CR417" i="10" s="1" a="1"/>
  <c r="CR417" i="10" s="1"/>
  <c r="CV432" i="10" a="1"/>
  <c r="CV432" i="10" s="1"/>
  <c r="CW432" i="10" a="1"/>
  <c r="CW432" i="10" s="1"/>
  <c r="BT402" i="10"/>
  <c r="CH409" i="10"/>
  <c r="CI409" i="10" s="1"/>
  <c r="CJ409" i="10" s="1" a="1"/>
  <c r="CJ409" i="10" s="1"/>
  <c r="CE423" i="10"/>
  <c r="CP423" i="10" s="1"/>
  <c r="CQ423" i="10" s="1"/>
  <c r="BP400" i="10"/>
  <c r="BQ400" i="10" s="1"/>
  <c r="BR400" i="10" s="1" a="1"/>
  <c r="BR400" i="10" s="1"/>
  <c r="CH420" i="10"/>
  <c r="CI420" i="10" s="1"/>
  <c r="CJ420" i="10" s="1" a="1"/>
  <c r="CJ420" i="10" s="1"/>
  <c r="BX382" i="10"/>
  <c r="BY382" i="10" s="1"/>
  <c r="CP408" i="10"/>
  <c r="CQ408" i="10" s="1"/>
  <c r="CR408" i="10" s="1" a="1"/>
  <c r="CR408" i="10" s="1"/>
  <c r="CV431" i="10" a="1"/>
  <c r="CV431" i="10" s="1"/>
  <c r="CW431" i="10" a="1"/>
  <c r="CW431" i="10" s="1"/>
  <c r="BL445" i="10"/>
  <c r="BZ420" i="10" a="1"/>
  <c r="BZ420" i="10" s="1"/>
  <c r="BF445" i="10"/>
  <c r="BT445" i="10" s="1"/>
  <c r="BU445" i="10" s="1"/>
  <c r="BM445" i="10"/>
  <c r="BN445" i="10" s="1" a="1"/>
  <c r="BN445" i="10" s="1"/>
  <c r="BT421" i="10"/>
  <c r="BU421" i="10" s="1"/>
  <c r="BV421" i="10" s="1" a="1"/>
  <c r="BV421" i="10" s="1"/>
  <c r="BX433" i="10"/>
  <c r="BY433" i="10" s="1"/>
  <c r="CV452" i="10" a="1"/>
  <c r="CV452" i="10" s="1"/>
  <c r="CW452" i="10" a="1"/>
  <c r="CW452" i="10" s="1"/>
  <c r="CV462" i="10" a="1"/>
  <c r="CV462" i="10" s="1"/>
  <c r="CW462" i="10" a="1"/>
  <c r="CW462" i="10" s="1"/>
  <c r="BZ488" i="10" a="1"/>
  <c r="BZ488" i="10" s="1"/>
  <c r="CA488" i="10" a="1"/>
  <c r="CA488" i="10" s="1"/>
  <c r="CH489" i="10"/>
  <c r="CI489" i="10" s="1"/>
  <c r="CJ489" i="10" s="1" a="1"/>
  <c r="CJ489" i="10" s="1"/>
  <c r="CA492" i="10" a="1"/>
  <c r="CA492" i="10" s="1"/>
  <c r="BV488" i="10" a="1"/>
  <c r="BV488" i="10" s="1"/>
  <c r="CW524" i="10" a="1"/>
  <c r="CW524" i="10" s="1"/>
  <c r="CN531" i="10" a="1"/>
  <c r="CN531" i="10" s="1"/>
  <c r="CN526" i="10" a="1"/>
  <c r="CN526" i="10" s="1"/>
  <c r="CR531" i="10" a="1"/>
  <c r="CR531" i="10" s="1"/>
  <c r="CW536" i="10" a="1"/>
  <c r="CW536" i="10" s="1"/>
  <c r="CV536" i="10" a="1"/>
  <c r="CV536" i="10" s="1"/>
  <c r="CA560" i="10" a="1"/>
  <c r="CA560" i="10" s="1"/>
  <c r="CV531" i="10" a="1"/>
  <c r="CV531" i="10" s="1"/>
  <c r="CW531" i="10" a="1"/>
  <c r="CW531" i="10" s="1"/>
  <c r="CA551" i="10" a="1"/>
  <c r="CA551" i="10" s="1"/>
  <c r="CA563" i="10" a="1"/>
  <c r="CA563" i="10" s="1"/>
  <c r="BZ563" i="10" a="1"/>
  <c r="BZ563" i="10" s="1"/>
  <c r="CB570" i="10"/>
  <c r="S570" i="10" s="1"/>
  <c r="BZ597" i="10" a="1"/>
  <c r="BZ597" i="10" s="1"/>
  <c r="CA597" i="10" a="1"/>
  <c r="CA597" i="10" s="1"/>
  <c r="CB595" i="10"/>
  <c r="S595" i="10" s="1"/>
  <c r="CV562" i="10" a="1"/>
  <c r="CV562" i="10" s="1"/>
  <c r="CW562" i="10" a="1"/>
  <c r="CW562" i="10" s="1"/>
  <c r="CR596" i="10" a="1"/>
  <c r="CR596" i="10" s="1"/>
  <c r="CR586" i="10" a="1"/>
  <c r="CR586" i="10" s="1"/>
  <c r="CA651" i="10" a="1"/>
  <c r="CA651" i="10" s="1"/>
  <c r="BR642" i="10" a="1"/>
  <c r="BR642" i="10" s="1"/>
  <c r="CB642" i="10" s="1"/>
  <c r="S642" i="10" s="1"/>
  <c r="CN673" i="10" a="1"/>
  <c r="CN673" i="10" s="1"/>
  <c r="BN654" i="10" a="1"/>
  <c r="BN654" i="10" s="1"/>
  <c r="BR654" i="10" a="1"/>
  <c r="BR654" i="10" s="1"/>
  <c r="BP722" i="10"/>
  <c r="BR679" i="10" a="1"/>
  <c r="BR679" i="10" s="1"/>
  <c r="BV687" i="10" a="1"/>
  <c r="BV687" i="10" s="1"/>
  <c r="BZ654" i="10" a="1"/>
  <c r="BZ654" i="10" s="1"/>
  <c r="CA654" i="10" a="1"/>
  <c r="CA654" i="10" s="1"/>
  <c r="CE430" i="10"/>
  <c r="CH430" i="10" s="1"/>
  <c r="CI430" i="10" s="1"/>
  <c r="CJ430" i="10" s="1" a="1"/>
  <c r="CJ430" i="10" s="1"/>
  <c r="CT394" i="10"/>
  <c r="CU394" i="10" s="1"/>
  <c r="BN432" i="10" a="1"/>
  <c r="BN432" i="10" s="1"/>
  <c r="CB432" i="10" s="1"/>
  <c r="S432" i="10" s="1"/>
  <c r="BF441" i="10"/>
  <c r="BP441" i="10" s="1"/>
  <c r="BQ441" i="10" s="1"/>
  <c r="CE398" i="10"/>
  <c r="CT398" i="10" s="1"/>
  <c r="CU398" i="10" s="1"/>
  <c r="CL427" i="10"/>
  <c r="CM427" i="10" s="1"/>
  <c r="CN427" i="10" s="1" a="1"/>
  <c r="CN427" i="10" s="1"/>
  <c r="BF436" i="10"/>
  <c r="CP427" i="10"/>
  <c r="CQ427" i="10" s="1"/>
  <c r="CR427" i="10" s="1" a="1"/>
  <c r="CR427" i="10" s="1"/>
  <c r="CT454" i="10"/>
  <c r="CU454" i="10" s="1"/>
  <c r="CE482" i="10"/>
  <c r="CT482" i="10" s="1"/>
  <c r="CU482" i="10" s="1"/>
  <c r="BL437" i="10"/>
  <c r="BM437" i="10" s="1"/>
  <c r="BN437" i="10" s="1" a="1"/>
  <c r="BN437" i="10" s="1"/>
  <c r="CT458" i="10"/>
  <c r="CU458" i="10" s="1"/>
  <c r="BL463" i="10"/>
  <c r="BM463" i="10" s="1"/>
  <c r="BN463" i="10" s="1" a="1"/>
  <c r="BN463" i="10" s="1"/>
  <c r="BF478" i="10"/>
  <c r="BP478" i="10" s="1"/>
  <c r="BQ478" i="10" s="1"/>
  <c r="BY494" i="10"/>
  <c r="BF494" i="10"/>
  <c r="BL494" i="10" s="1"/>
  <c r="BM494" i="10" s="1"/>
  <c r="BN494" i="10" s="1" a="1"/>
  <c r="BN494" i="10" s="1"/>
  <c r="CH432" i="10"/>
  <c r="CI432" i="10" s="1"/>
  <c r="CN432" i="10" s="1" a="1"/>
  <c r="CN432" i="10" s="1"/>
  <c r="BL439" i="10"/>
  <c r="BM439" i="10" s="1"/>
  <c r="BN439" i="10" s="1" a="1"/>
  <c r="BN439" i="10" s="1"/>
  <c r="BN477" i="10" a="1"/>
  <c r="BN477" i="10" s="1"/>
  <c r="CI434" i="10"/>
  <c r="CJ434" i="10" s="1" a="1"/>
  <c r="CJ434" i="10" s="1"/>
  <c r="CE434" i="10"/>
  <c r="CH434" i="10" s="1"/>
  <c r="CT435" i="10"/>
  <c r="CU435" i="10" s="1"/>
  <c r="BT453" i="10"/>
  <c r="BT477" i="10"/>
  <c r="BU477" i="10" s="1"/>
  <c r="BT493" i="10"/>
  <c r="BU493" i="10" s="1"/>
  <c r="CT475" i="10"/>
  <c r="CU475" i="10" s="1"/>
  <c r="BL482" i="10"/>
  <c r="BM482" i="10" s="1"/>
  <c r="BN482" i="10" s="1" a="1"/>
  <c r="BN482" i="10" s="1"/>
  <c r="BX513" i="10"/>
  <c r="BY513" i="10" s="1"/>
  <c r="BT451" i="10"/>
  <c r="BU451" i="10" s="1"/>
  <c r="BV451" i="10" s="1" a="1"/>
  <c r="BV451" i="10" s="1"/>
  <c r="CE467" i="10"/>
  <c r="CM467" i="10"/>
  <c r="CE491" i="10"/>
  <c r="CH491" i="10" s="1"/>
  <c r="CI491" i="10" s="1"/>
  <c r="CJ491" i="10" s="1" a="1"/>
  <c r="CJ491" i="10" s="1"/>
  <c r="CU491" i="10"/>
  <c r="BF507" i="10"/>
  <c r="BT442" i="10"/>
  <c r="BU442" i="10" s="1"/>
  <c r="BV442" i="10" s="1" a="1"/>
  <c r="BV442" i="10" s="1"/>
  <c r="BT460" i="10"/>
  <c r="BU460" i="10" s="1"/>
  <c r="BV460" i="10" s="1" a="1"/>
  <c r="BV460" i="10" s="1"/>
  <c r="BT476" i="10"/>
  <c r="BU476" i="10" s="1"/>
  <c r="BZ476" i="10" s="1" a="1"/>
  <c r="BZ476" i="10" s="1"/>
  <c r="BP489" i="10"/>
  <c r="BQ489" i="10" s="1"/>
  <c r="BR489" i="10" s="1" a="1"/>
  <c r="BR489" i="10" s="1"/>
  <c r="BX501" i="10"/>
  <c r="BY501" i="10" s="1"/>
  <c r="CE511" i="10"/>
  <c r="CM511" i="10"/>
  <c r="BF511" i="10"/>
  <c r="BQ511" i="10"/>
  <c r="CL520" i="10"/>
  <c r="CM520" i="10" s="1"/>
  <c r="BP525" i="10"/>
  <c r="BQ525" i="10" s="1"/>
  <c r="BR525" i="10" s="1" a="1"/>
  <c r="BR525" i="10" s="1"/>
  <c r="CH512" i="10"/>
  <c r="CI512" i="10" s="1"/>
  <c r="CJ512" i="10" s="1" a="1"/>
  <c r="CJ512" i="10" s="1"/>
  <c r="CP512" i="10"/>
  <c r="CQ512" i="10" s="1"/>
  <c r="CR512" i="10" s="1" a="1"/>
  <c r="CR512" i="10" s="1"/>
  <c r="BP512" i="10"/>
  <c r="BQ512" i="10" s="1"/>
  <c r="BL512" i="10"/>
  <c r="BM512" i="10" s="1"/>
  <c r="BN512" i="10" s="1" a="1"/>
  <c r="BN512" i="10" s="1"/>
  <c r="CE517" i="10"/>
  <c r="BP501" i="10"/>
  <c r="BQ501" i="10" s="1"/>
  <c r="BR501" i="10" s="1" a="1"/>
  <c r="BR501" i="10" s="1"/>
  <c r="BL514" i="10"/>
  <c r="CP534" i="10"/>
  <c r="CQ534" i="10" s="1"/>
  <c r="CR534" i="10" s="1" a="1"/>
  <c r="CR534" i="10" s="1"/>
  <c r="BT504" i="10"/>
  <c r="BU504" i="10" s="1"/>
  <c r="CP519" i="10"/>
  <c r="CQ519" i="10" s="1"/>
  <c r="CV519" i="10" s="1" a="1"/>
  <c r="CV519" i="10" s="1"/>
  <c r="CL525" i="10"/>
  <c r="BX483" i="10"/>
  <c r="BY483" i="10" s="1"/>
  <c r="BX509" i="10"/>
  <c r="BY509" i="10" s="1"/>
  <c r="BF510" i="10"/>
  <c r="BL510" i="10" s="1"/>
  <c r="BM510" i="10" s="1"/>
  <c r="BN510" i="10" s="1" a="1"/>
  <c r="BN510" i="10" s="1"/>
  <c r="CT526" i="10"/>
  <c r="CU526" i="10" s="1"/>
  <c r="BP494" i="10"/>
  <c r="BQ494" i="10" s="1"/>
  <c r="BR494" i="10" s="1" a="1"/>
  <c r="BR494" i="10" s="1"/>
  <c r="BF518" i="10"/>
  <c r="BX518" i="10" s="1"/>
  <c r="BY518" i="10" s="1"/>
  <c r="BT523" i="10"/>
  <c r="BU523" i="10" s="1"/>
  <c r="BV523" i="10" s="1" a="1"/>
  <c r="BV523" i="10" s="1"/>
  <c r="CE529" i="10"/>
  <c r="CP529" i="10" s="1"/>
  <c r="CQ529" i="10" s="1"/>
  <c r="BL519" i="10"/>
  <c r="BM519" i="10" s="1"/>
  <c r="BN519" i="10" s="1" a="1"/>
  <c r="BN519" i="10" s="1"/>
  <c r="BM514" i="10"/>
  <c r="BN514" i="10" s="1" a="1"/>
  <c r="BN514" i="10" s="1"/>
  <c r="BF514" i="10"/>
  <c r="BX507" i="10"/>
  <c r="BY507" i="10" s="1"/>
  <c r="BX549" i="10"/>
  <c r="CI553" i="10"/>
  <c r="CJ553" i="10" s="1" a="1"/>
  <c r="CJ553" i="10" s="1"/>
  <c r="CE553" i="10"/>
  <c r="CH553" i="10" s="1"/>
  <c r="CL515" i="10"/>
  <c r="CM515" i="10" s="1"/>
  <c r="CN515" i="10" s="1" a="1"/>
  <c r="CN515" i="10" s="1"/>
  <c r="BT533" i="10"/>
  <c r="BU533" i="10" s="1"/>
  <c r="BF546" i="10"/>
  <c r="BL546" i="10" s="1"/>
  <c r="BM546" i="10" s="1"/>
  <c r="BN546" i="10" s="1" a="1"/>
  <c r="BN546" i="10" s="1"/>
  <c r="CP559" i="10"/>
  <c r="CQ559" i="10" s="1"/>
  <c r="CP536" i="10"/>
  <c r="CQ536" i="10" s="1"/>
  <c r="BP536" i="10"/>
  <c r="BQ536" i="10" s="1"/>
  <c r="BR536" i="10" s="1" a="1"/>
  <c r="BR536" i="10" s="1"/>
  <c r="CH536" i="10"/>
  <c r="CI536" i="10" s="1"/>
  <c r="CJ536" i="10" s="1" a="1"/>
  <c r="CJ536" i="10" s="1"/>
  <c r="BT536" i="10"/>
  <c r="BU536" i="10" s="1"/>
  <c r="BL536" i="10"/>
  <c r="BM536" i="10" s="1"/>
  <c r="BN536" i="10" s="1" a="1"/>
  <c r="BN536" i="10" s="1"/>
  <c r="BF569" i="10"/>
  <c r="BT569" i="10" s="1"/>
  <c r="BU569" i="10" s="1"/>
  <c r="BX547" i="10"/>
  <c r="BY547" i="10" s="1"/>
  <c r="CE551" i="10"/>
  <c r="CL551" i="10" s="1"/>
  <c r="CM551" i="10" s="1"/>
  <c r="CT560" i="10"/>
  <c r="CU560" i="10" s="1"/>
  <c r="BF564" i="10"/>
  <c r="BT564" i="10" s="1"/>
  <c r="BU564" i="10" s="1"/>
  <c r="BV564" i="10" s="1" a="1"/>
  <c r="BV564" i="10" s="1"/>
  <c r="CE571" i="10"/>
  <c r="CL571" i="10" s="1"/>
  <c r="CM571" i="10" s="1"/>
  <c r="CQ571" i="10"/>
  <c r="BF576" i="10"/>
  <c r="BP576" i="10" s="1"/>
  <c r="BQ576" i="10" s="1"/>
  <c r="BT547" i="10"/>
  <c r="BU547" i="10" s="1"/>
  <c r="CT559" i="10"/>
  <c r="CU559" i="10" s="1"/>
  <c r="CE589" i="10"/>
  <c r="CP542" i="10"/>
  <c r="BP550" i="10"/>
  <c r="BQ550" i="10" s="1"/>
  <c r="BR550" i="10" s="1" a="1"/>
  <c r="BR550" i="10" s="1"/>
  <c r="BL560" i="10"/>
  <c r="BM560" i="10" s="1"/>
  <c r="BN560" i="10" s="1" a="1"/>
  <c r="BN560" i="10" s="1"/>
  <c r="CH564" i="10"/>
  <c r="CI564" i="10" s="1"/>
  <c r="CJ564" i="10" s="1" a="1"/>
  <c r="CJ564" i="10" s="1"/>
  <c r="CT590" i="10"/>
  <c r="CU590" i="10" s="1"/>
  <c r="BP552" i="10"/>
  <c r="BQ552" i="10" s="1"/>
  <c r="BR552" i="10" s="1" a="1"/>
  <c r="BR552" i="10" s="1"/>
  <c r="BZ574" i="10" a="1"/>
  <c r="BZ574" i="10" s="1"/>
  <c r="CP589" i="10"/>
  <c r="CQ589" i="10" s="1"/>
  <c r="CE613" i="10"/>
  <c r="CU613" i="10"/>
  <c r="CE645" i="10"/>
  <c r="CL536" i="10"/>
  <c r="CM536" i="10" s="1"/>
  <c r="BT555" i="10"/>
  <c r="BU555" i="10" s="1"/>
  <c r="BV555" i="10" s="1" a="1"/>
  <c r="BV555" i="10" s="1"/>
  <c r="CB582" i="10"/>
  <c r="S582" i="10" s="1"/>
  <c r="CP552" i="10"/>
  <c r="CQ552" i="10" s="1"/>
  <c r="CL572" i="10"/>
  <c r="CM572" i="10" s="1"/>
  <c r="BX596" i="10"/>
  <c r="BY596" i="10" s="1"/>
  <c r="BF625" i="10"/>
  <c r="BT625" i="10" s="1"/>
  <c r="BU625" i="10" s="1"/>
  <c r="BF641" i="10"/>
  <c r="BX641" i="10" s="1"/>
  <c r="BY641" i="10" s="1"/>
  <c r="CE648" i="10"/>
  <c r="CM648" i="10"/>
  <c r="CE656" i="10"/>
  <c r="CH554" i="10"/>
  <c r="CI554" i="10" s="1"/>
  <c r="CJ554" i="10" s="1" a="1"/>
  <c r="CJ554" i="10" s="1"/>
  <c r="CP590" i="10"/>
  <c r="CQ590" i="10" s="1"/>
  <c r="CR590" i="10" s="1" a="1"/>
  <c r="CR590" i="10" s="1"/>
  <c r="BF600" i="10"/>
  <c r="BX615" i="10"/>
  <c r="BY615" i="10" s="1"/>
  <c r="CT628" i="10"/>
  <c r="CU628" i="10" s="1"/>
  <c r="BF636" i="10"/>
  <c r="CE643" i="10"/>
  <c r="CM643" i="10"/>
  <c r="CE647" i="10"/>
  <c r="BF652" i="10"/>
  <c r="CE659" i="10"/>
  <c r="CV594" i="10" a="1"/>
  <c r="CV594" i="10" s="1"/>
  <c r="CP614" i="10"/>
  <c r="CQ614" i="10" s="1"/>
  <c r="CV614" i="10" s="1" a="1"/>
  <c r="CV614" i="10" s="1"/>
  <c r="CL642" i="10"/>
  <c r="CM642" i="10" s="1"/>
  <c r="CM663" i="10"/>
  <c r="CE663" i="10"/>
  <c r="BL598" i="10"/>
  <c r="BM598" i="10" s="1"/>
  <c r="BN598" i="10" s="1" a="1"/>
  <c r="BN598" i="10" s="1"/>
  <c r="BP622" i="10"/>
  <c r="BQ622" i="10" s="1"/>
  <c r="CL564" i="10"/>
  <c r="CM564" i="10" s="1"/>
  <c r="CN564" i="10" s="1" a="1"/>
  <c r="CN564" i="10" s="1"/>
  <c r="BF585" i="10"/>
  <c r="BY585" i="10"/>
  <c r="CU585" i="10"/>
  <c r="CE585" i="10"/>
  <c r="CT610" i="10"/>
  <c r="CU610" i="10" s="1"/>
  <c r="BL555" i="10"/>
  <c r="BM555" i="10" s="1"/>
  <c r="BN555" i="10" s="1" a="1"/>
  <c r="BN555" i="10" s="1"/>
  <c r="BF587" i="10"/>
  <c r="BU587" i="10"/>
  <c r="BT587" i="10"/>
  <c r="BP591" i="10"/>
  <c r="BQ591" i="10" s="1"/>
  <c r="BR591" i="10" s="1" a="1"/>
  <c r="BR591" i="10" s="1"/>
  <c r="BP614" i="10"/>
  <c r="BQ614" i="10" s="1"/>
  <c r="BT566" i="10"/>
  <c r="BU566" i="10" s="1"/>
  <c r="BV566" i="10" s="1" a="1"/>
  <c r="BV566" i="10" s="1"/>
  <c r="CH610" i="10"/>
  <c r="CI610" i="10" s="1"/>
  <c r="CJ610" i="10" s="1" a="1"/>
  <c r="CJ610" i="10" s="1"/>
  <c r="BL611" i="10"/>
  <c r="BM611" i="10" s="1"/>
  <c r="BN611" i="10" s="1" a="1"/>
  <c r="BN611" i="10" s="1"/>
  <c r="CH626" i="10"/>
  <c r="CI626" i="10" s="1"/>
  <c r="CJ626" i="10" s="1" a="1"/>
  <c r="CJ626" i="10" s="1"/>
  <c r="BZ646" i="10" a="1"/>
  <c r="BZ646" i="10" s="1"/>
  <c r="BT650" i="10"/>
  <c r="BU650" i="10" s="1"/>
  <c r="BV650" i="10" s="1" a="1"/>
  <c r="BV650" i="10" s="1"/>
  <c r="CH592" i="10"/>
  <c r="CI592" i="10" s="1"/>
  <c r="CJ592" i="10" s="1" a="1"/>
  <c r="CJ592" i="10" s="1"/>
  <c r="CH638" i="10"/>
  <c r="CI638" i="10" s="1"/>
  <c r="CJ638" i="10" s="1" a="1"/>
  <c r="CJ638" i="10" s="1"/>
  <c r="BP663" i="10"/>
  <c r="BQ663" i="10" s="1"/>
  <c r="BN680" i="10" a="1"/>
  <c r="BN680" i="10" s="1"/>
  <c r="BL720" i="10"/>
  <c r="BM720" i="10" s="1"/>
  <c r="BN720" i="10" s="1" a="1"/>
  <c r="BN720" i="10" s="1"/>
  <c r="BX720" i="10"/>
  <c r="BY720" i="10" s="1"/>
  <c r="BP564" i="10"/>
  <c r="BQ564" i="10" s="1"/>
  <c r="BL662" i="10"/>
  <c r="BM662" i="10" s="1"/>
  <c r="BN662" i="10" s="1" a="1"/>
  <c r="BN662" i="10" s="1"/>
  <c r="BT662" i="10"/>
  <c r="BU662" i="10" s="1"/>
  <c r="BV662" i="10" s="1" a="1"/>
  <c r="BV662" i="10" s="1"/>
  <c r="CL662" i="10"/>
  <c r="CM662" i="10" s="1"/>
  <c r="CN662" i="10" s="1" a="1"/>
  <c r="CN662" i="10" s="1"/>
  <c r="BP662" i="10"/>
  <c r="BQ662" i="10" s="1"/>
  <c r="CH662" i="10"/>
  <c r="CI662" i="10" s="1"/>
  <c r="CJ662" i="10" s="1" a="1"/>
  <c r="CJ662" i="10" s="1"/>
  <c r="CT718" i="10"/>
  <c r="BZ724" i="10" a="1"/>
  <c r="BZ724" i="10" s="1"/>
  <c r="CB724" i="10" s="1"/>
  <c r="S724" i="10" s="1"/>
  <c r="CA724" i="10" a="1"/>
  <c r="CA724" i="10" s="1"/>
  <c r="BL618" i="10"/>
  <c r="BM618" i="10" s="1"/>
  <c r="BN618" i="10" s="1" a="1"/>
  <c r="BN618" i="10" s="1"/>
  <c r="CH673" i="10"/>
  <c r="CI673" i="10" s="1"/>
  <c r="CJ673" i="10" s="1" a="1"/>
  <c r="CJ673" i="10" s="1"/>
  <c r="BP683" i="10"/>
  <c r="BQ683" i="10" s="1"/>
  <c r="BT707" i="10"/>
  <c r="BU707" i="10" s="1"/>
  <c r="BV707" i="10" s="1" a="1"/>
  <c r="BV707" i="10" s="1"/>
  <c r="BF713" i="10"/>
  <c r="CA723" i="10" a="1"/>
  <c r="CA723" i="10" s="1"/>
  <c r="BP607" i="10"/>
  <c r="BQ607" i="10" s="1"/>
  <c r="BR607" i="10" s="1" a="1"/>
  <c r="BR607" i="10" s="1"/>
  <c r="BX703" i="10"/>
  <c r="BY703" i="10" s="1"/>
  <c r="CL733" i="10"/>
  <c r="CH670" i="10"/>
  <c r="CI670" i="10" s="1"/>
  <c r="CJ670" i="10" s="1" a="1"/>
  <c r="CJ670" i="10" s="1"/>
  <c r="BX674" i="10"/>
  <c r="CH679" i="10"/>
  <c r="CI679" i="10" s="1"/>
  <c r="CJ679" i="10" s="1" a="1"/>
  <c r="CJ679" i="10" s="1"/>
  <c r="BL679" i="10"/>
  <c r="BM679" i="10" s="1"/>
  <c r="BN679" i="10" s="1" a="1"/>
  <c r="BN679" i="10" s="1"/>
  <c r="CT679" i="10"/>
  <c r="CU679" i="10" s="1"/>
  <c r="BT679" i="10"/>
  <c r="BU679" i="10" s="1"/>
  <c r="BV679" i="10" s="1" a="1"/>
  <c r="BV679" i="10" s="1"/>
  <c r="BX679" i="10"/>
  <c r="BY679" i="10" s="1"/>
  <c r="BX711" i="10"/>
  <c r="BY711" i="10" s="1"/>
  <c r="BF717" i="10"/>
  <c r="CT726" i="10"/>
  <c r="CU726" i="10" s="1"/>
  <c r="CA736" i="10" a="1"/>
  <c r="CA736" i="10" s="1"/>
  <c r="CW757" i="10" a="1"/>
  <c r="CW757" i="10" s="1"/>
  <c r="CE764" i="10"/>
  <c r="CE772" i="10"/>
  <c r="CE780" i="10"/>
  <c r="CM780" i="10"/>
  <c r="CT793" i="10"/>
  <c r="CU793" i="10" s="1"/>
  <c r="BL619" i="10"/>
  <c r="BM619" i="10" s="1"/>
  <c r="BN619" i="10" s="1" a="1"/>
  <c r="BN619" i="10" s="1"/>
  <c r="BX662" i="10"/>
  <c r="BY662" i="10" s="1"/>
  <c r="BF665" i="10"/>
  <c r="BT665" i="10" s="1"/>
  <c r="BU665" i="10"/>
  <c r="CH693" i="10"/>
  <c r="CI693" i="10" s="1"/>
  <c r="CJ693" i="10" s="1" a="1"/>
  <c r="CJ693" i="10" s="1"/>
  <c r="CE693" i="10"/>
  <c r="CQ693" i="10"/>
  <c r="CH698" i="10"/>
  <c r="CI698" i="10" s="1"/>
  <c r="CJ698" i="10" s="1" a="1"/>
  <c r="CJ698" i="10" s="1"/>
  <c r="CL698" i="10"/>
  <c r="CM698" i="10" s="1"/>
  <c r="CN698" i="10" s="1" a="1"/>
  <c r="CN698" i="10" s="1"/>
  <c r="CV704" i="10" a="1"/>
  <c r="CV704" i="10" s="1"/>
  <c r="CW704" i="10" a="1"/>
  <c r="CW704" i="10" s="1"/>
  <c r="CE721" i="10"/>
  <c r="CH721" i="10" s="1"/>
  <c r="CI721" i="10" s="1"/>
  <c r="CJ721" i="10" s="1" a="1"/>
  <c r="CJ721" i="10" s="1"/>
  <c r="BP740" i="10"/>
  <c r="BQ740" i="10" s="1"/>
  <c r="BR740" i="10" s="1" a="1"/>
  <c r="BR740" i="10" s="1"/>
  <c r="BL740" i="10"/>
  <c r="BM740" i="10" s="1"/>
  <c r="BN740" i="10" s="1" a="1"/>
  <c r="BN740" i="10" s="1"/>
  <c r="BT740" i="10"/>
  <c r="BU740" i="10" s="1"/>
  <c r="BV740" i="10" s="1" a="1"/>
  <c r="BV740" i="10" s="1"/>
  <c r="BL748" i="10"/>
  <c r="BM748" i="10" s="1"/>
  <c r="BN748" i="10" s="1" a="1"/>
  <c r="BN748" i="10" s="1"/>
  <c r="BT748" i="10"/>
  <c r="BU748" i="10" s="1"/>
  <c r="BV748" i="10" s="1" a="1"/>
  <c r="BV748" i="10" s="1"/>
  <c r="BP748" i="10"/>
  <c r="BQ748" i="10" s="1"/>
  <c r="CL757" i="10"/>
  <c r="CM757" i="10" s="1"/>
  <c r="CN757" i="10" s="1" a="1"/>
  <c r="CN757" i="10" s="1"/>
  <c r="CP757" i="10"/>
  <c r="CQ757" i="10" s="1"/>
  <c r="CR757" i="10" s="1" a="1"/>
  <c r="CR757" i="10" s="1"/>
  <c r="CH757" i="10"/>
  <c r="CI757" i="10" s="1"/>
  <c r="CJ757" i="10" s="1" a="1"/>
  <c r="CJ757" i="10" s="1"/>
  <c r="BL768" i="10"/>
  <c r="BM768" i="10" s="1"/>
  <c r="BP768" i="10"/>
  <c r="BQ768" i="10" s="1"/>
  <c r="BR768" i="10" s="1" a="1"/>
  <c r="BR768" i="10" s="1"/>
  <c r="BZ773" i="10" a="1"/>
  <c r="BZ773" i="10" s="1"/>
  <c r="CL606" i="10"/>
  <c r="CM606" i="10" s="1"/>
  <c r="CN606" i="10" s="1" a="1"/>
  <c r="CN606" i="10" s="1"/>
  <c r="BF673" i="10"/>
  <c r="BY673" i="10"/>
  <c r="CE718" i="10"/>
  <c r="CL718" i="10" s="1"/>
  <c r="CM718" i="10" s="1"/>
  <c r="CN718" i="10" s="1" a="1"/>
  <c r="CN718" i="10" s="1"/>
  <c r="CU718" i="10"/>
  <c r="CI718" i="10"/>
  <c r="CJ718" i="10" s="1" a="1"/>
  <c r="CJ718" i="10" s="1"/>
  <c r="CT734" i="10"/>
  <c r="CU734" i="10" s="1"/>
  <c r="CE798" i="10"/>
  <c r="CM798" i="10"/>
  <c r="BX800" i="10"/>
  <c r="BY800" i="10" s="1"/>
  <c r="CR759" i="10" a="1"/>
  <c r="CR759" i="10" s="1"/>
  <c r="CW783" i="10" a="1"/>
  <c r="CW783" i="10" s="1"/>
  <c r="CV783" i="10" a="1"/>
  <c r="CV783" i="10" s="1"/>
  <c r="CR803" i="10" a="1"/>
  <c r="CR803" i="10" s="1"/>
  <c r="CB741" i="10"/>
  <c r="S741" i="10" s="1"/>
  <c r="CB773" i="10"/>
  <c r="S773" i="10" s="1"/>
  <c r="CV799" i="10" a="1"/>
  <c r="CV799" i="10" s="1"/>
  <c r="CW799" i="10" a="1"/>
  <c r="CW799" i="10" s="1"/>
  <c r="CA811" i="10" a="1"/>
  <c r="CA811" i="10" s="1"/>
  <c r="BV863" i="10" a="1"/>
  <c r="BV863" i="10" s="1"/>
  <c r="CW822" i="10" a="1"/>
  <c r="CW822" i="10" s="1"/>
  <c r="CV822" i="10" a="1"/>
  <c r="CV822" i="10" s="1"/>
  <c r="CA833" i="10" a="1"/>
  <c r="CA833" i="10" s="1"/>
  <c r="BV846" i="10" a="1"/>
  <c r="BV846" i="10" s="1"/>
  <c r="BR846" i="10" a="1"/>
  <c r="BR846" i="10" s="1"/>
  <c r="BN851" i="10" a="1"/>
  <c r="BN851" i="10" s="1"/>
  <c r="CN850" i="10" a="1"/>
  <c r="CN850" i="10" s="1"/>
  <c r="CR866" i="10" a="1"/>
  <c r="CR866" i="10" s="1"/>
  <c r="CV866" i="10" a="1"/>
  <c r="CV866" i="10" s="1"/>
  <c r="BV854" i="10" a="1"/>
  <c r="BV854" i="10" s="1"/>
  <c r="CA939" i="10" a="1"/>
  <c r="CA939" i="10" s="1"/>
  <c r="CA947" i="10" a="1"/>
  <c r="CA947" i="10" s="1"/>
  <c r="CA955" i="10" a="1"/>
  <c r="CA955" i="10" s="1"/>
  <c r="BV866" i="10" a="1"/>
  <c r="BV866" i="10" s="1"/>
  <c r="CW959" i="10" a="1"/>
  <c r="CW959" i="10" s="1"/>
  <c r="BR841" i="10" a="1"/>
  <c r="BR841" i="10" s="1"/>
  <c r="CA923" i="10" a="1"/>
  <c r="CA923" i="10" s="1"/>
  <c r="BV962" i="10" a="1"/>
  <c r="BV962" i="10" s="1"/>
  <c r="BV970" i="10" a="1"/>
  <c r="BV970" i="10" s="1"/>
  <c r="BR977" i="10" a="1"/>
  <c r="BR977" i="10" s="1"/>
  <c r="CW1020" i="10" a="1"/>
  <c r="CW1020" i="10" s="1"/>
  <c r="CR991" i="10" a="1"/>
  <c r="CR991" i="10" s="1"/>
  <c r="BT428" i="10"/>
  <c r="BU428" i="10" s="1"/>
  <c r="BY394" i="10"/>
  <c r="BF394" i="10"/>
  <c r="BL394" i="10" s="1"/>
  <c r="BM394" i="10" s="1"/>
  <c r="BN394" i="10" s="1" a="1"/>
  <c r="BN394" i="10" s="1"/>
  <c r="BL424" i="10"/>
  <c r="BM424" i="10" s="1"/>
  <c r="BN424" i="10" s="1" a="1"/>
  <c r="BN424" i="10" s="1"/>
  <c r="CH424" i="10"/>
  <c r="CI424" i="10" s="1"/>
  <c r="CJ424" i="10" s="1" a="1"/>
  <c r="CJ424" i="10" s="1"/>
  <c r="BP424" i="10"/>
  <c r="BQ424" i="10" s="1"/>
  <c r="BR424" i="10" s="1" a="1"/>
  <c r="BR424" i="10" s="1"/>
  <c r="BQ453" i="10"/>
  <c r="BF453" i="10"/>
  <c r="BX453" i="10" s="1"/>
  <c r="BY453" i="10" s="1"/>
  <c r="BU453" i="10"/>
  <c r="CT424" i="10"/>
  <c r="CU424" i="10" s="1"/>
  <c r="CJ465" i="10" a="1"/>
  <c r="CJ465" i="10" s="1"/>
  <c r="BL380" i="10"/>
  <c r="BM380" i="10" s="1"/>
  <c r="BN380" i="10" s="1" a="1"/>
  <c r="BN380" i="10" s="1"/>
  <c r="CH380" i="10"/>
  <c r="CI380" i="10" s="1"/>
  <c r="CJ380" i="10" s="1" a="1"/>
  <c r="CJ380" i="10" s="1"/>
  <c r="BP380" i="10"/>
  <c r="BQ380" i="10" s="1"/>
  <c r="CE461" i="10"/>
  <c r="CE494" i="10"/>
  <c r="CH494" i="10" s="1"/>
  <c r="CI494" i="10" s="1"/>
  <c r="CJ494" i="10" s="1" a="1"/>
  <c r="CJ494" i="10" s="1"/>
  <c r="CM494" i="10"/>
  <c r="CE469" i="10"/>
  <c r="CP469" i="10" s="1"/>
  <c r="CQ469" i="10" s="1"/>
  <c r="CE485" i="10"/>
  <c r="CH485" i="10" s="1"/>
  <c r="CI485" i="10" s="1"/>
  <c r="CJ485" i="10" s="1" a="1"/>
  <c r="CJ485" i="10" s="1"/>
  <c r="CE501" i="10"/>
  <c r="BL406" i="10"/>
  <c r="BM406" i="10" s="1"/>
  <c r="BN406" i="10" s="1" a="1"/>
  <c r="BN406" i="10" s="1"/>
  <c r="CH406" i="10"/>
  <c r="CI406" i="10" s="1"/>
  <c r="CJ406" i="10" s="1" a="1"/>
  <c r="CJ406" i="10" s="1"/>
  <c r="BL423" i="10"/>
  <c r="BM423" i="10" s="1"/>
  <c r="BN423" i="10" s="1" a="1"/>
  <c r="BN423" i="10" s="1"/>
  <c r="BT454" i="10"/>
  <c r="BU454" i="10" s="1"/>
  <c r="BF459" i="10"/>
  <c r="BT459" i="10" s="1"/>
  <c r="BU459" i="10" s="1"/>
  <c r="BN473" i="10" a="1"/>
  <c r="BN473" i="10" s="1"/>
  <c r="BN505" i="10" a="1"/>
  <c r="BN505" i="10" s="1"/>
  <c r="CH427" i="10"/>
  <c r="CI427" i="10" s="1"/>
  <c r="BP454" i="10"/>
  <c r="BQ454" i="10" s="1"/>
  <c r="BR454" i="10" s="1" a="1"/>
  <c r="BR454" i="10" s="1"/>
  <c r="BF475" i="10"/>
  <c r="BL475" i="10" s="1"/>
  <c r="BM475" i="10" s="1"/>
  <c r="BN475" i="10" s="1" a="1"/>
  <c r="BN475" i="10" s="1"/>
  <c r="BU475" i="10"/>
  <c r="BF487" i="10"/>
  <c r="BL487" i="10" s="1"/>
  <c r="BM487" i="10" s="1"/>
  <c r="BN487" i="10" s="1" a="1"/>
  <c r="BN487" i="10" s="1"/>
  <c r="CT506" i="10"/>
  <c r="CU506" i="10" s="1"/>
  <c r="CL460" i="10"/>
  <c r="CM460" i="10" s="1"/>
  <c r="CN460" i="10" s="1" a="1"/>
  <c r="CN460" i="10" s="1"/>
  <c r="CX460" i="10" s="1"/>
  <c r="Z460" i="10" s="1"/>
  <c r="CP476" i="10"/>
  <c r="CQ476" i="10" s="1"/>
  <c r="CR476" i="10" s="1" a="1"/>
  <c r="CR476" i="10" s="1"/>
  <c r="BX477" i="10"/>
  <c r="BY477" i="10" s="1"/>
  <c r="BP456" i="10"/>
  <c r="BQ456" i="10" s="1"/>
  <c r="BR456" i="10" s="1" a="1"/>
  <c r="BR456" i="10" s="1"/>
  <c r="CT467" i="10"/>
  <c r="CU467" i="10" s="1"/>
  <c r="CT491" i="10"/>
  <c r="BL460" i="10"/>
  <c r="BM460" i="10" s="1"/>
  <c r="BN460" i="10" s="1" a="1"/>
  <c r="BN460" i="10" s="1"/>
  <c r="BL479" i="10"/>
  <c r="BM479" i="10" s="1"/>
  <c r="BN479" i="10" s="1" a="1"/>
  <c r="BN479" i="10" s="1"/>
  <c r="BL505" i="10"/>
  <c r="BM505" i="10" s="1"/>
  <c r="BR505" i="10" s="1" a="1"/>
  <c r="BR505" i="10" s="1"/>
  <c r="BT492" i="10"/>
  <c r="BU492" i="10" s="1"/>
  <c r="CE499" i="10"/>
  <c r="CL499" i="10" s="1"/>
  <c r="CM499" i="10" s="1"/>
  <c r="CP524" i="10"/>
  <c r="CQ524" i="10" s="1"/>
  <c r="CR524" i="10" s="1" a="1"/>
  <c r="CR524" i="10" s="1"/>
  <c r="BP524" i="10"/>
  <c r="BQ524" i="10" s="1"/>
  <c r="CH524" i="10"/>
  <c r="CI524" i="10" s="1"/>
  <c r="CJ524" i="10" s="1" a="1"/>
  <c r="CJ524" i="10" s="1"/>
  <c r="BL524" i="10"/>
  <c r="BM524" i="10" s="1"/>
  <c r="BN524" i="10" s="1" a="1"/>
  <c r="BN524" i="10" s="1"/>
  <c r="BX494" i="10"/>
  <c r="CM525" i="10"/>
  <c r="CE525" i="10"/>
  <c r="CH525" i="10" s="1"/>
  <c r="CI525" i="10" s="1"/>
  <c r="CJ525" i="10" s="1" a="1"/>
  <c r="CJ525" i="10" s="1"/>
  <c r="BF483" i="10"/>
  <c r="BT500" i="10"/>
  <c r="BU500" i="10" s="1"/>
  <c r="BV500" i="10" s="1" a="1"/>
  <c r="BV500" i="10" s="1"/>
  <c r="BF526" i="10"/>
  <c r="BX526" i="10" s="1"/>
  <c r="BY526" i="10" s="1"/>
  <c r="BP495" i="10"/>
  <c r="BQ495" i="10" s="1"/>
  <c r="CT515" i="10"/>
  <c r="CU515" i="10" s="1"/>
  <c r="BX529" i="10"/>
  <c r="BY529" i="10" s="1"/>
  <c r="CT530" i="10"/>
  <c r="CU530" i="10" s="1"/>
  <c r="BL575" i="10"/>
  <c r="BM575" i="10" s="1"/>
  <c r="BN575" i="10" s="1" a="1"/>
  <c r="BN575" i="10" s="1"/>
  <c r="BP575" i="10"/>
  <c r="BQ575" i="10" s="1"/>
  <c r="BR575" i="10" s="1" a="1"/>
  <c r="BR575" i="10" s="1"/>
  <c r="CE514" i="10"/>
  <c r="CH514" i="10" s="1"/>
  <c r="CI514" i="10" s="1"/>
  <c r="CJ514" i="10" s="1" a="1"/>
  <c r="CJ514" i="10" s="1"/>
  <c r="CP539" i="10"/>
  <c r="CQ539" i="10" s="1"/>
  <c r="CI549" i="10"/>
  <c r="CJ549" i="10" s="1" a="1"/>
  <c r="CJ549" i="10" s="1"/>
  <c r="CE549" i="10"/>
  <c r="CH549" i="10" s="1"/>
  <c r="CL553" i="10"/>
  <c r="CM553" i="10" s="1"/>
  <c r="CN553" i="10" s="1" a="1"/>
  <c r="CN553" i="10" s="1"/>
  <c r="BT546" i="10"/>
  <c r="BU546" i="10" s="1"/>
  <c r="BQ549" i="10"/>
  <c r="BY549" i="10"/>
  <c r="BF549" i="10"/>
  <c r="CE547" i="10"/>
  <c r="CT547" i="10" s="1"/>
  <c r="CU547" i="10" s="1"/>
  <c r="CI547" i="10"/>
  <c r="CJ547" i="10" s="1" a="1"/>
  <c r="CJ547" i="10" s="1"/>
  <c r="CT556" i="10"/>
  <c r="CU556" i="10" s="1"/>
  <c r="CT564" i="10"/>
  <c r="CU564" i="10" s="1"/>
  <c r="BF568" i="10"/>
  <c r="BT568" i="10" s="1"/>
  <c r="BU568" i="10" s="1"/>
  <c r="CT576" i="10"/>
  <c r="CU576" i="10" s="1"/>
  <c r="BF584" i="10"/>
  <c r="BP584" i="10" s="1"/>
  <c r="BQ584" i="10" s="1"/>
  <c r="BL548" i="10"/>
  <c r="BM548" i="10" s="1"/>
  <c r="BN548" i="10" s="1" a="1"/>
  <c r="BN548" i="10" s="1"/>
  <c r="CP560" i="10"/>
  <c r="CQ560" i="10" s="1"/>
  <c r="CH570" i="10"/>
  <c r="CI570" i="10" s="1"/>
  <c r="CJ570" i="10" s="1" a="1"/>
  <c r="CJ570" i="10" s="1"/>
  <c r="CE573" i="10"/>
  <c r="CL573" i="10" s="1"/>
  <c r="CM573" i="10" s="1"/>
  <c r="CU573" i="10"/>
  <c r="BX589" i="10"/>
  <c r="BY589" i="10" s="1"/>
  <c r="CH551" i="10"/>
  <c r="CI551" i="10" s="1"/>
  <c r="CJ551" i="10" s="1" a="1"/>
  <c r="CJ551" i="10" s="1"/>
  <c r="CH560" i="10"/>
  <c r="CI560" i="10" s="1"/>
  <c r="CJ560" i="10" s="1" a="1"/>
  <c r="CJ560" i="10" s="1"/>
  <c r="CP554" i="10"/>
  <c r="CQ554" i="10" s="1"/>
  <c r="CR554" i="10" s="1" a="1"/>
  <c r="CR554" i="10" s="1"/>
  <c r="BX562" i="10"/>
  <c r="BY562" i="10" s="1"/>
  <c r="CE633" i="10"/>
  <c r="CL645" i="10"/>
  <c r="CM645" i="10" s="1"/>
  <c r="BT550" i="10"/>
  <c r="BU550" i="10" s="1"/>
  <c r="BV550" i="10" s="1" a="1"/>
  <c r="BV550" i="10" s="1"/>
  <c r="CP568" i="10"/>
  <c r="CQ568" i="10" s="1"/>
  <c r="CP580" i="10"/>
  <c r="CQ580" i="10" s="1"/>
  <c r="CE581" i="10"/>
  <c r="CL581" i="10" s="1"/>
  <c r="CM581" i="10" s="1"/>
  <c r="CU581" i="10"/>
  <c r="BP589" i="10"/>
  <c r="BQ589" i="10" s="1"/>
  <c r="BR589" i="10" s="1" a="1"/>
  <c r="BR589" i="10" s="1"/>
  <c r="CP538" i="10"/>
  <c r="CQ538" i="10" s="1"/>
  <c r="CR538" i="10" s="1" a="1"/>
  <c r="CR538" i="10" s="1"/>
  <c r="CL583" i="10"/>
  <c r="CH589" i="10"/>
  <c r="CI589" i="10" s="1"/>
  <c r="CJ589" i="10" s="1" a="1"/>
  <c r="CJ589" i="10" s="1"/>
  <c r="BL589" i="10"/>
  <c r="BM589" i="10" s="1"/>
  <c r="BN589" i="10" s="1" a="1"/>
  <c r="BN589" i="10" s="1"/>
  <c r="BP603" i="10"/>
  <c r="BQ603" i="10" s="1"/>
  <c r="CE616" i="10"/>
  <c r="CL616" i="10" s="1"/>
  <c r="CM616" i="10" s="1"/>
  <c r="CE632" i="10"/>
  <c r="CT641" i="10"/>
  <c r="CU641" i="10" s="1"/>
  <c r="CL648" i="10"/>
  <c r="CL546" i="10"/>
  <c r="CM546" i="10" s="1"/>
  <c r="CL560" i="10"/>
  <c r="CM560" i="10" s="1"/>
  <c r="CN560" i="10" s="1" a="1"/>
  <c r="CN560" i="10" s="1"/>
  <c r="CL576" i="10"/>
  <c r="CM576" i="10" s="1"/>
  <c r="CN576" i="10" s="1" a="1"/>
  <c r="CN576" i="10" s="1"/>
  <c r="CL582" i="10"/>
  <c r="CM582" i="10" s="1"/>
  <c r="CE615" i="10"/>
  <c r="CM615" i="10"/>
  <c r="BX619" i="10"/>
  <c r="BY619" i="10" s="1"/>
  <c r="BF640" i="10"/>
  <c r="CL643" i="10"/>
  <c r="CL647" i="10"/>
  <c r="CM647" i="10" s="1"/>
  <c r="CL659" i="10"/>
  <c r="CM659" i="10" s="1"/>
  <c r="BT603" i="10"/>
  <c r="BU603" i="10" s="1"/>
  <c r="CT634" i="10"/>
  <c r="CU634" i="10" s="1"/>
  <c r="BP574" i="10"/>
  <c r="BQ574" i="10" s="1"/>
  <c r="BL574" i="10"/>
  <c r="BM574" i="10" s="1"/>
  <c r="BN574" i="10" s="1" a="1"/>
  <c r="BN574" i="10" s="1"/>
  <c r="CH574" i="10"/>
  <c r="CI574" i="10" s="1"/>
  <c r="CJ574" i="10" s="1" a="1"/>
  <c r="CJ574" i="10" s="1"/>
  <c r="BX598" i="10"/>
  <c r="BY598" i="10" s="1"/>
  <c r="BT643" i="10"/>
  <c r="BU643" i="10" s="1"/>
  <c r="BV643" i="10" s="1" a="1"/>
  <c r="BV643" i="10" s="1"/>
  <c r="BX585" i="10"/>
  <c r="BT623" i="10"/>
  <c r="BU623" i="10" s="1"/>
  <c r="BV623" i="10" s="1" a="1"/>
  <c r="BV623" i="10" s="1"/>
  <c r="CT661" i="10"/>
  <c r="CU661" i="10" s="1"/>
  <c r="BX552" i="10"/>
  <c r="BY552" i="10" s="1"/>
  <c r="BX556" i="10"/>
  <c r="BY556" i="10" s="1"/>
  <c r="CL574" i="10"/>
  <c r="CM574" i="10" s="1"/>
  <c r="CN574" i="10" s="1" a="1"/>
  <c r="CN574" i="10" s="1"/>
  <c r="BT635" i="10"/>
  <c r="BU635" i="10" s="1"/>
  <c r="BV635" i="10" s="1" a="1"/>
  <c r="BV635" i="10" s="1"/>
  <c r="BF653" i="10"/>
  <c r="BT653" i="10" s="1"/>
  <c r="BU653" i="10" s="1"/>
  <c r="CH582" i="10"/>
  <c r="CI582" i="10" s="1"/>
  <c r="CJ582" i="10" s="1" a="1"/>
  <c r="CJ582" i="10" s="1"/>
  <c r="BL626" i="10"/>
  <c r="BM626" i="10" s="1"/>
  <c r="BN626" i="10" s="1" a="1"/>
  <c r="BN626" i="10" s="1"/>
  <c r="CP630" i="10"/>
  <c r="CQ630" i="10" s="1"/>
  <c r="CR630" i="10" s="1" a="1"/>
  <c r="CR630" i="10" s="1"/>
  <c r="CM680" i="10"/>
  <c r="CE680" i="10"/>
  <c r="CH594" i="10"/>
  <c r="CI594" i="10" s="1"/>
  <c r="CJ594" i="10" s="1" a="1"/>
  <c r="CJ594" i="10" s="1"/>
  <c r="BP594" i="10"/>
  <c r="BQ594" i="10" s="1"/>
  <c r="BL594" i="10"/>
  <c r="BM594" i="10" s="1"/>
  <c r="BN594" i="10" s="1" a="1"/>
  <c r="BN594" i="10" s="1"/>
  <c r="BL638" i="10"/>
  <c r="BM638" i="10" s="1"/>
  <c r="BN638" i="10" s="1" a="1"/>
  <c r="BN638" i="10" s="1"/>
  <c r="BT651" i="10"/>
  <c r="BU651" i="10" s="1"/>
  <c r="BV651" i="10" s="1" a="1"/>
  <c r="BV651" i="10" s="1"/>
  <c r="BF660" i="10"/>
  <c r="CH683" i="10"/>
  <c r="CI683" i="10" s="1"/>
  <c r="CJ683" i="10" s="1" a="1"/>
  <c r="CJ683" i="10" s="1"/>
  <c r="BL683" i="10"/>
  <c r="BM683" i="10" s="1"/>
  <c r="BN683" i="10" s="1" a="1"/>
  <c r="BN683" i="10" s="1"/>
  <c r="CP683" i="10"/>
  <c r="CQ683" i="10" s="1"/>
  <c r="CR683" i="10" s="1" a="1"/>
  <c r="CR683" i="10" s="1"/>
  <c r="CT683" i="10"/>
  <c r="CU683" i="10" s="1"/>
  <c r="BP713" i="10"/>
  <c r="BQ713" i="10" s="1"/>
  <c r="BF718" i="10"/>
  <c r="BP718" i="10" s="1"/>
  <c r="BQ718" i="10"/>
  <c r="CH731" i="10"/>
  <c r="CI731" i="10" s="1"/>
  <c r="CJ731" i="10" s="1" a="1"/>
  <c r="CJ731" i="10" s="1"/>
  <c r="BL731" i="10"/>
  <c r="BM731" i="10" s="1"/>
  <c r="BN731" i="10" s="1" a="1"/>
  <c r="BN731" i="10" s="1"/>
  <c r="CT731" i="10"/>
  <c r="CU731" i="10" s="1"/>
  <c r="CL731" i="10"/>
  <c r="CM731" i="10" s="1"/>
  <c r="BX731" i="10"/>
  <c r="BY731" i="10" s="1"/>
  <c r="BT731" i="10"/>
  <c r="BU731" i="10" s="1"/>
  <c r="CE737" i="10"/>
  <c r="CL737" i="10" s="1"/>
  <c r="CM737" i="10" s="1"/>
  <c r="CP764" i="10"/>
  <c r="CQ764" i="10" s="1"/>
  <c r="CT602" i="10"/>
  <c r="CU602" i="10" s="1"/>
  <c r="CL618" i="10"/>
  <c r="CM618" i="10" s="1"/>
  <c r="CN618" i="10" s="1" a="1"/>
  <c r="CN618" i="10" s="1"/>
  <c r="CP662" i="10"/>
  <c r="CQ662" i="10" s="1"/>
  <c r="CV662" i="10" s="1" a="1"/>
  <c r="CV662" i="10" s="1"/>
  <c r="BF722" i="10"/>
  <c r="BQ722" i="10"/>
  <c r="BP731" i="10"/>
  <c r="BQ731" i="10" s="1"/>
  <c r="BR731" i="10" s="1" a="1"/>
  <c r="BR731" i="10" s="1"/>
  <c r="CP607" i="10"/>
  <c r="CQ607" i="10" s="1"/>
  <c r="BX650" i="10"/>
  <c r="BY650" i="10" s="1"/>
  <c r="BT690" i="10"/>
  <c r="BU690" i="10" s="1"/>
  <c r="BV690" i="10" s="1" a="1"/>
  <c r="BV690" i="10" s="1"/>
  <c r="CE733" i="10"/>
  <c r="CT733" i="10" s="1"/>
  <c r="CU733" i="10" s="1"/>
  <c r="CM733" i="10"/>
  <c r="BX757" i="10"/>
  <c r="BY757" i="10" s="1"/>
  <c r="BT639" i="10"/>
  <c r="BU639" i="10" s="1"/>
  <c r="BV639" i="10" s="1" a="1"/>
  <c r="BV639" i="10" s="1"/>
  <c r="CL670" i="10"/>
  <c r="CM670" i="10" s="1"/>
  <c r="CN670" i="10" s="1" a="1"/>
  <c r="CN670" i="10" s="1"/>
  <c r="CL683" i="10"/>
  <c r="CM683" i="10" s="1"/>
  <c r="CN683" i="10" s="1" a="1"/>
  <c r="CN683" i="10" s="1"/>
  <c r="CL694" i="10"/>
  <c r="CM694" i="10" s="1"/>
  <c r="CN694" i="10" s="1" a="1"/>
  <c r="CN694" i="10" s="1"/>
  <c r="CH719" i="10"/>
  <c r="CI719" i="10" s="1"/>
  <c r="CJ719" i="10" s="1" a="1"/>
  <c r="CJ719" i="10" s="1"/>
  <c r="BL719" i="10"/>
  <c r="BM719" i="10" s="1"/>
  <c r="BN719" i="10" s="1" a="1"/>
  <c r="BN719" i="10" s="1"/>
  <c r="CT719" i="10"/>
  <c r="CU719" i="10" s="1"/>
  <c r="CL719" i="10"/>
  <c r="CM719" i="10" s="1"/>
  <c r="CN719" i="10" s="1" a="1"/>
  <c r="CN719" i="10" s="1"/>
  <c r="BF726" i="10"/>
  <c r="BL726" i="10" s="1"/>
  <c r="BM726" i="10" s="1"/>
  <c r="BN726" i="10" s="1" a="1"/>
  <c r="BN726" i="10" s="1"/>
  <c r="BP737" i="10"/>
  <c r="BQ737" i="10" s="1"/>
  <c r="BR737" i="10" s="1" a="1"/>
  <c r="BR737" i="10" s="1"/>
  <c r="BZ748" i="10" a="1"/>
  <c r="BZ748" i="10" s="1"/>
  <c r="BF753" i="10"/>
  <c r="BP753" i="10" s="1"/>
  <c r="BQ753" i="10" s="1"/>
  <c r="CL764" i="10"/>
  <c r="CM764" i="10" s="1"/>
  <c r="CL772" i="10"/>
  <c r="CM772" i="10" s="1"/>
  <c r="CL780" i="10"/>
  <c r="BF797" i="10"/>
  <c r="BL797" i="10" s="1"/>
  <c r="BM797" i="10" s="1"/>
  <c r="BN797" i="10" s="1" a="1"/>
  <c r="BN797" i="10" s="1"/>
  <c r="BT646" i="10"/>
  <c r="BU646" i="10" s="1"/>
  <c r="BV646" i="10" s="1" a="1"/>
  <c r="BV646" i="10" s="1"/>
  <c r="CU665" i="10"/>
  <c r="CE665" i="10"/>
  <c r="CL665" i="10" s="1"/>
  <c r="CM665" i="10" s="1"/>
  <c r="BZ716" i="10" a="1"/>
  <c r="BZ716" i="10" s="1"/>
  <c r="CB716" i="10" s="1"/>
  <c r="S716" i="10" s="1"/>
  <c r="CA716" i="10" a="1"/>
  <c r="CA716" i="10" s="1"/>
  <c r="CH753" i="10"/>
  <c r="CI753" i="10" s="1"/>
  <c r="CJ753" i="10" s="1" a="1"/>
  <c r="CJ753" i="10" s="1"/>
  <c r="CL753" i="10"/>
  <c r="CM753" i="10" s="1"/>
  <c r="CN753" i="10" s="1" a="1"/>
  <c r="CN753" i="10" s="1"/>
  <c r="CL773" i="10"/>
  <c r="CM773" i="10" s="1"/>
  <c r="CN773" i="10" s="1" a="1"/>
  <c r="CN773" i="10" s="1"/>
  <c r="CP773" i="10"/>
  <c r="CQ773" i="10" s="1"/>
  <c r="CH773" i="10"/>
  <c r="CI773" i="10" s="1"/>
  <c r="CJ773" i="10" s="1" a="1"/>
  <c r="CJ773" i="10" s="1"/>
  <c r="BX606" i="10"/>
  <c r="BY606" i="10" s="1"/>
  <c r="BT719" i="10"/>
  <c r="BU719" i="10" s="1"/>
  <c r="CP730" i="10"/>
  <c r="CQ730" i="10" s="1"/>
  <c r="CR730" i="10" s="1" a="1"/>
  <c r="CR730" i="10" s="1"/>
  <c r="BF734" i="10"/>
  <c r="BL734" i="10" s="1"/>
  <c r="BM734" i="10" s="1"/>
  <c r="BN734" i="10" s="1" a="1"/>
  <c r="BN734" i="10" s="1"/>
  <c r="BZ740" i="10" a="1"/>
  <c r="BZ740" i="10" s="1"/>
  <c r="BZ780" i="10" a="1"/>
  <c r="BZ780" i="10" s="1"/>
  <c r="CL754" i="10"/>
  <c r="CM754" i="10" s="1"/>
  <c r="BF754" i="10"/>
  <c r="BX754" i="10" s="1"/>
  <c r="BY754" i="10" s="1"/>
  <c r="CB765" i="10"/>
  <c r="S765" i="10" s="1"/>
  <c r="CP789" i="10"/>
  <c r="CQ789" i="10" s="1"/>
  <c r="CR789" i="10" s="1" a="1"/>
  <c r="CR789" i="10" s="1"/>
  <c r="BV794" i="10" a="1"/>
  <c r="BV794" i="10" s="1"/>
  <c r="CV814" i="10" a="1"/>
  <c r="CV814" i="10" s="1"/>
  <c r="CW814" i="10" a="1"/>
  <c r="CW814" i="10" s="1"/>
  <c r="CN825" i="10" a="1"/>
  <c r="CN825" i="10" s="1"/>
  <c r="CR825" i="10" a="1"/>
  <c r="CR825" i="10" s="1"/>
  <c r="BV814" i="10" a="1"/>
  <c r="BV814" i="10" s="1"/>
  <c r="CA827" i="10" a="1"/>
  <c r="CA827" i="10" s="1"/>
  <c r="BR862" i="10" a="1"/>
  <c r="BR862" i="10" s="1"/>
  <c r="BZ838" i="10" a="1"/>
  <c r="BZ838" i="10" s="1"/>
  <c r="CA838" i="10" a="1"/>
  <c r="CA838" i="10" s="1"/>
  <c r="CB838" i="10" s="1"/>
  <c r="S838" i="10" s="1"/>
  <c r="CA850" i="10" a="1"/>
  <c r="CA850" i="10" s="1"/>
  <c r="BZ850" i="10" a="1"/>
  <c r="BZ850" i="10" s="1"/>
  <c r="BR870" i="10" a="1"/>
  <c r="BR870" i="10" s="1"/>
  <c r="CR894" i="10" a="1"/>
  <c r="CR894" i="10" s="1"/>
  <c r="CV894" i="10" a="1"/>
  <c r="CV894" i="10" s="1"/>
  <c r="BR932" i="10" a="1"/>
  <c r="BR932" i="10" s="1"/>
  <c r="BV842" i="10" a="1"/>
  <c r="BV842" i="10" s="1"/>
  <c r="BZ866" i="10" a="1"/>
  <c r="BZ866" i="10" s="1"/>
  <c r="CA866" i="10" a="1"/>
  <c r="CA866" i="10" s="1"/>
  <c r="BR901" i="10" a="1"/>
  <c r="BR901" i="10" s="1"/>
  <c r="CA899" i="10" a="1"/>
  <c r="CA899" i="10" s="1"/>
  <c r="BZ899" i="10" a="1"/>
  <c r="BZ899" i="10" s="1"/>
  <c r="BZ841" i="10" a="1"/>
  <c r="BZ841" i="10" s="1"/>
  <c r="CA841" i="10" a="1"/>
  <c r="CA841" i="10" s="1"/>
  <c r="CH918" i="10"/>
  <c r="CA919" i="10" a="1"/>
  <c r="CA919" i="10" s="1"/>
  <c r="BZ962" i="10" a="1"/>
  <c r="BZ962" i="10" s="1"/>
  <c r="CA962" i="10" a="1"/>
  <c r="CA962" i="10" s="1"/>
  <c r="BV966" i="10" a="1"/>
  <c r="BV966" i="10" s="1"/>
  <c r="CL965" i="10"/>
  <c r="CM965" i="10" s="1"/>
  <c r="CN965" i="10" s="1" a="1"/>
  <c r="CN965" i="10" s="1"/>
  <c r="BZ970" i="10" a="1"/>
  <c r="BZ970" i="10" s="1"/>
  <c r="CA970" i="10" a="1"/>
  <c r="CA970" i="10" s="1"/>
  <c r="BR908" i="10" a="1"/>
  <c r="BR908" i="10" s="1"/>
  <c r="BR920" i="10" a="1"/>
  <c r="BR920" i="10" s="1"/>
  <c r="CW1016" i="10" a="1"/>
  <c r="CW1016" i="10" s="1"/>
  <c r="CL433" i="10"/>
  <c r="CM433" i="10" s="1"/>
  <c r="CN433" i="10" s="1" a="1"/>
  <c r="CN433" i="10" s="1"/>
  <c r="CT441" i="10"/>
  <c r="CU441" i="10" s="1"/>
  <c r="CT453" i="10"/>
  <c r="CU453" i="10" s="1"/>
  <c r="CL398" i="10"/>
  <c r="CM398" i="10" s="1"/>
  <c r="CE437" i="10"/>
  <c r="CT437" i="10" s="1"/>
  <c r="CU437" i="10" s="1"/>
  <c r="CE451" i="10"/>
  <c r="CM451" i="10"/>
  <c r="CN456" i="10" a="1"/>
  <c r="CN456" i="10" s="1"/>
  <c r="CX456" i="10" s="1"/>
  <c r="Z456" i="10" s="1"/>
  <c r="CE457" i="10"/>
  <c r="CH428" i="10"/>
  <c r="CI428" i="10" s="1"/>
  <c r="CJ428" i="10" s="1" a="1"/>
  <c r="CJ428" i="10" s="1"/>
  <c r="CP428" i="10"/>
  <c r="CQ428" i="10" s="1"/>
  <c r="CR428" i="10" s="1" a="1"/>
  <c r="CR428" i="10" s="1"/>
  <c r="CL428" i="10"/>
  <c r="CM428" i="10" s="1"/>
  <c r="BL428" i="10"/>
  <c r="BM428" i="10" s="1"/>
  <c r="BN428" i="10" s="1" a="1"/>
  <c r="BN428" i="10" s="1"/>
  <c r="BT444" i="10"/>
  <c r="BU444" i="10" s="1"/>
  <c r="BV444" i="10" s="1" a="1"/>
  <c r="BV444" i="10" s="1"/>
  <c r="CE474" i="10"/>
  <c r="CU474" i="10"/>
  <c r="CL494" i="10"/>
  <c r="CN442" i="10" a="1"/>
  <c r="CN442" i="10" s="1"/>
  <c r="BL446" i="10"/>
  <c r="BM446" i="10" s="1"/>
  <c r="BN446" i="10" s="1" a="1"/>
  <c r="BN446" i="10" s="1"/>
  <c r="BP459" i="10"/>
  <c r="BQ459" i="10" s="1"/>
  <c r="CL469" i="10"/>
  <c r="CM469" i="10" s="1"/>
  <c r="BU474" i="10"/>
  <c r="BF474" i="10"/>
  <c r="BX474" i="10" s="1"/>
  <c r="BY474" i="10" s="1"/>
  <c r="BF490" i="10"/>
  <c r="BL490" i="10" s="1"/>
  <c r="BM490" i="10" s="1"/>
  <c r="BN490" i="10" s="1" a="1"/>
  <c r="BN490" i="10" s="1"/>
  <c r="CL501" i="10"/>
  <c r="CM501" i="10" s="1"/>
  <c r="CE509" i="10"/>
  <c r="CH509" i="10" s="1"/>
  <c r="CI509" i="10" s="1"/>
  <c r="CJ509" i="10" s="1" a="1"/>
  <c r="CJ509" i="10" s="1"/>
  <c r="BP434" i="10"/>
  <c r="BX439" i="10"/>
  <c r="BY439" i="10" s="1"/>
  <c r="CL454" i="10"/>
  <c r="CM454" i="10" s="1"/>
  <c r="CN454" i="10" s="1" a="1"/>
  <c r="CN454" i="10" s="1"/>
  <c r="BN469" i="10" a="1"/>
  <c r="BN469" i="10" s="1"/>
  <c r="CH486" i="10"/>
  <c r="BN501" i="10" a="1"/>
  <c r="BN501" i="10" s="1"/>
  <c r="CL434" i="10"/>
  <c r="CM434" i="10" s="1"/>
  <c r="CN434" i="10" s="1" a="1"/>
  <c r="CN434" i="10" s="1"/>
  <c r="BF435" i="10"/>
  <c r="BL435" i="10" s="1"/>
  <c r="BM435" i="10" s="1"/>
  <c r="BN435" i="10" s="1" a="1"/>
  <c r="BN435" i="10" s="1"/>
  <c r="BT446" i="10"/>
  <c r="BU446" i="10" s="1"/>
  <c r="BV446" i="10" s="1" a="1"/>
  <c r="BV446" i="10" s="1"/>
  <c r="CT465" i="10"/>
  <c r="CU465" i="10" s="1"/>
  <c r="BT473" i="10"/>
  <c r="BU473" i="10" s="1"/>
  <c r="CP482" i="10"/>
  <c r="CQ482" i="10" s="1"/>
  <c r="BT489" i="10"/>
  <c r="BU489" i="10" s="1"/>
  <c r="BV489" i="10" s="1" a="1"/>
  <c r="BV489" i="10" s="1"/>
  <c r="BT505" i="10"/>
  <c r="BU505" i="10" s="1"/>
  <c r="BV505" i="10" s="1" a="1"/>
  <c r="BV505" i="10" s="1"/>
  <c r="BL484" i="10"/>
  <c r="BM484" i="10" s="1"/>
  <c r="BN484" i="10" s="1" a="1"/>
  <c r="BN484" i="10" s="1"/>
  <c r="CT484" i="10"/>
  <c r="CU484" i="10" s="1"/>
  <c r="CH484" i="10"/>
  <c r="CI484" i="10" s="1"/>
  <c r="CJ484" i="10" s="1" a="1"/>
  <c r="CJ484" i="10" s="1"/>
  <c r="CP484" i="10"/>
  <c r="CQ484" i="10" s="1"/>
  <c r="BP484" i="10"/>
  <c r="BQ484" i="10" s="1"/>
  <c r="BR484" i="10" s="1" a="1"/>
  <c r="BR484" i="10" s="1"/>
  <c r="BF506" i="10"/>
  <c r="BT506" i="10" s="1"/>
  <c r="BU506" i="10" s="1"/>
  <c r="BV506" i="10" s="1" a="1"/>
  <c r="BV506" i="10" s="1"/>
  <c r="CE471" i="10"/>
  <c r="CL471" i="10" s="1"/>
  <c r="CM471" i="10" s="1"/>
  <c r="CN444" i="10" a="1"/>
  <c r="CN444" i="10" s="1"/>
  <c r="CX444" i="10" s="1"/>
  <c r="Z444" i="10" s="1"/>
  <c r="BT495" i="10"/>
  <c r="CE495" i="10"/>
  <c r="CH495" i="10" s="1"/>
  <c r="CI495" i="10" s="1"/>
  <c r="CJ495" i="10" s="1" a="1"/>
  <c r="CJ495" i="10" s="1"/>
  <c r="CP479" i="10"/>
  <c r="BF467" i="10"/>
  <c r="BT467" i="10" s="1"/>
  <c r="BU467" i="10" s="1"/>
  <c r="BX468" i="10"/>
  <c r="BY468" i="10" s="1"/>
  <c r="BP475" i="10"/>
  <c r="BQ475" i="10" s="1"/>
  <c r="BR475" i="10" s="1" a="1"/>
  <c r="BR475" i="10" s="1"/>
  <c r="BF491" i="10"/>
  <c r="BP491" i="10" s="1"/>
  <c r="BQ491" i="10" s="1"/>
  <c r="BX505" i="10"/>
  <c r="BY505" i="10" s="1"/>
  <c r="BL506" i="10"/>
  <c r="BM506" i="10" s="1"/>
  <c r="BN506" i="10" s="1" a="1"/>
  <c r="BN506" i="10" s="1"/>
  <c r="BX511" i="10"/>
  <c r="BY511" i="10" s="1"/>
  <c r="BT517" i="10"/>
  <c r="BU517" i="10" s="1"/>
  <c r="BV517" i="10" s="1" a="1"/>
  <c r="BV517" i="10" s="1"/>
  <c r="CP516" i="10"/>
  <c r="CQ516" i="10" s="1"/>
  <c r="BP516" i="10"/>
  <c r="BQ516" i="10" s="1"/>
  <c r="BR516" i="10" s="1" a="1"/>
  <c r="BR516" i="10" s="1"/>
  <c r="BT516" i="10"/>
  <c r="BU516" i="10" s="1"/>
  <c r="BV516" i="10" s="1" a="1"/>
  <c r="BV516" i="10" s="1"/>
  <c r="CH516" i="10"/>
  <c r="CI516" i="10" s="1"/>
  <c r="CJ516" i="10" s="1" a="1"/>
  <c r="CJ516" i="10" s="1"/>
  <c r="CT516" i="10"/>
  <c r="CU516" i="10" s="1"/>
  <c r="BL516" i="10"/>
  <c r="BM516" i="10" s="1"/>
  <c r="BN516" i="10" s="1" a="1"/>
  <c r="BN516" i="10" s="1"/>
  <c r="BT534" i="10"/>
  <c r="BU534" i="10" s="1"/>
  <c r="BP510" i="10"/>
  <c r="BQ510" i="10" s="1"/>
  <c r="BR510" i="10" s="1" a="1"/>
  <c r="BR510" i="10" s="1"/>
  <c r="BX481" i="10"/>
  <c r="BY481" i="10" s="1"/>
  <c r="BT529" i="10"/>
  <c r="BU529" i="10" s="1"/>
  <c r="BV529" i="10" s="1" a="1"/>
  <c r="BV529" i="10" s="1"/>
  <c r="BF530" i="10"/>
  <c r="BX530" i="10" s="1"/>
  <c r="BY530" i="10" s="1"/>
  <c r="CP553" i="10"/>
  <c r="CQ553" i="10" s="1"/>
  <c r="CR553" i="10" s="1" a="1"/>
  <c r="CR553" i="10" s="1"/>
  <c r="BT571" i="10"/>
  <c r="BU571" i="10" s="1"/>
  <c r="CL549" i="10"/>
  <c r="CM549" i="10" s="1"/>
  <c r="CN549" i="10" s="1" a="1"/>
  <c r="CN549" i="10" s="1"/>
  <c r="BX564" i="10"/>
  <c r="BY564" i="10" s="1"/>
  <c r="BF533" i="10"/>
  <c r="CP540" i="10"/>
  <c r="CQ540" i="10" s="1"/>
  <c r="BP540" i="10"/>
  <c r="BQ540" i="10" s="1"/>
  <c r="BR540" i="10" s="1" a="1"/>
  <c r="BR540" i="10" s="1"/>
  <c r="CH540" i="10"/>
  <c r="CI540" i="10" s="1"/>
  <c r="CJ540" i="10" s="1" a="1"/>
  <c r="CJ540" i="10" s="1"/>
  <c r="BL540" i="10"/>
  <c r="BM540" i="10" s="1"/>
  <c r="BN540" i="10" s="1" a="1"/>
  <c r="BN540" i="10" s="1"/>
  <c r="CH518" i="10"/>
  <c r="CI518" i="10" s="1"/>
  <c r="CJ518" i="10" s="1" a="1"/>
  <c r="CJ518" i="10" s="1"/>
  <c r="BT524" i="10"/>
  <c r="BU524" i="10" s="1"/>
  <c r="BV524" i="10" s="1" a="1"/>
  <c r="BV524" i="10" s="1"/>
  <c r="CL540" i="10"/>
  <c r="CM540" i="10" s="1"/>
  <c r="CT549" i="10"/>
  <c r="CU549" i="10" s="1"/>
  <c r="BF561" i="10"/>
  <c r="BL561" i="10" s="1"/>
  <c r="BM561" i="10" s="1"/>
  <c r="BN561" i="10" s="1" a="1"/>
  <c r="BN561" i="10" s="1"/>
  <c r="BX523" i="10"/>
  <c r="BY523" i="10" s="1"/>
  <c r="CL543" i="10"/>
  <c r="CM543" i="10" s="1"/>
  <c r="CL547" i="10"/>
  <c r="CM547" i="10" s="1"/>
  <c r="CN547" i="10" s="1" a="1"/>
  <c r="CN547" i="10" s="1"/>
  <c r="CT552" i="10"/>
  <c r="CU552" i="10" s="1"/>
  <c r="CT568" i="10"/>
  <c r="CU568" i="10" s="1"/>
  <c r="BF572" i="10"/>
  <c r="BL572" i="10" s="1"/>
  <c r="BM572" i="10" s="1"/>
  <c r="BN572" i="10" s="1" a="1"/>
  <c r="BN572" i="10" s="1"/>
  <c r="CH548" i="10"/>
  <c r="CI548" i="10" s="1"/>
  <c r="CJ548" i="10" s="1" a="1"/>
  <c r="CJ548" i="10" s="1"/>
  <c r="CH587" i="10"/>
  <c r="BL587" i="10"/>
  <c r="BM587" i="10" s="1"/>
  <c r="BN587" i="10" s="1" a="1"/>
  <c r="BN587" i="10" s="1"/>
  <c r="BT560" i="10"/>
  <c r="BU560" i="10" s="1"/>
  <c r="BT565" i="10"/>
  <c r="BU565" i="10" s="1"/>
  <c r="CL554" i="10"/>
  <c r="CM554" i="10" s="1"/>
  <c r="CN554" i="10" s="1" a="1"/>
  <c r="CN554" i="10" s="1"/>
  <c r="BX566" i="10"/>
  <c r="BY566" i="10" s="1"/>
  <c r="BF577" i="10"/>
  <c r="BL577" i="10" s="1"/>
  <c r="BM577" i="10" s="1"/>
  <c r="BN577" i="10" s="1" a="1"/>
  <c r="BN577" i="10" s="1"/>
  <c r="BP543" i="10"/>
  <c r="BQ543" i="10" s="1"/>
  <c r="BV543" i="10" s="1" a="1"/>
  <c r="BV543" i="10" s="1"/>
  <c r="BL556" i="10"/>
  <c r="BM556" i="10" s="1"/>
  <c r="BN556" i="10" s="1" a="1"/>
  <c r="BN556" i="10" s="1"/>
  <c r="CL570" i="10"/>
  <c r="CM570" i="10" s="1"/>
  <c r="CN570" i="10" s="1" a="1"/>
  <c r="CN570" i="10" s="1"/>
  <c r="CE609" i="10"/>
  <c r="CE621" i="10"/>
  <c r="CL633" i="10"/>
  <c r="CM633" i="10" s="1"/>
  <c r="CE649" i="10"/>
  <c r="CH546" i="10"/>
  <c r="CI546" i="10" s="1"/>
  <c r="CJ546" i="10" s="1" a="1"/>
  <c r="CJ546" i="10" s="1"/>
  <c r="CP570" i="10"/>
  <c r="CQ570" i="10" s="1"/>
  <c r="CR570" i="10" s="1" a="1"/>
  <c r="CR570" i="10" s="1"/>
  <c r="BX581" i="10"/>
  <c r="BY581" i="10" s="1"/>
  <c r="BP641" i="10"/>
  <c r="BQ641" i="10" s="1"/>
  <c r="CU583" i="10"/>
  <c r="CE583" i="10"/>
  <c r="CT583" i="10" s="1"/>
  <c r="CM583" i="10"/>
  <c r="CT589" i="10"/>
  <c r="CU589" i="10" s="1"/>
  <c r="CE595" i="10"/>
  <c r="CL595" i="10" s="1"/>
  <c r="CM595" i="10" s="1"/>
  <c r="BP611" i="10"/>
  <c r="BQ611" i="10" s="1"/>
  <c r="BR611" i="10" s="1" a="1"/>
  <c r="BR611" i="10" s="1"/>
  <c r="BF621" i="10"/>
  <c r="CL632" i="10"/>
  <c r="CM632" i="10" s="1"/>
  <c r="BF637" i="10"/>
  <c r="BT637" i="10" s="1"/>
  <c r="BU637" i="10" s="1"/>
  <c r="BM637" i="10"/>
  <c r="BN637" i="10" s="1" a="1"/>
  <c r="BN637" i="10" s="1"/>
  <c r="BF612" i="10"/>
  <c r="CL615" i="10"/>
  <c r="CE619" i="10"/>
  <c r="BX623" i="10"/>
  <c r="BY623" i="10" s="1"/>
  <c r="BF644" i="10"/>
  <c r="BF648" i="10"/>
  <c r="CR594" i="10" a="1"/>
  <c r="CR594" i="10" s="1"/>
  <c r="CP663" i="10"/>
  <c r="CQ663" i="10" s="1"/>
  <c r="CR663" i="10" s="1" a="1"/>
  <c r="CR663" i="10" s="1"/>
  <c r="CP610" i="10"/>
  <c r="CQ610" i="10" s="1"/>
  <c r="CR610" i="10" s="1" a="1"/>
  <c r="CR610" i="10" s="1"/>
  <c r="CT585" i="10"/>
  <c r="BP585" i="10"/>
  <c r="BQ585" i="10" s="1"/>
  <c r="CP593" i="10"/>
  <c r="CQ593" i="10" s="1"/>
  <c r="CR593" i="10" s="1" a="1"/>
  <c r="CR593" i="10" s="1"/>
  <c r="CH598" i="10"/>
  <c r="CI598" i="10" s="1"/>
  <c r="CJ598" i="10" s="1" a="1"/>
  <c r="CJ598" i="10" s="1"/>
  <c r="CL598" i="10"/>
  <c r="CM598" i="10" s="1"/>
  <c r="CN598" i="10" s="1" a="1"/>
  <c r="CN598" i="10" s="1"/>
  <c r="BL635" i="10"/>
  <c r="BM635" i="10" s="1"/>
  <c r="BN635" i="10" s="1" a="1"/>
  <c r="BN635" i="10" s="1"/>
  <c r="CL552" i="10"/>
  <c r="CM552" i="10" s="1"/>
  <c r="BP560" i="10"/>
  <c r="BQ560" i="10" s="1"/>
  <c r="BR560" i="10" s="1" a="1"/>
  <c r="BR560" i="10" s="1"/>
  <c r="CL587" i="10"/>
  <c r="CE657" i="10"/>
  <c r="CH657" i="10" s="1"/>
  <c r="CI657" i="10" s="1"/>
  <c r="CJ657" i="10" s="1" a="1"/>
  <c r="CJ657" i="10" s="1"/>
  <c r="BT661" i="10"/>
  <c r="BU661" i="10" s="1"/>
  <c r="CH521" i="10"/>
  <c r="CL521" i="10"/>
  <c r="CM521" i="10" s="1"/>
  <c r="CN521" i="10" s="1" a="1"/>
  <c r="CN521" i="10" s="1"/>
  <c r="CH572" i="10"/>
  <c r="CI572" i="10" s="1"/>
  <c r="CJ572" i="10" s="1" a="1"/>
  <c r="CJ572" i="10" s="1"/>
  <c r="BX611" i="10"/>
  <c r="BY611" i="10" s="1"/>
  <c r="CL626" i="10"/>
  <c r="CM626" i="10" s="1"/>
  <c r="CN626" i="10" s="1" a="1"/>
  <c r="CN626" i="10" s="1"/>
  <c r="CL680" i="10"/>
  <c r="BT629" i="10"/>
  <c r="BU629" i="10" s="1"/>
  <c r="CL638" i="10"/>
  <c r="CM638" i="10" s="1"/>
  <c r="CN638" i="10" s="1" a="1"/>
  <c r="CN638" i="10" s="1"/>
  <c r="CP642" i="10"/>
  <c r="CQ642" i="10" s="1"/>
  <c r="CR642" i="10" s="1" a="1"/>
  <c r="CR642" i="10" s="1"/>
  <c r="BT700" i="10"/>
  <c r="BU700" i="10" s="1"/>
  <c r="BP700" i="10"/>
  <c r="BQ700" i="10" s="1"/>
  <c r="BL700" i="10"/>
  <c r="BM700" i="10" s="1"/>
  <c r="BN700" i="10" s="1" a="1"/>
  <c r="BN700" i="10" s="1"/>
  <c r="BT619" i="10"/>
  <c r="BU619" i="10" s="1"/>
  <c r="BV619" i="10" s="1" a="1"/>
  <c r="BV619" i="10" s="1"/>
  <c r="BT626" i="10"/>
  <c r="BU626" i="10" s="1"/>
  <c r="BV626" i="10" s="1" a="1"/>
  <c r="BV626" i="10" s="1"/>
  <c r="CP668" i="10"/>
  <c r="CH714" i="10"/>
  <c r="CI714" i="10" s="1"/>
  <c r="CJ714" i="10" s="1" a="1"/>
  <c r="CJ714" i="10" s="1"/>
  <c r="BZ719" i="10" a="1"/>
  <c r="BZ719" i="10" s="1"/>
  <c r="CR736" i="10" a="1"/>
  <c r="CR736" i="10" s="1"/>
  <c r="CV736" i="10" a="1"/>
  <c r="CV736" i="10" s="1"/>
  <c r="BX737" i="10"/>
  <c r="BY737" i="10" s="1"/>
  <c r="BX618" i="10"/>
  <c r="BY618" i="10" s="1"/>
  <c r="BR670" i="10" a="1"/>
  <c r="BR670" i="10" s="1"/>
  <c r="CB670" i="10" s="1"/>
  <c r="S670" i="10" s="1"/>
  <c r="CQ672" i="10"/>
  <c r="CE672" i="10"/>
  <c r="CL672" i="10" s="1"/>
  <c r="CM672" i="10" s="1"/>
  <c r="CU672" i="10"/>
  <c r="CE677" i="10"/>
  <c r="CT677" i="10" s="1"/>
  <c r="CU677" i="10" s="1"/>
  <c r="CH607" i="10"/>
  <c r="CI607" i="10" s="1"/>
  <c r="CJ607" i="10" s="1" a="1"/>
  <c r="CJ607" i="10" s="1"/>
  <c r="BP653" i="10"/>
  <c r="BQ653" i="10" s="1"/>
  <c r="BF698" i="10"/>
  <c r="BP698" i="10" s="1"/>
  <c r="BQ698" i="10" s="1"/>
  <c r="CP702" i="10"/>
  <c r="CQ702" i="10" s="1"/>
  <c r="BL718" i="10"/>
  <c r="BM718" i="10" s="1"/>
  <c r="BN718" i="10" s="1" a="1"/>
  <c r="BN718" i="10" s="1"/>
  <c r="CH718" i="10"/>
  <c r="BX733" i="10"/>
  <c r="BY733" i="10" s="1"/>
  <c r="CP674" i="10"/>
  <c r="CQ674" i="10" s="1"/>
  <c r="CR674" i="10" s="1" a="1"/>
  <c r="CR674" i="10" s="1"/>
  <c r="BX684" i="10"/>
  <c r="BY684" i="10" s="1"/>
  <c r="CP686" i="10"/>
  <c r="CQ686" i="10" s="1"/>
  <c r="CR700" i="10" a="1"/>
  <c r="CR700" i="10" s="1"/>
  <c r="CP710" i="10"/>
  <c r="CQ710" i="10" s="1"/>
  <c r="BX727" i="10"/>
  <c r="BY727" i="10" s="1"/>
  <c r="CE748" i="10"/>
  <c r="CL748" i="10" s="1"/>
  <c r="CM748" i="10" s="1"/>
  <c r="CW753" i="10" a="1"/>
  <c r="CW753" i="10" s="1"/>
  <c r="CE760" i="10"/>
  <c r="CV765" i="10" a="1"/>
  <c r="CV765" i="10" s="1"/>
  <c r="CW765" i="10" a="1"/>
  <c r="CW765" i="10" s="1"/>
  <c r="CW773" i="10" a="1"/>
  <c r="CW773" i="10" s="1"/>
  <c r="CT781" i="10"/>
  <c r="CU781" i="10" s="1"/>
  <c r="CT797" i="10"/>
  <c r="CU797" i="10" s="1"/>
  <c r="CT665" i="10"/>
  <c r="BM682" i="10"/>
  <c r="BN682" i="10" s="1" a="1"/>
  <c r="BN682" i="10" s="1"/>
  <c r="BF682" i="10"/>
  <c r="BP682" i="10" s="1"/>
  <c r="BQ682" i="10"/>
  <c r="BL690" i="10"/>
  <c r="BM690" i="10" s="1"/>
  <c r="BN690" i="10" s="1" a="1"/>
  <c r="BN690" i="10" s="1"/>
  <c r="CH690" i="10"/>
  <c r="CI690" i="10" s="1"/>
  <c r="CJ690" i="10" s="1" a="1"/>
  <c r="CJ690" i="10" s="1"/>
  <c r="CL690" i="10"/>
  <c r="CM690" i="10" s="1"/>
  <c r="CN690" i="10" s="1" a="1"/>
  <c r="CN690" i="10" s="1"/>
  <c r="BX690" i="10"/>
  <c r="BT693" i="10"/>
  <c r="BU693" i="10" s="1"/>
  <c r="CH706" i="10"/>
  <c r="CI706" i="10" s="1"/>
  <c r="CJ706" i="10" s="1" a="1"/>
  <c r="CJ706" i="10" s="1"/>
  <c r="CL706" i="10"/>
  <c r="CM706" i="10" s="1"/>
  <c r="CN706" i="10" s="1" a="1"/>
  <c r="CN706" i="10" s="1"/>
  <c r="CV724" i="10" a="1"/>
  <c r="CV724" i="10" s="1"/>
  <c r="BL764" i="10"/>
  <c r="BM764" i="10" s="1"/>
  <c r="BT764" i="10"/>
  <c r="BU764" i="10" s="1"/>
  <c r="BV764" i="10" s="1" a="1"/>
  <c r="BV764" i="10" s="1"/>
  <c r="BP764" i="10"/>
  <c r="BQ764" i="10" s="1"/>
  <c r="BZ769" i="10" a="1"/>
  <c r="BZ769" i="10" s="1"/>
  <c r="BL780" i="10"/>
  <c r="BM780" i="10" s="1"/>
  <c r="BN780" i="10" s="1" a="1"/>
  <c r="BN780" i="10" s="1"/>
  <c r="BP780" i="10"/>
  <c r="BQ780" i="10" s="1"/>
  <c r="BR780" i="10" s="1" a="1"/>
  <c r="BR780" i="10" s="1"/>
  <c r="BT780" i="10"/>
  <c r="BU780" i="10" s="1"/>
  <c r="CH793" i="10"/>
  <c r="CI793" i="10" s="1"/>
  <c r="CJ793" i="10" s="1" a="1"/>
  <c r="CJ793" i="10" s="1"/>
  <c r="CL793" i="10"/>
  <c r="CM793" i="10" s="1"/>
  <c r="CN793" i="10" s="1" a="1"/>
  <c r="CN793" i="10" s="1"/>
  <c r="BP606" i="10"/>
  <c r="BQ606" i="10" s="1"/>
  <c r="BR606" i="10" s="1" a="1"/>
  <c r="BR606" i="10" s="1"/>
  <c r="CV732" i="10" a="1"/>
  <c r="CV732" i="10" s="1"/>
  <c r="CW741" i="10" a="1"/>
  <c r="CW741" i="10" s="1"/>
  <c r="CP753" i="10"/>
  <c r="CQ753" i="10" s="1"/>
  <c r="CR753" i="10" s="1" a="1"/>
  <c r="CR753" i="10" s="1"/>
  <c r="BL800" i="10"/>
  <c r="BM800" i="10" s="1"/>
  <c r="BT800" i="10"/>
  <c r="BU800" i="10" s="1"/>
  <c r="BV800" i="10" s="1" a="1"/>
  <c r="BV800" i="10" s="1"/>
  <c r="BP800" i="10"/>
  <c r="BQ800" i="10" s="1"/>
  <c r="CL741" i="10"/>
  <c r="CM741" i="10" s="1"/>
  <c r="CN741" i="10" s="1" a="1"/>
  <c r="CN741" i="10" s="1"/>
  <c r="CH741" i="10"/>
  <c r="CI741" i="10" s="1"/>
  <c r="CJ741" i="10" s="1" a="1"/>
  <c r="CJ741" i="10" s="1"/>
  <c r="CP741" i="10"/>
  <c r="CQ741" i="10" s="1"/>
  <c r="CV741" i="10" s="1" a="1"/>
  <c r="CV741" i="10" s="1"/>
  <c r="BR747" i="10" a="1"/>
  <c r="BR747" i="10" s="1"/>
  <c r="CE754" i="10"/>
  <c r="CT754" i="10" s="1"/>
  <c r="CU754" i="10" s="1"/>
  <c r="BR755" i="10" a="1"/>
  <c r="BR755" i="10" s="1"/>
  <c r="CA781" i="10" a="1"/>
  <c r="CA781" i="10" s="1"/>
  <c r="BZ781" i="10" a="1"/>
  <c r="BZ781" i="10" s="1"/>
  <c r="BZ818" i="10" a="1"/>
  <c r="BZ818" i="10" s="1"/>
  <c r="CA818" i="10" a="1"/>
  <c r="CA818" i="10" s="1"/>
  <c r="CA886" i="10" a="1"/>
  <c r="CA886" i="10" s="1"/>
  <c r="CV811" i="10" a="1"/>
  <c r="CV811" i="10" s="1"/>
  <c r="CW811" i="10" a="1"/>
  <c r="CW811" i="10" s="1"/>
  <c r="CR885" i="10" a="1"/>
  <c r="CR885" i="10" s="1"/>
  <c r="CR870" i="10" a="1"/>
  <c r="CR870" i="10" s="1"/>
  <c r="CV870" i="10" a="1"/>
  <c r="CV870" i="10" s="1"/>
  <c r="CA834" i="10" a="1"/>
  <c r="CA834" i="10" s="1"/>
  <c r="BZ834" i="10" a="1"/>
  <c r="BZ834" i="10" s="1"/>
  <c r="CV841" i="10" a="1"/>
  <c r="CV841" i="10" s="1"/>
  <c r="CW841" i="10" a="1"/>
  <c r="CW841" i="10" s="1"/>
  <c r="CW901" i="10" a="1"/>
  <c r="CW901" i="10" s="1"/>
  <c r="CA915" i="10" a="1"/>
  <c r="CA915" i="10" s="1"/>
  <c r="BZ920" i="10" a="1"/>
  <c r="BZ920" i="10" s="1"/>
  <c r="CA920" i="10" a="1"/>
  <c r="CA920" i="10" s="1"/>
  <c r="CR983" i="10" a="1"/>
  <c r="CR983" i="10" s="1"/>
  <c r="CV987" i="10" a="1"/>
  <c r="CV987" i="10" s="1"/>
  <c r="CW987" i="10" a="1"/>
  <c r="CW987" i="10" s="1"/>
  <c r="CA995" i="10" a="1"/>
  <c r="CA995" i="10" s="1"/>
  <c r="CV1011" i="10" a="1"/>
  <c r="CV1011" i="10" s="1"/>
  <c r="CW1011" i="10" a="1"/>
  <c r="CW1011" i="10" s="1"/>
  <c r="CW1019" i="10" a="1"/>
  <c r="CW1019" i="10" s="1"/>
  <c r="BZ988" i="10" a="1"/>
  <c r="BZ988" i="10" s="1"/>
  <c r="CA988" i="10" a="1"/>
  <c r="CA988" i="10" s="1"/>
  <c r="BF419" i="10"/>
  <c r="BL419" i="10" s="1"/>
  <c r="BM419" i="10" s="1"/>
  <c r="BN419" i="10" s="1" a="1"/>
  <c r="BN419" i="10" s="1"/>
  <c r="BT436" i="10"/>
  <c r="BU436" i="10" s="1"/>
  <c r="CE449" i="10"/>
  <c r="CL449" i="10" s="1"/>
  <c r="CM449" i="10" s="1"/>
  <c r="BX394" i="10"/>
  <c r="BP429" i="10"/>
  <c r="BQ429" i="10" s="1"/>
  <c r="CH429" i="10"/>
  <c r="CI429" i="10" s="1"/>
  <c r="CJ429" i="10" s="1" a="1"/>
  <c r="CJ429" i="10" s="1"/>
  <c r="BL429" i="10"/>
  <c r="BM429" i="10" s="1"/>
  <c r="BN429" i="10" s="1" a="1"/>
  <c r="BN429" i="10" s="1"/>
  <c r="CL429" i="10"/>
  <c r="CM429" i="10" s="1"/>
  <c r="CR429" i="10" s="1" a="1"/>
  <c r="CR429" i="10" s="1"/>
  <c r="CT429" i="10"/>
  <c r="CU429" i="10" s="1"/>
  <c r="BT429" i="10"/>
  <c r="BU429" i="10" s="1"/>
  <c r="BV429" i="10" s="1" a="1"/>
  <c r="BV429" i="10" s="1"/>
  <c r="CP398" i="10"/>
  <c r="CQ398" i="10" s="1"/>
  <c r="CR398" i="10" s="1" a="1"/>
  <c r="CR398" i="10" s="1"/>
  <c r="BX447" i="10"/>
  <c r="BY447" i="10" s="1"/>
  <c r="CL451" i="10"/>
  <c r="CJ427" i="10" a="1"/>
  <c r="CJ427" i="10" s="1"/>
  <c r="BP428" i="10"/>
  <c r="BQ428" i="10" s="1"/>
  <c r="BR428" i="10" s="1" a="1"/>
  <c r="BR428" i="10" s="1"/>
  <c r="BP452" i="10"/>
  <c r="BQ452" i="10" s="1"/>
  <c r="CT464" i="10"/>
  <c r="BX457" i="10"/>
  <c r="BY457" i="10" s="1"/>
  <c r="BX428" i="10"/>
  <c r="BY428" i="10" s="1"/>
  <c r="CL474" i="10"/>
  <c r="CM474" i="10" s="1"/>
  <c r="CE486" i="10"/>
  <c r="CL486" i="10" s="1"/>
  <c r="CM486" i="10" s="1"/>
  <c r="CN486" i="10" s="1" a="1"/>
  <c r="CN486" i="10" s="1"/>
  <c r="CI486" i="10"/>
  <c r="CJ486" i="10" s="1" a="1"/>
  <c r="CJ486" i="10" s="1"/>
  <c r="CU486" i="10"/>
  <c r="CE464" i="10"/>
  <c r="CL464" i="10" s="1"/>
  <c r="CM464" i="10" s="1"/>
  <c r="CU464" i="10"/>
  <c r="BL438" i="10"/>
  <c r="BM438" i="10" s="1"/>
  <c r="BN438" i="10" s="1" a="1"/>
  <c r="BN438" i="10" s="1"/>
  <c r="BF461" i="10"/>
  <c r="BX461" i="10" s="1"/>
  <c r="BY461" i="10" s="1"/>
  <c r="CT474" i="10"/>
  <c r="CU481" i="10"/>
  <c r="CE481" i="10"/>
  <c r="CT481" i="10" s="1"/>
  <c r="CU497" i="10"/>
  <c r="CE497" i="10"/>
  <c r="CT497" i="10" s="1"/>
  <c r="CM497" i="10"/>
  <c r="BT478" i="10"/>
  <c r="BU478" i="10" s="1"/>
  <c r="BV478" i="10" s="1" a="1"/>
  <c r="BV478" i="10" s="1"/>
  <c r="BN497" i="10" a="1"/>
  <c r="BN497" i="10" s="1"/>
  <c r="CJ432" i="10" a="1"/>
  <c r="CJ432" i="10" s="1"/>
  <c r="BT434" i="10"/>
  <c r="BT435" i="10"/>
  <c r="BU435" i="10" s="1"/>
  <c r="BX473" i="10"/>
  <c r="BY473" i="10" s="1"/>
  <c r="BX485" i="10"/>
  <c r="BY485" i="10" s="1"/>
  <c r="BL472" i="10"/>
  <c r="BM472" i="10" s="1"/>
  <c r="BN472" i="10" s="1" a="1"/>
  <c r="BN472" i="10" s="1"/>
  <c r="CT472" i="10"/>
  <c r="CU472" i="10" s="1"/>
  <c r="CH472" i="10"/>
  <c r="CI472" i="10" s="1"/>
  <c r="CJ472" i="10" s="1" a="1"/>
  <c r="CJ472" i="10" s="1"/>
  <c r="BP472" i="10"/>
  <c r="BQ472" i="10" s="1"/>
  <c r="BT484" i="10"/>
  <c r="BU484" i="10" s="1"/>
  <c r="BP509" i="10"/>
  <c r="BQ509" i="10" s="1"/>
  <c r="BR509" i="10" s="1" a="1"/>
  <c r="BR509" i="10" s="1"/>
  <c r="CT471" i="10"/>
  <c r="CU471" i="10" s="1"/>
  <c r="BP467" i="10"/>
  <c r="BQ467" i="10" s="1"/>
  <c r="CT495" i="10"/>
  <c r="CU495" i="10" s="1"/>
  <c r="BX495" i="10"/>
  <c r="CP515" i="10"/>
  <c r="CQ515" i="10" s="1"/>
  <c r="CR515" i="10" s="1" a="1"/>
  <c r="CR515" i="10" s="1"/>
  <c r="CL424" i="10"/>
  <c r="CM424" i="10" s="1"/>
  <c r="CN424" i="10" s="1" a="1"/>
  <c r="CN424" i="10" s="1"/>
  <c r="BL488" i="10"/>
  <c r="BM488" i="10" s="1"/>
  <c r="BN488" i="10" s="1" a="1"/>
  <c r="BN488" i="10" s="1"/>
  <c r="CT488" i="10"/>
  <c r="CU488" i="10" s="1"/>
  <c r="CH488" i="10"/>
  <c r="CI488" i="10" s="1"/>
  <c r="CJ488" i="10" s="1" a="1"/>
  <c r="CJ488" i="10" s="1"/>
  <c r="CP488" i="10"/>
  <c r="CQ488" i="10" s="1"/>
  <c r="CR488" i="10" s="1" a="1"/>
  <c r="CR488" i="10" s="1"/>
  <c r="BP488" i="10"/>
  <c r="BQ488" i="10" s="1"/>
  <c r="BR488" i="10" s="1" a="1"/>
  <c r="BR488" i="10" s="1"/>
  <c r="CP507" i="10"/>
  <c r="CQ507" i="10" s="1"/>
  <c r="CR507" i="10" s="1" a="1"/>
  <c r="CR507" i="10" s="1"/>
  <c r="CT509" i="10"/>
  <c r="CU509" i="10" s="1"/>
  <c r="BX454" i="10"/>
  <c r="BY454" i="10" s="1"/>
  <c r="CP472" i="10"/>
  <c r="CQ472" i="10" s="1"/>
  <c r="CR472" i="10" s="1" a="1"/>
  <c r="CR472" i="10" s="1"/>
  <c r="CE503" i="10"/>
  <c r="CH503" i="10" s="1"/>
  <c r="CI503" i="10" s="1"/>
  <c r="CJ503" i="10" s="1" a="1"/>
  <c r="CJ503" i="10" s="1"/>
  <c r="CP511" i="10"/>
  <c r="CQ511" i="10" s="1"/>
  <c r="CR511" i="10" s="1" a="1"/>
  <c r="CR511" i="10" s="1"/>
  <c r="BL496" i="10"/>
  <c r="BM496" i="10" s="1"/>
  <c r="BN496" i="10" s="1" a="1"/>
  <c r="BN496" i="10" s="1"/>
  <c r="CT496" i="10"/>
  <c r="CU496" i="10" s="1"/>
  <c r="CH496" i="10"/>
  <c r="CI496" i="10" s="1"/>
  <c r="CJ496" i="10" s="1" a="1"/>
  <c r="CJ496" i="10" s="1"/>
  <c r="CP496" i="10"/>
  <c r="CQ496" i="10" s="1"/>
  <c r="CR496" i="10" s="1" a="1"/>
  <c r="CR496" i="10" s="1"/>
  <c r="BP496" i="10"/>
  <c r="BQ496" i="10" s="1"/>
  <c r="BV496" i="10" s="1" a="1"/>
  <c r="BV496" i="10" s="1"/>
  <c r="BF499" i="10"/>
  <c r="BT499" i="10" s="1"/>
  <c r="BU499" i="10" s="1"/>
  <c r="CP522" i="10"/>
  <c r="CQ522" i="10" s="1"/>
  <c r="CR522" i="10" s="1" a="1"/>
  <c r="CR522" i="10" s="1"/>
  <c r="CL524" i="10"/>
  <c r="CM524" i="10" s="1"/>
  <c r="CN524" i="10" s="1" a="1"/>
  <c r="CN524" i="10" s="1"/>
  <c r="CT534" i="10"/>
  <c r="CU534" i="10" s="1"/>
  <c r="BF538" i="10"/>
  <c r="BL538" i="10" s="1"/>
  <c r="BM538" i="10" s="1"/>
  <c r="BN538" i="10" s="1" a="1"/>
  <c r="BN538" i="10" s="1"/>
  <c r="BT519" i="10"/>
  <c r="BU519" i="10" s="1"/>
  <c r="BV519" i="10" s="1" a="1"/>
  <c r="BV519" i="10" s="1"/>
  <c r="BT525" i="10"/>
  <c r="BU525" i="10" s="1"/>
  <c r="BV525" i="10" s="1" a="1"/>
  <c r="BV525" i="10" s="1"/>
  <c r="BL529" i="10"/>
  <c r="BM529" i="10" s="1"/>
  <c r="BR529" i="10" s="1" a="1"/>
  <c r="BR529" i="10" s="1"/>
  <c r="BP483" i="10"/>
  <c r="BQ483" i="10" s="1"/>
  <c r="BL504" i="10"/>
  <c r="BM504" i="10" s="1"/>
  <c r="BN504" i="10" s="1" a="1"/>
  <c r="BN504" i="10" s="1"/>
  <c r="CH504" i="10"/>
  <c r="CI504" i="10" s="1"/>
  <c r="CJ504" i="10" s="1" a="1"/>
  <c r="CJ504" i="10" s="1"/>
  <c r="CP504" i="10"/>
  <c r="CQ504" i="10" s="1"/>
  <c r="CR504" i="10" s="1" a="1"/>
  <c r="CR504" i="10" s="1"/>
  <c r="BP504" i="10"/>
  <c r="BQ504" i="10" s="1"/>
  <c r="BR504" i="10" s="1" a="1"/>
  <c r="BR504" i="10" s="1"/>
  <c r="BL500" i="10"/>
  <c r="BM500" i="10" s="1"/>
  <c r="BN500" i="10" s="1" a="1"/>
  <c r="BN500" i="10" s="1"/>
  <c r="CT500" i="10"/>
  <c r="CU500" i="10" s="1"/>
  <c r="CH500" i="10"/>
  <c r="CI500" i="10" s="1"/>
  <c r="CJ500" i="10" s="1" a="1"/>
  <c r="CJ500" i="10" s="1"/>
  <c r="BP500" i="10"/>
  <c r="BQ500" i="10" s="1"/>
  <c r="BR500" i="10" s="1" a="1"/>
  <c r="BR500" i="10" s="1"/>
  <c r="CH517" i="10"/>
  <c r="CI517" i="10" s="1"/>
  <c r="CJ517" i="10" s="1" a="1"/>
  <c r="CJ517" i="10" s="1"/>
  <c r="BX484" i="10"/>
  <c r="BY484" i="10" s="1"/>
  <c r="BP511" i="10"/>
  <c r="CE541" i="10"/>
  <c r="CP541" i="10" s="1"/>
  <c r="CQ541" i="10" s="1"/>
  <c r="CT546" i="10"/>
  <c r="CU546" i="10" s="1"/>
  <c r="CP551" i="10"/>
  <c r="CQ551" i="10" s="1"/>
  <c r="CR551" i="10" s="1" a="1"/>
  <c r="CR551" i="10" s="1"/>
  <c r="BP518" i="10"/>
  <c r="BQ518" i="10" s="1"/>
  <c r="CT525" i="10"/>
  <c r="CU525" i="10" s="1"/>
  <c r="BP493" i="10"/>
  <c r="BQ493" i="10" s="1"/>
  <c r="BR493" i="10" s="1" a="1"/>
  <c r="BR493" i="10" s="1"/>
  <c r="CT548" i="10"/>
  <c r="CU548" i="10" s="1"/>
  <c r="CT572" i="10"/>
  <c r="CU572" i="10" s="1"/>
  <c r="BX579" i="10"/>
  <c r="BY579" i="10" s="1"/>
  <c r="BT548" i="10"/>
  <c r="BU548" i="10" s="1"/>
  <c r="BV548" i="10" s="1" a="1"/>
  <c r="BV548" i="10" s="1"/>
  <c r="BX550" i="10"/>
  <c r="BY550" i="10" s="1"/>
  <c r="CT573" i="10"/>
  <c r="CQ542" i="10"/>
  <c r="CE542" i="10"/>
  <c r="CL542" i="10" s="1"/>
  <c r="CM542" i="10" s="1"/>
  <c r="CH543" i="10"/>
  <c r="CI543" i="10" s="1"/>
  <c r="CJ543" i="10" s="1" a="1"/>
  <c r="CJ543" i="10" s="1"/>
  <c r="BL543" i="10"/>
  <c r="BM543" i="10" s="1"/>
  <c r="BN543" i="10" s="1" a="1"/>
  <c r="BN543" i="10" s="1"/>
  <c r="CP582" i="10"/>
  <c r="CQ582" i="10" s="1"/>
  <c r="CR582" i="10" s="1" a="1"/>
  <c r="CR582" i="10" s="1"/>
  <c r="BX546" i="10"/>
  <c r="BY546" i="10" s="1"/>
  <c r="CH556" i="10"/>
  <c r="CI556" i="10" s="1"/>
  <c r="CJ556" i="10" s="1" a="1"/>
  <c r="CJ556" i="10" s="1"/>
  <c r="BX599" i="10"/>
  <c r="BY599" i="10" s="1"/>
  <c r="BP599" i="10"/>
  <c r="BQ599" i="10" s="1"/>
  <c r="CL621" i="10"/>
  <c r="CM621" i="10" s="1"/>
  <c r="CE641" i="10"/>
  <c r="CL649" i="10"/>
  <c r="CM649" i="10" s="1"/>
  <c r="BL558" i="10"/>
  <c r="BM558" i="10" s="1"/>
  <c r="BN558" i="10" s="1" a="1"/>
  <c r="BN558" i="10" s="1"/>
  <c r="BP571" i="10"/>
  <c r="BQ571" i="10" s="1"/>
  <c r="BR571" i="10" s="1" a="1"/>
  <c r="BR571" i="10" s="1"/>
  <c r="CT581" i="10"/>
  <c r="BP621" i="10"/>
  <c r="BQ621" i="10" s="1"/>
  <c r="BX583" i="10"/>
  <c r="BY583" i="10" s="1"/>
  <c r="CL590" i="10"/>
  <c r="CM590" i="10" s="1"/>
  <c r="CN590" i="10" s="1" a="1"/>
  <c r="CN590" i="10" s="1"/>
  <c r="BT591" i="10"/>
  <c r="BU591" i="10" s="1"/>
  <c r="BV591" i="10" s="1" a="1"/>
  <c r="BV591" i="10" s="1"/>
  <c r="CE604" i="10"/>
  <c r="CE608" i="10"/>
  <c r="CE612" i="10"/>
  <c r="CT621" i="10"/>
  <c r="CU621" i="10" s="1"/>
  <c r="CE628" i="10"/>
  <c r="CU644" i="10"/>
  <c r="CE644" i="10"/>
  <c r="CM644" i="10"/>
  <c r="BF649" i="10"/>
  <c r="BT649" i="10" s="1"/>
  <c r="BU649" i="10" s="1"/>
  <c r="CT512" i="10"/>
  <c r="CU512" i="10" s="1"/>
  <c r="CP548" i="10"/>
  <c r="CQ548" i="10" s="1"/>
  <c r="CR548" i="10" s="1" a="1"/>
  <c r="CR548" i="10" s="1"/>
  <c r="BT562" i="10"/>
  <c r="BU562" i="10" s="1"/>
  <c r="BV562" i="10" s="1" a="1"/>
  <c r="BV562" i="10" s="1"/>
  <c r="BF616" i="10"/>
  <c r="CL619" i="10"/>
  <c r="CM619" i="10" s="1"/>
  <c r="CE623" i="10"/>
  <c r="BX627" i="10"/>
  <c r="BY627" i="10" s="1"/>
  <c r="CT648" i="10"/>
  <c r="CU648" i="10" s="1"/>
  <c r="CE655" i="10"/>
  <c r="BL599" i="10"/>
  <c r="BM599" i="10" s="1"/>
  <c r="BN599" i="10" s="1" a="1"/>
  <c r="BN599" i="10" s="1"/>
  <c r="CH588" i="10"/>
  <c r="CI588" i="10" s="1"/>
  <c r="CJ588" i="10" s="1" a="1"/>
  <c r="CJ588" i="10" s="1"/>
  <c r="CL588" i="10"/>
  <c r="CM588" i="10" s="1"/>
  <c r="CN588" i="10" s="1" a="1"/>
  <c r="CN588" i="10" s="1"/>
  <c r="BL623" i="10"/>
  <c r="BM623" i="10" s="1"/>
  <c r="BN623" i="10" s="1" a="1"/>
  <c r="BN623" i="10" s="1"/>
  <c r="CP585" i="10"/>
  <c r="CQ585" i="10" s="1"/>
  <c r="CH634" i="10"/>
  <c r="CI634" i="10" s="1"/>
  <c r="CJ634" i="10" s="1" a="1"/>
  <c r="CJ634" i="10" s="1"/>
  <c r="CT663" i="10"/>
  <c r="CU663" i="10" s="1"/>
  <c r="BL663" i="10"/>
  <c r="BM663" i="10" s="1"/>
  <c r="BN663" i="10" s="1" a="1"/>
  <c r="BN663" i="10" s="1"/>
  <c r="CH663" i="10"/>
  <c r="CI663" i="10" s="1"/>
  <c r="CJ663" i="10" s="1" a="1"/>
  <c r="CJ663" i="10" s="1"/>
  <c r="BL552" i="10"/>
  <c r="BM552" i="10" s="1"/>
  <c r="BN552" i="10" s="1" a="1"/>
  <c r="BN552" i="10" s="1"/>
  <c r="BX568" i="10"/>
  <c r="BY568" i="10" s="1"/>
  <c r="BL583" i="10"/>
  <c r="BM583" i="10" s="1"/>
  <c r="BN583" i="10" s="1" a="1"/>
  <c r="BN583" i="10" s="1"/>
  <c r="CI587" i="10"/>
  <c r="CJ587" i="10" s="1" a="1"/>
  <c r="CJ587" i="10" s="1"/>
  <c r="CM587" i="10"/>
  <c r="CN587" i="10" s="1" a="1"/>
  <c r="CN587" i="10" s="1"/>
  <c r="CE587" i="10"/>
  <c r="CP606" i="10"/>
  <c r="CQ606" i="10" s="1"/>
  <c r="CR606" i="10" s="1" a="1"/>
  <c r="CR606" i="10" s="1"/>
  <c r="BL615" i="10"/>
  <c r="BM615" i="10" s="1"/>
  <c r="BN615" i="10" s="1" a="1"/>
  <c r="BN615" i="10" s="1"/>
  <c r="CI521" i="10"/>
  <c r="CJ521" i="10" s="1" a="1"/>
  <c r="CJ521" i="10" s="1"/>
  <c r="CE521" i="10"/>
  <c r="CT521" i="10" s="1"/>
  <c r="CU521" i="10" s="1"/>
  <c r="BT590" i="10"/>
  <c r="BU590" i="10" s="1"/>
  <c r="BV590" i="10" s="1" a="1"/>
  <c r="BV590" i="10" s="1"/>
  <c r="BX610" i="10"/>
  <c r="BY610" i="10" s="1"/>
  <c r="BT611" i="10"/>
  <c r="BU611" i="10" s="1"/>
  <c r="CT618" i="10"/>
  <c r="CU618" i="10" s="1"/>
  <c r="CL667" i="10"/>
  <c r="CE684" i="10"/>
  <c r="BP579" i="10"/>
  <c r="BQ579" i="10" s="1"/>
  <c r="BR579" i="10" s="1" a="1"/>
  <c r="BR579" i="10" s="1"/>
  <c r="BL625" i="10"/>
  <c r="BM625" i="10" s="1"/>
  <c r="BN625" i="10" s="1" a="1"/>
  <c r="BN625" i="10" s="1"/>
  <c r="CT630" i="10"/>
  <c r="CU630" i="10" s="1"/>
  <c r="BT704" i="10"/>
  <c r="BU704" i="10" s="1"/>
  <c r="BZ704" i="10" s="1" a="1"/>
  <c r="BZ704" i="10" s="1"/>
  <c r="BP704" i="10"/>
  <c r="BQ704" i="10" s="1"/>
  <c r="BL704" i="10"/>
  <c r="BM704" i="10" s="1"/>
  <c r="BN704" i="10" s="1" a="1"/>
  <c r="BN704" i="10" s="1"/>
  <c r="BL631" i="10"/>
  <c r="BM631" i="10" s="1"/>
  <c r="BN631" i="10" s="1" a="1"/>
  <c r="BN631" i="10" s="1"/>
  <c r="BL655" i="10"/>
  <c r="BM655" i="10" s="1"/>
  <c r="BN655" i="10" s="1" a="1"/>
  <c r="BN655" i="10" s="1"/>
  <c r="CE660" i="10"/>
  <c r="BZ663" i="10" a="1"/>
  <c r="BZ663" i="10" s="1"/>
  <c r="BT678" i="10"/>
  <c r="CP772" i="10"/>
  <c r="CQ772" i="10" s="1"/>
  <c r="CR772" i="10" s="1" a="1"/>
  <c r="CR772" i="10" s="1"/>
  <c r="BT607" i="10"/>
  <c r="BU607" i="10" s="1"/>
  <c r="BF694" i="10"/>
  <c r="BP694" i="10" s="1"/>
  <c r="BQ694" i="10" s="1"/>
  <c r="CL713" i="10"/>
  <c r="CV716" i="10" a="1"/>
  <c r="CV716" i="10" s="1"/>
  <c r="CT607" i="10"/>
  <c r="CU607" i="10" s="1"/>
  <c r="CW666" i="10" a="1"/>
  <c r="CW666" i="10" s="1"/>
  <c r="CH669" i="10"/>
  <c r="CI669" i="10" s="1"/>
  <c r="CN669" i="10" s="1" a="1"/>
  <c r="CN669" i="10" s="1"/>
  <c r="BY690" i="10"/>
  <c r="BF690" i="10"/>
  <c r="BP690" i="10" s="1"/>
  <c r="BQ690" i="10"/>
  <c r="CT706" i="10"/>
  <c r="CU706" i="10" s="1"/>
  <c r="BP720" i="10"/>
  <c r="BQ720" i="10" s="1"/>
  <c r="BR720" i="10" s="1" a="1"/>
  <c r="BR720" i="10" s="1"/>
  <c r="BQ729" i="10"/>
  <c r="BF729" i="10"/>
  <c r="BX729" i="10" s="1"/>
  <c r="BY729" i="10" s="1"/>
  <c r="BP761" i="10"/>
  <c r="BL761" i="10"/>
  <c r="BL684" i="10"/>
  <c r="BM684" i="10" s="1"/>
  <c r="BN684" i="10" s="1" a="1"/>
  <c r="BN684" i="10" s="1"/>
  <c r="BZ691" i="10" a="1"/>
  <c r="BZ691" i="10" s="1"/>
  <c r="CL717" i="10"/>
  <c r="BX756" i="10"/>
  <c r="BY756" i="10" s="1"/>
  <c r="CL760" i="10"/>
  <c r="CM760" i="10" s="1"/>
  <c r="BZ768" i="10" a="1"/>
  <c r="BZ768" i="10" s="1"/>
  <c r="CA768" i="10" a="1"/>
  <c r="CA768" i="10" s="1"/>
  <c r="BX776" i="10"/>
  <c r="BY776" i="10" s="1"/>
  <c r="BF785" i="10"/>
  <c r="BP785" i="10" s="1"/>
  <c r="BQ785" i="10" s="1"/>
  <c r="CH665" i="10"/>
  <c r="CI665" i="10" s="1"/>
  <c r="CJ665" i="10" s="1" a="1"/>
  <c r="CJ665" i="10" s="1"/>
  <c r="BL665" i="10"/>
  <c r="BM665" i="10" s="1"/>
  <c r="BN665" i="10" s="1" a="1"/>
  <c r="BN665" i="10" s="1"/>
  <c r="CL679" i="10"/>
  <c r="CM679" i="10" s="1"/>
  <c r="CN679" i="10" s="1" a="1"/>
  <c r="CN679" i="10" s="1"/>
  <c r="CT693" i="10"/>
  <c r="CU693" i="10" s="1"/>
  <c r="CV700" i="10" a="1"/>
  <c r="CV700" i="10" s="1"/>
  <c r="CW700" i="10" a="1"/>
  <c r="CW700" i="10" s="1"/>
  <c r="BX718" i="10"/>
  <c r="BY718" i="10" s="1"/>
  <c r="CT721" i="10"/>
  <c r="CU721" i="10" s="1"/>
  <c r="BL760" i="10"/>
  <c r="BM760" i="10" s="1"/>
  <c r="BT760" i="10"/>
  <c r="BU760" i="10" s="1"/>
  <c r="BP760" i="10"/>
  <c r="BQ760" i="10" s="1"/>
  <c r="BR760" i="10" s="1" a="1"/>
  <c r="BR760" i="10" s="1"/>
  <c r="CH769" i="10"/>
  <c r="CI769" i="10" s="1"/>
  <c r="CJ769" i="10" s="1" a="1"/>
  <c r="CJ769" i="10" s="1"/>
  <c r="CL769" i="10"/>
  <c r="CM769" i="10" s="1"/>
  <c r="CP769" i="10"/>
  <c r="CQ769" i="10" s="1"/>
  <c r="CR769" i="10" s="1" a="1"/>
  <c r="CR769" i="10" s="1"/>
  <c r="CT673" i="10"/>
  <c r="CU673" i="10" s="1"/>
  <c r="CP679" i="10"/>
  <c r="CQ679" i="10" s="1"/>
  <c r="CR679" i="10" s="1" a="1"/>
  <c r="CR679" i="10" s="1"/>
  <c r="BF681" i="10"/>
  <c r="BX681" i="10" s="1"/>
  <c r="BY681" i="10" s="1"/>
  <c r="CH687" i="10"/>
  <c r="CI687" i="10" s="1"/>
  <c r="CJ687" i="10" s="1" a="1"/>
  <c r="CJ687" i="10" s="1"/>
  <c r="CT687" i="10"/>
  <c r="CU687" i="10" s="1"/>
  <c r="BL687" i="10"/>
  <c r="BM687" i="10" s="1"/>
  <c r="BN687" i="10" s="1" a="1"/>
  <c r="BN687" i="10" s="1"/>
  <c r="CP687" i="10"/>
  <c r="CQ687" i="10" s="1"/>
  <c r="CR687" i="10" s="1" a="1"/>
  <c r="CR687" i="10" s="1"/>
  <c r="CN720" i="10" a="1"/>
  <c r="CN720" i="10" s="1"/>
  <c r="CP733" i="10"/>
  <c r="CQ733" i="10" s="1"/>
  <c r="CR733" i="10" s="1" a="1"/>
  <c r="CR733" i="10" s="1"/>
  <c r="BL733" i="10"/>
  <c r="BM733" i="10" s="1"/>
  <c r="BN733" i="10" s="1" a="1"/>
  <c r="BN733" i="10" s="1"/>
  <c r="CH733" i="10"/>
  <c r="CI733" i="10" s="1"/>
  <c r="CJ733" i="10" s="1" a="1"/>
  <c r="CJ733" i="10" s="1"/>
  <c r="BP733" i="10"/>
  <c r="BQ733" i="10" s="1"/>
  <c r="CT739" i="10"/>
  <c r="CU739" i="10" s="1"/>
  <c r="BN760" i="10" a="1"/>
  <c r="BN760" i="10" s="1"/>
  <c r="BL637" i="10"/>
  <c r="BT771" i="10"/>
  <c r="BU771" i="10" s="1"/>
  <c r="BV771" i="10" s="1" a="1"/>
  <c r="BV771" i="10" s="1"/>
  <c r="CH771" i="10"/>
  <c r="CI771" i="10" s="1"/>
  <c r="CJ771" i="10" s="1" a="1"/>
  <c r="CJ771" i="10" s="1"/>
  <c r="BL771" i="10"/>
  <c r="BM771" i="10" s="1"/>
  <c r="BN771" i="10" s="1" a="1"/>
  <c r="BN771" i="10" s="1"/>
  <c r="CL771" i="10"/>
  <c r="CM771" i="10" s="1"/>
  <c r="BX771" i="10"/>
  <c r="BY771" i="10" s="1"/>
  <c r="CP771" i="10"/>
  <c r="CQ771" i="10" s="1"/>
  <c r="CR771" i="10" s="1" a="1"/>
  <c r="CR771" i="10" s="1"/>
  <c r="CT771" i="10"/>
  <c r="CU771" i="10" s="1"/>
  <c r="BP771" i="10"/>
  <c r="BQ771" i="10" s="1"/>
  <c r="BT680" i="10"/>
  <c r="BU680" i="10" s="1"/>
  <c r="BV680" i="10" s="1" a="1"/>
  <c r="BV680" i="10" s="1"/>
  <c r="CH703" i="10"/>
  <c r="CI703" i="10" s="1"/>
  <c r="CJ703" i="10" s="1" a="1"/>
  <c r="CJ703" i="10" s="1"/>
  <c r="BL703" i="10"/>
  <c r="BM703" i="10" s="1"/>
  <c r="BN703" i="10" s="1" a="1"/>
  <c r="BN703" i="10" s="1"/>
  <c r="CT703" i="10"/>
  <c r="CU703" i="10" s="1"/>
  <c r="BP703" i="10"/>
  <c r="BQ703" i="10" s="1"/>
  <c r="BR703" i="10" s="1" a="1"/>
  <c r="BR703" i="10" s="1"/>
  <c r="CV728" i="10" a="1"/>
  <c r="CV728" i="10" s="1"/>
  <c r="CN819" i="10" a="1"/>
  <c r="CN819" i="10" s="1"/>
  <c r="CR811" i="10" a="1"/>
  <c r="CR811" i="10" s="1"/>
  <c r="BV834" i="10" a="1"/>
  <c r="BV834" i="10" s="1"/>
  <c r="CB834" i="10" s="1"/>
  <c r="S834" i="10" s="1"/>
  <c r="BV818" i="10" a="1"/>
  <c r="BV818" i="10" s="1"/>
  <c r="CB818" i="10" s="1"/>
  <c r="S818" i="10" s="1"/>
  <c r="CW888" i="10" a="1"/>
  <c r="CW888" i="10" s="1"/>
  <c r="CV888" i="10" a="1"/>
  <c r="CV888" i="10" s="1"/>
  <c r="BR830" i="10" a="1"/>
  <c r="BR830" i="10" s="1"/>
  <c r="BR858" i="10" a="1"/>
  <c r="BR858" i="10" s="1"/>
  <c r="CV873" i="10" a="1"/>
  <c r="CV873" i="10" s="1"/>
  <c r="CW873" i="10" a="1"/>
  <c r="CW873" i="10" s="1"/>
  <c r="CR897" i="10" a="1"/>
  <c r="CR897" i="10" s="1"/>
  <c r="CN841" i="10" a="1"/>
  <c r="CN841" i="10" s="1"/>
  <c r="CX841" i="10" s="1"/>
  <c r="Z841" i="10" s="1"/>
  <c r="BR874" i="10" a="1"/>
  <c r="BR874" i="10" s="1"/>
  <c r="CW837" i="10" a="1"/>
  <c r="CW837" i="10" s="1"/>
  <c r="BZ842" i="10" a="1"/>
  <c r="BZ842" i="10" s="1"/>
  <c r="CA842" i="10" a="1"/>
  <c r="CA842" i="10" s="1"/>
  <c r="BR878" i="10" a="1"/>
  <c r="BR878" i="10" s="1"/>
  <c r="BV878" i="10" a="1"/>
  <c r="BV878" i="10" s="1"/>
  <c r="BP906" i="10"/>
  <c r="CA911" i="10" a="1"/>
  <c r="CA911" i="10" s="1"/>
  <c r="BZ916" i="10" a="1"/>
  <c r="BZ916" i="10" s="1"/>
  <c r="CA916" i="10" a="1"/>
  <c r="CA916" i="10" s="1"/>
  <c r="BR916" i="10" a="1"/>
  <c r="BR916" i="10" s="1"/>
  <c r="BV904" i="10" a="1"/>
  <c r="BV904" i="10" s="1"/>
  <c r="CV971" i="10" a="1"/>
  <c r="CV971" i="10" s="1"/>
  <c r="CW971" i="10" a="1"/>
  <c r="CW971" i="10" s="1"/>
  <c r="CW955" i="10" a="1"/>
  <c r="CW955" i="10" s="1"/>
  <c r="CA1008" i="10" a="1"/>
  <c r="CA1008" i="10" s="1"/>
  <c r="CA992" i="10" a="1"/>
  <c r="CA992" i="10" s="1"/>
  <c r="BX443" i="10"/>
  <c r="BY443" i="10" s="1"/>
  <c r="CE447" i="10"/>
  <c r="BF464" i="10"/>
  <c r="CL459" i="10"/>
  <c r="BL452" i="10"/>
  <c r="BM452" i="10" s="1"/>
  <c r="BN452" i="10" s="1" a="1"/>
  <c r="BN452" i="10" s="1"/>
  <c r="CE498" i="10"/>
  <c r="CP498" i="10" s="1"/>
  <c r="CQ498" i="10" s="1"/>
  <c r="CH459" i="10"/>
  <c r="CI459" i="10" s="1"/>
  <c r="CJ459" i="10" s="1" a="1"/>
  <c r="CJ459" i="10" s="1"/>
  <c r="BL459" i="10"/>
  <c r="BM459" i="10" s="1"/>
  <c r="BN459" i="10" s="1" a="1"/>
  <c r="BN459" i="10" s="1"/>
  <c r="BF457" i="10"/>
  <c r="BL457" i="10" s="1"/>
  <c r="BM457" i="10" s="1"/>
  <c r="BN457" i="10" s="1" a="1"/>
  <c r="BN457" i="10" s="1"/>
  <c r="BX465" i="10"/>
  <c r="BY465" i="10" s="1"/>
  <c r="BF470" i="10"/>
  <c r="BX470" i="10" s="1"/>
  <c r="BY470" i="10" s="1"/>
  <c r="CL481" i="10"/>
  <c r="CM481" i="10" s="1"/>
  <c r="BY486" i="10"/>
  <c r="BF486" i="10"/>
  <c r="BT486" i="10" s="1"/>
  <c r="BU486" i="10" s="1"/>
  <c r="BV486" i="10" s="1" a="1"/>
  <c r="BV486" i="10" s="1"/>
  <c r="CL497" i="10"/>
  <c r="BF502" i="10"/>
  <c r="BX502" i="10" s="1"/>
  <c r="BY502" i="10" s="1"/>
  <c r="BR414" i="10" a="1"/>
  <c r="BR414" i="10" s="1"/>
  <c r="CB414" i="10" s="1"/>
  <c r="S414" i="10" s="1"/>
  <c r="CT440" i="10"/>
  <c r="CU440" i="10" s="1"/>
  <c r="CH440" i="10"/>
  <c r="CI440" i="10" s="1"/>
  <c r="CJ440" i="10" s="1" a="1"/>
  <c r="CJ440" i="10" s="1"/>
  <c r="BL440" i="10"/>
  <c r="BM440" i="10" s="1"/>
  <c r="BN440" i="10" s="1" a="1"/>
  <c r="BN440" i="10" s="1"/>
  <c r="CL440" i="10"/>
  <c r="CM440" i="10" s="1"/>
  <c r="BX440" i="10"/>
  <c r="BY440" i="10" s="1"/>
  <c r="BT449" i="10"/>
  <c r="BU449" i="10" s="1"/>
  <c r="BL455" i="10"/>
  <c r="BM455" i="10" s="1"/>
  <c r="BN455" i="10" s="1" a="1"/>
  <c r="BN455" i="10" s="1"/>
  <c r="BT474" i="10"/>
  <c r="BN493" i="10" a="1"/>
  <c r="BN493" i="10" s="1"/>
  <c r="BN509" i="10" a="1"/>
  <c r="BN509" i="10" s="1"/>
  <c r="BM434" i="10"/>
  <c r="BN434" i="10" s="1" a="1"/>
  <c r="BN434" i="10" s="1"/>
  <c r="BF434" i="10"/>
  <c r="BL434" i="10" s="1"/>
  <c r="BU434" i="10"/>
  <c r="BQ434" i="10"/>
  <c r="BR434" i="10" s="1" a="1"/>
  <c r="BR434" i="10" s="1"/>
  <c r="BX435" i="10"/>
  <c r="BY435" i="10" s="1"/>
  <c r="BR450" i="10" a="1"/>
  <c r="BR450" i="10" s="1"/>
  <c r="CB450" i="10" s="1"/>
  <c r="S450" i="10" s="1"/>
  <c r="CP461" i="10"/>
  <c r="CQ461" i="10" s="1"/>
  <c r="CP478" i="10"/>
  <c r="CQ478" i="10" s="1"/>
  <c r="BT485" i="10"/>
  <c r="BU485" i="10" s="1"/>
  <c r="CP494" i="10"/>
  <c r="CQ494" i="10" s="1"/>
  <c r="CR494" i="10" s="1" a="1"/>
  <c r="CR494" i="10" s="1"/>
  <c r="CH505" i="10"/>
  <c r="CH513" i="10"/>
  <c r="BP473" i="10"/>
  <c r="BQ473" i="10" s="1"/>
  <c r="BR473" i="10" s="1" a="1"/>
  <c r="BR473" i="10" s="1"/>
  <c r="BP485" i="10"/>
  <c r="BQ485" i="10" s="1"/>
  <c r="BR485" i="10" s="1" a="1"/>
  <c r="BR485" i="10" s="1"/>
  <c r="BF471" i="10"/>
  <c r="BT471" i="10" s="1"/>
  <c r="BU471" i="10" s="1"/>
  <c r="BX478" i="10"/>
  <c r="BY478" i="10" s="1"/>
  <c r="BY495" i="10"/>
  <c r="BF495" i="10"/>
  <c r="BL495" i="10" s="1"/>
  <c r="BM495" i="10" s="1"/>
  <c r="BN495" i="10" s="1" a="1"/>
  <c r="BN495" i="10" s="1"/>
  <c r="BU495" i="10"/>
  <c r="CL479" i="10"/>
  <c r="BL476" i="10"/>
  <c r="BM476" i="10" s="1"/>
  <c r="BN476" i="10" s="1" a="1"/>
  <c r="BN476" i="10" s="1"/>
  <c r="CT476" i="10"/>
  <c r="CU476" i="10" s="1"/>
  <c r="CH476" i="10"/>
  <c r="CI476" i="10" s="1"/>
  <c r="CJ476" i="10" s="1" a="1"/>
  <c r="CJ476" i="10" s="1"/>
  <c r="BP476" i="10"/>
  <c r="BQ476" i="10" s="1"/>
  <c r="BX489" i="10"/>
  <c r="BY489" i="10" s="1"/>
  <c r="CP505" i="10"/>
  <c r="BT503" i="10"/>
  <c r="BX503" i="10"/>
  <c r="BP497" i="10"/>
  <c r="BQ497" i="10" s="1"/>
  <c r="BR497" i="10" s="1" a="1"/>
  <c r="BR497" i="10" s="1"/>
  <c r="CP517" i="10"/>
  <c r="CQ517" i="10" s="1"/>
  <c r="BF534" i="10"/>
  <c r="CT529" i="10"/>
  <c r="CU529" i="10" s="1"/>
  <c r="CE510" i="10"/>
  <c r="CP510" i="10" s="1"/>
  <c r="CQ510" i="10" s="1"/>
  <c r="BL534" i="10"/>
  <c r="BM534" i="10" s="1"/>
  <c r="BN534" i="10" s="1" a="1"/>
  <c r="BN534" i="10" s="1"/>
  <c r="CH534" i="10"/>
  <c r="CI534" i="10" s="1"/>
  <c r="CJ534" i="10" s="1" a="1"/>
  <c r="CJ534" i="10" s="1"/>
  <c r="BT472" i="10"/>
  <c r="BU472" i="10" s="1"/>
  <c r="BV472" i="10" s="1" a="1"/>
  <c r="BV472" i="10" s="1"/>
  <c r="BF527" i="10"/>
  <c r="BX527" i="10" s="1"/>
  <c r="BY527" i="10" s="1"/>
  <c r="CP525" i="10"/>
  <c r="CQ525" i="10" s="1"/>
  <c r="CR525" i="10" s="1" a="1"/>
  <c r="CR525" i="10" s="1"/>
  <c r="CP514" i="10"/>
  <c r="CQ514" i="10" s="1"/>
  <c r="CL519" i="10"/>
  <c r="CM519" i="10" s="1"/>
  <c r="CN519" i="10" s="1" a="1"/>
  <c r="CN519" i="10" s="1"/>
  <c r="CU539" i="10"/>
  <c r="CE539" i="10"/>
  <c r="CT539" i="10" s="1"/>
  <c r="CL516" i="10"/>
  <c r="CM516" i="10" s="1"/>
  <c r="CN516" i="10" s="1" a="1"/>
  <c r="CN516" i="10" s="1"/>
  <c r="CU535" i="10"/>
  <c r="CE535" i="10"/>
  <c r="CT535" i="10" s="1"/>
  <c r="BT535" i="10"/>
  <c r="BU535" i="10" s="1"/>
  <c r="BY541" i="10"/>
  <c r="BF541" i="10"/>
  <c r="BP541" i="10" s="1"/>
  <c r="BQ541" i="10" s="1"/>
  <c r="BX541" i="10"/>
  <c r="BT544" i="10"/>
  <c r="BU544" i="10" s="1"/>
  <c r="BV544" i="10" s="1" a="1"/>
  <c r="BV544" i="10" s="1"/>
  <c r="BL544" i="10"/>
  <c r="BM544" i="10" s="1"/>
  <c r="BN544" i="10" s="1" a="1"/>
  <c r="BN544" i="10" s="1"/>
  <c r="CH544" i="10"/>
  <c r="CI544" i="10" s="1"/>
  <c r="CJ544" i="10" s="1" a="1"/>
  <c r="CJ544" i="10" s="1"/>
  <c r="BX544" i="10"/>
  <c r="BY544" i="10" s="1"/>
  <c r="BP544" i="10"/>
  <c r="BQ544" i="10" s="1"/>
  <c r="BR544" i="10" s="1" a="1"/>
  <c r="BR544" i="10" s="1"/>
  <c r="BL547" i="10"/>
  <c r="BM547" i="10" s="1"/>
  <c r="BN547" i="10" s="1" a="1"/>
  <c r="BN547" i="10" s="1"/>
  <c r="CH547" i="10"/>
  <c r="BP547" i="10"/>
  <c r="BQ547" i="10" s="1"/>
  <c r="BR547" i="10" s="1" a="1"/>
  <c r="BR547" i="10" s="1"/>
  <c r="BF553" i="10"/>
  <c r="BX553" i="10" s="1"/>
  <c r="BY553" i="10" s="1"/>
  <c r="CP532" i="10"/>
  <c r="CQ532" i="10" s="1"/>
  <c r="BP532" i="10"/>
  <c r="BQ532" i="10" s="1"/>
  <c r="BR532" i="10" s="1" a="1"/>
  <c r="BR532" i="10" s="1"/>
  <c r="BT532" i="10"/>
  <c r="BU532" i="10" s="1"/>
  <c r="BV532" i="10" s="1" a="1"/>
  <c r="BV532" i="10" s="1"/>
  <c r="CT532" i="10"/>
  <c r="CU532" i="10" s="1"/>
  <c r="BL532" i="10"/>
  <c r="BM532" i="10" s="1"/>
  <c r="BN532" i="10" s="1" a="1"/>
  <c r="BN532" i="10" s="1"/>
  <c r="CH532" i="10"/>
  <c r="CI532" i="10" s="1"/>
  <c r="CJ532" i="10" s="1" a="1"/>
  <c r="CJ532" i="10" s="1"/>
  <c r="CX562" i="10"/>
  <c r="Z562" i="10" s="1"/>
  <c r="CE579" i="10"/>
  <c r="CT579" i="10" s="1"/>
  <c r="CU579" i="10" s="1"/>
  <c r="BF588" i="10"/>
  <c r="BT588" i="10" s="1"/>
  <c r="BU588" i="10" s="1"/>
  <c r="CP545" i="10"/>
  <c r="BF573" i="10"/>
  <c r="BP573" i="10" s="1"/>
  <c r="BQ573" i="10" s="1"/>
  <c r="CP573" i="10"/>
  <c r="CQ573" i="10" s="1"/>
  <c r="CR573" i="10" s="1" a="1"/>
  <c r="CR573" i="10" s="1"/>
  <c r="CT555" i="10"/>
  <c r="CU555" i="10" s="1"/>
  <c r="CW588" i="10" a="1"/>
  <c r="CW588" i="10" s="1"/>
  <c r="BT556" i="10"/>
  <c r="BU556" i="10" s="1"/>
  <c r="CE605" i="10"/>
  <c r="CL605" i="10" s="1"/>
  <c r="CM605" i="10" s="1"/>
  <c r="CE629" i="10"/>
  <c r="CL641" i="10"/>
  <c r="CM641" i="10" s="1"/>
  <c r="BQ581" i="10"/>
  <c r="BF581" i="10"/>
  <c r="BP581" i="10" s="1"/>
  <c r="CP581" i="10"/>
  <c r="CQ581" i="10" s="1"/>
  <c r="CR581" i="10" s="1" a="1"/>
  <c r="CR581" i="10" s="1"/>
  <c r="BP633" i="10"/>
  <c r="BQ633" i="10" s="1"/>
  <c r="BP548" i="10"/>
  <c r="BQ548" i="10" s="1"/>
  <c r="BR548" i="10" s="1" a="1"/>
  <c r="BR548" i="10" s="1"/>
  <c r="CP583" i="10"/>
  <c r="CQ583" i="10" s="1"/>
  <c r="CR583" i="10" s="1" a="1"/>
  <c r="CR583" i="10" s="1"/>
  <c r="CH584" i="10"/>
  <c r="CI584" i="10" s="1"/>
  <c r="CJ584" i="10" s="1" a="1"/>
  <c r="CJ584" i="10" s="1"/>
  <c r="CP595" i="10"/>
  <c r="CQ595" i="10" s="1"/>
  <c r="CR595" i="10" s="1" a="1"/>
  <c r="CR595" i="10" s="1"/>
  <c r="CE600" i="10"/>
  <c r="CT600" i="10" s="1"/>
  <c r="CU600" i="10" s="1"/>
  <c r="CL604" i="10"/>
  <c r="CM604" i="10" s="1"/>
  <c r="CL608" i="10"/>
  <c r="CM608" i="10" s="1"/>
  <c r="CL612" i="10"/>
  <c r="CM612" i="10" s="1"/>
  <c r="BF617" i="10"/>
  <c r="BT617" i="10" s="1"/>
  <c r="BU617" i="10" s="1"/>
  <c r="CL628" i="10"/>
  <c r="CM628" i="10" s="1"/>
  <c r="BF633" i="10"/>
  <c r="BT633" i="10" s="1"/>
  <c r="BU633" i="10" s="1"/>
  <c r="BV633" i="10" s="1" a="1"/>
  <c r="BV633" i="10" s="1"/>
  <c r="CL644" i="10"/>
  <c r="CT649" i="10"/>
  <c r="CU649" i="10" s="1"/>
  <c r="BP514" i="10"/>
  <c r="BQ514" i="10" s="1"/>
  <c r="BR514" i="10" s="1" a="1"/>
  <c r="BR514" i="10" s="1"/>
  <c r="CP564" i="10"/>
  <c r="CQ564" i="10" s="1"/>
  <c r="CH571" i="10"/>
  <c r="CI571" i="10" s="1"/>
  <c r="CJ571" i="10" s="1" a="1"/>
  <c r="CJ571" i="10" s="1"/>
  <c r="BP586" i="10"/>
  <c r="BQ586" i="10" s="1"/>
  <c r="BR586" i="10" s="1" a="1"/>
  <c r="BR586" i="10" s="1"/>
  <c r="BL586" i="10"/>
  <c r="BM586" i="10" s="1"/>
  <c r="BN586" i="10" s="1" a="1"/>
  <c r="BN586" i="10" s="1"/>
  <c r="CH586" i="10"/>
  <c r="CI586" i="10" s="1"/>
  <c r="CJ586" i="10" s="1" a="1"/>
  <c r="CJ586" i="10" s="1"/>
  <c r="CL596" i="10"/>
  <c r="CM596" i="10" s="1"/>
  <c r="BF608" i="10"/>
  <c r="BF620" i="10"/>
  <c r="CL623" i="10"/>
  <c r="CM623" i="10" s="1"/>
  <c r="CE627" i="10"/>
  <c r="CT644" i="10"/>
  <c r="CL655" i="10"/>
  <c r="CM655" i="10" s="1"/>
  <c r="BT631" i="10"/>
  <c r="BU631" i="10" s="1"/>
  <c r="BV631" i="10" s="1" a="1"/>
  <c r="BV631" i="10" s="1"/>
  <c r="CH661" i="10"/>
  <c r="CI661" i="10" s="1"/>
  <c r="CJ661" i="10" s="1" a="1"/>
  <c r="CJ661" i="10" s="1"/>
  <c r="BL661" i="10"/>
  <c r="BM661" i="10" s="1"/>
  <c r="BN661" i="10" s="1" a="1"/>
  <c r="BN661" i="10" s="1"/>
  <c r="CH622" i="10"/>
  <c r="CI622" i="10" s="1"/>
  <c r="CJ622" i="10" s="1" a="1"/>
  <c r="CJ622" i="10" s="1"/>
  <c r="BX625" i="10"/>
  <c r="BY625" i="10" s="1"/>
  <c r="CB658" i="10"/>
  <c r="S658" i="10" s="1"/>
  <c r="BZ622" i="10" a="1"/>
  <c r="BZ622" i="10" s="1"/>
  <c r="BX637" i="10"/>
  <c r="BY637" i="10" s="1"/>
  <c r="CJ669" i="10" a="1"/>
  <c r="CJ669" i="10" s="1"/>
  <c r="CH552" i="10"/>
  <c r="CI552" i="10" s="1"/>
  <c r="CJ552" i="10" s="1" a="1"/>
  <c r="CJ552" i="10" s="1"/>
  <c r="CL568" i="10"/>
  <c r="CM568" i="10" s="1"/>
  <c r="BX587" i="10"/>
  <c r="BY587" i="10" s="1"/>
  <c r="CH614" i="10"/>
  <c r="CI614" i="10" s="1"/>
  <c r="CJ614" i="10" s="1" a="1"/>
  <c r="CJ614" i="10" s="1"/>
  <c r="CP521" i="10"/>
  <c r="CQ521" i="10" s="1"/>
  <c r="CR521" i="10" s="1" a="1"/>
  <c r="CR521" i="10" s="1"/>
  <c r="CH580" i="10"/>
  <c r="CI580" i="10" s="1"/>
  <c r="CJ580" i="10" s="1" a="1"/>
  <c r="CJ580" i="10" s="1"/>
  <c r="CX646" i="10"/>
  <c r="Z646" i="10" s="1"/>
  <c r="CE667" i="10"/>
  <c r="CM667" i="10"/>
  <c r="BF671" i="10"/>
  <c r="BX671" i="10" s="1"/>
  <c r="BY671" i="10" s="1"/>
  <c r="CL684" i="10"/>
  <c r="CM684" i="10" s="1"/>
  <c r="BX601" i="10"/>
  <c r="BY601" i="10" s="1"/>
  <c r="CQ668" i="10"/>
  <c r="CE668" i="10"/>
  <c r="CH668" i="10" s="1"/>
  <c r="CI668" i="10" s="1"/>
  <c r="CJ668" i="10" s="1" a="1"/>
  <c r="CJ668" i="10" s="1"/>
  <c r="CU668" i="10"/>
  <c r="BX548" i="10"/>
  <c r="BY548" i="10" s="1"/>
  <c r="CH602" i="10"/>
  <c r="CI602" i="10" s="1"/>
  <c r="CJ602" i="10" s="1" a="1"/>
  <c r="CJ602" i="10" s="1"/>
  <c r="CH630" i="10"/>
  <c r="CI630" i="10" s="1"/>
  <c r="CJ630" i="10" s="1" a="1"/>
  <c r="CJ630" i="10" s="1"/>
  <c r="BX633" i="10"/>
  <c r="BY633" i="10" s="1"/>
  <c r="BL651" i="10"/>
  <c r="BM651" i="10" s="1"/>
  <c r="BN651" i="10" s="1" a="1"/>
  <c r="BN651" i="10" s="1"/>
  <c r="BX660" i="10"/>
  <c r="BY660" i="10" s="1"/>
  <c r="CR669" i="10" a="1"/>
  <c r="CR669" i="10" s="1"/>
  <c r="CT678" i="10"/>
  <c r="CU678" i="10" s="1"/>
  <c r="CP718" i="10"/>
  <c r="CQ718" i="10" s="1"/>
  <c r="CR718" i="10" s="1" a="1"/>
  <c r="CR718" i="10" s="1"/>
  <c r="CP737" i="10"/>
  <c r="CQ737" i="10" s="1"/>
  <c r="CR737" i="10" s="1" a="1"/>
  <c r="CR737" i="10" s="1"/>
  <c r="CH737" i="10"/>
  <c r="CI737" i="10" s="1"/>
  <c r="CJ737" i="10" s="1" a="1"/>
  <c r="CJ737" i="10" s="1"/>
  <c r="CP756" i="10"/>
  <c r="CP776" i="10"/>
  <c r="BL713" i="10"/>
  <c r="BM713" i="10" s="1"/>
  <c r="BN713" i="10" s="1" a="1"/>
  <c r="BN713" i="10" s="1"/>
  <c r="CH713" i="10"/>
  <c r="CE713" i="10"/>
  <c r="CP713" i="10" s="1"/>
  <c r="CQ713" i="10" s="1"/>
  <c r="CR713" i="10" s="1" a="1"/>
  <c r="CR713" i="10" s="1"/>
  <c r="CM713" i="10"/>
  <c r="CI713" i="10"/>
  <c r="CJ713" i="10" s="1" a="1"/>
  <c r="CJ713" i="10" s="1"/>
  <c r="CX732" i="10"/>
  <c r="Z732" i="10" s="1"/>
  <c r="CT737" i="10"/>
  <c r="CU737" i="10" s="1"/>
  <c r="BL607" i="10"/>
  <c r="BM607" i="10" s="1"/>
  <c r="BN607" i="10" s="1" a="1"/>
  <c r="BN607" i="10" s="1"/>
  <c r="BX675" i="10"/>
  <c r="BY675" i="10" s="1"/>
  <c r="BF706" i="10"/>
  <c r="BP706" i="10" s="1"/>
  <c r="BQ706" i="10" s="1"/>
  <c r="BP729" i="10"/>
  <c r="BL729" i="10"/>
  <c r="BM729" i="10" s="1"/>
  <c r="BN729" i="10" s="1" a="1"/>
  <c r="BN729" i="10" s="1"/>
  <c r="BL717" i="10"/>
  <c r="BM717" i="10" s="1"/>
  <c r="BN717" i="10" s="1" a="1"/>
  <c r="BN717" i="10" s="1"/>
  <c r="CH717" i="10"/>
  <c r="CI717" i="10" s="1"/>
  <c r="CJ717" i="10" s="1" a="1"/>
  <c r="CJ717" i="10" s="1"/>
  <c r="BP717" i="10"/>
  <c r="BQ717" i="10" s="1"/>
  <c r="BR717" i="10" s="1" a="1"/>
  <c r="BR717" i="10" s="1"/>
  <c r="CE717" i="10"/>
  <c r="CP717" i="10" s="1"/>
  <c r="CQ717" i="10" s="1"/>
  <c r="CR717" i="10" s="1" a="1"/>
  <c r="CR717" i="10" s="1"/>
  <c r="CM717" i="10"/>
  <c r="CR724" i="10" a="1"/>
  <c r="CR724" i="10" s="1"/>
  <c r="CE740" i="10"/>
  <c r="CP740" i="10" s="1"/>
  <c r="CQ740" i="10" s="1"/>
  <c r="CQ756" i="10"/>
  <c r="CM756" i="10"/>
  <c r="CE756" i="10"/>
  <c r="CE768" i="10"/>
  <c r="CQ776" i="10"/>
  <c r="CE776" i="10"/>
  <c r="BX680" i="10"/>
  <c r="BY680" i="10" s="1"/>
  <c r="BT683" i="10"/>
  <c r="BU683" i="10" s="1"/>
  <c r="BV683" i="10" s="1" a="1"/>
  <c r="BV683" i="10" s="1"/>
  <c r="CR691" i="10" a="1"/>
  <c r="CR691" i="10" s="1"/>
  <c r="BF693" i="10"/>
  <c r="BL693" i="10" s="1"/>
  <c r="BM693" i="10" s="1"/>
  <c r="BN693" i="10" s="1" a="1"/>
  <c r="BN693" i="10" s="1"/>
  <c r="BP719" i="10"/>
  <c r="BQ719" i="10" s="1"/>
  <c r="BR719" i="10" s="1" a="1"/>
  <c r="BR719" i="10" s="1"/>
  <c r="BF721" i="10"/>
  <c r="BP721" i="10" s="1"/>
  <c r="BQ721" i="10" s="1"/>
  <c r="BX734" i="10"/>
  <c r="BY734" i="10" s="1"/>
  <c r="CL734" i="10"/>
  <c r="CM734" i="10" s="1"/>
  <c r="CN734" i="10" s="1" a="1"/>
  <c r="CN734" i="10" s="1"/>
  <c r="BP734" i="10"/>
  <c r="BQ734" i="10" s="1"/>
  <c r="BR734" i="10" s="1" a="1"/>
  <c r="BR734" i="10" s="1"/>
  <c r="BL744" i="10"/>
  <c r="BM744" i="10" s="1"/>
  <c r="BN744" i="10" s="1" a="1"/>
  <c r="BN744" i="10" s="1"/>
  <c r="BP744" i="10"/>
  <c r="BQ744" i="10" s="1"/>
  <c r="BR744" i="10" s="1" a="1"/>
  <c r="BR744" i="10" s="1"/>
  <c r="BL756" i="10"/>
  <c r="BM756" i="10" s="1"/>
  <c r="BN756" i="10" s="1" a="1"/>
  <c r="BN756" i="10" s="1"/>
  <c r="BT756" i="10"/>
  <c r="BU756" i="10" s="1"/>
  <c r="BP756" i="10"/>
  <c r="BQ756" i="10" s="1"/>
  <c r="BR756" i="10" s="1" a="1"/>
  <c r="BR756" i="10" s="1"/>
  <c r="BT776" i="10"/>
  <c r="BU776" i="10" s="1"/>
  <c r="BP776" i="10"/>
  <c r="BQ776" i="10" s="1"/>
  <c r="BL776" i="10"/>
  <c r="BM776" i="10" s="1"/>
  <c r="BN776" i="10" s="1" a="1"/>
  <c r="BN776" i="10" s="1"/>
  <c r="CP781" i="10"/>
  <c r="CQ781" i="10" s="1"/>
  <c r="CR781" i="10" s="1" a="1"/>
  <c r="CR781" i="10" s="1"/>
  <c r="CL781" i="10"/>
  <c r="CM781" i="10" s="1"/>
  <c r="CN781" i="10" s="1" a="1"/>
  <c r="CN781" i="10" s="1"/>
  <c r="CP797" i="10"/>
  <c r="CQ797" i="10" s="1"/>
  <c r="CH797" i="10"/>
  <c r="CI797" i="10" s="1"/>
  <c r="CJ797" i="10" s="1" a="1"/>
  <c r="CJ797" i="10" s="1"/>
  <c r="CL797" i="10"/>
  <c r="CM797" i="10" s="1"/>
  <c r="CN797" i="10" s="1" a="1"/>
  <c r="CN797" i="10" s="1"/>
  <c r="BX700" i="10"/>
  <c r="BY700" i="10" s="1"/>
  <c r="BT730" i="10"/>
  <c r="CR755" i="10" a="1"/>
  <c r="CR755" i="10" s="1"/>
  <c r="CR728" i="10" a="1"/>
  <c r="CR728" i="10" s="1"/>
  <c r="CX728" i="10" s="1"/>
  <c r="Z728" i="10" s="1"/>
  <c r="BF742" i="10"/>
  <c r="BT742" i="10" s="1"/>
  <c r="BU742" i="10" s="1"/>
  <c r="BN764" i="10" a="1"/>
  <c r="BN764" i="10" s="1"/>
  <c r="CW785" i="10" a="1"/>
  <c r="CW785" i="10" s="1"/>
  <c r="CT798" i="10"/>
  <c r="CU798" i="10" s="1"/>
  <c r="CW779" i="10" a="1"/>
  <c r="CW779" i="10" s="1"/>
  <c r="CT804" i="10"/>
  <c r="CU804" i="10" s="1"/>
  <c r="CV775" i="10" a="1"/>
  <c r="CV775" i="10" s="1"/>
  <c r="CW775" i="10" a="1"/>
  <c r="CW775" i="10" s="1"/>
  <c r="CN803" i="10" a="1"/>
  <c r="CN803" i="10" s="1"/>
  <c r="CW830" i="10" a="1"/>
  <c r="CW830" i="10" s="1"/>
  <c r="CV830" i="10" a="1"/>
  <c r="CV830" i="10" s="1"/>
  <c r="BZ826" i="10" a="1"/>
  <c r="BZ826" i="10" s="1"/>
  <c r="CA826" i="10" a="1"/>
  <c r="CA826" i="10" s="1"/>
  <c r="CB732" i="10"/>
  <c r="S732" i="10" s="1"/>
  <c r="CV819" i="10" a="1"/>
  <c r="CV819" i="10" s="1"/>
  <c r="CW819" i="10" a="1"/>
  <c r="CW819" i="10" s="1"/>
  <c r="CN824" i="10" a="1"/>
  <c r="CN824" i="10" s="1"/>
  <c r="BX884" i="10"/>
  <c r="BY884" i="10" s="1"/>
  <c r="CA935" i="10" a="1"/>
  <c r="CA935" i="10" s="1"/>
  <c r="CA951" i="10" a="1"/>
  <c r="CA951" i="10" s="1"/>
  <c r="CA858" i="10" a="1"/>
  <c r="CA858" i="10" s="1"/>
  <c r="BZ858" i="10" a="1"/>
  <c r="BZ858" i="10" s="1"/>
  <c r="CB858" i="10" s="1"/>
  <c r="S858" i="10" s="1"/>
  <c r="BP926" i="10"/>
  <c r="CA912" i="10" a="1"/>
  <c r="CA912" i="10" s="1"/>
  <c r="BZ912" i="10" a="1"/>
  <c r="BZ912" i="10" s="1"/>
  <c r="BR962" i="10" a="1"/>
  <c r="BR962" i="10" s="1"/>
  <c r="CW977" i="10" a="1"/>
  <c r="CW977" i="10" s="1"/>
  <c r="CT430" i="10"/>
  <c r="CU430" i="10" s="1"/>
  <c r="BP453" i="10"/>
  <c r="CP394" i="10"/>
  <c r="CQ394" i="10" s="1"/>
  <c r="CR394" i="10" s="1" a="1"/>
  <c r="CR394" i="10" s="1"/>
  <c r="CT445" i="10"/>
  <c r="CU445" i="10" s="1"/>
  <c r="BF427" i="10"/>
  <c r="BX427" i="10" s="1"/>
  <c r="BY427" i="10" s="1"/>
  <c r="CE443" i="10"/>
  <c r="CP443" i="10" s="1"/>
  <c r="CQ443" i="10" s="1"/>
  <c r="CL447" i="10"/>
  <c r="CM447" i="10" s="1"/>
  <c r="BL431" i="10"/>
  <c r="BM431" i="10" s="1"/>
  <c r="BN431" i="10" s="1" a="1"/>
  <c r="BN431" i="10" s="1"/>
  <c r="CH431" i="10"/>
  <c r="CI431" i="10" s="1"/>
  <c r="CN431" i="10" s="1" a="1"/>
  <c r="CN431" i="10" s="1"/>
  <c r="CP431" i="10"/>
  <c r="CQ431" i="10" s="1"/>
  <c r="CR431" i="10" s="1" a="1"/>
  <c r="CR431" i="10" s="1"/>
  <c r="BL453" i="10"/>
  <c r="BM453" i="10" s="1"/>
  <c r="BN453" i="10" s="1" a="1"/>
  <c r="BN453" i="10" s="1"/>
  <c r="CE459" i="10"/>
  <c r="CP459" i="10" s="1"/>
  <c r="CQ459" i="10" s="1"/>
  <c r="CR459" i="10" s="1" a="1"/>
  <c r="CR459" i="10" s="1"/>
  <c r="CM459" i="10"/>
  <c r="CE478" i="10"/>
  <c r="CH478" i="10" s="1"/>
  <c r="CI478" i="10" s="1"/>
  <c r="CJ478" i="10" s="1" a="1"/>
  <c r="CJ478" i="10" s="1"/>
  <c r="CL498" i="10"/>
  <c r="CM498" i="10" s="1"/>
  <c r="CT459" i="10"/>
  <c r="CU459" i="10" s="1"/>
  <c r="BF465" i="10"/>
  <c r="BT465" i="10" s="1"/>
  <c r="BU465" i="10" s="1"/>
  <c r="BT431" i="10"/>
  <c r="BU431" i="10" s="1"/>
  <c r="BV431" i="10" s="1" a="1"/>
  <c r="BV431" i="10" s="1"/>
  <c r="BP457" i="10"/>
  <c r="BQ457" i="10" s="1"/>
  <c r="BR457" i="10" s="1" a="1"/>
  <c r="BR457" i="10" s="1"/>
  <c r="CT470" i="10"/>
  <c r="CE477" i="10"/>
  <c r="CL477" i="10" s="1"/>
  <c r="CM477" i="10" s="1"/>
  <c r="CT486" i="10"/>
  <c r="CE493" i="10"/>
  <c r="CT493" i="10" s="1"/>
  <c r="CU493" i="10" s="1"/>
  <c r="CT502" i="10"/>
  <c r="CU502" i="10" s="1"/>
  <c r="CI513" i="10"/>
  <c r="CM513" i="10"/>
  <c r="CN513" i="10" s="1" a="1"/>
  <c r="CN513" i="10" s="1"/>
  <c r="CE513" i="10"/>
  <c r="CP513" i="10" s="1"/>
  <c r="CQ513" i="10" s="1"/>
  <c r="CR513" i="10" s="1" a="1"/>
  <c r="CR513" i="10" s="1"/>
  <c r="BT440" i="10"/>
  <c r="BU440" i="10" s="1"/>
  <c r="BV440" i="10" s="1" a="1"/>
  <c r="BV440" i="10" s="1"/>
  <c r="CP464" i="10"/>
  <c r="CQ464" i="10" s="1"/>
  <c r="CR464" i="10" s="1" a="1"/>
  <c r="CR464" i="10" s="1"/>
  <c r="BT470" i="10"/>
  <c r="BU470" i="10" s="1"/>
  <c r="CH474" i="10"/>
  <c r="CI474" i="10" s="1"/>
  <c r="CJ474" i="10" s="1" a="1"/>
  <c r="CJ474" i="10" s="1"/>
  <c r="BN489" i="10" a="1"/>
  <c r="BN489" i="10" s="1"/>
  <c r="BT502" i="10"/>
  <c r="BU502" i="10" s="1"/>
  <c r="CP434" i="10"/>
  <c r="CQ434" i="10" s="1"/>
  <c r="CR434" i="10" s="1" a="1"/>
  <c r="CR434" i="10" s="1"/>
  <c r="CE435" i="10"/>
  <c r="CL435" i="10" s="1"/>
  <c r="CM435" i="10" s="1"/>
  <c r="BT457" i="10"/>
  <c r="BU457" i="10" s="1"/>
  <c r="BV457" i="10" s="1" a="1"/>
  <c r="BV457" i="10" s="1"/>
  <c r="BP463" i="10"/>
  <c r="BQ463" i="10" s="1"/>
  <c r="BR463" i="10" s="1" a="1"/>
  <c r="BR463" i="10" s="1"/>
  <c r="BL474" i="10"/>
  <c r="BM474" i="10" s="1"/>
  <c r="BN474" i="10" s="1" a="1"/>
  <c r="BN474" i="10" s="1"/>
  <c r="BL486" i="10"/>
  <c r="BM486" i="10" s="1"/>
  <c r="BN486" i="10" s="1" a="1"/>
  <c r="BN486" i="10" s="1"/>
  <c r="CL506" i="10"/>
  <c r="CM506" i="10" s="1"/>
  <c r="BL468" i="10"/>
  <c r="BM468" i="10" s="1"/>
  <c r="BN468" i="10" s="1" a="1"/>
  <c r="BN468" i="10" s="1"/>
  <c r="CT468" i="10"/>
  <c r="CU468" i="10" s="1"/>
  <c r="CH468" i="10"/>
  <c r="CI468" i="10" s="1"/>
  <c r="CJ468" i="10" s="1" a="1"/>
  <c r="CJ468" i="10" s="1"/>
  <c r="BP468" i="10"/>
  <c r="BQ468" i="10" s="1"/>
  <c r="BR468" i="10" s="1" a="1"/>
  <c r="BR468" i="10" s="1"/>
  <c r="BL492" i="10"/>
  <c r="BM492" i="10" s="1"/>
  <c r="BN492" i="10" s="1" a="1"/>
  <c r="BN492" i="10" s="1"/>
  <c r="CT492" i="10"/>
  <c r="CU492" i="10" s="1"/>
  <c r="CH492" i="10"/>
  <c r="CI492" i="10" s="1"/>
  <c r="CJ492" i="10" s="1" a="1"/>
  <c r="CJ492" i="10" s="1"/>
  <c r="CP492" i="10"/>
  <c r="CQ492" i="10" s="1"/>
  <c r="CR492" i="10" s="1" a="1"/>
  <c r="CR492" i="10" s="1"/>
  <c r="BP492" i="10"/>
  <c r="BQ492" i="10" s="1"/>
  <c r="BR492" i="10" s="1" a="1"/>
  <c r="BR492" i="10" s="1"/>
  <c r="BL499" i="10"/>
  <c r="BM499" i="10" s="1"/>
  <c r="BN499" i="10" s="1" a="1"/>
  <c r="BN499" i="10" s="1"/>
  <c r="CE479" i="10"/>
  <c r="CH479" i="10" s="1"/>
  <c r="CI479" i="10" s="1"/>
  <c r="CJ479" i="10" s="1" a="1"/>
  <c r="CJ479" i="10" s="1"/>
  <c r="CM479" i="10"/>
  <c r="CQ479" i="10"/>
  <c r="CL484" i="10"/>
  <c r="CM484" i="10" s="1"/>
  <c r="CN484" i="10" s="1" a="1"/>
  <c r="CN484" i="10" s="1"/>
  <c r="CP467" i="10"/>
  <c r="CQ467" i="10" s="1"/>
  <c r="CR467" i="10" s="1" a="1"/>
  <c r="CR467" i="10" s="1"/>
  <c r="BP477" i="10"/>
  <c r="BQ477" i="10" s="1"/>
  <c r="BR477" i="10" s="1" a="1"/>
  <c r="BR477" i="10" s="1"/>
  <c r="CP491" i="10"/>
  <c r="CQ491" i="10" s="1"/>
  <c r="BX486" i="10"/>
  <c r="CT505" i="10"/>
  <c r="BT527" i="10"/>
  <c r="BU527" i="10" s="1"/>
  <c r="CT517" i="10"/>
  <c r="CU517" i="10" s="1"/>
  <c r="BX510" i="10"/>
  <c r="BY510" i="10" s="1"/>
  <c r="CP526" i="10"/>
  <c r="CQ526" i="10" s="1"/>
  <c r="CR526" i="10" s="1" a="1"/>
  <c r="CR526" i="10" s="1"/>
  <c r="CE527" i="10"/>
  <c r="CL527" i="10" s="1"/>
  <c r="CM527" i="10" s="1"/>
  <c r="BP519" i="10"/>
  <c r="BQ519" i="10" s="1"/>
  <c r="BR519" i="10" s="1" a="1"/>
  <c r="BR519" i="10" s="1"/>
  <c r="CP523" i="10"/>
  <c r="CQ523" i="10" s="1"/>
  <c r="BL526" i="10"/>
  <c r="BM526" i="10" s="1"/>
  <c r="BN526" i="10" s="1" a="1"/>
  <c r="BN526" i="10" s="1"/>
  <c r="CH526" i="10"/>
  <c r="CI526" i="10" s="1"/>
  <c r="CJ526" i="10" s="1" a="1"/>
  <c r="CJ526" i="10" s="1"/>
  <c r="BN529" i="10" a="1"/>
  <c r="BN529" i="10" s="1"/>
  <c r="BX497" i="10"/>
  <c r="BY497" i="10" s="1"/>
  <c r="CH542" i="10"/>
  <c r="CI542" i="10" s="1"/>
  <c r="CJ542" i="10" s="1" a="1"/>
  <c r="CJ542" i="10" s="1"/>
  <c r="CA540" i="10" a="1"/>
  <c r="CA540" i="10" s="1"/>
  <c r="CT545" i="10"/>
  <c r="CU545" i="10" s="1"/>
  <c r="BT567" i="10"/>
  <c r="BU567" i="10" s="1"/>
  <c r="BV567" i="10" s="1" a="1"/>
  <c r="BV567" i="10" s="1"/>
  <c r="BX569" i="10"/>
  <c r="BY569" i="10" s="1"/>
  <c r="BQ537" i="10"/>
  <c r="BU537" i="10"/>
  <c r="BV537" i="10" s="1" a="1"/>
  <c r="BV537" i="10" s="1"/>
  <c r="BF537" i="10"/>
  <c r="BP537" i="10" s="1"/>
  <c r="CE537" i="10"/>
  <c r="CH537" i="10" s="1"/>
  <c r="CI537" i="10" s="1"/>
  <c r="CJ537" i="10" s="1" a="1"/>
  <c r="CJ537" i="10" s="1"/>
  <c r="CP547" i="10"/>
  <c r="CQ547" i="10" s="1"/>
  <c r="CR547" i="10" s="1" a="1"/>
  <c r="CR547" i="10" s="1"/>
  <c r="CT544" i="10"/>
  <c r="CU544" i="10" s="1"/>
  <c r="CT553" i="10"/>
  <c r="CU553" i="10" s="1"/>
  <c r="BF565" i="10"/>
  <c r="BX565" i="10" s="1"/>
  <c r="BY565" i="10" s="1"/>
  <c r="BM565" i="10"/>
  <c r="BN565" i="10" s="1" a="1"/>
  <c r="BN565" i="10" s="1"/>
  <c r="CL532" i="10"/>
  <c r="CM532" i="10" s="1"/>
  <c r="CN532" i="10" s="1" a="1"/>
  <c r="CN532" i="10" s="1"/>
  <c r="CX566" i="10"/>
  <c r="Z566" i="10" s="1"/>
  <c r="BX575" i="10"/>
  <c r="BY575" i="10" s="1"/>
  <c r="BP556" i="10"/>
  <c r="BQ556" i="10" s="1"/>
  <c r="BR556" i="10" s="1" a="1"/>
  <c r="BR556" i="10" s="1"/>
  <c r="CJ538" i="10" a="1"/>
  <c r="CJ538" i="10" s="1"/>
  <c r="CP556" i="10"/>
  <c r="CQ556" i="10" s="1"/>
  <c r="CR556" i="10" s="1" a="1"/>
  <c r="CR556" i="10" s="1"/>
  <c r="BP578" i="10"/>
  <c r="BQ578" i="10" s="1"/>
  <c r="BR578" i="10" s="1" a="1"/>
  <c r="BR578" i="10" s="1"/>
  <c r="BL578" i="10"/>
  <c r="BM578" i="10" s="1"/>
  <c r="BN578" i="10" s="1" a="1"/>
  <c r="BN578" i="10" s="1"/>
  <c r="CH578" i="10"/>
  <c r="CI578" i="10" s="1"/>
  <c r="CJ578" i="10" s="1" a="1"/>
  <c r="CJ578" i="10" s="1"/>
  <c r="CE617" i="10"/>
  <c r="CM617" i="10"/>
  <c r="CL629" i="10"/>
  <c r="CM629" i="10" s="1"/>
  <c r="BF592" i="10"/>
  <c r="BP592" i="10" s="1"/>
  <c r="BQ592" i="10" s="1"/>
  <c r="BP645" i="10"/>
  <c r="CL550" i="10"/>
  <c r="CM550" i="10" s="1"/>
  <c r="CN550" i="10" s="1" a="1"/>
  <c r="CN550" i="10" s="1"/>
  <c r="BL569" i="10"/>
  <c r="BM569" i="10" s="1"/>
  <c r="BN569" i="10" s="1" a="1"/>
  <c r="BN569" i="10" s="1"/>
  <c r="CH595" i="10"/>
  <c r="CI595" i="10" s="1"/>
  <c r="CJ595" i="10" s="1" a="1"/>
  <c r="CJ595" i="10" s="1"/>
  <c r="CL600" i="10"/>
  <c r="CM600" i="10" s="1"/>
  <c r="CT617" i="10"/>
  <c r="CU617" i="10" s="1"/>
  <c r="CE624" i="10"/>
  <c r="CT633" i="10"/>
  <c r="CU633" i="10" s="1"/>
  <c r="CE640" i="10"/>
  <c r="CE652" i="10"/>
  <c r="CT550" i="10"/>
  <c r="CU550" i="10" s="1"/>
  <c r="BF593" i="10"/>
  <c r="BF624" i="10"/>
  <c r="CL627" i="10"/>
  <c r="CM627" i="10" s="1"/>
  <c r="CE631" i="10"/>
  <c r="CM631" i="10"/>
  <c r="BX635" i="10"/>
  <c r="BY635" i="10" s="1"/>
  <c r="BF656" i="10"/>
  <c r="CH593" i="10"/>
  <c r="CI593" i="10" s="1"/>
  <c r="CJ593" i="10" s="1" a="1"/>
  <c r="CJ593" i="10" s="1"/>
  <c r="BL593" i="10"/>
  <c r="BM593" i="10" s="1"/>
  <c r="BN593" i="10" s="1" a="1"/>
  <c r="BN593" i="10" s="1"/>
  <c r="BX593" i="10"/>
  <c r="BY593" i="10" s="1"/>
  <c r="CT603" i="10"/>
  <c r="CU603" i="10" s="1"/>
  <c r="BL643" i="10"/>
  <c r="BM643" i="10" s="1"/>
  <c r="BN643" i="10" s="1" a="1"/>
  <c r="BN643" i="10" s="1"/>
  <c r="CP603" i="10"/>
  <c r="CQ603" i="10" s="1"/>
  <c r="BL622" i="10"/>
  <c r="BM622" i="10" s="1"/>
  <c r="BN622" i="10" s="1" a="1"/>
  <c r="BN622" i="10" s="1"/>
  <c r="CP626" i="10"/>
  <c r="CQ626" i="10" s="1"/>
  <c r="CR626" i="10" s="1" a="1"/>
  <c r="CR626" i="10" s="1"/>
  <c r="BT645" i="10"/>
  <c r="CH585" i="10"/>
  <c r="CI585" i="10" s="1"/>
  <c r="CJ585" i="10" s="1" a="1"/>
  <c r="CJ585" i="10" s="1"/>
  <c r="BL585" i="10"/>
  <c r="BM585" i="10" s="1"/>
  <c r="BN585" i="10" s="1" a="1"/>
  <c r="BN585" i="10" s="1"/>
  <c r="CL634" i="10"/>
  <c r="CM634" i="10" s="1"/>
  <c r="CN634" i="10" s="1" a="1"/>
  <c r="CN634" i="10" s="1"/>
  <c r="CP638" i="10"/>
  <c r="CQ638" i="10" s="1"/>
  <c r="CR638" i="10" s="1" a="1"/>
  <c r="CR638" i="10" s="1"/>
  <c r="BL568" i="10"/>
  <c r="BM568" i="10" s="1"/>
  <c r="BN568" i="10" s="1" a="1"/>
  <c r="BN568" i="10" s="1"/>
  <c r="CL584" i="10"/>
  <c r="CM584" i="10" s="1"/>
  <c r="CN584" i="10" s="1" a="1"/>
  <c r="CN584" i="10" s="1"/>
  <c r="CP587" i="10"/>
  <c r="CQ587" i="10" s="1"/>
  <c r="CR587" i="10" s="1" a="1"/>
  <c r="CR587" i="10" s="1"/>
  <c r="BL614" i="10"/>
  <c r="BM614" i="10" s="1"/>
  <c r="BN614" i="10" s="1" a="1"/>
  <c r="BN614" i="10" s="1"/>
  <c r="CP618" i="10"/>
  <c r="CQ618" i="10" s="1"/>
  <c r="CR618" i="10" s="1" a="1"/>
  <c r="CR618" i="10" s="1"/>
  <c r="CE653" i="10"/>
  <c r="CT653" i="10" s="1"/>
  <c r="CU653" i="10" s="1"/>
  <c r="BT521" i="10"/>
  <c r="BX605" i="10"/>
  <c r="BY605" i="10" s="1"/>
  <c r="CP611" i="10"/>
  <c r="CQ611" i="10" s="1"/>
  <c r="CR611" i="10" s="1" a="1"/>
  <c r="CR611" i="10" s="1"/>
  <c r="CM688" i="10"/>
  <c r="CE688" i="10"/>
  <c r="CP602" i="10"/>
  <c r="CQ602" i="10" s="1"/>
  <c r="CR602" i="10" s="1" a="1"/>
  <c r="CR602" i="10" s="1"/>
  <c r="BT655" i="10"/>
  <c r="BU655" i="10" s="1"/>
  <c r="BV655" i="10" s="1" a="1"/>
  <c r="BV655" i="10" s="1"/>
  <c r="BT688" i="10"/>
  <c r="BU688" i="10" s="1"/>
  <c r="BL688" i="10"/>
  <c r="BM688" i="10" s="1"/>
  <c r="BN688" i="10" s="1" a="1"/>
  <c r="BN688" i="10" s="1"/>
  <c r="CV599" i="10" a="1"/>
  <c r="CV599" i="10" s="1"/>
  <c r="CX599" i="10" s="1"/>
  <c r="Z599" i="10" s="1"/>
  <c r="BL649" i="10"/>
  <c r="BM649" i="10" s="1"/>
  <c r="BN649" i="10" s="1" a="1"/>
  <c r="BN649" i="10" s="1"/>
  <c r="BL653" i="10"/>
  <c r="BM653" i="10" s="1"/>
  <c r="BN653" i="10" s="1" a="1"/>
  <c r="BN653" i="10" s="1"/>
  <c r="BP661" i="10"/>
  <c r="BQ661" i="10" s="1"/>
  <c r="BR661" i="10" s="1" a="1"/>
  <c r="BR661" i="10" s="1"/>
  <c r="BF678" i="10"/>
  <c r="BU678" i="10"/>
  <c r="BP684" i="10"/>
  <c r="BQ684" i="10" s="1"/>
  <c r="BT737" i="10"/>
  <c r="BU737" i="10" s="1"/>
  <c r="BV737" i="10" s="1" a="1"/>
  <c r="BV737" i="10" s="1"/>
  <c r="CP780" i="10"/>
  <c r="CQ780" i="10" s="1"/>
  <c r="CR780" i="10" s="1" a="1"/>
  <c r="CR780" i="10" s="1"/>
  <c r="CT672" i="10"/>
  <c r="BT695" i="10"/>
  <c r="BU695" i="10" s="1"/>
  <c r="BV695" i="10" s="1" a="1"/>
  <c r="BV695" i="10" s="1"/>
  <c r="BX713" i="10"/>
  <c r="BY713" i="10" s="1"/>
  <c r="BT578" i="10"/>
  <c r="BU578" i="10" s="1"/>
  <c r="CL607" i="10"/>
  <c r="CM607" i="10" s="1"/>
  <c r="CN607" i="10" s="1" a="1"/>
  <c r="CN607" i="10" s="1"/>
  <c r="CP698" i="10"/>
  <c r="CQ698" i="10" s="1"/>
  <c r="BT727" i="10"/>
  <c r="BU727" i="10" s="1"/>
  <c r="BV727" i="10" s="1" a="1"/>
  <c r="BV727" i="10" s="1"/>
  <c r="BT733" i="10"/>
  <c r="BU733" i="10" s="1"/>
  <c r="BV733" i="10" s="1" a="1"/>
  <c r="BV733" i="10" s="1"/>
  <c r="BT674" i="10"/>
  <c r="BX717" i="10"/>
  <c r="BY717" i="10" s="1"/>
  <c r="BP730" i="10"/>
  <c r="CL730" i="10"/>
  <c r="CM730" i="10" s="1"/>
  <c r="CN730" i="10" s="1" a="1"/>
  <c r="CN730" i="10" s="1"/>
  <c r="CL740" i="10"/>
  <c r="CM740" i="10" s="1"/>
  <c r="CL756" i="10"/>
  <c r="BQ761" i="10"/>
  <c r="BR761" i="10" s="1" a="1"/>
  <c r="BR761" i="10" s="1"/>
  <c r="BY761" i="10"/>
  <c r="BM761" i="10"/>
  <c r="BN761" i="10" s="1" a="1"/>
  <c r="BN761" i="10" s="1"/>
  <c r="BF761" i="10"/>
  <c r="BU761" i="10"/>
  <c r="CL768" i="10"/>
  <c r="CM768" i="10" s="1"/>
  <c r="CL776" i="10"/>
  <c r="CM776" i="10" s="1"/>
  <c r="BF789" i="10"/>
  <c r="BP789" i="10" s="1"/>
  <c r="BQ789" i="10" s="1"/>
  <c r="BT614" i="10"/>
  <c r="BU614" i="10" s="1"/>
  <c r="BV614" i="10" s="1" a="1"/>
  <c r="BV614" i="10" s="1"/>
  <c r="BX665" i="10"/>
  <c r="BY665" i="10" s="1"/>
  <c r="BL680" i="10"/>
  <c r="BM680" i="10" s="1"/>
  <c r="BR680" i="10" s="1" a="1"/>
  <c r="BR680" i="10" s="1"/>
  <c r="CH702" i="10"/>
  <c r="CI702" i="10" s="1"/>
  <c r="CJ702" i="10" s="1" a="1"/>
  <c r="CJ702" i="10" s="1"/>
  <c r="CL702" i="10"/>
  <c r="CM702" i="10" s="1"/>
  <c r="BL752" i="10"/>
  <c r="BM752" i="10" s="1"/>
  <c r="BN752" i="10" s="1" a="1"/>
  <c r="BN752" i="10" s="1"/>
  <c r="BT752" i="10"/>
  <c r="BU752" i="10" s="1"/>
  <c r="BV752" i="10" s="1" a="1"/>
  <c r="BV752" i="10" s="1"/>
  <c r="BT761" i="10"/>
  <c r="CL765" i="10"/>
  <c r="CM765" i="10" s="1"/>
  <c r="CN765" i="10" s="1" a="1"/>
  <c r="CN765" i="10" s="1"/>
  <c r="CX765" i="10" s="1"/>
  <c r="Z765" i="10" s="1"/>
  <c r="CP765" i="10"/>
  <c r="CQ765" i="10" s="1"/>
  <c r="CR765" i="10" s="1" a="1"/>
  <c r="CR765" i="10" s="1"/>
  <c r="BN772" i="10" a="1"/>
  <c r="BN772" i="10" s="1"/>
  <c r="BX673" i="10"/>
  <c r="BP711" i="10"/>
  <c r="BQ711" i="10" s="1"/>
  <c r="CT730" i="10"/>
  <c r="CU730" i="10" s="1"/>
  <c r="CP734" i="10"/>
  <c r="CQ734" i="10" s="1"/>
  <c r="CR734" i="10" s="1" a="1"/>
  <c r="CR734" i="10" s="1"/>
  <c r="CH734" i="10"/>
  <c r="CI734" i="10" s="1"/>
  <c r="CJ734" i="10" s="1" a="1"/>
  <c r="CJ734" i="10" s="1"/>
  <c r="CT751" i="10"/>
  <c r="CU751" i="10" s="1"/>
  <c r="BT751" i="10"/>
  <c r="BU751" i="10" s="1"/>
  <c r="BV751" i="10" s="1" a="1"/>
  <c r="BV751" i="10" s="1"/>
  <c r="CH751" i="10"/>
  <c r="CI751" i="10" s="1"/>
  <c r="CJ751" i="10" s="1" a="1"/>
  <c r="CJ751" i="10" s="1"/>
  <c r="CP751" i="10"/>
  <c r="CQ751" i="10" s="1"/>
  <c r="CR751" i="10" s="1" a="1"/>
  <c r="CR751" i="10" s="1"/>
  <c r="BL751" i="10"/>
  <c r="BM751" i="10" s="1"/>
  <c r="BN751" i="10" s="1" a="1"/>
  <c r="BN751" i="10" s="1"/>
  <c r="BX751" i="10"/>
  <c r="BY751" i="10" s="1"/>
  <c r="CL751" i="10"/>
  <c r="CM751" i="10" s="1"/>
  <c r="CN751" i="10" s="1" a="1"/>
  <c r="CN751" i="10" s="1"/>
  <c r="BN800" i="10" a="1"/>
  <c r="BN800" i="10" s="1"/>
  <c r="CA802" i="10" a="1"/>
  <c r="CA802" i="10" s="1"/>
  <c r="BL696" i="10"/>
  <c r="BM696" i="10" s="1"/>
  <c r="BN696" i="10" s="1" a="1"/>
  <c r="BN696" i="10" s="1"/>
  <c r="BL708" i="10"/>
  <c r="BM708" i="10" s="1"/>
  <c r="BN708" i="10" s="1" a="1"/>
  <c r="BN708" i="10" s="1"/>
  <c r="CR712" i="10" a="1"/>
  <c r="CR712" i="10" s="1"/>
  <c r="CX712" i="10" s="1"/>
  <c r="Z712" i="10" s="1"/>
  <c r="CH726" i="10"/>
  <c r="CI726" i="10" s="1"/>
  <c r="CJ726" i="10" s="1" a="1"/>
  <c r="CJ726" i="10" s="1"/>
  <c r="CL726" i="10"/>
  <c r="CM726" i="10" s="1"/>
  <c r="CB781" i="10"/>
  <c r="S781" i="10" s="1"/>
  <c r="BP699" i="10"/>
  <c r="BQ699" i="10" s="1"/>
  <c r="BV699" i="10" s="1" a="1"/>
  <c r="BV699" i="10" s="1"/>
  <c r="CV803" i="10" a="1"/>
  <c r="CV803" i="10" s="1"/>
  <c r="CW803" i="10" a="1"/>
  <c r="CW803" i="10" s="1"/>
  <c r="CW807" i="10" a="1"/>
  <c r="CW807" i="10" s="1"/>
  <c r="CV807" i="10" a="1"/>
  <c r="CV807" i="10" s="1"/>
  <c r="CA894" i="10" a="1"/>
  <c r="CA894" i="10" s="1"/>
  <c r="CV817" i="10" a="1"/>
  <c r="CV817" i="10" s="1"/>
  <c r="CW817" i="10" a="1"/>
  <c r="CW817" i="10" s="1"/>
  <c r="CV824" i="10" a="1"/>
  <c r="CV824" i="10" s="1"/>
  <c r="CW824" i="10" a="1"/>
  <c r="CW824" i="10" s="1"/>
  <c r="CW876" i="10" a="1"/>
  <c r="CW876" i="10" s="1"/>
  <c r="CV876" i="10" a="1"/>
  <c r="CV876" i="10" s="1"/>
  <c r="BR854" i="10" a="1"/>
  <c r="BR854" i="10" s="1"/>
  <c r="BR924" i="10" a="1"/>
  <c r="BR924" i="10" s="1"/>
  <c r="BR827" i="10" a="1"/>
  <c r="BR827" i="10" s="1"/>
  <c r="BN827" i="10" a="1"/>
  <c r="BN827" i="10" s="1"/>
  <c r="CA901" i="10" a="1"/>
  <c r="CA901" i="10" s="1"/>
  <c r="BZ874" i="10" a="1"/>
  <c r="BZ874" i="10" s="1"/>
  <c r="CA874" i="10" a="1"/>
  <c r="CA874" i="10" s="1"/>
  <c r="BZ830" i="10" a="1"/>
  <c r="BZ830" i="10" s="1"/>
  <c r="CB830" i="10" s="1"/>
  <c r="S830" i="10" s="1"/>
  <c r="CA830" i="10" a="1"/>
  <c r="CA830" i="10" s="1"/>
  <c r="CP922" i="10"/>
  <c r="CQ922" i="10" s="1"/>
  <c r="CA903" i="10" a="1"/>
  <c r="CA903" i="10" s="1"/>
  <c r="CA908" i="10" a="1"/>
  <c r="CA908" i="10" s="1"/>
  <c r="BZ908" i="10" a="1"/>
  <c r="BZ908" i="10" s="1"/>
  <c r="BX994" i="10"/>
  <c r="BY994" i="10" s="1"/>
  <c r="CA977" i="10" a="1"/>
  <c r="CA977" i="10" s="1"/>
  <c r="CA1000" i="10" a="1"/>
  <c r="CA1000" i="10" s="1"/>
  <c r="CV1022" i="10" a="1"/>
  <c r="CV1022" i="10" s="1"/>
  <c r="CW1022" i="10" a="1"/>
  <c r="CW1022" i="10" s="1"/>
  <c r="CA984" i="10" a="1"/>
  <c r="CA984" i="10" s="1"/>
  <c r="CL443" i="10"/>
  <c r="CM443" i="10" s="1"/>
  <c r="BX459" i="10"/>
  <c r="BY459" i="10" s="1"/>
  <c r="BT452" i="10"/>
  <c r="BU452" i="10" s="1"/>
  <c r="BV452" i="10" s="1" a="1"/>
  <c r="BV452" i="10" s="1"/>
  <c r="CE463" i="10"/>
  <c r="CP463" i="10" s="1"/>
  <c r="CQ463" i="10" s="1"/>
  <c r="CL478" i="10"/>
  <c r="CM478" i="10" s="1"/>
  <c r="CN478" i="10" s="1" a="1"/>
  <c r="CN478" i="10" s="1"/>
  <c r="CQ490" i="10"/>
  <c r="CE490" i="10"/>
  <c r="CT490" i="10" s="1"/>
  <c r="CU490" i="10" s="1"/>
  <c r="CE502" i="10"/>
  <c r="CL502" i="10" s="1"/>
  <c r="CM502" i="10" s="1"/>
  <c r="BP439" i="10"/>
  <c r="BQ439" i="10" s="1"/>
  <c r="BR439" i="10" s="1" a="1"/>
  <c r="BR439" i="10" s="1"/>
  <c r="CW442" i="10" a="1"/>
  <c r="CW442" i="10" s="1"/>
  <c r="BL466" i="10"/>
  <c r="BM466" i="10" s="1"/>
  <c r="BN466" i="10" s="1" a="1"/>
  <c r="BN466" i="10" s="1"/>
  <c r="CL466" i="10"/>
  <c r="CM466" i="10" s="1"/>
  <c r="CN466" i="10" s="1" a="1"/>
  <c r="CN466" i="10" s="1"/>
  <c r="BP466" i="10"/>
  <c r="BQ466" i="10" s="1"/>
  <c r="BR466" i="10" s="1" a="1"/>
  <c r="BR466" i="10" s="1"/>
  <c r="BX466" i="10"/>
  <c r="BY466" i="10" s="1"/>
  <c r="CH466" i="10"/>
  <c r="CI466" i="10" s="1"/>
  <c r="CJ466" i="10" s="1" a="1"/>
  <c r="CJ466" i="10" s="1"/>
  <c r="BF482" i="10"/>
  <c r="BP482" i="10" s="1"/>
  <c r="BQ482" i="10" s="1"/>
  <c r="BR482" i="10" s="1" a="1"/>
  <c r="BR482" i="10" s="1"/>
  <c r="CL493" i="10"/>
  <c r="CM493" i="10" s="1"/>
  <c r="BF498" i="10"/>
  <c r="BP498" i="10" s="1"/>
  <c r="BQ498" i="10" s="1"/>
  <c r="CL513" i="10"/>
  <c r="BX429" i="10"/>
  <c r="BY429" i="10" s="1"/>
  <c r="CP440" i="10"/>
  <c r="CQ440" i="10" s="1"/>
  <c r="CR440" i="10" s="1" a="1"/>
  <c r="CR440" i="10" s="1"/>
  <c r="BN485" i="10" a="1"/>
  <c r="BN485" i="10" s="1"/>
  <c r="BT498" i="10"/>
  <c r="BU498" i="10" s="1"/>
  <c r="BV498" i="10" s="1" a="1"/>
  <c r="BV498" i="10" s="1"/>
  <c r="BP435" i="10"/>
  <c r="BQ435" i="10" s="1"/>
  <c r="BR435" i="10" s="1" a="1"/>
  <c r="BR435" i="10" s="1"/>
  <c r="CR448" i="10" a="1"/>
  <c r="CR448" i="10" s="1"/>
  <c r="CX448" i="10" s="1"/>
  <c r="Z448" i="10" s="1"/>
  <c r="CP457" i="10"/>
  <c r="CQ457" i="10" s="1"/>
  <c r="CP474" i="10"/>
  <c r="CQ474" i="10" s="1"/>
  <c r="CR474" i="10" s="1" a="1"/>
  <c r="CR474" i="10" s="1"/>
  <c r="CP490" i="10"/>
  <c r="BT497" i="10"/>
  <c r="BU497" i="10" s="1"/>
  <c r="CH501" i="10"/>
  <c r="CI501" i="10" s="1"/>
  <c r="CJ501" i="10" s="1" a="1"/>
  <c r="CJ501" i="10" s="1"/>
  <c r="BP474" i="10"/>
  <c r="BQ474" i="10" s="1"/>
  <c r="BR474" i="10" s="1" a="1"/>
  <c r="BR474" i="10" s="1"/>
  <c r="BX498" i="10"/>
  <c r="BY498" i="10" s="1"/>
  <c r="CP506" i="10"/>
  <c r="CQ506" i="10" s="1"/>
  <c r="CR506" i="10" s="1" a="1"/>
  <c r="CR506" i="10" s="1"/>
  <c r="CE506" i="10"/>
  <c r="CH506" i="10" s="1"/>
  <c r="CI506" i="10" s="1"/>
  <c r="CJ506" i="10" s="1" a="1"/>
  <c r="CJ506" i="10" s="1"/>
  <c r="BX469" i="10"/>
  <c r="BY469" i="10" s="1"/>
  <c r="BL480" i="10"/>
  <c r="BM480" i="10" s="1"/>
  <c r="BN480" i="10" s="1" a="1"/>
  <c r="BN480" i="10" s="1"/>
  <c r="CT480" i="10"/>
  <c r="CU480" i="10" s="1"/>
  <c r="CH480" i="10"/>
  <c r="CI480" i="10" s="1"/>
  <c r="CJ480" i="10" s="1" a="1"/>
  <c r="CJ480" i="10" s="1"/>
  <c r="BP480" i="10"/>
  <c r="BQ480" i="10" s="1"/>
  <c r="BP469" i="10"/>
  <c r="BQ469" i="10" s="1"/>
  <c r="BR469" i="10" s="1" a="1"/>
  <c r="BR469" i="10" s="1"/>
  <c r="BT480" i="10"/>
  <c r="BU480" i="10" s="1"/>
  <c r="BV480" i="10" s="1" a="1"/>
  <c r="BV480" i="10" s="1"/>
  <c r="BX493" i="10"/>
  <c r="BY493" i="10" s="1"/>
  <c r="BT468" i="10"/>
  <c r="BU468" i="10" s="1"/>
  <c r="CT479" i="10"/>
  <c r="CU479" i="10" s="1"/>
  <c r="BX479" i="10"/>
  <c r="BY479" i="10" s="1"/>
  <c r="CH467" i="10"/>
  <c r="CI467" i="10" s="1"/>
  <c r="CJ467" i="10" s="1" a="1"/>
  <c r="CJ467" i="10" s="1"/>
  <c r="BL478" i="10"/>
  <c r="BM478" i="10" s="1"/>
  <c r="BN478" i="10" s="1" a="1"/>
  <c r="BN478" i="10" s="1"/>
  <c r="BT507" i="10"/>
  <c r="BU507" i="10" s="1"/>
  <c r="BY503" i="10"/>
  <c r="BM503" i="10"/>
  <c r="BN503" i="10" s="1" a="1"/>
  <c r="BN503" i="10" s="1"/>
  <c r="BF503" i="10"/>
  <c r="BL503" i="10" s="1"/>
  <c r="BU503" i="10"/>
  <c r="BT511" i="10"/>
  <c r="BU511" i="10" s="1"/>
  <c r="BV511" i="10" s="1" a="1"/>
  <c r="BV511" i="10" s="1"/>
  <c r="CP520" i="10"/>
  <c r="CQ520" i="10" s="1"/>
  <c r="CR520" i="10" s="1" a="1"/>
  <c r="CR520" i="10" s="1"/>
  <c r="BP520" i="10"/>
  <c r="BQ520" i="10" s="1"/>
  <c r="BL520" i="10"/>
  <c r="BM520" i="10" s="1"/>
  <c r="BN520" i="10" s="1" a="1"/>
  <c r="BN520" i="10" s="1"/>
  <c r="CH520" i="10"/>
  <c r="CI520" i="10" s="1"/>
  <c r="CJ520" i="10" s="1" a="1"/>
  <c r="CJ520" i="10" s="1"/>
  <c r="CH508" i="10"/>
  <c r="CI508" i="10" s="1"/>
  <c r="CJ508" i="10" s="1" a="1"/>
  <c r="CJ508" i="10" s="1"/>
  <c r="CP508" i="10"/>
  <c r="CQ508" i="10" s="1"/>
  <c r="CR508" i="10" s="1" a="1"/>
  <c r="CR508" i="10" s="1"/>
  <c r="BP508" i="10"/>
  <c r="BQ508" i="10" s="1"/>
  <c r="BV508" i="10" s="1" a="1"/>
  <c r="BV508" i="10" s="1"/>
  <c r="BL508" i="10"/>
  <c r="BM508" i="10" s="1"/>
  <c r="BN508" i="10" s="1" a="1"/>
  <c r="BN508" i="10" s="1"/>
  <c r="BQ517" i="10"/>
  <c r="BF517" i="10"/>
  <c r="BX517" i="10" s="1"/>
  <c r="BY517" i="10" s="1"/>
  <c r="CT522" i="10"/>
  <c r="CU522" i="10" s="1"/>
  <c r="CP497" i="10"/>
  <c r="CQ497" i="10" s="1"/>
  <c r="CR497" i="10" s="1" a="1"/>
  <c r="CR497" i="10" s="1"/>
  <c r="BP517" i="10"/>
  <c r="CH522" i="10"/>
  <c r="CI522" i="10" s="1"/>
  <c r="CJ522" i="10" s="1" a="1"/>
  <c r="CJ522" i="10" s="1"/>
  <c r="BN525" i="10" a="1"/>
  <c r="BN525" i="10" s="1"/>
  <c r="BX508" i="10"/>
  <c r="BY508" i="10" s="1"/>
  <c r="BT510" i="10"/>
  <c r="BU510" i="10" s="1"/>
  <c r="BV510" i="10" s="1" a="1"/>
  <c r="BV510" i="10" s="1"/>
  <c r="BP538" i="10"/>
  <c r="BQ538" i="10" s="1"/>
  <c r="BR538" i="10" s="1" a="1"/>
  <c r="BR538" i="10" s="1"/>
  <c r="CP528" i="10"/>
  <c r="CQ528" i="10" s="1"/>
  <c r="CR528" i="10" s="1" a="1"/>
  <c r="CR528" i="10" s="1"/>
  <c r="BP528" i="10"/>
  <c r="BQ528" i="10" s="1"/>
  <c r="BR528" i="10" s="1" a="1"/>
  <c r="BR528" i="10" s="1"/>
  <c r="BT528" i="10"/>
  <c r="BU528" i="10" s="1"/>
  <c r="CH528" i="10"/>
  <c r="CI528" i="10" s="1"/>
  <c r="CJ528" i="10" s="1" a="1"/>
  <c r="CJ528" i="10" s="1"/>
  <c r="CT528" i="10"/>
  <c r="CU528" i="10" s="1"/>
  <c r="BL528" i="10"/>
  <c r="BM528" i="10" s="1"/>
  <c r="BN528" i="10" s="1" a="1"/>
  <c r="BN528" i="10" s="1"/>
  <c r="BT518" i="10"/>
  <c r="BU518" i="10" s="1"/>
  <c r="BV518" i="10" s="1" a="1"/>
  <c r="BV518" i="10" s="1"/>
  <c r="CH523" i="10"/>
  <c r="CI523" i="10" s="1"/>
  <c r="CJ523" i="10" s="1" a="1"/>
  <c r="CJ523" i="10" s="1"/>
  <c r="BL523" i="10"/>
  <c r="BM523" i="10" s="1"/>
  <c r="BN523" i="10" s="1" a="1"/>
  <c r="BN523" i="10" s="1"/>
  <c r="BX534" i="10"/>
  <c r="BY534" i="10" s="1"/>
  <c r="BX514" i="10"/>
  <c r="BY514" i="10" s="1"/>
  <c r="BT514" i="10"/>
  <c r="BU514" i="10" s="1"/>
  <c r="BV514" i="10" s="1" a="1"/>
  <c r="BV514" i="10" s="1"/>
  <c r="CL523" i="10"/>
  <c r="CM523" i="10" s="1"/>
  <c r="CN523" i="10" s="1" a="1"/>
  <c r="CN523" i="10" s="1"/>
  <c r="CH530" i="10"/>
  <c r="CI530" i="10" s="1"/>
  <c r="CJ530" i="10" s="1" a="1"/>
  <c r="CJ530" i="10" s="1"/>
  <c r="BF539" i="10"/>
  <c r="BP539" i="10" s="1"/>
  <c r="BQ539" i="10" s="1"/>
  <c r="BM535" i="10"/>
  <c r="BN535" i="10" s="1" a="1"/>
  <c r="BN535" i="10" s="1"/>
  <c r="BF535" i="10"/>
  <c r="BX535" i="10" s="1"/>
  <c r="BY535" i="10" s="1"/>
  <c r="CE561" i="10"/>
  <c r="CH561" i="10" s="1"/>
  <c r="CI561" i="10" s="1"/>
  <c r="CJ561" i="10" s="1" a="1"/>
  <c r="CJ561" i="10" s="1"/>
  <c r="CI565" i="10"/>
  <c r="CJ565" i="10" s="1" a="1"/>
  <c r="CJ565" i="10" s="1"/>
  <c r="CE565" i="10"/>
  <c r="CH565" i="10" s="1"/>
  <c r="CI569" i="10"/>
  <c r="CJ569" i="10" s="1" a="1"/>
  <c r="CJ569" i="10" s="1"/>
  <c r="CE569" i="10"/>
  <c r="CH569" i="10" s="1"/>
  <c r="BX576" i="10"/>
  <c r="BY576" i="10" s="1"/>
  <c r="BT576" i="10"/>
  <c r="BU576" i="10" s="1"/>
  <c r="BV576" i="10" s="1" a="1"/>
  <c r="BV576" i="10" s="1"/>
  <c r="BL533" i="10"/>
  <c r="BM533" i="10" s="1"/>
  <c r="BN533" i="10" s="1" a="1"/>
  <c r="BN533" i="10" s="1"/>
  <c r="CH533" i="10"/>
  <c r="CI533" i="10" s="1"/>
  <c r="CJ533" i="10" s="1" a="1"/>
  <c r="CJ533" i="10" s="1"/>
  <c r="CE533" i="10"/>
  <c r="CT533" i="10" s="1"/>
  <c r="CU533" i="10" s="1"/>
  <c r="BL553" i="10"/>
  <c r="BM553" i="10" s="1"/>
  <c r="BN553" i="10" s="1" a="1"/>
  <c r="BN553" i="10" s="1"/>
  <c r="CP567" i="10"/>
  <c r="CP571" i="10"/>
  <c r="CH535" i="10"/>
  <c r="CI535" i="10" s="1"/>
  <c r="CJ535" i="10" s="1" a="1"/>
  <c r="CJ535" i="10" s="1"/>
  <c r="BL535" i="10"/>
  <c r="BF545" i="10"/>
  <c r="BT545" i="10" s="1"/>
  <c r="BU545" i="10" s="1"/>
  <c r="CB554" i="10"/>
  <c r="S554" i="10" s="1"/>
  <c r="CT565" i="10"/>
  <c r="CU565" i="10" s="1"/>
  <c r="CE559" i="10"/>
  <c r="CH559" i="10" s="1"/>
  <c r="CI559" i="10" s="1"/>
  <c r="CJ559" i="10" s="1" a="1"/>
  <c r="CJ559" i="10" s="1"/>
  <c r="CE563" i="10"/>
  <c r="CH563" i="10" s="1"/>
  <c r="CI563" i="10" s="1"/>
  <c r="CJ563" i="10" s="1" a="1"/>
  <c r="CJ563" i="10" s="1"/>
  <c r="CM563" i="10"/>
  <c r="CU563" i="10"/>
  <c r="BX567" i="10"/>
  <c r="BY567" i="10" s="1"/>
  <c r="CE575" i="10"/>
  <c r="CH575" i="10" s="1"/>
  <c r="CI575" i="10" s="1"/>
  <c r="CJ575" i="10" s="1" a="1"/>
  <c r="CJ575" i="10" s="1"/>
  <c r="BF580" i="10"/>
  <c r="BP580" i="10" s="1"/>
  <c r="BQ580" i="10" s="1"/>
  <c r="BL565" i="10"/>
  <c r="BL573" i="10"/>
  <c r="BM573" i="10" s="1"/>
  <c r="BN573" i="10" s="1" a="1"/>
  <c r="BN573" i="10" s="1"/>
  <c r="CH573" i="10"/>
  <c r="CI573" i="10" s="1"/>
  <c r="CJ573" i="10" s="1" a="1"/>
  <c r="CJ573" i="10" s="1"/>
  <c r="BT520" i="10"/>
  <c r="BU520" i="10" s="1"/>
  <c r="BL567" i="10"/>
  <c r="BM567" i="10" s="1"/>
  <c r="BN567" i="10" s="1" a="1"/>
  <c r="BN567" i="10" s="1"/>
  <c r="BF596" i="10"/>
  <c r="BP596" i="10" s="1"/>
  <c r="BQ596" i="10" s="1"/>
  <c r="BR596" i="10" s="1" a="1"/>
  <c r="BR596" i="10" s="1"/>
  <c r="CE601" i="10"/>
  <c r="CL601" i="10" s="1"/>
  <c r="CM601" i="10" s="1"/>
  <c r="CL617" i="10"/>
  <c r="CE637" i="10"/>
  <c r="BL562" i="10"/>
  <c r="BM562" i="10" s="1"/>
  <c r="BN562" i="10" s="1" a="1"/>
  <c r="BN562" i="10" s="1"/>
  <c r="BL581" i="10"/>
  <c r="BM581" i="10" s="1"/>
  <c r="BN581" i="10" s="1" a="1"/>
  <c r="BN581" i="10" s="1"/>
  <c r="CH581" i="10"/>
  <c r="CI581" i="10" s="1"/>
  <c r="CJ581" i="10" s="1" a="1"/>
  <c r="CJ581" i="10" s="1"/>
  <c r="BP625" i="10"/>
  <c r="BQ625" i="10" s="1"/>
  <c r="BR625" i="10" s="1" a="1"/>
  <c r="BR625" i="10" s="1"/>
  <c r="CU591" i="10"/>
  <c r="CE591" i="10"/>
  <c r="CT591" i="10" s="1"/>
  <c r="BF601" i="10"/>
  <c r="BT601" i="10" s="1"/>
  <c r="BU601" i="10" s="1"/>
  <c r="BF605" i="10"/>
  <c r="BL605" i="10" s="1"/>
  <c r="BM605" i="10" s="1"/>
  <c r="BN605" i="10" s="1" a="1"/>
  <c r="BN605" i="10" s="1"/>
  <c r="BF609" i="10"/>
  <c r="BX609" i="10" s="1"/>
  <c r="BY609" i="10" s="1"/>
  <c r="BF613" i="10"/>
  <c r="BP613" i="10" s="1"/>
  <c r="BQ613" i="10" s="1"/>
  <c r="BR613" i="10" s="1" a="1"/>
  <c r="BR613" i="10" s="1"/>
  <c r="CL624" i="10"/>
  <c r="CM624" i="10" s="1"/>
  <c r="BF629" i="10"/>
  <c r="BP629" i="10" s="1"/>
  <c r="BQ629" i="10" s="1"/>
  <c r="CL640" i="10"/>
  <c r="CM640" i="10" s="1"/>
  <c r="BU645" i="10"/>
  <c r="BQ645" i="10"/>
  <c r="BF645" i="10"/>
  <c r="BL645" i="10" s="1"/>
  <c r="BM645" i="10" s="1"/>
  <c r="BN645" i="10" s="1" a="1"/>
  <c r="BN645" i="10" s="1"/>
  <c r="CL652" i="10"/>
  <c r="CM652" i="10" s="1"/>
  <c r="BT551" i="10"/>
  <c r="BU551" i="10" s="1"/>
  <c r="BV551" i="10" s="1" a="1"/>
  <c r="BV551" i="10" s="1"/>
  <c r="BF604" i="10"/>
  <c r="CT608" i="10"/>
  <c r="CU608" i="10" s="1"/>
  <c r="BF628" i="10"/>
  <c r="CL631" i="10"/>
  <c r="CE635" i="10"/>
  <c r="BX639" i="10"/>
  <c r="BY639" i="10" s="1"/>
  <c r="CE651" i="10"/>
  <c r="CT656" i="10"/>
  <c r="CU656" i="10" s="1"/>
  <c r="BL603" i="10"/>
  <c r="BM603" i="10" s="1"/>
  <c r="BN603" i="10" s="1" a="1"/>
  <c r="BN603" i="10" s="1"/>
  <c r="CH642" i="10"/>
  <c r="CI642" i="10" s="1"/>
  <c r="CJ642" i="10" s="1" a="1"/>
  <c r="CJ642" i="10" s="1"/>
  <c r="BX645" i="10"/>
  <c r="BY645" i="10" s="1"/>
  <c r="CL671" i="10"/>
  <c r="CM671" i="10" s="1"/>
  <c r="CL622" i="10"/>
  <c r="CM622" i="10" s="1"/>
  <c r="CN622" i="10" s="1" a="1"/>
  <c r="CN622" i="10" s="1"/>
  <c r="BT585" i="10"/>
  <c r="BU585" i="10" s="1"/>
  <c r="BV585" i="10" s="1" a="1"/>
  <c r="BV585" i="10" s="1"/>
  <c r="BT586" i="10"/>
  <c r="BU586" i="10" s="1"/>
  <c r="BV586" i="10" s="1" a="1"/>
  <c r="BV586" i="10" s="1"/>
  <c r="BX634" i="10"/>
  <c r="BY634" i="10" s="1"/>
  <c r="CT668" i="10"/>
  <c r="CX720" i="10"/>
  <c r="Z720" i="10" s="1"/>
  <c r="CH568" i="10"/>
  <c r="CI568" i="10" s="1"/>
  <c r="CJ568" i="10" s="1" a="1"/>
  <c r="CJ568" i="10" s="1"/>
  <c r="BP587" i="10"/>
  <c r="BQ587" i="10" s="1"/>
  <c r="BR587" i="10" s="1" a="1"/>
  <c r="BR587" i="10" s="1"/>
  <c r="BT599" i="10"/>
  <c r="BU599" i="10" s="1"/>
  <c r="BV599" i="10" s="1" a="1"/>
  <c r="BV599" i="10" s="1"/>
  <c r="CL614" i="10"/>
  <c r="CM614" i="10" s="1"/>
  <c r="CN614" i="10" s="1" a="1"/>
  <c r="CN614" i="10" s="1"/>
  <c r="BX653" i="10"/>
  <c r="BY653" i="10" s="1"/>
  <c r="BF657" i="10"/>
  <c r="BL657" i="10" s="1"/>
  <c r="BM657" i="10" s="1"/>
  <c r="BN657" i="10" s="1" a="1"/>
  <c r="BN657" i="10" s="1"/>
  <c r="BU521" i="10"/>
  <c r="BF521" i="10"/>
  <c r="BX521" i="10" s="1"/>
  <c r="BY521" i="10" s="1"/>
  <c r="CL580" i="10"/>
  <c r="CM580" i="10" s="1"/>
  <c r="CN580" i="10" s="1" a="1"/>
  <c r="CN580" i="10" s="1"/>
  <c r="CT606" i="10"/>
  <c r="CU606" i="10" s="1"/>
  <c r="CH611" i="10"/>
  <c r="CI611" i="10" s="1"/>
  <c r="CJ611" i="10" s="1" a="1"/>
  <c r="CJ611" i="10" s="1"/>
  <c r="BT615" i="10"/>
  <c r="BU615" i="10" s="1"/>
  <c r="BV615" i="10" s="1" a="1"/>
  <c r="BV615" i="10" s="1"/>
  <c r="CP667" i="10"/>
  <c r="CQ667" i="10" s="1"/>
  <c r="CR667" i="10" s="1" a="1"/>
  <c r="CR667" i="10" s="1"/>
  <c r="BT673" i="10"/>
  <c r="BU673" i="10" s="1"/>
  <c r="BV673" i="10" s="1" a="1"/>
  <c r="BV673" i="10" s="1"/>
  <c r="CL688" i="10"/>
  <c r="BT627" i="10"/>
  <c r="BU627" i="10" s="1"/>
  <c r="BV627" i="10" s="1" a="1"/>
  <c r="BV627" i="10" s="1"/>
  <c r="BT634" i="10"/>
  <c r="BU634" i="10" s="1"/>
  <c r="BV634" i="10" s="1" a="1"/>
  <c r="BV634" i="10" s="1"/>
  <c r="BF669" i="10"/>
  <c r="BT669" i="10" s="1"/>
  <c r="BU669" i="10" s="1"/>
  <c r="BT621" i="10"/>
  <c r="BU621" i="10" s="1"/>
  <c r="BV621" i="10" s="1" a="1"/>
  <c r="BV621" i="10" s="1"/>
  <c r="BX661" i="10"/>
  <c r="BY661" i="10" s="1"/>
  <c r="BX708" i="10"/>
  <c r="BY708" i="10" s="1"/>
  <c r="CE722" i="10"/>
  <c r="CL722" i="10" s="1"/>
  <c r="CM722" i="10" s="1"/>
  <c r="BT667" i="10"/>
  <c r="BU667" i="10" s="1"/>
  <c r="BV667" i="10" s="1" a="1"/>
  <c r="BV667" i="10" s="1"/>
  <c r="BL667" i="10"/>
  <c r="BM667" i="10" s="1"/>
  <c r="BN667" i="10" s="1" a="1"/>
  <c r="BN667" i="10" s="1"/>
  <c r="BP667" i="10"/>
  <c r="BQ667" i="10" s="1"/>
  <c r="BR667" i="10" s="1" a="1"/>
  <c r="BR667" i="10" s="1"/>
  <c r="BP672" i="10"/>
  <c r="BF672" i="10"/>
  <c r="BX672" i="10" s="1"/>
  <c r="BY672" i="10" s="1"/>
  <c r="BQ672" i="10"/>
  <c r="BF677" i="10"/>
  <c r="BP677" i="10" s="1"/>
  <c r="BQ677" i="10" s="1"/>
  <c r="BT713" i="10"/>
  <c r="BU713" i="10" s="1"/>
  <c r="BV713" i="10" s="1" a="1"/>
  <c r="BV713" i="10" s="1"/>
  <c r="BZ728" i="10" a="1"/>
  <c r="BZ728" i="10" s="1"/>
  <c r="CA728" i="10" a="1"/>
  <c r="CA728" i="10" s="1"/>
  <c r="BX695" i="10"/>
  <c r="BY695" i="10" s="1"/>
  <c r="CT702" i="10"/>
  <c r="CU702" i="10" s="1"/>
  <c r="CL729" i="10"/>
  <c r="CM729" i="10" s="1"/>
  <c r="BX621" i="10"/>
  <c r="BY621" i="10" s="1"/>
  <c r="CT674" i="10"/>
  <c r="CU674" i="10" s="1"/>
  <c r="CE678" i="10"/>
  <c r="CP678" i="10" s="1"/>
  <c r="CQ678" i="10" s="1"/>
  <c r="CR678" i="10" s="1" a="1"/>
  <c r="CR678" i="10" s="1"/>
  <c r="CM678" i="10"/>
  <c r="CT686" i="10"/>
  <c r="CU686" i="10" s="1"/>
  <c r="CT710" i="10"/>
  <c r="CU710" i="10" s="1"/>
  <c r="BT717" i="10"/>
  <c r="BU717" i="10" s="1"/>
  <c r="BV717" i="10" s="1" a="1"/>
  <c r="BV717" i="10" s="1"/>
  <c r="CA744" i="10" a="1"/>
  <c r="CA744" i="10" s="1"/>
  <c r="BZ744" i="10" a="1"/>
  <c r="BZ744" i="10" s="1"/>
  <c r="CE752" i="10"/>
  <c r="CP752" i="10" s="1"/>
  <c r="CQ752" i="10" s="1"/>
  <c r="CW761" i="10" a="1"/>
  <c r="CW761" i="10" s="1"/>
  <c r="CV769" i="10" a="1"/>
  <c r="CV769" i="10" s="1"/>
  <c r="CW769" i="10" a="1"/>
  <c r="CW769" i="10" s="1"/>
  <c r="CW777" i="10" a="1"/>
  <c r="CW777" i="10" s="1"/>
  <c r="CV789" i="10" a="1"/>
  <c r="CV789" i="10" s="1"/>
  <c r="CW789" i="10" a="1"/>
  <c r="CW789" i="10" s="1"/>
  <c r="BP665" i="10"/>
  <c r="BQ665" i="10" s="1"/>
  <c r="BR665" i="10" s="1" a="1"/>
  <c r="BR665" i="10" s="1"/>
  <c r="BZ687" i="10" a="1"/>
  <c r="BZ687" i="10" s="1"/>
  <c r="CV696" i="10" a="1"/>
  <c r="CV696" i="10" s="1"/>
  <c r="CH723" i="10"/>
  <c r="CI723" i="10" s="1"/>
  <c r="CJ723" i="10" s="1" a="1"/>
  <c r="CJ723" i="10" s="1"/>
  <c r="BL723" i="10"/>
  <c r="BM723" i="10" s="1"/>
  <c r="BN723" i="10" s="1" a="1"/>
  <c r="BN723" i="10" s="1"/>
  <c r="CT723" i="10"/>
  <c r="CU723" i="10" s="1"/>
  <c r="BP723" i="10"/>
  <c r="BQ723" i="10" s="1"/>
  <c r="BR723" i="10" s="1" a="1"/>
  <c r="BR723" i="10" s="1"/>
  <c r="BT757" i="10"/>
  <c r="BL772" i="10"/>
  <c r="BM772" i="10" s="1"/>
  <c r="BP772" i="10"/>
  <c r="BQ772" i="10" s="1"/>
  <c r="BR772" i="10" s="1" a="1"/>
  <c r="BR772" i="10" s="1"/>
  <c r="CH785" i="10"/>
  <c r="CI785" i="10" s="1"/>
  <c r="CJ785" i="10" s="1" a="1"/>
  <c r="CJ785" i="10" s="1"/>
  <c r="CL785" i="10"/>
  <c r="CM785" i="10" s="1"/>
  <c r="CN785" i="10" s="1" a="1"/>
  <c r="CN785" i="10" s="1"/>
  <c r="BP673" i="10"/>
  <c r="BQ673" i="10" s="1"/>
  <c r="CH675" i="10"/>
  <c r="CI675" i="10" s="1"/>
  <c r="CJ675" i="10" s="1" a="1"/>
  <c r="CJ675" i="10" s="1"/>
  <c r="BP675" i="10"/>
  <c r="BQ675" i="10" s="1"/>
  <c r="BL675" i="10"/>
  <c r="BM675" i="10" s="1"/>
  <c r="BN675" i="10" s="1" a="1"/>
  <c r="BN675" i="10" s="1"/>
  <c r="CW696" i="10" a="1"/>
  <c r="CW696" i="10" s="1"/>
  <c r="BM730" i="10"/>
  <c r="BN730" i="10" s="1" a="1"/>
  <c r="BN730" i="10" s="1"/>
  <c r="BF730" i="10"/>
  <c r="BL730" i="10" s="1"/>
  <c r="BU730" i="10"/>
  <c r="BQ730" i="10"/>
  <c r="BR730" i="10" s="1" a="1"/>
  <c r="BR730" i="10" s="1"/>
  <c r="BT720" i="10"/>
  <c r="BU720" i="10" s="1"/>
  <c r="BV720" i="10" s="1" a="1"/>
  <c r="BV720" i="10" s="1"/>
  <c r="BT768" i="10"/>
  <c r="BU768" i="10" s="1"/>
  <c r="BV768" i="10" s="1" a="1"/>
  <c r="BV768" i="10" s="1"/>
  <c r="BR779" i="10" a="1"/>
  <c r="BR779" i="10" s="1"/>
  <c r="CP785" i="10"/>
  <c r="CQ785" i="10" s="1"/>
  <c r="CE802" i="10"/>
  <c r="BP696" i="10"/>
  <c r="BQ696" i="10" s="1"/>
  <c r="BR696" i="10" s="1" a="1"/>
  <c r="BR696" i="10" s="1"/>
  <c r="BP708" i="10"/>
  <c r="BQ708" i="10" s="1"/>
  <c r="BX761" i="10"/>
  <c r="BR763" i="10" a="1"/>
  <c r="BR763" i="10" s="1"/>
  <c r="CA898" i="10" a="1"/>
  <c r="CA898" i="10" s="1"/>
  <c r="CW828" i="10" a="1"/>
  <c r="CW828" i="10" s="1"/>
  <c r="CR836" i="10" a="1"/>
  <c r="CR836" i="10" s="1"/>
  <c r="CW849" i="10" a="1"/>
  <c r="CW849" i="10" s="1"/>
  <c r="BN855" i="10" a="1"/>
  <c r="BN855" i="10" s="1"/>
  <c r="CV833" i="10" a="1"/>
  <c r="CV833" i="10" s="1"/>
  <c r="CW833" i="10" a="1"/>
  <c r="CW833" i="10" s="1"/>
  <c r="CR862" i="10" a="1"/>
  <c r="CR862" i="10" s="1"/>
  <c r="CV862" i="10" a="1"/>
  <c r="CV862" i="10" s="1"/>
  <c r="CR886" i="10" a="1"/>
  <c r="CR886" i="10" s="1"/>
  <c r="CT952" i="10"/>
  <c r="CR874" i="10" a="1"/>
  <c r="CR874" i="10" s="1"/>
  <c r="CR927" i="10" a="1"/>
  <c r="CR927" i="10" s="1"/>
  <c r="CW935" i="10" a="1"/>
  <c r="CW935" i="10" s="1"/>
  <c r="BZ904" i="10" a="1"/>
  <c r="BZ904" i="10" s="1"/>
  <c r="CA904" i="10" a="1"/>
  <c r="CA904" i="10" s="1"/>
  <c r="CA931" i="10" a="1"/>
  <c r="CA931" i="10" s="1"/>
  <c r="BZ974" i="10" a="1"/>
  <c r="BZ974" i="10" s="1"/>
  <c r="CA974" i="10" a="1"/>
  <c r="CA974" i="10" s="1"/>
  <c r="BZ976" i="10" a="1"/>
  <c r="BZ976" i="10" s="1"/>
  <c r="CA976" i="10" a="1"/>
  <c r="CA976" i="10" s="1"/>
  <c r="CW1018" i="10" a="1"/>
  <c r="CW1018" i="10" s="1"/>
  <c r="CW983" i="10" a="1"/>
  <c r="CW983" i="10" s="1"/>
  <c r="CV983" i="10" a="1"/>
  <c r="CV983" i="10" s="1"/>
  <c r="CV1015" i="10" a="1"/>
  <c r="CV1015" i="10" s="1"/>
  <c r="CW1015" i="10" a="1"/>
  <c r="CW1015" i="10" s="1"/>
  <c r="BR440" i="10" a="1"/>
  <c r="BR440" i="10" s="1"/>
  <c r="BF449" i="10"/>
  <c r="BX449" i="10" s="1"/>
  <c r="BY449" i="10" s="1"/>
  <c r="BF398" i="10"/>
  <c r="BT398" i="10" s="1"/>
  <c r="BU398" i="10" s="1"/>
  <c r="CE455" i="10"/>
  <c r="BX424" i="10"/>
  <c r="BY424" i="10" s="1"/>
  <c r="CE470" i="10"/>
  <c r="CP470" i="10" s="1"/>
  <c r="CQ470" i="10" s="1"/>
  <c r="CU470" i="10"/>
  <c r="CL490" i="10"/>
  <c r="CM490" i="10" s="1"/>
  <c r="CX442" i="10"/>
  <c r="Z442" i="10" s="1"/>
  <c r="CP466" i="10"/>
  <c r="CQ466" i="10" s="1"/>
  <c r="CR466" i="10" s="1" a="1"/>
  <c r="CR466" i="10" s="1"/>
  <c r="CE473" i="10"/>
  <c r="CP473" i="10" s="1"/>
  <c r="CQ473" i="10" s="1"/>
  <c r="CE489" i="10"/>
  <c r="CT489" i="10" s="1"/>
  <c r="CU489" i="10" s="1"/>
  <c r="CT498" i="10"/>
  <c r="CU498" i="10" s="1"/>
  <c r="CQ505" i="10"/>
  <c r="CE505" i="10"/>
  <c r="CL505" i="10" s="1"/>
  <c r="CM505" i="10" s="1"/>
  <c r="CN505" i="10" s="1" a="1"/>
  <c r="CN505" i="10" s="1"/>
  <c r="CI505" i="10"/>
  <c r="CJ505" i="10" s="1" a="1"/>
  <c r="CJ505" i="10" s="1"/>
  <c r="CU505" i="10"/>
  <c r="BV422" i="10" a="1"/>
  <c r="BV422" i="10" s="1"/>
  <c r="CB422" i="10" s="1"/>
  <c r="S422" i="10" s="1"/>
  <c r="CL452" i="10"/>
  <c r="CM452" i="10" s="1"/>
  <c r="CN452" i="10" s="1" a="1"/>
  <c r="CN452" i="10" s="1"/>
  <c r="BL458" i="10"/>
  <c r="BM458" i="10" s="1"/>
  <c r="BN458" i="10" s="1" a="1"/>
  <c r="BN458" i="10" s="1"/>
  <c r="CH458" i="10"/>
  <c r="CI458" i="10" s="1"/>
  <c r="CJ458" i="10" s="1" a="1"/>
  <c r="CJ458" i="10" s="1"/>
  <c r="BP458" i="10"/>
  <c r="BQ458" i="10" s="1"/>
  <c r="BT458" i="10"/>
  <c r="BU458" i="10" s="1"/>
  <c r="BV458" i="10" s="1" a="1"/>
  <c r="BV458" i="10" s="1"/>
  <c r="CL458" i="10"/>
  <c r="CM458" i="10" s="1"/>
  <c r="CN458" i="10" s="1" a="1"/>
  <c r="CN458" i="10" s="1"/>
  <c r="BL462" i="10"/>
  <c r="BM462" i="10" s="1"/>
  <c r="BN462" i="10" s="1" a="1"/>
  <c r="BN462" i="10" s="1"/>
  <c r="CH462" i="10"/>
  <c r="CI462" i="10" s="1"/>
  <c r="CJ462" i="10" s="1" a="1"/>
  <c r="CJ462" i="10" s="1"/>
  <c r="BP462" i="10"/>
  <c r="BQ462" i="10" s="1"/>
  <c r="BR462" i="10" s="1" a="1"/>
  <c r="BR462" i="10" s="1"/>
  <c r="BT462" i="10"/>
  <c r="BU462" i="10" s="1"/>
  <c r="BV462" i="10" s="1" a="1"/>
  <c r="BV462" i="10" s="1"/>
  <c r="CL462" i="10"/>
  <c r="CM462" i="10" s="1"/>
  <c r="BN481" i="10" a="1"/>
  <c r="BN481" i="10" s="1"/>
  <c r="BT494" i="10"/>
  <c r="BU494" i="10" s="1"/>
  <c r="BV494" i="10" s="1" a="1"/>
  <c r="BV494" i="10" s="1"/>
  <c r="CH498" i="10"/>
  <c r="CI498" i="10" s="1"/>
  <c r="CJ498" i="10" s="1" a="1"/>
  <c r="CJ498" i="10" s="1"/>
  <c r="CJ513" i="10" a="1"/>
  <c r="CJ513" i="10" s="1"/>
  <c r="BN513" i="10" a="1"/>
  <c r="BN513" i="10" s="1"/>
  <c r="BV426" i="10" a="1"/>
  <c r="BV426" i="10" s="1"/>
  <c r="CB426" i="10" s="1"/>
  <c r="S426" i="10" s="1"/>
  <c r="CT434" i="10"/>
  <c r="CU434" i="10" s="1"/>
  <c r="BT475" i="10"/>
  <c r="CE475" i="10"/>
  <c r="CL475" i="10" s="1"/>
  <c r="CM475" i="10" s="1"/>
  <c r="BT487" i="10"/>
  <c r="BU487" i="10" s="1"/>
  <c r="CE487" i="10"/>
  <c r="CT487" i="10" s="1"/>
  <c r="CU487" i="10" s="1"/>
  <c r="CP480" i="10"/>
  <c r="CQ480" i="10" s="1"/>
  <c r="CR480" i="10" s="1" a="1"/>
  <c r="CR480" i="10" s="1"/>
  <c r="BX506" i="10"/>
  <c r="BY506" i="10" s="1"/>
  <c r="CP471" i="10"/>
  <c r="CQ471" i="10" s="1"/>
  <c r="CR471" i="10" s="1" a="1"/>
  <c r="CR471" i="10" s="1"/>
  <c r="BP481" i="10"/>
  <c r="BQ481" i="10" s="1"/>
  <c r="BR481" i="10" s="1" a="1"/>
  <c r="BR481" i="10" s="1"/>
  <c r="BL483" i="10"/>
  <c r="BM483" i="10" s="1"/>
  <c r="BN483" i="10" s="1" a="1"/>
  <c r="BN483" i="10" s="1"/>
  <c r="CP495" i="10"/>
  <c r="CQ495" i="10" s="1"/>
  <c r="BL471" i="10"/>
  <c r="BM471" i="10" s="1"/>
  <c r="BN471" i="10" s="1" a="1"/>
  <c r="BN471" i="10" s="1"/>
  <c r="CH471" i="10"/>
  <c r="CI471" i="10" s="1"/>
  <c r="CJ471" i="10" s="1" a="1"/>
  <c r="CJ471" i="10" s="1"/>
  <c r="BF479" i="10"/>
  <c r="BP479" i="10" s="1"/>
  <c r="BQ479" i="10" s="1"/>
  <c r="BR479" i="10" s="1" a="1"/>
  <c r="BR479" i="10" s="1"/>
  <c r="BX480" i="10"/>
  <c r="BY480" i="10" s="1"/>
  <c r="CL467" i="10"/>
  <c r="CL491" i="10"/>
  <c r="CM491" i="10" s="1"/>
  <c r="CN491" i="10" s="1" a="1"/>
  <c r="CN491" i="10" s="1"/>
  <c r="CT501" i="10"/>
  <c r="CU501" i="10" s="1"/>
  <c r="BL511" i="10"/>
  <c r="BM511" i="10" s="1"/>
  <c r="BN511" i="10" s="1" a="1"/>
  <c r="BN511" i="10" s="1"/>
  <c r="CH511" i="10"/>
  <c r="CI511" i="10" s="1"/>
  <c r="CJ511" i="10" s="1" a="1"/>
  <c r="CJ511" i="10" s="1"/>
  <c r="BZ512" i="10" a="1"/>
  <c r="BZ512" i="10" s="1"/>
  <c r="CL511" i="10"/>
  <c r="CT511" i="10"/>
  <c r="CU511" i="10" s="1"/>
  <c r="BX520" i="10"/>
  <c r="BY520" i="10" s="1"/>
  <c r="CL517" i="10"/>
  <c r="CM517" i="10" s="1"/>
  <c r="CN517" i="10" s="1" a="1"/>
  <c r="CN517" i="10" s="1"/>
  <c r="BQ522" i="10"/>
  <c r="BF522" i="10"/>
  <c r="BX522" i="10" s="1"/>
  <c r="BY522" i="10" s="1"/>
  <c r="BP513" i="10"/>
  <c r="BQ513" i="10" s="1"/>
  <c r="BR513" i="10" s="1" a="1"/>
  <c r="BR513" i="10" s="1"/>
  <c r="BT483" i="10"/>
  <c r="BU483" i="10" s="1"/>
  <c r="BV483" i="10" s="1" a="1"/>
  <c r="BV483" i="10" s="1"/>
  <c r="CE483" i="10"/>
  <c r="CL483" i="10" s="1"/>
  <c r="CM483" i="10" s="1"/>
  <c r="CT508" i="10"/>
  <c r="CU508" i="10" s="1"/>
  <c r="CT510" i="10"/>
  <c r="CU510" i="10" s="1"/>
  <c r="BT526" i="10"/>
  <c r="BU526" i="10" s="1"/>
  <c r="BX528" i="10"/>
  <c r="BY528" i="10" s="1"/>
  <c r="CT513" i="10"/>
  <c r="CU513" i="10" s="1"/>
  <c r="BP546" i="10"/>
  <c r="BQ546" i="10" s="1"/>
  <c r="BR546" i="10" s="1" a="1"/>
  <c r="BR546" i="10" s="1"/>
  <c r="CL514" i="10"/>
  <c r="CM514" i="10" s="1"/>
  <c r="CN514" i="10" s="1" a="1"/>
  <c r="CN514" i="10" s="1"/>
  <c r="CT514" i="10"/>
  <c r="CU514" i="10" s="1"/>
  <c r="CL539" i="10"/>
  <c r="CM539" i="10" s="1"/>
  <c r="CL535" i="10"/>
  <c r="CM535" i="10" s="1"/>
  <c r="CN535" i="10" s="1" a="1"/>
  <c r="CN535" i="10" s="1"/>
  <c r="CH545" i="10"/>
  <c r="CI545" i="10" s="1"/>
  <c r="CJ545" i="10" s="1" a="1"/>
  <c r="CJ545" i="10" s="1"/>
  <c r="BL545" i="10"/>
  <c r="BM545" i="10" s="1"/>
  <c r="BN545" i="10" s="1" a="1"/>
  <c r="BN545" i="10" s="1"/>
  <c r="CI557" i="10"/>
  <c r="CJ557" i="10" s="1" a="1"/>
  <c r="CJ557" i="10" s="1"/>
  <c r="CE557" i="10"/>
  <c r="CH557" i="10" s="1"/>
  <c r="CL561" i="10"/>
  <c r="CM561" i="10" s="1"/>
  <c r="CN561" i="10" s="1" a="1"/>
  <c r="CN561" i="10" s="1"/>
  <c r="CL565" i="10"/>
  <c r="CM565" i="10" s="1"/>
  <c r="CN565" i="10" s="1" a="1"/>
  <c r="CN565" i="10" s="1"/>
  <c r="BP522" i="10"/>
  <c r="BP533" i="10"/>
  <c r="BQ533" i="10" s="1"/>
  <c r="BR533" i="10" s="1" a="1"/>
  <c r="BR533" i="10" s="1"/>
  <c r="BX533" i="10"/>
  <c r="BY533" i="10" s="1"/>
  <c r="CP537" i="10"/>
  <c r="CQ537" i="10" s="1"/>
  <c r="CQ545" i="10"/>
  <c r="CE545" i="10"/>
  <c r="CL545" i="10" s="1"/>
  <c r="CM545" i="10" s="1"/>
  <c r="CN545" i="10" s="1" a="1"/>
  <c r="CN545" i="10" s="1"/>
  <c r="CP563" i="10"/>
  <c r="CQ563" i="10" s="1"/>
  <c r="CR563" i="10" s="1" a="1"/>
  <c r="CR563" i="10" s="1"/>
  <c r="BF557" i="10"/>
  <c r="BT557" i="10" s="1"/>
  <c r="BU557" i="10" s="1"/>
  <c r="BX516" i="10"/>
  <c r="BY516" i="10" s="1"/>
  <c r="CE555" i="10"/>
  <c r="CH555" i="10" s="1"/>
  <c r="CI555" i="10" s="1"/>
  <c r="CJ555" i="10" s="1" a="1"/>
  <c r="CJ555" i="10" s="1"/>
  <c r="CL559" i="10"/>
  <c r="CM559" i="10" s="1"/>
  <c r="CN559" i="10" s="1" a="1"/>
  <c r="CN559" i="10" s="1"/>
  <c r="CL563" i="10"/>
  <c r="CE567" i="10"/>
  <c r="CL567" i="10" s="1"/>
  <c r="CM567" i="10" s="1"/>
  <c r="CQ567" i="10"/>
  <c r="BX571" i="10"/>
  <c r="BY571" i="10" s="1"/>
  <c r="CL575" i="10"/>
  <c r="CM575" i="10" s="1"/>
  <c r="CN575" i="10" s="1" a="1"/>
  <c r="CN575" i="10" s="1"/>
  <c r="CT580" i="10"/>
  <c r="CU580" i="10" s="1"/>
  <c r="CL589" i="10"/>
  <c r="CM589" i="10" s="1"/>
  <c r="CN589" i="10" s="1" a="1"/>
  <c r="CN589" i="10" s="1"/>
  <c r="BF542" i="10"/>
  <c r="BL542" i="10" s="1"/>
  <c r="BM542" i="10" s="1"/>
  <c r="BN542" i="10" s="1" a="1"/>
  <c r="BN542" i="10" s="1"/>
  <c r="BL564" i="10"/>
  <c r="BM564" i="10" s="1"/>
  <c r="BN564" i="10" s="1" a="1"/>
  <c r="BN564" i="10" s="1"/>
  <c r="CP576" i="10"/>
  <c r="CQ576" i="10" s="1"/>
  <c r="CR576" i="10" s="1" a="1"/>
  <c r="CR576" i="10" s="1"/>
  <c r="CE577" i="10"/>
  <c r="CP577" i="10" s="1"/>
  <c r="CQ577" i="10" s="1"/>
  <c r="BT540" i="10"/>
  <c r="BU540" i="10" s="1"/>
  <c r="BV540" i="10" s="1" a="1"/>
  <c r="BV540" i="10" s="1"/>
  <c r="BP568" i="10"/>
  <c r="BQ568" i="10" s="1"/>
  <c r="BR568" i="10" s="1" a="1"/>
  <c r="BR568" i="10" s="1"/>
  <c r="CE625" i="10"/>
  <c r="CL625" i="10" s="1"/>
  <c r="CM625" i="10" s="1"/>
  <c r="CL637" i="10"/>
  <c r="CM637" i="10" s="1"/>
  <c r="BL576" i="10"/>
  <c r="BM576" i="10" s="1"/>
  <c r="BN576" i="10" s="1" a="1"/>
  <c r="BN576" i="10" s="1"/>
  <c r="BP637" i="10"/>
  <c r="BQ637" i="10" s="1"/>
  <c r="BR637" i="10" s="1" a="1"/>
  <c r="BR637" i="10" s="1"/>
  <c r="BP649" i="10"/>
  <c r="BQ649" i="10" s="1"/>
  <c r="BR649" i="10" s="1" a="1"/>
  <c r="BR649" i="10" s="1"/>
  <c r="BP534" i="10"/>
  <c r="BQ534" i="10" s="1"/>
  <c r="BR534" i="10" s="1" a="1"/>
  <c r="BR534" i="10" s="1"/>
  <c r="BT583" i="10"/>
  <c r="BU583" i="10" s="1"/>
  <c r="BV583" i="10" s="1" a="1"/>
  <c r="BV583" i="10" s="1"/>
  <c r="BX591" i="10"/>
  <c r="BY591" i="10" s="1"/>
  <c r="BL596" i="10"/>
  <c r="BM596" i="10" s="1"/>
  <c r="BN596" i="10" s="1" a="1"/>
  <c r="BN596" i="10" s="1"/>
  <c r="CH596" i="10"/>
  <c r="CI596" i="10" s="1"/>
  <c r="CJ596" i="10" s="1" a="1"/>
  <c r="CJ596" i="10" s="1"/>
  <c r="CT601" i="10"/>
  <c r="CU601" i="10" s="1"/>
  <c r="CT613" i="10"/>
  <c r="CE620" i="10"/>
  <c r="CL620" i="10" s="1"/>
  <c r="CM620" i="10" s="1"/>
  <c r="CT629" i="10"/>
  <c r="CU629" i="10" s="1"/>
  <c r="CE636" i="10"/>
  <c r="CL636" i="10" s="1"/>
  <c r="CM636" i="10" s="1"/>
  <c r="CT645" i="10"/>
  <c r="CU645" i="10" s="1"/>
  <c r="CT624" i="10"/>
  <c r="CU624" i="10" s="1"/>
  <c r="BF632" i="10"/>
  <c r="CL635" i="10"/>
  <c r="CM635" i="10" s="1"/>
  <c r="CE639" i="10"/>
  <c r="BX643" i="10"/>
  <c r="BY643" i="10" s="1"/>
  <c r="CL651" i="10"/>
  <c r="CM651" i="10" s="1"/>
  <c r="CL603" i="10"/>
  <c r="CM603" i="10" s="1"/>
  <c r="CN603" i="10" s="1" a="1"/>
  <c r="CN603" i="10" s="1"/>
  <c r="CL663" i="10"/>
  <c r="CE671" i="10"/>
  <c r="CP671" i="10" s="1"/>
  <c r="CQ671" i="10" s="1"/>
  <c r="CR671" i="10" s="1" a="1"/>
  <c r="CR671" i="10" s="1"/>
  <c r="CH597" i="10"/>
  <c r="CI597" i="10" s="1"/>
  <c r="CJ597" i="10" s="1" a="1"/>
  <c r="CJ597" i="10" s="1"/>
  <c r="BL597" i="10"/>
  <c r="BM597" i="10" s="1"/>
  <c r="BN597" i="10" s="1" a="1"/>
  <c r="BN597" i="10" s="1"/>
  <c r="BL641" i="10"/>
  <c r="BM641" i="10" s="1"/>
  <c r="BN641" i="10" s="1" a="1"/>
  <c r="BN641" i="10" s="1"/>
  <c r="CL585" i="10"/>
  <c r="CM585" i="10" s="1"/>
  <c r="CN585" i="10" s="1" a="1"/>
  <c r="CN585" i="10" s="1"/>
  <c r="BT589" i="10"/>
  <c r="BU589" i="10" s="1"/>
  <c r="BV589" i="10" s="1" a="1"/>
  <c r="BV589" i="10" s="1"/>
  <c r="BL621" i="10"/>
  <c r="BM621" i="10" s="1"/>
  <c r="BN621" i="10" s="1" a="1"/>
  <c r="BN621" i="10" s="1"/>
  <c r="BF668" i="10"/>
  <c r="CX724" i="10"/>
  <c r="Z724" i="10" s="1"/>
  <c r="CT587" i="10"/>
  <c r="CU587" i="10" s="1"/>
  <c r="BT609" i="10"/>
  <c r="BU609" i="10" s="1"/>
  <c r="BL633" i="10"/>
  <c r="BM633" i="10" s="1"/>
  <c r="BN633" i="10" s="1" a="1"/>
  <c r="BN633" i="10" s="1"/>
  <c r="CT597" i="10"/>
  <c r="CU597" i="10" s="1"/>
  <c r="CT611" i="10"/>
  <c r="CU611" i="10" s="1"/>
  <c r="BL627" i="10"/>
  <c r="BM627" i="10" s="1"/>
  <c r="BN627" i="10" s="1" a="1"/>
  <c r="BN627" i="10" s="1"/>
  <c r="CE676" i="10"/>
  <c r="CE692" i="10"/>
  <c r="BL639" i="10"/>
  <c r="BM639" i="10" s="1"/>
  <c r="BN639" i="10" s="1" a="1"/>
  <c r="BN639" i="10" s="1"/>
  <c r="BP676" i="10"/>
  <c r="BQ676" i="10" s="1"/>
  <c r="BR676" i="10" s="1" a="1"/>
  <c r="BR676" i="10" s="1"/>
  <c r="BT676" i="10"/>
  <c r="BU676" i="10" s="1"/>
  <c r="BV676" i="10" s="1" a="1"/>
  <c r="BV676" i="10" s="1"/>
  <c r="BL676" i="10"/>
  <c r="BM676" i="10" s="1"/>
  <c r="BN676" i="10" s="1" a="1"/>
  <c r="BN676" i="10" s="1"/>
  <c r="BP692" i="10"/>
  <c r="BQ692" i="10" s="1"/>
  <c r="BL692" i="10"/>
  <c r="BM692" i="10" s="1"/>
  <c r="BN692" i="10" s="1" a="1"/>
  <c r="BN692" i="10" s="1"/>
  <c r="BT692" i="10"/>
  <c r="BU692" i="10" s="1"/>
  <c r="BV692" i="10" s="1" a="1"/>
  <c r="BV692" i="10" s="1"/>
  <c r="BL617" i="10"/>
  <c r="BM617" i="10" s="1"/>
  <c r="BN617" i="10" s="1" a="1"/>
  <c r="BN617" i="10" s="1"/>
  <c r="CT622" i="10"/>
  <c r="CU622" i="10" s="1"/>
  <c r="BP657" i="10"/>
  <c r="BQ657" i="10" s="1"/>
  <c r="BR657" i="10" s="1" a="1"/>
  <c r="BR657" i="10" s="1"/>
  <c r="BX696" i="10"/>
  <c r="BY696" i="10" s="1"/>
  <c r="BT718" i="10"/>
  <c r="BU718" i="10" s="1"/>
  <c r="BV718" i="10" s="1" a="1"/>
  <c r="BV718" i="10" s="1"/>
  <c r="BN737" i="10" a="1"/>
  <c r="BN737" i="10" s="1"/>
  <c r="CP760" i="10"/>
  <c r="CQ760" i="10" s="1"/>
  <c r="CR760" i="10" s="1" a="1"/>
  <c r="CR760" i="10" s="1"/>
  <c r="CL592" i="10"/>
  <c r="CM592" i="10" s="1"/>
  <c r="CN592" i="10" s="1" a="1"/>
  <c r="CN592" i="10" s="1"/>
  <c r="CP661" i="10"/>
  <c r="CQ661" i="10" s="1"/>
  <c r="CR661" i="10" s="1" a="1"/>
  <c r="CR661" i="10" s="1"/>
  <c r="CP672" i="10"/>
  <c r="BL673" i="10"/>
  <c r="BM673" i="10" s="1"/>
  <c r="BN673" i="10" s="1" a="1"/>
  <c r="BN673" i="10" s="1"/>
  <c r="BX692" i="10"/>
  <c r="BY692" i="10" s="1"/>
  <c r="CT713" i="10"/>
  <c r="CU713" i="10" s="1"/>
  <c r="CH715" i="10"/>
  <c r="CI715" i="10" s="1"/>
  <c r="CJ715" i="10" s="1" a="1"/>
  <c r="CJ715" i="10" s="1"/>
  <c r="BL715" i="10"/>
  <c r="BM715" i="10" s="1"/>
  <c r="BN715" i="10" s="1" a="1"/>
  <c r="BN715" i="10" s="1"/>
  <c r="CT715" i="10"/>
  <c r="CU715" i="10" s="1"/>
  <c r="BX715" i="10"/>
  <c r="BY715" i="10" s="1"/>
  <c r="BT715" i="10"/>
  <c r="BU715" i="10" s="1"/>
  <c r="BV715" i="10" s="1" a="1"/>
  <c r="BV715" i="10" s="1"/>
  <c r="BT722" i="10"/>
  <c r="BU722" i="10" s="1"/>
  <c r="BV722" i="10" s="1" a="1"/>
  <c r="BV722" i="10" s="1"/>
  <c r="BL678" i="10"/>
  <c r="BM678" i="10" s="1"/>
  <c r="BN678" i="10" s="1" a="1"/>
  <c r="BN678" i="10" s="1"/>
  <c r="CH678" i="10"/>
  <c r="CI678" i="10" s="1"/>
  <c r="CJ678" i="10" s="1" a="1"/>
  <c r="CJ678" i="10" s="1"/>
  <c r="BP678" i="10"/>
  <c r="BQ678" i="10" s="1"/>
  <c r="BR678" i="10" s="1" a="1"/>
  <c r="BR678" i="10" s="1"/>
  <c r="BX678" i="10"/>
  <c r="BY678" i="10" s="1"/>
  <c r="CL678" i="10"/>
  <c r="BX688" i="10"/>
  <c r="BY688" i="10" s="1"/>
  <c r="BF702" i="10"/>
  <c r="BP702" i="10" s="1"/>
  <c r="BQ702" i="10"/>
  <c r="CP706" i="10"/>
  <c r="CQ706" i="10" s="1"/>
  <c r="CR706" i="10" s="1" a="1"/>
  <c r="CR706" i="10" s="1"/>
  <c r="BZ712" i="10" a="1"/>
  <c r="BZ712" i="10" s="1"/>
  <c r="CA712" i="10" a="1"/>
  <c r="CA712" i="10" s="1"/>
  <c r="CE729" i="10"/>
  <c r="CH729" i="10" s="1"/>
  <c r="CI729" i="10" s="1"/>
  <c r="CJ729" i="10" s="1" a="1"/>
  <c r="CJ729" i="10" s="1"/>
  <c r="BY674" i="10"/>
  <c r="BF674" i="10"/>
  <c r="BP674" i="10" s="1"/>
  <c r="BU674" i="10"/>
  <c r="BQ674" i="10"/>
  <c r="BF686" i="10"/>
  <c r="BP686" i="10" s="1"/>
  <c r="BQ686" i="10" s="1"/>
  <c r="BL694" i="10"/>
  <c r="BM694" i="10" s="1"/>
  <c r="BN694" i="10" s="1" a="1"/>
  <c r="BN694" i="10" s="1"/>
  <c r="CH694" i="10"/>
  <c r="CI694" i="10" s="1"/>
  <c r="CJ694" i="10" s="1" a="1"/>
  <c r="CJ694" i="10" s="1"/>
  <c r="BX694" i="10"/>
  <c r="BY694" i="10" s="1"/>
  <c r="CR704" i="10" a="1"/>
  <c r="CR704" i="10" s="1"/>
  <c r="BF710" i="10"/>
  <c r="BP710" i="10" s="1"/>
  <c r="BQ710" i="10" s="1"/>
  <c r="CT717" i="10"/>
  <c r="CU717" i="10" s="1"/>
  <c r="BL722" i="10"/>
  <c r="BM722" i="10" s="1"/>
  <c r="BN722" i="10" s="1" a="1"/>
  <c r="BN722" i="10" s="1"/>
  <c r="CH722" i="10"/>
  <c r="CI722" i="10" s="1"/>
  <c r="CJ722" i="10" s="1" a="1"/>
  <c r="CJ722" i="10" s="1"/>
  <c r="BX722" i="10"/>
  <c r="BY722" i="10" s="1"/>
  <c r="CE744" i="10"/>
  <c r="CL744" i="10" s="1"/>
  <c r="CM744" i="10" s="1"/>
  <c r="CL752" i="10"/>
  <c r="CM752" i="10" s="1"/>
  <c r="BF757" i="10"/>
  <c r="BL757" i="10" s="1"/>
  <c r="BM757" i="10" s="1"/>
  <c r="BN757" i="10" s="1" a="1"/>
  <c r="BN757" i="10" s="1"/>
  <c r="BU757" i="10"/>
  <c r="BZ772" i="10" a="1"/>
  <c r="BZ772" i="10" s="1"/>
  <c r="CA772" i="10" a="1"/>
  <c r="CA772" i="10" s="1"/>
  <c r="BF793" i="10"/>
  <c r="BX793" i="10" s="1"/>
  <c r="BY793" i="10" s="1"/>
  <c r="CP665" i="10"/>
  <c r="CQ665" i="10" s="1"/>
  <c r="CR665" i="10" s="1" a="1"/>
  <c r="CR665" i="10" s="1"/>
  <c r="CP693" i="10"/>
  <c r="CL693" i="10"/>
  <c r="CM693" i="10" s="1"/>
  <c r="CN693" i="10" s="1" a="1"/>
  <c r="CN693" i="10" s="1"/>
  <c r="CL715" i="10"/>
  <c r="CM715" i="10" s="1"/>
  <c r="CN715" i="10" s="1" a="1"/>
  <c r="CN715" i="10" s="1"/>
  <c r="CP721" i="10"/>
  <c r="CQ721" i="10" s="1"/>
  <c r="CL721" i="10"/>
  <c r="CM721" i="10" s="1"/>
  <c r="CN721" i="10" s="1" a="1"/>
  <c r="CN721" i="10" s="1"/>
  <c r="CH761" i="10"/>
  <c r="CI761" i="10" s="1"/>
  <c r="CJ761" i="10" s="1" a="1"/>
  <c r="CJ761" i="10" s="1"/>
  <c r="CP761" i="10"/>
  <c r="CQ761" i="10" s="1"/>
  <c r="CR761" i="10" s="1" a="1"/>
  <c r="CR761" i="10" s="1"/>
  <c r="BN768" i="10" a="1"/>
  <c r="BN768" i="10" s="1"/>
  <c r="CH777" i="10"/>
  <c r="CI777" i="10" s="1"/>
  <c r="CJ777" i="10" s="1" a="1"/>
  <c r="CJ777" i="10" s="1"/>
  <c r="CL777" i="10"/>
  <c r="CM777" i="10" s="1"/>
  <c r="CP777" i="10"/>
  <c r="CQ777" i="10" s="1"/>
  <c r="CR777" i="10" s="1" a="1"/>
  <c r="CR777" i="10" s="1"/>
  <c r="BT789" i="10"/>
  <c r="BU789" i="10" s="1"/>
  <c r="BV789" i="10" s="1" a="1"/>
  <c r="BV789" i="10" s="1"/>
  <c r="BT581" i="10"/>
  <c r="BU581" i="10" s="1"/>
  <c r="BV581" i="10" s="1" a="1"/>
  <c r="BV581" i="10" s="1"/>
  <c r="CP673" i="10"/>
  <c r="CQ673" i="10" s="1"/>
  <c r="CR673" i="10" s="1" a="1"/>
  <c r="CR673" i="10" s="1"/>
  <c r="BL681" i="10"/>
  <c r="BM681" i="10" s="1"/>
  <c r="BN681" i="10" s="1" a="1"/>
  <c r="BN681" i="10" s="1"/>
  <c r="CH681" i="10"/>
  <c r="CI681" i="10" s="1"/>
  <c r="CJ681" i="10" s="1" a="1"/>
  <c r="CJ681" i="10" s="1"/>
  <c r="CE681" i="10"/>
  <c r="CT681" i="10" s="1"/>
  <c r="CU681" i="10" s="1"/>
  <c r="BP688" i="10"/>
  <c r="BQ688" i="10" s="1"/>
  <c r="BR688" i="10" s="1" a="1"/>
  <c r="BR688" i="10" s="1"/>
  <c r="CJ696" i="10" a="1"/>
  <c r="CJ696" i="10" s="1"/>
  <c r="CX696" i="10" s="1"/>
  <c r="Z696" i="10" s="1"/>
  <c r="BT734" i="10"/>
  <c r="BU734" i="10" s="1"/>
  <c r="BV734" i="10" s="1" a="1"/>
  <c r="BV734" i="10" s="1"/>
  <c r="CW743" i="10" a="1"/>
  <c r="CW743" i="10" s="1"/>
  <c r="BL659" i="10"/>
  <c r="BM659" i="10" s="1"/>
  <c r="BN659" i="10" s="1" a="1"/>
  <c r="BN659" i="10" s="1"/>
  <c r="BT659" i="10"/>
  <c r="BU659" i="10" s="1"/>
  <c r="BV659" i="10" s="1" a="1"/>
  <c r="BV659" i="10" s="1"/>
  <c r="BP681" i="10"/>
  <c r="BQ681" i="10" s="1"/>
  <c r="BR681" i="10" s="1" a="1"/>
  <c r="BR681" i="10" s="1"/>
  <c r="BT739" i="10"/>
  <c r="BU739" i="10" s="1"/>
  <c r="BV739" i="10" s="1" a="1"/>
  <c r="BV739" i="10" s="1"/>
  <c r="CH739" i="10"/>
  <c r="CI739" i="10" s="1"/>
  <c r="CJ739" i="10" s="1" a="1"/>
  <c r="CJ739" i="10" s="1"/>
  <c r="BL739" i="10"/>
  <c r="BM739" i="10" s="1"/>
  <c r="BN739" i="10" s="1" a="1"/>
  <c r="BN739" i="10" s="1"/>
  <c r="CL739" i="10"/>
  <c r="CM739" i="10" s="1"/>
  <c r="CR739" i="10" s="1" a="1"/>
  <c r="CR739" i="10" s="1"/>
  <c r="BP739" i="10"/>
  <c r="BQ739" i="10" s="1"/>
  <c r="BR739" i="10" s="1" a="1"/>
  <c r="BR739" i="10" s="1"/>
  <c r="BX739" i="10"/>
  <c r="BY739" i="10" s="1"/>
  <c r="CL761" i="10"/>
  <c r="CM761" i="10" s="1"/>
  <c r="CN761" i="10" s="1" a="1"/>
  <c r="CN761" i="10" s="1"/>
  <c r="CB769" i="10"/>
  <c r="S769" i="10" s="1"/>
  <c r="CH798" i="10"/>
  <c r="CI798" i="10" s="1"/>
  <c r="CJ798" i="10" s="1" a="1"/>
  <c r="CJ798" i="10" s="1"/>
  <c r="CL798" i="10"/>
  <c r="CE800" i="10"/>
  <c r="CP800" i="10" s="1"/>
  <c r="CQ800" i="10" s="1"/>
  <c r="CE705" i="10"/>
  <c r="CH705" i="10" s="1"/>
  <c r="CI705" i="10" s="1"/>
  <c r="CJ705" i="10" s="1" a="1"/>
  <c r="CJ705" i="10" s="1"/>
  <c r="CT738" i="10"/>
  <c r="CU738" i="10" s="1"/>
  <c r="CA783" i="10" a="1"/>
  <c r="CA783" i="10" s="1"/>
  <c r="CV791" i="10" a="1"/>
  <c r="CV791" i="10" s="1"/>
  <c r="CW791" i="10" a="1"/>
  <c r="CW791" i="10" s="1"/>
  <c r="BR794" i="10" a="1"/>
  <c r="BR794" i="10" s="1"/>
  <c r="CL682" i="10"/>
  <c r="CM682" i="10" s="1"/>
  <c r="CJ784" i="10" a="1"/>
  <c r="CJ784" i="10" s="1"/>
  <c r="CA792" i="10" a="1"/>
  <c r="CA792" i="10" s="1"/>
  <c r="BL674" i="10"/>
  <c r="BM674" i="10" s="1"/>
  <c r="BN674" i="10" s="1" a="1"/>
  <c r="BN674" i="10" s="1"/>
  <c r="BZ814" i="10" a="1"/>
  <c r="BZ814" i="10" s="1"/>
  <c r="CA814" i="10" a="1"/>
  <c r="CA814" i="10" s="1"/>
  <c r="CJ796" i="10" a="1"/>
  <c r="CJ796" i="10" s="1"/>
  <c r="CX822" i="10"/>
  <c r="Z822" i="10" s="1"/>
  <c r="BZ823" i="10" a="1"/>
  <c r="BZ823" i="10" s="1"/>
  <c r="CA823" i="10" a="1"/>
  <c r="CA823" i="10" s="1"/>
  <c r="CV836" i="10" a="1"/>
  <c r="CV836" i="10" s="1"/>
  <c r="CW836" i="10" a="1"/>
  <c r="CW836" i="10" s="1"/>
  <c r="CV880" i="10" a="1"/>
  <c r="CV880" i="10" s="1"/>
  <c r="CW880" i="10" a="1"/>
  <c r="CW880" i="10" s="1"/>
  <c r="CH820" i="10"/>
  <c r="CI820" i="10" s="1"/>
  <c r="CJ820" i="10" s="1" a="1"/>
  <c r="CJ820" i="10" s="1"/>
  <c r="CW845" i="10" a="1"/>
  <c r="CW845" i="10" s="1"/>
  <c r="CB850" i="10"/>
  <c r="S850" i="10" s="1"/>
  <c r="BR866" i="10" a="1"/>
  <c r="BR866" i="10" s="1"/>
  <c r="CB866" i="10" s="1"/>
  <c r="S866" i="10" s="1"/>
  <c r="BR944" i="10" a="1"/>
  <c r="BR944" i="10" s="1"/>
  <c r="BR911" i="10" a="1"/>
  <c r="BR911" i="10" s="1"/>
  <c r="BZ862" i="10" a="1"/>
  <c r="BZ862" i="10" s="1"/>
  <c r="CA862" i="10" a="1"/>
  <c r="CA862" i="10" s="1"/>
  <c r="BL949" i="10"/>
  <c r="BM949" i="10" s="1"/>
  <c r="BN949" i="10" s="1" a="1"/>
  <c r="BN949" i="10" s="1"/>
  <c r="CA927" i="10" a="1"/>
  <c r="CA927" i="10" s="1"/>
  <c r="CA968" i="10" a="1"/>
  <c r="CA968" i="10" s="1"/>
  <c r="CL973" i="10"/>
  <c r="CM973" i="10" s="1"/>
  <c r="BP1014" i="10"/>
  <c r="CV995" i="10" a="1"/>
  <c r="CV995" i="10" s="1"/>
  <c r="BV988" i="10" a="1"/>
  <c r="BV988" i="10" s="1"/>
  <c r="CB988" i="10" s="1"/>
  <c r="S988" i="10" s="1"/>
  <c r="BF705" i="10"/>
  <c r="BX705" i="10" s="1"/>
  <c r="BY705" i="10" s="1"/>
  <c r="CN736" i="10" a="1"/>
  <c r="CN736" i="10" s="1"/>
  <c r="CX736" i="10" s="1"/>
  <c r="Z736" i="10" s="1"/>
  <c r="CE738" i="10"/>
  <c r="CE742" i="10"/>
  <c r="CL742" i="10" s="1"/>
  <c r="CM742" i="10" s="1"/>
  <c r="CB749" i="10"/>
  <c r="S749" i="10" s="1"/>
  <c r="CP754" i="10"/>
  <c r="CQ754" i="10" s="1"/>
  <c r="CR754" i="10" s="1" a="1"/>
  <c r="CR754" i="10" s="1"/>
  <c r="BF758" i="10"/>
  <c r="BP758" i="10" s="1"/>
  <c r="BQ758" i="10" s="1"/>
  <c r="BT812" i="10"/>
  <c r="BU812" i="10" s="1"/>
  <c r="BV812" i="10" s="1" a="1"/>
  <c r="BV812" i="10" s="1"/>
  <c r="CH812" i="10"/>
  <c r="CI812" i="10" s="1"/>
  <c r="CJ812" i="10" s="1" a="1"/>
  <c r="CJ812" i="10" s="1"/>
  <c r="BL812" i="10"/>
  <c r="BM812" i="10" s="1"/>
  <c r="BN812" i="10" s="1" a="1"/>
  <c r="BN812" i="10" s="1"/>
  <c r="BP812" i="10"/>
  <c r="BQ812" i="10" s="1"/>
  <c r="BX664" i="10"/>
  <c r="BX682" i="10"/>
  <c r="BY682" i="10" s="1"/>
  <c r="BL686" i="10"/>
  <c r="BM686" i="10" s="1"/>
  <c r="BN686" i="10" s="1" a="1"/>
  <c r="BN686" i="10" s="1"/>
  <c r="CH686" i="10"/>
  <c r="CI686" i="10" s="1"/>
  <c r="CJ686" i="10" s="1" a="1"/>
  <c r="CJ686" i="10" s="1"/>
  <c r="CL697" i="10"/>
  <c r="BP759" i="10"/>
  <c r="BQ759" i="10" s="1"/>
  <c r="BR759" i="10" s="1" a="1"/>
  <c r="BR759" i="10" s="1"/>
  <c r="CH707" i="10"/>
  <c r="CI707" i="10" s="1"/>
  <c r="CJ707" i="10" s="1" a="1"/>
  <c r="CJ707" i="10" s="1"/>
  <c r="BL707" i="10"/>
  <c r="BM707" i="10" s="1"/>
  <c r="BN707" i="10" s="1" a="1"/>
  <c r="BN707" i="10" s="1"/>
  <c r="BT736" i="10"/>
  <c r="BU736" i="10" s="1"/>
  <c r="BV736" i="10" s="1" a="1"/>
  <c r="BV736" i="10" s="1"/>
  <c r="CB745" i="10"/>
  <c r="S745" i="10" s="1"/>
  <c r="CE812" i="10"/>
  <c r="CT812" i="10" s="1"/>
  <c r="CU812" i="10" s="1"/>
  <c r="BF689" i="10"/>
  <c r="BT816" i="10"/>
  <c r="BU816" i="10" s="1"/>
  <c r="BV816" i="10" s="1" a="1"/>
  <c r="BV816" i="10" s="1"/>
  <c r="BP770" i="10"/>
  <c r="BQ770" i="10" s="1"/>
  <c r="BR770" i="10" s="1" a="1"/>
  <c r="BR770" i="10" s="1"/>
  <c r="CE813" i="10"/>
  <c r="CT813" i="10" s="1"/>
  <c r="CU813" i="10" s="1"/>
  <c r="BL835" i="10"/>
  <c r="BM835" i="10" s="1"/>
  <c r="BN835" i="10" s="1" a="1"/>
  <c r="BN835" i="10" s="1"/>
  <c r="BP835" i="10"/>
  <c r="BQ835" i="10" s="1"/>
  <c r="BR835" i="10" s="1" a="1"/>
  <c r="BR835" i="10" s="1"/>
  <c r="CP843" i="10"/>
  <c r="BL783" i="10"/>
  <c r="BM783" i="10" s="1"/>
  <c r="BN783" i="10" s="1" a="1"/>
  <c r="BN783" i="10" s="1"/>
  <c r="CH783" i="10"/>
  <c r="CI783" i="10" s="1"/>
  <c r="CJ783" i="10" s="1" a="1"/>
  <c r="CJ783" i="10" s="1"/>
  <c r="BT783" i="10"/>
  <c r="BU783" i="10" s="1"/>
  <c r="BV783" i="10" s="1" a="1"/>
  <c r="BV783" i="10" s="1"/>
  <c r="CL783" i="10"/>
  <c r="CM783" i="10" s="1"/>
  <c r="BT775" i="10"/>
  <c r="BU775" i="10" s="1"/>
  <c r="BV775" i="10" s="1" a="1"/>
  <c r="BV775" i="10" s="1"/>
  <c r="CH775" i="10"/>
  <c r="CI775" i="10" s="1"/>
  <c r="CJ775" i="10" s="1" a="1"/>
  <c r="CJ775" i="10" s="1"/>
  <c r="BL775" i="10"/>
  <c r="BM775" i="10" s="1"/>
  <c r="BN775" i="10" s="1" a="1"/>
  <c r="BN775" i="10" s="1"/>
  <c r="CL775" i="10"/>
  <c r="CM775" i="10" s="1"/>
  <c r="BF788" i="10"/>
  <c r="BX788" i="10" s="1"/>
  <c r="BY788" i="10" s="1"/>
  <c r="CQ788" i="10"/>
  <c r="CE788" i="10"/>
  <c r="BF810" i="10"/>
  <c r="BT810" i="10" s="1"/>
  <c r="BU810" i="10" s="1"/>
  <c r="CL807" i="10"/>
  <c r="CM807" i="10" s="1"/>
  <c r="CR807" i="10" s="1" a="1"/>
  <c r="CR807" i="10" s="1"/>
  <c r="CT832" i="10"/>
  <c r="CU832" i="10" s="1"/>
  <c r="CT840" i="10"/>
  <c r="CU840" i="10" s="1"/>
  <c r="CL847" i="10"/>
  <c r="CM847" i="10" s="1"/>
  <c r="CN847" i="10" s="1" a="1"/>
  <c r="CN847" i="10" s="1"/>
  <c r="CE859" i="10"/>
  <c r="BF868" i="10"/>
  <c r="BT868" i="10" s="1"/>
  <c r="BU868" i="10" s="1"/>
  <c r="CT872" i="10"/>
  <c r="CU872" i="10" s="1"/>
  <c r="BF884" i="10"/>
  <c r="BP884" i="10" s="1"/>
  <c r="BQ884" i="10" s="1"/>
  <c r="BR884" i="10" s="1" a="1"/>
  <c r="BR884" i="10" s="1"/>
  <c r="BM884" i="10"/>
  <c r="BN884" i="10" s="1" a="1"/>
  <c r="BN884" i="10" s="1"/>
  <c r="BZ816" i="10" a="1"/>
  <c r="BZ816" i="10" s="1"/>
  <c r="BP857" i="10"/>
  <c r="BQ857" i="10" s="1"/>
  <c r="BL857" i="10"/>
  <c r="BM857" i="10" s="1"/>
  <c r="BN857" i="10" s="1" a="1"/>
  <c r="BN857" i="10" s="1"/>
  <c r="CH857" i="10"/>
  <c r="CI857" i="10" s="1"/>
  <c r="CJ857" i="10" s="1" a="1"/>
  <c r="CJ857" i="10" s="1"/>
  <c r="BT864" i="10"/>
  <c r="BU864" i="10" s="1"/>
  <c r="BV864" i="10" s="1" a="1"/>
  <c r="BV864" i="10" s="1"/>
  <c r="CP869" i="10"/>
  <c r="CQ869" i="10" s="1"/>
  <c r="CR869" i="10" s="1" a="1"/>
  <c r="CR869" i="10" s="1"/>
  <c r="CH885" i="10"/>
  <c r="CI885" i="10" s="1"/>
  <c r="CJ885" i="10" s="1" a="1"/>
  <c r="CJ885" i="10" s="1"/>
  <c r="CT885" i="10"/>
  <c r="CU885" i="10" s="1"/>
  <c r="BL885" i="10"/>
  <c r="BM885" i="10" s="1"/>
  <c r="BN885" i="10" s="1" a="1"/>
  <c r="BN885" i="10" s="1"/>
  <c r="CT882" i="10"/>
  <c r="CU882" i="10" s="1"/>
  <c r="BT892" i="10"/>
  <c r="BU892" i="10" s="1"/>
  <c r="BV892" i="10" s="1" a="1"/>
  <c r="BV892" i="10" s="1"/>
  <c r="CH933" i="10"/>
  <c r="BT826" i="10"/>
  <c r="BU826" i="10" s="1"/>
  <c r="BT837" i="10"/>
  <c r="BU837" i="10" s="1"/>
  <c r="BV837" i="10" s="1" a="1"/>
  <c r="BV837" i="10" s="1"/>
  <c r="CL883" i="10"/>
  <c r="CT883" i="10"/>
  <c r="CU883" i="10" s="1"/>
  <c r="BF900" i="10"/>
  <c r="BQ900" i="10"/>
  <c r="BX837" i="10"/>
  <c r="BY837" i="10" s="1"/>
  <c r="CL864" i="10"/>
  <c r="CM864" i="10" s="1"/>
  <c r="CN864" i="10" s="1" a="1"/>
  <c r="CN864" i="10" s="1"/>
  <c r="BP882" i="10"/>
  <c r="BQ882" i="10" s="1"/>
  <c r="BR882" i="10" s="1" a="1"/>
  <c r="BR882" i="10" s="1"/>
  <c r="BT948" i="10"/>
  <c r="BU948" i="10" s="1"/>
  <c r="BT960" i="10"/>
  <c r="BU960" i="10" s="1"/>
  <c r="BV960" i="10" s="1" a="1"/>
  <c r="BV960" i="10" s="1"/>
  <c r="BT835" i="10"/>
  <c r="BU835" i="10" s="1"/>
  <c r="BV835" i="10" s="1" a="1"/>
  <c r="BV835" i="10" s="1"/>
  <c r="CL868" i="10"/>
  <c r="CM868" i="10" s="1"/>
  <c r="CN868" i="10" s="1" a="1"/>
  <c r="CN868" i="10" s="1"/>
  <c r="BP886" i="10"/>
  <c r="BQ886" i="10" s="1"/>
  <c r="CL891" i="10"/>
  <c r="BY891" i="10"/>
  <c r="BF891" i="10"/>
  <c r="BX900" i="10"/>
  <c r="BY900" i="10" s="1"/>
  <c r="BX910" i="10"/>
  <c r="BY910" i="10" s="1"/>
  <c r="BL833" i="10"/>
  <c r="BM833" i="10" s="1"/>
  <c r="BN833" i="10" s="1" a="1"/>
  <c r="BN833" i="10" s="1"/>
  <c r="BT882" i="10"/>
  <c r="BU882" i="10" s="1"/>
  <c r="BX890" i="10"/>
  <c r="BY890" i="10" s="1"/>
  <c r="CH897" i="10"/>
  <c r="CI897" i="10" s="1"/>
  <c r="CJ897" i="10" s="1" a="1"/>
  <c r="CJ897" i="10" s="1"/>
  <c r="CT897" i="10"/>
  <c r="CU897" i="10" s="1"/>
  <c r="BL897" i="10"/>
  <c r="BM897" i="10" s="1"/>
  <c r="BN897" i="10" s="1" a="1"/>
  <c r="BN897" i="10" s="1"/>
  <c r="BX897" i="10"/>
  <c r="BY897" i="10" s="1"/>
  <c r="CL897" i="10"/>
  <c r="CM897" i="10" s="1"/>
  <c r="BT907" i="10"/>
  <c r="BU907" i="10" s="1"/>
  <c r="BV907" i="10" s="1" a="1"/>
  <c r="BV907" i="10" s="1"/>
  <c r="BT967" i="10"/>
  <c r="BU967" i="10" s="1"/>
  <c r="BV967" i="10" s="1" a="1"/>
  <c r="BV967" i="10" s="1"/>
  <c r="BT975" i="10"/>
  <c r="BU975" i="10" s="1"/>
  <c r="CL837" i="10"/>
  <c r="CM837" i="10" s="1"/>
  <c r="CN837" i="10" s="1" a="1"/>
  <c r="CN837" i="10" s="1"/>
  <c r="CL882" i="10"/>
  <c r="CM882" i="10" s="1"/>
  <c r="CN882" i="10" s="1" a="1"/>
  <c r="CN882" i="10" s="1"/>
  <c r="CL885" i="10"/>
  <c r="CM885" i="10" s="1"/>
  <c r="CN885" i="10" s="1" a="1"/>
  <c r="CN885" i="10" s="1"/>
  <c r="BP889" i="10"/>
  <c r="BQ889" i="10" s="1"/>
  <c r="BP897" i="10"/>
  <c r="BQ897" i="10" s="1"/>
  <c r="BR897" i="10" s="1" a="1"/>
  <c r="BR897" i="10" s="1"/>
  <c r="CU913" i="10"/>
  <c r="CE913" i="10"/>
  <c r="CH913" i="10" s="1"/>
  <c r="CI913" i="10" s="1"/>
  <c r="CJ913" i="10" s="1" a="1"/>
  <c r="CJ913" i="10" s="1"/>
  <c r="CM913" i="10"/>
  <c r="BQ926" i="10"/>
  <c r="BF926" i="10"/>
  <c r="BX926" i="10" s="1"/>
  <c r="BY926" i="10" s="1"/>
  <c r="CT930" i="10"/>
  <c r="BL823" i="10"/>
  <c r="BM823" i="10" s="1"/>
  <c r="BN823" i="10" s="1" a="1"/>
  <c r="BN823" i="10" s="1"/>
  <c r="CP837" i="10"/>
  <c r="CQ837" i="10" s="1"/>
  <c r="CR837" i="10" s="1" a="1"/>
  <c r="CR837" i="10" s="1"/>
  <c r="CE879" i="10"/>
  <c r="CU879" i="10"/>
  <c r="BF879" i="10"/>
  <c r="BL886" i="10"/>
  <c r="BM886" i="10" s="1"/>
  <c r="BN886" i="10" s="1" a="1"/>
  <c r="BN886" i="10" s="1"/>
  <c r="CP971" i="10"/>
  <c r="CQ971" i="10" s="1"/>
  <c r="CR815" i="10" a="1"/>
  <c r="CR815" i="10" s="1"/>
  <c r="CR842" i="10" a="1"/>
  <c r="CR842" i="10" s="1"/>
  <c r="CX842" i="10" s="1"/>
  <c r="Z842" i="10" s="1"/>
  <c r="CT909" i="10"/>
  <c r="CL912" i="10"/>
  <c r="CM912" i="10" s="1"/>
  <c r="BX932" i="10"/>
  <c r="BY932" i="10" s="1"/>
  <c r="BX948" i="10"/>
  <c r="BY948" i="10" s="1"/>
  <c r="CU952" i="10"/>
  <c r="CI952" i="10"/>
  <c r="CJ952" i="10" s="1" a="1"/>
  <c r="CJ952" i="10" s="1"/>
  <c r="CE952" i="10"/>
  <c r="CL907" i="10"/>
  <c r="CM907" i="10" s="1"/>
  <c r="CR907" i="10" s="1" a="1"/>
  <c r="CR907" i="10" s="1"/>
  <c r="CE950" i="10"/>
  <c r="CT950" i="10" s="1"/>
  <c r="CU950" i="10" s="1"/>
  <c r="BP974" i="10"/>
  <c r="BQ974" i="10" s="1"/>
  <c r="CT927" i="10"/>
  <c r="CU927" i="10" s="1"/>
  <c r="BP943" i="10"/>
  <c r="BQ943" i="10" s="1"/>
  <c r="BR943" i="10" s="1" a="1"/>
  <c r="BR943" i="10" s="1"/>
  <c r="BL943" i="10"/>
  <c r="BM943" i="10" s="1"/>
  <c r="BN943" i="10" s="1" a="1"/>
  <c r="BN943" i="10" s="1"/>
  <c r="CH943" i="10"/>
  <c r="CI943" i="10" s="1"/>
  <c r="CJ943" i="10" s="1" a="1"/>
  <c r="CJ943" i="10" s="1"/>
  <c r="BF946" i="10"/>
  <c r="BT946" i="10" s="1"/>
  <c r="BU946" i="10" s="1"/>
  <c r="BP951" i="10"/>
  <c r="BQ951" i="10" s="1"/>
  <c r="BF961" i="10"/>
  <c r="CT973" i="10"/>
  <c r="CU973" i="10" s="1"/>
  <c r="BL944" i="10"/>
  <c r="BM944" i="10" s="1"/>
  <c r="BN944" i="10" s="1" a="1"/>
  <c r="BN944" i="10" s="1"/>
  <c r="CE958" i="10"/>
  <c r="CH958" i="10" s="1"/>
  <c r="CI958" i="10" s="1"/>
  <c r="CJ958" i="10" s="1" a="1"/>
  <c r="CJ958" i="10" s="1"/>
  <c r="CH967" i="10"/>
  <c r="CI967" i="10" s="1"/>
  <c r="CJ967" i="10" s="1" a="1"/>
  <c r="CJ967" i="10" s="1"/>
  <c r="BL967" i="10"/>
  <c r="BM967" i="10" s="1"/>
  <c r="BN967" i="10" s="1" a="1"/>
  <c r="BN967" i="10" s="1"/>
  <c r="BL993" i="10"/>
  <c r="BM993" i="10" s="1"/>
  <c r="BN993" i="10" s="1" a="1"/>
  <c r="BN993" i="10" s="1"/>
  <c r="BT902" i="10"/>
  <c r="BU902" i="10" s="1"/>
  <c r="BV902" i="10" s="1" a="1"/>
  <c r="BV902" i="10" s="1"/>
  <c r="BL932" i="10"/>
  <c r="BM932" i="10" s="1"/>
  <c r="BN932" i="10" s="1" a="1"/>
  <c r="BN932" i="10" s="1"/>
  <c r="CP979" i="10"/>
  <c r="CQ979" i="10" s="1"/>
  <c r="CP978" i="10"/>
  <c r="BT1019" i="10"/>
  <c r="BU1019" i="10" s="1"/>
  <c r="BV1019" i="10" s="1" a="1"/>
  <c r="BV1019" i="10" s="1"/>
  <c r="BP934" i="10"/>
  <c r="BQ934" i="10" s="1"/>
  <c r="BR934" i="10" s="1" a="1"/>
  <c r="BR934" i="10" s="1"/>
  <c r="BX938" i="10"/>
  <c r="BY938" i="10" s="1"/>
  <c r="CV976" i="10" a="1"/>
  <c r="CV976" i="10" s="1"/>
  <c r="CJ977" i="10" a="1"/>
  <c r="CJ977" i="10" s="1"/>
  <c r="CQ989" i="10"/>
  <c r="CE989" i="10"/>
  <c r="CL989" i="10" s="1"/>
  <c r="CM989" i="10" s="1"/>
  <c r="CE997" i="10"/>
  <c r="CT997" i="10" s="1"/>
  <c r="CU997" i="10" s="1"/>
  <c r="BF1010" i="10"/>
  <c r="BX1010" i="10" s="1"/>
  <c r="BY1010" i="10" s="1"/>
  <c r="CQ1013" i="10"/>
  <c r="CE1013" i="10"/>
  <c r="CH923" i="10"/>
  <c r="CI923" i="10" s="1"/>
  <c r="CJ923" i="10" s="1" a="1"/>
  <c r="CJ923" i="10" s="1"/>
  <c r="CP1003" i="10"/>
  <c r="CQ1003" i="10" s="1"/>
  <c r="CR1003" i="10" s="1" a="1"/>
  <c r="CR1003" i="10" s="1"/>
  <c r="CP1019" i="10"/>
  <c r="CQ1019" i="10" s="1"/>
  <c r="CR1019" i="10" s="1" a="1"/>
  <c r="CR1019" i="10" s="1"/>
  <c r="CT923" i="10"/>
  <c r="CU923" i="10" s="1"/>
  <c r="BM934" i="10"/>
  <c r="BN934" i="10" s="1" a="1"/>
  <c r="BN934" i="10" s="1"/>
  <c r="BF934" i="10"/>
  <c r="BL934" i="10" s="1"/>
  <c r="BP936" i="10"/>
  <c r="BQ936" i="10" s="1"/>
  <c r="BR936" i="10" s="1" a="1"/>
  <c r="BR936" i="10" s="1"/>
  <c r="BU958" i="10"/>
  <c r="BF958" i="10"/>
  <c r="BL958" i="10" s="1"/>
  <c r="BM958" i="10" s="1"/>
  <c r="BN958" i="10" s="1" a="1"/>
  <c r="BN958" i="10" s="1"/>
  <c r="BF981" i="10"/>
  <c r="BQ981" i="10"/>
  <c r="BF1013" i="10"/>
  <c r="BP1013" i="10" s="1"/>
  <c r="BQ1013" i="10" s="1"/>
  <c r="CT1017" i="10"/>
  <c r="CU1017" i="10" s="1"/>
  <c r="CL983" i="10"/>
  <c r="CM983" i="10" s="1"/>
  <c r="CV988" i="10" a="1"/>
  <c r="CV988" i="10" s="1"/>
  <c r="BX1007" i="10"/>
  <c r="BY1007" i="10" s="1"/>
  <c r="CL1011" i="10"/>
  <c r="CM1011" i="10" s="1"/>
  <c r="CH1016" i="10"/>
  <c r="CI1016" i="10" s="1"/>
  <c r="CJ1016" i="10" s="1" a="1"/>
  <c r="CJ1016" i="10" s="1"/>
  <c r="CL1022" i="10"/>
  <c r="CM1022" i="10" s="1"/>
  <c r="CN1022" i="10" s="1" a="1"/>
  <c r="CN1022" i="10" s="1"/>
  <c r="BP984" i="10"/>
  <c r="BQ984" i="10" s="1"/>
  <c r="BR984" i="10" s="1" a="1"/>
  <c r="BR984" i="10" s="1"/>
  <c r="BP991" i="10"/>
  <c r="BQ991" i="10" s="1"/>
  <c r="BR991" i="10" s="1" a="1"/>
  <c r="BR991" i="10" s="1"/>
  <c r="BT1003" i="10"/>
  <c r="BU1003" i="10" s="1"/>
  <c r="CL986" i="10"/>
  <c r="CM986" i="10" s="1"/>
  <c r="CR986" i="10" s="1" a="1"/>
  <c r="CR986" i="10" s="1"/>
  <c r="BT1012" i="10"/>
  <c r="BU1012" i="10" s="1"/>
  <c r="CL1019" i="10"/>
  <c r="CM1019" i="10" s="1"/>
  <c r="BL977" i="10"/>
  <c r="BM977" i="10" s="1"/>
  <c r="CH987" i="10"/>
  <c r="CI987" i="10" s="1"/>
  <c r="CJ987" i="10" s="1" a="1"/>
  <c r="CJ987" i="10" s="1"/>
  <c r="CP998" i="10"/>
  <c r="CQ998" i="10" s="1"/>
  <c r="CT1007" i="10"/>
  <c r="CU1007" i="10" s="1"/>
  <c r="CH1019" i="10"/>
  <c r="CI1019" i="10" s="1"/>
  <c r="CJ1019" i="10" s="1" a="1"/>
  <c r="CJ1019" i="10" s="1"/>
  <c r="CT980" i="10"/>
  <c r="CU980" i="10" s="1"/>
  <c r="BL996" i="10"/>
  <c r="BM996" i="10" s="1"/>
  <c r="BN996" i="10" s="1" a="1"/>
  <c r="BN996" i="10" s="1"/>
  <c r="BP1009" i="10"/>
  <c r="BQ1009" i="10" s="1"/>
  <c r="BX1015" i="10"/>
  <c r="BY1015" i="10" s="1"/>
  <c r="BL960" i="10"/>
  <c r="BM960" i="10" s="1"/>
  <c r="BN960" i="10" s="1" a="1"/>
  <c r="BN960" i="10" s="1"/>
  <c r="CT991" i="10"/>
  <c r="CU991" i="10" s="1"/>
  <c r="CH982" i="10"/>
  <c r="CI982" i="10" s="1"/>
  <c r="CJ982" i="10" s="1" a="1"/>
  <c r="CJ982" i="10" s="1"/>
  <c r="CL987" i="10"/>
  <c r="CM987" i="10" s="1"/>
  <c r="CV992" i="10" a="1"/>
  <c r="CV992" i="10" s="1"/>
  <c r="CH1004" i="10"/>
  <c r="CI1004" i="10" s="1"/>
  <c r="CJ1004" i="10" s="1" a="1"/>
  <c r="CJ1004" i="10" s="1"/>
  <c r="CL970" i="10"/>
  <c r="CM970" i="10" s="1"/>
  <c r="CL1008" i="10"/>
  <c r="CM1008" i="10" s="1"/>
  <c r="CN1008" i="10" s="1" a="1"/>
  <c r="CN1008" i="10" s="1"/>
  <c r="CT1012" i="10"/>
  <c r="CU1012" i="10" s="1"/>
  <c r="BP1019" i="10"/>
  <c r="BQ1019" i="10" s="1"/>
  <c r="BR1019" i="10" s="1" a="1"/>
  <c r="BR1019" i="10" s="1"/>
  <c r="CL738" i="10"/>
  <c r="CM738" i="10" s="1"/>
  <c r="BX742" i="10"/>
  <c r="BY742" i="10" s="1"/>
  <c r="CP725" i="10"/>
  <c r="CL725" i="10"/>
  <c r="CM725" i="10" s="1"/>
  <c r="BT743" i="10"/>
  <c r="BU743" i="10" s="1"/>
  <c r="CH743" i="10"/>
  <c r="CI743" i="10" s="1"/>
  <c r="CJ743" i="10" s="1" a="1"/>
  <c r="CJ743" i="10" s="1"/>
  <c r="BL743" i="10"/>
  <c r="BM743" i="10" s="1"/>
  <c r="BN743" i="10" s="1" a="1"/>
  <c r="BN743" i="10" s="1"/>
  <c r="CL743" i="10"/>
  <c r="CM743" i="10" s="1"/>
  <c r="CN743" i="10" s="1" a="1"/>
  <c r="CN743" i="10" s="1"/>
  <c r="BX743" i="10"/>
  <c r="BY743" i="10" s="1"/>
  <c r="CE758" i="10"/>
  <c r="CP758" i="10" s="1"/>
  <c r="CQ758" i="10" s="1"/>
  <c r="BP804" i="10"/>
  <c r="BQ804" i="10" s="1"/>
  <c r="BR804" i="10" s="1" a="1"/>
  <c r="BR804" i="10" s="1"/>
  <c r="BL804" i="10"/>
  <c r="BM804" i="10" s="1"/>
  <c r="BN804" i="10" s="1" a="1"/>
  <c r="BN804" i="10" s="1"/>
  <c r="BY664" i="10"/>
  <c r="BU664" i="10"/>
  <c r="BF664" i="10"/>
  <c r="BL664" i="10" s="1"/>
  <c r="BM664" i="10" s="1"/>
  <c r="BN664" i="10" s="1" a="1"/>
  <c r="BN664" i="10" s="1"/>
  <c r="BF685" i="10"/>
  <c r="BX685" i="10" s="1"/>
  <c r="BY685" i="10" s="1"/>
  <c r="BL697" i="10"/>
  <c r="CE697" i="10"/>
  <c r="CH697" i="10" s="1"/>
  <c r="CI697" i="10" s="1"/>
  <c r="CJ697" i="10" s="1" a="1"/>
  <c r="CJ697" i="10" s="1"/>
  <c r="CM697" i="10"/>
  <c r="CT709" i="10"/>
  <c r="CU709" i="10" s="1"/>
  <c r="CH710" i="10"/>
  <c r="CI710" i="10" s="1"/>
  <c r="CJ710" i="10" s="1" a="1"/>
  <c r="CJ710" i="10" s="1"/>
  <c r="CL710" i="10"/>
  <c r="CM710" i="10" s="1"/>
  <c r="CN710" i="10" s="1" a="1"/>
  <c r="CN710" i="10" s="1"/>
  <c r="BF735" i="10"/>
  <c r="BL735" i="10" s="1"/>
  <c r="BM735" i="10" s="1"/>
  <c r="BN735" i="10" s="1" a="1"/>
  <c r="BN735" i="10" s="1"/>
  <c r="BY735" i="10"/>
  <c r="BF746" i="10"/>
  <c r="CT762" i="10"/>
  <c r="CL784" i="10"/>
  <c r="CE809" i="10"/>
  <c r="CL809" i="10" s="1"/>
  <c r="CM809" i="10" s="1"/>
  <c r="BP707" i="10"/>
  <c r="BQ707" i="10" s="1"/>
  <c r="BR707" i="10" s="1" a="1"/>
  <c r="BR707" i="10" s="1"/>
  <c r="BL736" i="10"/>
  <c r="BM736" i="10" s="1"/>
  <c r="BF766" i="10"/>
  <c r="BL766" i="10" s="1"/>
  <c r="BM766" i="10" s="1"/>
  <c r="BN766" i="10" s="1" a="1"/>
  <c r="BN766" i="10" s="1"/>
  <c r="CL812" i="10"/>
  <c r="CM812" i="10" s="1"/>
  <c r="BP743" i="10"/>
  <c r="BQ743" i="10" s="1"/>
  <c r="BR743" i="10" s="1" a="1"/>
  <c r="BR743" i="10" s="1"/>
  <c r="BL791" i="10"/>
  <c r="BM791" i="10" s="1"/>
  <c r="BN791" i="10" s="1" a="1"/>
  <c r="BN791" i="10" s="1"/>
  <c r="CH791" i="10"/>
  <c r="CI791" i="10" s="1"/>
  <c r="CJ791" i="10" s="1" a="1"/>
  <c r="CJ791" i="10" s="1"/>
  <c r="BT791" i="10"/>
  <c r="BU791" i="10" s="1"/>
  <c r="BV791" i="10" s="1" a="1"/>
  <c r="BV791" i="10" s="1"/>
  <c r="CL791" i="10"/>
  <c r="CM791" i="10" s="1"/>
  <c r="CE806" i="10"/>
  <c r="CL806" i="10" s="1"/>
  <c r="CM806" i="10" s="1"/>
  <c r="BF801" i="10"/>
  <c r="BT801" i="10" s="1"/>
  <c r="BU801" i="10" s="1"/>
  <c r="CV818" i="10" a="1"/>
  <c r="CV818" i="10" s="1"/>
  <c r="BX775" i="10"/>
  <c r="BY775" i="10" s="1"/>
  <c r="CJ818" i="10" a="1"/>
  <c r="CJ818" i="10" s="1"/>
  <c r="BF828" i="10"/>
  <c r="BX831" i="10"/>
  <c r="BY831" i="10" s="1"/>
  <c r="BX843" i="10"/>
  <c r="BY843" i="10" s="1"/>
  <c r="BF848" i="10"/>
  <c r="BX848" i="10" s="1"/>
  <c r="BY848" i="10" s="1"/>
  <c r="BX855" i="10"/>
  <c r="BY855" i="10" s="1"/>
  <c r="CL859" i="10"/>
  <c r="CM859" i="10" s="1"/>
  <c r="BF864" i="10"/>
  <c r="BX864" i="10" s="1"/>
  <c r="BY864" i="10" s="1"/>
  <c r="BQ864" i="10"/>
  <c r="CT868" i="10"/>
  <c r="CU868" i="10" s="1"/>
  <c r="CT884" i="10"/>
  <c r="CU884" i="10" s="1"/>
  <c r="BP791" i="10"/>
  <c r="BQ791" i="10" s="1"/>
  <c r="BP873" i="10"/>
  <c r="BQ873" i="10" s="1"/>
  <c r="BL873" i="10"/>
  <c r="BM873" i="10" s="1"/>
  <c r="BN873" i="10" s="1" a="1"/>
  <c r="BN873" i="10" s="1"/>
  <c r="CH873" i="10"/>
  <c r="CI873" i="10" s="1"/>
  <c r="CJ873" i="10" s="1" a="1"/>
  <c r="CJ873" i="10" s="1"/>
  <c r="CH881" i="10"/>
  <c r="CI881" i="10" s="1"/>
  <c r="CJ881" i="10" s="1" a="1"/>
  <c r="CJ881" i="10" s="1"/>
  <c r="CT881" i="10"/>
  <c r="CU881" i="10" s="1"/>
  <c r="BL881" i="10"/>
  <c r="BM881" i="10" s="1"/>
  <c r="BN881" i="10" s="1" a="1"/>
  <c r="BN881" i="10" s="1"/>
  <c r="CP889" i="10"/>
  <c r="CQ889" i="10" s="1"/>
  <c r="CR889" i="10" s="1" a="1"/>
  <c r="CR889" i="10" s="1"/>
  <c r="BP868" i="10"/>
  <c r="BQ868" i="10" s="1"/>
  <c r="BF896" i="10"/>
  <c r="BP896" i="10" s="1"/>
  <c r="BQ896" i="10" s="1"/>
  <c r="CE883" i="10"/>
  <c r="CP883" i="10" s="1"/>
  <c r="CQ883" i="10" s="1"/>
  <c r="CR883" i="10" s="1" a="1"/>
  <c r="CR883" i="10" s="1"/>
  <c r="CM883" i="10"/>
  <c r="BF883" i="10"/>
  <c r="BX883" i="10" s="1"/>
  <c r="BY883" i="10" s="1"/>
  <c r="CP900" i="10"/>
  <c r="CQ900" i="10" s="1"/>
  <c r="CR900" i="10" s="1" a="1"/>
  <c r="CR900" i="10" s="1"/>
  <c r="BX844" i="10"/>
  <c r="BY844" i="10" s="1"/>
  <c r="BX857" i="10"/>
  <c r="BY857" i="10" s="1"/>
  <c r="BT944" i="10"/>
  <c r="BU944" i="10" s="1"/>
  <c r="BV944" i="10" s="1" a="1"/>
  <c r="BV944" i="10" s="1"/>
  <c r="BT952" i="10"/>
  <c r="BU952" i="10" s="1"/>
  <c r="BV952" i="10" s="1" a="1"/>
  <c r="BV952" i="10" s="1"/>
  <c r="BT956" i="10"/>
  <c r="BU956" i="10" s="1"/>
  <c r="BV956" i="10" s="1" a="1"/>
  <c r="BV956" i="10" s="1"/>
  <c r="CW834" i="10" a="1"/>
  <c r="CW834" i="10" s="1"/>
  <c r="CX834" i="10" s="1"/>
  <c r="Z834" i="10" s="1"/>
  <c r="CL836" i="10"/>
  <c r="CM836" i="10" s="1"/>
  <c r="BT869" i="10"/>
  <c r="BU869" i="10" s="1"/>
  <c r="CE891" i="10"/>
  <c r="CM891" i="10"/>
  <c r="CU891" i="10"/>
  <c r="CE910" i="10"/>
  <c r="CH910" i="10" s="1"/>
  <c r="CI910" i="10" s="1"/>
  <c r="CJ910" i="10" s="1" a="1"/>
  <c r="CJ910" i="10" s="1"/>
  <c r="CI918" i="10"/>
  <c r="CJ918" i="10" s="1" a="1"/>
  <c r="CJ918" i="10" s="1"/>
  <c r="CE918" i="10"/>
  <c r="CP918" i="10" s="1"/>
  <c r="CQ918" i="10" s="1"/>
  <c r="CE926" i="10"/>
  <c r="CP926" i="10" s="1"/>
  <c r="CQ926" i="10" s="1"/>
  <c r="CR926" i="10" s="1" a="1"/>
  <c r="CR926" i="10" s="1"/>
  <c r="CM926" i="10"/>
  <c r="CH817" i="10"/>
  <c r="CI817" i="10" s="1"/>
  <c r="CJ817" i="10" s="1" a="1"/>
  <c r="CJ817" i="10" s="1"/>
  <c r="CL833" i="10"/>
  <c r="CM833" i="10" s="1"/>
  <c r="CN833" i="10" s="1" a="1"/>
  <c r="CN833" i="10" s="1"/>
  <c r="CP845" i="10"/>
  <c r="CQ845" i="10" s="1"/>
  <c r="CR845" i="10" s="1" a="1"/>
  <c r="CR845" i="10" s="1"/>
  <c r="BZ846" i="10" a="1"/>
  <c r="BZ846" i="10" s="1"/>
  <c r="CB846" i="10" s="1"/>
  <c r="S846" i="10" s="1"/>
  <c r="CL849" i="10"/>
  <c r="CM849" i="10" s="1"/>
  <c r="BT911" i="10"/>
  <c r="BU911" i="10" s="1"/>
  <c r="BV911" i="10" s="1" a="1"/>
  <c r="BV911" i="10" s="1"/>
  <c r="BT955" i="10"/>
  <c r="BU955" i="10" s="1"/>
  <c r="BX825" i="10"/>
  <c r="BY825" i="10" s="1"/>
  <c r="CL844" i="10"/>
  <c r="CM844" i="10" s="1"/>
  <c r="CL853" i="10"/>
  <c r="CM853" i="10" s="1"/>
  <c r="CN853" i="10" s="1" a="1"/>
  <c r="CN853" i="10" s="1"/>
  <c r="BZ854" i="10" a="1"/>
  <c r="BZ854" i="10" s="1"/>
  <c r="CL857" i="10"/>
  <c r="CM857" i="10" s="1"/>
  <c r="BT886" i="10"/>
  <c r="BU886" i="10" s="1"/>
  <c r="BV886" i="10" s="1" a="1"/>
  <c r="BV886" i="10" s="1"/>
  <c r="CN890" i="10" a="1"/>
  <c r="CN890" i="10" s="1"/>
  <c r="BX905" i="10"/>
  <c r="CU909" i="10"/>
  <c r="CI909" i="10"/>
  <c r="CJ909" i="10" s="1" a="1"/>
  <c r="CJ909" i="10" s="1"/>
  <c r="CQ909" i="10"/>
  <c r="CE909" i="10"/>
  <c r="CH909" i="10" s="1"/>
  <c r="CL913" i="10"/>
  <c r="BF922" i="10"/>
  <c r="BL922" i="10" s="1"/>
  <c r="BM922" i="10" s="1"/>
  <c r="BN922" i="10" s="1" a="1"/>
  <c r="BN922" i="10" s="1"/>
  <c r="CW825" i="10" a="1"/>
  <c r="CW825" i="10" s="1"/>
  <c r="CX825" i="10" s="1"/>
  <c r="Z825" i="10" s="1"/>
  <c r="BX879" i="10"/>
  <c r="BY879" i="10" s="1"/>
  <c r="BX881" i="10"/>
  <c r="BY881" i="10" s="1"/>
  <c r="CL886" i="10"/>
  <c r="CM886" i="10" s="1"/>
  <c r="CN886" i="10" s="1" a="1"/>
  <c r="CN886" i="10" s="1"/>
  <c r="CL889" i="10"/>
  <c r="CM889" i="10" s="1"/>
  <c r="BT926" i="10"/>
  <c r="BU926" i="10" s="1"/>
  <c r="BV926" i="10" s="1" a="1"/>
  <c r="BV926" i="10" s="1"/>
  <c r="BN815" i="10" a="1"/>
  <c r="BN815" i="10" s="1"/>
  <c r="CH824" i="10"/>
  <c r="CI824" i="10" s="1"/>
  <c r="CJ824" i="10" s="1" a="1"/>
  <c r="CJ824" i="10" s="1"/>
  <c r="CT857" i="10"/>
  <c r="CU857" i="10" s="1"/>
  <c r="BP894" i="10"/>
  <c r="BQ894" i="10" s="1"/>
  <c r="CL900" i="10"/>
  <c r="CM900" i="10" s="1"/>
  <c r="BF913" i="10"/>
  <c r="CE916" i="10"/>
  <c r="CT916" i="10" s="1"/>
  <c r="CU916" i="10" s="1"/>
  <c r="CQ916" i="10"/>
  <c r="BM929" i="10"/>
  <c r="BF929" i="10"/>
  <c r="BT929" i="10" s="1"/>
  <c r="BU929" i="10" s="1"/>
  <c r="CE932" i="10"/>
  <c r="CL932" i="10" s="1"/>
  <c r="CM932" i="10" s="1"/>
  <c r="CU932" i="10"/>
  <c r="BF937" i="10"/>
  <c r="BP937" i="10" s="1"/>
  <c r="BQ937" i="10" s="1"/>
  <c r="CE948" i="10"/>
  <c r="CP948" i="10" s="1"/>
  <c r="CQ948" i="10" s="1"/>
  <c r="CR948" i="10" s="1" a="1"/>
  <c r="CR948" i="10" s="1"/>
  <c r="CM948" i="10"/>
  <c r="CL952" i="10"/>
  <c r="CM952" i="10" s="1"/>
  <c r="CN952" i="10" s="1" a="1"/>
  <c r="CN952" i="10" s="1"/>
  <c r="BX960" i="10"/>
  <c r="BY960" i="10" s="1"/>
  <c r="CH927" i="10"/>
  <c r="CI927" i="10" s="1"/>
  <c r="CJ927" i="10" s="1" a="1"/>
  <c r="CJ927" i="10" s="1"/>
  <c r="BT950" i="10"/>
  <c r="BU950" i="10" s="1"/>
  <c r="CE964" i="10"/>
  <c r="CL964" i="10" s="1"/>
  <c r="CM964" i="10" s="1"/>
  <c r="CI965" i="10"/>
  <c r="CJ965" i="10" s="1" a="1"/>
  <c r="CJ965" i="10" s="1"/>
  <c r="CE965" i="10"/>
  <c r="CU965" i="10"/>
  <c r="BT968" i="10"/>
  <c r="BU968" i="10" s="1"/>
  <c r="CU972" i="10"/>
  <c r="CE972" i="10"/>
  <c r="CL972" i="10" s="1"/>
  <c r="CM972" i="10" s="1"/>
  <c r="CN972" i="10" s="1" a="1"/>
  <c r="CN972" i="10" s="1"/>
  <c r="CE973" i="10"/>
  <c r="CH973" i="10" s="1"/>
  <c r="CI973" i="10" s="1"/>
  <c r="CJ973" i="10" s="1" a="1"/>
  <c r="CJ973" i="10" s="1"/>
  <c r="BL906" i="10"/>
  <c r="BM906" i="10" s="1"/>
  <c r="BN906" i="10" s="1" a="1"/>
  <c r="BN906" i="10" s="1"/>
  <c r="BL924" i="10"/>
  <c r="BM924" i="10" s="1"/>
  <c r="BN924" i="10" s="1" a="1"/>
  <c r="BN924" i="10" s="1"/>
  <c r="CP930" i="10"/>
  <c r="CL943" i="10"/>
  <c r="CM943" i="10" s="1"/>
  <c r="CN943" i="10" s="1" a="1"/>
  <c r="CN943" i="10" s="1"/>
  <c r="CH952" i="10"/>
  <c r="BF973" i="10"/>
  <c r="BP973" i="10" s="1"/>
  <c r="BQ973" i="10" s="1"/>
  <c r="CT907" i="10"/>
  <c r="CU907" i="10" s="1"/>
  <c r="CH919" i="10"/>
  <c r="CI919" i="10" s="1"/>
  <c r="CJ919" i="10" s="1" a="1"/>
  <c r="CJ919" i="10" s="1"/>
  <c r="CH963" i="10"/>
  <c r="CI963" i="10" s="1"/>
  <c r="CJ963" i="10" s="1" a="1"/>
  <c r="CJ963" i="10" s="1"/>
  <c r="BL963" i="10"/>
  <c r="BM963" i="10" s="1"/>
  <c r="BN963" i="10" s="1" a="1"/>
  <c r="BN963" i="10" s="1"/>
  <c r="BL972" i="10"/>
  <c r="BM972" i="10" s="1"/>
  <c r="CH972" i="10"/>
  <c r="CI972" i="10" s="1"/>
  <c r="CJ972" i="10" s="1" a="1"/>
  <c r="CJ972" i="10" s="1"/>
  <c r="CP1001" i="10"/>
  <c r="CQ1001" i="10" s="1"/>
  <c r="CH1021" i="10"/>
  <c r="BP939" i="10"/>
  <c r="BQ939" i="10" s="1"/>
  <c r="BR939" i="10" s="1" a="1"/>
  <c r="BR939" i="10" s="1"/>
  <c r="BL939" i="10"/>
  <c r="BM939" i="10" s="1"/>
  <c r="BN939" i="10" s="1" a="1"/>
  <c r="BN939" i="10" s="1"/>
  <c r="CH939" i="10"/>
  <c r="CI939" i="10" s="1"/>
  <c r="CJ939" i="10" s="1" a="1"/>
  <c r="CJ939" i="10" s="1"/>
  <c r="BQ942" i="10"/>
  <c r="BF942" i="10"/>
  <c r="CL967" i="10"/>
  <c r="CM967" i="10" s="1"/>
  <c r="CN967" i="10" s="1" a="1"/>
  <c r="CN967" i="10" s="1"/>
  <c r="CV890" i="10" a="1"/>
  <c r="CV890" i="10" s="1"/>
  <c r="CH902" i="10"/>
  <c r="CI902" i="10" s="1"/>
  <c r="CJ902" i="10" s="1" a="1"/>
  <c r="CJ902" i="10" s="1"/>
  <c r="BT925" i="10"/>
  <c r="BU925" i="10" s="1"/>
  <c r="CE954" i="10"/>
  <c r="CH954" i="10" s="1"/>
  <c r="CI954" i="10" s="1"/>
  <c r="CJ954" i="10" s="1" a="1"/>
  <c r="CJ954" i="10" s="1"/>
  <c r="CP938" i="10"/>
  <c r="CQ938" i="10" s="1"/>
  <c r="CP977" i="10"/>
  <c r="CQ977" i="10" s="1"/>
  <c r="CR977" i="10" s="1" a="1"/>
  <c r="CR977" i="10" s="1"/>
  <c r="BX981" i="10"/>
  <c r="BY981" i="10" s="1"/>
  <c r="CE985" i="10"/>
  <c r="CT985" i="10" s="1"/>
  <c r="CU985" i="10" s="1"/>
  <c r="BQ994" i="10"/>
  <c r="BF994" i="10"/>
  <c r="CL997" i="10"/>
  <c r="CM997" i="10" s="1"/>
  <c r="CT1010" i="10"/>
  <c r="CU1010" i="10" s="1"/>
  <c r="CL1013" i="10"/>
  <c r="CM1013" i="10" s="1"/>
  <c r="BX1017" i="10"/>
  <c r="CJ1022" i="10" a="1"/>
  <c r="CJ1022" i="10" s="1"/>
  <c r="BL923" i="10"/>
  <c r="BM923" i="10" s="1"/>
  <c r="BN923" i="10" s="1" a="1"/>
  <c r="BN923" i="10" s="1"/>
  <c r="CT939" i="10"/>
  <c r="CU939" i="10" s="1"/>
  <c r="CJ976" i="10" a="1"/>
  <c r="CJ976" i="10" s="1"/>
  <c r="BN976" i="10" a="1"/>
  <c r="BN976" i="10" s="1"/>
  <c r="CB976" i="10" s="1"/>
  <c r="S976" i="10" s="1"/>
  <c r="BT1014" i="10"/>
  <c r="CL911" i="10"/>
  <c r="CM911" i="10" s="1"/>
  <c r="CN911" i="10" s="1" a="1"/>
  <c r="CN911" i="10" s="1"/>
  <c r="CT915" i="10"/>
  <c r="CU915" i="10" s="1"/>
  <c r="CL927" i="10"/>
  <c r="CM927" i="10" s="1"/>
  <c r="BP952" i="10"/>
  <c r="BQ952" i="10" s="1"/>
  <c r="BR952" i="10" s="1" a="1"/>
  <c r="BR952" i="10" s="1"/>
  <c r="CT963" i="10"/>
  <c r="CU963" i="10" s="1"/>
  <c r="BF1009" i="10"/>
  <c r="BT1009" i="10" s="1"/>
  <c r="BU1009" i="10" s="1"/>
  <c r="BV1009" i="10" s="1" a="1"/>
  <c r="BV1009" i="10" s="1"/>
  <c r="CT1013" i="10"/>
  <c r="CU1013" i="10" s="1"/>
  <c r="CP990" i="10"/>
  <c r="CQ990" i="10" s="1"/>
  <c r="BP1012" i="10"/>
  <c r="BQ1012" i="10" s="1"/>
  <c r="BR1012" i="10" s="1" a="1"/>
  <c r="BR1012" i="10" s="1"/>
  <c r="BL1016" i="10"/>
  <c r="BM1016" i="10" s="1"/>
  <c r="BN1016" i="10" s="1" a="1"/>
  <c r="BN1016" i="10" s="1"/>
  <c r="BX991" i="10"/>
  <c r="BY991" i="10" s="1"/>
  <c r="BP1003" i="10"/>
  <c r="BQ1003" i="10" s="1"/>
  <c r="BT987" i="10"/>
  <c r="BU987" i="10" s="1"/>
  <c r="CH990" i="10"/>
  <c r="CI990" i="10" s="1"/>
  <c r="CJ990" i="10" s="1" a="1"/>
  <c r="CJ990" i="10" s="1"/>
  <c r="CL995" i="10"/>
  <c r="CM995" i="10" s="1"/>
  <c r="BX999" i="10"/>
  <c r="BY999" i="10" s="1"/>
  <c r="BX1003" i="10"/>
  <c r="BY1003" i="10" s="1"/>
  <c r="CL1007" i="10"/>
  <c r="CM1007" i="10" s="1"/>
  <c r="CH1012" i="10"/>
  <c r="CI1012" i="10" s="1"/>
  <c r="CJ1012" i="10" s="1" a="1"/>
  <c r="CJ1012" i="10" s="1"/>
  <c r="BP1020" i="10"/>
  <c r="BQ1020" i="10" s="1"/>
  <c r="BR1020" i="10" s="1" a="1"/>
  <c r="BR1020" i="10" s="1"/>
  <c r="BL987" i="10"/>
  <c r="BM987" i="10" s="1"/>
  <c r="BN987" i="10" s="1" a="1"/>
  <c r="BN987" i="10" s="1"/>
  <c r="CL998" i="10"/>
  <c r="CM998" i="10" s="1"/>
  <c r="CT1000" i="10"/>
  <c r="CU1000" i="10" s="1"/>
  <c r="CP982" i="10"/>
  <c r="CQ982" i="10" s="1"/>
  <c r="CL996" i="10"/>
  <c r="CM996" i="10" s="1"/>
  <c r="CH1020" i="10"/>
  <c r="CI1020" i="10" s="1"/>
  <c r="CJ1020" i="10" s="1" a="1"/>
  <c r="CJ1020" i="10" s="1"/>
  <c r="CT962" i="10"/>
  <c r="CU962" i="10" s="1"/>
  <c r="BP992" i="10"/>
  <c r="BQ992" i="10" s="1"/>
  <c r="CT999" i="10"/>
  <c r="CU999" i="10" s="1"/>
  <c r="BX1014" i="10"/>
  <c r="CH980" i="10"/>
  <c r="CI980" i="10" s="1"/>
  <c r="CJ980" i="10" s="1" a="1"/>
  <c r="CJ980" i="10" s="1"/>
  <c r="CP994" i="10"/>
  <c r="CQ994" i="10" s="1"/>
  <c r="BT1004" i="10"/>
  <c r="BU1004" i="10" s="1"/>
  <c r="BV1004" i="10" s="1" a="1"/>
  <c r="BV1004" i="10" s="1"/>
  <c r="CL974" i="10"/>
  <c r="CP1014" i="10"/>
  <c r="CQ1014" i="10" s="1"/>
  <c r="CL1020" i="10"/>
  <c r="CM1020" i="10" s="1"/>
  <c r="CN1020" i="10" s="1" a="1"/>
  <c r="CN1020" i="10" s="1"/>
  <c r="CH802" i="10"/>
  <c r="CI802" i="10" s="1"/>
  <c r="CJ802" i="10" s="1" a="1"/>
  <c r="CJ802" i="10" s="1"/>
  <c r="BL802" i="10"/>
  <c r="BM802" i="10" s="1"/>
  <c r="BN802" i="10" s="1" a="1"/>
  <c r="BN802" i="10" s="1"/>
  <c r="BP802" i="10"/>
  <c r="BQ802" i="10" s="1"/>
  <c r="BT738" i="10"/>
  <c r="BU738" i="10" s="1"/>
  <c r="BV738" i="10" s="1" a="1"/>
  <c r="BV738" i="10" s="1"/>
  <c r="CP742" i="10"/>
  <c r="CQ742" i="10" s="1"/>
  <c r="CR742" i="10" s="1" a="1"/>
  <c r="CR742" i="10" s="1"/>
  <c r="CT802" i="10"/>
  <c r="CU802" i="10" s="1"/>
  <c r="CH725" i="10"/>
  <c r="CI725" i="10" s="1"/>
  <c r="CJ725" i="10" s="1" a="1"/>
  <c r="CJ725" i="10" s="1"/>
  <c r="CE725" i="10"/>
  <c r="CT725" i="10" s="1"/>
  <c r="CU725" i="10" s="1"/>
  <c r="CQ725" i="10"/>
  <c r="CP743" i="10"/>
  <c r="CQ743" i="10" s="1"/>
  <c r="BX758" i="10"/>
  <c r="BY758" i="10" s="1"/>
  <c r="CP795" i="10"/>
  <c r="CQ795" i="10" s="1"/>
  <c r="CR795" i="10" s="1" a="1"/>
  <c r="CR795" i="10" s="1"/>
  <c r="BT664" i="10"/>
  <c r="BX697" i="10"/>
  <c r="BF709" i="10"/>
  <c r="BL709" i="10" s="1"/>
  <c r="BM709" i="10" s="1"/>
  <c r="BN709" i="10" s="1" a="1"/>
  <c r="BN709" i="10" s="1"/>
  <c r="CH738" i="10"/>
  <c r="CI738" i="10" s="1"/>
  <c r="CJ738" i="10" s="1" a="1"/>
  <c r="CJ738" i="10" s="1"/>
  <c r="CE746" i="10"/>
  <c r="CL746" i="10" s="1"/>
  <c r="CM746" i="10" s="1"/>
  <c r="BF762" i="10"/>
  <c r="BP762" i="10" s="1"/>
  <c r="BQ762" i="10" s="1"/>
  <c r="CI784" i="10"/>
  <c r="CQ784" i="10"/>
  <c r="CR784" i="10" s="1" a="1"/>
  <c r="CR784" i="10" s="1"/>
  <c r="CE784" i="10"/>
  <c r="CM784" i="10"/>
  <c r="CL786" i="10"/>
  <c r="CL802" i="10"/>
  <c r="CM802" i="10" s="1"/>
  <c r="CN802" i="10" s="1" a="1"/>
  <c r="CN802" i="10" s="1"/>
  <c r="CE766" i="10"/>
  <c r="CL766" i="10" s="1"/>
  <c r="CM766" i="10" s="1"/>
  <c r="BL786" i="10"/>
  <c r="BM786" i="10" s="1"/>
  <c r="BX808" i="10"/>
  <c r="BY808" i="10" s="1"/>
  <c r="BP689" i="10"/>
  <c r="BQ689" i="10" s="1"/>
  <c r="BT799" i="10"/>
  <c r="BU799" i="10" s="1"/>
  <c r="BV799" i="10" s="1" a="1"/>
  <c r="BV799" i="10" s="1"/>
  <c r="BL799" i="10"/>
  <c r="BM799" i="10" s="1"/>
  <c r="BN799" i="10" s="1" a="1"/>
  <c r="BN799" i="10" s="1"/>
  <c r="CH799" i="10"/>
  <c r="CI799" i="10" s="1"/>
  <c r="CJ799" i="10" s="1" a="1"/>
  <c r="CJ799" i="10" s="1"/>
  <c r="BX799" i="10"/>
  <c r="BY799" i="10" s="1"/>
  <c r="CL799" i="10"/>
  <c r="CM799" i="10" s="1"/>
  <c r="CN799" i="10" s="1" a="1"/>
  <c r="CN799" i="10" s="1"/>
  <c r="BT802" i="10"/>
  <c r="BU802" i="10" s="1"/>
  <c r="BV802" i="10" s="1" a="1"/>
  <c r="BV802" i="10" s="1"/>
  <c r="CL770" i="10"/>
  <c r="CM770" i="10" s="1"/>
  <c r="CN770" i="10" s="1" a="1"/>
  <c r="CN770" i="10" s="1"/>
  <c r="BM770" i="10"/>
  <c r="BN770" i="10" s="1" a="1"/>
  <c r="BN770" i="10" s="1"/>
  <c r="BF770" i="10"/>
  <c r="BT770" i="10" s="1"/>
  <c r="BU770" i="10" s="1"/>
  <c r="BV770" i="10" s="1" a="1"/>
  <c r="BV770" i="10" s="1"/>
  <c r="BX791" i="10"/>
  <c r="BY791" i="10" s="1"/>
  <c r="CT796" i="10"/>
  <c r="CH796" i="10"/>
  <c r="BL796" i="10"/>
  <c r="BM796" i="10" s="1"/>
  <c r="BN796" i="10" s="1" a="1"/>
  <c r="BN796" i="10" s="1"/>
  <c r="CP813" i="10"/>
  <c r="CQ813" i="10" s="1"/>
  <c r="CE821" i="10"/>
  <c r="CH821" i="10" s="1"/>
  <c r="CI821" i="10" s="1"/>
  <c r="CJ821" i="10" s="1" a="1"/>
  <c r="CJ821" i="10" s="1"/>
  <c r="CM821" i="10"/>
  <c r="BL855" i="10"/>
  <c r="BM855" i="10" s="1"/>
  <c r="BR855" i="10" s="1" a="1"/>
  <c r="BR855" i="10" s="1"/>
  <c r="BL863" i="10"/>
  <c r="BM863" i="10" s="1"/>
  <c r="BL871" i="10"/>
  <c r="BM871" i="10" s="1"/>
  <c r="BN871" i="10" s="1" a="1"/>
  <c r="BN871" i="10" s="1"/>
  <c r="CL750" i="10"/>
  <c r="BF750" i="10"/>
  <c r="BL750" i="10" s="1"/>
  <c r="BM750" i="10" s="1"/>
  <c r="BN750" i="10" s="1" a="1"/>
  <c r="BN750" i="10" s="1"/>
  <c r="CP788" i="10"/>
  <c r="CE801" i="10"/>
  <c r="CT801" i="10" s="1"/>
  <c r="CU801" i="10" s="1"/>
  <c r="CR818" i="10" a="1"/>
  <c r="CR818" i="10" s="1"/>
  <c r="CT782" i="10"/>
  <c r="BF817" i="10"/>
  <c r="CE831" i="10"/>
  <c r="CL831" i="10" s="1"/>
  <c r="CM831" i="10" s="1"/>
  <c r="CN831" i="10" s="1" a="1"/>
  <c r="CN831" i="10" s="1"/>
  <c r="CI831" i="10"/>
  <c r="CJ831" i="10" s="1" a="1"/>
  <c r="CJ831" i="10" s="1"/>
  <c r="CE843" i="10"/>
  <c r="CQ843" i="10"/>
  <c r="CT848" i="10"/>
  <c r="CU848" i="10" s="1"/>
  <c r="CE855" i="10"/>
  <c r="CP855" i="10" s="1"/>
  <c r="CQ855" i="10" s="1"/>
  <c r="BF860" i="10"/>
  <c r="BY860" i="10"/>
  <c r="CT864" i="10"/>
  <c r="CU864" i="10" s="1"/>
  <c r="CL820" i="10"/>
  <c r="CT820" i="10"/>
  <c r="BP861" i="10"/>
  <c r="BQ861" i="10" s="1"/>
  <c r="BL861" i="10"/>
  <c r="BM861" i="10" s="1"/>
  <c r="BN861" i="10" s="1" a="1"/>
  <c r="BN861" i="10" s="1"/>
  <c r="CH861" i="10"/>
  <c r="CI861" i="10" s="1"/>
  <c r="CJ861" i="10" s="1" a="1"/>
  <c r="CJ861" i="10" s="1"/>
  <c r="CH877" i="10"/>
  <c r="CI877" i="10" s="1"/>
  <c r="CJ877" i="10" s="1" a="1"/>
  <c r="CJ877" i="10" s="1"/>
  <c r="BL877" i="10"/>
  <c r="BM877" i="10" s="1"/>
  <c r="BN877" i="10" s="1" a="1"/>
  <c r="BN877" i="10" s="1"/>
  <c r="BT821" i="10"/>
  <c r="BU821" i="10" s="1"/>
  <c r="BV821" i="10" s="1" a="1"/>
  <c r="BV821" i="10" s="1"/>
  <c r="BP833" i="10"/>
  <c r="BQ833" i="10" s="1"/>
  <c r="BR833" i="10" s="1" a="1"/>
  <c r="BR833" i="10" s="1"/>
  <c r="CH848" i="10"/>
  <c r="CI848" i="10" s="1"/>
  <c r="CJ848" i="10" s="1" a="1"/>
  <c r="CJ848" i="10" s="1"/>
  <c r="BF892" i="10"/>
  <c r="BP892" i="10" s="1"/>
  <c r="BY892" i="10"/>
  <c r="BQ892" i="10"/>
  <c r="CP824" i="10"/>
  <c r="CQ824" i="10" s="1"/>
  <c r="CR824" i="10" s="1" a="1"/>
  <c r="CR824" i="10" s="1"/>
  <c r="CL828" i="10"/>
  <c r="CM828" i="10" s="1"/>
  <c r="CN828" i="10" s="1" a="1"/>
  <c r="CN828" i="10" s="1"/>
  <c r="BL860" i="10"/>
  <c r="BM860" i="10" s="1"/>
  <c r="BN860" i="10" s="1" a="1"/>
  <c r="BN860" i="10" s="1"/>
  <c r="BX868" i="10"/>
  <c r="BY868" i="10" s="1"/>
  <c r="CE887" i="10"/>
  <c r="CL887" i="10" s="1"/>
  <c r="CM887" i="10" s="1"/>
  <c r="BF887" i="10"/>
  <c r="BP887" i="10" s="1"/>
  <c r="BQ887" i="10" s="1"/>
  <c r="BT940" i="10"/>
  <c r="BU940" i="10" s="1"/>
  <c r="CH872" i="10"/>
  <c r="CI872" i="10" s="1"/>
  <c r="CJ872" i="10" s="1" a="1"/>
  <c r="CJ872" i="10" s="1"/>
  <c r="BX891" i="10"/>
  <c r="BL895" i="10"/>
  <c r="BM895" i="10" s="1"/>
  <c r="BN895" i="10" s="1" a="1"/>
  <c r="BN895" i="10" s="1"/>
  <c r="CL918" i="10"/>
  <c r="CM918" i="10" s="1"/>
  <c r="CN918" i="10" s="1" a="1"/>
  <c r="CN918" i="10" s="1"/>
  <c r="CL926" i="10"/>
  <c r="CP820" i="10"/>
  <c r="CW846" i="10" a="1"/>
  <c r="CW846" i="10" s="1"/>
  <c r="CX846" i="10" s="1"/>
  <c r="Z846" i="10" s="1"/>
  <c r="BX873" i="10"/>
  <c r="BY873" i="10" s="1"/>
  <c r="BP885" i="10"/>
  <c r="BQ885" i="10" s="1"/>
  <c r="BR885" i="10" s="1" a="1"/>
  <c r="BR885" i="10" s="1"/>
  <c r="BX892" i="10"/>
  <c r="BT915" i="10"/>
  <c r="BU915" i="10" s="1"/>
  <c r="BZ915" i="10" s="1" a="1"/>
  <c r="BZ915" i="10" s="1"/>
  <c r="BT939" i="10"/>
  <c r="BU939" i="10" s="1"/>
  <c r="CP960" i="10"/>
  <c r="BL826" i="10"/>
  <c r="BM826" i="10" s="1"/>
  <c r="BN826" i="10" s="1" a="1"/>
  <c r="BN826" i="10" s="1"/>
  <c r="BT845" i="10"/>
  <c r="BU845" i="10" s="1"/>
  <c r="CW854" i="10" a="1"/>
  <c r="CW854" i="10" s="1"/>
  <c r="CX854" i="10" s="1"/>
  <c r="Z854" i="10" s="1"/>
  <c r="CW858" i="10" a="1"/>
  <c r="CW858" i="10" s="1"/>
  <c r="CX858" i="10" s="1"/>
  <c r="Z858" i="10" s="1"/>
  <c r="BL898" i="10"/>
  <c r="BM898" i="10" s="1"/>
  <c r="BN898" i="10" s="1" a="1"/>
  <c r="BN898" i="10" s="1"/>
  <c r="CE905" i="10"/>
  <c r="CL909" i="10"/>
  <c r="CM909" i="10" s="1"/>
  <c r="CN909" i="10" s="1" a="1"/>
  <c r="CN909" i="10" s="1"/>
  <c r="BF918" i="10"/>
  <c r="BP918" i="10" s="1"/>
  <c r="BQ918" i="10" s="1"/>
  <c r="BX949" i="10"/>
  <c r="BY949" i="10" s="1"/>
  <c r="CP857" i="10"/>
  <c r="CQ857" i="10" s="1"/>
  <c r="CR857" i="10" s="1" a="1"/>
  <c r="CR857" i="10" s="1"/>
  <c r="CP879" i="10"/>
  <c r="CQ879" i="10" s="1"/>
  <c r="BX882" i="10"/>
  <c r="BY882" i="10" s="1"/>
  <c r="CL893" i="10"/>
  <c r="CM893" i="10" s="1"/>
  <c r="CN893" i="10" s="1" a="1"/>
  <c r="CN893" i="10" s="1"/>
  <c r="CP951" i="10"/>
  <c r="CQ951" i="10" s="1"/>
  <c r="CP959" i="10"/>
  <c r="CQ959" i="10" s="1"/>
  <c r="CV959" i="10" s="1" a="1"/>
  <c r="CV959" i="10" s="1"/>
  <c r="CP975" i="10"/>
  <c r="CQ975" i="10" s="1"/>
  <c r="CR975" i="10" s="1" a="1"/>
  <c r="CR975" i="10" s="1"/>
  <c r="CL873" i="10"/>
  <c r="CM873" i="10" s="1"/>
  <c r="CR873" i="10" s="1" a="1"/>
  <c r="CR873" i="10" s="1"/>
  <c r="CP882" i="10"/>
  <c r="CQ882" i="10" s="1"/>
  <c r="CR882" i="10" s="1" a="1"/>
  <c r="CR882" i="10" s="1"/>
  <c r="BP890" i="10"/>
  <c r="BQ890" i="10" s="1"/>
  <c r="BR890" i="10" s="1" a="1"/>
  <c r="BR890" i="10" s="1"/>
  <c r="CT900" i="10"/>
  <c r="CU900" i="10" s="1"/>
  <c r="CT913" i="10"/>
  <c r="BX944" i="10"/>
  <c r="BY944" i="10" s="1"/>
  <c r="CL948" i="10"/>
  <c r="CQ960" i="10"/>
  <c r="CE960" i="10"/>
  <c r="CT960" i="10" s="1"/>
  <c r="CU960" i="10" s="1"/>
  <c r="BL927" i="10"/>
  <c r="BM927" i="10" s="1"/>
  <c r="BN927" i="10" s="1" a="1"/>
  <c r="BN927" i="10" s="1"/>
  <c r="CP962" i="10"/>
  <c r="CQ962" i="10" s="1"/>
  <c r="CR962" i="10" s="1" a="1"/>
  <c r="CR962" i="10" s="1"/>
  <c r="BX964" i="10"/>
  <c r="BY964" i="10" s="1"/>
  <c r="BX972" i="10"/>
  <c r="BY972" i="10" s="1"/>
  <c r="CH903" i="10"/>
  <c r="CI903" i="10" s="1"/>
  <c r="CJ903" i="10" s="1" a="1"/>
  <c r="CJ903" i="10" s="1"/>
  <c r="CH907" i="10"/>
  <c r="CI907" i="10" s="1"/>
  <c r="CJ907" i="10" s="1" a="1"/>
  <c r="CJ907" i="10" s="1"/>
  <c r="CH931" i="10"/>
  <c r="CI931" i="10" s="1"/>
  <c r="CJ931" i="10" s="1" a="1"/>
  <c r="CJ931" i="10" s="1"/>
  <c r="CT965" i="10"/>
  <c r="CH965" i="10"/>
  <c r="BP975" i="10"/>
  <c r="BQ975" i="10" s="1"/>
  <c r="BR975" i="10" s="1" a="1"/>
  <c r="BR975" i="10" s="1"/>
  <c r="CT903" i="10"/>
  <c r="CU903" i="10" s="1"/>
  <c r="BL919" i="10"/>
  <c r="BM919" i="10" s="1"/>
  <c r="BN919" i="10" s="1" a="1"/>
  <c r="BN919" i="10" s="1"/>
  <c r="CT947" i="10"/>
  <c r="CU947" i="10" s="1"/>
  <c r="CH959" i="10"/>
  <c r="CI959" i="10" s="1"/>
  <c r="CJ959" i="10" s="1" a="1"/>
  <c r="CJ959" i="10" s="1"/>
  <c r="BL959" i="10"/>
  <c r="BM959" i="10" s="1"/>
  <c r="BN959" i="10" s="1" a="1"/>
  <c r="BN959" i="10" s="1"/>
  <c r="BL968" i="10"/>
  <c r="BM968" i="10" s="1"/>
  <c r="BN968" i="10" s="1" a="1"/>
  <c r="BN968" i="10" s="1"/>
  <c r="CH968" i="10"/>
  <c r="BP972" i="10"/>
  <c r="BQ972" i="10" s="1"/>
  <c r="BR972" i="10" s="1" a="1"/>
  <c r="BR972" i="10" s="1"/>
  <c r="CH1017" i="10"/>
  <c r="BL1017" i="10"/>
  <c r="CP1021" i="10"/>
  <c r="CT919" i="10"/>
  <c r="CU919" i="10" s="1"/>
  <c r="CL939" i="10"/>
  <c r="CM939" i="10" s="1"/>
  <c r="CN939" i="10" s="1" a="1"/>
  <c r="CN939" i="10" s="1"/>
  <c r="CL923" i="10"/>
  <c r="CM923" i="10" s="1"/>
  <c r="CN923" i="10" s="1" a="1"/>
  <c r="CN923" i="10" s="1"/>
  <c r="BP935" i="10"/>
  <c r="BQ935" i="10" s="1"/>
  <c r="BR935" i="10" s="1" a="1"/>
  <c r="BR935" i="10" s="1"/>
  <c r="BL935" i="10"/>
  <c r="BM935" i="10" s="1"/>
  <c r="BN935" i="10" s="1" a="1"/>
  <c r="BN935" i="10" s="1"/>
  <c r="CH935" i="10"/>
  <c r="CI935" i="10" s="1"/>
  <c r="CJ935" i="10" s="1" a="1"/>
  <c r="CJ935" i="10" s="1"/>
  <c r="BQ938" i="10"/>
  <c r="BF938" i="10"/>
  <c r="BP938" i="10" s="1"/>
  <c r="BP940" i="10"/>
  <c r="BQ940" i="10" s="1"/>
  <c r="BR940" i="10" s="1" a="1"/>
  <c r="BR940" i="10" s="1"/>
  <c r="BX963" i="10"/>
  <c r="BY963" i="10" s="1"/>
  <c r="BX971" i="10"/>
  <c r="BY971" i="10" s="1"/>
  <c r="CE981" i="10"/>
  <c r="CT981" i="10" s="1"/>
  <c r="CU981" i="10" s="1"/>
  <c r="CM981" i="10"/>
  <c r="BY990" i="10"/>
  <c r="BF990" i="10"/>
  <c r="BP990" i="10" s="1"/>
  <c r="BQ990" i="10" s="1"/>
  <c r="CT994" i="10"/>
  <c r="CU994" i="10" s="1"/>
  <c r="BF998" i="10"/>
  <c r="BL998" i="10" s="1"/>
  <c r="BM998" i="10" s="1"/>
  <c r="BN998" i="10" s="1" a="1"/>
  <c r="BN998" i="10" s="1"/>
  <c r="CE1001" i="10"/>
  <c r="CL1001" i="10" s="1"/>
  <c r="CM1001" i="10" s="1"/>
  <c r="BU1014" i="10"/>
  <c r="BY1014" i="10"/>
  <c r="BQ1014" i="10"/>
  <c r="BF1014" i="10"/>
  <c r="CI1017" i="10"/>
  <c r="CQ1017" i="10"/>
  <c r="CE1017" i="10"/>
  <c r="BP910" i="10"/>
  <c r="BQ910" i="10" s="1"/>
  <c r="CH915" i="10"/>
  <c r="CI915" i="10" s="1"/>
  <c r="CJ915" i="10" s="1" a="1"/>
  <c r="CJ915" i="10" s="1"/>
  <c r="BP923" i="10"/>
  <c r="BQ923" i="10" s="1"/>
  <c r="CL959" i="10"/>
  <c r="CM959" i="10" s="1"/>
  <c r="CN959" i="10" s="1" a="1"/>
  <c r="CN959" i="10" s="1"/>
  <c r="BN970" i="10" a="1"/>
  <c r="BN970" i="10" s="1"/>
  <c r="CP1007" i="10"/>
  <c r="CQ1007" i="10" s="1"/>
  <c r="CR1007" i="10" s="1" a="1"/>
  <c r="CR1007" i="10" s="1"/>
  <c r="BP947" i="10"/>
  <c r="BQ947" i="10" s="1"/>
  <c r="BL947" i="10"/>
  <c r="BM947" i="10" s="1"/>
  <c r="BN947" i="10" s="1" a="1"/>
  <c r="BN947" i="10" s="1"/>
  <c r="CH947" i="10"/>
  <c r="CI947" i="10" s="1"/>
  <c r="CJ947" i="10" s="1" a="1"/>
  <c r="CJ947" i="10" s="1"/>
  <c r="CE966" i="10"/>
  <c r="CT966" i="10" s="1"/>
  <c r="CU966" i="10" s="1"/>
  <c r="CM966" i="10"/>
  <c r="BF978" i="10"/>
  <c r="BX978" i="10" s="1"/>
  <c r="BY978" i="10"/>
  <c r="BF1005" i="10"/>
  <c r="BT1005" i="10" s="1"/>
  <c r="BU1005" i="10" s="1"/>
  <c r="CL990" i="10"/>
  <c r="CM990" i="10" s="1"/>
  <c r="CN990" i="10" s="1" a="1"/>
  <c r="CN990" i="10" s="1"/>
  <c r="CP1008" i="10"/>
  <c r="CQ1008" i="10" s="1"/>
  <c r="CR1008" i="10" s="1" a="1"/>
  <c r="CR1008" i="10" s="1"/>
  <c r="BX1016" i="10"/>
  <c r="BY1016" i="10" s="1"/>
  <c r="BX998" i="10"/>
  <c r="BY998" i="10" s="1"/>
  <c r="CL1004" i="10"/>
  <c r="CM1004" i="10" s="1"/>
  <c r="CN1004" i="10" s="1" a="1"/>
  <c r="CN1004" i="10" s="1"/>
  <c r="CT1008" i="10"/>
  <c r="CU1008" i="10" s="1"/>
  <c r="CH1014" i="10"/>
  <c r="CI1014" i="10" s="1"/>
  <c r="CJ1014" i="10" s="1" a="1"/>
  <c r="CJ1014" i="10" s="1"/>
  <c r="BT984" i="10"/>
  <c r="BU984" i="10" s="1"/>
  <c r="BL990" i="10"/>
  <c r="BM990" i="10" s="1"/>
  <c r="BN990" i="10" s="1" a="1"/>
  <c r="BN990" i="10" s="1"/>
  <c r="BP996" i="10"/>
  <c r="BQ996" i="10" s="1"/>
  <c r="BR996" i="10" s="1" a="1"/>
  <c r="BR996" i="10" s="1"/>
  <c r="BP1008" i="10"/>
  <c r="BQ1008" i="10" s="1"/>
  <c r="BL1012" i="10"/>
  <c r="BM1012" i="10" s="1"/>
  <c r="BN1012" i="10" s="1" a="1"/>
  <c r="BN1012" i="10" s="1"/>
  <c r="CH1022" i="10"/>
  <c r="CI1022" i="10" s="1"/>
  <c r="CP980" i="10"/>
  <c r="CQ980" i="10" s="1"/>
  <c r="BP987" i="10"/>
  <c r="BQ987" i="10" s="1"/>
  <c r="BR987" i="10" s="1" a="1"/>
  <c r="BR987" i="10" s="1"/>
  <c r="CH999" i="10"/>
  <c r="CI999" i="10" s="1"/>
  <c r="CJ999" i="10" s="1" a="1"/>
  <c r="CJ999" i="10" s="1"/>
  <c r="CP1002" i="10"/>
  <c r="CQ1002" i="10" s="1"/>
  <c r="CL982" i="10"/>
  <c r="CM982" i="10" s="1"/>
  <c r="CN982" i="10" s="1" a="1"/>
  <c r="CN982" i="10" s="1"/>
  <c r="BX996" i="10"/>
  <c r="BY996" i="10" s="1"/>
  <c r="CP1016" i="10"/>
  <c r="CQ1016" i="10" s="1"/>
  <c r="CV1016" i="10" s="1" a="1"/>
  <c r="CV1016" i="10" s="1"/>
  <c r="BL1020" i="10"/>
  <c r="BM1020" i="10" s="1"/>
  <c r="BN1020" i="10" s="1" a="1"/>
  <c r="BN1020" i="10" s="1"/>
  <c r="CH983" i="10"/>
  <c r="CI983" i="10" s="1"/>
  <c r="CJ983" i="10" s="1" a="1"/>
  <c r="CJ983" i="10" s="1"/>
  <c r="CH998" i="10"/>
  <c r="CI998" i="10" s="1"/>
  <c r="CJ998" i="10" s="1" a="1"/>
  <c r="CJ998" i="10" s="1"/>
  <c r="BT980" i="10"/>
  <c r="BU980" i="10" s="1"/>
  <c r="BV980" i="10" s="1" a="1"/>
  <c r="BV980" i="10" s="1"/>
  <c r="BX990" i="10"/>
  <c r="CL994" i="10"/>
  <c r="CM994" i="10" s="1"/>
  <c r="CN994" i="10" s="1" a="1"/>
  <c r="CN994" i="10" s="1"/>
  <c r="BL1004" i="10"/>
  <c r="BM1004" i="10" s="1"/>
  <c r="BN1004" i="10" s="1" a="1"/>
  <c r="BN1004" i="10" s="1"/>
  <c r="CL1014" i="10"/>
  <c r="CM1014" i="10" s="1"/>
  <c r="CN1014" i="10" s="1" a="1"/>
  <c r="CN1014" i="10" s="1"/>
  <c r="CJ1017" i="10" a="1"/>
  <c r="CJ1017" i="10" s="1"/>
  <c r="CL800" i="10"/>
  <c r="CM800" i="10" s="1"/>
  <c r="CH691" i="10"/>
  <c r="CI691" i="10" s="1"/>
  <c r="CJ691" i="10" s="1" a="1"/>
  <c r="CJ691" i="10" s="1"/>
  <c r="BL691" i="10"/>
  <c r="BM691" i="10" s="1"/>
  <c r="CL705" i="10"/>
  <c r="CM705" i="10" s="1"/>
  <c r="CN705" i="10" s="1" a="1"/>
  <c r="CN705" i="10" s="1"/>
  <c r="CP738" i="10"/>
  <c r="CQ738" i="10" s="1"/>
  <c r="CR738" i="10" s="1" a="1"/>
  <c r="CR738" i="10" s="1"/>
  <c r="BF738" i="10"/>
  <c r="BP738" i="10" s="1"/>
  <c r="BQ738" i="10" s="1"/>
  <c r="BT754" i="10"/>
  <c r="BU754" i="10" s="1"/>
  <c r="BL770" i="10"/>
  <c r="CH770" i="10"/>
  <c r="CT691" i="10"/>
  <c r="CU691" i="10" s="1"/>
  <c r="BX725" i="10"/>
  <c r="BY725" i="10" s="1"/>
  <c r="BT735" i="10"/>
  <c r="BU735" i="10" s="1"/>
  <c r="BT697" i="10"/>
  <c r="BU697" i="10" s="1"/>
  <c r="BX746" i="10"/>
  <c r="BY746" i="10" s="1"/>
  <c r="CE762" i="10"/>
  <c r="CL762" i="10" s="1"/>
  <c r="CM762" i="10" s="1"/>
  <c r="CU762" i="10"/>
  <c r="BL777" i="10"/>
  <c r="BM777" i="10" s="1"/>
  <c r="BX784" i="10"/>
  <c r="BY784" i="10" s="1"/>
  <c r="CE786" i="10"/>
  <c r="CT786" i="10" s="1"/>
  <c r="CU786" i="10" s="1"/>
  <c r="CM786" i="10"/>
  <c r="BL758" i="10"/>
  <c r="BM758" i="10" s="1"/>
  <c r="BN758" i="10" s="1" a="1"/>
  <c r="BN758" i="10" s="1"/>
  <c r="BX789" i="10"/>
  <c r="BY789" i="10" s="1"/>
  <c r="CW708" i="10" a="1"/>
  <c r="CW708" i="10" s="1"/>
  <c r="CV708" i="10" a="1"/>
  <c r="CV708" i="10" s="1"/>
  <c r="BX766" i="10"/>
  <c r="BY766" i="10" s="1"/>
  <c r="BT778" i="10"/>
  <c r="BL794" i="10"/>
  <c r="BM794" i="10" s="1"/>
  <c r="BN794" i="10" s="1" a="1"/>
  <c r="BN794" i="10" s="1"/>
  <c r="CI808" i="10"/>
  <c r="CJ808" i="10" s="1" a="1"/>
  <c r="CJ808" i="10" s="1"/>
  <c r="CE808" i="10"/>
  <c r="CP689" i="10"/>
  <c r="CQ689" i="10" s="1"/>
  <c r="CE701" i="10"/>
  <c r="CL701" i="10" s="1"/>
  <c r="CM701" i="10" s="1"/>
  <c r="CV749" i="10" a="1"/>
  <c r="CV749" i="10" s="1"/>
  <c r="CX749" i="10" s="1"/>
  <c r="Z749" i="10" s="1"/>
  <c r="BT779" i="10"/>
  <c r="BU779" i="10" s="1"/>
  <c r="BV779" i="10" s="1" a="1"/>
  <c r="BV779" i="10" s="1"/>
  <c r="CH779" i="10"/>
  <c r="CI779" i="10" s="1"/>
  <c r="CJ779" i="10" s="1" a="1"/>
  <c r="CJ779" i="10" s="1"/>
  <c r="BL779" i="10"/>
  <c r="BM779" i="10" s="1"/>
  <c r="BN779" i="10" s="1" a="1"/>
  <c r="BN779" i="10" s="1"/>
  <c r="BX779" i="10"/>
  <c r="BY779" i="10" s="1"/>
  <c r="CL779" i="10"/>
  <c r="CM779" i="10" s="1"/>
  <c r="CP798" i="10"/>
  <c r="CQ798" i="10" s="1"/>
  <c r="CR798" i="10" s="1" a="1"/>
  <c r="CR798" i="10" s="1"/>
  <c r="CE816" i="10"/>
  <c r="CL816" i="10" s="1"/>
  <c r="CM816" i="10" s="1"/>
  <c r="CT831" i="10"/>
  <c r="CU831" i="10" s="1"/>
  <c r="CE770" i="10"/>
  <c r="CT770" i="10" s="1"/>
  <c r="CU770" i="10" s="1"/>
  <c r="CI770" i="10"/>
  <c r="CJ770" i="10" s="1" a="1"/>
  <c r="CJ770" i="10" s="1"/>
  <c r="CL821" i="10"/>
  <c r="BL847" i="10"/>
  <c r="BM847" i="10" s="1"/>
  <c r="BN847" i="10" s="1" a="1"/>
  <c r="BN847" i="10" s="1"/>
  <c r="CH847" i="10"/>
  <c r="CE750" i="10"/>
  <c r="CH750" i="10" s="1"/>
  <c r="CI750" i="10" s="1"/>
  <c r="CJ750" i="10" s="1" a="1"/>
  <c r="CJ750" i="10" s="1"/>
  <c r="CM750" i="10"/>
  <c r="CT788" i="10"/>
  <c r="CU788" i="10" s="1"/>
  <c r="BP788" i="10"/>
  <c r="BQ788" i="10" s="1"/>
  <c r="BR788" i="10" s="1" a="1"/>
  <c r="BR788" i="10" s="1"/>
  <c r="CH788" i="10"/>
  <c r="CI788" i="10" s="1"/>
  <c r="CJ788" i="10" s="1" a="1"/>
  <c r="CJ788" i="10" s="1"/>
  <c r="BL788" i="10"/>
  <c r="BM788" i="10" s="1"/>
  <c r="BN788" i="10" s="1" a="1"/>
  <c r="BN788" i="10" s="1"/>
  <c r="BP801" i="10"/>
  <c r="BQ801" i="10" s="1"/>
  <c r="CX704" i="10"/>
  <c r="Z704" i="10" s="1"/>
  <c r="BT714" i="10"/>
  <c r="BF782" i="10"/>
  <c r="BL782" i="10" s="1"/>
  <c r="BM782" i="10" s="1"/>
  <c r="BN782" i="10" s="1" a="1"/>
  <c r="BN782" i="10" s="1"/>
  <c r="BX835" i="10"/>
  <c r="BY835" i="10" s="1"/>
  <c r="CL843" i="10"/>
  <c r="CM843" i="10" s="1"/>
  <c r="BX851" i="10"/>
  <c r="BY851" i="10" s="1"/>
  <c r="CT860" i="10"/>
  <c r="CU860" i="10" s="1"/>
  <c r="CX870" i="10"/>
  <c r="Z870" i="10" s="1"/>
  <c r="BX875" i="10"/>
  <c r="BY875" i="10" s="1"/>
  <c r="BF880" i="10"/>
  <c r="BP880" i="10" s="1"/>
  <c r="BQ880" i="10" s="1"/>
  <c r="CU820" i="10"/>
  <c r="CM820" i="10"/>
  <c r="CE820" i="10"/>
  <c r="CQ820" i="10"/>
  <c r="CR820" i="10" s="1" a="1"/>
  <c r="CR820" i="10" s="1"/>
  <c r="BP822" i="10"/>
  <c r="BQ822" i="10" s="1"/>
  <c r="BV822" i="10" s="1" a="1"/>
  <c r="BV822" i="10" s="1"/>
  <c r="BL822" i="10"/>
  <c r="BM822" i="10" s="1"/>
  <c r="BN822" i="10" s="1" a="1"/>
  <c r="BN822" i="10" s="1"/>
  <c r="BT833" i="10"/>
  <c r="BU833" i="10" s="1"/>
  <c r="BV833" i="10" s="1" a="1"/>
  <c r="BV833" i="10" s="1"/>
  <c r="CL848" i="10"/>
  <c r="CM848" i="10" s="1"/>
  <c r="CN848" i="10" s="1" a="1"/>
  <c r="CN848" i="10" s="1"/>
  <c r="CT869" i="10"/>
  <c r="CU869" i="10" s="1"/>
  <c r="BP877" i="10"/>
  <c r="BQ877" i="10" s="1"/>
  <c r="CH840" i="10"/>
  <c r="CI840" i="10" s="1"/>
  <c r="CJ840" i="10" s="1" a="1"/>
  <c r="CJ840" i="10" s="1"/>
  <c r="CP848" i="10"/>
  <c r="CQ848" i="10" s="1"/>
  <c r="CH856" i="10"/>
  <c r="CI856" i="10" s="1"/>
  <c r="CJ856" i="10" s="1" a="1"/>
  <c r="CJ856" i="10" s="1"/>
  <c r="CH860" i="10"/>
  <c r="CI860" i="10" s="1"/>
  <c r="CJ860" i="10" s="1" a="1"/>
  <c r="CJ860" i="10" s="1"/>
  <c r="CH884" i="10"/>
  <c r="CI884" i="10" s="1"/>
  <c r="CJ884" i="10" s="1" a="1"/>
  <c r="CJ884" i="10" s="1"/>
  <c r="BL884" i="10"/>
  <c r="CL884" i="10"/>
  <c r="CM884" i="10" s="1"/>
  <c r="CR884" i="10" s="1" a="1"/>
  <c r="CR884" i="10" s="1"/>
  <c r="CW829" i="10" a="1"/>
  <c r="CW829" i="10" s="1"/>
  <c r="CX829" i="10" s="1"/>
  <c r="Z829" i="10" s="1"/>
  <c r="BX861" i="10"/>
  <c r="BY861" i="10" s="1"/>
  <c r="BN863" i="10" a="1"/>
  <c r="BN863" i="10" s="1"/>
  <c r="BX902" i="10"/>
  <c r="BY902" i="10" s="1"/>
  <c r="CP913" i="10"/>
  <c r="CQ913" i="10" s="1"/>
  <c r="CR913" i="10" s="1" a="1"/>
  <c r="CR913" i="10" s="1"/>
  <c r="BT936" i="10"/>
  <c r="BU936" i="10" s="1"/>
  <c r="BV936" i="10" s="1" a="1"/>
  <c r="BV936" i="10" s="1"/>
  <c r="CL872" i="10"/>
  <c r="CM872" i="10" s="1"/>
  <c r="CN872" i="10" s="1" a="1"/>
  <c r="CN872" i="10" s="1"/>
  <c r="BP881" i="10"/>
  <c r="BQ881" i="10" s="1"/>
  <c r="BR881" i="10" s="1" a="1"/>
  <c r="BR881" i="10" s="1"/>
  <c r="CP891" i="10"/>
  <c r="CQ891" i="10" s="1"/>
  <c r="CR891" i="10" s="1" a="1"/>
  <c r="CR891" i="10" s="1"/>
  <c r="CR850" i="10" a="1"/>
  <c r="CR850" i="10" s="1"/>
  <c r="CX850" i="10" s="1"/>
  <c r="Z850" i="10" s="1"/>
  <c r="CE899" i="10"/>
  <c r="CH899" i="10" s="1"/>
  <c r="CI899" i="10"/>
  <c r="CJ899" i="10" s="1" a="1"/>
  <c r="CJ899" i="10" s="1"/>
  <c r="BT919" i="10"/>
  <c r="BU919" i="10" s="1"/>
  <c r="BV919" i="10" s="1" a="1"/>
  <c r="BV919" i="10" s="1"/>
  <c r="BT951" i="10"/>
  <c r="BU951" i="10" s="1"/>
  <c r="BV951" i="10" s="1" a="1"/>
  <c r="BV951" i="10" s="1"/>
  <c r="CP828" i="10"/>
  <c r="CQ828" i="10" s="1"/>
  <c r="BT898" i="10"/>
  <c r="BU898" i="10" s="1"/>
  <c r="CL905" i="10"/>
  <c r="CM905" i="10" s="1"/>
  <c r="BF914" i="10"/>
  <c r="BP914" i="10" s="1"/>
  <c r="BQ914" i="10" s="1"/>
  <c r="CT918" i="10"/>
  <c r="CU918" i="10" s="1"/>
  <c r="BX929" i="10"/>
  <c r="BY929" i="10" s="1"/>
  <c r="CI933" i="10"/>
  <c r="CJ933" i="10" s="1" a="1"/>
  <c r="CJ933" i="10" s="1"/>
  <c r="CE933" i="10"/>
  <c r="CE941" i="10"/>
  <c r="CH941" i="10" s="1"/>
  <c r="CI941" i="10" s="1"/>
  <c r="CJ941" i="10" s="1" a="1"/>
  <c r="CJ941" i="10" s="1"/>
  <c r="CM941" i="10"/>
  <c r="CE949" i="10"/>
  <c r="CH949" i="10" s="1"/>
  <c r="CI949" i="10" s="1"/>
  <c r="CJ949" i="10" s="1" a="1"/>
  <c r="CJ949" i="10" s="1"/>
  <c r="BP860" i="10"/>
  <c r="BQ860" i="10" s="1"/>
  <c r="BR860" i="10" s="1" a="1"/>
  <c r="BR860" i="10" s="1"/>
  <c r="BL879" i="10"/>
  <c r="BM879" i="10" s="1"/>
  <c r="BN879" i="10" s="1" a="1"/>
  <c r="BN879" i="10" s="1"/>
  <c r="CH879" i="10"/>
  <c r="CI879" i="10" s="1"/>
  <c r="CJ879" i="10" s="1" a="1"/>
  <c r="CJ879" i="10" s="1"/>
  <c r="BV815" i="10" a="1"/>
  <c r="BV815" i="10" s="1"/>
  <c r="CP832" i="10"/>
  <c r="CQ832" i="10" s="1"/>
  <c r="CR832" i="10" s="1" a="1"/>
  <c r="CR832" i="10" s="1"/>
  <c r="BX860" i="10"/>
  <c r="CT874" i="10"/>
  <c r="CU874" i="10" s="1"/>
  <c r="BX885" i="10"/>
  <c r="BY885" i="10" s="1"/>
  <c r="CE896" i="10"/>
  <c r="CP896" i="10" s="1"/>
  <c r="CQ896" i="10" s="1"/>
  <c r="BL901" i="10"/>
  <c r="BM901" i="10" s="1"/>
  <c r="BN901" i="10" s="1" a="1"/>
  <c r="BN901" i="10" s="1"/>
  <c r="CP901" i="10"/>
  <c r="CQ901" i="10" s="1"/>
  <c r="CR901" i="10" s="1" a="1"/>
  <c r="CR901" i="10" s="1"/>
  <c r="CH901" i="10"/>
  <c r="CI901" i="10" s="1"/>
  <c r="CJ901" i="10" s="1" a="1"/>
  <c r="CJ901" i="10" s="1"/>
  <c r="CE904" i="10"/>
  <c r="CP904" i="10" s="1"/>
  <c r="CQ904" i="10" s="1"/>
  <c r="BF917" i="10"/>
  <c r="BP917" i="10" s="1"/>
  <c r="BQ917" i="10" s="1"/>
  <c r="CE920" i="10"/>
  <c r="CT920" i="10" s="1"/>
  <c r="CU920" i="10" s="1"/>
  <c r="CM920" i="10"/>
  <c r="BM933" i="10"/>
  <c r="BN933" i="10" s="1" a="1"/>
  <c r="BN933" i="10" s="1"/>
  <c r="BF933" i="10"/>
  <c r="BL933" i="10" s="1"/>
  <c r="CE944" i="10"/>
  <c r="CH944" i="10" s="1"/>
  <c r="CI944" i="10" s="1"/>
  <c r="CJ944" i="10" s="1" a="1"/>
  <c r="CJ944" i="10" s="1"/>
  <c r="BF953" i="10"/>
  <c r="BP953" i="10" s="1"/>
  <c r="BQ953" i="10" s="1"/>
  <c r="CL960" i="10"/>
  <c r="CM960" i="10" s="1"/>
  <c r="CP910" i="10"/>
  <c r="CQ910" i="10" s="1"/>
  <c r="BP927" i="10"/>
  <c r="BQ927" i="10" s="1"/>
  <c r="BF950" i="10"/>
  <c r="BP950" i="10" s="1"/>
  <c r="BQ950" i="10" s="1"/>
  <c r="CP964" i="10"/>
  <c r="CQ964" i="10" s="1"/>
  <c r="CR964" i="10" s="1" a="1"/>
  <c r="CR964" i="10" s="1"/>
  <c r="CP972" i="10"/>
  <c r="CQ972" i="10" s="1"/>
  <c r="BL903" i="10"/>
  <c r="BM903" i="10" s="1"/>
  <c r="BN903" i="10" s="1" a="1"/>
  <c r="BN903" i="10" s="1"/>
  <c r="BL907" i="10"/>
  <c r="BM907" i="10" s="1"/>
  <c r="BN907" i="10" s="1" a="1"/>
  <c r="BN907" i="10" s="1"/>
  <c r="CL919" i="10"/>
  <c r="CM919" i="10" s="1"/>
  <c r="BL931" i="10"/>
  <c r="BM931" i="10" s="1"/>
  <c r="BN931" i="10" s="1" a="1"/>
  <c r="BN931" i="10" s="1"/>
  <c r="BP955" i="10"/>
  <c r="BQ955" i="10" s="1"/>
  <c r="BF965" i="10"/>
  <c r="BL965" i="10" s="1"/>
  <c r="BM965" i="10" s="1"/>
  <c r="BN965" i="10" s="1" a="1"/>
  <c r="BN965" i="10" s="1"/>
  <c r="BT969" i="10"/>
  <c r="BU969" i="10" s="1"/>
  <c r="BV969" i="10" s="1" a="1"/>
  <c r="BV969" i="10" s="1"/>
  <c r="BP919" i="10"/>
  <c r="BQ919" i="10" s="1"/>
  <c r="BX959" i="10"/>
  <c r="BY959" i="10" s="1"/>
  <c r="BL964" i="10"/>
  <c r="BM964" i="10" s="1"/>
  <c r="CH964" i="10"/>
  <c r="CI964" i="10" s="1"/>
  <c r="CJ964" i="10" s="1" a="1"/>
  <c r="CJ964" i="10" s="1"/>
  <c r="BP968" i="10"/>
  <c r="BQ968" i="10" s="1"/>
  <c r="BR968" i="10" s="1" a="1"/>
  <c r="BR968" i="10" s="1"/>
  <c r="CH1013" i="10"/>
  <c r="CI1013" i="10" s="1"/>
  <c r="CJ1013" i="10" s="1" a="1"/>
  <c r="CJ1013" i="10" s="1"/>
  <c r="BL1013" i="10"/>
  <c r="BM1013" i="10" s="1"/>
  <c r="BN1013" i="10" s="1" a="1"/>
  <c r="BN1013" i="10" s="1"/>
  <c r="CP1017" i="10"/>
  <c r="CH955" i="10"/>
  <c r="CI955" i="10" s="1"/>
  <c r="CJ955" i="10" s="1" a="1"/>
  <c r="CJ955" i="10" s="1"/>
  <c r="BL955" i="10"/>
  <c r="BM955" i="10" s="1"/>
  <c r="BN955" i="10" s="1" a="1"/>
  <c r="BN955" i="10" s="1"/>
  <c r="CL915" i="10"/>
  <c r="CM915" i="10" s="1"/>
  <c r="CN915" i="10" s="1" a="1"/>
  <c r="CN915" i="10" s="1"/>
  <c r="CL935" i="10"/>
  <c r="CM935" i="10" s="1"/>
  <c r="CN935" i="10" s="1" a="1"/>
  <c r="CN935" i="10" s="1"/>
  <c r="BL942" i="10"/>
  <c r="BM942" i="10" s="1"/>
  <c r="BN942" i="10" s="1" a="1"/>
  <c r="BN942" i="10" s="1"/>
  <c r="BT977" i="10"/>
  <c r="BU977" i="10" s="1"/>
  <c r="BV977" i="10" s="1" a="1"/>
  <c r="BV977" i="10" s="1"/>
  <c r="CL981" i="10"/>
  <c r="BF986" i="10"/>
  <c r="BX986" i="10" s="1"/>
  <c r="BY986" i="10" s="1"/>
  <c r="CT990" i="10"/>
  <c r="CU990" i="10" s="1"/>
  <c r="CT998" i="10"/>
  <c r="CU998" i="10" s="1"/>
  <c r="BX1005" i="10"/>
  <c r="BY1005" i="10" s="1"/>
  <c r="CT1014" i="10"/>
  <c r="CU1014" i="10" s="1"/>
  <c r="CL1017" i="10"/>
  <c r="CM1017" i="10" s="1"/>
  <c r="CN1017" i="10" s="1" a="1"/>
  <c r="CN1017" i="10" s="1"/>
  <c r="BT890" i="10"/>
  <c r="BU890" i="10" s="1"/>
  <c r="BV890" i="10" s="1" a="1"/>
  <c r="BV890" i="10" s="1"/>
  <c r="BL915" i="10"/>
  <c r="BM915" i="10" s="1"/>
  <c r="BN915" i="10" s="1" a="1"/>
  <c r="BN915" i="10" s="1"/>
  <c r="CP923" i="10"/>
  <c r="CQ923" i="10" s="1"/>
  <c r="CL957" i="10"/>
  <c r="CM957" i="10" s="1"/>
  <c r="BX975" i="10"/>
  <c r="BY975" i="10" s="1"/>
  <c r="BT990" i="10"/>
  <c r="BU990" i="10" s="1"/>
  <c r="BV990" i="10" s="1" a="1"/>
  <c r="BV990" i="10" s="1"/>
  <c r="BT1018" i="10"/>
  <c r="BU1018" i="10" s="1"/>
  <c r="CT902" i="10"/>
  <c r="CU902" i="10" s="1"/>
  <c r="BL929" i="10"/>
  <c r="BX943" i="10"/>
  <c r="BY943" i="10" s="1"/>
  <c r="CL947" i="10"/>
  <c r="CM947" i="10" s="1"/>
  <c r="CN947" i="10" s="1" a="1"/>
  <c r="CN947" i="10" s="1"/>
  <c r="CT964" i="10"/>
  <c r="CU964" i="10" s="1"/>
  <c r="CT967" i="10"/>
  <c r="CU967" i="10" s="1"/>
  <c r="CI978" i="10"/>
  <c r="CJ978" i="10" s="1" a="1"/>
  <c r="CJ978" i="10" s="1"/>
  <c r="CQ978" i="10"/>
  <c r="CE978" i="10"/>
  <c r="BF1001" i="10"/>
  <c r="BL1001" i="10" s="1"/>
  <c r="BM1001" i="10" s="1"/>
  <c r="BN1001" i="10" s="1" a="1"/>
  <c r="BN1001" i="10" s="1"/>
  <c r="BQ1001" i="10"/>
  <c r="BT991" i="10"/>
  <c r="BU991" i="10" s="1"/>
  <c r="BV991" i="10" s="1" a="1"/>
  <c r="BV991" i="10" s="1"/>
  <c r="CH994" i="10"/>
  <c r="CI994" i="10" s="1"/>
  <c r="CJ994" i="10" s="1" a="1"/>
  <c r="CJ994" i="10" s="1"/>
  <c r="BL962" i="10"/>
  <c r="BM962" i="10" s="1"/>
  <c r="BP993" i="10"/>
  <c r="BT999" i="10"/>
  <c r="BU999" i="10" s="1"/>
  <c r="BV999" i="10" s="1" a="1"/>
  <c r="BV999" i="10" s="1"/>
  <c r="CP1010" i="10"/>
  <c r="CQ1010" i="10" s="1"/>
  <c r="BL1014" i="10"/>
  <c r="BM1014" i="10" s="1"/>
  <c r="BN1014" i="10" s="1" a="1"/>
  <c r="BN1014" i="10" s="1"/>
  <c r="CP996" i="10"/>
  <c r="CQ996" i="10" s="1"/>
  <c r="CR996" i="10" s="1" a="1"/>
  <c r="CR996" i="10" s="1"/>
  <c r="CP1000" i="10"/>
  <c r="CQ1000" i="10" s="1"/>
  <c r="CR1000" i="10" s="1" a="1"/>
  <c r="CR1000" i="10" s="1"/>
  <c r="CP1004" i="10"/>
  <c r="CQ1004" i="10" s="1"/>
  <c r="CR1004" i="10" s="1" a="1"/>
  <c r="CR1004" i="10" s="1"/>
  <c r="BX1012" i="10"/>
  <c r="BY1012" i="10" s="1"/>
  <c r="BX987" i="10"/>
  <c r="BY987" i="10" s="1"/>
  <c r="BL999" i="10"/>
  <c r="BM999" i="10" s="1"/>
  <c r="BN999" i="10" s="1" a="1"/>
  <c r="BN999" i="10" s="1"/>
  <c r="CL1002" i="10"/>
  <c r="CM1002" i="10" s="1"/>
  <c r="CN1002" i="10" s="1" a="1"/>
  <c r="CN1002" i="10" s="1"/>
  <c r="CT1004" i="10"/>
  <c r="CU1004" i="10" s="1"/>
  <c r="CH1010" i="10"/>
  <c r="CI1010" i="10" s="1"/>
  <c r="CJ1010" i="10" s="1" a="1"/>
  <c r="CJ1010" i="10" s="1"/>
  <c r="BP1015" i="10"/>
  <c r="BQ1015" i="10" s="1"/>
  <c r="BR1015" i="10" s="1" a="1"/>
  <c r="BR1015" i="10" s="1"/>
  <c r="BT983" i="10"/>
  <c r="BU983" i="10" s="1"/>
  <c r="BV983" i="10" s="1" a="1"/>
  <c r="BV983" i="10" s="1"/>
  <c r="CH986" i="10"/>
  <c r="CI986" i="10" s="1"/>
  <c r="CJ986" i="10" s="1" a="1"/>
  <c r="CJ986" i="10" s="1"/>
  <c r="CP1018" i="10"/>
  <c r="CQ1018" i="10" s="1"/>
  <c r="CV1018" i="10" s="1" a="1"/>
  <c r="CV1018" i="10" s="1"/>
  <c r="BT1020" i="10"/>
  <c r="BU1020" i="10" s="1"/>
  <c r="BL983" i="10"/>
  <c r="BM983" i="10" s="1"/>
  <c r="BN983" i="10" s="1" a="1"/>
  <c r="BN983" i="10" s="1"/>
  <c r="CT1003" i="10"/>
  <c r="CU1003" i="10" s="1"/>
  <c r="BL980" i="10"/>
  <c r="BM980" i="10" s="1"/>
  <c r="BN980" i="10" s="1" a="1"/>
  <c r="BN980" i="10" s="1"/>
  <c r="BT995" i="10"/>
  <c r="BU995" i="10" s="1"/>
  <c r="CH1000" i="10"/>
  <c r="CI1000" i="10" s="1"/>
  <c r="CJ1000" i="10" s="1" a="1"/>
  <c r="CJ1000" i="10" s="1"/>
  <c r="BX1004" i="10"/>
  <c r="BY1004" i="10" s="1"/>
  <c r="BP1010" i="10"/>
  <c r="BQ1010" i="10" s="1"/>
  <c r="CH1015" i="10"/>
  <c r="CI1015" i="10" s="1"/>
  <c r="CJ1015" i="10" s="1" a="1"/>
  <c r="CJ1015" i="10" s="1"/>
  <c r="BF798" i="10"/>
  <c r="BX798" i="10" s="1"/>
  <c r="BY798" i="10" s="1"/>
  <c r="CV745" i="10" a="1"/>
  <c r="CV745" i="10" s="1"/>
  <c r="CT755" i="10"/>
  <c r="CU755" i="10" s="1"/>
  <c r="BT755" i="10"/>
  <c r="BU755" i="10" s="1"/>
  <c r="BV755" i="10" s="1" a="1"/>
  <c r="BV755" i="10" s="1"/>
  <c r="CH755" i="10"/>
  <c r="CI755" i="10" s="1"/>
  <c r="CJ755" i="10" s="1" a="1"/>
  <c r="CJ755" i="10" s="1"/>
  <c r="BL755" i="10"/>
  <c r="BM755" i="10" s="1"/>
  <c r="BN755" i="10" s="1" a="1"/>
  <c r="BN755" i="10" s="1"/>
  <c r="CL755" i="10"/>
  <c r="CM755" i="10" s="1"/>
  <c r="BX755" i="10"/>
  <c r="BY755" i="10" s="1"/>
  <c r="CP685" i="10"/>
  <c r="CT697" i="10"/>
  <c r="CU697" i="10" s="1"/>
  <c r="CP735" i="10"/>
  <c r="CQ735" i="10" s="1"/>
  <c r="BL754" i="10"/>
  <c r="BM754" i="10" s="1"/>
  <c r="BN754" i="10" s="1" a="1"/>
  <c r="BN754" i="10" s="1"/>
  <c r="CH754" i="10"/>
  <c r="CI754" i="10" s="1"/>
  <c r="CJ754" i="10" s="1" a="1"/>
  <c r="CJ754" i="10" s="1"/>
  <c r="BP754" i="10"/>
  <c r="BQ754" i="10" s="1"/>
  <c r="CP784" i="10"/>
  <c r="CQ792" i="10"/>
  <c r="CE792" i="10"/>
  <c r="CT792" i="10" s="1"/>
  <c r="CU792" i="10" s="1"/>
  <c r="CL794" i="10"/>
  <c r="CT747" i="10"/>
  <c r="CU747" i="10" s="1"/>
  <c r="BT747" i="10"/>
  <c r="BU747" i="10" s="1"/>
  <c r="BV747" i="10" s="1" a="1"/>
  <c r="BV747" i="10" s="1"/>
  <c r="CH747" i="10"/>
  <c r="CI747" i="10" s="1"/>
  <c r="CJ747" i="10" s="1" a="1"/>
  <c r="CJ747" i="10" s="1"/>
  <c r="BL747" i="10"/>
  <c r="BM747" i="10" s="1"/>
  <c r="BN747" i="10" s="1" a="1"/>
  <c r="BN747" i="10" s="1"/>
  <c r="BX747" i="10"/>
  <c r="BY747" i="10" s="1"/>
  <c r="CT778" i="10"/>
  <c r="CU778" i="10" s="1"/>
  <c r="BX804" i="10"/>
  <c r="BY804" i="10" s="1"/>
  <c r="CL808" i="10"/>
  <c r="CM808" i="10" s="1"/>
  <c r="CN808" i="10" s="1" a="1"/>
  <c r="CN808" i="10" s="1"/>
  <c r="BL689" i="10"/>
  <c r="BM689" i="10" s="1"/>
  <c r="BN689" i="10" s="1" a="1"/>
  <c r="BN689" i="10" s="1"/>
  <c r="CH689" i="10"/>
  <c r="CI689" i="10" s="1"/>
  <c r="CJ689" i="10" s="1" a="1"/>
  <c r="CJ689" i="10" s="1"/>
  <c r="CE689" i="10"/>
  <c r="CT689" i="10" s="1"/>
  <c r="CU689" i="10" s="1"/>
  <c r="CT767" i="10"/>
  <c r="CU767" i="10" s="1"/>
  <c r="BT767" i="10"/>
  <c r="BU767" i="10" s="1"/>
  <c r="BV767" i="10" s="1" a="1"/>
  <c r="BV767" i="10" s="1"/>
  <c r="CH767" i="10"/>
  <c r="CI767" i="10" s="1"/>
  <c r="CJ767" i="10" s="1" a="1"/>
  <c r="CJ767" i="10" s="1"/>
  <c r="BL767" i="10"/>
  <c r="BM767" i="10" s="1"/>
  <c r="CL774" i="10"/>
  <c r="BF774" i="10"/>
  <c r="BL774" i="10" s="1"/>
  <c r="BM774" i="10" s="1"/>
  <c r="BN774" i="10" s="1" a="1"/>
  <c r="BN774" i="10" s="1"/>
  <c r="CL745" i="10"/>
  <c r="CM745" i="10" s="1"/>
  <c r="CN745" i="10" s="1" a="1"/>
  <c r="CN745" i="10" s="1"/>
  <c r="CT859" i="10"/>
  <c r="CU859" i="10" s="1"/>
  <c r="BX770" i="10"/>
  <c r="BY770" i="10" s="1"/>
  <c r="BP766" i="10"/>
  <c r="BQ766" i="10" s="1"/>
  <c r="BR766" i="10" s="1" a="1"/>
  <c r="BR766" i="10" s="1"/>
  <c r="BT804" i="10"/>
  <c r="BU804" i="10" s="1"/>
  <c r="BV804" i="10" s="1" a="1"/>
  <c r="BV804" i="10" s="1"/>
  <c r="BX807" i="10"/>
  <c r="BY807" i="10" s="1"/>
  <c r="BL839" i="10"/>
  <c r="BM839" i="10" s="1"/>
  <c r="BN839" i="10" s="1" a="1"/>
  <c r="BN839" i="10" s="1"/>
  <c r="CH839" i="10"/>
  <c r="CI839" i="10" s="1"/>
  <c r="CJ839" i="10" s="1" a="1"/>
  <c r="CJ839" i="10" s="1"/>
  <c r="BP839" i="10"/>
  <c r="BQ839" i="10" s="1"/>
  <c r="BR839" i="10" s="1" a="1"/>
  <c r="BR839" i="10" s="1"/>
  <c r="CP847" i="10"/>
  <c r="CQ847" i="10" s="1"/>
  <c r="CR847" i="10" s="1" a="1"/>
  <c r="CR847" i="10" s="1"/>
  <c r="BP799" i="10"/>
  <c r="BQ799" i="10" s="1"/>
  <c r="BR799" i="10" s="1" a="1"/>
  <c r="BR799" i="10" s="1"/>
  <c r="BF806" i="10"/>
  <c r="BL806" i="10" s="1"/>
  <c r="BM806" i="10" s="1"/>
  <c r="BN806" i="10" s="1" a="1"/>
  <c r="BN806" i="10" s="1"/>
  <c r="BX750" i="10"/>
  <c r="BY750" i="10" s="1"/>
  <c r="CL782" i="10"/>
  <c r="CJ814" i="10" a="1"/>
  <c r="CJ814" i="10" s="1"/>
  <c r="CE823" i="10"/>
  <c r="BF832" i="10"/>
  <c r="CE835" i="10"/>
  <c r="CH835" i="10" s="1"/>
  <c r="CI835" i="10" s="1"/>
  <c r="CJ835" i="10" s="1" a="1"/>
  <c r="CJ835" i="10" s="1"/>
  <c r="BX839" i="10"/>
  <c r="BY839" i="10" s="1"/>
  <c r="BF844" i="10"/>
  <c r="BL844" i="10" s="1"/>
  <c r="BM844" i="10" s="1"/>
  <c r="BN844" i="10" s="1" a="1"/>
  <c r="BN844" i="10" s="1"/>
  <c r="CE851" i="10"/>
  <c r="CT851" i="10" s="1"/>
  <c r="CU851" i="10" s="1"/>
  <c r="BF856" i="10"/>
  <c r="BL856" i="10" s="1"/>
  <c r="BM856" i="10" s="1"/>
  <c r="BN856" i="10" s="1" a="1"/>
  <c r="BN856" i="10" s="1"/>
  <c r="CX866" i="10"/>
  <c r="Z866" i="10" s="1"/>
  <c r="BX871" i="10"/>
  <c r="BY871" i="10" s="1"/>
  <c r="CE875" i="10"/>
  <c r="CT875" i="10" s="1"/>
  <c r="CU875" i="10" s="1"/>
  <c r="CL686" i="10"/>
  <c r="CM686" i="10" s="1"/>
  <c r="CN686" i="10" s="1" a="1"/>
  <c r="CN686" i="10" s="1"/>
  <c r="BX820" i="10"/>
  <c r="BY820" i="10" s="1"/>
  <c r="BP845" i="10"/>
  <c r="BQ845" i="10" s="1"/>
  <c r="BR845" i="10" s="1" a="1"/>
  <c r="BR845" i="10" s="1"/>
  <c r="BX845" i="10"/>
  <c r="BY845" i="10" s="1"/>
  <c r="CL845" i="10"/>
  <c r="CM845" i="10" s="1"/>
  <c r="BL845" i="10"/>
  <c r="BM845" i="10" s="1"/>
  <c r="BN845" i="10" s="1" a="1"/>
  <c r="BN845" i="10" s="1"/>
  <c r="CH845" i="10"/>
  <c r="CI845" i="10" s="1"/>
  <c r="CJ845" i="10" s="1" a="1"/>
  <c r="CJ845" i="10" s="1"/>
  <c r="CP865" i="10"/>
  <c r="CQ865" i="10" s="1"/>
  <c r="CR865" i="10" s="1" a="1"/>
  <c r="CR865" i="10" s="1"/>
  <c r="BP865" i="10"/>
  <c r="BQ865" i="10" s="1"/>
  <c r="BV865" i="10" s="1" a="1"/>
  <c r="BV865" i="10" s="1"/>
  <c r="BL865" i="10"/>
  <c r="BM865" i="10" s="1"/>
  <c r="BN865" i="10" s="1" a="1"/>
  <c r="BN865" i="10" s="1"/>
  <c r="CH865" i="10"/>
  <c r="CI865" i="10" s="1"/>
  <c r="CJ865" i="10" s="1" a="1"/>
  <c r="CJ865" i="10" s="1"/>
  <c r="BT849" i="10"/>
  <c r="BU849" i="10" s="1"/>
  <c r="CL877" i="10"/>
  <c r="CM877" i="10" s="1"/>
  <c r="CN877" i="10" s="1" a="1"/>
  <c r="CN877" i="10" s="1"/>
  <c r="BP825" i="10"/>
  <c r="BQ825" i="10" s="1"/>
  <c r="BR825" i="10" s="1" a="1"/>
  <c r="BR825" i="10" s="1"/>
  <c r="BX829" i="10"/>
  <c r="BY829" i="10" s="1"/>
  <c r="BT844" i="10"/>
  <c r="BU844" i="10" s="1"/>
  <c r="BL883" i="10"/>
  <c r="BM883" i="10" s="1"/>
  <c r="BN883" i="10" s="1" a="1"/>
  <c r="BN883" i="10" s="1"/>
  <c r="CV886" i="10" a="1"/>
  <c r="CV886" i="10" s="1"/>
  <c r="CP887" i="10"/>
  <c r="CQ887" i="10" s="1"/>
  <c r="CR887" i="10" s="1" a="1"/>
  <c r="CR887" i="10" s="1"/>
  <c r="BT924" i="10"/>
  <c r="BU924" i="10" s="1"/>
  <c r="BV924" i="10" s="1" a="1"/>
  <c r="BV924" i="10" s="1"/>
  <c r="BT928" i="10"/>
  <c r="BU928" i="10" s="1"/>
  <c r="BT932" i="10"/>
  <c r="BU932" i="10" s="1"/>
  <c r="BV932" i="10" s="1" a="1"/>
  <c r="BV932" i="10" s="1"/>
  <c r="CP821" i="10"/>
  <c r="CQ821" i="10" s="1"/>
  <c r="CR821" i="10" s="1" a="1"/>
  <c r="CR821" i="10" s="1"/>
  <c r="BT873" i="10"/>
  <c r="BU873" i="10" s="1"/>
  <c r="BV873" i="10" s="1" a="1"/>
  <c r="BV873" i="10" s="1"/>
  <c r="BX877" i="10"/>
  <c r="BY877" i="10" s="1"/>
  <c r="BL891" i="10"/>
  <c r="BM891" i="10" s="1"/>
  <c r="BN891" i="10" s="1" a="1"/>
  <c r="BN891" i="10" s="1"/>
  <c r="CH891" i="10"/>
  <c r="CI891" i="10" s="1"/>
  <c r="CJ891" i="10" s="1" a="1"/>
  <c r="CJ891" i="10" s="1"/>
  <c r="CH893" i="10"/>
  <c r="CI893" i="10" s="1"/>
  <c r="CJ893" i="10" s="1" a="1"/>
  <c r="CJ893" i="10" s="1"/>
  <c r="BL893" i="10"/>
  <c r="BM893" i="10" s="1"/>
  <c r="BN893" i="10" s="1" a="1"/>
  <c r="BN893" i="10" s="1"/>
  <c r="CT893" i="10"/>
  <c r="CU893" i="10" s="1"/>
  <c r="BX914" i="10"/>
  <c r="BY914" i="10" s="1"/>
  <c r="CW838" i="10" a="1"/>
  <c r="CW838" i="10" s="1"/>
  <c r="CX838" i="10" s="1"/>
  <c r="Z838" i="10" s="1"/>
  <c r="BL894" i="10"/>
  <c r="BM894" i="10" s="1"/>
  <c r="BN894" i="10" s="1" a="1"/>
  <c r="BN894" i="10" s="1"/>
  <c r="BT923" i="10"/>
  <c r="BU923" i="10" s="1"/>
  <c r="BV923" i="10" s="1" a="1"/>
  <c r="BV923" i="10" s="1"/>
  <c r="BT947" i="10"/>
  <c r="BU947" i="10" s="1"/>
  <c r="BV947" i="10" s="1" a="1"/>
  <c r="BV947" i="10" s="1"/>
  <c r="BT963" i="10"/>
  <c r="BU963" i="10" s="1"/>
  <c r="BV963" i="10" s="1" a="1"/>
  <c r="BV963" i="10" s="1"/>
  <c r="BT971" i="10"/>
  <c r="BU971" i="10" s="1"/>
  <c r="BV971" i="10" s="1" a="1"/>
  <c r="BV971" i="10" s="1"/>
  <c r="BT881" i="10"/>
  <c r="BU881" i="10" s="1"/>
  <c r="BV881" i="10" s="1" a="1"/>
  <c r="BV881" i="10" s="1"/>
  <c r="BF910" i="10"/>
  <c r="BL910" i="10" s="1"/>
  <c r="BM910" i="10" s="1"/>
  <c r="BN910" i="10" s="1" a="1"/>
  <c r="BN910" i="10" s="1"/>
  <c r="CE929" i="10"/>
  <c r="CH929" i="10" s="1"/>
  <c r="CI929" i="10" s="1"/>
  <c r="CJ929" i="10" s="1" a="1"/>
  <c r="CJ929" i="10" s="1"/>
  <c r="CM929" i="10"/>
  <c r="CL933" i="10"/>
  <c r="CM933" i="10" s="1"/>
  <c r="CN933" i="10" s="1" a="1"/>
  <c r="CN933" i="10" s="1"/>
  <c r="CL941" i="10"/>
  <c r="CL949" i="10"/>
  <c r="CM949" i="10" s="1"/>
  <c r="CW826" i="10" a="1"/>
  <c r="CW826" i="10" s="1"/>
  <c r="CX826" i="10" s="1"/>
  <c r="Z826" i="10" s="1"/>
  <c r="CL865" i="10"/>
  <c r="CM865" i="10" s="1"/>
  <c r="CN865" i="10" s="1" a="1"/>
  <c r="CN865" i="10" s="1"/>
  <c r="CP878" i="10"/>
  <c r="CQ878" i="10" s="1"/>
  <c r="CP963" i="10"/>
  <c r="CQ963" i="10" s="1"/>
  <c r="CR963" i="10" s="1" a="1"/>
  <c r="CR963" i="10" s="1"/>
  <c r="BT827" i="10"/>
  <c r="BU827" i="10" s="1"/>
  <c r="BV827" i="10" s="1" a="1"/>
  <c r="BV827" i="10" s="1"/>
  <c r="CT861" i="10"/>
  <c r="CU861" i="10" s="1"/>
  <c r="CE892" i="10"/>
  <c r="CP892" i="10" s="1"/>
  <c r="CQ892" i="10" s="1"/>
  <c r="CL904" i="10"/>
  <c r="CM904" i="10" s="1"/>
  <c r="CT917" i="10"/>
  <c r="CU917" i="10" s="1"/>
  <c r="CL920" i="10"/>
  <c r="BX924" i="10"/>
  <c r="BY924" i="10" s="1"/>
  <c r="CT933" i="10"/>
  <c r="CU933" i="10" s="1"/>
  <c r="BX940" i="10"/>
  <c r="BY940" i="10" s="1"/>
  <c r="BF949" i="10"/>
  <c r="BT949" i="10" s="1"/>
  <c r="BU949" i="10" s="1"/>
  <c r="CH911" i="10"/>
  <c r="CI911" i="10" s="1"/>
  <c r="CJ911" i="10" s="1" a="1"/>
  <c r="CJ911" i="10" s="1"/>
  <c r="CE961" i="10"/>
  <c r="CP961" i="10" s="1"/>
  <c r="CQ961" i="10" s="1"/>
  <c r="BP903" i="10"/>
  <c r="BQ903" i="10" s="1"/>
  <c r="BR903" i="10" s="1" a="1"/>
  <c r="BR903" i="10" s="1"/>
  <c r="BP931" i="10"/>
  <c r="BQ931" i="10" s="1"/>
  <c r="CP973" i="10"/>
  <c r="CQ973" i="10" s="1"/>
  <c r="CR973" i="10" s="1" a="1"/>
  <c r="CR973" i="10" s="1"/>
  <c r="CP919" i="10"/>
  <c r="CQ919" i="10" s="1"/>
  <c r="CR919" i="10" s="1" a="1"/>
  <c r="CR919" i="10" s="1"/>
  <c r="CH960" i="10"/>
  <c r="CI960" i="10" s="1"/>
  <c r="CJ960" i="10" s="1" a="1"/>
  <c r="CJ960" i="10" s="1"/>
  <c r="BP964" i="10"/>
  <c r="BQ964" i="10" s="1"/>
  <c r="CH974" i="10"/>
  <c r="BL974" i="10"/>
  <c r="BM974" i="10" s="1"/>
  <c r="BN974" i="10" s="1" a="1"/>
  <c r="BN974" i="10" s="1"/>
  <c r="CH981" i="10"/>
  <c r="CI981" i="10" s="1"/>
  <c r="CJ981" i="10" s="1" a="1"/>
  <c r="CJ981" i="10" s="1"/>
  <c r="BL981" i="10"/>
  <c r="BM981" i="10" s="1"/>
  <c r="BN981" i="10" s="1" a="1"/>
  <c r="BN981" i="10" s="1"/>
  <c r="CH989" i="10"/>
  <c r="CI989" i="10" s="1"/>
  <c r="CJ989" i="10" s="1" a="1"/>
  <c r="CJ989" i="10" s="1"/>
  <c r="BL989" i="10"/>
  <c r="BM989" i="10" s="1"/>
  <c r="BN989" i="10" s="1" a="1"/>
  <c r="BN989" i="10" s="1"/>
  <c r="CH997" i="10"/>
  <c r="CI997" i="10" s="1"/>
  <c r="CJ997" i="10" s="1" a="1"/>
  <c r="CJ997" i="10" s="1"/>
  <c r="BL1009" i="10"/>
  <c r="BM1009" i="10" s="1"/>
  <c r="BN1009" i="10" s="1" a="1"/>
  <c r="BN1009" i="10" s="1"/>
  <c r="CP1013" i="10"/>
  <c r="BP1017" i="10"/>
  <c r="BP929" i="10"/>
  <c r="BQ929" i="10" s="1"/>
  <c r="BR929" i="10" s="1" a="1"/>
  <c r="BR929" i="10" s="1"/>
  <c r="CL971" i="10"/>
  <c r="CM971" i="10" s="1"/>
  <c r="BF982" i="10"/>
  <c r="BL982" i="10" s="1"/>
  <c r="BM982" i="10" s="1"/>
  <c r="BN982" i="10" s="1" a="1"/>
  <c r="BN982" i="10" s="1"/>
  <c r="CT986" i="10"/>
  <c r="CU986" i="10" s="1"/>
  <c r="BF1002" i="10"/>
  <c r="BX1002" i="10" s="1"/>
  <c r="BY1002" i="10" s="1"/>
  <c r="CE1005" i="10"/>
  <c r="CT1005" i="10" s="1"/>
  <c r="CU1005" i="10" s="1"/>
  <c r="BF1018" i="10"/>
  <c r="BL1018" i="10" s="1"/>
  <c r="BM1018" i="10" s="1"/>
  <c r="BN1018" i="10" s="1" a="1"/>
  <c r="BN1018" i="10" s="1"/>
  <c r="CI1021" i="10"/>
  <c r="CJ1021" i="10" s="1" a="1"/>
  <c r="CJ1021" i="10" s="1"/>
  <c r="CQ1021" i="10"/>
  <c r="CE1021" i="10"/>
  <c r="BX907" i="10"/>
  <c r="BY907" i="10" s="1"/>
  <c r="BP915" i="10"/>
  <c r="BQ915" i="10" s="1"/>
  <c r="BR915" i="10" s="1" a="1"/>
  <c r="BR915" i="10" s="1"/>
  <c r="CQ957" i="10"/>
  <c r="CE957" i="10"/>
  <c r="CT974" i="10"/>
  <c r="CU974" i="10" s="1"/>
  <c r="CH978" i="10"/>
  <c r="BL978" i="10"/>
  <c r="BM978" i="10" s="1"/>
  <c r="BN978" i="10" s="1" a="1"/>
  <c r="BN978" i="10" s="1"/>
  <c r="CP1011" i="10"/>
  <c r="CQ1011" i="10" s="1"/>
  <c r="CR1011" i="10" s="1" a="1"/>
  <c r="CR1011" i="10" s="1"/>
  <c r="BT894" i="10"/>
  <c r="BU894" i="10" s="1"/>
  <c r="BV894" i="10" s="1" a="1"/>
  <c r="BV894" i="10" s="1"/>
  <c r="CE970" i="10"/>
  <c r="CH970" i="10" s="1"/>
  <c r="CI970" i="10" s="1"/>
  <c r="CJ970" i="10" s="1" a="1"/>
  <c r="CJ970" i="10" s="1"/>
  <c r="BF997" i="10"/>
  <c r="BT997" i="10" s="1"/>
  <c r="BU997" i="10" s="1"/>
  <c r="CT1001" i="10"/>
  <c r="CU1001" i="10" s="1"/>
  <c r="BL994" i="10"/>
  <c r="BM994" i="10" s="1"/>
  <c r="BN994" i="10" s="1" a="1"/>
  <c r="BN994" i="10" s="1"/>
  <c r="BX1019" i="10"/>
  <c r="BY1019" i="10" s="1"/>
  <c r="BX1006" i="10"/>
  <c r="BY1006" i="10" s="1"/>
  <c r="CL1010" i="10"/>
  <c r="CM1010" i="10" s="1"/>
  <c r="BP994" i="10"/>
  <c r="CH1003" i="10"/>
  <c r="CI1003" i="10" s="1"/>
  <c r="CJ1003" i="10" s="1" a="1"/>
  <c r="CJ1003" i="10" s="1"/>
  <c r="CP1006" i="10"/>
  <c r="CQ1006" i="10" s="1"/>
  <c r="CL1016" i="10"/>
  <c r="CM1016" i="10" s="1"/>
  <c r="CN1016" i="10" s="1" a="1"/>
  <c r="CN1016" i="10" s="1"/>
  <c r="BT993" i="10"/>
  <c r="BU993" i="10" s="1"/>
  <c r="BV993" i="10" s="1" a="1"/>
  <c r="BV993" i="10" s="1"/>
  <c r="BP1000" i="10"/>
  <c r="BQ1000" i="10" s="1"/>
  <c r="CH1008" i="10"/>
  <c r="CI1008" i="10" s="1"/>
  <c r="CJ1008" i="10" s="1" a="1"/>
  <c r="CJ1008" i="10" s="1"/>
  <c r="BX1020" i="10"/>
  <c r="BY1020" i="10" s="1"/>
  <c r="BP983" i="10"/>
  <c r="BQ983" i="10" s="1"/>
  <c r="BR983" i="10" s="1" a="1"/>
  <c r="BR983" i="10" s="1"/>
  <c r="CH1002" i="10"/>
  <c r="CI1002" i="10" s="1"/>
  <c r="CJ1002" i="10" s="1" a="1"/>
  <c r="CJ1002" i="10" s="1"/>
  <c r="CL980" i="10"/>
  <c r="CM980" i="10" s="1"/>
  <c r="BT992" i="10"/>
  <c r="BU992" i="10" s="1"/>
  <c r="BV992" i="10" s="1" a="1"/>
  <c r="BV992" i="10" s="1"/>
  <c r="BT1000" i="10"/>
  <c r="BU1000" i="10" s="1"/>
  <c r="BV1000" i="10" s="1" a="1"/>
  <c r="BV1000" i="10" s="1"/>
  <c r="BX1011" i="10"/>
  <c r="BY1011" i="10" s="1"/>
  <c r="CL1015" i="10"/>
  <c r="CM1015" i="10" s="1"/>
  <c r="BP981" i="10"/>
  <c r="CH995" i="10"/>
  <c r="CI995" i="10" s="1"/>
  <c r="CJ995" i="10" s="1" a="1"/>
  <c r="CJ995" i="10" s="1"/>
  <c r="BL1015" i="10"/>
  <c r="BM1015" i="10" s="1"/>
  <c r="BN1015" i="10" s="1" a="1"/>
  <c r="BN1015" i="10" s="1"/>
  <c r="CH808" i="10"/>
  <c r="BP808" i="10"/>
  <c r="BQ808" i="10" s="1"/>
  <c r="BL808" i="10"/>
  <c r="BM808" i="10" s="1"/>
  <c r="BN808" i="10" s="1" a="1"/>
  <c r="BN808" i="10" s="1"/>
  <c r="BP664" i="10"/>
  <c r="BQ664" i="10" s="1"/>
  <c r="BR664" i="10" s="1" a="1"/>
  <c r="BR664" i="10" s="1"/>
  <c r="CE664" i="10"/>
  <c r="CL664" i="10" s="1"/>
  <c r="CM664" i="10" s="1"/>
  <c r="CH685" i="10"/>
  <c r="CI685" i="10" s="1"/>
  <c r="CJ685" i="10" s="1" a="1"/>
  <c r="CJ685" i="10" s="1"/>
  <c r="CE685" i="10"/>
  <c r="CL685" i="10" s="1"/>
  <c r="CM685" i="10" s="1"/>
  <c r="CN685" i="10" s="1" a="1"/>
  <c r="CN685" i="10" s="1"/>
  <c r="CQ685" i="10"/>
  <c r="BY697" i="10"/>
  <c r="BM697" i="10"/>
  <c r="BN697" i="10" s="1" a="1"/>
  <c r="BN697" i="10" s="1"/>
  <c r="BF697" i="10"/>
  <c r="CL709" i="10"/>
  <c r="BX735" i="10"/>
  <c r="BL742" i="10"/>
  <c r="BM742" i="10" s="1"/>
  <c r="BN742" i="10" s="1" a="1"/>
  <c r="BN742" i="10" s="1"/>
  <c r="CH742" i="10"/>
  <c r="CI742" i="10" s="1"/>
  <c r="CJ742" i="10" s="1" a="1"/>
  <c r="CJ742" i="10" s="1"/>
  <c r="BP742" i="10"/>
  <c r="BQ742" i="10" s="1"/>
  <c r="BR742" i="10" s="1" a="1"/>
  <c r="BR742" i="10" s="1"/>
  <c r="CP762" i="10"/>
  <c r="CQ762" i="10" s="1"/>
  <c r="CR762" i="10" s="1" a="1"/>
  <c r="CR762" i="10" s="1"/>
  <c r="CH784" i="10"/>
  <c r="BL784" i="10"/>
  <c r="BM784" i="10" s="1"/>
  <c r="BN784" i="10" s="1" a="1"/>
  <c r="BN784" i="10" s="1"/>
  <c r="CP786" i="10"/>
  <c r="CQ786" i="10" s="1"/>
  <c r="CR786" i="10" s="1" a="1"/>
  <c r="CR786" i="10" s="1"/>
  <c r="BL787" i="10"/>
  <c r="BM787" i="10" s="1"/>
  <c r="BN787" i="10" s="1" a="1"/>
  <c r="BN787" i="10" s="1"/>
  <c r="BX787" i="10"/>
  <c r="BY787" i="10" s="1"/>
  <c r="CH787" i="10"/>
  <c r="CI787" i="10" s="1"/>
  <c r="BT787" i="10"/>
  <c r="BU787" i="10" s="1"/>
  <c r="CE794" i="10"/>
  <c r="CT794" i="10" s="1"/>
  <c r="CU794" i="10" s="1"/>
  <c r="CM794" i="10"/>
  <c r="CE805" i="10"/>
  <c r="CL805" i="10" s="1"/>
  <c r="CM805" i="10" s="1"/>
  <c r="BP784" i="10"/>
  <c r="BQ784" i="10" s="1"/>
  <c r="BR784" i="10" s="1" a="1"/>
  <c r="BR784" i="10" s="1"/>
  <c r="CL778" i="10"/>
  <c r="CM778" i="10" s="1"/>
  <c r="CN778" i="10" s="1" a="1"/>
  <c r="CN778" i="10" s="1"/>
  <c r="BF778" i="10"/>
  <c r="BX778" i="10" s="1"/>
  <c r="BY778" i="10" s="1"/>
  <c r="BU778" i="10"/>
  <c r="CE804" i="10"/>
  <c r="CH804" i="10" s="1"/>
  <c r="CI804" i="10" s="1"/>
  <c r="CJ804" i="10" s="1" a="1"/>
  <c r="CJ804" i="10" s="1"/>
  <c r="BQ809" i="10"/>
  <c r="BF809" i="10"/>
  <c r="BX809" i="10" s="1"/>
  <c r="BY809" i="10" s="1"/>
  <c r="BX689" i="10"/>
  <c r="BY689" i="10" s="1"/>
  <c r="CE774" i="10"/>
  <c r="CT774" i="10" s="1"/>
  <c r="CU774" i="10" s="1"/>
  <c r="CM774" i="10"/>
  <c r="CP809" i="10"/>
  <c r="CQ809" i="10" s="1"/>
  <c r="CR809" i="10" s="1" a="1"/>
  <c r="CR809" i="10" s="1"/>
  <c r="CH809" i="10"/>
  <c r="CI809" i="10" s="1"/>
  <c r="CJ809" i="10" s="1" a="1"/>
  <c r="CJ809" i="10" s="1"/>
  <c r="CH813" i="10"/>
  <c r="CI813" i="10" s="1"/>
  <c r="CJ813" i="10" s="1" a="1"/>
  <c r="CJ813" i="10" s="1"/>
  <c r="CT839" i="10"/>
  <c r="CP770" i="10"/>
  <c r="CQ770" i="10" s="1"/>
  <c r="BP806" i="10"/>
  <c r="BQ806" i="10" s="1"/>
  <c r="BR806" i="10" s="1" a="1"/>
  <c r="BR806" i="10" s="1"/>
  <c r="BF790" i="10"/>
  <c r="BT790" i="10" s="1"/>
  <c r="BU790" i="10" s="1"/>
  <c r="BL831" i="10"/>
  <c r="BM831" i="10" s="1"/>
  <c r="BN831" i="10" s="1" a="1"/>
  <c r="BN831" i="10" s="1"/>
  <c r="CH831" i="10"/>
  <c r="BP831" i="10"/>
  <c r="BQ831" i="10" s="1"/>
  <c r="BV831" i="10" s="1" a="1"/>
  <c r="BV831" i="10" s="1"/>
  <c r="CP839" i="10"/>
  <c r="CQ839" i="10" s="1"/>
  <c r="CE810" i="10"/>
  <c r="CT810" i="10" s="1"/>
  <c r="CU810" i="10" s="1"/>
  <c r="BP666" i="10"/>
  <c r="BQ666" i="10" s="1"/>
  <c r="CH666" i="10"/>
  <c r="CI666" i="10" s="1"/>
  <c r="BL666" i="10"/>
  <c r="BM666" i="10" s="1"/>
  <c r="BN666" i="10" s="1" a="1"/>
  <c r="BN666" i="10" s="1"/>
  <c r="BT666" i="10"/>
  <c r="BU666" i="10" s="1"/>
  <c r="BF714" i="10"/>
  <c r="BX714" i="10" s="1"/>
  <c r="BY714" i="10" s="1"/>
  <c r="BU714" i="10"/>
  <c r="CU782" i="10"/>
  <c r="CM782" i="10"/>
  <c r="CE782" i="10"/>
  <c r="CH782" i="10" s="1"/>
  <c r="CI782" i="10" s="1"/>
  <c r="CJ782" i="10" s="1" a="1"/>
  <c r="CJ782" i="10" s="1"/>
  <c r="BP809" i="10"/>
  <c r="BL819" i="10"/>
  <c r="BM819" i="10" s="1"/>
  <c r="BN819" i="10" s="1" a="1"/>
  <c r="BN819" i="10" s="1"/>
  <c r="BT819" i="10"/>
  <c r="BU819" i="10" s="1"/>
  <c r="BP819" i="10"/>
  <c r="BQ819" i="10" s="1"/>
  <c r="CH819" i="10"/>
  <c r="CI819" i="10" s="1"/>
  <c r="CJ819" i="10" s="1" a="1"/>
  <c r="CJ819" i="10" s="1"/>
  <c r="CL823" i="10"/>
  <c r="CM823" i="10" s="1"/>
  <c r="CE839" i="10"/>
  <c r="CU839" i="10"/>
  <c r="CT844" i="10"/>
  <c r="CU844" i="10" s="1"/>
  <c r="CL851" i="10"/>
  <c r="CM851" i="10" s="1"/>
  <c r="CN851" i="10" s="1" a="1"/>
  <c r="CN851" i="10" s="1"/>
  <c r="CT856" i="10"/>
  <c r="CU856" i="10" s="1"/>
  <c r="CX862" i="10"/>
  <c r="Z862" i="10" s="1"/>
  <c r="BX867" i="10"/>
  <c r="BY867" i="10" s="1"/>
  <c r="CE871" i="10"/>
  <c r="CP871" i="10" s="1"/>
  <c r="CQ871" i="10" s="1"/>
  <c r="BF888" i="10"/>
  <c r="BY888" i="10"/>
  <c r="BT888" i="10"/>
  <c r="BU888" i="10" s="1"/>
  <c r="BV888" i="10" s="1" a="1"/>
  <c r="BV888" i="10" s="1"/>
  <c r="CP852" i="10"/>
  <c r="CQ852" i="10" s="1"/>
  <c r="CR852" i="10" s="1" a="1"/>
  <c r="CR852" i="10" s="1"/>
  <c r="BX821" i="10"/>
  <c r="BY821" i="10" s="1"/>
  <c r="BT857" i="10"/>
  <c r="BU857" i="10" s="1"/>
  <c r="BV857" i="10" s="1" a="1"/>
  <c r="BV857" i="10" s="1"/>
  <c r="BT861" i="10"/>
  <c r="BU861" i="10" s="1"/>
  <c r="BV861" i="10" s="1" a="1"/>
  <c r="BV861" i="10" s="1"/>
  <c r="BP898" i="10"/>
  <c r="BQ898" i="10" s="1"/>
  <c r="BR898" i="10" s="1" a="1"/>
  <c r="BR898" i="10" s="1"/>
  <c r="BT877" i="10"/>
  <c r="BU877" i="10" s="1"/>
  <c r="BV877" i="10" s="1" a="1"/>
  <c r="BV877" i="10" s="1"/>
  <c r="BL887" i="10"/>
  <c r="BM887" i="10" s="1"/>
  <c r="BN887" i="10" s="1" a="1"/>
  <c r="BN887" i="10" s="1"/>
  <c r="CH887" i="10"/>
  <c r="CI887" i="10" s="1"/>
  <c r="CJ887" i="10" s="1" a="1"/>
  <c r="CJ887" i="10" s="1"/>
  <c r="CH888" i="10"/>
  <c r="CI888" i="10" s="1"/>
  <c r="CJ888" i="10" s="1" a="1"/>
  <c r="CJ888" i="10" s="1"/>
  <c r="BL888" i="10"/>
  <c r="BM888" i="10" s="1"/>
  <c r="BN888" i="10" s="1" a="1"/>
  <c r="BN888" i="10" s="1"/>
  <c r="BX888" i="10"/>
  <c r="CP909" i="10"/>
  <c r="CP941" i="10"/>
  <c r="CQ941" i="10" s="1"/>
  <c r="CR941" i="10" s="1" a="1"/>
  <c r="CR941" i="10" s="1"/>
  <c r="CP949" i="10"/>
  <c r="CQ949" i="10" s="1"/>
  <c r="CR949" i="10" s="1" a="1"/>
  <c r="CR949" i="10" s="1"/>
  <c r="BT823" i="10"/>
  <c r="BU823" i="10" s="1"/>
  <c r="BV823" i="10" s="1" a="1"/>
  <c r="BV823" i="10" s="1"/>
  <c r="BP863" i="10"/>
  <c r="BQ863" i="10" s="1"/>
  <c r="BR863" i="10" s="1" a="1"/>
  <c r="BR863" i="10" s="1"/>
  <c r="BZ870" i="10" a="1"/>
  <c r="BZ870" i="10" s="1"/>
  <c r="CA870" i="10" a="1"/>
  <c r="CA870" i="10" s="1"/>
  <c r="BP879" i="10"/>
  <c r="BQ879" i="10" s="1"/>
  <c r="BR879" i="10" s="1" a="1"/>
  <c r="BR879" i="10" s="1"/>
  <c r="CT895" i="10"/>
  <c r="CE906" i="10"/>
  <c r="CP906" i="10" s="1"/>
  <c r="CQ906" i="10" s="1"/>
  <c r="CR906" i="10" s="1" a="1"/>
  <c r="CR906" i="10" s="1"/>
  <c r="CM906" i="10"/>
  <c r="CE914" i="10"/>
  <c r="CL914" i="10" s="1"/>
  <c r="CM914" i="10" s="1"/>
  <c r="CE922" i="10"/>
  <c r="CH922" i="10" s="1"/>
  <c r="CI922" i="10" s="1"/>
  <c r="CJ922" i="10" s="1" a="1"/>
  <c r="CJ922" i="10" s="1"/>
  <c r="CQ930" i="10"/>
  <c r="CE930" i="10"/>
  <c r="CH930" i="10" s="1"/>
  <c r="CI930" i="10" s="1"/>
  <c r="CJ930" i="10" s="1" a="1"/>
  <c r="CJ930" i="10" s="1"/>
  <c r="CU930" i="10"/>
  <c r="BX822" i="10"/>
  <c r="BY822" i="10" s="1"/>
  <c r="CL878" i="10"/>
  <c r="CM878" i="10" s="1"/>
  <c r="CN878" i="10" s="1" a="1"/>
  <c r="CN878" i="10" s="1"/>
  <c r="CP912" i="10"/>
  <c r="CQ912" i="10" s="1"/>
  <c r="CR912" i="10" s="1" a="1"/>
  <c r="CR912" i="10" s="1"/>
  <c r="BT927" i="10"/>
  <c r="BU927" i="10" s="1"/>
  <c r="BV927" i="10" s="1" a="1"/>
  <c r="BV927" i="10" s="1"/>
  <c r="BT935" i="10"/>
  <c r="BU935" i="10" s="1"/>
  <c r="BZ935" i="10" s="1" a="1"/>
  <c r="BZ935" i="10" s="1"/>
  <c r="BP829" i="10"/>
  <c r="BQ829" i="10" s="1"/>
  <c r="BR829" i="10" s="1" a="1"/>
  <c r="BR829" i="10" s="1"/>
  <c r="CH836" i="10"/>
  <c r="CI836" i="10" s="1"/>
  <c r="CJ836" i="10" s="1" a="1"/>
  <c r="CJ836" i="10" s="1"/>
  <c r="CN894" i="10" a="1"/>
  <c r="CN894" i="10" s="1"/>
  <c r="CX894" i="10" s="1"/>
  <c r="Z894" i="10" s="1"/>
  <c r="BQ906" i="10"/>
  <c r="BF906" i="10"/>
  <c r="BX906" i="10" s="1"/>
  <c r="BY906" i="10" s="1"/>
  <c r="CT910" i="10"/>
  <c r="CU910" i="10" s="1"/>
  <c r="CQ925" i="10"/>
  <c r="CE925" i="10"/>
  <c r="CH925" i="10" s="1"/>
  <c r="CI925" i="10" s="1"/>
  <c r="CJ925" i="10" s="1" a="1"/>
  <c r="CJ925" i="10" s="1"/>
  <c r="CL929" i="10"/>
  <c r="BX852" i="10"/>
  <c r="CP861" i="10"/>
  <c r="CQ861" i="10" s="1"/>
  <c r="CR861" i="10" s="1" a="1"/>
  <c r="CR861" i="10" s="1"/>
  <c r="CW815" i="10" a="1"/>
  <c r="CW815" i="10" s="1"/>
  <c r="CX815" i="10" s="1"/>
  <c r="Z815" i="10" s="1"/>
  <c r="BP864" i="10"/>
  <c r="BP888" i="10"/>
  <c r="BQ888" i="10" s="1"/>
  <c r="BR888" i="10" s="1" a="1"/>
  <c r="BR888" i="10" s="1"/>
  <c r="BT893" i="10"/>
  <c r="BU893" i="10" s="1"/>
  <c r="BV893" i="10" s="1" a="1"/>
  <c r="BV893" i="10" s="1"/>
  <c r="BT901" i="10"/>
  <c r="BU901" i="10" s="1"/>
  <c r="BV901" i="10" s="1" a="1"/>
  <c r="BV901" i="10" s="1"/>
  <c r="BF905" i="10"/>
  <c r="BY905" i="10"/>
  <c r="CE908" i="10"/>
  <c r="CH908" i="10" s="1"/>
  <c r="CI908" i="10" s="1"/>
  <c r="CJ908" i="10" s="1" a="1"/>
  <c r="CJ908" i="10" s="1"/>
  <c r="CM908" i="10"/>
  <c r="BF921" i="10"/>
  <c r="BL921" i="10" s="1"/>
  <c r="BM921" i="10" s="1"/>
  <c r="BN921" i="10" s="1" a="1"/>
  <c r="BN921" i="10" s="1"/>
  <c r="CE924" i="10"/>
  <c r="CT924" i="10" s="1"/>
  <c r="CU924" i="10" s="1"/>
  <c r="CE940" i="10"/>
  <c r="CP940" i="10" s="1"/>
  <c r="CQ940" i="10" s="1"/>
  <c r="BF945" i="10"/>
  <c r="BP945" i="10" s="1"/>
  <c r="BQ945" i="10" s="1"/>
  <c r="CT949" i="10"/>
  <c r="CU949" i="10" s="1"/>
  <c r="BX956" i="10"/>
  <c r="BY956" i="10" s="1"/>
  <c r="CL903" i="10"/>
  <c r="CM903" i="10" s="1"/>
  <c r="CN903" i="10" s="1" a="1"/>
  <c r="CN903" i="10" s="1"/>
  <c r="BL911" i="10"/>
  <c r="BM911" i="10" s="1"/>
  <c r="BN911" i="10" s="1" a="1"/>
  <c r="BN911" i="10" s="1"/>
  <c r="BP921" i="10"/>
  <c r="BQ921" i="10" s="1"/>
  <c r="BR921" i="10" s="1" a="1"/>
  <c r="BR921" i="10" s="1"/>
  <c r="CL931" i="10"/>
  <c r="CM931" i="10" s="1"/>
  <c r="BT964" i="10"/>
  <c r="BU964" i="10" s="1"/>
  <c r="BV964" i="10" s="1" a="1"/>
  <c r="BV964" i="10" s="1"/>
  <c r="CI968" i="10"/>
  <c r="CJ968" i="10" s="1" a="1"/>
  <c r="CJ968" i="10" s="1"/>
  <c r="CE968" i="10"/>
  <c r="CL968" i="10" s="1"/>
  <c r="CM968" i="10" s="1"/>
  <c r="CN968" i="10" s="1" a="1"/>
  <c r="CN968" i="10" s="1"/>
  <c r="CE969" i="10"/>
  <c r="CH969" i="10" s="1"/>
  <c r="CI969" i="10" s="1"/>
  <c r="CJ969" i="10" s="1" a="1"/>
  <c r="CJ969" i="10" s="1"/>
  <c r="BT972" i="10"/>
  <c r="BU972" i="10" s="1"/>
  <c r="CP903" i="10"/>
  <c r="CQ903" i="10" s="1"/>
  <c r="CT911" i="10"/>
  <c r="CU911" i="10" s="1"/>
  <c r="CP931" i="10"/>
  <c r="CQ931" i="10" s="1"/>
  <c r="CR931" i="10" s="1" a="1"/>
  <c r="CR931" i="10" s="1"/>
  <c r="CE946" i="10"/>
  <c r="CH946" i="10" s="1"/>
  <c r="CI946" i="10" s="1"/>
  <c r="CJ946" i="10" s="1" a="1"/>
  <c r="CJ946" i="10" s="1"/>
  <c r="BT961" i="10"/>
  <c r="BU961" i="10" s="1"/>
  <c r="CR976" i="10" a="1"/>
  <c r="CR976" i="10" s="1"/>
  <c r="BT921" i="10"/>
  <c r="BU921" i="10" s="1"/>
  <c r="BL926" i="10"/>
  <c r="BM926" i="10" s="1"/>
  <c r="BN926" i="10" s="1" a="1"/>
  <c r="BN926" i="10" s="1"/>
  <c r="BP948" i="10"/>
  <c r="BQ948" i="10" s="1"/>
  <c r="BR948" i="10" s="1" a="1"/>
  <c r="BR948" i="10" s="1"/>
  <c r="BL970" i="10"/>
  <c r="BM970" i="10" s="1"/>
  <c r="BR970" i="10" s="1" a="1"/>
  <c r="BR970" i="10" s="1"/>
  <c r="CP981" i="10"/>
  <c r="CQ981" i="10" s="1"/>
  <c r="CR981" i="10" s="1" a="1"/>
  <c r="CR981" i="10" s="1"/>
  <c r="CP989" i="10"/>
  <c r="CP997" i="10"/>
  <c r="CQ997" i="10" s="1"/>
  <c r="CR997" i="10" s="1" a="1"/>
  <c r="CR997" i="10" s="1"/>
  <c r="BL1005" i="10"/>
  <c r="BM1005" i="10" s="1"/>
  <c r="BN1005" i="10" s="1" a="1"/>
  <c r="BN1005" i="10" s="1"/>
  <c r="BT978" i="10"/>
  <c r="BU978" i="10" s="1"/>
  <c r="BT1007" i="10"/>
  <c r="BU1007" i="10" s="1"/>
  <c r="BV1007" i="10" s="1" a="1"/>
  <c r="BV1007" i="10" s="1"/>
  <c r="BL951" i="10"/>
  <c r="BM951" i="10" s="1"/>
  <c r="BN951" i="10" s="1" a="1"/>
  <c r="BN951" i="10" s="1"/>
  <c r="CH951" i="10"/>
  <c r="CI951" i="10" s="1"/>
  <c r="CJ951" i="10" s="1" a="1"/>
  <c r="CJ951" i="10" s="1"/>
  <c r="BP956" i="10"/>
  <c r="BQ956" i="10" s="1"/>
  <c r="BR956" i="10" s="1" a="1"/>
  <c r="BR956" i="10" s="1"/>
  <c r="BX967" i="10"/>
  <c r="BY967" i="10" s="1"/>
  <c r="BX973" i="10"/>
  <c r="BY973" i="10" s="1"/>
  <c r="CT982" i="10"/>
  <c r="CU982" i="10" s="1"/>
  <c r="CT1002" i="10"/>
  <c r="CU1002" i="10" s="1"/>
  <c r="CL1021" i="10"/>
  <c r="CM1021" i="10" s="1"/>
  <c r="CN1021" i="10" s="1" a="1"/>
  <c r="CN1021" i="10" s="1"/>
  <c r="CP915" i="10"/>
  <c r="CQ915" i="10" s="1"/>
  <c r="CR915" i="10" s="1" a="1"/>
  <c r="CR915" i="10" s="1"/>
  <c r="BP928" i="10"/>
  <c r="BQ928" i="10" s="1"/>
  <c r="BR928" i="10" s="1" a="1"/>
  <c r="BR928" i="10" s="1"/>
  <c r="BN962" i="10" a="1"/>
  <c r="BN962" i="10" s="1"/>
  <c r="CB962" i="10" s="1"/>
  <c r="S962" i="10" s="1"/>
  <c r="BP978" i="10"/>
  <c r="BQ978" i="10" s="1"/>
  <c r="BR978" i="10" s="1" a="1"/>
  <c r="BR978" i="10" s="1"/>
  <c r="CE934" i="10"/>
  <c r="CH934" i="10" s="1"/>
  <c r="CI934" i="10" s="1"/>
  <c r="CJ934" i="10" s="1" a="1"/>
  <c r="CJ934" i="10" s="1"/>
  <c r="BP959" i="10"/>
  <c r="BQ959" i="10" s="1"/>
  <c r="BR959" i="10" s="1" a="1"/>
  <c r="BR959" i="10" s="1"/>
  <c r="CT968" i="10"/>
  <c r="CU968" i="10" s="1"/>
  <c r="BF993" i="10"/>
  <c r="BQ993" i="10"/>
  <c r="CL1000" i="10"/>
  <c r="CM1000" i="10" s="1"/>
  <c r="CN1000" i="10" s="1" a="1"/>
  <c r="CN1000" i="10" s="1"/>
  <c r="CH1011" i="10"/>
  <c r="CI1011" i="10" s="1"/>
  <c r="CJ1011" i="10" s="1" a="1"/>
  <c r="CJ1011" i="10" s="1"/>
  <c r="BL1003" i="10"/>
  <c r="BM1003" i="10" s="1"/>
  <c r="BN1003" i="10" s="1" a="1"/>
  <c r="BN1003" i="10" s="1"/>
  <c r="CL1006" i="10"/>
  <c r="CM1006" i="10" s="1"/>
  <c r="CN1006" i="10" s="1" a="1"/>
  <c r="CN1006" i="10" s="1"/>
  <c r="BT1017" i="10"/>
  <c r="BU1017" i="10" s="1"/>
  <c r="BV1017" i="10" s="1" a="1"/>
  <c r="BV1017" i="10" s="1"/>
  <c r="BT1008" i="10"/>
  <c r="BU1008" i="10" s="1"/>
  <c r="BX983" i="10"/>
  <c r="BY983" i="10" s="1"/>
  <c r="BX980" i="10"/>
  <c r="BY980" i="10" s="1"/>
  <c r="BL992" i="10"/>
  <c r="BM992" i="10" s="1"/>
  <c r="BN992" i="10" s="1" a="1"/>
  <c r="BN992" i="10" s="1"/>
  <c r="BL1000" i="10"/>
  <c r="BM1000" i="10" s="1"/>
  <c r="BN1000" i="10" s="1" a="1"/>
  <c r="BN1000" i="10" s="1"/>
  <c r="BP1016" i="10"/>
  <c r="BQ1016" i="10" s="1"/>
  <c r="BR1016" i="10" s="1" a="1"/>
  <c r="BR1016" i="10" s="1"/>
  <c r="BL995" i="10"/>
  <c r="BM995" i="10" s="1"/>
  <c r="BN995" i="10" s="1" a="1"/>
  <c r="BN995" i="10" s="1"/>
  <c r="BF725" i="10"/>
  <c r="BT725" i="10" s="1"/>
  <c r="BU725" i="10" s="1"/>
  <c r="BT758" i="10"/>
  <c r="BU758" i="10" s="1"/>
  <c r="BV758" i="10" s="1" a="1"/>
  <c r="BV758" i="10" s="1"/>
  <c r="CP808" i="10"/>
  <c r="CQ808" i="10" s="1"/>
  <c r="CR808" i="10" s="1" a="1"/>
  <c r="CR808" i="10" s="1"/>
  <c r="CP664" i="10"/>
  <c r="CQ664" i="10" s="1"/>
  <c r="CR664" i="10" s="1" a="1"/>
  <c r="CR664" i="10" s="1"/>
  <c r="CE709" i="10"/>
  <c r="CP709" i="10" s="1"/>
  <c r="CQ709" i="10" s="1"/>
  <c r="CR709" i="10" s="1" a="1"/>
  <c r="CR709" i="10" s="1"/>
  <c r="CM709" i="10"/>
  <c r="CE735" i="10"/>
  <c r="CH735" i="10" s="1"/>
  <c r="CI735" i="10" s="1"/>
  <c r="CJ735" i="10" s="1" a="1"/>
  <c r="CJ735" i="10" s="1"/>
  <c r="BP787" i="10"/>
  <c r="BQ787" i="10" s="1"/>
  <c r="BR787" i="10" s="1" a="1"/>
  <c r="BR787" i="10" s="1"/>
  <c r="CP792" i="10"/>
  <c r="BL795" i="10"/>
  <c r="BM795" i="10" s="1"/>
  <c r="BN795" i="10" s="1" a="1"/>
  <c r="BN795" i="10" s="1"/>
  <c r="BX795" i="10"/>
  <c r="BY795" i="10" s="1"/>
  <c r="CH795" i="10"/>
  <c r="CI795" i="10" s="1"/>
  <c r="BT795" i="10"/>
  <c r="BU795" i="10" s="1"/>
  <c r="BV795" i="10" s="1" a="1"/>
  <c r="BV795" i="10" s="1"/>
  <c r="CH695" i="10"/>
  <c r="CI695" i="10" s="1"/>
  <c r="CJ695" i="10" s="1" a="1"/>
  <c r="CJ695" i="10" s="1"/>
  <c r="BL695" i="10"/>
  <c r="BM695" i="10" s="1"/>
  <c r="BN695" i="10" s="1" a="1"/>
  <c r="BN695" i="10" s="1"/>
  <c r="CT763" i="10"/>
  <c r="CU763" i="10" s="1"/>
  <c r="BT763" i="10"/>
  <c r="BU763" i="10" s="1"/>
  <c r="BV763" i="10" s="1" a="1"/>
  <c r="BV763" i="10" s="1"/>
  <c r="CH763" i="10"/>
  <c r="CI763" i="10" s="1"/>
  <c r="CJ763" i="10" s="1" a="1"/>
  <c r="CJ763" i="10" s="1"/>
  <c r="BL763" i="10"/>
  <c r="BM763" i="10" s="1"/>
  <c r="BN763" i="10" s="1" a="1"/>
  <c r="BN763" i="10" s="1"/>
  <c r="BX763" i="10"/>
  <c r="BY763" i="10" s="1"/>
  <c r="CL763" i="10"/>
  <c r="CM763" i="10" s="1"/>
  <c r="CE778" i="10"/>
  <c r="CH778" i="10" s="1"/>
  <c r="CI778" i="10" s="1"/>
  <c r="CJ778" i="10" s="1" a="1"/>
  <c r="CJ778" i="10" s="1"/>
  <c r="CT787" i="10"/>
  <c r="CU787" i="10" s="1"/>
  <c r="CL804" i="10"/>
  <c r="CM804" i="10" s="1"/>
  <c r="CN804" i="10" s="1" a="1"/>
  <c r="CN804" i="10" s="1"/>
  <c r="CT809" i="10"/>
  <c r="CU809" i="10" s="1"/>
  <c r="BT689" i="10"/>
  <c r="BU689" i="10" s="1"/>
  <c r="BV689" i="10" s="1" a="1"/>
  <c r="BV689" i="10" s="1"/>
  <c r="CH699" i="10"/>
  <c r="CI699" i="10" s="1"/>
  <c r="CJ699" i="10" s="1" a="1"/>
  <c r="CJ699" i="10" s="1"/>
  <c r="BL699" i="10"/>
  <c r="BM699" i="10" s="1"/>
  <c r="BN699" i="10" s="1" a="1"/>
  <c r="BN699" i="10" s="1"/>
  <c r="CT699" i="10"/>
  <c r="CU699" i="10" s="1"/>
  <c r="BX774" i="10"/>
  <c r="BY774" i="10" s="1"/>
  <c r="BX803" i="10"/>
  <c r="BY803" i="10" s="1"/>
  <c r="CH803" i="10"/>
  <c r="CI803" i="10" s="1"/>
  <c r="CJ803" i="10" s="1" a="1"/>
  <c r="CJ803" i="10" s="1"/>
  <c r="BL803" i="10"/>
  <c r="BM803" i="10" s="1"/>
  <c r="BN803" i="10" s="1" a="1"/>
  <c r="BN803" i="10" s="1"/>
  <c r="BT803" i="10"/>
  <c r="BU803" i="10" s="1"/>
  <c r="BV803" i="10" s="1" a="1"/>
  <c r="BV803" i="10" s="1"/>
  <c r="CT808" i="10"/>
  <c r="CU808" i="10" s="1"/>
  <c r="BL816" i="10"/>
  <c r="BM816" i="10" s="1"/>
  <c r="BN816" i="10" s="1" a="1"/>
  <c r="BN816" i="10" s="1"/>
  <c r="CH816" i="10"/>
  <c r="CI816" i="10" s="1"/>
  <c r="CJ816" i="10" s="1" a="1"/>
  <c r="CJ816" i="10" s="1"/>
  <c r="BN821" i="10" a="1"/>
  <c r="BN821" i="10" s="1"/>
  <c r="CT843" i="10"/>
  <c r="CU843" i="10" s="1"/>
  <c r="CL767" i="10"/>
  <c r="CM767" i="10" s="1"/>
  <c r="CN767" i="10" s="1" a="1"/>
  <c r="CN767" i="10" s="1"/>
  <c r="CP779" i="10"/>
  <c r="CQ779" i="10" s="1"/>
  <c r="CR779" i="10" s="1" a="1"/>
  <c r="CR779" i="10" s="1"/>
  <c r="BT796" i="10"/>
  <c r="BU796" i="10" s="1"/>
  <c r="CL796" i="10"/>
  <c r="BF813" i="10"/>
  <c r="BL813" i="10" s="1"/>
  <c r="BM813" i="10" s="1"/>
  <c r="BN813" i="10" s="1" a="1"/>
  <c r="BN813" i="10" s="1"/>
  <c r="BL851" i="10"/>
  <c r="BM851" i="10" s="1"/>
  <c r="BR851" i="10" s="1" a="1"/>
  <c r="BR851" i="10" s="1"/>
  <c r="CH851" i="10"/>
  <c r="CI851" i="10" s="1"/>
  <c r="CJ851" i="10" s="1" a="1"/>
  <c r="CJ851" i="10" s="1"/>
  <c r="BL859" i="10"/>
  <c r="BM859" i="10" s="1"/>
  <c r="BN859" i="10" s="1" a="1"/>
  <c r="BN859" i="10" s="1"/>
  <c r="CH859" i="10"/>
  <c r="CI859" i="10" s="1"/>
  <c r="CJ859" i="10" s="1" a="1"/>
  <c r="CJ859" i="10" s="1"/>
  <c r="BL867" i="10"/>
  <c r="BM867" i="10" s="1"/>
  <c r="BR867" i="10" s="1" a="1"/>
  <c r="BR867" i="10" s="1"/>
  <c r="BL875" i="10"/>
  <c r="BM875" i="10" s="1"/>
  <c r="BR875" i="10" s="1" a="1"/>
  <c r="BR875" i="10" s="1"/>
  <c r="CH875" i="10"/>
  <c r="CI875" i="10" s="1"/>
  <c r="CJ875" i="10" s="1" a="1"/>
  <c r="CJ875" i="10" s="1"/>
  <c r="BT811" i="10"/>
  <c r="BU811" i="10" s="1"/>
  <c r="BV811" i="10" s="1" a="1"/>
  <c r="BV811" i="10" s="1"/>
  <c r="CH811" i="10"/>
  <c r="CI811" i="10" s="1"/>
  <c r="CJ811" i="10" s="1" a="1"/>
  <c r="CJ811" i="10" s="1"/>
  <c r="BL811" i="10"/>
  <c r="BM811" i="10" s="1"/>
  <c r="BN811" i="10" s="1" a="1"/>
  <c r="BN811" i="10" s="1"/>
  <c r="BP811" i="10"/>
  <c r="BQ811" i="10" s="1"/>
  <c r="BP820" i="10"/>
  <c r="BQ820" i="10" s="1"/>
  <c r="BR820" i="10" s="1" a="1"/>
  <c r="BR820" i="10" s="1"/>
  <c r="CE714" i="10"/>
  <c r="CT714" i="10" s="1"/>
  <c r="CU714" i="10" s="1"/>
  <c r="CL714" i="10"/>
  <c r="CM714" i="10" s="1"/>
  <c r="CN714" i="10" s="1" a="1"/>
  <c r="CN714" i="10" s="1"/>
  <c r="BX782" i="10"/>
  <c r="BY782" i="10" s="1"/>
  <c r="BX819" i="10"/>
  <c r="BY819" i="10" s="1"/>
  <c r="BF824" i="10"/>
  <c r="BX824" i="10" s="1"/>
  <c r="BY824" i="10" s="1"/>
  <c r="BF836" i="10"/>
  <c r="CL839" i="10"/>
  <c r="CM839" i="10" s="1"/>
  <c r="CN839" i="10" s="1" a="1"/>
  <c r="CN839" i="10" s="1"/>
  <c r="BX847" i="10"/>
  <c r="BY847" i="10" s="1"/>
  <c r="BF852" i="10"/>
  <c r="BP852" i="10" s="1"/>
  <c r="BQ852" i="10" s="1"/>
  <c r="BY852" i="10"/>
  <c r="BX863" i="10"/>
  <c r="BY863" i="10" s="1"/>
  <c r="CE867" i="10"/>
  <c r="CH867" i="10" s="1"/>
  <c r="CI867" i="10" s="1"/>
  <c r="CJ867" i="10" s="1" a="1"/>
  <c r="CJ867" i="10" s="1"/>
  <c r="CL871" i="10"/>
  <c r="CM871" i="10" s="1"/>
  <c r="BF876" i="10"/>
  <c r="CT695" i="10"/>
  <c r="CU695" i="10" s="1"/>
  <c r="BT820" i="10"/>
  <c r="BU820" i="10" s="1"/>
  <c r="BV820" i="10" s="1" a="1"/>
  <c r="BV820" i="10" s="1"/>
  <c r="BP826" i="10"/>
  <c r="BQ826" i="10" s="1"/>
  <c r="BP849" i="10"/>
  <c r="BQ849" i="10" s="1"/>
  <c r="BX849" i="10"/>
  <c r="BY849" i="10" s="1"/>
  <c r="BL849" i="10"/>
  <c r="BM849" i="10" s="1"/>
  <c r="BN849" i="10" s="1" a="1"/>
  <c r="BN849" i="10" s="1"/>
  <c r="CH849" i="10"/>
  <c r="CI849" i="10" s="1"/>
  <c r="CJ849" i="10" s="1" a="1"/>
  <c r="CJ849" i="10" s="1"/>
  <c r="BP853" i="10"/>
  <c r="BQ853" i="10" s="1"/>
  <c r="BR853" i="10" s="1" a="1"/>
  <c r="BR853" i="10" s="1"/>
  <c r="BL853" i="10"/>
  <c r="BM853" i="10" s="1"/>
  <c r="BN853" i="10" s="1" a="1"/>
  <c r="BN853" i="10" s="1"/>
  <c r="CH853" i="10"/>
  <c r="CI853" i="10" s="1"/>
  <c r="CJ853" i="10" s="1" a="1"/>
  <c r="CJ853" i="10" s="1"/>
  <c r="BT860" i="10"/>
  <c r="BU860" i="10" s="1"/>
  <c r="BV860" i="10" s="1" a="1"/>
  <c r="BV860" i="10" s="1"/>
  <c r="BP869" i="10"/>
  <c r="BQ869" i="10" s="1"/>
  <c r="BL869" i="10"/>
  <c r="BM869" i="10" s="1"/>
  <c r="BN869" i="10" s="1" a="1"/>
  <c r="BN869" i="10" s="1"/>
  <c r="CH869" i="10"/>
  <c r="CI869" i="10" s="1"/>
  <c r="CJ869" i="10" s="1" a="1"/>
  <c r="CJ869" i="10" s="1"/>
  <c r="BT884" i="10"/>
  <c r="BU884" i="10" s="1"/>
  <c r="BV884" i="10" s="1" a="1"/>
  <c r="BV884" i="10" s="1"/>
  <c r="CH852" i="10"/>
  <c r="CI852" i="10" s="1"/>
  <c r="CJ852" i="10" s="1" a="1"/>
  <c r="CJ852" i="10" s="1"/>
  <c r="CT865" i="10"/>
  <c r="CU865" i="10" s="1"/>
  <c r="BX889" i="10"/>
  <c r="BY889" i="10" s="1"/>
  <c r="BL837" i="10"/>
  <c r="BM837" i="10" s="1"/>
  <c r="BN837" i="10" s="1" a="1"/>
  <c r="BN837" i="10" s="1"/>
  <c r="BL864" i="10"/>
  <c r="BM864" i="10" s="1"/>
  <c r="BN864" i="10" s="1" a="1"/>
  <c r="BN864" i="10" s="1"/>
  <c r="CT877" i="10"/>
  <c r="CU877" i="10" s="1"/>
  <c r="BP891" i="10"/>
  <c r="BQ891" i="10" s="1"/>
  <c r="BR891" i="10" s="1" a="1"/>
  <c r="BR891" i="10" s="1"/>
  <c r="CP899" i="10"/>
  <c r="CQ899" i="10" s="1"/>
  <c r="CL840" i="10"/>
  <c r="CM840" i="10" s="1"/>
  <c r="CN840" i="10" s="1" a="1"/>
  <c r="CN840" i="10" s="1"/>
  <c r="CH844" i="10"/>
  <c r="CI844" i="10" s="1"/>
  <c r="CJ844" i="10" s="1" a="1"/>
  <c r="CJ844" i="10" s="1"/>
  <c r="BX865" i="10"/>
  <c r="BY865" i="10" s="1"/>
  <c r="BL868" i="10"/>
  <c r="BM868" i="10" s="1"/>
  <c r="BN868" i="10" s="1" a="1"/>
  <c r="BN868" i="10" s="1"/>
  <c r="BT891" i="10"/>
  <c r="BU891" i="10" s="1"/>
  <c r="BF895" i="10"/>
  <c r="BT895" i="10" s="1"/>
  <c r="BU895" i="10" s="1"/>
  <c r="BL900" i="10"/>
  <c r="BM900" i="10" s="1"/>
  <c r="BN900" i="10" s="1" a="1"/>
  <c r="BN900" i="10" s="1"/>
  <c r="CH900" i="10"/>
  <c r="CI900" i="10" s="1"/>
  <c r="CJ900" i="10" s="1" a="1"/>
  <c r="CJ900" i="10" s="1"/>
  <c r="CL906" i="10"/>
  <c r="CL930" i="10"/>
  <c r="CM930" i="10" s="1"/>
  <c r="CN930" i="10" s="1" a="1"/>
  <c r="CN930" i="10" s="1"/>
  <c r="CH832" i="10"/>
  <c r="CI832" i="10" s="1"/>
  <c r="CJ832" i="10" s="1" a="1"/>
  <c r="CJ832" i="10" s="1"/>
  <c r="BX869" i="10"/>
  <c r="BY869" i="10" s="1"/>
  <c r="CR898" i="10" a="1"/>
  <c r="CR898" i="10" s="1"/>
  <c r="CX898" i="10" s="1"/>
  <c r="Z898" i="10" s="1"/>
  <c r="CP916" i="10"/>
  <c r="BT931" i="10"/>
  <c r="BU931" i="10" s="1"/>
  <c r="BZ931" i="10" s="1" a="1"/>
  <c r="BZ931" i="10" s="1"/>
  <c r="CP952" i="10"/>
  <c r="CQ952" i="10" s="1"/>
  <c r="CR952" i="10" s="1" a="1"/>
  <c r="CR952" i="10" s="1"/>
  <c r="BZ878" i="10" a="1"/>
  <c r="BZ878" i="10" s="1"/>
  <c r="CA878" i="10" a="1"/>
  <c r="CA878" i="10" s="1"/>
  <c r="BN902" i="10" a="1"/>
  <c r="BN902" i="10" s="1"/>
  <c r="CT906" i="10"/>
  <c r="CU906" i="10" s="1"/>
  <c r="BX917" i="10"/>
  <c r="BY917" i="10" s="1"/>
  <c r="CE921" i="10"/>
  <c r="CL921" i="10" s="1"/>
  <c r="CM921" i="10" s="1"/>
  <c r="CL925" i="10"/>
  <c r="CM925" i="10" s="1"/>
  <c r="CN925" i="10" s="1" a="1"/>
  <c r="CN925" i="10" s="1"/>
  <c r="BX937" i="10"/>
  <c r="BY937" i="10" s="1"/>
  <c r="BX945" i="10"/>
  <c r="BY945" i="10" s="1"/>
  <c r="BX953" i="10"/>
  <c r="BY953" i="10" s="1"/>
  <c r="CH876" i="10"/>
  <c r="CI876" i="10" s="1"/>
  <c r="CJ876" i="10" s="1" a="1"/>
  <c r="CJ876" i="10" s="1"/>
  <c r="BT879" i="10"/>
  <c r="BU879" i="10" s="1"/>
  <c r="BV879" i="10" s="1" a="1"/>
  <c r="BV879" i="10" s="1"/>
  <c r="BT914" i="10"/>
  <c r="BU914" i="10" s="1"/>
  <c r="BV914" i="10" s="1" a="1"/>
  <c r="BV914" i="10" s="1"/>
  <c r="BT937" i="10"/>
  <c r="BU937" i="10" s="1"/>
  <c r="BV937" i="10" s="1" a="1"/>
  <c r="BV937" i="10" s="1"/>
  <c r="CP967" i="10"/>
  <c r="CQ967" i="10" s="1"/>
  <c r="CT853" i="10"/>
  <c r="CU853" i="10" s="1"/>
  <c r="CT905" i="10"/>
  <c r="CU905" i="10" s="1"/>
  <c r="CL908" i="10"/>
  <c r="CT921" i="10"/>
  <c r="CU921" i="10" s="1"/>
  <c r="CL924" i="10"/>
  <c r="CM924" i="10" s="1"/>
  <c r="BX928" i="10"/>
  <c r="BY928" i="10" s="1"/>
  <c r="BX936" i="10"/>
  <c r="BY936" i="10" s="1"/>
  <c r="CE956" i="10"/>
  <c r="CH956" i="10" s="1"/>
  <c r="CI956" i="10" s="1"/>
  <c r="CJ956" i="10" s="1" a="1"/>
  <c r="CJ956" i="10" s="1"/>
  <c r="CT932" i="10"/>
  <c r="BP941" i="10"/>
  <c r="BQ941" i="10" s="1"/>
  <c r="BL945" i="10"/>
  <c r="BM945" i="10" s="1"/>
  <c r="BN945" i="10" s="1" a="1"/>
  <c r="BN945" i="10" s="1"/>
  <c r="CJ974" i="10" a="1"/>
  <c r="CJ974" i="10" s="1"/>
  <c r="BP942" i="10"/>
  <c r="CT954" i="10"/>
  <c r="CU954" i="10" s="1"/>
  <c r="CP965" i="10"/>
  <c r="CQ965" i="10" s="1"/>
  <c r="CR965" i="10" s="1" a="1"/>
  <c r="CR965" i="10" s="1"/>
  <c r="BQ969" i="10"/>
  <c r="BF969" i="10"/>
  <c r="BP969" i="10" s="1"/>
  <c r="BT973" i="10"/>
  <c r="BU973" i="10" s="1"/>
  <c r="BV973" i="10" s="1" a="1"/>
  <c r="BV973" i="10" s="1"/>
  <c r="CT931" i="10"/>
  <c r="CU931" i="10" s="1"/>
  <c r="BL950" i="10"/>
  <c r="BM950" i="10" s="1"/>
  <c r="BN950" i="10" s="1" a="1"/>
  <c r="BN950" i="10" s="1"/>
  <c r="CH962" i="10"/>
  <c r="CI962" i="10" s="1"/>
  <c r="CJ962" i="10" s="1" a="1"/>
  <c r="CJ962" i="10" s="1"/>
  <c r="CH966" i="10"/>
  <c r="CI966" i="10" s="1"/>
  <c r="CJ966" i="10" s="1" a="1"/>
  <c r="CJ966" i="10" s="1"/>
  <c r="BL966" i="10"/>
  <c r="BM966" i="10" s="1"/>
  <c r="BR966" i="10" s="1" a="1"/>
  <c r="BR966" i="10" s="1"/>
  <c r="CH975" i="10"/>
  <c r="CI975" i="10" s="1"/>
  <c r="CJ975" i="10" s="1" a="1"/>
  <c r="CJ975" i="10" s="1"/>
  <c r="BL975" i="10"/>
  <c r="BM975" i="10" s="1"/>
  <c r="BN975" i="10" s="1" a="1"/>
  <c r="BN975" i="10" s="1"/>
  <c r="CE942" i="10"/>
  <c r="CL942" i="10" s="1"/>
  <c r="CM942" i="10" s="1"/>
  <c r="BT1011" i="10"/>
  <c r="BU1011" i="10" s="1"/>
  <c r="CL951" i="10"/>
  <c r="CM951" i="10" s="1"/>
  <c r="CX988" i="10"/>
  <c r="Z988" i="10" s="1"/>
  <c r="BX993" i="10"/>
  <c r="BY993" i="10" s="1"/>
  <c r="BF1006" i="10"/>
  <c r="BT1006" i="10" s="1"/>
  <c r="BU1006" i="10" s="1"/>
  <c r="BV1006" i="10" s="1" a="1"/>
  <c r="BV1006" i="10" s="1"/>
  <c r="CE1009" i="10"/>
  <c r="CH1009" i="10" s="1"/>
  <c r="CI1009" i="10" s="1"/>
  <c r="CJ1009" i="10" s="1" a="1"/>
  <c r="CJ1009" i="10" s="1"/>
  <c r="BY1022" i="10"/>
  <c r="BF1022" i="10"/>
  <c r="BT1022" i="10" s="1"/>
  <c r="BU1022" i="10" s="1"/>
  <c r="CL954" i="10"/>
  <c r="CM954" i="10" s="1"/>
  <c r="CN954" i="10" s="1" a="1"/>
  <c r="CN954" i="10" s="1"/>
  <c r="CT957" i="10"/>
  <c r="CU957" i="10" s="1"/>
  <c r="CP957" i="10"/>
  <c r="BF979" i="10"/>
  <c r="BX979" i="10" s="1"/>
  <c r="BY979" i="10" s="1"/>
  <c r="BT994" i="10"/>
  <c r="BU994" i="10" s="1"/>
  <c r="BV994" i="10" s="1" a="1"/>
  <c r="BV994" i="10" s="1"/>
  <c r="CP999" i="10"/>
  <c r="CQ999" i="10" s="1"/>
  <c r="CR999" i="10" s="1" a="1"/>
  <c r="CR999" i="10" s="1"/>
  <c r="CP1015" i="10"/>
  <c r="CQ1015" i="10" s="1"/>
  <c r="CR1015" i="10" s="1" a="1"/>
  <c r="CR1015" i="10" s="1"/>
  <c r="BT934" i="10"/>
  <c r="BU934" i="10" s="1"/>
  <c r="BV934" i="10" s="1" a="1"/>
  <c r="BV934" i="10" s="1"/>
  <c r="BX934" i="10"/>
  <c r="BY934" i="10" s="1"/>
  <c r="CT951" i="10"/>
  <c r="CU951" i="10" s="1"/>
  <c r="BT958" i="10"/>
  <c r="CI974" i="10"/>
  <c r="CQ974" i="10"/>
  <c r="CR974" i="10" s="1" a="1"/>
  <c r="CR974" i="10" s="1"/>
  <c r="CE974" i="10"/>
  <c r="CM974" i="10"/>
  <c r="BF989" i="10"/>
  <c r="BT989" i="10" s="1"/>
  <c r="BU989" i="10" s="1"/>
  <c r="BY989" i="10"/>
  <c r="CT993" i="10"/>
  <c r="BF1021" i="10"/>
  <c r="BL1021" i="10" s="1"/>
  <c r="BM1021" i="10" s="1"/>
  <c r="BN1021" i="10" s="1" a="1"/>
  <c r="BN1021" i="10" s="1"/>
  <c r="BN977" i="10" a="1"/>
  <c r="BN977" i="10" s="1"/>
  <c r="CP1020" i="10"/>
  <c r="CQ1020" i="10" s="1"/>
  <c r="CR1020" i="10" s="1" a="1"/>
  <c r="CR1020" i="10" s="1"/>
  <c r="BT1001" i="10"/>
  <c r="BU1001" i="10" s="1"/>
  <c r="BV1001" i="10" s="1" a="1"/>
  <c r="BV1001" i="10" s="1"/>
  <c r="BL1011" i="10"/>
  <c r="BM1011" i="10" s="1"/>
  <c r="BN1011" i="10" s="1" a="1"/>
  <c r="BN1011" i="10" s="1"/>
  <c r="CV984" i="10" a="1"/>
  <c r="CV984" i="10" s="1"/>
  <c r="CH1007" i="10"/>
  <c r="CI1007" i="10" s="1"/>
  <c r="CJ1007" i="10" s="1" a="1"/>
  <c r="CJ1007" i="10" s="1"/>
  <c r="CL1018" i="10"/>
  <c r="CM1018" i="10" s="1"/>
  <c r="CN1018" i="10" s="1" a="1"/>
  <c r="CN1018" i="10" s="1"/>
  <c r="CH996" i="10"/>
  <c r="CI996" i="10" s="1"/>
  <c r="CJ996" i="10" s="1" a="1"/>
  <c r="CJ996" i="10" s="1"/>
  <c r="BL1008" i="10"/>
  <c r="BM1008" i="10" s="1"/>
  <c r="BN1008" i="10" s="1" a="1"/>
  <c r="BN1008" i="10" s="1"/>
  <c r="CH1006" i="10"/>
  <c r="CI1006" i="10" s="1"/>
  <c r="CJ1006" i="10" s="1" a="1"/>
  <c r="CJ1006" i="10" s="1"/>
  <c r="BP1011" i="10"/>
  <c r="BQ1011" i="10" s="1"/>
  <c r="BR1011" i="10" s="1" a="1"/>
  <c r="BR1011" i="10" s="1"/>
  <c r="CN992" i="10" a="1"/>
  <c r="CN992" i="10" s="1"/>
  <c r="CX992" i="10" s="1"/>
  <c r="Z992" i="10" s="1"/>
  <c r="CP1012" i="10"/>
  <c r="CQ1012" i="10" s="1"/>
  <c r="CR1012" i="10" s="1" a="1"/>
  <c r="CR1012" i="10" s="1"/>
  <c r="CH1018" i="10"/>
  <c r="CI1018" i="10" s="1"/>
  <c r="CJ1018" i="10" s="1" a="1"/>
  <c r="CJ1018" i="10" s="1"/>
  <c r="BX1022" i="10"/>
  <c r="BP995" i="10"/>
  <c r="BQ995" i="10" s="1"/>
  <c r="BR995" i="10" s="1" a="1"/>
  <c r="BR995" i="10" s="1"/>
  <c r="CT758" i="10"/>
  <c r="CU758" i="10" s="1"/>
  <c r="BL682" i="10"/>
  <c r="CH682" i="10"/>
  <c r="CI682" i="10" s="1"/>
  <c r="CJ682" i="10" s="1" a="1"/>
  <c r="CJ682" i="10" s="1"/>
  <c r="BP697" i="10"/>
  <c r="BQ697" i="10" s="1"/>
  <c r="BR697" i="10" s="1" a="1"/>
  <c r="BR697" i="10" s="1"/>
  <c r="BT746" i="10"/>
  <c r="BU746" i="10" s="1"/>
  <c r="CT759" i="10"/>
  <c r="CU759" i="10" s="1"/>
  <c r="BT759" i="10"/>
  <c r="BU759" i="10" s="1"/>
  <c r="CH759" i="10"/>
  <c r="CI759" i="10" s="1"/>
  <c r="CJ759" i="10" s="1" a="1"/>
  <c r="CJ759" i="10" s="1"/>
  <c r="BL759" i="10"/>
  <c r="BM759" i="10" s="1"/>
  <c r="BN759" i="10" s="1" a="1"/>
  <c r="BN759" i="10" s="1"/>
  <c r="BL789" i="10"/>
  <c r="BM789" i="10" s="1"/>
  <c r="BN789" i="10" s="1" a="1"/>
  <c r="BN789" i="10" s="1"/>
  <c r="CH789" i="10"/>
  <c r="CI789" i="10" s="1"/>
  <c r="CJ789" i="10" s="1" a="1"/>
  <c r="CJ789" i="10" s="1"/>
  <c r="CH792" i="10"/>
  <c r="CI792" i="10" s="1"/>
  <c r="CJ792" i="10" s="1" a="1"/>
  <c r="CJ792" i="10" s="1"/>
  <c r="BL792" i="10"/>
  <c r="BM792" i="10" s="1"/>
  <c r="BN792" i="10" s="1" a="1"/>
  <c r="BN792" i="10" s="1"/>
  <c r="CP794" i="10"/>
  <c r="CQ794" i="10" s="1"/>
  <c r="CR794" i="10" s="1" a="1"/>
  <c r="CR794" i="10" s="1"/>
  <c r="CH727" i="10"/>
  <c r="CI727" i="10" s="1"/>
  <c r="CJ727" i="10" s="1" a="1"/>
  <c r="CJ727" i="10" s="1"/>
  <c r="BL727" i="10"/>
  <c r="BM727" i="10" s="1"/>
  <c r="BN727" i="10" s="1" a="1"/>
  <c r="BN727" i="10" s="1"/>
  <c r="BL746" i="10"/>
  <c r="BM746" i="10" s="1"/>
  <c r="BN746" i="10" s="1" a="1"/>
  <c r="BN746" i="10" s="1"/>
  <c r="CH746" i="10"/>
  <c r="CI746" i="10" s="1"/>
  <c r="CJ746" i="10" s="1" a="1"/>
  <c r="CJ746" i="10" s="1"/>
  <c r="BP746" i="10"/>
  <c r="BQ746" i="10" s="1"/>
  <c r="BR746" i="10" s="1" a="1"/>
  <c r="BR746" i="10" s="1"/>
  <c r="BL762" i="10"/>
  <c r="BM762" i="10" s="1"/>
  <c r="BN762" i="10" s="1" a="1"/>
  <c r="BN762" i="10" s="1"/>
  <c r="CH762" i="10"/>
  <c r="CI762" i="10" s="1"/>
  <c r="CJ762" i="10" s="1" a="1"/>
  <c r="CJ762" i="10" s="1"/>
  <c r="BT766" i="10"/>
  <c r="BU766" i="10" s="1"/>
  <c r="BV766" i="10" s="1" a="1"/>
  <c r="BV766" i="10" s="1"/>
  <c r="CT795" i="10"/>
  <c r="CU795" i="10" s="1"/>
  <c r="BF805" i="10"/>
  <c r="BX805" i="10" s="1"/>
  <c r="BY805" i="10" s="1"/>
  <c r="BX812" i="10"/>
  <c r="BY812" i="10" s="1"/>
  <c r="BF701" i="10"/>
  <c r="BL701" i="10" s="1"/>
  <c r="BM701" i="10" s="1"/>
  <c r="BN701" i="10" s="1" a="1"/>
  <c r="BN701" i="10" s="1"/>
  <c r="CH711" i="10"/>
  <c r="CI711" i="10" s="1"/>
  <c r="CJ711" i="10" s="1" a="1"/>
  <c r="CJ711" i="10" s="1"/>
  <c r="CP711" i="10"/>
  <c r="CQ711" i="10" s="1"/>
  <c r="BL711" i="10"/>
  <c r="BM711" i="10" s="1"/>
  <c r="BN711" i="10" s="1" a="1"/>
  <c r="BN711" i="10" s="1"/>
  <c r="BT792" i="10"/>
  <c r="BU792" i="10" s="1"/>
  <c r="BV792" i="10" s="1" a="1"/>
  <c r="BV792" i="10" s="1"/>
  <c r="CP802" i="10"/>
  <c r="CQ802" i="10" s="1"/>
  <c r="CR802" i="10" s="1" a="1"/>
  <c r="CR802" i="10" s="1"/>
  <c r="CT847" i="10"/>
  <c r="CU847" i="10" s="1"/>
  <c r="BF796" i="10"/>
  <c r="BX796" i="10" s="1"/>
  <c r="BY796" i="10" s="1"/>
  <c r="CI796" i="10"/>
  <c r="CU796" i="10"/>
  <c r="CM796" i="10"/>
  <c r="CE796" i="10"/>
  <c r="CP796" i="10" s="1"/>
  <c r="CQ796" i="10" s="1"/>
  <c r="CR796" i="10" s="1" a="1"/>
  <c r="CR796" i="10" s="1"/>
  <c r="BX810" i="10"/>
  <c r="BY810" i="10" s="1"/>
  <c r="BX759" i="10"/>
  <c r="BY759" i="10" s="1"/>
  <c r="BL807" i="10"/>
  <c r="BM807" i="10" s="1"/>
  <c r="BN807" i="10" s="1" a="1"/>
  <c r="BN807" i="10" s="1"/>
  <c r="BT807" i="10"/>
  <c r="BU807" i="10" s="1"/>
  <c r="CH807" i="10"/>
  <c r="CI807" i="10" s="1"/>
  <c r="CJ807" i="10" s="1" a="1"/>
  <c r="CJ807" i="10" s="1"/>
  <c r="BP807" i="10"/>
  <c r="BQ807" i="10" s="1"/>
  <c r="BR807" i="10" s="1" a="1"/>
  <c r="BR807" i="10" s="1"/>
  <c r="CL813" i="10"/>
  <c r="CM813" i="10" s="1"/>
  <c r="CN813" i="10" s="1" a="1"/>
  <c r="CN813" i="10" s="1"/>
  <c r="CE790" i="10"/>
  <c r="CT790" i="10" s="1"/>
  <c r="CU790" i="10" s="1"/>
  <c r="BL843" i="10"/>
  <c r="BM843" i="10" s="1"/>
  <c r="BN843" i="10" s="1" a="1"/>
  <c r="BN843" i="10" s="1"/>
  <c r="CH843" i="10"/>
  <c r="CI843" i="10" s="1"/>
  <c r="CJ843" i="10" s="1" a="1"/>
  <c r="CJ843" i="10" s="1"/>
  <c r="CP851" i="10"/>
  <c r="CQ851" i="10" s="1"/>
  <c r="CR851" i="10" s="1" a="1"/>
  <c r="CR851" i="10" s="1"/>
  <c r="CP859" i="10"/>
  <c r="CQ859" i="10" s="1"/>
  <c r="CR859" i="10" s="1" a="1"/>
  <c r="CR859" i="10" s="1"/>
  <c r="CP875" i="10"/>
  <c r="CQ875" i="10" s="1"/>
  <c r="CT784" i="10"/>
  <c r="CU784" i="10" s="1"/>
  <c r="BR821" i="10" a="1"/>
  <c r="BR821" i="10" s="1"/>
  <c r="BT788" i="10"/>
  <c r="BU788" i="10" s="1"/>
  <c r="BV788" i="10" s="1" a="1"/>
  <c r="BV788" i="10" s="1"/>
  <c r="CL788" i="10"/>
  <c r="CM788" i="10" s="1"/>
  <c r="CN788" i="10" s="1" a="1"/>
  <c r="CN788" i="10" s="1"/>
  <c r="CR814" i="10" a="1"/>
  <c r="CR814" i="10" s="1"/>
  <c r="BP714" i="10"/>
  <c r="BQ714" i="10" s="1"/>
  <c r="BX767" i="10"/>
  <c r="BY767" i="10" s="1"/>
  <c r="CP782" i="10"/>
  <c r="CQ782" i="10" s="1"/>
  <c r="CR782" i="10" s="1" a="1"/>
  <c r="CR782" i="10" s="1"/>
  <c r="CE827" i="10"/>
  <c r="CT827" i="10" s="1"/>
  <c r="CU827" i="10" s="1"/>
  <c r="BF840" i="10"/>
  <c r="BP840" i="10" s="1"/>
  <c r="BQ840" i="10" s="1"/>
  <c r="CE847" i="10"/>
  <c r="CI847" i="10"/>
  <c r="CJ847" i="10" s="1" a="1"/>
  <c r="CJ847" i="10" s="1"/>
  <c r="CT852" i="10"/>
  <c r="CU852" i="10" s="1"/>
  <c r="BX859" i="10"/>
  <c r="BY859" i="10" s="1"/>
  <c r="CE863" i="10"/>
  <c r="CH863" i="10" s="1"/>
  <c r="CI863" i="10" s="1"/>
  <c r="CJ863" i="10" s="1" a="1"/>
  <c r="CJ863" i="10" s="1"/>
  <c r="BF872" i="10"/>
  <c r="BP872" i="10" s="1"/>
  <c r="BQ872" i="10" s="1"/>
  <c r="CT707" i="10"/>
  <c r="CU707" i="10" s="1"/>
  <c r="BL810" i="10"/>
  <c r="BM810" i="10" s="1"/>
  <c r="BN810" i="10" s="1" a="1"/>
  <c r="BN810" i="10" s="1"/>
  <c r="CH810" i="10"/>
  <c r="CI810" i="10" s="1"/>
  <c r="CJ810" i="10" s="1" a="1"/>
  <c r="CJ810" i="10" s="1"/>
  <c r="BT880" i="10"/>
  <c r="BU880" i="10" s="1"/>
  <c r="BV880" i="10" s="1" a="1"/>
  <c r="BV880" i="10" s="1"/>
  <c r="CH889" i="10"/>
  <c r="CI889" i="10" s="1"/>
  <c r="CJ889" i="10" s="1" a="1"/>
  <c r="CJ889" i="10" s="1"/>
  <c r="BL889" i="10"/>
  <c r="BM889" i="10" s="1"/>
  <c r="BN889" i="10" s="1" a="1"/>
  <c r="BN889" i="10" s="1"/>
  <c r="CT889" i="10"/>
  <c r="CU889" i="10" s="1"/>
  <c r="BP847" i="10"/>
  <c r="BQ847" i="10" s="1"/>
  <c r="BV847" i="10" s="1" a="1"/>
  <c r="BV847" i="10" s="1"/>
  <c r="CH880" i="10"/>
  <c r="CI880" i="10" s="1"/>
  <c r="CJ880" i="10" s="1" a="1"/>
  <c r="CJ880" i="10" s="1"/>
  <c r="BL880" i="10"/>
  <c r="BM880" i="10" s="1"/>
  <c r="BN880" i="10" s="1" a="1"/>
  <c r="BN880" i="10" s="1"/>
  <c r="BX880" i="10"/>
  <c r="BY880" i="10" s="1"/>
  <c r="CL880" i="10"/>
  <c r="CM880" i="10" s="1"/>
  <c r="CN880" i="10" s="1" a="1"/>
  <c r="CN880" i="10" s="1"/>
  <c r="BT896" i="10"/>
  <c r="BU896" i="10" s="1"/>
  <c r="BV896" i="10" s="1" a="1"/>
  <c r="BV896" i="10" s="1"/>
  <c r="BT883" i="10"/>
  <c r="BU883" i="10" s="1"/>
  <c r="BT900" i="10"/>
  <c r="BU900" i="10" s="1"/>
  <c r="BV900" i="10" s="1" a="1"/>
  <c r="BV900" i="10" s="1"/>
  <c r="BX853" i="10"/>
  <c r="BY853" i="10" s="1"/>
  <c r="CH892" i="10"/>
  <c r="CI892" i="10" s="1"/>
  <c r="CJ892" i="10" s="1" a="1"/>
  <c r="CJ892" i="10" s="1"/>
  <c r="BL892" i="10"/>
  <c r="BM892" i="10" s="1"/>
  <c r="BN892" i="10" s="1" a="1"/>
  <c r="BN892" i="10" s="1"/>
  <c r="CP921" i="10"/>
  <c r="CQ921" i="10" s="1"/>
  <c r="CP925" i="10"/>
  <c r="CP929" i="10"/>
  <c r="CQ929" i="10" s="1"/>
  <c r="CR929" i="10" s="1" a="1"/>
  <c r="CR929" i="10" s="1"/>
  <c r="CP933" i="10"/>
  <c r="CQ933" i="10" s="1"/>
  <c r="CR933" i="10" s="1" a="1"/>
  <c r="CR933" i="10" s="1"/>
  <c r="CN817" i="10" a="1"/>
  <c r="CN817" i="10" s="1"/>
  <c r="CT891" i="10"/>
  <c r="CE895" i="10"/>
  <c r="CP895" i="10" s="1"/>
  <c r="CQ895" i="10" s="1"/>
  <c r="CU895" i="10"/>
  <c r="BP900" i="10"/>
  <c r="CL881" i="10"/>
  <c r="CM881" i="10" s="1"/>
  <c r="CN881" i="10" s="1" a="1"/>
  <c r="CN881" i="10" s="1"/>
  <c r="BT903" i="10"/>
  <c r="BU903" i="10" s="1"/>
  <c r="BV903" i="10" s="1" a="1"/>
  <c r="BV903" i="10" s="1"/>
  <c r="CP920" i="10"/>
  <c r="CQ920" i="10" s="1"/>
  <c r="CR920" i="10" s="1" a="1"/>
  <c r="CR920" i="10" s="1"/>
  <c r="CP936" i="10"/>
  <c r="CQ936" i="10" s="1"/>
  <c r="BT943" i="10"/>
  <c r="BU943" i="10" s="1"/>
  <c r="BV943" i="10" s="1" a="1"/>
  <c r="BV943" i="10" s="1"/>
  <c r="BT959" i="10"/>
  <c r="BU959" i="10" s="1"/>
  <c r="BV959" i="10" s="1" a="1"/>
  <c r="BV959" i="10" s="1"/>
  <c r="CP849" i="10"/>
  <c r="CQ849" i="10" s="1"/>
  <c r="CR849" i="10" s="1" a="1"/>
  <c r="CR849" i="10" s="1"/>
  <c r="CE917" i="10"/>
  <c r="CH917" i="10" s="1"/>
  <c r="CI917" i="10" s="1"/>
  <c r="CJ917" i="10" s="1" a="1"/>
  <c r="CJ917" i="10" s="1"/>
  <c r="BF930" i="10"/>
  <c r="BT930" i="10" s="1"/>
  <c r="BU930" i="10" s="1"/>
  <c r="CE937" i="10"/>
  <c r="CP937" i="10" s="1"/>
  <c r="CQ937" i="10" s="1"/>
  <c r="CE945" i="10"/>
  <c r="CT945" i="10" s="1"/>
  <c r="CU945" i="10" s="1"/>
  <c r="CE953" i="10"/>
  <c r="CP953" i="10" s="1"/>
  <c r="CQ953" i="10" s="1"/>
  <c r="CP853" i="10"/>
  <c r="CQ853" i="10" s="1"/>
  <c r="CR853" i="10" s="1" a="1"/>
  <c r="CR853" i="10" s="1"/>
  <c r="CL879" i="10"/>
  <c r="CM879" i="10" s="1"/>
  <c r="CN879" i="10" s="1" a="1"/>
  <c r="CN879" i="10" s="1"/>
  <c r="CT879" i="10"/>
  <c r="BT885" i="10"/>
  <c r="BU885" i="10" s="1"/>
  <c r="BN929" i="10" a="1"/>
  <c r="BN929" i="10" s="1"/>
  <c r="CP955" i="10"/>
  <c r="CQ955" i="10" s="1"/>
  <c r="CR955" i="10" s="1" a="1"/>
  <c r="CR955" i="10" s="1"/>
  <c r="CT878" i="10"/>
  <c r="CU878" i="10" s="1"/>
  <c r="BP899" i="10"/>
  <c r="BQ899" i="10" s="1"/>
  <c r="BR899" i="10" s="1" a="1"/>
  <c r="BR899" i="10" s="1"/>
  <c r="BF909" i="10"/>
  <c r="CE912" i="10"/>
  <c r="CT912" i="10" s="1"/>
  <c r="CU912" i="10" s="1"/>
  <c r="BF925" i="10"/>
  <c r="BP925" i="10" s="1"/>
  <c r="BQ925" i="10" s="1"/>
  <c r="CE928" i="10"/>
  <c r="CL928" i="10" s="1"/>
  <c r="CM928" i="10" s="1"/>
  <c r="CE936" i="10"/>
  <c r="CH936" i="10" s="1"/>
  <c r="CI936" i="10" s="1"/>
  <c r="CJ936" i="10" s="1" a="1"/>
  <c r="CJ936" i="10" s="1"/>
  <c r="BF941" i="10"/>
  <c r="BT941" i="10" s="1"/>
  <c r="BU941" i="10" s="1"/>
  <c r="BV941" i="10" s="1" a="1"/>
  <c r="BV941" i="10" s="1"/>
  <c r="BX952" i="10"/>
  <c r="BY952" i="10" s="1"/>
  <c r="BX958" i="10"/>
  <c r="BY958" i="10" s="1"/>
  <c r="BN964" i="10" a="1"/>
  <c r="BN964" i="10" s="1"/>
  <c r="CP968" i="10"/>
  <c r="CQ968" i="10" s="1"/>
  <c r="CR968" i="10" s="1" a="1"/>
  <c r="CR968" i="10" s="1"/>
  <c r="BN972" i="10" a="1"/>
  <c r="BN972" i="10" s="1"/>
  <c r="CP974" i="10"/>
  <c r="CL896" i="10"/>
  <c r="CM896" i="10" s="1"/>
  <c r="CT946" i="10"/>
  <c r="CU946" i="10" s="1"/>
  <c r="BF954" i="10"/>
  <c r="BP954" i="10" s="1"/>
  <c r="BQ954" i="10" s="1"/>
  <c r="CH971" i="10"/>
  <c r="CI971" i="10" s="1"/>
  <c r="CJ971" i="10" s="1" a="1"/>
  <c r="CJ971" i="10" s="1"/>
  <c r="BL971" i="10"/>
  <c r="BM971" i="10" s="1"/>
  <c r="BN971" i="10" s="1" a="1"/>
  <c r="BN971" i="10" s="1"/>
  <c r="CL901" i="10"/>
  <c r="CM901" i="10" s="1"/>
  <c r="BT942" i="10"/>
  <c r="BU942" i="10" s="1"/>
  <c r="BV942" i="10" s="1" a="1"/>
  <c r="BV942" i="10" s="1"/>
  <c r="BX942" i="10"/>
  <c r="BY942" i="10" s="1"/>
  <c r="CT975" i="10"/>
  <c r="CU975" i="10" s="1"/>
  <c r="CT943" i="10"/>
  <c r="CU943" i="10" s="1"/>
  <c r="BX966" i="10"/>
  <c r="BY966" i="10" s="1"/>
  <c r="BT1015" i="10"/>
  <c r="BU1015" i="10" s="1"/>
  <c r="BV1015" i="10" s="1" a="1"/>
  <c r="BV1015" i="10" s="1"/>
  <c r="CE938" i="10"/>
  <c r="CL938" i="10" s="1"/>
  <c r="CM938" i="10" s="1"/>
  <c r="CX984" i="10"/>
  <c r="Z984" i="10" s="1"/>
  <c r="BX989" i="10"/>
  <c r="CU993" i="10"/>
  <c r="CE993" i="10"/>
  <c r="CL993" i="10" s="1"/>
  <c r="CM993" i="10" s="1"/>
  <c r="CT1006" i="10"/>
  <c r="CU1006" i="10" s="1"/>
  <c r="BX1013" i="10"/>
  <c r="BY1013" i="10" s="1"/>
  <c r="CP935" i="10"/>
  <c r="CQ935" i="10" s="1"/>
  <c r="CR935" i="10" s="1" a="1"/>
  <c r="CR935" i="10" s="1"/>
  <c r="BF957" i="10"/>
  <c r="BL957" i="10" s="1"/>
  <c r="BM957" i="10" s="1"/>
  <c r="BN957" i="10" s="1" a="1"/>
  <c r="BN957" i="10" s="1"/>
  <c r="CH957" i="10"/>
  <c r="CI957" i="10" s="1"/>
  <c r="CJ957" i="10" s="1" a="1"/>
  <c r="CJ957" i="10" s="1"/>
  <c r="BN966" i="10" a="1"/>
  <c r="BN966" i="10" s="1"/>
  <c r="CE979" i="10"/>
  <c r="CL979" i="10" s="1"/>
  <c r="CM979" i="10" s="1"/>
  <c r="BT1010" i="10"/>
  <c r="BU1010" i="10" s="1"/>
  <c r="BV1010" i="10" s="1" a="1"/>
  <c r="BV1010" i="10" s="1"/>
  <c r="CP934" i="10"/>
  <c r="CQ934" i="10" s="1"/>
  <c r="CT972" i="10"/>
  <c r="BF985" i="10"/>
  <c r="BT985" i="10" s="1"/>
  <c r="BU985" i="10" s="1"/>
  <c r="BV985" i="10" s="1" a="1"/>
  <c r="BV985" i="10" s="1"/>
  <c r="CT989" i="10"/>
  <c r="CU989" i="10" s="1"/>
  <c r="BM1017" i="10"/>
  <c r="BN1017" i="10" s="1" a="1"/>
  <c r="BN1017" i="10" s="1"/>
  <c r="BF1017" i="10"/>
  <c r="BQ1017" i="10"/>
  <c r="BR1017" i="10" s="1" a="1"/>
  <c r="BR1017" i="10" s="1"/>
  <c r="BY1017" i="10"/>
  <c r="CT1021" i="10"/>
  <c r="CU1021" i="10" s="1"/>
  <c r="BP1006" i="10"/>
  <c r="BQ1006" i="10" s="1"/>
  <c r="BT1016" i="10"/>
  <c r="BU1016" i="10" s="1"/>
  <c r="BV1016" i="10" s="1" a="1"/>
  <c r="BV1016" i="10" s="1"/>
  <c r="BT981" i="10"/>
  <c r="BU981" i="10" s="1"/>
  <c r="BV981" i="10" s="1" a="1"/>
  <c r="BV981" i="10" s="1"/>
  <c r="CT996" i="10"/>
  <c r="CU996" i="10" s="1"/>
  <c r="BL1007" i="10"/>
  <c r="BM1007" i="10" s="1"/>
  <c r="BN1007" i="10" s="1" a="1"/>
  <c r="BN1007" i="10" s="1"/>
  <c r="BP985" i="10"/>
  <c r="BQ985" i="10" s="1"/>
  <c r="BP1001" i="10"/>
  <c r="CL966" i="10"/>
  <c r="CL88" i="10"/>
  <c r="CM88" i="10" s="1"/>
  <c r="BN85" i="10" a="1"/>
  <c r="BN85" i="10" s="1"/>
  <c r="BT30" i="10"/>
  <c r="BU30" i="10" s="1"/>
  <c r="CL106" i="10"/>
  <c r="CM106" i="10" s="1"/>
  <c r="CN106" i="10" s="1" a="1"/>
  <c r="CN106" i="10" s="1"/>
  <c r="CH53" i="10"/>
  <c r="CI53" i="10" s="1"/>
  <c r="CJ53" i="10" s="1" a="1"/>
  <c r="CJ53" i="10" s="1"/>
  <c r="CP88" i="10"/>
  <c r="CQ88" i="10" s="1"/>
  <c r="CL32" i="10"/>
  <c r="CM32" i="10" s="1"/>
  <c r="BX110" i="10"/>
  <c r="BY110" i="10" s="1"/>
  <c r="CA110" i="10" s="1" a="1"/>
  <c r="CA110" i="10" s="1"/>
  <c r="BT110" i="10"/>
  <c r="BU110" i="10" s="1"/>
  <c r="BV110" i="10" s="1" a="1"/>
  <c r="BV110" i="10" s="1"/>
  <c r="BP62" i="10"/>
  <c r="BQ62" i="10" s="1"/>
  <c r="CT71" i="10"/>
  <c r="CU71" i="10" s="1"/>
  <c r="BP115" i="10"/>
  <c r="BQ115" i="10" s="1"/>
  <c r="BP50" i="10"/>
  <c r="BQ50" i="10" s="1"/>
  <c r="BT98" i="10"/>
  <c r="BU98" i="10" s="1"/>
  <c r="BT61" i="10"/>
  <c r="BU61" i="10" s="1"/>
  <c r="CP108" i="10"/>
  <c r="CQ108" i="10" s="1"/>
  <c r="BL61" i="10"/>
  <c r="BM61" i="10" s="1"/>
  <c r="BN61" i="10" s="1" a="1"/>
  <c r="BN61" i="10" s="1"/>
  <c r="BX50" i="10"/>
  <c r="BY50" i="10" s="1"/>
  <c r="CT63" i="10"/>
  <c r="CU63" i="10" s="1"/>
  <c r="BP61" i="10"/>
  <c r="BQ61" i="10" s="1"/>
  <c r="CP25" i="10"/>
  <c r="CQ25" i="10" s="1"/>
  <c r="CT77" i="10"/>
  <c r="CU77" i="10" s="1"/>
  <c r="CW77" i="10" s="1" a="1"/>
  <c r="CW77" i="10" s="1"/>
  <c r="BX119" i="10"/>
  <c r="BY119" i="10" s="1"/>
  <c r="BX93" i="10"/>
  <c r="BY93" i="10" s="1"/>
  <c r="CA93" i="10" s="1" a="1"/>
  <c r="CA93" i="10" s="1"/>
  <c r="CP73" i="10"/>
  <c r="CQ73" i="10" s="1"/>
  <c r="CT53" i="10"/>
  <c r="CU53" i="10" s="1"/>
  <c r="CT32" i="10"/>
  <c r="CU32" i="10" s="1"/>
  <c r="CW32" i="10" s="1" a="1"/>
  <c r="CW32" i="10" s="1"/>
  <c r="CH30" i="10"/>
  <c r="CI30" i="10" s="1"/>
  <c r="CP106" i="10"/>
  <c r="CQ106" i="10" s="1"/>
  <c r="CR106" i="10" s="1" a="1"/>
  <c r="CR106" i="10" s="1"/>
  <c r="CL69" i="10"/>
  <c r="CM69" i="10" s="1"/>
  <c r="CR69" i="10" s="1" a="1"/>
  <c r="CR69" i="10" s="1"/>
  <c r="CH55" i="10"/>
  <c r="CI55" i="10" s="1"/>
  <c r="CJ55" i="10" s="1" a="1"/>
  <c r="CJ55" i="10" s="1"/>
  <c r="CL41" i="10"/>
  <c r="CM41" i="10" s="1"/>
  <c r="BL42" i="10"/>
  <c r="BM42" i="10" s="1"/>
  <c r="BN42" i="10" s="1" a="1"/>
  <c r="BN42" i="10" s="1"/>
  <c r="CL63" i="10"/>
  <c r="CM63" i="10" s="1"/>
  <c r="CT84" i="10"/>
  <c r="CU84" i="10" s="1"/>
  <c r="CH61" i="10"/>
  <c r="CI61" i="10" s="1"/>
  <c r="CJ61" i="10" s="1" a="1"/>
  <c r="CJ61" i="10" s="1"/>
  <c r="CP53" i="10"/>
  <c r="CQ53" i="10" s="1"/>
  <c r="CP37" i="10"/>
  <c r="CQ37" i="10" s="1"/>
  <c r="BT27" i="10"/>
  <c r="BU27" i="10" s="1"/>
  <c r="BL110" i="10"/>
  <c r="BM110" i="10" s="1"/>
  <c r="BN110" i="10" s="1" a="1"/>
  <c r="BN110" i="10" s="1"/>
  <c r="BP120" i="10"/>
  <c r="BQ120" i="10" s="1"/>
  <c r="BT119" i="10"/>
  <c r="BU119" i="10" s="1"/>
  <c r="BT88" i="10"/>
  <c r="BU88" i="10" s="1"/>
  <c r="CL65" i="10"/>
  <c r="CM65" i="10" s="1"/>
  <c r="CN65" i="10" s="1" a="1"/>
  <c r="CN65" i="10" s="1"/>
  <c r="BT42" i="10"/>
  <c r="BU42" i="10" s="1"/>
  <c r="CL28" i="10"/>
  <c r="CM28" i="10" s="1"/>
  <c r="CL102" i="10"/>
  <c r="CM102" i="10" s="1"/>
  <c r="CT67" i="10"/>
  <c r="CU67" i="10" s="1"/>
  <c r="CW67" i="10" s="1" a="1"/>
  <c r="CW67" i="10" s="1"/>
  <c r="BX61" i="10"/>
  <c r="BY61" i="10" s="1"/>
  <c r="BZ61" i="10" s="1" a="1"/>
  <c r="BZ61" i="10" s="1"/>
  <c r="CP71" i="10"/>
  <c r="CQ71" i="10" s="1"/>
  <c r="BX62" i="10"/>
  <c r="BY62" i="10" s="1"/>
  <c r="CH25" i="10"/>
  <c r="CI25" i="10" s="1"/>
  <c r="CT75" i="10"/>
  <c r="CU75" i="10" s="1"/>
  <c r="CW75" i="10" s="1" a="1"/>
  <c r="CW75" i="10" s="1"/>
  <c r="CJ25" i="10" a="1"/>
  <c r="CJ25" i="10" s="1"/>
  <c r="BX120" i="10"/>
  <c r="BY120" i="10" s="1"/>
  <c r="CA120" i="10" s="1" a="1"/>
  <c r="CA120" i="10" s="1"/>
  <c r="CT48" i="10"/>
  <c r="CU48" i="10" s="1"/>
  <c r="CW48" i="10" s="1" a="1"/>
  <c r="CW48" i="10" s="1"/>
  <c r="BP45" i="10"/>
  <c r="BQ45" i="10" s="1"/>
  <c r="CL30" i="10"/>
  <c r="CM30" i="10" s="1"/>
  <c r="CN30" i="10" s="1" a="1"/>
  <c r="CN30" i="10" s="1"/>
  <c r="CH59" i="10"/>
  <c r="CI59" i="10" s="1"/>
  <c r="BP42" i="10"/>
  <c r="BQ42" i="10" s="1"/>
  <c r="CL94" i="10"/>
  <c r="CM94" i="10" s="1"/>
  <c r="CL90" i="10"/>
  <c r="CM90" i="10" s="1"/>
  <c r="BX106" i="10"/>
  <c r="BY106" i="10" s="1"/>
  <c r="BZ106" i="10" s="1" a="1"/>
  <c r="BZ106" i="10" s="1"/>
  <c r="BR85" i="10" a="1"/>
  <c r="BR85" i="10" s="1"/>
  <c r="BL64" i="10"/>
  <c r="BM64" i="10" s="1"/>
  <c r="BN64" i="10" s="1" a="1"/>
  <c r="BN64" i="10" s="1"/>
  <c r="CT55" i="10"/>
  <c r="CU55" i="10" s="1"/>
  <c r="BL32" i="10"/>
  <c r="BM32" i="10" s="1"/>
  <c r="BT106" i="10"/>
  <c r="BU106" i="10" s="1"/>
  <c r="BV106" i="10" s="1" a="1"/>
  <c r="BV106" i="10" s="1"/>
  <c r="CA85" i="10" a="1"/>
  <c r="CA85" i="10" s="1"/>
  <c r="CP55" i="10"/>
  <c r="CQ55" i="10" s="1"/>
  <c r="CV55" i="10" s="1" a="1"/>
  <c r="CV55" i="10" s="1"/>
  <c r="CL75" i="10"/>
  <c r="CM75" i="10" s="1"/>
  <c r="CL42" i="10"/>
  <c r="CM42" i="10" s="1"/>
  <c r="CH42" i="10"/>
  <c r="CI42" i="10" s="1"/>
  <c r="CJ42" i="10" s="1" a="1"/>
  <c r="CJ42" i="10" s="1"/>
  <c r="BX29" i="10"/>
  <c r="BY29" i="10" s="1"/>
  <c r="BX27" i="10"/>
  <c r="BY27" i="10" s="1"/>
  <c r="CP98" i="10"/>
  <c r="CQ98" i="10" s="1"/>
  <c r="CL61" i="10"/>
  <c r="CM61" i="10" s="1"/>
  <c r="CN61" i="10" s="1" a="1"/>
  <c r="CN61" i="10" s="1"/>
  <c r="CP65" i="10"/>
  <c r="CQ65" i="10" s="1"/>
  <c r="CV65" i="10" s="1" a="1"/>
  <c r="CV65" i="10" s="1"/>
  <c r="BX54" i="10"/>
  <c r="BY54" i="10" s="1"/>
  <c r="CA54" i="10" s="1" a="1"/>
  <c r="CA54" i="10" s="1"/>
  <c r="CR53" i="10" a="1"/>
  <c r="CR53" i="10" s="1"/>
  <c r="CT42" i="10"/>
  <c r="CU42" i="10" s="1"/>
  <c r="CW42" i="10" s="1" a="1"/>
  <c r="CW42" i="10" s="1"/>
  <c r="CH37" i="10"/>
  <c r="CI37" i="10" s="1"/>
  <c r="CJ37" i="10" s="1" a="1"/>
  <c r="CJ37" i="10" s="1"/>
  <c r="BX32" i="10"/>
  <c r="BY32" i="10" s="1"/>
  <c r="CA32" i="10" s="1" a="1"/>
  <c r="CA32" i="10" s="1"/>
  <c r="CH32" i="10"/>
  <c r="CI32" i="10" s="1"/>
  <c r="BP34" i="10"/>
  <c r="BQ34" i="10" s="1"/>
  <c r="CP90" i="10"/>
  <c r="CQ90" i="10" s="1"/>
  <c r="CT119" i="10"/>
  <c r="CU119" i="10" s="1"/>
  <c r="CW119" i="10" s="1" a="1"/>
  <c r="CW119" i="10" s="1"/>
  <c r="BP103" i="10"/>
  <c r="BQ103" i="10" s="1"/>
  <c r="BT92" i="10"/>
  <c r="BU92" i="10" s="1"/>
  <c r="CP59" i="10"/>
  <c r="CQ59" i="10" s="1"/>
  <c r="CP42" i="10"/>
  <c r="CQ42" i="10" s="1"/>
  <c r="CV42" i="10" s="1" a="1"/>
  <c r="CV42" i="10" s="1"/>
  <c r="BX42" i="10"/>
  <c r="BY42" i="10" s="1"/>
  <c r="CA42" i="10" s="1" a="1"/>
  <c r="CA42" i="10" s="1"/>
  <c r="BZ110" i="10" a="1"/>
  <c r="BZ110" i="10" s="1"/>
  <c r="BX103" i="10"/>
  <c r="BY103" i="10" s="1"/>
  <c r="CA103" i="10" s="1" a="1"/>
  <c r="CA103" i="10" s="1"/>
  <c r="BL106" i="10"/>
  <c r="BM106" i="10" s="1"/>
  <c r="BN106" i="10" s="1" a="1"/>
  <c r="BN106" i="10" s="1"/>
  <c r="CT88" i="10"/>
  <c r="CU88" i="10" s="1"/>
  <c r="CW88" i="10" s="1" a="1"/>
  <c r="CW88" i="10" s="1"/>
  <c r="BP47" i="10"/>
  <c r="BQ47" i="10" s="1"/>
  <c r="BT120" i="10"/>
  <c r="BU120" i="10" s="1"/>
  <c r="BP113" i="10"/>
  <c r="BQ113" i="10" s="1"/>
  <c r="BX83" i="10"/>
  <c r="BY83" i="10" s="1"/>
  <c r="CW71" i="10" a="1"/>
  <c r="CW71" i="10" s="1"/>
  <c r="CT61" i="10"/>
  <c r="CU61" i="10" s="1"/>
  <c r="BP32" i="10"/>
  <c r="BQ32" i="10" s="1"/>
  <c r="BR32" i="10" s="1" a="1"/>
  <c r="BR32" i="10" s="1"/>
  <c r="BP116" i="10"/>
  <c r="BQ116" i="10" s="1"/>
  <c r="CL110" i="10"/>
  <c r="CM110" i="10" s="1"/>
  <c r="BX84" i="10"/>
  <c r="BY84" i="10" s="1"/>
  <c r="CA84" i="10" s="1" a="1"/>
  <c r="CA84" i="10" s="1"/>
  <c r="BV50" i="10" a="1"/>
  <c r="BV50" i="10" s="1"/>
  <c r="CP61" i="10"/>
  <c r="CQ61" i="10" s="1"/>
  <c r="CR61" i="10" s="1" a="1"/>
  <c r="CR61" i="10" s="1"/>
  <c r="CL48" i="10"/>
  <c r="CM48" i="10" s="1"/>
  <c r="CN48" i="10" s="1" a="1"/>
  <c r="CN48" i="10" s="1"/>
  <c r="BN32" i="10" a="1"/>
  <c r="BN32" i="10" s="1"/>
  <c r="CP23" i="10"/>
  <c r="CQ23" i="10" s="1"/>
  <c r="CL23" i="10"/>
  <c r="CM23" i="10" s="1"/>
  <c r="CT23" i="10"/>
  <c r="CU23" i="10" s="1"/>
  <c r="CA29" i="10" a="1"/>
  <c r="CA29" i="10" s="1"/>
  <c r="CA83" i="10" a="1"/>
  <c r="CA83" i="10" s="1"/>
  <c r="CA119" i="10" a="1"/>
  <c r="CA119" i="10" s="1"/>
  <c r="BZ119" i="10" a="1"/>
  <c r="BZ119" i="10" s="1"/>
  <c r="CV53" i="10" a="1"/>
  <c r="CV53" i="10" s="1"/>
  <c r="CW53" i="10" a="1"/>
  <c r="CW53" i="10" s="1"/>
  <c r="CW84" i="10" a="1"/>
  <c r="CW84" i="10" s="1"/>
  <c r="CL101" i="10"/>
  <c r="CM101" i="10" s="1"/>
  <c r="CH110" i="10"/>
  <c r="CI110" i="10" s="1"/>
  <c r="CJ110" i="10" s="1" a="1"/>
  <c r="CJ110" i="10" s="1"/>
  <c r="BF117" i="10"/>
  <c r="BL117" i="10" s="1"/>
  <c r="BM117" i="10" s="1"/>
  <c r="BN117" i="10" s="1" a="1"/>
  <c r="BN117" i="10" s="1"/>
  <c r="CE74" i="10"/>
  <c r="CW55" i="10" a="1"/>
  <c r="CW55" i="10" s="1"/>
  <c r="CH51" i="10"/>
  <c r="CI51" i="10" s="1"/>
  <c r="CJ51" i="10" s="1" a="1"/>
  <c r="CJ51" i="10" s="1"/>
  <c r="BL51" i="10"/>
  <c r="BM51" i="10" s="1"/>
  <c r="BN51" i="10" s="1" a="1"/>
  <c r="BN51" i="10" s="1"/>
  <c r="BP51" i="10"/>
  <c r="BQ51" i="10" s="1"/>
  <c r="CL51" i="10"/>
  <c r="CM51" i="10" s="1"/>
  <c r="CE120" i="10"/>
  <c r="CT120" i="10" s="1"/>
  <c r="CU120" i="10" s="1"/>
  <c r="CH119" i="10"/>
  <c r="CI119" i="10" s="1"/>
  <c r="CJ119" i="10" s="1" a="1"/>
  <c r="CJ119" i="10" s="1"/>
  <c r="BL119" i="10"/>
  <c r="BM119" i="10" s="1"/>
  <c r="BN119" i="10" s="1" a="1"/>
  <c r="BN119" i="10" s="1"/>
  <c r="BP119" i="10"/>
  <c r="BQ119" i="10" s="1"/>
  <c r="BV119" i="10" s="1" a="1"/>
  <c r="BV119" i="10" s="1"/>
  <c r="CE121" i="10"/>
  <c r="CP121" i="10" s="1"/>
  <c r="CQ121" i="10" s="1"/>
  <c r="BL120" i="10"/>
  <c r="BM120" i="10" s="1"/>
  <c r="BN120" i="10" s="1" a="1"/>
  <c r="BN120" i="10" s="1"/>
  <c r="BX116" i="10"/>
  <c r="BY116" i="10" s="1"/>
  <c r="CH116" i="10"/>
  <c r="CI116" i="10" s="1"/>
  <c r="CJ116" i="10" s="1" a="1"/>
  <c r="CJ116" i="10" s="1"/>
  <c r="BL116" i="10"/>
  <c r="BM116" i="10" s="1"/>
  <c r="BN116" i="10" s="1" a="1"/>
  <c r="BN116" i="10" s="1"/>
  <c r="CL116" i="10"/>
  <c r="CM116" i="10" s="1"/>
  <c r="CE112" i="10"/>
  <c r="CP112" i="10" s="1"/>
  <c r="CQ112" i="10" s="1"/>
  <c r="CL119" i="10"/>
  <c r="CM119" i="10" s="1"/>
  <c r="BF118" i="10"/>
  <c r="BX118" i="10" s="1"/>
  <c r="BY118" i="10" s="1"/>
  <c r="CE109" i="10"/>
  <c r="CL109" i="10" s="1"/>
  <c r="CM109" i="10" s="1"/>
  <c r="BT113" i="10"/>
  <c r="BU113" i="10" s="1"/>
  <c r="BX113" i="10"/>
  <c r="BY113" i="10" s="1"/>
  <c r="BF104" i="10"/>
  <c r="BP104" i="10" s="1"/>
  <c r="BQ104" i="10" s="1"/>
  <c r="BF95" i="10"/>
  <c r="BL95" i="10" s="1"/>
  <c r="BM95" i="10" s="1"/>
  <c r="BN95" i="10" s="1" a="1"/>
  <c r="BN95" i="10" s="1"/>
  <c r="BF100" i="10"/>
  <c r="CE86" i="10"/>
  <c r="CL86" i="10" s="1"/>
  <c r="CM86" i="10" s="1"/>
  <c r="BP80" i="10"/>
  <c r="BQ80" i="10" s="1"/>
  <c r="CE66" i="10"/>
  <c r="CT66" i="10" s="1"/>
  <c r="CU66" i="10" s="1"/>
  <c r="BP77" i="10"/>
  <c r="BQ77" i="10" s="1"/>
  <c r="CH77" i="10"/>
  <c r="CI77" i="10" s="1"/>
  <c r="CJ77" i="10" s="1" a="1"/>
  <c r="CJ77" i="10" s="1"/>
  <c r="BL77" i="10"/>
  <c r="BM77" i="10" s="1"/>
  <c r="BN77" i="10" s="1" a="1"/>
  <c r="BN77" i="10" s="1"/>
  <c r="CL77" i="10"/>
  <c r="CM77" i="10" s="1"/>
  <c r="BV61" i="10" a="1"/>
  <c r="BV61" i="10" s="1"/>
  <c r="BX51" i="10"/>
  <c r="BY51" i="10" s="1"/>
  <c r="CE49" i="10"/>
  <c r="CP49" i="10" s="1"/>
  <c r="CQ49" i="10" s="1"/>
  <c r="CE44" i="10"/>
  <c r="CT44" i="10" s="1"/>
  <c r="CU44" i="10" s="1"/>
  <c r="CR42" i="10" a="1"/>
  <c r="CR42" i="10" s="1"/>
  <c r="BF38" i="10"/>
  <c r="BX38" i="10" s="1"/>
  <c r="BY38" i="10" s="1"/>
  <c r="BP29" i="10"/>
  <c r="BQ29" i="10" s="1"/>
  <c r="CT96" i="10"/>
  <c r="CU96" i="10" s="1"/>
  <c r="BL96" i="10"/>
  <c r="BM96" i="10" s="1"/>
  <c r="BN96" i="10" s="1" a="1"/>
  <c r="BN96" i="10" s="1"/>
  <c r="BT96" i="10"/>
  <c r="BU96" i="10" s="1"/>
  <c r="BV96" i="10" s="1" a="1"/>
  <c r="BV96" i="10" s="1"/>
  <c r="CL96" i="10"/>
  <c r="CM96" i="10" s="1"/>
  <c r="CH96" i="10"/>
  <c r="CI96" i="10" s="1"/>
  <c r="CJ96" i="10" s="1" a="1"/>
  <c r="CJ96" i="10" s="1"/>
  <c r="BX96" i="10"/>
  <c r="BY96" i="10" s="1"/>
  <c r="CP96" i="10"/>
  <c r="CQ96" i="10" s="1"/>
  <c r="BP96" i="10"/>
  <c r="BQ96" i="10" s="1"/>
  <c r="CA88" i="10" a="1"/>
  <c r="CA88" i="10" s="1"/>
  <c r="BZ88" i="10" a="1"/>
  <c r="BZ88" i="10" s="1"/>
  <c r="BF44" i="10"/>
  <c r="BP44" i="10" s="1"/>
  <c r="BQ44" i="10" s="1"/>
  <c r="CE103" i="10"/>
  <c r="CH103" i="10" s="1"/>
  <c r="CI103" i="10" s="1"/>
  <c r="CJ103" i="10" s="1" a="1"/>
  <c r="CJ103" i="10" s="1"/>
  <c r="BF107" i="10"/>
  <c r="BT107" i="10" s="1"/>
  <c r="BU107" i="10" s="1"/>
  <c r="CR88" i="10" a="1"/>
  <c r="CR88" i="10" s="1"/>
  <c r="BL113" i="10"/>
  <c r="BM113" i="10" s="1"/>
  <c r="BL93" i="10"/>
  <c r="BM93" i="10" s="1"/>
  <c r="BN93" i="10" s="1" a="1"/>
  <c r="BN93" i="10" s="1"/>
  <c r="BT93" i="10"/>
  <c r="BU93" i="10" s="1"/>
  <c r="BP93" i="10"/>
  <c r="BQ93" i="10" s="1"/>
  <c r="CH87" i="10"/>
  <c r="CI87" i="10" s="1"/>
  <c r="CL92" i="10"/>
  <c r="CM92" i="10" s="1"/>
  <c r="CP87" i="10"/>
  <c r="CQ87" i="10" s="1"/>
  <c r="BF65" i="10"/>
  <c r="BL65" i="10" s="1"/>
  <c r="BM65" i="10" s="1"/>
  <c r="BN65" i="10" s="1" a="1"/>
  <c r="BN65" i="10" s="1"/>
  <c r="BF75" i="10"/>
  <c r="BX75" i="10" s="1"/>
  <c r="BY75" i="10" s="1"/>
  <c r="CV71" i="10" a="1"/>
  <c r="CV71" i="10" s="1"/>
  <c r="BL47" i="10"/>
  <c r="BM47" i="10" s="1"/>
  <c r="BN47" i="10" s="1" a="1"/>
  <c r="BN47" i="10" s="1"/>
  <c r="CT39" i="10"/>
  <c r="CU39" i="10" s="1"/>
  <c r="CI36" i="10"/>
  <c r="CJ36" i="10" s="1" a="1"/>
  <c r="CJ36" i="10" s="1"/>
  <c r="CE36" i="10"/>
  <c r="CH36" i="10" s="1"/>
  <c r="CL62" i="10"/>
  <c r="CM62" i="10" s="1"/>
  <c r="CT62" i="10"/>
  <c r="CU62" i="10" s="1"/>
  <c r="CH29" i="10"/>
  <c r="CI29" i="10" s="1"/>
  <c r="CJ29" i="10" s="1" a="1"/>
  <c r="CJ29" i="10" s="1"/>
  <c r="BL29" i="10"/>
  <c r="BM29" i="10" s="1"/>
  <c r="BN29" i="10" s="1" a="1"/>
  <c r="BN29" i="10" s="1"/>
  <c r="CP29" i="10"/>
  <c r="CQ29" i="10" s="1"/>
  <c r="BF36" i="10"/>
  <c r="BL36" i="10" s="1"/>
  <c r="BM36" i="10" s="1"/>
  <c r="BN36" i="10" s="1" a="1"/>
  <c r="BN36" i="10" s="1"/>
  <c r="CE122" i="10"/>
  <c r="CH122" i="10" s="1"/>
  <c r="CI122" i="10" s="1"/>
  <c r="CJ122" i="10" s="1" a="1"/>
  <c r="CJ122" i="10" s="1"/>
  <c r="BL80" i="10"/>
  <c r="BM80" i="10" s="1"/>
  <c r="BN80" i="10" s="1" a="1"/>
  <c r="BN80" i="10" s="1"/>
  <c r="CW63" i="10" a="1"/>
  <c r="CW63" i="10" s="1"/>
  <c r="CE56" i="10"/>
  <c r="CT56" i="10" s="1"/>
  <c r="CU56" i="10" s="1"/>
  <c r="BF33" i="10"/>
  <c r="BP33" i="10" s="1"/>
  <c r="BQ33" i="10" s="1"/>
  <c r="CE113" i="10"/>
  <c r="CH113" i="10" s="1"/>
  <c r="CI113" i="10" s="1"/>
  <c r="CJ113" i="10" s="1" a="1"/>
  <c r="CJ113" i="10" s="1"/>
  <c r="CT110" i="10"/>
  <c r="CU110" i="10" s="1"/>
  <c r="CE118" i="10"/>
  <c r="CH118" i="10" s="1"/>
  <c r="CI118" i="10" s="1"/>
  <c r="CJ118" i="10" s="1" a="1"/>
  <c r="CJ118" i="10" s="1"/>
  <c r="CP110" i="10"/>
  <c r="CQ110" i="10" s="1"/>
  <c r="CR110" i="10" s="1" a="1"/>
  <c r="CR110" i="10" s="1"/>
  <c r="BF101" i="10"/>
  <c r="BX101" i="10" s="1"/>
  <c r="BY101" i="10" s="1"/>
  <c r="CP92" i="10"/>
  <c r="CQ92" i="10" s="1"/>
  <c r="BL98" i="10"/>
  <c r="BM98" i="10" s="1"/>
  <c r="BN98" i="10" s="1" a="1"/>
  <c r="BN98" i="10" s="1"/>
  <c r="BX98" i="10"/>
  <c r="BY98" i="10" s="1"/>
  <c r="CL98" i="10"/>
  <c r="CM98" i="10" s="1"/>
  <c r="CH98" i="10"/>
  <c r="CI98" i="10" s="1"/>
  <c r="CJ98" i="10" s="1" a="1"/>
  <c r="CJ98" i="10" s="1"/>
  <c r="BP98" i="10"/>
  <c r="BQ98" i="10" s="1"/>
  <c r="CT98" i="10"/>
  <c r="CU98" i="10" s="1"/>
  <c r="BL89" i="10"/>
  <c r="BM89" i="10" s="1"/>
  <c r="BN89" i="10" s="1" a="1"/>
  <c r="BN89" i="10" s="1"/>
  <c r="BT89" i="10"/>
  <c r="BU89" i="10" s="1"/>
  <c r="BF111" i="10"/>
  <c r="BL111" i="10" s="1"/>
  <c r="BM111" i="10" s="1"/>
  <c r="BN111" i="10" s="1" a="1"/>
  <c r="BN111" i="10" s="1"/>
  <c r="BF97" i="10"/>
  <c r="BT97" i="10" s="1"/>
  <c r="BU97" i="10" s="1"/>
  <c r="BV85" i="10" a="1"/>
  <c r="BV85" i="10" s="1"/>
  <c r="CP84" i="10"/>
  <c r="CQ84" i="10" s="1"/>
  <c r="CE60" i="10"/>
  <c r="CL60" i="10" s="1"/>
  <c r="CM60" i="10" s="1"/>
  <c r="CL39" i="10"/>
  <c r="CM39" i="10" s="1"/>
  <c r="BF39" i="10"/>
  <c r="BT39" i="10" s="1"/>
  <c r="BU39" i="10" s="1"/>
  <c r="CR23" i="10" a="1"/>
  <c r="CR23" i="10" s="1"/>
  <c r="CW23" i="10" a="1"/>
  <c r="CW23" i="10" s="1"/>
  <c r="CV23" i="10" a="1"/>
  <c r="CV23" i="10" s="1"/>
  <c r="CH102" i="10"/>
  <c r="CI102" i="10" s="1"/>
  <c r="CJ102" i="10" s="1" a="1"/>
  <c r="CJ102" i="10" s="1"/>
  <c r="BT102" i="10"/>
  <c r="BU102" i="10" s="1"/>
  <c r="BL102" i="10"/>
  <c r="BM102" i="10" s="1"/>
  <c r="BN102" i="10" s="1" a="1"/>
  <c r="BN102" i="10" s="1"/>
  <c r="BX102" i="10"/>
  <c r="BY102" i="10" s="1"/>
  <c r="CP102" i="10"/>
  <c r="CQ102" i="10" s="1"/>
  <c r="CR102" i="10" s="1" a="1"/>
  <c r="CR102" i="10" s="1"/>
  <c r="CT102" i="10"/>
  <c r="CU102" i="10" s="1"/>
  <c r="CE115" i="10"/>
  <c r="CT115" i="10" s="1"/>
  <c r="CU115" i="10" s="1"/>
  <c r="BT115" i="10"/>
  <c r="BU115" i="10" s="1"/>
  <c r="BV115" i="10" s="1" a="1"/>
  <c r="BV115" i="10" s="1"/>
  <c r="CH41" i="10"/>
  <c r="CI41" i="10" s="1"/>
  <c r="CJ41" i="10" s="1" a="1"/>
  <c r="CJ41" i="10" s="1"/>
  <c r="CT41" i="10"/>
  <c r="CU41" i="10" s="1"/>
  <c r="CE114" i="10"/>
  <c r="CH114" i="10" s="1"/>
  <c r="CI114" i="10" s="1"/>
  <c r="CJ114" i="10" s="1" a="1"/>
  <c r="CJ114" i="10" s="1"/>
  <c r="CV106" i="10" a="1"/>
  <c r="CV106" i="10" s="1"/>
  <c r="CW106" i="10" a="1"/>
  <c r="CW106" i="10" s="1"/>
  <c r="BV42" i="10" a="1"/>
  <c r="BV42" i="10" s="1"/>
  <c r="BF114" i="10"/>
  <c r="BT114" i="10" s="1"/>
  <c r="BU114" i="10" s="1"/>
  <c r="BP118" i="10"/>
  <c r="BQ118" i="10" s="1"/>
  <c r="BT118" i="10"/>
  <c r="BU118" i="10" s="1"/>
  <c r="CH81" i="10"/>
  <c r="CI81" i="10" s="1"/>
  <c r="CJ81" i="10" s="1" a="1"/>
  <c r="CJ81" i="10" s="1"/>
  <c r="CL81" i="10"/>
  <c r="CM81" i="10" s="1"/>
  <c r="CH109" i="10"/>
  <c r="CI109" i="10" s="1"/>
  <c r="CJ109" i="10" s="1" a="1"/>
  <c r="CJ109" i="10" s="1"/>
  <c r="BL109" i="10"/>
  <c r="BM109" i="10" s="1"/>
  <c r="BN109" i="10" s="1" a="1"/>
  <c r="BN109" i="10" s="1"/>
  <c r="BT109" i="10"/>
  <c r="BU109" i="10" s="1"/>
  <c r="BX89" i="10"/>
  <c r="BY89" i="10" s="1"/>
  <c r="CH94" i="10"/>
  <c r="CI94" i="10" s="1"/>
  <c r="CJ94" i="10" s="1" a="1"/>
  <c r="CJ94" i="10" s="1"/>
  <c r="CT94" i="10"/>
  <c r="CU94" i="10" s="1"/>
  <c r="CP94" i="10"/>
  <c r="CQ94" i="10" s="1"/>
  <c r="CR94" i="10" s="1" a="1"/>
  <c r="CR94" i="10" s="1"/>
  <c r="CV88" i="10" a="1"/>
  <c r="CV88" i="10" s="1"/>
  <c r="BT45" i="10"/>
  <c r="BU45" i="10" s="1"/>
  <c r="BL45" i="10"/>
  <c r="BM45" i="10" s="1"/>
  <c r="BN45" i="10" s="1" a="1"/>
  <c r="BN45" i="10" s="1"/>
  <c r="CA50" i="10" a="1"/>
  <c r="CA50" i="10" s="1"/>
  <c r="BZ50" i="10" a="1"/>
  <c r="BZ50" i="10" s="1"/>
  <c r="CP120" i="10"/>
  <c r="CQ120" i="10" s="1"/>
  <c r="CP116" i="10"/>
  <c r="CQ116" i="10" s="1"/>
  <c r="BF112" i="10"/>
  <c r="BX112" i="10" s="1"/>
  <c r="BY112" i="10" s="1"/>
  <c r="BL115" i="10"/>
  <c r="BM115" i="10" s="1"/>
  <c r="BR115" i="10" s="1" a="1"/>
  <c r="BR115" i="10" s="1"/>
  <c r="CT116" i="10"/>
  <c r="CU116" i="10" s="1"/>
  <c r="CH108" i="10"/>
  <c r="CI108" i="10" s="1"/>
  <c r="CJ108" i="10" s="1" a="1"/>
  <c r="CJ108" i="10" s="1"/>
  <c r="CL108" i="10"/>
  <c r="CM108" i="10" s="1"/>
  <c r="CT108" i="10"/>
  <c r="CU108" i="10" s="1"/>
  <c r="BP109" i="10"/>
  <c r="BQ109" i="10" s="1"/>
  <c r="BR109" i="10" s="1" a="1"/>
  <c r="BR109" i="10" s="1"/>
  <c r="BX107" i="10"/>
  <c r="BY107" i="10" s="1"/>
  <c r="CE105" i="10"/>
  <c r="CT105" i="10" s="1"/>
  <c r="CU105" i="10" s="1"/>
  <c r="BP89" i="10"/>
  <c r="BQ89" i="10" s="1"/>
  <c r="BP102" i="10"/>
  <c r="BQ102" i="10" s="1"/>
  <c r="CE83" i="10"/>
  <c r="CT83" i="10" s="1"/>
  <c r="CU83" i="10" s="1"/>
  <c r="BZ85" i="10" a="1"/>
  <c r="BZ85" i="10" s="1"/>
  <c r="CJ87" i="10" a="1"/>
  <c r="CJ87" i="10" s="1"/>
  <c r="CP58" i="10"/>
  <c r="CQ58" i="10" s="1"/>
  <c r="CL74" i="10"/>
  <c r="CM74" i="10" s="1"/>
  <c r="BP64" i="10"/>
  <c r="BQ64" i="10" s="1"/>
  <c r="CN32" i="10" a="1"/>
  <c r="CN32" i="10" s="1"/>
  <c r="CH27" i="10"/>
  <c r="CI27" i="10" s="1"/>
  <c r="CJ27" i="10" s="1" a="1"/>
  <c r="CJ27" i="10" s="1"/>
  <c r="CT27" i="10"/>
  <c r="CU27" i="10" s="1"/>
  <c r="CL27" i="10"/>
  <c r="CM27" i="10" s="1"/>
  <c r="CP27" i="10"/>
  <c r="CQ27" i="10" s="1"/>
  <c r="CA27" i="10" a="1"/>
  <c r="CA27" i="10" s="1"/>
  <c r="BZ27" i="10" a="1"/>
  <c r="BZ27" i="10" s="1"/>
  <c r="BP107" i="10"/>
  <c r="BQ107" i="10" s="1"/>
  <c r="BT65" i="10"/>
  <c r="BU65" i="10" s="1"/>
  <c r="BL118" i="10"/>
  <c r="BM118" i="10" s="1"/>
  <c r="BN118" i="10" s="1" a="1"/>
  <c r="BN118" i="10" s="1"/>
  <c r="BF122" i="10"/>
  <c r="BP122" i="10" s="1"/>
  <c r="BQ122" i="10" s="1"/>
  <c r="CT112" i="10"/>
  <c r="CU112" i="10" s="1"/>
  <c r="BF121" i="10"/>
  <c r="BT121" i="10" s="1"/>
  <c r="BU121" i="10" s="1"/>
  <c r="CP119" i="10"/>
  <c r="CQ119" i="10" s="1"/>
  <c r="CR119" i="10" s="1" a="1"/>
  <c r="CR119" i="10" s="1"/>
  <c r="BT116" i="10"/>
  <c r="BU116" i="10" s="1"/>
  <c r="BV116" i="10" s="1" a="1"/>
  <c r="BV116" i="10" s="1"/>
  <c r="BF108" i="10"/>
  <c r="BX108" i="10" s="1"/>
  <c r="BY108" i="10" s="1"/>
  <c r="BX115" i="10"/>
  <c r="BY115" i="10" s="1"/>
  <c r="BX109" i="10"/>
  <c r="BY109" i="10" s="1"/>
  <c r="CE95" i="10"/>
  <c r="CE89" i="10"/>
  <c r="CL89" i="10" s="1"/>
  <c r="CM89" i="10" s="1"/>
  <c r="BX92" i="10"/>
  <c r="BY92" i="10" s="1"/>
  <c r="CH84" i="10"/>
  <c r="CI84" i="10" s="1"/>
  <c r="CJ84" i="10" s="1" a="1"/>
  <c r="CJ84" i="10" s="1"/>
  <c r="BL84" i="10"/>
  <c r="BM84" i="10" s="1"/>
  <c r="BN84" i="10" s="1" a="1"/>
  <c r="BN84" i="10" s="1"/>
  <c r="CL84" i="10"/>
  <c r="CM84" i="10" s="1"/>
  <c r="BP84" i="10"/>
  <c r="BQ84" i="10" s="1"/>
  <c r="BT84" i="10"/>
  <c r="BU84" i="10" s="1"/>
  <c r="CH74" i="10"/>
  <c r="CI74" i="10" s="1"/>
  <c r="CJ74" i="10" s="1" a="1"/>
  <c r="CJ74" i="10" s="1"/>
  <c r="BL74" i="10"/>
  <c r="BM74" i="10" s="1"/>
  <c r="BN74" i="10" s="1" a="1"/>
  <c r="BN74" i="10" s="1"/>
  <c r="CT74" i="10"/>
  <c r="CU74" i="10" s="1"/>
  <c r="BT74" i="10"/>
  <c r="BU74" i="10" s="1"/>
  <c r="CA61" i="10" a="1"/>
  <c r="CA61" i="10" s="1"/>
  <c r="CT51" i="10"/>
  <c r="CU51" i="10" s="1"/>
  <c r="CA62" i="10" a="1"/>
  <c r="CA62" i="10" s="1"/>
  <c r="BT54" i="10"/>
  <c r="BU54" i="10" s="1"/>
  <c r="CH63" i="10"/>
  <c r="CI63" i="10" s="1"/>
  <c r="CJ63" i="10" s="1" a="1"/>
  <c r="CJ63" i="10" s="1"/>
  <c r="CH33" i="10"/>
  <c r="CI33" i="10" s="1"/>
  <c r="CJ33" i="10" s="1" a="1"/>
  <c r="CJ33" i="10" s="1"/>
  <c r="CL33" i="10"/>
  <c r="CM33" i="10" s="1"/>
  <c r="CT33" i="10"/>
  <c r="CU33" i="10" s="1"/>
  <c r="BF26" i="10"/>
  <c r="BP26" i="10" s="1"/>
  <c r="BQ26" i="10" s="1"/>
  <c r="CN53" i="10" a="1"/>
  <c r="CN53" i="10" s="1"/>
  <c r="CP33" i="10"/>
  <c r="CQ33" i="10" s="1"/>
  <c r="CT90" i="10"/>
  <c r="CU90" i="10" s="1"/>
  <c r="BF79" i="10"/>
  <c r="BT79" i="10" s="1"/>
  <c r="BU79" i="10" s="1"/>
  <c r="CP81" i="10"/>
  <c r="CQ81" i="10" s="1"/>
  <c r="CH83" i="10"/>
  <c r="CI83" i="10" s="1"/>
  <c r="CJ83" i="10" s="1" a="1"/>
  <c r="CJ83" i="10" s="1"/>
  <c r="BP83" i="10"/>
  <c r="BQ83" i="10" s="1"/>
  <c r="BL83" i="10"/>
  <c r="BM83" i="10" s="1"/>
  <c r="BN83" i="10" s="1" a="1"/>
  <c r="BN83" i="10" s="1"/>
  <c r="BF76" i="10"/>
  <c r="BX76" i="10" s="1"/>
  <c r="BY76" i="10" s="1"/>
  <c r="BF63" i="10"/>
  <c r="BT63" i="10" s="1"/>
  <c r="BU63" i="10" s="1"/>
  <c r="CP62" i="10"/>
  <c r="CQ62" i="10" s="1"/>
  <c r="CE64" i="10"/>
  <c r="BF60" i="10"/>
  <c r="BP60" i="10" s="1"/>
  <c r="BQ60" i="10" s="1"/>
  <c r="CE68" i="10"/>
  <c r="CL68" i="10" s="1"/>
  <c r="CM68" i="10" s="1"/>
  <c r="BX74" i="10"/>
  <c r="BY74" i="10" s="1"/>
  <c r="BF52" i="10"/>
  <c r="BT52" i="10" s="1"/>
  <c r="BU52" i="10" s="1"/>
  <c r="CT69" i="10"/>
  <c r="CU69" i="10" s="1"/>
  <c r="CP51" i="10"/>
  <c r="CQ51" i="10" s="1"/>
  <c r="CR51" i="10" s="1" a="1"/>
  <c r="CR51" i="10" s="1"/>
  <c r="CH67" i="10"/>
  <c r="CI67" i="10" s="1"/>
  <c r="CJ67" i="10" s="1" a="1"/>
  <c r="CJ67" i="10" s="1"/>
  <c r="BF37" i="10"/>
  <c r="BF43" i="10"/>
  <c r="BL43" i="10" s="1"/>
  <c r="BM43" i="10" s="1"/>
  <c r="BN43" i="10" s="1" a="1"/>
  <c r="BN43" i="10" s="1"/>
  <c r="CE31" i="10"/>
  <c r="CH31" i="10" s="1"/>
  <c r="CI31" i="10" s="1"/>
  <c r="CJ31" i="10" s="1" a="1"/>
  <c r="CJ31" i="10" s="1"/>
  <c r="BP27" i="10"/>
  <c r="BQ27" i="10" s="1"/>
  <c r="BR27" i="10" s="1" a="1"/>
  <c r="BR27" i="10" s="1"/>
  <c r="CE26" i="10"/>
  <c r="CT26" i="10" s="1"/>
  <c r="CU26" i="10" s="1"/>
  <c r="BX30" i="10"/>
  <c r="BY30" i="10" s="1"/>
  <c r="BL30" i="10"/>
  <c r="BM30" i="10" s="1"/>
  <c r="BN30" i="10" s="1" a="1"/>
  <c r="BN30" i="10" s="1"/>
  <c r="BX39" i="10"/>
  <c r="BY39" i="10" s="1"/>
  <c r="CJ32" i="10" a="1"/>
  <c r="CJ32" i="10" s="1"/>
  <c r="BL103" i="10"/>
  <c r="BM103" i="10" s="1"/>
  <c r="CH112" i="10"/>
  <c r="CI112" i="10" s="1"/>
  <c r="CJ112" i="10" s="1" a="1"/>
  <c r="CJ112" i="10" s="1"/>
  <c r="CL112" i="10"/>
  <c r="CM112" i="10" s="1"/>
  <c r="BL107" i="10"/>
  <c r="BM107" i="10" s="1"/>
  <c r="BN107" i="10" s="1" a="1"/>
  <c r="BN107" i="10" s="1"/>
  <c r="BF105" i="10"/>
  <c r="BX105" i="10" s="1"/>
  <c r="BY105" i="10" s="1"/>
  <c r="CE99" i="10"/>
  <c r="CH99" i="10" s="1"/>
  <c r="CI99" i="10" s="1"/>
  <c r="CJ99" i="10" s="1" a="1"/>
  <c r="CJ99" i="10" s="1"/>
  <c r="CP101" i="10"/>
  <c r="CQ101" i="10" s="1"/>
  <c r="CE93" i="10"/>
  <c r="CT93" i="10" s="1"/>
  <c r="CU93" i="10" s="1"/>
  <c r="BX100" i="10"/>
  <c r="BY100" i="10" s="1"/>
  <c r="BT100" i="10"/>
  <c r="BU100" i="10" s="1"/>
  <c r="CE91" i="10"/>
  <c r="CP91" i="10" s="1"/>
  <c r="CQ91" i="10" s="1"/>
  <c r="CE97" i="10"/>
  <c r="CP97" i="10" s="1"/>
  <c r="CQ97" i="10" s="1"/>
  <c r="CE79" i="10"/>
  <c r="CL79" i="10" s="1"/>
  <c r="CM79" i="10" s="1"/>
  <c r="BT77" i="10"/>
  <c r="BU77" i="10" s="1"/>
  <c r="CP67" i="10"/>
  <c r="CQ67" i="10" s="1"/>
  <c r="CP82" i="10"/>
  <c r="CQ82" i="10" s="1"/>
  <c r="BX80" i="10"/>
  <c r="BY80" i="10" s="1"/>
  <c r="BF67" i="10"/>
  <c r="BP67" i="10" s="1"/>
  <c r="BQ67" i="10" s="1"/>
  <c r="CH66" i="10"/>
  <c r="CI66" i="10" s="1"/>
  <c r="CJ66" i="10" s="1" a="1"/>
  <c r="CJ66" i="10" s="1"/>
  <c r="CJ59" i="10" a="1"/>
  <c r="CJ59" i="10" s="1"/>
  <c r="CE70" i="10"/>
  <c r="CH70" i="10" s="1"/>
  <c r="CI70" i="10" s="1"/>
  <c r="CJ70" i="10" s="1" a="1"/>
  <c r="CJ70" i="10" s="1"/>
  <c r="BT64" i="10"/>
  <c r="BU64" i="10" s="1"/>
  <c r="BV64" i="10" s="1" a="1"/>
  <c r="BV64" i="10" s="1"/>
  <c r="BF56" i="10"/>
  <c r="BP56" i="10" s="1"/>
  <c r="BQ56" i="10" s="1"/>
  <c r="CT73" i="10"/>
  <c r="CU73" i="10" s="1"/>
  <c r="CH58" i="10"/>
  <c r="CI58" i="10" s="1"/>
  <c r="CJ58" i="10" s="1" a="1"/>
  <c r="CJ58" i="10" s="1"/>
  <c r="CL58" i="10"/>
  <c r="CM58" i="10" s="1"/>
  <c r="CP74" i="10"/>
  <c r="CQ74" i="10" s="1"/>
  <c r="CE72" i="10"/>
  <c r="CL72" i="10" s="1"/>
  <c r="CM72" i="10" s="1"/>
  <c r="BF70" i="10"/>
  <c r="BX70" i="10" s="1"/>
  <c r="BY70" i="10" s="1"/>
  <c r="BF66" i="10"/>
  <c r="BP66" i="10" s="1"/>
  <c r="BQ66" i="10" s="1"/>
  <c r="BF49" i="10"/>
  <c r="BX49" i="10" s="1"/>
  <c r="BY49" i="10" s="1"/>
  <c r="CL67" i="10"/>
  <c r="CM67" i="10" s="1"/>
  <c r="CN67" i="10" s="1" a="1"/>
  <c r="CN67" i="10" s="1"/>
  <c r="CL59" i="10"/>
  <c r="CM59" i="10" s="1"/>
  <c r="CN59" i="10" s="1" a="1"/>
  <c r="CN59" i="10" s="1"/>
  <c r="CH69" i="10"/>
  <c r="CI69" i="10" s="1"/>
  <c r="BX47" i="10"/>
  <c r="BY47" i="10" s="1"/>
  <c r="BT33" i="10"/>
  <c r="BU33" i="10" s="1"/>
  <c r="CT29" i="10"/>
  <c r="CU29" i="10" s="1"/>
  <c r="CT37" i="10"/>
  <c r="CU37" i="10" s="1"/>
  <c r="BT29" i="10"/>
  <c r="BU29" i="10" s="1"/>
  <c r="BV29" i="10" s="1" a="1"/>
  <c r="BV29" i="10" s="1"/>
  <c r="CT25" i="10"/>
  <c r="CU25" i="10" s="1"/>
  <c r="BX34" i="10"/>
  <c r="BY34" i="10" s="1"/>
  <c r="CL36" i="10"/>
  <c r="CM36" i="10" s="1"/>
  <c r="CL37" i="10"/>
  <c r="CM37" i="10" s="1"/>
  <c r="CN37" i="10" s="1" a="1"/>
  <c r="CN37" i="10" s="1"/>
  <c r="CE104" i="10"/>
  <c r="CL104" i="10" s="1"/>
  <c r="CM104" i="10" s="1"/>
  <c r="CT101" i="10"/>
  <c r="CU101" i="10" s="1"/>
  <c r="CH101" i="10"/>
  <c r="CI101" i="10" s="1"/>
  <c r="CJ101" i="10" s="1" a="1"/>
  <c r="CJ101" i="10" s="1"/>
  <c r="CE100" i="10"/>
  <c r="CT100" i="10" s="1"/>
  <c r="CU100" i="10" s="1"/>
  <c r="CE85" i="10"/>
  <c r="CT85" i="10" s="1"/>
  <c r="CU85" i="10" s="1"/>
  <c r="BP100" i="10"/>
  <c r="BQ100" i="10" s="1"/>
  <c r="BT103" i="10"/>
  <c r="BU103" i="10" s="1"/>
  <c r="CL87" i="10"/>
  <c r="CM87" i="10" s="1"/>
  <c r="CN87" i="10" s="1" a="1"/>
  <c r="CN87" i="10" s="1"/>
  <c r="BF86" i="10"/>
  <c r="BX86" i="10" s="1"/>
  <c r="BY86" i="10" s="1"/>
  <c r="CE78" i="10"/>
  <c r="CH78" i="10" s="1"/>
  <c r="CI78" i="10" s="1"/>
  <c r="CJ78" i="10" s="1" a="1"/>
  <c r="CJ78" i="10" s="1"/>
  <c r="CE80" i="10"/>
  <c r="CP80" i="10" s="1"/>
  <c r="CQ80" i="10" s="1"/>
  <c r="CH90" i="10"/>
  <c r="CI90" i="10" s="1"/>
  <c r="CJ90" i="10" s="1" a="1"/>
  <c r="CJ90" i="10" s="1"/>
  <c r="CT59" i="10"/>
  <c r="CU59" i="10" s="1"/>
  <c r="CT58" i="10"/>
  <c r="CU58" i="10" s="1"/>
  <c r="CP50" i="10"/>
  <c r="CQ50" i="10" s="1"/>
  <c r="BF53" i="10"/>
  <c r="CE52" i="10"/>
  <c r="CP52" i="10" s="1"/>
  <c r="CQ52" i="10" s="1"/>
  <c r="BF40" i="10"/>
  <c r="BP40" i="10" s="1"/>
  <c r="BQ40" i="10" s="1"/>
  <c r="CE47" i="10"/>
  <c r="CL47" i="10" s="1"/>
  <c r="CM47" i="10" s="1"/>
  <c r="CP32" i="10"/>
  <c r="CQ32" i="10" s="1"/>
  <c r="CR32" i="10" s="1" a="1"/>
  <c r="CR32" i="10" s="1"/>
  <c r="CL29" i="10"/>
  <c r="CM29" i="10" s="1"/>
  <c r="CT28" i="10"/>
  <c r="CU28" i="10" s="1"/>
  <c r="CT36" i="10"/>
  <c r="CU36" i="10" s="1"/>
  <c r="CP30" i="10"/>
  <c r="CQ30" i="10" s="1"/>
  <c r="CR30" i="10" s="1" a="1"/>
  <c r="CR30" i="10" s="1"/>
  <c r="CP48" i="10"/>
  <c r="CQ48" i="10" s="1"/>
  <c r="BF25" i="10"/>
  <c r="BP25" i="10" s="1"/>
  <c r="BQ25" i="10" s="1"/>
  <c r="CE38" i="10"/>
  <c r="CL38" i="10" s="1"/>
  <c r="CM38" i="10" s="1"/>
  <c r="BF24" i="10"/>
  <c r="BT24" i="10" s="1"/>
  <c r="BU24" i="10" s="1"/>
  <c r="CL50" i="10"/>
  <c r="CM50" i="10" s="1"/>
  <c r="BL50" i="10"/>
  <c r="BM50" i="10" s="1"/>
  <c r="CH50" i="10"/>
  <c r="CI50" i="10" s="1"/>
  <c r="CJ50" i="10" s="1" a="1"/>
  <c r="CJ50" i="10" s="1"/>
  <c r="CE34" i="10"/>
  <c r="CP34" i="10" s="1"/>
  <c r="CQ34" i="10" s="1"/>
  <c r="CH28" i="10"/>
  <c r="CI28" i="10" s="1"/>
  <c r="CN28" i="10" s="1" a="1"/>
  <c r="CN28" i="10" s="1"/>
  <c r="BF35" i="10"/>
  <c r="BT35" i="10" s="1"/>
  <c r="BU35" i="10" s="1"/>
  <c r="BP30" i="10"/>
  <c r="BQ30" i="10" s="1"/>
  <c r="CT30" i="10"/>
  <c r="CU30" i="10" s="1"/>
  <c r="CL25" i="10"/>
  <c r="CM25" i="10" s="1"/>
  <c r="CN25" i="10" s="1" a="1"/>
  <c r="CN25" i="10" s="1"/>
  <c r="CH82" i="10"/>
  <c r="CI82" i="10" s="1"/>
  <c r="CJ82" i="10" s="1" a="1"/>
  <c r="CJ82" i="10" s="1"/>
  <c r="CL82" i="10"/>
  <c r="CM82" i="10" s="1"/>
  <c r="CP77" i="10"/>
  <c r="CQ77" i="10" s="1"/>
  <c r="CR77" i="10" s="1" a="1"/>
  <c r="CR77" i="10" s="1"/>
  <c r="CP75" i="10"/>
  <c r="CQ75" i="10" s="1"/>
  <c r="CH75" i="10"/>
  <c r="CI75" i="10" s="1"/>
  <c r="CJ75" i="10" s="1" a="1"/>
  <c r="CJ75" i="10" s="1"/>
  <c r="BT80" i="10"/>
  <c r="BU80" i="10" s="1"/>
  <c r="BV80" i="10" s="1" a="1"/>
  <c r="BV80" i="10" s="1"/>
  <c r="CP63" i="10"/>
  <c r="CQ63" i="10" s="1"/>
  <c r="CR63" i="10" s="1" a="1"/>
  <c r="CR63" i="10" s="1"/>
  <c r="CT70" i="10"/>
  <c r="CU70" i="10" s="1"/>
  <c r="BP74" i="10"/>
  <c r="BQ74" i="10" s="1"/>
  <c r="BF59" i="10"/>
  <c r="BT59" i="10" s="1"/>
  <c r="BU59" i="10" s="1"/>
  <c r="BF58" i="10"/>
  <c r="BP58" i="10" s="1"/>
  <c r="BQ58" i="10"/>
  <c r="BT51" i="10"/>
  <c r="BU51" i="10" s="1"/>
  <c r="BF48" i="10"/>
  <c r="BL48" i="10" s="1"/>
  <c r="BM48" i="10" s="1"/>
  <c r="BN48" i="10" s="1" a="1"/>
  <c r="BN48" i="10" s="1"/>
  <c r="CH46" i="10"/>
  <c r="CI46" i="10" s="1"/>
  <c r="CJ46" i="10" s="1" a="1"/>
  <c r="CJ46" i="10" s="1"/>
  <c r="CL46" i="10"/>
  <c r="CM46" i="10" s="1"/>
  <c r="BP39" i="10"/>
  <c r="BQ39" i="10" s="1"/>
  <c r="CH44" i="10"/>
  <c r="CI44" i="10" s="1"/>
  <c r="CJ44" i="10" s="1" a="1"/>
  <c r="CJ44" i="10" s="1"/>
  <c r="CP31" i="10"/>
  <c r="CQ31" i="10" s="1"/>
  <c r="BP117" i="10"/>
  <c r="BQ117" i="10" s="1"/>
  <c r="CE117" i="10"/>
  <c r="CP117" i="10" s="1"/>
  <c r="CQ117" i="10" s="1"/>
  <c r="CE107" i="10"/>
  <c r="CP107" i="10" s="1"/>
  <c r="CQ107" i="10" s="1"/>
  <c r="BF99" i="10"/>
  <c r="BP99" i="10" s="1"/>
  <c r="BQ99" i="10" s="1"/>
  <c r="BL100" i="10"/>
  <c r="BM100" i="10" s="1"/>
  <c r="BN100" i="10" s="1" a="1"/>
  <c r="BN100" i="10" s="1"/>
  <c r="BF91" i="10"/>
  <c r="BL91" i="10" s="1"/>
  <c r="BM91" i="10" s="1"/>
  <c r="BN91" i="10" s="1" a="1"/>
  <c r="BN91" i="10" s="1"/>
  <c r="BT83" i="10"/>
  <c r="BU83" i="10" s="1"/>
  <c r="CH88" i="10"/>
  <c r="CI88" i="10" s="1"/>
  <c r="CJ88" i="10" s="1" a="1"/>
  <c r="CJ88" i="10" s="1"/>
  <c r="BL88" i="10"/>
  <c r="BM88" i="10" s="1"/>
  <c r="BN88" i="10" s="1" a="1"/>
  <c r="BN88" i="10" s="1"/>
  <c r="BF82" i="10"/>
  <c r="BX82" i="10" s="1"/>
  <c r="BY82" i="10" s="1"/>
  <c r="CT81" i="10"/>
  <c r="CU81" i="10" s="1"/>
  <c r="BF87" i="10"/>
  <c r="BT87" i="10" s="1"/>
  <c r="BU87" i="10" s="1"/>
  <c r="BF78" i="10"/>
  <c r="BX78" i="10" s="1"/>
  <c r="BY78" i="10" s="1"/>
  <c r="BF73" i="10"/>
  <c r="BX73" i="10" s="1"/>
  <c r="BY73" i="10" s="1"/>
  <c r="CE76" i="10"/>
  <c r="CL76" i="10" s="1"/>
  <c r="CM76" i="10" s="1"/>
  <c r="CP66" i="10"/>
  <c r="CQ66" i="10" s="1"/>
  <c r="BF72" i="10"/>
  <c r="BP72" i="10" s="1"/>
  <c r="BQ72" i="10" s="1"/>
  <c r="BF55" i="10"/>
  <c r="BL55" i="10" s="1"/>
  <c r="BM55" i="10" s="1"/>
  <c r="BN55" i="10" s="1" a="1"/>
  <c r="BN55" i="10" s="1"/>
  <c r="CL73" i="10"/>
  <c r="CM73" i="10" s="1"/>
  <c r="BP70" i="10"/>
  <c r="BQ70" i="10" s="1"/>
  <c r="CH71" i="10"/>
  <c r="CI71" i="10" s="1"/>
  <c r="CJ71" i="10" s="1" a="1"/>
  <c r="CJ71" i="10" s="1"/>
  <c r="CL71" i="10"/>
  <c r="CM71" i="10" s="1"/>
  <c r="BP54" i="10"/>
  <c r="BQ54" i="10" s="1"/>
  <c r="CT46" i="10"/>
  <c r="CU46" i="10" s="1"/>
  <c r="CL55" i="10"/>
  <c r="CM55" i="10" s="1"/>
  <c r="CN55" i="10" s="1" a="1"/>
  <c r="CN55" i="10" s="1"/>
  <c r="BX45" i="10"/>
  <c r="BY45" i="10" s="1"/>
  <c r="CP39" i="10"/>
  <c r="CQ39" i="10" s="1"/>
  <c r="CR39" i="10" s="1" a="1"/>
  <c r="CR39" i="10" s="1"/>
  <c r="CP46" i="10"/>
  <c r="CQ46" i="10" s="1"/>
  <c r="CP41" i="10"/>
  <c r="CQ41" i="10" s="1"/>
  <c r="CE43" i="10"/>
  <c r="CH43" i="10" s="1"/>
  <c r="CI43" i="10" s="1"/>
  <c r="CJ43" i="10" s="1" a="1"/>
  <c r="CJ43" i="10" s="1"/>
  <c r="CE40" i="10"/>
  <c r="CH40" i="10" s="1"/>
  <c r="CI40" i="10" s="1"/>
  <c r="CJ40" i="10" s="1" a="1"/>
  <c r="CJ40" i="10" s="1"/>
  <c r="BT32" i="10"/>
  <c r="BU32" i="10" s="1"/>
  <c r="BT26" i="10"/>
  <c r="BU26" i="10" s="1"/>
  <c r="CP28" i="10"/>
  <c r="CQ28" i="10" s="1"/>
  <c r="CR28" i="10" s="1" a="1"/>
  <c r="CR28" i="10" s="1"/>
  <c r="BF31" i="10"/>
  <c r="BP31" i="10" s="1"/>
  <c r="BQ31" i="10" s="1"/>
  <c r="CE24" i="10"/>
  <c r="CH24" i="10" s="1"/>
  <c r="CI24" i="10" s="1"/>
  <c r="CJ24" i="10" s="1" a="1"/>
  <c r="CJ24" i="10" s="1"/>
  <c r="BF94" i="10"/>
  <c r="BX94" i="10" s="1"/>
  <c r="BY94" i="10" s="1"/>
  <c r="CT92" i="10"/>
  <c r="CU92" i="10" s="1"/>
  <c r="CE111" i="10"/>
  <c r="CP111" i="10" s="1"/>
  <c r="CQ111" i="10" s="1"/>
  <c r="BP95" i="10"/>
  <c r="BQ95" i="10" s="1"/>
  <c r="BL92" i="10"/>
  <c r="BM92" i="10" s="1"/>
  <c r="BN92" i="10" s="1" a="1"/>
  <c r="BN92" i="10" s="1"/>
  <c r="CH92" i="10"/>
  <c r="CI92" i="10" s="1"/>
  <c r="CJ92" i="10" s="1" a="1"/>
  <c r="CJ92" i="10" s="1"/>
  <c r="BP92" i="10"/>
  <c r="BQ92" i="10" s="1"/>
  <c r="CH85" i="10"/>
  <c r="CI85" i="10" s="1"/>
  <c r="CJ85" i="10" s="1" a="1"/>
  <c r="CJ85" i="10" s="1"/>
  <c r="BF90" i="10"/>
  <c r="BT90" i="10" s="1"/>
  <c r="BU90" i="10" s="1"/>
  <c r="CT82" i="10"/>
  <c r="CU82" i="10" s="1"/>
  <c r="BF81" i="10"/>
  <c r="BP81" i="10" s="1"/>
  <c r="BQ81" i="10" s="1"/>
  <c r="CT87" i="10"/>
  <c r="CU87" i="10" s="1"/>
  <c r="BF69" i="10"/>
  <c r="BT69" i="10" s="1"/>
  <c r="BU69" i="10" s="1"/>
  <c r="BP88" i="10"/>
  <c r="BQ88" i="10" s="1"/>
  <c r="BT73" i="10"/>
  <c r="BU73" i="10" s="1"/>
  <c r="BX77" i="10"/>
  <c r="BY77" i="10" s="1"/>
  <c r="BF71" i="10"/>
  <c r="BX71" i="10" s="1"/>
  <c r="BY71" i="10" s="1"/>
  <c r="BX64" i="10"/>
  <c r="BY64" i="10" s="1"/>
  <c r="BF68" i="10"/>
  <c r="BT68" i="10" s="1"/>
  <c r="BU68" i="10" s="1"/>
  <c r="CL83" i="10"/>
  <c r="CM83" i="10" s="1"/>
  <c r="CH79" i="10"/>
  <c r="CI79" i="10" s="1"/>
  <c r="CJ79" i="10" s="1" a="1"/>
  <c r="CJ79" i="10" s="1"/>
  <c r="BF57" i="10"/>
  <c r="BP57" i="10" s="1"/>
  <c r="BQ57" i="10" s="1"/>
  <c r="CE57" i="10"/>
  <c r="CL57" i="10" s="1"/>
  <c r="CM57" i="10" s="1"/>
  <c r="CE54" i="10"/>
  <c r="CH54" i="10" s="1"/>
  <c r="CI54" i="10" s="1"/>
  <c r="CJ54" i="10" s="1" a="1"/>
  <c r="CJ54" i="10" s="1"/>
  <c r="BL54" i="10"/>
  <c r="BM54" i="10" s="1"/>
  <c r="BN54" i="10" s="1" a="1"/>
  <c r="BN54" i="10" s="1"/>
  <c r="CT50" i="10"/>
  <c r="CU50" i="10" s="1"/>
  <c r="BF46" i="10"/>
  <c r="BT46" i="10" s="1"/>
  <c r="BU46" i="10" s="1"/>
  <c r="CE45" i="10"/>
  <c r="CH45" i="10" s="1"/>
  <c r="CI45" i="10" s="1"/>
  <c r="CJ45" i="10" s="1" a="1"/>
  <c r="CJ45" i="10" s="1"/>
  <c r="BF41" i="10"/>
  <c r="BT41" i="10" s="1"/>
  <c r="BU41" i="10" s="1"/>
  <c r="CH39" i="10"/>
  <c r="CI39" i="10" s="1"/>
  <c r="CJ39" i="10" s="1" a="1"/>
  <c r="CJ39" i="10" s="1"/>
  <c r="BL39" i="10"/>
  <c r="BM39" i="10" s="1"/>
  <c r="BN39" i="10" s="1" a="1"/>
  <c r="BN39" i="10" s="1"/>
  <c r="CH62" i="10"/>
  <c r="CI62" i="10" s="1"/>
  <c r="CJ62" i="10" s="1" a="1"/>
  <c r="CJ62" i="10" s="1"/>
  <c r="BT62" i="10"/>
  <c r="BU62" i="10" s="1"/>
  <c r="BV62" i="10" s="1" a="1"/>
  <c r="BV62" i="10" s="1"/>
  <c r="BL62" i="10"/>
  <c r="BM62" i="10" s="1"/>
  <c r="BN62" i="10" s="1" a="1"/>
  <c r="BN62" i="10" s="1"/>
  <c r="BT47" i="10"/>
  <c r="BU47" i="10" s="1"/>
  <c r="BV47" i="10" s="1" a="1"/>
  <c r="BV47" i="10" s="1"/>
  <c r="BL34" i="10"/>
  <c r="BM34" i="10" s="1"/>
  <c r="BN34" i="10" s="1" a="1"/>
  <c r="BN34" i="10" s="1"/>
  <c r="CH34" i="10"/>
  <c r="CI34" i="10" s="1"/>
  <c r="CJ34" i="10" s="1" a="1"/>
  <c r="CJ34" i="10" s="1"/>
  <c r="BT34" i="10"/>
  <c r="BU34" i="10" s="1"/>
  <c r="CT31" i="10"/>
  <c r="CU31" i="10" s="1"/>
  <c r="CH23" i="10"/>
  <c r="CI23" i="10" s="1"/>
  <c r="CN23" i="10" s="1" a="1"/>
  <c r="CN23" i="10" s="1"/>
  <c r="BF28" i="10"/>
  <c r="BP28" i="10" s="1"/>
  <c r="BQ28" i="10" s="1"/>
  <c r="CP36" i="10"/>
  <c r="CQ36" i="10" s="1"/>
  <c r="CE35" i="10"/>
  <c r="CL35" i="10" s="1"/>
  <c r="CM35" i="10" s="1"/>
  <c r="CJ30" i="10" a="1"/>
  <c r="CJ30" i="10" s="1"/>
  <c r="CX890" i="10" l="1"/>
  <c r="Z890" i="10" s="1"/>
  <c r="CB294" i="10"/>
  <c r="S294" i="10" s="1"/>
  <c r="CB563" i="10"/>
  <c r="S563" i="10" s="1"/>
  <c r="CX650" i="10"/>
  <c r="Z650" i="10" s="1"/>
  <c r="CX439" i="10"/>
  <c r="Z439" i="10" s="1"/>
  <c r="CB204" i="10"/>
  <c r="S204" i="10" s="1"/>
  <c r="CB862" i="10"/>
  <c r="S862" i="10" s="1"/>
  <c r="AF862" i="10" s="1"/>
  <c r="CB870" i="10"/>
  <c r="S870" i="10" s="1"/>
  <c r="AF870" i="10" s="1"/>
  <c r="CB908" i="10"/>
  <c r="S908" i="10" s="1"/>
  <c r="CX531" i="10"/>
  <c r="Z531" i="10" s="1"/>
  <c r="CX446" i="10"/>
  <c r="Z446" i="10" s="1"/>
  <c r="CX177" i="10"/>
  <c r="Z177" i="10" s="1"/>
  <c r="CB418" i="10"/>
  <c r="S418" i="10" s="1"/>
  <c r="CB238" i="10"/>
  <c r="S238" i="10" s="1"/>
  <c r="CB206" i="10"/>
  <c r="S206" i="10" s="1"/>
  <c r="CX708" i="10"/>
  <c r="Z708" i="10" s="1"/>
  <c r="CB768" i="10"/>
  <c r="S768" i="10" s="1"/>
  <c r="CB712" i="10"/>
  <c r="S712" i="10" s="1"/>
  <c r="AF712" i="10" s="1"/>
  <c r="CB676" i="10"/>
  <c r="S676" i="10" s="1"/>
  <c r="CB740" i="10"/>
  <c r="S740" i="10" s="1"/>
  <c r="CB420" i="10"/>
  <c r="S420" i="10" s="1"/>
  <c r="CX368" i="10"/>
  <c r="Z368" i="10" s="1"/>
  <c r="CB188" i="10"/>
  <c r="S188" i="10" s="1"/>
  <c r="AF988" i="10"/>
  <c r="CB904" i="10"/>
  <c r="S904" i="10" s="1"/>
  <c r="CB646" i="10"/>
  <c r="S646" i="10" s="1"/>
  <c r="AF646" i="10" s="1"/>
  <c r="CX450" i="10"/>
  <c r="Z450" i="10" s="1"/>
  <c r="AF450" i="10" s="1"/>
  <c r="CB814" i="10"/>
  <c r="S814" i="10" s="1"/>
  <c r="CB728" i="10"/>
  <c r="S728" i="10" s="1"/>
  <c r="AF728" i="10" s="1"/>
  <c r="CB854" i="10"/>
  <c r="S854" i="10" s="1"/>
  <c r="AF854" i="10" s="1"/>
  <c r="CB842" i="10"/>
  <c r="S842" i="10" s="1"/>
  <c r="CB841" i="10"/>
  <c r="S841" i="10" s="1"/>
  <c r="AF724" i="10"/>
  <c r="CX558" i="10"/>
  <c r="Z558" i="10" s="1"/>
  <c r="CB250" i="10"/>
  <c r="S250" i="10" s="1"/>
  <c r="CX700" i="10"/>
  <c r="Z700" i="10" s="1"/>
  <c r="CX658" i="10"/>
  <c r="Z658" i="10" s="1"/>
  <c r="AF159" i="10"/>
  <c r="CB286" i="10"/>
  <c r="S286" i="10" s="1"/>
  <c r="CX886" i="10"/>
  <c r="Z886" i="10" s="1"/>
  <c r="CB874" i="10"/>
  <c r="S874" i="10" s="1"/>
  <c r="CX830" i="10"/>
  <c r="Z830" i="10" s="1"/>
  <c r="CB916" i="10"/>
  <c r="S916" i="10" s="1"/>
  <c r="CB920" i="10"/>
  <c r="S920" i="10" s="1"/>
  <c r="CX654" i="10"/>
  <c r="Z654" i="10" s="1"/>
  <c r="CB647" i="10"/>
  <c r="S647" i="10" s="1"/>
  <c r="CX231" i="10"/>
  <c r="Z231" i="10" s="1"/>
  <c r="CX250" i="10"/>
  <c r="Z250" i="10" s="1"/>
  <c r="CB878" i="10"/>
  <c r="S878" i="10" s="1"/>
  <c r="AF866" i="10"/>
  <c r="CB559" i="10"/>
  <c r="S559" i="10" s="1"/>
  <c r="CB290" i="10"/>
  <c r="S290" i="10" s="1"/>
  <c r="CX211" i="10"/>
  <c r="Z211" i="10" s="1"/>
  <c r="AF370" i="10"/>
  <c r="CB912" i="10"/>
  <c r="S912" i="10" s="1"/>
  <c r="AF834" i="10"/>
  <c r="CB531" i="10"/>
  <c r="S531" i="10" s="1"/>
  <c r="CB172" i="10"/>
  <c r="S172" i="10" s="1"/>
  <c r="CB630" i="10"/>
  <c r="S630" i="10" s="1"/>
  <c r="CB164" i="10"/>
  <c r="S164" i="10" s="1"/>
  <c r="CB192" i="10"/>
  <c r="S192" i="10" s="1"/>
  <c r="CV989" i="10" a="1"/>
  <c r="CV989" i="10" s="1"/>
  <c r="CW989" i="10" a="1"/>
  <c r="CW989" i="10" s="1"/>
  <c r="CA782" i="10" a="1"/>
  <c r="CA782" i="10" s="1"/>
  <c r="CW808" i="10" a="1"/>
  <c r="CW808" i="10" s="1"/>
  <c r="CV808" i="10" a="1"/>
  <c r="CV808" i="10" s="1"/>
  <c r="BZ914" i="10" a="1"/>
  <c r="BZ914" i="10" s="1"/>
  <c r="CA914" i="10" a="1"/>
  <c r="CA914" i="10" s="1"/>
  <c r="BR950" i="10" a="1"/>
  <c r="BR950" i="10" s="1"/>
  <c r="CV788" i="10" a="1"/>
  <c r="CV788" i="10" s="1"/>
  <c r="CW788" i="10" a="1"/>
  <c r="CW788" i="10" s="1"/>
  <c r="CW831" i="10" a="1"/>
  <c r="CW831" i="10" s="1"/>
  <c r="CV981" i="10" a="1"/>
  <c r="CV981" i="10" s="1"/>
  <c r="CW981" i="10" a="1"/>
  <c r="CW981" i="10" s="1"/>
  <c r="CR879" i="10" a="1"/>
  <c r="CR879" i="10" s="1"/>
  <c r="CW801" i="10" a="1"/>
  <c r="CW801" i="10" s="1"/>
  <c r="BZ758" i="10" a="1"/>
  <c r="BZ758" i="10" s="1"/>
  <c r="CA758" i="10" a="1"/>
  <c r="CA758" i="10" s="1"/>
  <c r="CV1013" i="10" a="1"/>
  <c r="CV1013" i="10" s="1"/>
  <c r="CW1013" i="10" a="1"/>
  <c r="CW1013" i="10" s="1"/>
  <c r="CN997" i="10" a="1"/>
  <c r="CN997" i="10" s="1"/>
  <c r="BV925" i="10" a="1"/>
  <c r="BV925" i="10" s="1"/>
  <c r="BV929" i="10" a="1"/>
  <c r="BV929" i="10" s="1"/>
  <c r="BV801" i="10" a="1"/>
  <c r="BV801" i="10" s="1"/>
  <c r="CW950" i="10" a="1"/>
  <c r="CW950" i="10" s="1"/>
  <c r="CA910" i="10" a="1"/>
  <c r="CA910" i="10" s="1"/>
  <c r="CA705" i="10" a="1"/>
  <c r="CA705" i="10" s="1"/>
  <c r="CA722" i="10" a="1"/>
  <c r="CA722" i="10" s="1"/>
  <c r="BZ722" i="10" a="1"/>
  <c r="BZ722" i="10" s="1"/>
  <c r="CV713" i="10" a="1"/>
  <c r="CV713" i="10" s="1"/>
  <c r="CW713" i="10" a="1"/>
  <c r="CW713" i="10" s="1"/>
  <c r="CV513" i="10" a="1"/>
  <c r="CV513" i="10" s="1"/>
  <c r="CW513" i="10" a="1"/>
  <c r="CW513" i="10" s="1"/>
  <c r="CA522" i="10" a="1"/>
  <c r="CA522" i="10" s="1"/>
  <c r="CA645" i="10" a="1"/>
  <c r="CA645" i="10" s="1"/>
  <c r="BZ645" i="10" a="1"/>
  <c r="BZ645" i="10" s="1"/>
  <c r="CA517" i="10" a="1"/>
  <c r="CA517" i="10" s="1"/>
  <c r="BZ517" i="10" a="1"/>
  <c r="BZ517" i="10" s="1"/>
  <c r="CV490" i="10" a="1"/>
  <c r="CV490" i="10" s="1"/>
  <c r="CW490" i="10" a="1"/>
  <c r="CW490" i="10" s="1"/>
  <c r="CW445" i="10" a="1"/>
  <c r="CW445" i="10" s="1"/>
  <c r="CW693" i="10" a="1"/>
  <c r="CW693" i="10" s="1"/>
  <c r="CV693" i="10" a="1"/>
  <c r="CV693" i="10" s="1"/>
  <c r="CW621" i="10" a="1"/>
  <c r="CW621" i="10" s="1"/>
  <c r="CW509" i="10" a="1"/>
  <c r="CW509" i="10" s="1"/>
  <c r="CA461" i="10" a="1"/>
  <c r="CA461" i="10" s="1"/>
  <c r="CW754" i="10" a="1"/>
  <c r="CW754" i="10" s="1"/>
  <c r="CV754" i="10" a="1"/>
  <c r="CV754" i="10" s="1"/>
  <c r="CW549" i="10" a="1"/>
  <c r="CW549" i="10" s="1"/>
  <c r="CW453" i="10" a="1"/>
  <c r="CW453" i="10" s="1"/>
  <c r="CN581" i="10" a="1"/>
  <c r="CN581" i="10" s="1"/>
  <c r="BV625" i="10" a="1"/>
  <c r="BV625" i="10" s="1"/>
  <c r="CV398" i="10" a="1"/>
  <c r="CV398" i="10" s="1"/>
  <c r="CW398" i="10" a="1"/>
  <c r="CW398" i="10" s="1"/>
  <c r="CW316" i="10" a="1"/>
  <c r="CW316" i="10" s="1"/>
  <c r="CV316" i="10" a="1"/>
  <c r="CV316" i="10" s="1"/>
  <c r="CA257" i="10" a="1"/>
  <c r="CA257" i="10" s="1"/>
  <c r="BZ254" i="10" a="1"/>
  <c r="BZ254" i="10" s="1"/>
  <c r="CA254" i="10" a="1"/>
  <c r="CA254" i="10" s="1"/>
  <c r="CW197" i="10" a="1"/>
  <c r="CW197" i="10" s="1"/>
  <c r="BZ339" i="10" a="1"/>
  <c r="BZ339" i="10" s="1"/>
  <c r="CA339" i="10" a="1"/>
  <c r="CA339" i="10" s="1"/>
  <c r="CR247" i="10" a="1"/>
  <c r="CR247" i="10" s="1"/>
  <c r="CV135" i="10" a="1"/>
  <c r="CV135" i="10" s="1"/>
  <c r="CW135" i="10" a="1"/>
  <c r="CW135" i="10" s="1"/>
  <c r="AF448" i="10"/>
  <c r="CV317" i="10" a="1"/>
  <c r="CV317" i="10" s="1"/>
  <c r="CW317" i="10" a="1"/>
  <c r="CW317" i="10" s="1"/>
  <c r="BZ313" i="10" a="1"/>
  <c r="BZ313" i="10" s="1"/>
  <c r="CA313" i="10" a="1"/>
  <c r="CA313" i="10" s="1"/>
  <c r="BZ216" i="10" a="1"/>
  <c r="BZ216" i="10" s="1"/>
  <c r="CA216" i="10" a="1"/>
  <c r="CA216" i="10" s="1"/>
  <c r="BR348" i="10" a="1"/>
  <c r="BR348" i="10" s="1"/>
  <c r="CW343" i="10" a="1"/>
  <c r="CW343" i="10" s="1"/>
  <c r="CV302" i="10" a="1"/>
  <c r="CV302" i="10" s="1"/>
  <c r="CW302" i="10" a="1"/>
  <c r="CW302" i="10" s="1"/>
  <c r="BR390" i="10" a="1"/>
  <c r="BR390" i="10" s="1"/>
  <c r="BZ285" i="10" a="1"/>
  <c r="BZ285" i="10" s="1"/>
  <c r="CA285" i="10" a="1"/>
  <c r="CA285" i="10" s="1"/>
  <c r="BZ264" i="10" a="1"/>
  <c r="BZ264" i="10" s="1"/>
  <c r="CA264" i="10" a="1"/>
  <c r="CA264" i="10" s="1"/>
  <c r="CA198" i="10" a="1"/>
  <c r="CA198" i="10" s="1"/>
  <c r="CW184" i="10" a="1"/>
  <c r="CW184" i="10" s="1"/>
  <c r="CN157" i="10" a="1"/>
  <c r="CN157" i="10" s="1"/>
  <c r="CN349" i="10" a="1"/>
  <c r="CN349" i="10" s="1"/>
  <c r="BV289" i="10" a="1"/>
  <c r="BV289" i="10" s="1"/>
  <c r="CA201" i="10" a="1"/>
  <c r="CA201" i="10" s="1"/>
  <c r="BZ201" i="10" a="1"/>
  <c r="BZ201" i="10" s="1"/>
  <c r="CN391" i="10" a="1"/>
  <c r="CN391" i="10" s="1"/>
  <c r="BV280" i="10" a="1"/>
  <c r="BV280" i="10" s="1"/>
  <c r="CR185" i="10" a="1"/>
  <c r="CR185" i="10" s="1"/>
  <c r="CN172" i="10" a="1"/>
  <c r="CN172" i="10" s="1"/>
  <c r="BR154" i="10" a="1"/>
  <c r="BR154" i="10" s="1"/>
  <c r="CW153" i="10" a="1"/>
  <c r="CW153" i="10" s="1"/>
  <c r="CV153" i="10" a="1"/>
  <c r="CV153" i="10" s="1"/>
  <c r="CV180" i="10" a="1"/>
  <c r="CV180" i="10" s="1"/>
  <c r="CW180" i="10" a="1"/>
  <c r="CW180" i="10" s="1"/>
  <c r="BR155" i="10" a="1"/>
  <c r="BR155" i="10" s="1"/>
  <c r="CA268" i="10" a="1"/>
  <c r="CA268" i="10" s="1"/>
  <c r="BZ268" i="10" a="1"/>
  <c r="BZ268" i="10" s="1"/>
  <c r="CA958" i="10" a="1"/>
  <c r="CA958" i="10" s="1"/>
  <c r="BZ958" i="10" a="1"/>
  <c r="BZ958" i="10" s="1"/>
  <c r="CA796" i="10" a="1"/>
  <c r="CA796" i="10" s="1"/>
  <c r="BZ796" i="10" a="1"/>
  <c r="BZ796" i="10" s="1"/>
  <c r="CW758" i="10" a="1"/>
  <c r="CW758" i="10" s="1"/>
  <c r="CV758" i="10" a="1"/>
  <c r="CV758" i="10" s="1"/>
  <c r="CA979" i="10" a="1"/>
  <c r="CA979" i="10" s="1"/>
  <c r="CA993" i="10" a="1"/>
  <c r="CA993" i="10" s="1"/>
  <c r="BZ993" i="10" a="1"/>
  <c r="BZ993" i="10" s="1"/>
  <c r="CW954" i="10" a="1"/>
  <c r="CW954" i="10" s="1"/>
  <c r="CA917" i="10" a="1"/>
  <c r="CA917" i="10" s="1"/>
  <c r="BV891" i="10" a="1"/>
  <c r="BV891" i="10" s="1"/>
  <c r="CW968" i="10" a="1"/>
  <c r="CW968" i="10" s="1"/>
  <c r="CV968" i="10" a="1"/>
  <c r="CV968" i="10" s="1"/>
  <c r="BZ714" i="10" a="1"/>
  <c r="BZ714" i="10" s="1"/>
  <c r="CA714" i="10" a="1"/>
  <c r="CA714" i="10" s="1"/>
  <c r="BZ778" i="10" a="1"/>
  <c r="BZ778" i="10" s="1"/>
  <c r="CA778" i="10" a="1"/>
  <c r="CA778" i="10" s="1"/>
  <c r="CW697" i="10" a="1"/>
  <c r="CW697" i="10" s="1"/>
  <c r="CW920" i="10" a="1"/>
  <c r="CW920" i="10" s="1"/>
  <c r="CV920" i="10" a="1"/>
  <c r="CV920" i="10" s="1"/>
  <c r="CN816" i="10" a="1"/>
  <c r="CN816" i="10" s="1"/>
  <c r="CN762" i="10" a="1"/>
  <c r="CN762" i="10" s="1"/>
  <c r="BV754" i="10" a="1"/>
  <c r="BV754" i="10" s="1"/>
  <c r="CA998" i="10" a="1"/>
  <c r="CA998" i="10" s="1"/>
  <c r="CW966" i="10" a="1"/>
  <c r="CW966" i="10" s="1"/>
  <c r="CW960" i="10" a="1"/>
  <c r="CW960" i="10" s="1"/>
  <c r="CV960" i="10" a="1"/>
  <c r="CV960" i="10" s="1"/>
  <c r="BR887" i="10" a="1"/>
  <c r="BR887" i="10" s="1"/>
  <c r="CR813" i="10" a="1"/>
  <c r="CR813" i="10" s="1"/>
  <c r="BR762" i="10" a="1"/>
  <c r="BR762" i="10" s="1"/>
  <c r="AF846" i="10"/>
  <c r="CA848" i="10" a="1"/>
  <c r="CA848" i="10" s="1"/>
  <c r="BZ900" i="10" a="1"/>
  <c r="BZ900" i="10" s="1"/>
  <c r="CA900" i="10" a="1"/>
  <c r="CA900" i="10" s="1"/>
  <c r="CA793" i="10" a="1"/>
  <c r="CA793" i="10" s="1"/>
  <c r="BR686" i="10" a="1"/>
  <c r="BR686" i="10" s="1"/>
  <c r="CV501" i="10" a="1"/>
  <c r="CV501" i="10" s="1"/>
  <c r="CW501" i="10" a="1"/>
  <c r="CW501" i="10" s="1"/>
  <c r="CV498" i="10" a="1"/>
  <c r="CV498" i="10" s="1"/>
  <c r="CW498" i="10" a="1"/>
  <c r="CW498" i="10" s="1"/>
  <c r="BR673" i="10" a="1"/>
  <c r="BR673" i="10" s="1"/>
  <c r="CA521" i="10" a="1"/>
  <c r="CA521" i="10" s="1"/>
  <c r="BZ521" i="10" a="1"/>
  <c r="BZ521" i="10" s="1"/>
  <c r="CW608" i="10" a="1"/>
  <c r="CW608" i="10" s="1"/>
  <c r="BZ576" i="10" a="1"/>
  <c r="BZ576" i="10" s="1"/>
  <c r="CA576" i="10" a="1"/>
  <c r="CA576" i="10" s="1"/>
  <c r="BZ713" i="10" a="1"/>
  <c r="BZ713" i="10" s="1"/>
  <c r="CA713" i="10" a="1"/>
  <c r="CA713" i="10" s="1"/>
  <c r="BZ565" i="10" a="1"/>
  <c r="BZ565" i="10" s="1"/>
  <c r="CA565" i="10" a="1"/>
  <c r="CA565" i="10" s="1"/>
  <c r="BZ569" i="10" a="1"/>
  <c r="BZ569" i="10" s="1"/>
  <c r="CA569" i="10" a="1"/>
  <c r="CA569" i="10" s="1"/>
  <c r="AF858" i="10"/>
  <c r="CW804" i="10" a="1"/>
  <c r="CW804" i="10" s="1"/>
  <c r="CA660" i="10" a="1"/>
  <c r="CA660" i="10" s="1"/>
  <c r="BR633" i="10" a="1"/>
  <c r="BR633" i="10" s="1"/>
  <c r="CV529" i="10" a="1"/>
  <c r="CV529" i="10" s="1"/>
  <c r="CW529" i="10" a="1"/>
  <c r="CW529" i="10" s="1"/>
  <c r="CA478" i="10" a="1"/>
  <c r="CA478" i="10" s="1"/>
  <c r="BZ478" i="10" a="1"/>
  <c r="BZ478" i="10" s="1"/>
  <c r="CR478" i="10" a="1"/>
  <c r="CR478" i="10" s="1"/>
  <c r="BZ470" i="10" a="1"/>
  <c r="BZ470" i="10" s="1"/>
  <c r="CA470" i="10" a="1"/>
  <c r="CA470" i="10" s="1"/>
  <c r="CA546" i="10" a="1"/>
  <c r="CA546" i="10" s="1"/>
  <c r="BZ546" i="10" a="1"/>
  <c r="BZ546" i="10" s="1"/>
  <c r="CA457" i="10" a="1"/>
  <c r="CA457" i="10" s="1"/>
  <c r="BZ457" i="10" a="1"/>
  <c r="BZ457" i="10" s="1"/>
  <c r="BV629" i="10" a="1"/>
  <c r="BV629" i="10" s="1"/>
  <c r="BR585" i="10" a="1"/>
  <c r="BR585" i="10" s="1"/>
  <c r="CN595" i="10" a="1"/>
  <c r="CN595" i="10" s="1"/>
  <c r="BZ564" i="10" a="1"/>
  <c r="BZ564" i="10" s="1"/>
  <c r="CA564" i="10" a="1"/>
  <c r="CA564" i="10" s="1"/>
  <c r="BV534" i="10" a="1"/>
  <c r="BV534" i="10" s="1"/>
  <c r="BZ511" i="10" a="1"/>
  <c r="BZ511" i="10" s="1"/>
  <c r="CA511" i="10" a="1"/>
  <c r="CA511" i="10" s="1"/>
  <c r="CW441" i="10" a="1"/>
  <c r="CW441" i="10" s="1"/>
  <c r="CR764" i="10" a="1"/>
  <c r="CR764" i="10" s="1"/>
  <c r="BR564" i="10" a="1"/>
  <c r="BR564" i="10" s="1"/>
  <c r="CA596" i="10" a="1"/>
  <c r="CA596" i="10" s="1"/>
  <c r="BZ507" i="10" a="1"/>
  <c r="BZ507" i="10" s="1"/>
  <c r="CA507" i="10" a="1"/>
  <c r="CA507" i="10" s="1"/>
  <c r="CV263" i="10" a="1"/>
  <c r="CV263" i="10" s="1"/>
  <c r="CW263" i="10" a="1"/>
  <c r="CW263" i="10" s="1"/>
  <c r="BZ406" i="10" a="1"/>
  <c r="BZ406" i="10" s="1"/>
  <c r="CA406" i="10" a="1"/>
  <c r="CA406" i="10" s="1"/>
  <c r="CW419" i="10" a="1"/>
  <c r="CW419" i="10" s="1"/>
  <c r="CV419" i="10" a="1"/>
  <c r="CV419" i="10" s="1"/>
  <c r="CV308" i="10" a="1"/>
  <c r="CV308" i="10" s="1"/>
  <c r="CW308" i="10" a="1"/>
  <c r="CW308" i="10" s="1"/>
  <c r="CV320" i="10" a="1"/>
  <c r="CV320" i="10" s="1"/>
  <c r="CW320" i="10" a="1"/>
  <c r="CW320" i="10" s="1"/>
  <c r="CA310" i="10" a="1"/>
  <c r="CA310" i="10" s="1"/>
  <c r="CR216" i="10" a="1"/>
  <c r="CR216" i="10" s="1"/>
  <c r="CA155" i="10" a="1"/>
  <c r="CA155" i="10" s="1"/>
  <c r="BV133" i="10" a="1"/>
  <c r="BV133" i="10" s="1"/>
  <c r="CV328" i="10" a="1"/>
  <c r="CV328" i="10" s="1"/>
  <c r="CW328" i="10" a="1"/>
  <c r="CW328" i="10" s="1"/>
  <c r="CV296" i="10" a="1"/>
  <c r="CV296" i="10" s="1"/>
  <c r="CW296" i="10" a="1"/>
  <c r="CW296" i="10" s="1"/>
  <c r="CV164" i="10" a="1"/>
  <c r="CV164" i="10" s="1"/>
  <c r="CW164" i="10" a="1"/>
  <c r="CW164" i="10" s="1"/>
  <c r="BR506" i="10" a="1"/>
  <c r="BR506" i="10" s="1"/>
  <c r="BV348" i="10" a="1"/>
  <c r="BV348" i="10" s="1"/>
  <c r="CW284" i="10" a="1"/>
  <c r="CW284" i="10" s="1"/>
  <c r="CN302" i="10" a="1"/>
  <c r="CN302" i="10" s="1"/>
  <c r="CV272" i="10" a="1"/>
  <c r="CV272" i="10" s="1"/>
  <c r="CW272" i="10" a="1"/>
  <c r="CW272" i="10" s="1"/>
  <c r="CW173" i="10" a="1"/>
  <c r="CW173" i="10" s="1"/>
  <c r="CA147" i="10" a="1"/>
  <c r="CA147" i="10" s="1"/>
  <c r="CW379" i="10" a="1"/>
  <c r="CW379" i="10" s="1"/>
  <c r="CV379" i="10" a="1"/>
  <c r="CV379" i="10" s="1"/>
  <c r="CA341" i="10" a="1"/>
  <c r="CA341" i="10" s="1"/>
  <c r="BZ341" i="10" a="1"/>
  <c r="BZ341" i="10" s="1"/>
  <c r="CW198" i="10" a="1"/>
  <c r="CW198" i="10" s="1"/>
  <c r="CV198" i="10" a="1"/>
  <c r="CV198" i="10" s="1"/>
  <c r="CN259" i="10" a="1"/>
  <c r="CN259" i="10" s="1"/>
  <c r="BV216" i="10" a="1"/>
  <c r="BV216" i="10" s="1"/>
  <c r="BR431" i="10" a="1"/>
  <c r="BR431" i="10" s="1"/>
  <c r="CW397" i="10" a="1"/>
  <c r="CW397" i="10" s="1"/>
  <c r="CV397" i="10" a="1"/>
  <c r="CV397" i="10" s="1"/>
  <c r="BR285" i="10" a="1"/>
  <c r="BR285" i="10" s="1"/>
  <c r="CV172" i="10" a="1"/>
  <c r="CV172" i="10" s="1"/>
  <c r="CW172" i="10" a="1"/>
  <c r="CW172" i="10" s="1"/>
  <c r="BZ305" i="10" a="1"/>
  <c r="BZ305" i="10" s="1"/>
  <c r="CA305" i="10" a="1"/>
  <c r="CA305" i="10" s="1"/>
  <c r="CA1013" i="10" a="1"/>
  <c r="CA1013" i="10" s="1"/>
  <c r="CW945" i="10" a="1"/>
  <c r="CW945" i="10" s="1"/>
  <c r="CV847" i="10" a="1"/>
  <c r="CV847" i="10" s="1"/>
  <c r="CW847" i="10" a="1"/>
  <c r="CW847" i="10" s="1"/>
  <c r="CA805" i="10" a="1"/>
  <c r="CA805" i="10" s="1"/>
  <c r="CW906" i="10" a="1"/>
  <c r="CW906" i="10" s="1"/>
  <c r="CV906" i="10" a="1"/>
  <c r="CV906" i="10" s="1"/>
  <c r="CW714" i="10" a="1"/>
  <c r="CW714" i="10" s="1"/>
  <c r="CW809" i="10" a="1"/>
  <c r="CW809" i="10" s="1"/>
  <c r="CV809" i="10" a="1"/>
  <c r="CV809" i="10" s="1"/>
  <c r="BV978" i="10" a="1"/>
  <c r="BV978" i="10" s="1"/>
  <c r="BV921" i="10" a="1"/>
  <c r="BV921" i="10" s="1"/>
  <c r="CA1006" i="10" a="1"/>
  <c r="CA1006" i="10" s="1"/>
  <c r="BZ1006" i="10" a="1"/>
  <c r="BZ1006" i="10" s="1"/>
  <c r="CW917" i="10" a="1"/>
  <c r="CW917" i="10" s="1"/>
  <c r="CV792" i="10" a="1"/>
  <c r="CV792" i="10" s="1"/>
  <c r="CW792" i="10" a="1"/>
  <c r="CW792" i="10" s="1"/>
  <c r="CA798" i="10" a="1"/>
  <c r="CA798" i="10" s="1"/>
  <c r="BR880" i="10" a="1"/>
  <c r="BR880" i="10" s="1"/>
  <c r="CA789" i="10" a="1"/>
  <c r="CA789" i="10" s="1"/>
  <c r="BZ789" i="10" a="1"/>
  <c r="BZ789" i="10" s="1"/>
  <c r="BZ746" i="10" a="1"/>
  <c r="BZ746" i="10" s="1"/>
  <c r="CA746" i="10" a="1"/>
  <c r="CA746" i="10" s="1"/>
  <c r="BR910" i="10" a="1"/>
  <c r="BR910" i="10" s="1"/>
  <c r="BZ949" i="10" a="1"/>
  <c r="BZ949" i="10" s="1"/>
  <c r="CA949" i="10" a="1"/>
  <c r="CA949" i="10" s="1"/>
  <c r="CN887" i="10" a="1"/>
  <c r="CN887" i="10" s="1"/>
  <c r="CN746" i="10" a="1"/>
  <c r="CN746" i="10" s="1"/>
  <c r="CR1001" i="10" a="1"/>
  <c r="CR1001" i="10" s="1"/>
  <c r="BR868" i="10" a="1"/>
  <c r="BR868" i="10" s="1"/>
  <c r="CN970" i="10" a="1"/>
  <c r="CN970" i="10" s="1"/>
  <c r="BR1009" i="10" a="1"/>
  <c r="BR1009" i="10" s="1"/>
  <c r="BV868" i="10" a="1"/>
  <c r="BV868" i="10" s="1"/>
  <c r="BR758" i="10" a="1"/>
  <c r="BR758" i="10" s="1"/>
  <c r="CW601" i="10" a="1"/>
  <c r="CW601" i="10" s="1"/>
  <c r="BZ533" i="10" a="1"/>
  <c r="BZ533" i="10" s="1"/>
  <c r="CA533" i="10" a="1"/>
  <c r="CA533" i="10" s="1"/>
  <c r="CV434" i="10" a="1"/>
  <c r="CV434" i="10" s="1"/>
  <c r="CW434" i="10" a="1"/>
  <c r="CW434" i="10" s="1"/>
  <c r="CW489" i="10" a="1"/>
  <c r="CW489" i="10" s="1"/>
  <c r="CA479" i="10" a="1"/>
  <c r="CA479" i="10" s="1"/>
  <c r="CA717" i="10" a="1"/>
  <c r="CA717" i="10" s="1"/>
  <c r="BZ717" i="10" a="1"/>
  <c r="BZ717" i="10" s="1"/>
  <c r="CV553" i="10" a="1"/>
  <c r="CV553" i="10" s="1"/>
  <c r="CW553" i="10" a="1"/>
  <c r="CW553" i="10" s="1"/>
  <c r="BZ734" i="10" a="1"/>
  <c r="BZ734" i="10" s="1"/>
  <c r="CA734" i="10" a="1"/>
  <c r="CA734" i="10" s="1"/>
  <c r="BZ601" i="10" a="1"/>
  <c r="BZ601" i="10" s="1"/>
  <c r="CA601" i="10" a="1"/>
  <c r="CA601" i="10" s="1"/>
  <c r="BZ625" i="10" a="1"/>
  <c r="BZ625" i="10" s="1"/>
  <c r="CA625" i="10" a="1"/>
  <c r="CA625" i="10" s="1"/>
  <c r="CW555" i="10" a="1"/>
  <c r="CW555" i="10" s="1"/>
  <c r="CR514" i="10" a="1"/>
  <c r="CR514" i="10" s="1"/>
  <c r="BZ465" i="10" a="1"/>
  <c r="BZ465" i="10" s="1"/>
  <c r="CA465" i="10" a="1"/>
  <c r="CA465" i="10" s="1"/>
  <c r="AF842" i="10"/>
  <c r="CW495" i="10" a="1"/>
  <c r="CW495" i="10" s="1"/>
  <c r="CV495" i="10" a="1"/>
  <c r="CV495" i="10" s="1"/>
  <c r="CV589" i="10" a="1"/>
  <c r="CV589" i="10" s="1"/>
  <c r="CW589" i="10" a="1"/>
  <c r="CW589" i="10" s="1"/>
  <c r="CN501" i="10" a="1"/>
  <c r="CN501" i="10" s="1"/>
  <c r="CN665" i="10" a="1"/>
  <c r="CN665" i="10" s="1"/>
  <c r="CN737" i="10" a="1"/>
  <c r="CN737" i="10" s="1"/>
  <c r="BV568" i="10" a="1"/>
  <c r="BV568" i="10" s="1"/>
  <c r="BV546" i="10" a="1"/>
  <c r="BV546" i="10" s="1"/>
  <c r="CR469" i="10" a="1"/>
  <c r="CR469" i="10" s="1"/>
  <c r="AF841" i="10"/>
  <c r="CR589" i="10" a="1"/>
  <c r="CR589" i="10" s="1"/>
  <c r="CN551" i="10" a="1"/>
  <c r="CN551" i="10" s="1"/>
  <c r="CR559" i="10" a="1"/>
  <c r="CR559" i="10" s="1"/>
  <c r="CV406" i="10" a="1"/>
  <c r="CV406" i="10" s="1"/>
  <c r="CW406" i="10" a="1"/>
  <c r="CW406" i="10" s="1"/>
  <c r="CW363" i="10" a="1"/>
  <c r="CW363" i="10" s="1"/>
  <c r="BV243" i="10" a="1"/>
  <c r="BV243" i="10" s="1"/>
  <c r="CW157" i="10" a="1"/>
  <c r="CW157" i="10" s="1"/>
  <c r="CR379" i="10" a="1"/>
  <c r="CR379" i="10" s="1"/>
  <c r="CW125" i="10" a="1"/>
  <c r="CW125" i="10" s="1"/>
  <c r="CV125" i="10" a="1"/>
  <c r="CV125" i="10" s="1"/>
  <c r="BZ389" i="10" a="1"/>
  <c r="BZ389" i="10" s="1"/>
  <c r="CA389" i="10" a="1"/>
  <c r="CA389" i="10" s="1"/>
  <c r="CW383" i="10" a="1"/>
  <c r="CW383" i="10" s="1"/>
  <c r="CV383" i="10" a="1"/>
  <c r="CV383" i="10" s="1"/>
  <c r="CA154" i="10" a="1"/>
  <c r="CA154" i="10" s="1"/>
  <c r="BZ154" i="10" a="1"/>
  <c r="BZ154" i="10" s="1"/>
  <c r="CN419" i="10" a="1"/>
  <c r="CN419" i="10" s="1"/>
  <c r="CX419" i="10" s="1"/>
  <c r="Z419" i="10" s="1"/>
  <c r="CB285" i="10"/>
  <c r="S285" i="10" s="1"/>
  <c r="CA280" i="10" a="1"/>
  <c r="CA280" i="10" s="1"/>
  <c r="BZ280" i="10" a="1"/>
  <c r="BZ280" i="10" s="1"/>
  <c r="CA269" i="10" a="1"/>
  <c r="CA269" i="10" s="1"/>
  <c r="CR192" i="10" a="1"/>
  <c r="CR192" i="10" s="1"/>
  <c r="CR332" i="10" a="1"/>
  <c r="CR332" i="10" s="1"/>
  <c r="CN272" i="10" a="1"/>
  <c r="CN272" i="10" s="1"/>
  <c r="CX272" i="10" s="1"/>
  <c r="Z272" i="10" s="1"/>
  <c r="CX263" i="10"/>
  <c r="Z263" i="10" s="1"/>
  <c r="CW1021" i="10" a="1"/>
  <c r="CW1021" i="10" s="1"/>
  <c r="CV1021" i="10" a="1"/>
  <c r="CV1021" i="10" s="1"/>
  <c r="CW946" i="10" a="1"/>
  <c r="CW946" i="10" s="1"/>
  <c r="CW957" i="10" a="1"/>
  <c r="CW957" i="10" s="1"/>
  <c r="CV957" i="10" a="1"/>
  <c r="CV957" i="10" s="1"/>
  <c r="CW921" i="10" a="1"/>
  <c r="CW921" i="10" s="1"/>
  <c r="CV921" i="10" a="1"/>
  <c r="CV921" i="10" s="1"/>
  <c r="CV949" i="10" a="1"/>
  <c r="CV949" i="10" s="1"/>
  <c r="CW949" i="10" a="1"/>
  <c r="CW949" i="10" s="1"/>
  <c r="CW774" i="10" a="1"/>
  <c r="CW774" i="10" s="1"/>
  <c r="CN949" i="10" a="1"/>
  <c r="CN949" i="10" s="1"/>
  <c r="CV851" i="10" a="1"/>
  <c r="CV851" i="10" s="1"/>
  <c r="CW851" i="10" a="1"/>
  <c r="CW851" i="10" s="1"/>
  <c r="CA750" i="10" a="1"/>
  <c r="CA750" i="10" s="1"/>
  <c r="CW778" i="10" a="1"/>
  <c r="CW778" i="10" s="1"/>
  <c r="CN960" i="10" a="1"/>
  <c r="CN960" i="10" s="1"/>
  <c r="CR904" i="10" a="1"/>
  <c r="CR904" i="10" s="1"/>
  <c r="CB758" i="10"/>
  <c r="S758" i="10" s="1"/>
  <c r="BV697" i="10" a="1"/>
  <c r="BV697" i="10" s="1"/>
  <c r="BZ868" i="10" a="1"/>
  <c r="BZ868" i="10" s="1"/>
  <c r="CA868" i="10" a="1"/>
  <c r="CA868" i="10" s="1"/>
  <c r="CW725" i="10" a="1"/>
  <c r="CW725" i="10" s="1"/>
  <c r="CV725" i="10" a="1"/>
  <c r="CV725" i="10" s="1"/>
  <c r="CW985" i="10" a="1"/>
  <c r="CW985" i="10" s="1"/>
  <c r="CW916" i="10" a="1"/>
  <c r="CW916" i="10" s="1"/>
  <c r="CV916" i="10" a="1"/>
  <c r="CV916" i="10" s="1"/>
  <c r="CN809" i="10" a="1"/>
  <c r="CN809" i="10" s="1"/>
  <c r="CX809" i="10" s="1"/>
  <c r="Z809" i="10" s="1"/>
  <c r="CW709" i="10" a="1"/>
  <c r="CW709" i="10" s="1"/>
  <c r="CV709" i="10" a="1"/>
  <c r="CV709" i="10" s="1"/>
  <c r="CN725" i="10" a="1"/>
  <c r="CN725" i="10" s="1"/>
  <c r="CA938" i="10" a="1"/>
  <c r="CA938" i="10" s="1"/>
  <c r="CA926" i="10" a="1"/>
  <c r="CA926" i="10" s="1"/>
  <c r="BZ926" i="10" a="1"/>
  <c r="BZ926" i="10" s="1"/>
  <c r="BZ788" i="10" a="1"/>
  <c r="BZ788" i="10" s="1"/>
  <c r="CA788" i="10" a="1"/>
  <c r="CA788" i="10" s="1"/>
  <c r="CW812" i="10" a="1"/>
  <c r="CW812" i="10" s="1"/>
  <c r="CW738" i="10" a="1"/>
  <c r="CW738" i="10" s="1"/>
  <c r="CV738" i="10" a="1"/>
  <c r="CV738" i="10" s="1"/>
  <c r="CV717" i="10" a="1"/>
  <c r="CV717" i="10" s="1"/>
  <c r="CW717" i="10" a="1"/>
  <c r="CW717" i="10" s="1"/>
  <c r="CW587" i="10" a="1"/>
  <c r="CW587" i="10" s="1"/>
  <c r="CV587" i="10" a="1"/>
  <c r="CV587" i="10" s="1"/>
  <c r="CW510" i="10" a="1"/>
  <c r="CW510" i="10" s="1"/>
  <c r="CV510" i="10" a="1"/>
  <c r="CV510" i="10" s="1"/>
  <c r="CN722" i="10" a="1"/>
  <c r="CN722" i="10" s="1"/>
  <c r="CW656" i="10" a="1"/>
  <c r="CW656" i="10" s="1"/>
  <c r="CV479" i="10" a="1"/>
  <c r="CV479" i="10" s="1"/>
  <c r="CW479" i="10" a="1"/>
  <c r="CW479" i="10" s="1"/>
  <c r="CW633" i="10" a="1"/>
  <c r="CW633" i="10" s="1"/>
  <c r="CV545" i="10" a="1"/>
  <c r="CV545" i="10" s="1"/>
  <c r="CW545" i="10" a="1"/>
  <c r="CW545" i="10" s="1"/>
  <c r="CR491" i="10" a="1"/>
  <c r="CR491" i="10" s="1"/>
  <c r="CW430" i="10" a="1"/>
  <c r="CW430" i="10" s="1"/>
  <c r="CV798" i="10" a="1"/>
  <c r="CV798" i="10" s="1"/>
  <c r="CW798" i="10" a="1"/>
  <c r="CW798" i="10" s="1"/>
  <c r="CW737" i="10" a="1"/>
  <c r="CW737" i="10" s="1"/>
  <c r="CV737" i="10" a="1"/>
  <c r="CV737" i="10" s="1"/>
  <c r="BZ633" i="10" a="1"/>
  <c r="BZ633" i="10" s="1"/>
  <c r="CA633" i="10" a="1"/>
  <c r="CA633" i="10" s="1"/>
  <c r="BZ587" i="10" a="1"/>
  <c r="BZ587" i="10" s="1"/>
  <c r="CA587" i="10" a="1"/>
  <c r="CA587" i="10" s="1"/>
  <c r="CR517" i="10" a="1"/>
  <c r="CR517" i="10" s="1"/>
  <c r="CB457" i="10"/>
  <c r="S457" i="10" s="1"/>
  <c r="CA681" i="10" a="1"/>
  <c r="CA681" i="10" s="1"/>
  <c r="BR694" i="10" a="1"/>
  <c r="BR694" i="10" s="1"/>
  <c r="CV663" i="10" a="1"/>
  <c r="CV663" i="10" s="1"/>
  <c r="CW663" i="10" a="1"/>
  <c r="CW663" i="10" s="1"/>
  <c r="CW648" i="10" a="1"/>
  <c r="CW648" i="10" s="1"/>
  <c r="BV649" i="10" a="1"/>
  <c r="BV649" i="10" s="1"/>
  <c r="BZ754" i="10" a="1"/>
  <c r="BZ754" i="10" s="1"/>
  <c r="CA754" i="10" a="1"/>
  <c r="CA754" i="10" s="1"/>
  <c r="BR713" i="10" a="1"/>
  <c r="BR713" i="10" s="1"/>
  <c r="CB713" i="10" s="1"/>
  <c r="S713" i="10" s="1"/>
  <c r="BV653" i="10" a="1"/>
  <c r="BV653" i="10" s="1"/>
  <c r="CX589" i="10"/>
  <c r="Z589" i="10" s="1"/>
  <c r="CW506" i="10" a="1"/>
  <c r="CW506" i="10" s="1"/>
  <c r="CV506" i="10" a="1"/>
  <c r="CV506" i="10" s="1"/>
  <c r="BV459" i="10" a="1"/>
  <c r="BV459" i="10" s="1"/>
  <c r="CW559" i="10" a="1"/>
  <c r="CW559" i="10" s="1"/>
  <c r="CV559" i="10" a="1"/>
  <c r="CV559" i="10" s="1"/>
  <c r="CB546" i="10"/>
  <c r="S546" i="10" s="1"/>
  <c r="CW475" i="10" a="1"/>
  <c r="CW475" i="10" s="1"/>
  <c r="CV482" i="10" a="1"/>
  <c r="CV482" i="10" s="1"/>
  <c r="CW482" i="10" a="1"/>
  <c r="CW482" i="10" s="1"/>
  <c r="CV394" i="10" a="1"/>
  <c r="CV394" i="10" s="1"/>
  <c r="CW394" i="10" a="1"/>
  <c r="CW394" i="10" s="1"/>
  <c r="CA224" i="10" a="1"/>
  <c r="CA224" i="10" s="1"/>
  <c r="CA232" i="10" a="1"/>
  <c r="CA232" i="10" s="1"/>
  <c r="CW138" i="10" a="1"/>
  <c r="CW138" i="10" s="1"/>
  <c r="CN239" i="10" a="1"/>
  <c r="CN239" i="10" s="1"/>
  <c r="CW166" i="10" a="1"/>
  <c r="CW166" i="10" s="1"/>
  <c r="CV166" i="10" a="1"/>
  <c r="CV166" i="10" s="1"/>
  <c r="CW353" i="10" a="1"/>
  <c r="CW353" i="10" s="1"/>
  <c r="CW220" i="10" a="1"/>
  <c r="CW220" i="10" s="1"/>
  <c r="CA202" i="10" a="1"/>
  <c r="CA202" i="10" s="1"/>
  <c r="BZ202" i="10" a="1"/>
  <c r="BZ202" i="10" s="1"/>
  <c r="CV216" i="10" a="1"/>
  <c r="CV216" i="10" s="1"/>
  <c r="CX216" i="10" s="1"/>
  <c r="Z216" i="10" s="1"/>
  <c r="CW216" i="10" a="1"/>
  <c r="CW216" i="10" s="1"/>
  <c r="CW402" i="10" a="1"/>
  <c r="CW402" i="10" s="1"/>
  <c r="CV391" i="10" a="1"/>
  <c r="CV391" i="10" s="1"/>
  <c r="CW391" i="10" a="1"/>
  <c r="CW391" i="10" s="1"/>
  <c r="CV300" i="10" a="1"/>
  <c r="CV300" i="10" s="1"/>
  <c r="CW300" i="10" a="1"/>
  <c r="CW300" i="10" s="1"/>
  <c r="CB280" i="10"/>
  <c r="S280" i="10" s="1"/>
  <c r="CR125" i="10" a="1"/>
  <c r="CR125" i="10" s="1"/>
  <c r="BR193" i="10" a="1"/>
  <c r="BR193" i="10" s="1"/>
  <c r="BZ189" i="10" a="1"/>
  <c r="BZ189" i="10" s="1"/>
  <c r="CA189" i="10" a="1"/>
  <c r="CA189" i="10" s="1"/>
  <c r="CA368" i="10" a="1"/>
  <c r="CA368" i="10" s="1"/>
  <c r="CW137" i="10" a="1"/>
  <c r="CW137" i="10" s="1"/>
  <c r="CV137" i="10" a="1"/>
  <c r="CV137" i="10" s="1"/>
  <c r="CX847" i="10"/>
  <c r="Z847" i="10" s="1"/>
  <c r="CA810" i="10" a="1"/>
  <c r="CA810" i="10" s="1"/>
  <c r="BZ810" i="10" a="1"/>
  <c r="BZ810" i="10" s="1"/>
  <c r="BZ934" i="10" a="1"/>
  <c r="BZ934" i="10" s="1"/>
  <c r="CA934" i="10" a="1"/>
  <c r="CA934" i="10" s="1"/>
  <c r="CA953" i="10" a="1"/>
  <c r="CA953" i="10" s="1"/>
  <c r="CV843" i="10" a="1"/>
  <c r="CV843" i="10" s="1"/>
  <c r="CW843" i="10" a="1"/>
  <c r="CW843" i="10" s="1"/>
  <c r="BZ973" i="10" a="1"/>
  <c r="BZ973" i="10" s="1"/>
  <c r="CA973" i="10" a="1"/>
  <c r="CA973" i="10" s="1"/>
  <c r="CX968" i="10"/>
  <c r="Z968" i="10" s="1"/>
  <c r="BR945" i="10" a="1"/>
  <c r="BR945" i="10" s="1"/>
  <c r="BZ689" i="10" a="1"/>
  <c r="BZ689" i="10" s="1"/>
  <c r="CA689" i="10" a="1"/>
  <c r="CA689" i="10" s="1"/>
  <c r="CV974" i="10" a="1"/>
  <c r="CV974" i="10" s="1"/>
  <c r="CW974" i="10" a="1"/>
  <c r="CW974" i="10" s="1"/>
  <c r="BZ1005" i="10" a="1"/>
  <c r="BZ1005" i="10" s="1"/>
  <c r="CA1005" i="10" a="1"/>
  <c r="CA1005" i="10" s="1"/>
  <c r="BZ981" i="10" a="1"/>
  <c r="BZ981" i="10" s="1"/>
  <c r="CA981" i="10" a="1"/>
  <c r="CA981" i="10" s="1"/>
  <c r="CA844" i="10" a="1"/>
  <c r="CA844" i="10" s="1"/>
  <c r="BZ844" i="10" a="1"/>
  <c r="BZ844" i="10" s="1"/>
  <c r="CA682" i="10" a="1"/>
  <c r="CA682" i="10" s="1"/>
  <c r="CN973" i="10" a="1"/>
  <c r="CN973" i="10" s="1"/>
  <c r="CR721" i="10" a="1"/>
  <c r="CR721" i="10" s="1"/>
  <c r="CW624" i="10" a="1"/>
  <c r="CW624" i="10" s="1"/>
  <c r="CV511" i="10" a="1"/>
  <c r="CV511" i="10" s="1"/>
  <c r="CW511" i="10" a="1"/>
  <c r="CW511" i="10" s="1"/>
  <c r="CA506" i="10" a="1"/>
  <c r="CA506" i="10" s="1"/>
  <c r="BZ506" i="10" a="1"/>
  <c r="BZ506" i="10" s="1"/>
  <c r="BZ449" i="10" a="1"/>
  <c r="BZ449" i="10" s="1"/>
  <c r="CA449" i="10" a="1"/>
  <c r="CA449" i="10" s="1"/>
  <c r="CR752" i="10" a="1"/>
  <c r="CR752" i="10" s="1"/>
  <c r="CA653" i="10" a="1"/>
  <c r="CA653" i="10" s="1"/>
  <c r="BZ653" i="10" a="1"/>
  <c r="BZ653" i="10" s="1"/>
  <c r="BZ609" i="10" a="1"/>
  <c r="BZ609" i="10" s="1"/>
  <c r="CA609" i="10" a="1"/>
  <c r="CA609" i="10" s="1"/>
  <c r="CX559" i="10"/>
  <c r="Z559" i="10" s="1"/>
  <c r="BZ994" i="10" a="1"/>
  <c r="BZ994" i="10" s="1"/>
  <c r="CA994" i="10" a="1"/>
  <c r="CA994" i="10" s="1"/>
  <c r="BZ665" i="10" a="1"/>
  <c r="BZ665" i="10" s="1"/>
  <c r="CA665" i="10" a="1"/>
  <c r="CA665" i="10" s="1"/>
  <c r="CA605" i="10" a="1"/>
  <c r="CA605" i="10" s="1"/>
  <c r="CN506" i="10" a="1"/>
  <c r="CN506" i="10" s="1"/>
  <c r="CW502" i="10" a="1"/>
  <c r="CW502" i="10" s="1"/>
  <c r="CW459" i="10" a="1"/>
  <c r="CW459" i="10" s="1"/>
  <c r="CV459" i="10" a="1"/>
  <c r="CV459" i="10" s="1"/>
  <c r="CX737" i="10"/>
  <c r="Z737" i="10" s="1"/>
  <c r="CA671" i="10" a="1"/>
  <c r="CA671" i="10" s="1"/>
  <c r="CW649" i="10" a="1"/>
  <c r="CW649" i="10" s="1"/>
  <c r="CW600" i="10" a="1"/>
  <c r="CW600" i="10" s="1"/>
  <c r="BR573" i="10" a="1"/>
  <c r="BR573" i="10" s="1"/>
  <c r="BZ527" i="10" a="1"/>
  <c r="BZ527" i="10" s="1"/>
  <c r="CA527" i="10" a="1"/>
  <c r="CA527" i="10" s="1"/>
  <c r="BZ435" i="10" a="1"/>
  <c r="BZ435" i="10" s="1"/>
  <c r="CA435" i="10" a="1"/>
  <c r="CA435" i="10" s="1"/>
  <c r="BZ502" i="10" a="1"/>
  <c r="BZ502" i="10" s="1"/>
  <c r="CA502" i="10" a="1"/>
  <c r="CA502" i="10" s="1"/>
  <c r="CW721" i="10" a="1"/>
  <c r="CW721" i="10" s="1"/>
  <c r="CV721" i="10" a="1"/>
  <c r="CV721" i="10" s="1"/>
  <c r="CW471" i="10" a="1"/>
  <c r="CW471" i="10" s="1"/>
  <c r="CV471" i="10" a="1"/>
  <c r="CV471" i="10" s="1"/>
  <c r="BR653" i="10" a="1"/>
  <c r="BR653" i="10" s="1"/>
  <c r="CN471" i="10" a="1"/>
  <c r="CN471" i="10" s="1"/>
  <c r="BZ474" i="10" a="1"/>
  <c r="BZ474" i="10" s="1"/>
  <c r="CA474" i="10" a="1"/>
  <c r="CA474" i="10" s="1"/>
  <c r="CN754" i="10" a="1"/>
  <c r="CN754" i="10" s="1"/>
  <c r="CN573" i="10" a="1"/>
  <c r="CN573" i="10" s="1"/>
  <c r="BZ453" i="10" a="1"/>
  <c r="BZ453" i="10" s="1"/>
  <c r="CA453" i="10" a="1"/>
  <c r="CA453" i="10" s="1"/>
  <c r="BV533" i="10" a="1"/>
  <c r="BV533" i="10" s="1"/>
  <c r="CA483" i="10" a="1"/>
  <c r="CA483" i="10" s="1"/>
  <c r="BZ483" i="10" a="1"/>
  <c r="BZ483" i="10" s="1"/>
  <c r="CA433" i="10" a="1"/>
  <c r="CA433" i="10" s="1"/>
  <c r="CA333" i="10" a="1"/>
  <c r="CA333" i="10" s="1"/>
  <c r="BZ333" i="10" a="1"/>
  <c r="BZ333" i="10" s="1"/>
  <c r="BZ298" i="10" a="1"/>
  <c r="BZ298" i="10" s="1"/>
  <c r="CA298" i="10" a="1"/>
  <c r="CA298" i="10" s="1"/>
  <c r="CV251" i="10" a="1"/>
  <c r="CV251" i="10" s="1"/>
  <c r="CW251" i="10" a="1"/>
  <c r="CW251" i="10" s="1"/>
  <c r="CW393" i="10" a="1"/>
  <c r="CW393" i="10" s="1"/>
  <c r="BZ367" i="10" a="1"/>
  <c r="BZ367" i="10" s="1"/>
  <c r="CA367" i="10" a="1"/>
  <c r="CA367" i="10" s="1"/>
  <c r="CW347" i="10" a="1"/>
  <c r="CW347" i="10" s="1"/>
  <c r="CV347" i="10" a="1"/>
  <c r="CV347" i="10" s="1"/>
  <c r="CX347" i="10" s="1"/>
  <c r="Z347" i="10" s="1"/>
  <c r="CN196" i="10" a="1"/>
  <c r="CN196" i="10" s="1"/>
  <c r="CV132" i="10" a="1"/>
  <c r="CV132" i="10" s="1"/>
  <c r="CW132" i="10" a="1"/>
  <c r="CW132" i="10" s="1"/>
  <c r="CW275" i="10" a="1"/>
  <c r="CW275" i="10" s="1"/>
  <c r="CV201" i="10" a="1"/>
  <c r="CV201" i="10" s="1"/>
  <c r="CW201" i="10" a="1"/>
  <c r="CW201" i="10" s="1"/>
  <c r="CW145" i="10" a="1"/>
  <c r="CW145" i="10" s="1"/>
  <c r="BR561" i="10" a="1"/>
  <c r="BR561" i="10" s="1"/>
  <c r="CW279" i="10" a="1"/>
  <c r="CW279" i="10" s="1"/>
  <c r="CV279" i="10" a="1"/>
  <c r="CV279" i="10" s="1"/>
  <c r="CA247" i="10" a="1"/>
  <c r="CA247" i="10" s="1"/>
  <c r="CA150" i="10" a="1"/>
  <c r="CA150" i="10" s="1"/>
  <c r="BZ150" i="10" a="1"/>
  <c r="BZ150" i="10" s="1"/>
  <c r="CA153" i="10" a="1"/>
  <c r="CA153" i="10" s="1"/>
  <c r="BZ153" i="10" a="1"/>
  <c r="BZ153" i="10" s="1"/>
  <c r="CA146" i="10" a="1"/>
  <c r="CA146" i="10" s="1"/>
  <c r="BZ301" i="10" a="1"/>
  <c r="BZ301" i="10" s="1"/>
  <c r="CA301" i="10" a="1"/>
  <c r="CA301" i="10" s="1"/>
  <c r="CN251" i="10" a="1"/>
  <c r="CN251" i="10" s="1"/>
  <c r="CX251" i="10" s="1"/>
  <c r="Z251" i="10" s="1"/>
  <c r="BR197" i="10" a="1"/>
  <c r="BR197" i="10" s="1"/>
  <c r="CN194" i="10" a="1"/>
  <c r="CN194" i="10" s="1"/>
  <c r="CR279" i="10" a="1"/>
  <c r="CR279" i="10" s="1"/>
  <c r="BR181" i="10" a="1"/>
  <c r="BR181" i="10" s="1"/>
  <c r="CX172" i="10"/>
  <c r="Z172" i="10" s="1"/>
  <c r="CW162" i="10" a="1"/>
  <c r="CW162" i="10" s="1"/>
  <c r="CA133" i="10" a="1"/>
  <c r="CA133" i="10" s="1"/>
  <c r="BZ133" i="10" a="1"/>
  <c r="BZ133" i="10" s="1"/>
  <c r="CA375" i="10" a="1"/>
  <c r="CA375" i="10" s="1"/>
  <c r="CX379" i="10"/>
  <c r="Z379" i="10" s="1"/>
  <c r="CR328" i="10" a="1"/>
  <c r="CR328" i="10" s="1"/>
  <c r="CX328" i="10" s="1"/>
  <c r="Z328" i="10" s="1"/>
  <c r="CR180" i="10" a="1"/>
  <c r="CR180" i="10" s="1"/>
  <c r="CX180" i="10" s="1"/>
  <c r="Z180" i="10" s="1"/>
  <c r="CR316" i="10" a="1"/>
  <c r="CR316" i="10" s="1"/>
  <c r="CX316" i="10" s="1"/>
  <c r="Z316" i="10" s="1"/>
  <c r="BR215" i="10" a="1"/>
  <c r="BR215" i="10" s="1"/>
  <c r="CA942" i="10" a="1"/>
  <c r="CA942" i="10" s="1"/>
  <c r="BZ942" i="10" a="1"/>
  <c r="BZ942" i="10" s="1"/>
  <c r="CR921" i="10" a="1"/>
  <c r="CR921" i="10" s="1"/>
  <c r="BZ880" i="10" a="1"/>
  <c r="BZ880" i="10" s="1"/>
  <c r="CA880" i="10" a="1"/>
  <c r="CA880" i="10" s="1"/>
  <c r="CW790" i="10" a="1"/>
  <c r="CW790" i="10" s="1"/>
  <c r="BV746" i="10" a="1"/>
  <c r="BV746" i="10" s="1"/>
  <c r="CB746" i="10" s="1"/>
  <c r="S746" i="10" s="1"/>
  <c r="CW905" i="10" a="1"/>
  <c r="CW905" i="10" s="1"/>
  <c r="CA945" i="10" a="1"/>
  <c r="CA945" i="10" s="1"/>
  <c r="CX851" i="10"/>
  <c r="Z851" i="10" s="1"/>
  <c r="CA774" i="10" a="1"/>
  <c r="CA774" i="10" s="1"/>
  <c r="CR770" i="10" a="1"/>
  <c r="CR770" i="10" s="1"/>
  <c r="CA809" i="10" a="1"/>
  <c r="CA809" i="10" s="1"/>
  <c r="CV1001" i="10" a="1"/>
  <c r="CV1001" i="10" s="1"/>
  <c r="CW1001" i="10" a="1"/>
  <c r="CW1001" i="10" s="1"/>
  <c r="CW1005" i="10" a="1"/>
  <c r="CW1005" i="10" s="1"/>
  <c r="BZ770" i="10" a="1"/>
  <c r="BZ770" i="10" s="1"/>
  <c r="CA770" i="10" a="1"/>
  <c r="CA770" i="10" s="1"/>
  <c r="BR754" i="10" a="1"/>
  <c r="BR754" i="10" s="1"/>
  <c r="CA929" i="10" a="1"/>
  <c r="CA929" i="10" s="1"/>
  <c r="BZ929" i="10" a="1"/>
  <c r="BZ929" i="10" s="1"/>
  <c r="CB788" i="10"/>
  <c r="S788" i="10" s="1"/>
  <c r="CW786" i="10" a="1"/>
  <c r="CW786" i="10" s="1"/>
  <c r="CV786" i="10" a="1"/>
  <c r="CV786" i="10" s="1"/>
  <c r="CA725" i="10" a="1"/>
  <c r="CA725" i="10" s="1"/>
  <c r="BZ725" i="10" a="1"/>
  <c r="BZ725" i="10" s="1"/>
  <c r="BR990" i="10" a="1"/>
  <c r="BR990" i="10" s="1"/>
  <c r="CV802" i="10" a="1"/>
  <c r="CV802" i="10" s="1"/>
  <c r="CX802" i="10" s="1"/>
  <c r="Z802" i="10" s="1"/>
  <c r="CW802" i="10" a="1"/>
  <c r="CW802" i="10" s="1"/>
  <c r="BZ742" i="10" a="1"/>
  <c r="BZ742" i="10" s="1"/>
  <c r="CA742" i="10" a="1"/>
  <c r="CA742" i="10" s="1"/>
  <c r="CA1010" i="10" a="1"/>
  <c r="CA1010" i="10" s="1"/>
  <c r="BZ1010" i="10" a="1"/>
  <c r="BZ1010" i="10" s="1"/>
  <c r="CN742" i="10" a="1"/>
  <c r="CN742" i="10" s="1"/>
  <c r="CR800" i="10" a="1"/>
  <c r="CR800" i="10" s="1"/>
  <c r="CW645" i="10" a="1"/>
  <c r="CW645" i="10" s="1"/>
  <c r="CV514" i="10" a="1"/>
  <c r="CV514" i="10" s="1"/>
  <c r="CW514" i="10" a="1"/>
  <c r="CW514" i="10" s="1"/>
  <c r="BZ621" i="10" a="1"/>
  <c r="BZ621" i="10" s="1"/>
  <c r="CA621" i="10" a="1"/>
  <c r="CA621" i="10" s="1"/>
  <c r="CW565" i="10" a="1"/>
  <c r="CW565" i="10" s="1"/>
  <c r="CW533" i="10" a="1"/>
  <c r="CW533" i="10" s="1"/>
  <c r="BZ514" i="10" a="1"/>
  <c r="BZ514" i="10" s="1"/>
  <c r="CA514" i="10" a="1"/>
  <c r="CA514" i="10" s="1"/>
  <c r="CX506" i="10"/>
  <c r="Z506" i="10" s="1"/>
  <c r="CA459" i="10" a="1"/>
  <c r="CA459" i="10" s="1"/>
  <c r="BZ459" i="10" a="1"/>
  <c r="BZ459" i="10" s="1"/>
  <c r="CW617" i="10" a="1"/>
  <c r="CW617" i="10" s="1"/>
  <c r="CW493" i="10" a="1"/>
  <c r="CW493" i="10" s="1"/>
  <c r="CN498" i="10" a="1"/>
  <c r="CN498" i="10" s="1"/>
  <c r="BZ884" i="10" a="1"/>
  <c r="BZ884" i="10" s="1"/>
  <c r="CA884" i="10" a="1"/>
  <c r="CA884" i="10" s="1"/>
  <c r="CB717" i="10"/>
  <c r="S717" i="10" s="1"/>
  <c r="CA718" i="10" a="1"/>
  <c r="CA718" i="10" s="1"/>
  <c r="BZ718" i="10" a="1"/>
  <c r="BZ718" i="10" s="1"/>
  <c r="CX587" i="10"/>
  <c r="Z587" i="10" s="1"/>
  <c r="CR585" i="10" a="1"/>
  <c r="CR585" i="10" s="1"/>
  <c r="CN542" i="10" a="1"/>
  <c r="CN542" i="10" s="1"/>
  <c r="BV435" i="10" a="1"/>
  <c r="BV435" i="10" s="1"/>
  <c r="CB435" i="10" s="1"/>
  <c r="S435" i="10" s="1"/>
  <c r="BV637" i="10" a="1"/>
  <c r="BV637" i="10" s="1"/>
  <c r="CA530" i="10" a="1"/>
  <c r="CA530" i="10" s="1"/>
  <c r="CA757" i="10" a="1"/>
  <c r="CA757" i="10" s="1"/>
  <c r="BZ757" i="10" a="1"/>
  <c r="BZ757" i="10" s="1"/>
  <c r="BR495" i="10" a="1"/>
  <c r="BR495" i="10" s="1"/>
  <c r="BR576" i="10" a="1"/>
  <c r="BR576" i="10" s="1"/>
  <c r="CB576" i="10" s="1"/>
  <c r="S576" i="10" s="1"/>
  <c r="BZ382" i="10" a="1"/>
  <c r="BZ382" i="10" s="1"/>
  <c r="CA382" i="10" a="1"/>
  <c r="CA382" i="10" s="1"/>
  <c r="CA374" i="10" a="1"/>
  <c r="CA374" i="10" s="1"/>
  <c r="CW257" i="10" a="1"/>
  <c r="CW257" i="10" s="1"/>
  <c r="BZ243" i="10" a="1"/>
  <c r="BZ243" i="10" s="1"/>
  <c r="CA243" i="10" a="1"/>
  <c r="CA243" i="10" s="1"/>
  <c r="CA160" i="10" a="1"/>
  <c r="CA160" i="10" s="1"/>
  <c r="BZ160" i="10" a="1"/>
  <c r="BZ160" i="10" s="1"/>
  <c r="CA212" i="10" a="1"/>
  <c r="CA212" i="10" s="1"/>
  <c r="CN279" i="10" a="1"/>
  <c r="CN279" i="10" s="1"/>
  <c r="CB243" i="10"/>
  <c r="S243" i="10" s="1"/>
  <c r="BV423" i="10" a="1"/>
  <c r="BV423" i="10" s="1"/>
  <c r="CA387" i="10" a="1"/>
  <c r="CA387" i="10" s="1"/>
  <c r="BZ387" i="10" a="1"/>
  <c r="BZ387" i="10" s="1"/>
  <c r="CA308" i="10" a="1"/>
  <c r="CA308" i="10" s="1"/>
  <c r="BZ308" i="10" a="1"/>
  <c r="BZ308" i="10" s="1"/>
  <c r="CR304" i="10" a="1"/>
  <c r="CR304" i="10" s="1"/>
  <c r="CA138" i="10" a="1"/>
  <c r="CA138" i="10" s="1"/>
  <c r="BV129" i="10" a="1"/>
  <c r="BV129" i="10" s="1"/>
  <c r="BR406" i="10" a="1"/>
  <c r="BR406" i="10" s="1"/>
  <c r="CN308" i="10" a="1"/>
  <c r="CN308" i="10" s="1"/>
  <c r="CX308" i="10" s="1"/>
  <c r="Z308" i="10" s="1"/>
  <c r="CW134" i="10" a="1"/>
  <c r="CW134" i="10" s="1"/>
  <c r="CV377" i="10" a="1"/>
  <c r="CV377" i="10" s="1"/>
  <c r="CW377" i="10" a="1"/>
  <c r="CW377" i="10" s="1"/>
  <c r="CA356" i="10" a="1"/>
  <c r="CA356" i="10" s="1"/>
  <c r="CV193" i="10" a="1"/>
  <c r="CV193" i="10" s="1"/>
  <c r="CW193" i="10" a="1"/>
  <c r="CW193" i="10" s="1"/>
  <c r="BR305" i="10" a="1"/>
  <c r="BR305" i="10" s="1"/>
  <c r="CB305" i="10" s="1"/>
  <c r="S305" i="10" s="1"/>
  <c r="BZ360" i="10" a="1"/>
  <c r="BZ360" i="10" s="1"/>
  <c r="CA360" i="10" a="1"/>
  <c r="CA360" i="10" s="1"/>
  <c r="CB880" i="10"/>
  <c r="S880" i="10" s="1"/>
  <c r="CA937" i="10" a="1"/>
  <c r="CA937" i="10" s="1"/>
  <c r="BZ937" i="10" a="1"/>
  <c r="BZ937" i="10" s="1"/>
  <c r="CA824" i="10" a="1"/>
  <c r="CA824" i="10" s="1"/>
  <c r="CW924" i="10" a="1"/>
  <c r="CW924" i="10" s="1"/>
  <c r="CW910" i="10" a="1"/>
  <c r="CW910" i="10" s="1"/>
  <c r="CV910" i="10" a="1"/>
  <c r="CV910" i="10" s="1"/>
  <c r="CW810" i="10" a="1"/>
  <c r="CW810" i="10" s="1"/>
  <c r="CW794" i="10" a="1"/>
  <c r="CW794" i="10" s="1"/>
  <c r="CV794" i="10" a="1"/>
  <c r="CV794" i="10" s="1"/>
  <c r="CA1002" i="10" a="1"/>
  <c r="CA1002" i="10" s="1"/>
  <c r="CV859" i="10" a="1"/>
  <c r="CV859" i="10" s="1"/>
  <c r="CW859" i="10" a="1"/>
  <c r="CW859" i="10" s="1"/>
  <c r="CW689" i="10" a="1"/>
  <c r="CW689" i="10" s="1"/>
  <c r="CV689" i="10" a="1"/>
  <c r="CV689" i="10" s="1"/>
  <c r="CX754" i="10"/>
  <c r="Z754" i="10" s="1"/>
  <c r="CV964" i="10" a="1"/>
  <c r="CV964" i="10" s="1"/>
  <c r="CW964" i="10" a="1"/>
  <c r="CW964" i="10" s="1"/>
  <c r="CN957" i="10" a="1"/>
  <c r="CN957" i="10" s="1"/>
  <c r="CR972" i="10" a="1"/>
  <c r="CR972" i="10" s="1"/>
  <c r="CB879" i="10"/>
  <c r="S879" i="10" s="1"/>
  <c r="CW918" i="10" a="1"/>
  <c r="CW918" i="10" s="1"/>
  <c r="CV918" i="10" a="1"/>
  <c r="CV918" i="10" s="1"/>
  <c r="CN1013" i="10" a="1"/>
  <c r="CN1013" i="10" s="1"/>
  <c r="CR938" i="10" a="1"/>
  <c r="CR938" i="10" s="1"/>
  <c r="CN964" i="10" a="1"/>
  <c r="CN964" i="10" s="1"/>
  <c r="BZ879" i="10" a="1"/>
  <c r="BZ879" i="10" s="1"/>
  <c r="CA879" i="10" a="1"/>
  <c r="CA879" i="10" s="1"/>
  <c r="BZ883" i="10" a="1"/>
  <c r="BZ883" i="10" s="1"/>
  <c r="CA883" i="10" a="1"/>
  <c r="CA883" i="10" s="1"/>
  <c r="CA864" i="10" a="1"/>
  <c r="CA864" i="10" s="1"/>
  <c r="BZ864" i="10" a="1"/>
  <c r="BZ864" i="10" s="1"/>
  <c r="CN738" i="10" a="1"/>
  <c r="CN738" i="10" s="1"/>
  <c r="CX738" i="10" s="1"/>
  <c r="Z738" i="10" s="1"/>
  <c r="CV1017" i="10" a="1"/>
  <c r="CV1017" i="10" s="1"/>
  <c r="CW1017" i="10" a="1"/>
  <c r="CW1017" i="10" s="1"/>
  <c r="CV997" i="10" a="1"/>
  <c r="CV997" i="10" s="1"/>
  <c r="CW997" i="10" a="1"/>
  <c r="CW997" i="10" s="1"/>
  <c r="CA694" i="10" a="1"/>
  <c r="CA694" i="10" s="1"/>
  <c r="BZ678" i="10" a="1"/>
  <c r="BZ678" i="10" s="1"/>
  <c r="CA678" i="10" a="1"/>
  <c r="CA678" i="10" s="1"/>
  <c r="CX471" i="10"/>
  <c r="Z471" i="10" s="1"/>
  <c r="CW487" i="10" a="1"/>
  <c r="CW487" i="10" s="1"/>
  <c r="CX498" i="10"/>
  <c r="Z498" i="10" s="1"/>
  <c r="CN729" i="10" a="1"/>
  <c r="CN729" i="10" s="1"/>
  <c r="CA672" i="10" a="1"/>
  <c r="CA672" i="10" s="1"/>
  <c r="BZ534" i="10" a="1"/>
  <c r="BZ534" i="10" s="1"/>
  <c r="CA534" i="10" a="1"/>
  <c r="CA534" i="10" s="1"/>
  <c r="BR789" i="10" a="1"/>
  <c r="BR789" i="10" s="1"/>
  <c r="CB789" i="10" s="1"/>
  <c r="S789" i="10" s="1"/>
  <c r="CW653" i="10" a="1"/>
  <c r="CW653" i="10" s="1"/>
  <c r="CA593" i="10" a="1"/>
  <c r="CA593" i="10" s="1"/>
  <c r="BZ510" i="10" a="1"/>
  <c r="BZ510" i="10" s="1"/>
  <c r="CA510" i="10" a="1"/>
  <c r="CA510" i="10" s="1"/>
  <c r="CR443" i="10" a="1"/>
  <c r="CR443" i="10" s="1"/>
  <c r="BV742" i="10" a="1"/>
  <c r="BV742" i="10" s="1"/>
  <c r="CB742" i="10" s="1"/>
  <c r="S742" i="10" s="1"/>
  <c r="CR498" i="10" a="1"/>
  <c r="CR498" i="10" s="1"/>
  <c r="CV525" i="10" a="1"/>
  <c r="CV525" i="10" s="1"/>
  <c r="CW525" i="10" a="1"/>
  <c r="CW525" i="10" s="1"/>
  <c r="BR483" i="10" a="1"/>
  <c r="BR483" i="10" s="1"/>
  <c r="CB483" i="10" s="1"/>
  <c r="S483" i="10" s="1"/>
  <c r="CW677" i="10" a="1"/>
  <c r="CW677" i="10" s="1"/>
  <c r="BR641" i="10" a="1"/>
  <c r="BR641" i="10" s="1"/>
  <c r="CW437" i="10" a="1"/>
  <c r="CW437" i="10" s="1"/>
  <c r="CW641" i="10" a="1"/>
  <c r="CW641" i="10" s="1"/>
  <c r="CV547" i="10" a="1"/>
  <c r="CV547" i="10" s="1"/>
  <c r="CW547" i="10" a="1"/>
  <c r="CW547" i="10" s="1"/>
  <c r="CR539" i="10" a="1"/>
  <c r="CR539" i="10" s="1"/>
  <c r="BZ526" i="10" a="1"/>
  <c r="BZ526" i="10" s="1"/>
  <c r="CA526" i="10" a="1"/>
  <c r="CA526" i="10" s="1"/>
  <c r="CW467" i="10" a="1"/>
  <c r="CW467" i="10" s="1"/>
  <c r="CV467" i="10" a="1"/>
  <c r="CV467" i="10" s="1"/>
  <c r="BZ220" i="10" a="1"/>
  <c r="BZ220" i="10" s="1"/>
  <c r="CA220" i="10" a="1"/>
  <c r="CA220" i="10" s="1"/>
  <c r="CW142" i="10" a="1"/>
  <c r="CW142" i="10" s="1"/>
  <c r="CV142" i="10" a="1"/>
  <c r="CV142" i="10" s="1"/>
  <c r="AF531" i="10"/>
  <c r="CR375" i="10" a="1"/>
  <c r="CR375" i="10" s="1"/>
  <c r="CA320" i="10" a="1"/>
  <c r="CA320" i="10" s="1"/>
  <c r="CW228" i="10" a="1"/>
  <c r="CW228" i="10" s="1"/>
  <c r="CV228" i="10" a="1"/>
  <c r="CV228" i="10" s="1"/>
  <c r="CW160" i="10" a="1"/>
  <c r="CW160" i="10" s="1"/>
  <c r="CR137" i="10" a="1"/>
  <c r="CR137" i="10" s="1"/>
  <c r="CW385" i="10" a="1"/>
  <c r="CW385" i="10" s="1"/>
  <c r="CA279" i="10" a="1"/>
  <c r="CA279" i="10" s="1"/>
  <c r="BZ279" i="10" a="1"/>
  <c r="BZ279" i="10" s="1"/>
  <c r="CV222" i="10" a="1"/>
  <c r="CV222" i="10" s="1"/>
  <c r="CW222" i="10" a="1"/>
  <c r="CW222" i="10" s="1"/>
  <c r="BZ402" i="10" a="1"/>
  <c r="BZ402" i="10" s="1"/>
  <c r="CA402" i="10" a="1"/>
  <c r="CA402" i="10" s="1"/>
  <c r="BR360" i="10" a="1"/>
  <c r="BR360" i="10" s="1"/>
  <c r="BV279" i="10" a="1"/>
  <c r="BV279" i="10" s="1"/>
  <c r="BZ193" i="10" a="1"/>
  <c r="BZ193" i="10" s="1"/>
  <c r="CA193" i="10" a="1"/>
  <c r="CA193" i="10" s="1"/>
  <c r="AF172" i="10"/>
  <c r="CR128" i="10" a="1"/>
  <c r="CR128" i="10" s="1"/>
  <c r="BR389" i="10" a="1"/>
  <c r="BR389" i="10" s="1"/>
  <c r="CV375" i="10" a="1"/>
  <c r="CV375" i="10" s="1"/>
  <c r="CW375" i="10" a="1"/>
  <c r="CW375" i="10" s="1"/>
  <c r="BR211" i="10" a="1"/>
  <c r="BR211" i="10" s="1"/>
  <c r="CB211" i="10" s="1"/>
  <c r="S211" i="10" s="1"/>
  <c r="AF211" i="10" s="1"/>
  <c r="CN176" i="10" a="1"/>
  <c r="CN176" i="10" s="1"/>
  <c r="CA157" i="10" a="1"/>
  <c r="CA157" i="10" s="1"/>
  <c r="BZ157" i="10" a="1"/>
  <c r="BZ157" i="10" s="1"/>
  <c r="CA372" i="10" a="1"/>
  <c r="CA372" i="10" s="1"/>
  <c r="BZ297" i="10" a="1"/>
  <c r="BZ297" i="10" s="1"/>
  <c r="CA297" i="10" a="1"/>
  <c r="CA297" i="10" s="1"/>
  <c r="BV264" i="10" a="1"/>
  <c r="BV264" i="10" s="1"/>
  <c r="CN224" i="10" a="1"/>
  <c r="CN224" i="10" s="1"/>
  <c r="CR501" i="10" a="1"/>
  <c r="CR501" i="10" s="1"/>
  <c r="CW194" i="10" a="1"/>
  <c r="CW194" i="10" s="1"/>
  <c r="CV194" i="10" a="1"/>
  <c r="CV194" i="10" s="1"/>
  <c r="BZ185" i="10" a="1"/>
  <c r="BZ185" i="10" s="1"/>
  <c r="CA185" i="10" a="1"/>
  <c r="CA185" i="10" s="1"/>
  <c r="BZ211" i="10" a="1"/>
  <c r="BZ211" i="10" s="1"/>
  <c r="CA211" i="10" a="1"/>
  <c r="CA211" i="10" s="1"/>
  <c r="CV912" i="10" a="1"/>
  <c r="CV912" i="10" s="1"/>
  <c r="CW912" i="10" a="1"/>
  <c r="CW912" i="10" s="1"/>
  <c r="CW827" i="10" a="1"/>
  <c r="CW827" i="10" s="1"/>
  <c r="CV784" i="10" a="1"/>
  <c r="CV784" i="10" s="1"/>
  <c r="CW784" i="10" a="1"/>
  <c r="CW784" i="10" s="1"/>
  <c r="CA906" i="10" a="1"/>
  <c r="CA906" i="10" s="1"/>
  <c r="CR871" i="10" a="1"/>
  <c r="CR871" i="10" s="1"/>
  <c r="CR839" i="10" a="1"/>
  <c r="CR839" i="10" s="1"/>
  <c r="CW933" i="10" a="1"/>
  <c r="CW933" i="10" s="1"/>
  <c r="CV933" i="10" a="1"/>
  <c r="CV933" i="10" s="1"/>
  <c r="CV875" i="10" a="1"/>
  <c r="CV875" i="10" s="1"/>
  <c r="CW875" i="10" a="1"/>
  <c r="CW875" i="10" s="1"/>
  <c r="CB754" i="10"/>
  <c r="S754" i="10" s="1"/>
  <c r="AF754" i="10" s="1"/>
  <c r="CA986" i="10" a="1"/>
  <c r="CA986" i="10" s="1"/>
  <c r="CR896" i="10" a="1"/>
  <c r="CR896" i="10" s="1"/>
  <c r="CN843" i="10" a="1"/>
  <c r="CN843" i="10" s="1"/>
  <c r="CW770" i="10" a="1"/>
  <c r="CW770" i="10" s="1"/>
  <c r="CV770" i="10" a="1"/>
  <c r="CV770" i="10" s="1"/>
  <c r="CA766" i="10" a="1"/>
  <c r="CA766" i="10" s="1"/>
  <c r="BZ766" i="10" a="1"/>
  <c r="BZ766" i="10" s="1"/>
  <c r="BR689" i="10" a="1"/>
  <c r="BR689" i="10" s="1"/>
  <c r="CB689" i="10" s="1"/>
  <c r="S689" i="10" s="1"/>
  <c r="BV950" i="10" a="1"/>
  <c r="BV950" i="10" s="1"/>
  <c r="CR918" i="10" a="1"/>
  <c r="CR918" i="10" s="1"/>
  <c r="CX918" i="10" s="1"/>
  <c r="Z918" i="10" s="1"/>
  <c r="CN859" i="10" a="1"/>
  <c r="CN859" i="10" s="1"/>
  <c r="CX859" i="10" s="1"/>
  <c r="Z859" i="10" s="1"/>
  <c r="CN812" i="10" a="1"/>
  <c r="CN812" i="10" s="1"/>
  <c r="CA685" i="10" a="1"/>
  <c r="CA685" i="10" s="1"/>
  <c r="BR1013" i="10" a="1"/>
  <c r="BR1013" i="10" s="1"/>
  <c r="CN989" i="10" a="1"/>
  <c r="CN989" i="10" s="1"/>
  <c r="CR979" i="10" a="1"/>
  <c r="CR979" i="10" s="1"/>
  <c r="CV973" i="10" a="1"/>
  <c r="CV973" i="10" s="1"/>
  <c r="CW973" i="10" a="1"/>
  <c r="CW973" i="10" s="1"/>
  <c r="CW883" i="10" a="1"/>
  <c r="CW883" i="10" s="1"/>
  <c r="CV883" i="10" a="1"/>
  <c r="CV883" i="10" s="1"/>
  <c r="CW813" i="10" a="1"/>
  <c r="CW813" i="10" s="1"/>
  <c r="CV813" i="10" a="1"/>
  <c r="CV813" i="10" s="1"/>
  <c r="CW681" i="10" a="1"/>
  <c r="CW681" i="10" s="1"/>
  <c r="CW629" i="10" a="1"/>
  <c r="CW629" i="10" s="1"/>
  <c r="CB533" i="10"/>
  <c r="S533" i="10" s="1"/>
  <c r="BZ535" i="10" a="1"/>
  <c r="BZ535" i="10" s="1"/>
  <c r="CA535" i="10" a="1"/>
  <c r="CA535" i="10" s="1"/>
  <c r="CA498" i="10" a="1"/>
  <c r="CA498" i="10" s="1"/>
  <c r="BZ498" i="10" a="1"/>
  <c r="BZ498" i="10" s="1"/>
  <c r="CV517" i="10" a="1"/>
  <c r="CV517" i="10" s="1"/>
  <c r="CW517" i="10" a="1"/>
  <c r="CW517" i="10" s="1"/>
  <c r="CA427" i="10" a="1"/>
  <c r="CA427" i="10" s="1"/>
  <c r="CR740" i="10" a="1"/>
  <c r="CR740" i="10" s="1"/>
  <c r="CV678" i="10" a="1"/>
  <c r="CV678" i="10" s="1"/>
  <c r="CW678" i="10" a="1"/>
  <c r="CW678" i="10" s="1"/>
  <c r="CA637" i="10" a="1"/>
  <c r="CA637" i="10" s="1"/>
  <c r="BZ637" i="10" a="1"/>
  <c r="BZ637" i="10" s="1"/>
  <c r="CW579" i="10" a="1"/>
  <c r="CW579" i="10" s="1"/>
  <c r="CA553" i="10" a="1"/>
  <c r="CA553" i="10" s="1"/>
  <c r="CB534" i="10"/>
  <c r="S534" i="10" s="1"/>
  <c r="CA729" i="10" a="1"/>
  <c r="CA729" i="10" s="1"/>
  <c r="CB625" i="10"/>
  <c r="S625" i="10" s="1"/>
  <c r="CW521" i="10" a="1"/>
  <c r="CW521" i="10" s="1"/>
  <c r="CV521" i="10" a="1"/>
  <c r="CV521" i="10" s="1"/>
  <c r="CA568" i="10" a="1"/>
  <c r="CA568" i="10" s="1"/>
  <c r="BZ568" i="10" a="1"/>
  <c r="BZ568" i="10" s="1"/>
  <c r="BR621" i="10" a="1"/>
  <c r="BR621" i="10" s="1"/>
  <c r="CB621" i="10" s="1"/>
  <c r="S621" i="10" s="1"/>
  <c r="CN474" i="10" a="1"/>
  <c r="CN474" i="10" s="1"/>
  <c r="BZ581" i="10" a="1"/>
  <c r="BZ581" i="10" s="1"/>
  <c r="CA581" i="10" a="1"/>
  <c r="CA581" i="10" s="1"/>
  <c r="BV467" i="10" a="1"/>
  <c r="BV467" i="10" s="1"/>
  <c r="BR459" i="10" a="1"/>
  <c r="BR459" i="10" s="1"/>
  <c r="CB459" i="10" s="1"/>
  <c r="S459" i="10" s="1"/>
  <c r="CB734" i="10"/>
  <c r="S734" i="10" s="1"/>
  <c r="CV733" i="10" a="1"/>
  <c r="CV733" i="10" s="1"/>
  <c r="CW733" i="10" a="1"/>
  <c r="CW733" i="10" s="1"/>
  <c r="CX514" i="10"/>
  <c r="Z514" i="10" s="1"/>
  <c r="CW628" i="10" a="1"/>
  <c r="CW628" i="10" s="1"/>
  <c r="CA641" i="10" a="1"/>
  <c r="CA641" i="10" s="1"/>
  <c r="CN571" i="10" a="1"/>
  <c r="CN571" i="10" s="1"/>
  <c r="CX553" i="10"/>
  <c r="Z553" i="10" s="1"/>
  <c r="CA518" i="10" a="1"/>
  <c r="CA518" i="10" s="1"/>
  <c r="BZ518" i="10" a="1"/>
  <c r="BZ518" i="10" s="1"/>
  <c r="CW435" i="10" a="1"/>
  <c r="CW435" i="10" s="1"/>
  <c r="BR478" i="10" a="1"/>
  <c r="BR478" i="10" s="1"/>
  <c r="CB478" i="10" s="1"/>
  <c r="S478" i="10" s="1"/>
  <c r="CV337" i="10" a="1"/>
  <c r="CV337" i="10" s="1"/>
  <c r="CW337" i="10" a="1"/>
  <c r="CW337" i="10" s="1"/>
  <c r="CA306" i="10" a="1"/>
  <c r="CA306" i="10" s="1"/>
  <c r="BZ306" i="10" a="1"/>
  <c r="BZ306" i="10" s="1"/>
  <c r="CA259" i="10" a="1"/>
  <c r="CA259" i="10" s="1"/>
  <c r="CW208" i="10" a="1"/>
  <c r="CW208" i="10" s="1"/>
  <c r="CA349" i="10" a="1"/>
  <c r="CA349" i="10" s="1"/>
  <c r="CW345" i="10" a="1"/>
  <c r="CW345" i="10" s="1"/>
  <c r="CV345" i="10" a="1"/>
  <c r="CV345" i="10" s="1"/>
  <c r="CW224" i="10" a="1"/>
  <c r="CW224" i="10" s="1"/>
  <c r="CR198" i="10" a="1"/>
  <c r="CR198" i="10" s="1"/>
  <c r="CN193" i="10" a="1"/>
  <c r="CN193" i="10" s="1"/>
  <c r="CA337" i="10" a="1"/>
  <c r="CA337" i="10" s="1"/>
  <c r="BZ337" i="10" a="1"/>
  <c r="BZ337" i="10" s="1"/>
  <c r="BR423" i="10" a="1"/>
  <c r="BR423" i="10" s="1"/>
  <c r="CR317" i="10" a="1"/>
  <c r="CR317" i="10" s="1"/>
  <c r="CX317" i="10" s="1"/>
  <c r="Z317" i="10" s="1"/>
  <c r="CX194" i="10"/>
  <c r="Z194" i="10" s="1"/>
  <c r="CV192" i="10" a="1"/>
  <c r="CV192" i="10" s="1"/>
  <c r="CW192" i="10" a="1"/>
  <c r="CW192" i="10" s="1"/>
  <c r="CW149" i="10" a="1"/>
  <c r="CW149" i="10" s="1"/>
  <c r="CV149" i="10" a="1"/>
  <c r="CV149" i="10" s="1"/>
  <c r="CN128" i="10" a="1"/>
  <c r="CN128" i="10" s="1"/>
  <c r="CW387" i="10" a="1"/>
  <c r="CW387" i="10" s="1"/>
  <c r="CW415" i="10" a="1"/>
  <c r="CW415" i="10" s="1"/>
  <c r="CW373" i="10" a="1"/>
  <c r="CW373" i="10" s="1"/>
  <c r="BR306" i="10" a="1"/>
  <c r="BR306" i="10" s="1"/>
  <c r="BR289" i="10" a="1"/>
  <c r="BR289" i="10" s="1"/>
  <c r="CA181" i="10" a="1"/>
  <c r="CA181" i="10" s="1"/>
  <c r="CV389" i="10" a="1"/>
  <c r="CV389" i="10" s="1"/>
  <c r="CW389" i="10" a="1"/>
  <c r="CW389" i="10" s="1"/>
  <c r="BZ276" i="10" a="1"/>
  <c r="BZ276" i="10" s="1"/>
  <c r="CA276" i="10" a="1"/>
  <c r="CA276" i="10" s="1"/>
  <c r="BR264" i="10" a="1"/>
  <c r="BR264" i="10" s="1"/>
  <c r="CB264" i="10" s="1"/>
  <c r="S264" i="10" s="1"/>
  <c r="BR216" i="10" a="1"/>
  <c r="BR216" i="10" s="1"/>
  <c r="CB216" i="10" s="1"/>
  <c r="S216" i="10" s="1"/>
  <c r="AF216" i="10" s="1"/>
  <c r="CA215" i="10" a="1"/>
  <c r="CA215" i="10" s="1"/>
  <c r="BZ215" i="10" a="1"/>
  <c r="BZ215" i="10" s="1"/>
  <c r="BR185" i="10" a="1"/>
  <c r="BR185" i="10" s="1"/>
  <c r="CV205" i="10" a="1"/>
  <c r="CV205" i="10" s="1"/>
  <c r="CW205" i="10" a="1"/>
  <c r="CW205" i="10" s="1"/>
  <c r="BR486" i="10" a="1"/>
  <c r="BR486" i="10" s="1"/>
  <c r="CV796" i="10" a="1"/>
  <c r="CV796" i="10" s="1"/>
  <c r="CW796" i="10" a="1"/>
  <c r="CW796" i="10" s="1"/>
  <c r="CV759" i="10" a="1"/>
  <c r="CV759" i="10" s="1"/>
  <c r="CW759" i="10" a="1"/>
  <c r="CW759" i="10" s="1"/>
  <c r="CA989" i="10" a="1"/>
  <c r="CA989" i="10" s="1"/>
  <c r="BZ989" i="10" a="1"/>
  <c r="BZ989" i="10" s="1"/>
  <c r="BR993" i="10" a="1"/>
  <c r="BR993" i="10" s="1"/>
  <c r="CB993" i="10" s="1"/>
  <c r="S993" i="10" s="1"/>
  <c r="BV666" i="10" a="1"/>
  <c r="BV666" i="10" s="1"/>
  <c r="BZ666" i="10" a="1"/>
  <c r="BZ666" i="10" s="1"/>
  <c r="BV787" i="10" a="1"/>
  <c r="BV787" i="10" s="1"/>
  <c r="CN941" i="10" a="1"/>
  <c r="CN941" i="10" s="1"/>
  <c r="CN750" i="10" a="1"/>
  <c r="CN750" i="10" s="1"/>
  <c r="BZ990" i="10" a="1"/>
  <c r="BZ990" i="10" s="1"/>
  <c r="CA990" i="10" a="1"/>
  <c r="CA990" i="10" s="1"/>
  <c r="BN736" i="10" a="1"/>
  <c r="BN736" i="10" s="1"/>
  <c r="BR736" i="10" a="1"/>
  <c r="BR736" i="10" s="1"/>
  <c r="CW913" i="10" a="1"/>
  <c r="CW913" i="10" s="1"/>
  <c r="CV913" i="10" a="1"/>
  <c r="CV913" i="10" s="1"/>
  <c r="CB884" i="10"/>
  <c r="S884" i="10" s="1"/>
  <c r="CA503" i="10" a="1"/>
  <c r="CA503" i="10" s="1"/>
  <c r="BZ503" i="10" a="1"/>
  <c r="BZ503" i="10" s="1"/>
  <c r="CA466" i="10" a="1"/>
  <c r="CA466" i="10" s="1"/>
  <c r="BZ466" i="10" a="1"/>
  <c r="BZ466" i="10" s="1"/>
  <c r="AF830" i="10"/>
  <c r="BV474" i="10" a="1"/>
  <c r="BV474" i="10" s="1"/>
  <c r="CB474" i="10" s="1"/>
  <c r="S474" i="10" s="1"/>
  <c r="BV475" i="10" a="1"/>
  <c r="BV475" i="10" s="1"/>
  <c r="BZ673" i="10" a="1"/>
  <c r="BZ673" i="10" s="1"/>
  <c r="CA673" i="10" a="1"/>
  <c r="CA673" i="10" s="1"/>
  <c r="BZ519" i="10" a="1"/>
  <c r="BZ519" i="10" s="1"/>
  <c r="BZ127" i="10" a="1"/>
  <c r="BZ127" i="10" s="1"/>
  <c r="CA127" i="10" a="1"/>
  <c r="CA127" i="10" s="1"/>
  <c r="CW349" i="10" a="1"/>
  <c r="CW349" i="10" s="1"/>
  <c r="CV349" i="10" a="1"/>
  <c r="CV349" i="10" s="1"/>
  <c r="CX431" i="10"/>
  <c r="Z431" i="10" s="1"/>
  <c r="CH336" i="10"/>
  <c r="CI336" i="10" s="1"/>
  <c r="CJ336" i="10" s="1" a="1"/>
  <c r="CJ336" i="10" s="1"/>
  <c r="CT336" i="10"/>
  <c r="CU336" i="10" s="1"/>
  <c r="BR269" i="10" a="1"/>
  <c r="BR269" i="10" s="1"/>
  <c r="CW234" i="10" a="1"/>
  <c r="CW234" i="10" s="1"/>
  <c r="CV234" i="10" a="1"/>
  <c r="CV234" i="10" s="1"/>
  <c r="CW169" i="10" a="1"/>
  <c r="CW169" i="10" s="1"/>
  <c r="CV169" i="10" a="1"/>
  <c r="CV169" i="10" s="1"/>
  <c r="BZ162" i="10" a="1"/>
  <c r="BZ162" i="10" s="1"/>
  <c r="CA162" i="10" a="1"/>
  <c r="CA162" i="10" s="1"/>
  <c r="BZ128" i="10" a="1"/>
  <c r="BZ128" i="10" s="1"/>
  <c r="CB128" i="10" s="1"/>
  <c r="S128" i="10" s="1"/>
  <c r="CA128" i="10" a="1"/>
  <c r="CA128" i="10" s="1"/>
  <c r="CH411" i="10"/>
  <c r="CI411" i="10" s="1"/>
  <c r="CJ411" i="10" s="1" a="1"/>
  <c r="CJ411" i="10" s="1"/>
  <c r="CP411" i="10"/>
  <c r="CQ411" i="10" s="1"/>
  <c r="BZ235" i="10" a="1"/>
  <c r="BZ235" i="10" s="1"/>
  <c r="CA235" i="10" a="1"/>
  <c r="CA235" i="10" s="1"/>
  <c r="CV878" i="10" a="1"/>
  <c r="CV878" i="10" s="1"/>
  <c r="CW878" i="10" a="1"/>
  <c r="CW878" i="10" s="1"/>
  <c r="CW707" i="10" a="1"/>
  <c r="CW707" i="10" s="1"/>
  <c r="CV707" i="10" a="1"/>
  <c r="CV707" i="10" s="1"/>
  <c r="BZ759" i="10" a="1"/>
  <c r="BZ759" i="10" s="1"/>
  <c r="CA759" i="10" a="1"/>
  <c r="CA759" i="10" s="1"/>
  <c r="CT958" i="10"/>
  <c r="CU958" i="10" s="1"/>
  <c r="CP946" i="10"/>
  <c r="CQ946" i="10" s="1"/>
  <c r="CV946" i="10" s="1" a="1"/>
  <c r="CV946" i="10" s="1"/>
  <c r="CL801" i="10"/>
  <c r="CM801" i="10" s="1"/>
  <c r="CN796" i="10" a="1"/>
  <c r="CN796" i="10" s="1"/>
  <c r="CR711" i="10" a="1"/>
  <c r="CR711" i="10" s="1"/>
  <c r="CV711" i="10" a="1"/>
  <c r="CV711" i="10" s="1"/>
  <c r="BZ812" i="10" a="1"/>
  <c r="BZ812" i="10" s="1"/>
  <c r="CA812" i="10" a="1"/>
  <c r="CA812" i="10" s="1"/>
  <c r="BV759" i="10" a="1"/>
  <c r="BV759" i="10" s="1"/>
  <c r="BZ928" i="10" a="1"/>
  <c r="BZ928" i="10" s="1"/>
  <c r="CA928" i="10" a="1"/>
  <c r="CA928" i="10" s="1"/>
  <c r="CL895" i="10"/>
  <c r="CM895" i="10" s="1"/>
  <c r="CN895" i="10" s="1" a="1"/>
  <c r="CN895" i="10" s="1"/>
  <c r="BR811" i="10" a="1"/>
  <c r="BR811" i="10" s="1"/>
  <c r="CT863" i="10"/>
  <c r="CU863" i="10" s="1"/>
  <c r="CX803" i="10"/>
  <c r="Z803" i="10" s="1"/>
  <c r="CW763" i="10" a="1"/>
  <c r="CW763" i="10" s="1"/>
  <c r="CV763" i="10" a="1"/>
  <c r="CV763" i="10" s="1"/>
  <c r="BV1008" i="10" a="1"/>
  <c r="BV1008" i="10" s="1"/>
  <c r="CL1005" i="10"/>
  <c r="CM1005" i="10" s="1"/>
  <c r="CP1009" i="10"/>
  <c r="CQ1009" i="10" s="1"/>
  <c r="CR930" i="10" a="1"/>
  <c r="CR930" i="10" s="1"/>
  <c r="CL875" i="10"/>
  <c r="CM875" i="10" s="1"/>
  <c r="CN875" i="10" s="1" a="1"/>
  <c r="CN875" i="10" s="1"/>
  <c r="CV856" i="10" a="1"/>
  <c r="CV856" i="10" s="1"/>
  <c r="CW856" i="10" a="1"/>
  <c r="CW856" i="10" s="1"/>
  <c r="CL835" i="10"/>
  <c r="CM835" i="10" s="1"/>
  <c r="CN835" i="10" s="1" a="1"/>
  <c r="CN835" i="10" s="1"/>
  <c r="BZ1011" i="10" a="1"/>
  <c r="BZ1011" i="10" s="1"/>
  <c r="CA1011" i="10" a="1"/>
  <c r="CA1011" i="10" s="1"/>
  <c r="BR1000" i="10" a="1"/>
  <c r="BR1000" i="10" s="1"/>
  <c r="CN1010" i="10" a="1"/>
  <c r="CN1010" i="10" s="1"/>
  <c r="CL934" i="10"/>
  <c r="CM934" i="10" s="1"/>
  <c r="CN934" i="10" s="1" a="1"/>
  <c r="CN934" i="10" s="1"/>
  <c r="CR1021" i="10" a="1"/>
  <c r="CR1021" i="10" s="1"/>
  <c r="CX1021" i="10" s="1"/>
  <c r="Z1021" i="10" s="1"/>
  <c r="BX965" i="10"/>
  <c r="BY965" i="10" s="1"/>
  <c r="CW861" i="10" a="1"/>
  <c r="CW861" i="10" s="1"/>
  <c r="CV861" i="10" a="1"/>
  <c r="CV861" i="10" s="1"/>
  <c r="CP908" i="10"/>
  <c r="CQ908" i="10" s="1"/>
  <c r="CR908" i="10" s="1" a="1"/>
  <c r="CR908" i="10" s="1"/>
  <c r="CV893" i="10" a="1"/>
  <c r="CV893" i="10" s="1"/>
  <c r="CW893" i="10" a="1"/>
  <c r="CW893" i="10" s="1"/>
  <c r="BZ845" i="10" a="1"/>
  <c r="BZ845" i="10" s="1"/>
  <c r="CA845" i="10" a="1"/>
  <c r="CA845" i="10" s="1"/>
  <c r="CP801" i="10"/>
  <c r="CQ801" i="10" s="1"/>
  <c r="CR801" i="10" s="1" a="1"/>
  <c r="CR801" i="10" s="1"/>
  <c r="CP746" i="10"/>
  <c r="CQ746" i="10" s="1"/>
  <c r="CR746" i="10" s="1" a="1"/>
  <c r="CR746" i="10" s="1"/>
  <c r="BV995" i="10" a="1"/>
  <c r="BV995" i="10" s="1"/>
  <c r="BL1022" i="10"/>
  <c r="BM1022" i="10" s="1"/>
  <c r="BN1022" i="10" s="1" a="1"/>
  <c r="BN1022" i="10" s="1"/>
  <c r="CV902" i="10" a="1"/>
  <c r="CV902" i="10" s="1"/>
  <c r="CW902" i="10" a="1"/>
  <c r="CW902" i="10" s="1"/>
  <c r="CW990" i="10" a="1"/>
  <c r="CW990" i="10" s="1"/>
  <c r="CV990" i="10" a="1"/>
  <c r="CV990" i="10" s="1"/>
  <c r="CH942" i="10"/>
  <c r="CI942" i="10" s="1"/>
  <c r="CJ942" i="10" s="1" a="1"/>
  <c r="CJ942" i="10" s="1"/>
  <c r="BR919" i="10" a="1"/>
  <c r="BR919" i="10" s="1"/>
  <c r="BR955" i="10" a="1"/>
  <c r="BR955" i="10" s="1"/>
  <c r="BL914" i="10"/>
  <c r="BM914" i="10" s="1"/>
  <c r="BN914" i="10" s="1" a="1"/>
  <c r="BN914" i="10" s="1"/>
  <c r="BX887" i="10"/>
  <c r="BY887" i="10" s="1"/>
  <c r="CW869" i="10" a="1"/>
  <c r="CW869" i="10" s="1"/>
  <c r="CV869" i="10" a="1"/>
  <c r="CV869" i="10" s="1"/>
  <c r="CN820" i="10" a="1"/>
  <c r="CN820" i="10" s="1"/>
  <c r="CA875" i="10" a="1"/>
  <c r="CA875" i="10" s="1"/>
  <c r="BZ875" i="10" a="1"/>
  <c r="BZ875" i="10" s="1"/>
  <c r="BT809" i="10"/>
  <c r="BU809" i="10" s="1"/>
  <c r="BV809" i="10" s="1" a="1"/>
  <c r="BV809" i="10" s="1"/>
  <c r="CL689" i="10"/>
  <c r="CM689" i="10" s="1"/>
  <c r="CN689" i="10" s="1" a="1"/>
  <c r="CN689" i="10" s="1"/>
  <c r="CH794" i="10"/>
  <c r="CI794" i="10" s="1"/>
  <c r="CJ794" i="10" s="1" a="1"/>
  <c r="CJ794" i="10" s="1"/>
  <c r="BR691" i="10" a="1"/>
  <c r="BR691" i="10" s="1"/>
  <c r="BN691" i="10" a="1"/>
  <c r="BN691" i="10" s="1"/>
  <c r="BZ996" i="10" a="1"/>
  <c r="BZ996" i="10" s="1"/>
  <c r="CA996" i="10" a="1"/>
  <c r="CA996" i="10" s="1"/>
  <c r="BT979" i="10"/>
  <c r="BU979" i="10" s="1"/>
  <c r="BZ979" i="10" s="1" a="1"/>
  <c r="BZ979" i="10" s="1"/>
  <c r="CT979" i="10"/>
  <c r="CU979" i="10" s="1"/>
  <c r="CA972" i="10" a="1"/>
  <c r="CA972" i="10" s="1"/>
  <c r="BZ972" i="10" a="1"/>
  <c r="BZ972" i="10" s="1"/>
  <c r="CT929" i="10"/>
  <c r="CU929" i="10" s="1"/>
  <c r="BT906" i="10"/>
  <c r="BU906" i="10" s="1"/>
  <c r="BV906" i="10" s="1" a="1"/>
  <c r="BV906" i="10" s="1"/>
  <c r="CT922" i="10"/>
  <c r="CU922" i="10" s="1"/>
  <c r="CP905" i="10"/>
  <c r="CQ905" i="10" s="1"/>
  <c r="CR905" i="10" s="1" a="1"/>
  <c r="CR905" i="10" s="1"/>
  <c r="CH905" i="10"/>
  <c r="CI905" i="10" s="1"/>
  <c r="CJ905" i="10" s="1" a="1"/>
  <c r="CJ905" i="10" s="1"/>
  <c r="BV845" i="10" a="1"/>
  <c r="BV845" i="10" s="1"/>
  <c r="CH895" i="10"/>
  <c r="CI895" i="10" s="1"/>
  <c r="CJ895" i="10" s="1" a="1"/>
  <c r="CJ895" i="10" s="1"/>
  <c r="CH896" i="10"/>
  <c r="CI896" i="10" s="1"/>
  <c r="CJ896" i="10" s="1" a="1"/>
  <c r="CJ896" i="10" s="1"/>
  <c r="BL840" i="10"/>
  <c r="BM840" i="10" s="1"/>
  <c r="BN840" i="10" s="1" a="1"/>
  <c r="BN840" i="10" s="1"/>
  <c r="CP701" i="10"/>
  <c r="CQ701" i="10" s="1"/>
  <c r="CR701" i="10" s="1" a="1"/>
  <c r="CR701" i="10" s="1"/>
  <c r="CT735" i="10"/>
  <c r="CU735" i="10" s="1"/>
  <c r="CP804" i="10"/>
  <c r="CQ804" i="10" s="1"/>
  <c r="CR804" i="10" s="1" a="1"/>
  <c r="CR804" i="10" s="1"/>
  <c r="CN996" i="10" a="1"/>
  <c r="CN996" i="10" s="1"/>
  <c r="CA1003" i="10" a="1"/>
  <c r="CA1003" i="10" s="1"/>
  <c r="BZ1003" i="10" a="1"/>
  <c r="BZ1003" i="10" s="1"/>
  <c r="CA991" i="10" a="1"/>
  <c r="CA991" i="10" s="1"/>
  <c r="BZ991" i="10" a="1"/>
  <c r="BZ991" i="10" s="1"/>
  <c r="CB991" i="10" s="1"/>
  <c r="S991" i="10" s="1"/>
  <c r="CW915" i="10" a="1"/>
  <c r="CW915" i="10" s="1"/>
  <c r="CV915" i="10" a="1"/>
  <c r="CV915" i="10" s="1"/>
  <c r="BX1001" i="10"/>
  <c r="BY1001" i="10" s="1"/>
  <c r="CH948" i="10"/>
  <c r="CI948" i="10" s="1"/>
  <c r="CJ948" i="10" s="1" a="1"/>
  <c r="CJ948" i="10" s="1"/>
  <c r="CH916" i="10"/>
  <c r="CI916" i="10" s="1"/>
  <c r="CJ916" i="10" s="1" a="1"/>
  <c r="CJ916" i="10" s="1"/>
  <c r="BX950" i="10"/>
  <c r="BY950" i="10" s="1"/>
  <c r="CB815" i="10"/>
  <c r="S815" i="10" s="1"/>
  <c r="AF815" i="10" s="1"/>
  <c r="CT926" i="10"/>
  <c r="CU926" i="10" s="1"/>
  <c r="BZ857" i="10" a="1"/>
  <c r="BZ857" i="10" s="1"/>
  <c r="CA857" i="10" a="1"/>
  <c r="CA857" i="10" s="1"/>
  <c r="CN791" i="10" a="1"/>
  <c r="CN791" i="10" s="1"/>
  <c r="BP701" i="10"/>
  <c r="BQ701" i="10" s="1"/>
  <c r="BR701" i="10" s="1" a="1"/>
  <c r="BR701" i="10" s="1"/>
  <c r="BL710" i="10"/>
  <c r="BM710" i="10" s="1"/>
  <c r="BN710" i="10" s="1" a="1"/>
  <c r="BN710" i="10" s="1"/>
  <c r="BV664" i="10" a="1"/>
  <c r="BV664" i="10" s="1"/>
  <c r="BV743" i="10" a="1"/>
  <c r="BV743" i="10" s="1"/>
  <c r="CA1015" i="10" a="1"/>
  <c r="CA1015" i="10" s="1"/>
  <c r="BZ1015" i="10" a="1"/>
  <c r="BZ1015" i="10" s="1"/>
  <c r="CR998" i="10" a="1"/>
  <c r="CR998" i="10" s="1"/>
  <c r="CN983" i="10" a="1"/>
  <c r="CN983" i="10" s="1"/>
  <c r="BL953" i="10"/>
  <c r="BM953" i="10" s="1"/>
  <c r="BN953" i="10" s="1" a="1"/>
  <c r="BN953" i="10" s="1"/>
  <c r="BP933" i="10"/>
  <c r="BQ933" i="10" s="1"/>
  <c r="BR933" i="10" s="1" a="1"/>
  <c r="BR933" i="10" s="1"/>
  <c r="CH1001" i="10"/>
  <c r="CI1001" i="10" s="1"/>
  <c r="CJ1001" i="10" s="1" a="1"/>
  <c r="CJ1001" i="10" s="1"/>
  <c r="BR951" i="10" a="1"/>
  <c r="BR951" i="10" s="1"/>
  <c r="CT925" i="10"/>
  <c r="CU925" i="10" s="1"/>
  <c r="BT945" i="10"/>
  <c r="BU945" i="10" s="1"/>
  <c r="BV945" i="10" s="1" a="1"/>
  <c r="BV945" i="10" s="1"/>
  <c r="BP856" i="10"/>
  <c r="BQ856" i="10" s="1"/>
  <c r="BR856" i="10" s="1" a="1"/>
  <c r="BR856" i="10" s="1"/>
  <c r="BX918" i="10"/>
  <c r="BY918" i="10" s="1"/>
  <c r="BT887" i="10"/>
  <c r="BU887" i="10" s="1"/>
  <c r="BV887" i="10" s="1" a="1"/>
  <c r="BV887" i="10" s="1"/>
  <c r="CT896" i="10"/>
  <c r="CU896" i="10" s="1"/>
  <c r="CN775" i="10" a="1"/>
  <c r="CN775" i="10" s="1"/>
  <c r="CN783" i="10" a="1"/>
  <c r="CN783" i="10" s="1"/>
  <c r="BX790" i="10"/>
  <c r="BY790" i="10" s="1"/>
  <c r="CP778" i="10"/>
  <c r="CQ778" i="10" s="1"/>
  <c r="CR778" i="10" s="1" a="1"/>
  <c r="CR778" i="10" s="1"/>
  <c r="BT762" i="10"/>
  <c r="BU762" i="10" s="1"/>
  <c r="BV762" i="10" s="1" a="1"/>
  <c r="BV762" i="10" s="1"/>
  <c r="CL758" i="10"/>
  <c r="CM758" i="10" s="1"/>
  <c r="BP982" i="10"/>
  <c r="BQ982" i="10" s="1"/>
  <c r="BR982" i="10" s="1" a="1"/>
  <c r="BR982" i="10" s="1"/>
  <c r="BZ927" i="10" a="1"/>
  <c r="BZ927" i="10" s="1"/>
  <c r="CR833" i="10" a="1"/>
  <c r="CR833" i="10" s="1"/>
  <c r="CX833" i="10" s="1"/>
  <c r="Z833" i="10" s="1"/>
  <c r="CV845" i="10" a="1"/>
  <c r="CV845" i="10" s="1"/>
  <c r="CR880" i="10" a="1"/>
  <c r="CR880" i="10" s="1"/>
  <c r="BZ792" i="10" a="1"/>
  <c r="BZ792" i="10" s="1"/>
  <c r="BP757" i="10"/>
  <c r="BQ757" i="10" s="1"/>
  <c r="BR757" i="10" s="1" a="1"/>
  <c r="BR757" i="10" s="1"/>
  <c r="BL705" i="10"/>
  <c r="BM705" i="10" s="1"/>
  <c r="BN705" i="10" s="1" a="1"/>
  <c r="BN705" i="10" s="1"/>
  <c r="BP798" i="10"/>
  <c r="BQ798" i="10" s="1"/>
  <c r="BT726" i="10"/>
  <c r="BU726" i="10" s="1"/>
  <c r="CA715" i="10" a="1"/>
  <c r="CA715" i="10" s="1"/>
  <c r="BZ715" i="10" a="1"/>
  <c r="BZ715" i="10" s="1"/>
  <c r="CT605" i="10"/>
  <c r="CU605" i="10" s="1"/>
  <c r="CW580" i="10" a="1"/>
  <c r="CW580" i="10" s="1"/>
  <c r="CV580" i="10" a="1"/>
  <c r="CV580" i="10" s="1"/>
  <c r="CN462" i="10" a="1"/>
  <c r="CN462" i="10" s="1"/>
  <c r="CR505" i="10" a="1"/>
  <c r="CR505" i="10" s="1"/>
  <c r="CH455" i="10"/>
  <c r="CI455" i="10" s="1"/>
  <c r="CJ455" i="10" s="1" a="1"/>
  <c r="CJ455" i="10" s="1"/>
  <c r="CT455" i="10"/>
  <c r="CU455" i="10" s="1"/>
  <c r="BT1013" i="10"/>
  <c r="BU1013" i="10" s="1"/>
  <c r="BV1013" i="10" s="1" a="1"/>
  <c r="BV1013" i="10" s="1"/>
  <c r="BV825" i="10" a="1"/>
  <c r="BV825" i="10" s="1"/>
  <c r="BL809" i="10"/>
  <c r="BM809" i="10" s="1"/>
  <c r="BN809" i="10" s="1" a="1"/>
  <c r="BN809" i="10" s="1"/>
  <c r="BR708" i="10" a="1"/>
  <c r="BR708" i="10" s="1"/>
  <c r="CR785" i="10" a="1"/>
  <c r="CR785" i="10" s="1"/>
  <c r="CB723" i="10"/>
  <c r="S723" i="10" s="1"/>
  <c r="CV686" i="10" a="1"/>
  <c r="CV686" i="10" s="1"/>
  <c r="CW686" i="10" a="1"/>
  <c r="CW686" i="10" s="1"/>
  <c r="CA634" i="10" a="1"/>
  <c r="CA634" i="10" s="1"/>
  <c r="BZ634" i="10" a="1"/>
  <c r="BZ634" i="10" s="1"/>
  <c r="BX613" i="10"/>
  <c r="BY613" i="10" s="1"/>
  <c r="BX557" i="10"/>
  <c r="BY557" i="10" s="1"/>
  <c r="BV528" i="10" a="1"/>
  <c r="BV528" i="10" s="1"/>
  <c r="CP499" i="10"/>
  <c r="CQ499" i="10" s="1"/>
  <c r="CR499" i="10" s="1" a="1"/>
  <c r="CR499" i="10" s="1"/>
  <c r="BL467" i="10"/>
  <c r="BM467" i="10" s="1"/>
  <c r="BN467" i="10" s="1" a="1"/>
  <c r="BN467" i="10" s="1"/>
  <c r="CH470" i="10"/>
  <c r="CI470" i="10" s="1"/>
  <c r="CJ470" i="10" s="1" a="1"/>
  <c r="CJ470" i="10" s="1"/>
  <c r="BR980" i="10" a="1"/>
  <c r="BR980" i="10" s="1"/>
  <c r="BL1010" i="10"/>
  <c r="BM1010" i="10" s="1"/>
  <c r="BN1010" i="10" s="1" a="1"/>
  <c r="BN1010" i="10" s="1"/>
  <c r="BX738" i="10"/>
  <c r="BY738" i="10" s="1"/>
  <c r="CN702" i="10" a="1"/>
  <c r="CN702" i="10" s="1"/>
  <c r="BT702" i="10"/>
  <c r="BU702" i="10" s="1"/>
  <c r="BV702" i="10" s="1" a="1"/>
  <c r="BV702" i="10" s="1"/>
  <c r="BT672" i="10"/>
  <c r="BU672" i="10" s="1"/>
  <c r="BV672" i="10" s="1" a="1"/>
  <c r="BV672" i="10" s="1"/>
  <c r="BV688" i="10" a="1"/>
  <c r="BV688" i="10" s="1"/>
  <c r="CH652" i="10"/>
  <c r="CI652" i="10" s="1"/>
  <c r="CJ652" i="10" s="1" a="1"/>
  <c r="CJ652" i="10" s="1"/>
  <c r="CP652" i="10"/>
  <c r="CQ652" i="10" s="1"/>
  <c r="CR652" i="10" s="1" a="1"/>
  <c r="CR652" i="10" s="1"/>
  <c r="CL591" i="10"/>
  <c r="CM591" i="10" s="1"/>
  <c r="CA497" i="10" a="1"/>
  <c r="CA497" i="10" s="1"/>
  <c r="BZ497" i="10" a="1"/>
  <c r="BZ497" i="10" s="1"/>
  <c r="BT479" i="10"/>
  <c r="BU479" i="10" s="1"/>
  <c r="BV479" i="10" s="1" a="1"/>
  <c r="BV479" i="10" s="1"/>
  <c r="CL463" i="10"/>
  <c r="CM463" i="10" s="1"/>
  <c r="BR823" i="10" a="1"/>
  <c r="BR823" i="10" s="1"/>
  <c r="BV853" i="10" a="1"/>
  <c r="BV853" i="10" s="1"/>
  <c r="BR783" i="10" a="1"/>
  <c r="BR783" i="10" s="1"/>
  <c r="CT756" i="10"/>
  <c r="CU756" i="10" s="1"/>
  <c r="CH756" i="10"/>
  <c r="CI756" i="10" s="1"/>
  <c r="CJ756" i="10" s="1" a="1"/>
  <c r="CJ756" i="10" s="1"/>
  <c r="CX669" i="10"/>
  <c r="Z669" i="10" s="1"/>
  <c r="CP627" i="10"/>
  <c r="CQ627" i="10" s="1"/>
  <c r="CR627" i="10" s="1" a="1"/>
  <c r="CR627" i="10" s="1"/>
  <c r="CT627" i="10"/>
  <c r="CU627" i="10" s="1"/>
  <c r="CH627" i="10"/>
  <c r="CI627" i="10" s="1"/>
  <c r="CJ627" i="10" s="1" a="1"/>
  <c r="CJ627" i="10" s="1"/>
  <c r="BT572" i="10"/>
  <c r="BU572" i="10" s="1"/>
  <c r="CW532" i="10" a="1"/>
  <c r="CW532" i="10" s="1"/>
  <c r="CV532" i="10" a="1"/>
  <c r="CV532" i="10" s="1"/>
  <c r="CP483" i="10"/>
  <c r="CQ483" i="10" s="1"/>
  <c r="CR483" i="10" s="1" a="1"/>
  <c r="CR483" i="10" s="1"/>
  <c r="BR476" i="10" a="1"/>
  <c r="BR476" i="10" s="1"/>
  <c r="BV485" i="10" a="1"/>
  <c r="BV485" i="10" s="1"/>
  <c r="CN963" i="10" a="1"/>
  <c r="CN963" i="10" s="1"/>
  <c r="CH904" i="10"/>
  <c r="CI904" i="10" s="1"/>
  <c r="CJ904" i="10" s="1" a="1"/>
  <c r="CJ904" i="10" s="1"/>
  <c r="CT742" i="10"/>
  <c r="CU742" i="10" s="1"/>
  <c r="CV771" i="10" a="1"/>
  <c r="CV771" i="10" s="1"/>
  <c r="CW771" i="10" a="1"/>
  <c r="CW771" i="10" s="1"/>
  <c r="BV607" i="10" a="1"/>
  <c r="BV607" i="10" s="1"/>
  <c r="BP669" i="10"/>
  <c r="BQ669" i="10" s="1"/>
  <c r="BV669" i="10" s="1" a="1"/>
  <c r="BV669" i="10" s="1"/>
  <c r="BL601" i="10"/>
  <c r="BM601" i="10" s="1"/>
  <c r="BN601" i="10" s="1" a="1"/>
  <c r="BN601" i="10" s="1"/>
  <c r="CH628" i="10"/>
  <c r="CI628" i="10" s="1"/>
  <c r="CJ628" i="10" s="1" a="1"/>
  <c r="CJ628" i="10" s="1"/>
  <c r="CP628" i="10"/>
  <c r="CQ628" i="10" s="1"/>
  <c r="CR628" i="10" s="1" a="1"/>
  <c r="CR628" i="10" s="1"/>
  <c r="CH604" i="10"/>
  <c r="CI604" i="10" s="1"/>
  <c r="CJ604" i="10" s="1" a="1"/>
  <c r="CJ604" i="10" s="1"/>
  <c r="CP604" i="10"/>
  <c r="CQ604" i="10" s="1"/>
  <c r="CR604" i="10" s="1" a="1"/>
  <c r="CR604" i="10" s="1"/>
  <c r="CT567" i="10"/>
  <c r="CU567" i="10" s="1"/>
  <c r="CH641" i="10"/>
  <c r="CI641" i="10" s="1"/>
  <c r="CJ641" i="10" s="1" a="1"/>
  <c r="CJ641" i="10" s="1"/>
  <c r="CP641" i="10"/>
  <c r="CQ641" i="10" s="1"/>
  <c r="CR641" i="10" s="1" a="1"/>
  <c r="CR641" i="10" s="1"/>
  <c r="CV548" i="10" a="1"/>
  <c r="CV548" i="10" s="1"/>
  <c r="CW548" i="10" a="1"/>
  <c r="CW548" i="10" s="1"/>
  <c r="BP530" i="10"/>
  <c r="BQ530" i="10" s="1"/>
  <c r="CL510" i="10"/>
  <c r="CM510" i="10" s="1"/>
  <c r="CT477" i="10"/>
  <c r="CU477" i="10" s="1"/>
  <c r="CL509" i="10"/>
  <c r="CM509" i="10" s="1"/>
  <c r="CN509" i="10" s="1" a="1"/>
  <c r="CN509" i="10" s="1"/>
  <c r="CA428" i="10" a="1"/>
  <c r="CA428" i="10" s="1"/>
  <c r="BZ428" i="10" a="1"/>
  <c r="BZ428" i="10" s="1"/>
  <c r="CR911" i="10" a="1"/>
  <c r="CR911" i="10" s="1"/>
  <c r="CR864" i="10" a="1"/>
  <c r="CR864" i="10" s="1"/>
  <c r="BR803" i="10" a="1"/>
  <c r="BR803" i="10" s="1"/>
  <c r="CT800" i="10"/>
  <c r="CU800" i="10" s="1"/>
  <c r="CL668" i="10"/>
  <c r="CM668" i="10" s="1"/>
  <c r="CN668" i="10" s="1" a="1"/>
  <c r="CN668" i="10" s="1"/>
  <c r="BR764" i="10" a="1"/>
  <c r="BR764" i="10" s="1"/>
  <c r="BL706" i="10"/>
  <c r="BM706" i="10" s="1"/>
  <c r="BN706" i="10" s="1" a="1"/>
  <c r="BN706" i="10" s="1"/>
  <c r="CV753" i="10" a="1"/>
  <c r="CV753" i="10" s="1"/>
  <c r="CR710" i="10" a="1"/>
  <c r="CR710" i="10" s="1"/>
  <c r="CH649" i="10"/>
  <c r="CI649" i="10" s="1"/>
  <c r="CJ649" i="10" s="1" a="1"/>
  <c r="CJ649" i="10" s="1"/>
  <c r="CP649" i="10"/>
  <c r="CQ649" i="10" s="1"/>
  <c r="CR649" i="10" s="1" a="1"/>
  <c r="CR649" i="10" s="1"/>
  <c r="CW552" i="10" a="1"/>
  <c r="CW552" i="10" s="1"/>
  <c r="CV552" i="10" a="1"/>
  <c r="CV552" i="10" s="1"/>
  <c r="CB540" i="10"/>
  <c r="S540" i="10" s="1"/>
  <c r="CH493" i="10"/>
  <c r="CI493" i="10" s="1"/>
  <c r="CJ493" i="10" s="1" a="1"/>
  <c r="CJ493" i="10" s="1"/>
  <c r="CP527" i="10"/>
  <c r="CQ527" i="10" s="1"/>
  <c r="CR527" i="10" s="1" a="1"/>
  <c r="CR527" i="10" s="1"/>
  <c r="CA505" i="10" a="1"/>
  <c r="CA505" i="10" s="1"/>
  <c r="BZ505" i="10" a="1"/>
  <c r="BZ505" i="10" s="1"/>
  <c r="CH926" i="10"/>
  <c r="CI926" i="10" s="1"/>
  <c r="CJ926" i="10" s="1" a="1"/>
  <c r="CJ926" i="10" s="1"/>
  <c r="BX872" i="10"/>
  <c r="BY872" i="10" s="1"/>
  <c r="BX753" i="10"/>
  <c r="BY753" i="10" s="1"/>
  <c r="CR773" i="10" a="1"/>
  <c r="CR773" i="10" s="1"/>
  <c r="BX693" i="10"/>
  <c r="BY693" i="10" s="1"/>
  <c r="BL785" i="10"/>
  <c r="BM785" i="10" s="1"/>
  <c r="BN785" i="10" s="1" a="1"/>
  <c r="BN785" i="10" s="1"/>
  <c r="BT729" i="10"/>
  <c r="BU729" i="10" s="1"/>
  <c r="BV729" i="10" s="1" a="1"/>
  <c r="BV729" i="10" s="1"/>
  <c r="CV602" i="10" a="1"/>
  <c r="CV602" i="10" s="1"/>
  <c r="CW602" i="10" a="1"/>
  <c r="CW602" i="10" s="1"/>
  <c r="BV731" i="10" a="1"/>
  <c r="BV731" i="10" s="1"/>
  <c r="BX669" i="10"/>
  <c r="BY669" i="10" s="1"/>
  <c r="BP671" i="10"/>
  <c r="BQ671" i="10" s="1"/>
  <c r="CH680" i="10"/>
  <c r="CI680" i="10" s="1"/>
  <c r="CJ680" i="10" s="1" a="1"/>
  <c r="CJ680" i="10" s="1"/>
  <c r="CT680" i="10"/>
  <c r="CU680" i="10" s="1"/>
  <c r="CP680" i="10"/>
  <c r="CQ680" i="10" s="1"/>
  <c r="CR680" i="10" s="1" a="1"/>
  <c r="CR680" i="10" s="1"/>
  <c r="CV634" i="10" a="1"/>
  <c r="CV634" i="10" s="1"/>
  <c r="CW634" i="10" a="1"/>
  <c r="CW634" i="10" s="1"/>
  <c r="CA562" i="10" a="1"/>
  <c r="CA562" i="10" s="1"/>
  <c r="BZ562" i="10" a="1"/>
  <c r="BZ562" i="10" s="1"/>
  <c r="BZ589" i="10" a="1"/>
  <c r="BZ589" i="10" s="1"/>
  <c r="CA589" i="10" a="1"/>
  <c r="CA589" i="10" s="1"/>
  <c r="CA549" i="10" a="1"/>
  <c r="CA549" i="10" s="1"/>
  <c r="CV515" i="10" a="1"/>
  <c r="CV515" i="10" s="1"/>
  <c r="CW515" i="10" a="1"/>
  <c r="CW515" i="10" s="1"/>
  <c r="CP509" i="10"/>
  <c r="CQ509" i="10" s="1"/>
  <c r="CR509" i="10" s="1" a="1"/>
  <c r="CR509" i="10" s="1"/>
  <c r="CN525" i="10" a="1"/>
  <c r="CN525" i="10" s="1"/>
  <c r="CX525" i="10" s="1"/>
  <c r="Z525" i="10" s="1"/>
  <c r="BR524" i="10" a="1"/>
  <c r="BR524" i="10" s="1"/>
  <c r="BX467" i="10"/>
  <c r="BY467" i="10" s="1"/>
  <c r="CL482" i="10"/>
  <c r="CM482" i="10" s="1"/>
  <c r="CR482" i="10" s="1" a="1"/>
  <c r="CR482" i="10" s="1"/>
  <c r="CV1020" i="10" a="1"/>
  <c r="CV1020" i="10" s="1"/>
  <c r="CN876" i="10" a="1"/>
  <c r="CN876" i="10" s="1"/>
  <c r="CN861" i="10" a="1"/>
  <c r="CN861" i="10" s="1"/>
  <c r="CX861" i="10" s="1"/>
  <c r="Z861" i="10" s="1"/>
  <c r="BL721" i="10"/>
  <c r="BM721" i="10" s="1"/>
  <c r="BN721" i="10" s="1" a="1"/>
  <c r="BN721" i="10" s="1"/>
  <c r="BT682" i="10"/>
  <c r="BU682" i="10" s="1"/>
  <c r="BV682" i="10" s="1" a="1"/>
  <c r="BV682" i="10" s="1"/>
  <c r="CV793" i="10" a="1"/>
  <c r="CV793" i="10" s="1"/>
  <c r="CW793" i="10" a="1"/>
  <c r="CW793" i="10" s="1"/>
  <c r="BT698" i="10"/>
  <c r="BU698" i="10" s="1"/>
  <c r="BV698" i="10" s="1" a="1"/>
  <c r="BV698" i="10" s="1"/>
  <c r="BR662" i="10" a="1"/>
  <c r="BR662" i="10" s="1"/>
  <c r="BR614" i="10" a="1"/>
  <c r="BR614" i="10" s="1"/>
  <c r="CH539" i="10"/>
  <c r="CI539" i="10" s="1"/>
  <c r="CJ539" i="10" s="1" a="1"/>
  <c r="CJ539" i="10" s="1"/>
  <c r="CA509" i="10" a="1"/>
  <c r="CA509" i="10" s="1"/>
  <c r="BZ509" i="10" a="1"/>
  <c r="BZ509" i="10" s="1"/>
  <c r="CN520" i="10" a="1"/>
  <c r="CN520" i="10" s="1"/>
  <c r="BP470" i="10"/>
  <c r="BQ470" i="10" s="1"/>
  <c r="BV470" i="10" s="1" a="1"/>
  <c r="BV470" i="10" s="1"/>
  <c r="BX475" i="10"/>
  <c r="BY475" i="10" s="1"/>
  <c r="BT490" i="10"/>
  <c r="BU490" i="10" s="1"/>
  <c r="CV454" i="10" a="1"/>
  <c r="CV454" i="10" s="1"/>
  <c r="CW454" i="10" a="1"/>
  <c r="CW454" i="10" s="1"/>
  <c r="BL491" i="10"/>
  <c r="BM491" i="10" s="1"/>
  <c r="BN491" i="10" s="1" a="1"/>
  <c r="BN491" i="10" s="1"/>
  <c r="BV501" i="10" a="1"/>
  <c r="BV501" i="10" s="1"/>
  <c r="CR425" i="10" a="1"/>
  <c r="CR425" i="10" s="1"/>
  <c r="CH410" i="10"/>
  <c r="CI410" i="10" s="1"/>
  <c r="CJ410" i="10" s="1" a="1"/>
  <c r="CJ410" i="10" s="1"/>
  <c r="CT410" i="10"/>
  <c r="CU410" i="10" s="1"/>
  <c r="CP410" i="10"/>
  <c r="CQ410" i="10" s="1"/>
  <c r="CR410" i="10" s="1" a="1"/>
  <c r="CR410" i="10" s="1"/>
  <c r="CH398" i="10"/>
  <c r="CI398" i="10" s="1"/>
  <c r="CJ398" i="10" s="1" a="1"/>
  <c r="CJ398" i="10" s="1"/>
  <c r="BL356" i="10"/>
  <c r="BM356" i="10" s="1"/>
  <c r="BN356" i="10" s="1" a="1"/>
  <c r="BN356" i="10" s="1"/>
  <c r="BX258" i="10"/>
  <c r="BY258" i="10" s="1"/>
  <c r="BP228" i="10"/>
  <c r="BQ228" i="10" s="1"/>
  <c r="BR228" i="10" s="1" a="1"/>
  <c r="BR228" i="10" s="1"/>
  <c r="BL228" i="10"/>
  <c r="BM228" i="10" s="1"/>
  <c r="BN228" i="10" s="1" a="1"/>
  <c r="BN228" i="10" s="1"/>
  <c r="BR237" i="10" a="1"/>
  <c r="BR237" i="10" s="1"/>
  <c r="BR158" i="10" a="1"/>
  <c r="BR158" i="10" s="1"/>
  <c r="CV144" i="10" a="1"/>
  <c r="CV144" i="10" s="1"/>
  <c r="CW144" i="10" a="1"/>
  <c r="CW144" i="10" s="1"/>
  <c r="BL753" i="10"/>
  <c r="BM753" i="10" s="1"/>
  <c r="BN753" i="10" s="1" a="1"/>
  <c r="BN753" i="10" s="1"/>
  <c r="BV708" i="10" a="1"/>
  <c r="BV708" i="10" s="1"/>
  <c r="CR592" i="10" a="1"/>
  <c r="CR592" i="10" s="1"/>
  <c r="CH579" i="10"/>
  <c r="CI579" i="10" s="1"/>
  <c r="CJ579" i="10" s="1" a="1"/>
  <c r="CJ579" i="10" s="1"/>
  <c r="CH477" i="10"/>
  <c r="CI477" i="10" s="1"/>
  <c r="CJ477" i="10" s="1" a="1"/>
  <c r="CJ477" i="10" s="1"/>
  <c r="BX482" i="10"/>
  <c r="BY482" i="10" s="1"/>
  <c r="BZ452" i="10" a="1"/>
  <c r="BZ452" i="10" s="1"/>
  <c r="BP379" i="10"/>
  <c r="BQ379" i="10" s="1"/>
  <c r="BR379" i="10" s="1" a="1"/>
  <c r="BR379" i="10" s="1"/>
  <c r="CW346" i="10" a="1"/>
  <c r="CW346" i="10" s="1"/>
  <c r="CX346" i="10" s="1"/>
  <c r="Z346" i="10" s="1"/>
  <c r="CV346" i="10" a="1"/>
  <c r="CV346" i="10" s="1"/>
  <c r="BR409" i="10" a="1"/>
  <c r="BR409" i="10" s="1"/>
  <c r="BV350" i="10" a="1"/>
  <c r="BV350" i="10" s="1"/>
  <c r="CL275" i="10"/>
  <c r="CM275" i="10" s="1"/>
  <c r="CN275" i="10" s="1" a="1"/>
  <c r="CN275" i="10" s="1"/>
  <c r="BX263" i="10"/>
  <c r="BY263" i="10" s="1"/>
  <c r="CL208" i="10"/>
  <c r="CM208" i="10" s="1"/>
  <c r="BT173" i="10"/>
  <c r="BU173" i="10" s="1"/>
  <c r="BV173" i="10" s="1" a="1"/>
  <c r="BV173" i="10" s="1"/>
  <c r="BV186" i="10" a="1"/>
  <c r="BV186" i="10" s="1"/>
  <c r="CP151" i="10"/>
  <c r="CQ151" i="10" s="1"/>
  <c r="CR151" i="10" s="1" a="1"/>
  <c r="CR151" i="10" s="1"/>
  <c r="CA145" i="10" a="1"/>
  <c r="CA145" i="10" s="1"/>
  <c r="BZ145" i="10" a="1"/>
  <c r="BZ145" i="10" s="1"/>
  <c r="BP139" i="10"/>
  <c r="BQ139" i="10" s="1"/>
  <c r="BV139" i="10" s="1" a="1"/>
  <c r="BV139" i="10" s="1"/>
  <c r="BL139" i="10"/>
  <c r="BM139" i="10" s="1"/>
  <c r="BN139" i="10" s="1" a="1"/>
  <c r="BN139" i="10" s="1"/>
  <c r="BR558" i="10" a="1"/>
  <c r="BR558" i="10" s="1"/>
  <c r="CN602" i="10" a="1"/>
  <c r="CN602" i="10" s="1"/>
  <c r="BL465" i="10"/>
  <c r="BM465" i="10" s="1"/>
  <c r="BN465" i="10" s="1" a="1"/>
  <c r="BN465" i="10" s="1"/>
  <c r="BR410" i="10" a="1"/>
  <c r="BR410" i="10" s="1"/>
  <c r="CB410" i="10" s="1"/>
  <c r="S410" i="10" s="1"/>
  <c r="CR421" i="10" a="1"/>
  <c r="CR421" i="10" s="1"/>
  <c r="CN417" i="10" a="1"/>
  <c r="CN417" i="10" s="1"/>
  <c r="CN420" i="10" a="1"/>
  <c r="CN420" i="10" s="1"/>
  <c r="CP407" i="10"/>
  <c r="CQ407" i="10" s="1"/>
  <c r="CR407" i="10" s="1" a="1"/>
  <c r="CR407" i="10" s="1"/>
  <c r="CH407" i="10"/>
  <c r="CI407" i="10" s="1"/>
  <c r="CJ407" i="10" s="1" a="1"/>
  <c r="CJ407" i="10" s="1"/>
  <c r="BL367" i="10"/>
  <c r="BM367" i="10" s="1"/>
  <c r="BN367" i="10" s="1" a="1"/>
  <c r="BN367" i="10" s="1"/>
  <c r="BX345" i="10"/>
  <c r="BY345" i="10" s="1"/>
  <c r="BP298" i="10"/>
  <c r="BQ298" i="10" s="1"/>
  <c r="BR298" i="10" s="1" a="1"/>
  <c r="BR298" i="10" s="1"/>
  <c r="CB299" i="10"/>
  <c r="S299" i="10" s="1"/>
  <c r="CN297" i="10" a="1"/>
  <c r="CN297" i="10" s="1"/>
  <c r="CH282" i="10"/>
  <c r="CI282" i="10" s="1"/>
  <c r="CJ282" i="10" s="1" a="1"/>
  <c r="CJ282" i="10" s="1"/>
  <c r="CL232" i="10"/>
  <c r="CM232" i="10" s="1"/>
  <c r="CN232" i="10" s="1" a="1"/>
  <c r="CN232" i="10" s="1"/>
  <c r="BT208" i="10"/>
  <c r="BU208" i="10" s="1"/>
  <c r="CL188" i="10"/>
  <c r="CM188" i="10" s="1"/>
  <c r="CN188" i="10" s="1" a="1"/>
  <c r="CN188" i="10" s="1"/>
  <c r="CV165" i="10" a="1"/>
  <c r="CV165" i="10" s="1"/>
  <c r="CW165" i="10" a="1"/>
  <c r="CW165" i="10" s="1"/>
  <c r="CH166" i="10"/>
  <c r="CI166" i="10" s="1"/>
  <c r="CJ166" i="10" s="1" a="1"/>
  <c r="CJ166" i="10" s="1"/>
  <c r="BP142" i="10"/>
  <c r="BQ142" i="10" s="1"/>
  <c r="BR142" i="10" s="1" a="1"/>
  <c r="BR142" i="10" s="1"/>
  <c r="BZ655" i="10" a="1"/>
  <c r="BZ655" i="10" s="1"/>
  <c r="CV538" i="10" a="1"/>
  <c r="CV538" i="10" s="1"/>
  <c r="CH475" i="10"/>
  <c r="CI475" i="10" s="1"/>
  <c r="CJ475" i="10" s="1" a="1"/>
  <c r="CJ475" i="10" s="1"/>
  <c r="CW420" i="10" a="1"/>
  <c r="CW420" i="10" s="1"/>
  <c r="CV420" i="10" a="1"/>
  <c r="CV420" i="10" s="1"/>
  <c r="BR443" i="10" a="1"/>
  <c r="BR443" i="10" s="1"/>
  <c r="CR433" i="10" a="1"/>
  <c r="CR433" i="10" s="1"/>
  <c r="CV404" i="10" a="1"/>
  <c r="CV404" i="10" s="1"/>
  <c r="CW404" i="10" a="1"/>
  <c r="CW404" i="10" s="1"/>
  <c r="BT349" i="10"/>
  <c r="BU349" i="10" s="1"/>
  <c r="BV349" i="10" s="1" a="1"/>
  <c r="BV349" i="10" s="1"/>
  <c r="BP349" i="10"/>
  <c r="BQ349" i="10" s="1"/>
  <c r="BV307" i="10" a="1"/>
  <c r="BV307" i="10" s="1"/>
  <c r="CR274" i="10" a="1"/>
  <c r="CR274" i="10" s="1"/>
  <c r="CW258" i="10" a="1"/>
  <c r="CW258" i="10" s="1"/>
  <c r="CV258" i="10" a="1"/>
  <c r="CV258" i="10" s="1"/>
  <c r="BL232" i="10"/>
  <c r="BM232" i="10" s="1"/>
  <c r="BN232" i="10" s="1" a="1"/>
  <c r="BN232" i="10" s="1"/>
  <c r="BP232" i="10"/>
  <c r="BQ232" i="10" s="1"/>
  <c r="CN217" i="10" a="1"/>
  <c r="CN217" i="10" s="1"/>
  <c r="CN204" i="10" a="1"/>
  <c r="CN204" i="10" s="1"/>
  <c r="BR199" i="10" a="1"/>
  <c r="BR199" i="10" s="1"/>
  <c r="BT134" i="10"/>
  <c r="BU134" i="10" s="1"/>
  <c r="CR690" i="10" a="1"/>
  <c r="CR690" i="10" s="1"/>
  <c r="BZ590" i="10" a="1"/>
  <c r="BZ590" i="10" s="1"/>
  <c r="CB590" i="10" s="1"/>
  <c r="S590" i="10" s="1"/>
  <c r="CT551" i="10"/>
  <c r="CU551" i="10" s="1"/>
  <c r="BP499" i="10"/>
  <c r="BQ499" i="10" s="1"/>
  <c r="BR499" i="10" s="1" a="1"/>
  <c r="BR499" i="10" s="1"/>
  <c r="BV388" i="10" a="1"/>
  <c r="BV388" i="10" s="1"/>
  <c r="BR358" i="10" a="1"/>
  <c r="BR358" i="10" s="1"/>
  <c r="BL310" i="10"/>
  <c r="BM310" i="10" s="1"/>
  <c r="BN310" i="10" s="1" a="1"/>
  <c r="BN310" i="10" s="1"/>
  <c r="BR287" i="10" a="1"/>
  <c r="BR287" i="10" s="1"/>
  <c r="CR270" i="10" a="1"/>
  <c r="CR270" i="10" s="1"/>
  <c r="BP259" i="10"/>
  <c r="BQ259" i="10" s="1"/>
  <c r="BR259" i="10" s="1" a="1"/>
  <c r="BR259" i="10" s="1"/>
  <c r="CT271" i="10"/>
  <c r="CU271" i="10" s="1"/>
  <c r="CH271" i="10"/>
  <c r="CI271" i="10" s="1"/>
  <c r="CJ271" i="10" s="1" a="1"/>
  <c r="CJ271" i="10" s="1"/>
  <c r="BT258" i="10"/>
  <c r="BU258" i="10" s="1"/>
  <c r="BR221" i="10" a="1"/>
  <c r="BR221" i="10" s="1"/>
  <c r="BX134" i="10"/>
  <c r="BY134" i="10" s="1"/>
  <c r="CL132" i="10"/>
  <c r="CM132" i="10" s="1"/>
  <c r="CN132" i="10" s="1" a="1"/>
  <c r="CN132" i="10" s="1"/>
  <c r="BR626" i="10" a="1"/>
  <c r="BR626" i="10" s="1"/>
  <c r="BZ607" i="10" a="1"/>
  <c r="BZ607" i="10" s="1"/>
  <c r="BR615" i="10" a="1"/>
  <c r="BR615" i="10" s="1"/>
  <c r="BP569" i="10"/>
  <c r="BQ569" i="10" s="1"/>
  <c r="BR569" i="10" s="1" a="1"/>
  <c r="BR569" i="10" s="1"/>
  <c r="CP493" i="10"/>
  <c r="CQ493" i="10" s="1"/>
  <c r="CR493" i="10" s="1" a="1"/>
  <c r="CR493" i="10" s="1"/>
  <c r="BZ412" i="10" a="1"/>
  <c r="BZ412" i="10" s="1"/>
  <c r="CA412" i="10" a="1"/>
  <c r="CA412" i="10" s="1"/>
  <c r="CA421" i="10" a="1"/>
  <c r="CA421" i="10" s="1"/>
  <c r="BZ421" i="10" a="1"/>
  <c r="BZ421" i="10" s="1"/>
  <c r="CV403" i="10" a="1"/>
  <c r="CV403" i="10" s="1"/>
  <c r="CW403" i="10" a="1"/>
  <c r="CW403" i="10" s="1"/>
  <c r="CP387" i="10"/>
  <c r="CQ387" i="10" s="1"/>
  <c r="CR387" i="10" s="1" a="1"/>
  <c r="CR387" i="10" s="1"/>
  <c r="CT324" i="10"/>
  <c r="CU324" i="10" s="1"/>
  <c r="CP385" i="10"/>
  <c r="CQ385" i="10" s="1"/>
  <c r="BL328" i="10"/>
  <c r="BM328" i="10" s="1"/>
  <c r="BN328" i="10" s="1" a="1"/>
  <c r="BN328" i="10" s="1"/>
  <c r="CL284" i="10"/>
  <c r="CM284" i="10" s="1"/>
  <c r="BT259" i="10"/>
  <c r="BU259" i="10" s="1"/>
  <c r="BV259" i="10" s="1" a="1"/>
  <c r="BV259" i="10" s="1"/>
  <c r="BL224" i="10"/>
  <c r="BM224" i="10" s="1"/>
  <c r="BN224" i="10" s="1" a="1"/>
  <c r="BN224" i="10" s="1"/>
  <c r="CL222" i="10"/>
  <c r="CM222" i="10" s="1"/>
  <c r="CR215" i="10" a="1"/>
  <c r="CR215" i="10" s="1"/>
  <c r="CR209" i="10" a="1"/>
  <c r="CR209" i="10" s="1"/>
  <c r="BX205" i="10"/>
  <c r="BY205" i="10" s="1"/>
  <c r="BR183" i="10" a="1"/>
  <c r="BR183" i="10" s="1"/>
  <c r="CW183" i="10" a="1"/>
  <c r="CW183" i="10" s="1"/>
  <c r="CV183" i="10" a="1"/>
  <c r="CV183" i="10" s="1"/>
  <c r="CA170" i="10" a="1"/>
  <c r="CA170" i="10" s="1"/>
  <c r="BZ170" i="10" a="1"/>
  <c r="BZ170" i="10" s="1"/>
  <c r="CL184" i="10"/>
  <c r="CM184" i="10" s="1"/>
  <c r="CN184" i="10" s="1" a="1"/>
  <c r="CN184" i="10" s="1"/>
  <c r="BL132" i="10"/>
  <c r="BM132" i="10" s="1"/>
  <c r="BN132" i="10" s="1" a="1"/>
  <c r="BN132" i="10" s="1"/>
  <c r="BR659" i="10" a="1"/>
  <c r="BR659" i="10" s="1"/>
  <c r="BX629" i="10"/>
  <c r="BY629" i="10" s="1"/>
  <c r="CN630" i="10" a="1"/>
  <c r="CN630" i="10" s="1"/>
  <c r="BR562" i="10" a="1"/>
  <c r="BR562" i="10" s="1"/>
  <c r="CB562" i="10" s="1"/>
  <c r="S562" i="10" s="1"/>
  <c r="AF562" i="10" s="1"/>
  <c r="CN544" i="10" a="1"/>
  <c r="CN544" i="10" s="1"/>
  <c r="CN530" i="10" a="1"/>
  <c r="CN530" i="10" s="1"/>
  <c r="CN468" i="10" a="1"/>
  <c r="CN468" i="10" s="1"/>
  <c r="BV413" i="10" a="1"/>
  <c r="BV413" i="10" s="1"/>
  <c r="BT433" i="10"/>
  <c r="BU433" i="10" s="1"/>
  <c r="BV433" i="10" s="1" a="1"/>
  <c r="BV433" i="10" s="1"/>
  <c r="CR395" i="10" a="1"/>
  <c r="CR395" i="10" s="1"/>
  <c r="BT407" i="10"/>
  <c r="BU407" i="10" s="1"/>
  <c r="BV407" i="10" s="1" a="1"/>
  <c r="BV407" i="10" s="1"/>
  <c r="CL411" i="10"/>
  <c r="CM411" i="10" s="1"/>
  <c r="CN411" i="10" s="1" a="1"/>
  <c r="CN411" i="10" s="1"/>
  <c r="CV362" i="10" a="1"/>
  <c r="CV362" i="10" s="1"/>
  <c r="CW362" i="10" a="1"/>
  <c r="CW362" i="10" s="1"/>
  <c r="CH340" i="10"/>
  <c r="CI340" i="10" s="1"/>
  <c r="CJ340" i="10" s="1" a="1"/>
  <c r="CJ340" i="10" s="1"/>
  <c r="CT286" i="10"/>
  <c r="CU286" i="10" s="1"/>
  <c r="BN267" i="10" a="1"/>
  <c r="BN267" i="10" s="1"/>
  <c r="CB267" i="10" s="1"/>
  <c r="S267" i="10" s="1"/>
  <c r="BV303" i="10" a="1"/>
  <c r="BV303" i="10" s="1"/>
  <c r="BZ278" i="10" a="1"/>
  <c r="BZ278" i="10" s="1"/>
  <c r="CA278" i="10" a="1"/>
  <c r="CA278" i="10" s="1"/>
  <c r="CN266" i="10" a="1"/>
  <c r="CN266" i="10" s="1"/>
  <c r="CL234" i="10"/>
  <c r="CM234" i="10" s="1"/>
  <c r="CN234" i="10" s="1" a="1"/>
  <c r="CN234" i="10" s="1"/>
  <c r="CT212" i="10"/>
  <c r="CU212" i="10" s="1"/>
  <c r="CW195" i="10" a="1"/>
  <c r="CW195" i="10" s="1"/>
  <c r="CV195" i="10" a="1"/>
  <c r="CV195" i="10" s="1"/>
  <c r="BR179" i="10" a="1"/>
  <c r="BR179" i="10" s="1"/>
  <c r="CH149" i="10"/>
  <c r="CI149" i="10" s="1"/>
  <c r="CJ149" i="10" s="1" a="1"/>
  <c r="CJ149" i="10" s="1"/>
  <c r="BL160" i="10"/>
  <c r="BM160" i="10" s="1"/>
  <c r="BN160" i="10" s="1" a="1"/>
  <c r="BN160" i="10" s="1"/>
  <c r="CR152" i="10" a="1"/>
  <c r="CR152" i="10" s="1"/>
  <c r="BX141" i="10"/>
  <c r="BY141" i="10" s="1"/>
  <c r="CH135" i="10"/>
  <c r="CI135" i="10" s="1"/>
  <c r="CJ135" i="10" s="1" a="1"/>
  <c r="CJ135" i="10" s="1"/>
  <c r="BZ707" i="10" a="1"/>
  <c r="BZ707" i="10" s="1"/>
  <c r="BP502" i="10"/>
  <c r="BQ502" i="10" s="1"/>
  <c r="CR454" i="10" a="1"/>
  <c r="CR454" i="10" s="1"/>
  <c r="CX454" i="10" s="1"/>
  <c r="Z454" i="10" s="1"/>
  <c r="CV400" i="10" a="1"/>
  <c r="CV400" i="10" s="1"/>
  <c r="CW400" i="10" a="1"/>
  <c r="CW400" i="10" s="1"/>
  <c r="BT368" i="10"/>
  <c r="BU368" i="10" s="1"/>
  <c r="BZ368" i="10" s="1" a="1"/>
  <c r="BZ368" i="10" s="1"/>
  <c r="BL324" i="10"/>
  <c r="BM324" i="10" s="1"/>
  <c r="BN324" i="10" s="1" a="1"/>
  <c r="BN324" i="10" s="1"/>
  <c r="BL372" i="10"/>
  <c r="BM372" i="10" s="1"/>
  <c r="BN372" i="10" s="1" a="1"/>
  <c r="BN372" i="10" s="1"/>
  <c r="BX332" i="10"/>
  <c r="BY332" i="10" s="1"/>
  <c r="BT293" i="10"/>
  <c r="BU293" i="10" s="1"/>
  <c r="BV293" i="10" s="1" a="1"/>
  <c r="BV293" i="10" s="1"/>
  <c r="BX317" i="10"/>
  <c r="BY317" i="10" s="1"/>
  <c r="BP313" i="10"/>
  <c r="BQ313" i="10" s="1"/>
  <c r="BR313" i="10" s="1" a="1"/>
  <c r="BR313" i="10" s="1"/>
  <c r="CH312" i="10"/>
  <c r="CI312" i="10" s="1"/>
  <c r="CJ312" i="10" s="1" a="1"/>
  <c r="CJ312" i="10" s="1"/>
  <c r="BP254" i="10"/>
  <c r="BQ254" i="10" s="1"/>
  <c r="BV254" i="10" s="1" a="1"/>
  <c r="BV254" i="10" s="1"/>
  <c r="BZ233" i="10" a="1"/>
  <c r="BZ233" i="10" s="1"/>
  <c r="CA233" i="10" a="1"/>
  <c r="CA233" i="10" s="1"/>
  <c r="CL228" i="10"/>
  <c r="CM228" i="10" s="1"/>
  <c r="CN228" i="10" s="1" a="1"/>
  <c r="CN228" i="10" s="1"/>
  <c r="BT198" i="10"/>
  <c r="BU198" i="10" s="1"/>
  <c r="BV198" i="10" s="1" a="1"/>
  <c r="BV198" i="10" s="1"/>
  <c r="CP196" i="10"/>
  <c r="CQ196" i="10" s="1"/>
  <c r="CR196" i="10" s="1" a="1"/>
  <c r="CR196" i="10" s="1"/>
  <c r="CN380" i="10" a="1"/>
  <c r="CN380" i="10" s="1"/>
  <c r="CX380" i="10" s="1"/>
  <c r="Z380" i="10" s="1"/>
  <c r="BZ366" i="10" a="1"/>
  <c r="BZ366" i="10" s="1"/>
  <c r="BN296" i="10" a="1"/>
  <c r="BN296" i="10" s="1"/>
  <c r="BZ271" i="10" a="1"/>
  <c r="BZ271" i="10" s="1"/>
  <c r="CV227" i="10" a="1"/>
  <c r="CV227" i="10" s="1"/>
  <c r="CR326" i="10" a="1"/>
  <c r="CR326" i="10" s="1"/>
  <c r="CX326" i="10" s="1"/>
  <c r="Z326" i="10" s="1"/>
  <c r="BV385" i="10" a="1"/>
  <c r="BV385" i="10" s="1"/>
  <c r="CB385" i="10" s="1"/>
  <c r="S385" i="10" s="1"/>
  <c r="CV325" i="10" a="1"/>
  <c r="CV325" i="10" s="1"/>
  <c r="CX325" i="10" s="1"/>
  <c r="Z325" i="10" s="1"/>
  <c r="AF325" i="10" s="1"/>
  <c r="BP257" i="10"/>
  <c r="BQ257" i="10" s="1"/>
  <c r="BR257" i="10" s="1" a="1"/>
  <c r="BR257" i="10" s="1"/>
  <c r="BT181" i="10"/>
  <c r="BU181" i="10" s="1"/>
  <c r="BV181" i="10" s="1" a="1"/>
  <c r="BV181" i="10" s="1"/>
  <c r="CR126" i="10" a="1"/>
  <c r="CR126" i="10" s="1"/>
  <c r="CR424" i="10" a="1"/>
  <c r="CR424" i="10" s="1"/>
  <c r="CN364" i="10" a="1"/>
  <c r="CN364" i="10" s="1"/>
  <c r="CX364" i="10" s="1"/>
  <c r="Z364" i="10" s="1"/>
  <c r="CN246" i="10" a="1"/>
  <c r="CN246" i="10" s="1"/>
  <c r="BZ231" i="10" a="1"/>
  <c r="BZ231" i="10" s="1"/>
  <c r="CH137" i="10"/>
  <c r="CI137" i="10" s="1"/>
  <c r="CJ137" i="10" s="1" a="1"/>
  <c r="CJ137" i="10" s="1"/>
  <c r="BZ392" i="10" a="1"/>
  <c r="BZ392" i="10" s="1"/>
  <c r="BZ330" i="10" a="1"/>
  <c r="BZ330" i="10" s="1"/>
  <c r="CR309" i="10" a="1"/>
  <c r="CR309" i="10" s="1"/>
  <c r="BZ182" i="10" a="1"/>
  <c r="BZ182" i="10" s="1"/>
  <c r="CB182" i="10" s="1"/>
  <c r="S182" i="10" s="1"/>
  <c r="CV130" i="10" a="1"/>
  <c r="CV130" i="10" s="1"/>
  <c r="CT371" i="10"/>
  <c r="CU371" i="10" s="1"/>
  <c r="BV425" i="10" a="1"/>
  <c r="BV425" i="10" s="1"/>
  <c r="CV358" i="10" a="1"/>
  <c r="CV358" i="10" s="1"/>
  <c r="BP356" i="10"/>
  <c r="BQ356" i="10" s="1"/>
  <c r="BR356" i="10" s="1" a="1"/>
  <c r="BR356" i="10" s="1"/>
  <c r="BN284" i="10" a="1"/>
  <c r="BN284" i="10" s="1"/>
  <c r="BL212" i="10"/>
  <c r="BM212" i="10" s="1"/>
  <c r="BN212" i="10" s="1" a="1"/>
  <c r="BN212" i="10" s="1"/>
  <c r="CN161" i="10" a="1"/>
  <c r="CN161" i="10" s="1"/>
  <c r="BZ350" i="10" a="1"/>
  <c r="BZ350" i="10" s="1"/>
  <c r="BV329" i="10" a="1"/>
  <c r="BV329" i="10" s="1"/>
  <c r="CR301" i="10" a="1"/>
  <c r="CR301" i="10" s="1"/>
  <c r="BP150" i="10"/>
  <c r="BQ150" i="10" s="1"/>
  <c r="BR150" i="10" s="1" a="1"/>
  <c r="BR150" i="10" s="1"/>
  <c r="BV342" i="10" a="1"/>
  <c r="BV342" i="10" s="1"/>
  <c r="BP368" i="10"/>
  <c r="BQ368" i="10" s="1"/>
  <c r="BR368" i="10" s="1" a="1"/>
  <c r="BR368" i="10" s="1"/>
  <c r="BX289" i="10"/>
  <c r="BY289" i="10" s="1"/>
  <c r="CR293" i="10" a="1"/>
  <c r="CR293" i="10" s="1"/>
  <c r="CV213" i="10" a="1"/>
  <c r="CV213" i="10" s="1"/>
  <c r="BV184" i="10" a="1"/>
  <c r="BV184" i="10" s="1"/>
  <c r="CB184" i="10" s="1"/>
  <c r="S184" i="10" s="1"/>
  <c r="CW993" i="10" a="1"/>
  <c r="CW993" i="10" s="1"/>
  <c r="CA803" i="10" a="1"/>
  <c r="CA803" i="10" s="1"/>
  <c r="BZ803" i="10" a="1"/>
  <c r="BZ803" i="10" s="1"/>
  <c r="CA956" i="10" a="1"/>
  <c r="CA956" i="10" s="1"/>
  <c r="BZ956" i="10" a="1"/>
  <c r="BZ956" i="10" s="1"/>
  <c r="CB956" i="10" s="1"/>
  <c r="S956" i="10" s="1"/>
  <c r="CV820" i="10" a="1"/>
  <c r="CV820" i="10" s="1"/>
  <c r="CW820" i="10" a="1"/>
  <c r="CW820" i="10" s="1"/>
  <c r="CV762" i="10" a="1"/>
  <c r="CV762" i="10" s="1"/>
  <c r="CW762" i="10" a="1"/>
  <c r="CW762" i="10" s="1"/>
  <c r="CN966" i="10" a="1"/>
  <c r="CN966" i="10" s="1"/>
  <c r="BL913" i="10"/>
  <c r="BM913" i="10" s="1"/>
  <c r="BN913" i="10" s="1" a="1"/>
  <c r="BN913" i="10" s="1"/>
  <c r="BP913" i="10"/>
  <c r="BQ913" i="10" s="1"/>
  <c r="BR913" i="10" s="1" a="1"/>
  <c r="BR913" i="10" s="1"/>
  <c r="BT913" i="10"/>
  <c r="BU913" i="10" s="1"/>
  <c r="CA735" i="10" a="1"/>
  <c r="CA735" i="10" s="1"/>
  <c r="BZ735" i="10" a="1"/>
  <c r="BZ735" i="10" s="1"/>
  <c r="CW923" i="10" a="1"/>
  <c r="CW923" i="10" s="1"/>
  <c r="CV923" i="10" a="1"/>
  <c r="CV923" i="10" s="1"/>
  <c r="BV975" i="10" a="1"/>
  <c r="BV975" i="10" s="1"/>
  <c r="CT766" i="10"/>
  <c r="CU766" i="10" s="1"/>
  <c r="CX796" i="10"/>
  <c r="Z796" i="10" s="1"/>
  <c r="CV470" i="10" a="1"/>
  <c r="CV470" i="10" s="1"/>
  <c r="CW470" i="10" a="1"/>
  <c r="CW470" i="10" s="1"/>
  <c r="CW563" i="10" a="1"/>
  <c r="CW563" i="10" s="1"/>
  <c r="CV563" i="10" a="1"/>
  <c r="CV563" i="10" s="1"/>
  <c r="CR698" i="10" a="1"/>
  <c r="CR698" i="10" s="1"/>
  <c r="CV698" i="10" a="1"/>
  <c r="CV698" i="10" s="1"/>
  <c r="CN459" i="10" a="1"/>
  <c r="CN459" i="10" s="1"/>
  <c r="CX459" i="10" s="1"/>
  <c r="Z459" i="10" s="1"/>
  <c r="CN756" i="10" a="1"/>
  <c r="CN756" i="10" s="1"/>
  <c r="BX539" i="10"/>
  <c r="BY539" i="10" s="1"/>
  <c r="CV472" i="10" a="1"/>
  <c r="CV472" i="10" s="1"/>
  <c r="CW472" i="10" a="1"/>
  <c r="CW472" i="10" s="1"/>
  <c r="CW486" i="10" a="1"/>
  <c r="CW486" i="10" s="1"/>
  <c r="CR672" i="10" a="1"/>
  <c r="CR672" i="10" s="1"/>
  <c r="CP609" i="10"/>
  <c r="CQ609" i="10" s="1"/>
  <c r="CH609" i="10"/>
  <c r="CI609" i="10" s="1"/>
  <c r="CJ609" i="10" s="1" a="1"/>
  <c r="CJ609" i="10" s="1"/>
  <c r="CV573" i="10" a="1"/>
  <c r="CV573" i="10" s="1"/>
  <c r="CW573" i="10" a="1"/>
  <c r="CW573" i="10" s="1"/>
  <c r="CV757" i="10" a="1"/>
  <c r="CV757" i="10" s="1"/>
  <c r="CX757" i="10" s="1"/>
  <c r="Z757" i="10" s="1"/>
  <c r="CN663" i="10" a="1"/>
  <c r="CN663" i="10" s="1"/>
  <c r="CX663" i="10" s="1"/>
  <c r="Z663" i="10" s="1"/>
  <c r="CW613" i="10" a="1"/>
  <c r="CW613" i="10" s="1"/>
  <c r="BR511" i="10" a="1"/>
  <c r="BR511" i="10" s="1"/>
  <c r="CB511" i="10" s="1"/>
  <c r="S511" i="10" s="1"/>
  <c r="BZ494" i="10" a="1"/>
  <c r="BZ494" i="10" s="1"/>
  <c r="CA494" i="10" a="1"/>
  <c r="CA494" i="10" s="1"/>
  <c r="CA262" i="10" a="1"/>
  <c r="CA262" i="10" s="1"/>
  <c r="BZ262" i="10" a="1"/>
  <c r="BZ262" i="10" s="1"/>
  <c r="BR176" i="10" a="1"/>
  <c r="BR176" i="10" s="1"/>
  <c r="CH418" i="10"/>
  <c r="CI418" i="10" s="1"/>
  <c r="CJ418" i="10" s="1" a="1"/>
  <c r="CJ418" i="10" s="1"/>
  <c r="CT418" i="10"/>
  <c r="CU418" i="10" s="1"/>
  <c r="CP418" i="10"/>
  <c r="CQ418" i="10" s="1"/>
  <c r="CW361" i="10" a="1"/>
  <c r="CW361" i="10" s="1"/>
  <c r="CL243" i="10"/>
  <c r="CM243" i="10" s="1"/>
  <c r="CN243" i="10" s="1" a="1"/>
  <c r="CN243" i="10" s="1"/>
  <c r="BL309" i="10"/>
  <c r="BM309" i="10" s="1"/>
  <c r="BN309" i="10" s="1" a="1"/>
  <c r="BN309" i="10" s="1"/>
  <c r="BZ197" i="10" a="1"/>
  <c r="BZ197" i="10" s="1"/>
  <c r="CA197" i="10" a="1"/>
  <c r="CA197" i="10" s="1"/>
  <c r="BV402" i="10" a="1"/>
  <c r="BV402" i="10" s="1"/>
  <c r="CV189" i="10" a="1"/>
  <c r="CV189" i="10" s="1"/>
  <c r="CW189" i="10" a="1"/>
  <c r="CW189" i="10" s="1"/>
  <c r="CN123" i="10" a="1"/>
  <c r="CN123" i="10" s="1"/>
  <c r="CX123" i="10" s="1"/>
  <c r="Z123" i="10" s="1"/>
  <c r="CL1009" i="10"/>
  <c r="CM1009" i="10" s="1"/>
  <c r="CN1009" i="10" s="1" a="1"/>
  <c r="CN1009" i="10" s="1"/>
  <c r="CT961" i="10"/>
  <c r="CU961" i="10" s="1"/>
  <c r="BP909" i="10"/>
  <c r="BQ909" i="10" s="1"/>
  <c r="BL909" i="10"/>
  <c r="BM909" i="10" s="1"/>
  <c r="BN909" i="10" s="1" a="1"/>
  <c r="BN909" i="10" s="1"/>
  <c r="BT909" i="10"/>
  <c r="BU909" i="10" s="1"/>
  <c r="BV909" i="10" s="1" a="1"/>
  <c r="BV909" i="10" s="1"/>
  <c r="CW852" i="10" a="1"/>
  <c r="CW852" i="10" s="1"/>
  <c r="CV852" i="10" a="1"/>
  <c r="CV852" i="10" s="1"/>
  <c r="BT798" i="10"/>
  <c r="BU798" i="10" s="1"/>
  <c r="BV798" i="10" s="1" a="1"/>
  <c r="BV798" i="10" s="1"/>
  <c r="BX957" i="10"/>
  <c r="BY957" i="10" s="1"/>
  <c r="CH1005" i="10"/>
  <c r="CI1005" i="10" s="1"/>
  <c r="CJ1005" i="10" s="1" a="1"/>
  <c r="CJ1005" i="10" s="1"/>
  <c r="CN908" i="10" a="1"/>
  <c r="CN908" i="10" s="1"/>
  <c r="BT872" i="10"/>
  <c r="BU872" i="10" s="1"/>
  <c r="BV872" i="10" s="1" a="1"/>
  <c r="BV872" i="10" s="1"/>
  <c r="CW844" i="10" a="1"/>
  <c r="CW844" i="10" s="1"/>
  <c r="CV844" i="10" a="1"/>
  <c r="CV844" i="10" s="1"/>
  <c r="CX819" i="10"/>
  <c r="Z819" i="10" s="1"/>
  <c r="CN787" i="10" a="1"/>
  <c r="CN787" i="10" s="1"/>
  <c r="CJ787" i="10" a="1"/>
  <c r="CJ787" i="10" s="1"/>
  <c r="BZ697" i="10" a="1"/>
  <c r="BZ697" i="10" s="1"/>
  <c r="CA697" i="10" a="1"/>
  <c r="CA697" i="10" s="1"/>
  <c r="BL685" i="10"/>
  <c r="BM685" i="10" s="1"/>
  <c r="BN685" i="10" s="1" a="1"/>
  <c r="BN685" i="10" s="1"/>
  <c r="BR808" i="10" a="1"/>
  <c r="BR808" i="10" s="1"/>
  <c r="BL986" i="10"/>
  <c r="BM986" i="10" s="1"/>
  <c r="BN986" i="10" s="1" a="1"/>
  <c r="BN986" i="10" s="1"/>
  <c r="CA1019" i="10" a="1"/>
  <c r="CA1019" i="10" s="1"/>
  <c r="BZ1019" i="10" a="1"/>
  <c r="BZ1019" i="10" s="1"/>
  <c r="CV986" i="10" a="1"/>
  <c r="CV986" i="10" s="1"/>
  <c r="CW986" i="10" a="1"/>
  <c r="CW986" i="10" s="1"/>
  <c r="BX925" i="10"/>
  <c r="BY925" i="10" s="1"/>
  <c r="CA829" i="10" a="1"/>
  <c r="CA829" i="10" s="1"/>
  <c r="BZ829" i="10" a="1"/>
  <c r="BZ829" i="10" s="1"/>
  <c r="BR865" i="10" a="1"/>
  <c r="BR865" i="10" s="1"/>
  <c r="CA820" i="10" a="1"/>
  <c r="CA820" i="10" s="1"/>
  <c r="BZ820" i="10" a="1"/>
  <c r="BZ820" i="10" s="1"/>
  <c r="CW967" i="10" a="1"/>
  <c r="CW967" i="10" s="1"/>
  <c r="CV967" i="10" a="1"/>
  <c r="CV967" i="10" s="1"/>
  <c r="BT1002" i="10"/>
  <c r="BU1002" i="10" s="1"/>
  <c r="BZ1002" i="10" s="1" a="1"/>
  <c r="BZ1002" i="10" s="1"/>
  <c r="BX1021" i="10"/>
  <c r="BY1021" i="10" s="1"/>
  <c r="CN919" i="10" a="1"/>
  <c r="CN919" i="10" s="1"/>
  <c r="CV874" i="10" a="1"/>
  <c r="CV874" i="10" s="1"/>
  <c r="CW874" i="10" a="1"/>
  <c r="CW874" i="10" s="1"/>
  <c r="BV898" i="10" a="1"/>
  <c r="BV898" i="10" s="1"/>
  <c r="BZ861" i="10" a="1"/>
  <c r="BZ861" i="10" s="1"/>
  <c r="CA861" i="10" a="1"/>
  <c r="CA861" i="10" s="1"/>
  <c r="CV860" i="10" a="1"/>
  <c r="CV860" i="10" s="1"/>
  <c r="CW860" i="10" a="1"/>
  <c r="CW860" i="10" s="1"/>
  <c r="BP790" i="10"/>
  <c r="BQ790" i="10" s="1"/>
  <c r="BR790" i="10" s="1" a="1"/>
  <c r="BR790" i="10" s="1"/>
  <c r="CN779" i="10" a="1"/>
  <c r="CN779" i="10" s="1"/>
  <c r="CW691" i="10" a="1"/>
  <c r="CW691" i="10" s="1"/>
  <c r="CV691" i="10" a="1"/>
  <c r="CV691" i="10" s="1"/>
  <c r="CA1016" i="10" a="1"/>
  <c r="CA1016" i="10" s="1"/>
  <c r="BZ1016" i="10" a="1"/>
  <c r="BZ1016" i="10" s="1"/>
  <c r="BR947" i="10" a="1"/>
  <c r="BR947" i="10" s="1"/>
  <c r="CA1014" i="10" a="1"/>
  <c r="CA1014" i="10" s="1"/>
  <c r="BZ1014" i="10" a="1"/>
  <c r="BZ1014" i="10" s="1"/>
  <c r="BZ971" i="10" a="1"/>
  <c r="BZ971" i="10" s="1"/>
  <c r="CA971" i="10" a="1"/>
  <c r="CA971" i="10" s="1"/>
  <c r="CW919" i="10" a="1"/>
  <c r="CW919" i="10" s="1"/>
  <c r="CV919" i="10" a="1"/>
  <c r="CV919" i="10" s="1"/>
  <c r="CA964" i="10" a="1"/>
  <c r="CA964" i="10" s="1"/>
  <c r="BZ964" i="10" a="1"/>
  <c r="BZ964" i="10" s="1"/>
  <c r="CR960" i="10" a="1"/>
  <c r="CR960" i="10" s="1"/>
  <c r="CX960" i="10" s="1"/>
  <c r="Z960" i="10" s="1"/>
  <c r="CL916" i="10"/>
  <c r="CM916" i="10" s="1"/>
  <c r="CN916" i="10" s="1" a="1"/>
  <c r="CN916" i="10" s="1"/>
  <c r="BZ882" i="10" a="1"/>
  <c r="BZ882" i="10" s="1"/>
  <c r="CA882" i="10" a="1"/>
  <c r="CA882" i="10" s="1"/>
  <c r="BZ873" i="10" a="1"/>
  <c r="BZ873" i="10" s="1"/>
  <c r="CA873" i="10" a="1"/>
  <c r="CA873" i="10" s="1"/>
  <c r="BX840" i="10"/>
  <c r="BY840" i="10" s="1"/>
  <c r="BR861" i="10" a="1"/>
  <c r="BR861" i="10" s="1"/>
  <c r="CW848" i="10" a="1"/>
  <c r="CW848" i="10" s="1"/>
  <c r="CV848" i="10" a="1"/>
  <c r="CV848" i="10" s="1"/>
  <c r="BX806" i="10"/>
  <c r="BY806" i="10" s="1"/>
  <c r="BZ799" i="10" a="1"/>
  <c r="BZ799" i="10" s="1"/>
  <c r="CA799" i="10" a="1"/>
  <c r="CA799" i="10" s="1"/>
  <c r="BZ808" i="10" a="1"/>
  <c r="BZ808" i="10" s="1"/>
  <c r="CA808" i="10" a="1"/>
  <c r="CA808" i="10" s="1"/>
  <c r="BL725" i="10"/>
  <c r="BM725" i="10" s="1"/>
  <c r="BN725" i="10" s="1" a="1"/>
  <c r="BN725" i="10" s="1"/>
  <c r="CV1000" i="10" a="1"/>
  <c r="CV1000" i="10" s="1"/>
  <c r="CW1000" i="10" a="1"/>
  <c r="CW1000" i="10" s="1"/>
  <c r="CN995" i="10" a="1"/>
  <c r="CN995" i="10" s="1"/>
  <c r="CT938" i="10"/>
  <c r="CU938" i="10" s="1"/>
  <c r="BP922" i="10"/>
  <c r="BQ922" i="10" s="1"/>
  <c r="BR922" i="10" s="1" a="1"/>
  <c r="BR922" i="10" s="1"/>
  <c r="CP993" i="10"/>
  <c r="CQ993" i="10" s="1"/>
  <c r="CR993" i="10" s="1" a="1"/>
  <c r="CR993" i="10" s="1"/>
  <c r="CV907" i="10" a="1"/>
  <c r="CV907" i="10" s="1"/>
  <c r="CW907" i="10" a="1"/>
  <c r="CW907" i="10" s="1"/>
  <c r="CP969" i="10"/>
  <c r="CQ969" i="10" s="1"/>
  <c r="CN889" i="10" a="1"/>
  <c r="CN889" i="10" s="1"/>
  <c r="CN844" i="10" a="1"/>
  <c r="CN844" i="10" s="1"/>
  <c r="CT892" i="10"/>
  <c r="CU892" i="10" s="1"/>
  <c r="CX818" i="10"/>
  <c r="Z818" i="10" s="1"/>
  <c r="AF818" i="10" s="1"/>
  <c r="BZ664" i="10" a="1"/>
  <c r="BZ664" i="10" s="1"/>
  <c r="CA664" i="10" a="1"/>
  <c r="CA664" i="10" s="1"/>
  <c r="BP946" i="10"/>
  <c r="BQ946" i="10" s="1"/>
  <c r="BT938" i="10"/>
  <c r="BU938" i="10" s="1"/>
  <c r="BV938" i="10" s="1" a="1"/>
  <c r="BV938" i="10" s="1"/>
  <c r="CL961" i="10"/>
  <c r="CM961" i="10" s="1"/>
  <c r="CH993" i="10"/>
  <c r="CI993" i="10" s="1"/>
  <c r="CJ993" i="10" s="1" a="1"/>
  <c r="CJ993" i="10" s="1"/>
  <c r="BT965" i="10"/>
  <c r="BU965" i="10" s="1"/>
  <c r="CH924" i="10"/>
  <c r="CI924" i="10" s="1"/>
  <c r="CJ924" i="10" s="1" a="1"/>
  <c r="CJ924" i="10" s="1"/>
  <c r="CV952" i="10" a="1"/>
  <c r="CV952" i="10" s="1"/>
  <c r="CW952" i="10" a="1"/>
  <c r="CW952" i="10" s="1"/>
  <c r="CB823" i="10"/>
  <c r="S823" i="10" s="1"/>
  <c r="BR926" i="10" a="1"/>
  <c r="BR926" i="10" s="1"/>
  <c r="CB926" i="10" s="1"/>
  <c r="S926" i="10" s="1"/>
  <c r="BX909" i="10"/>
  <c r="BY909" i="10" s="1"/>
  <c r="CV882" i="10" a="1"/>
  <c r="CV882" i="10" s="1"/>
  <c r="CW882" i="10" a="1"/>
  <c r="CW882" i="10" s="1"/>
  <c r="CW840" i="10" a="1"/>
  <c r="CW840" i="10" s="1"/>
  <c r="CV840" i="10" a="1"/>
  <c r="CV840" i="10" s="1"/>
  <c r="CT867" i="10"/>
  <c r="CU867" i="10" s="1"/>
  <c r="CT746" i="10"/>
  <c r="CU746" i="10" s="1"/>
  <c r="CT685" i="10"/>
  <c r="CU685" i="10" s="1"/>
  <c r="BL790" i="10"/>
  <c r="BM790" i="10" s="1"/>
  <c r="BN790" i="10" s="1" a="1"/>
  <c r="BN790" i="10" s="1"/>
  <c r="CR995" i="10" a="1"/>
  <c r="CR995" i="10" s="1"/>
  <c r="BT933" i="10"/>
  <c r="BU933" i="10" s="1"/>
  <c r="BV933" i="10" s="1" a="1"/>
  <c r="BV933" i="10" s="1"/>
  <c r="BR816" i="10" a="1"/>
  <c r="BR816" i="10" s="1"/>
  <c r="CN682" i="10" a="1"/>
  <c r="CN682" i="10" s="1"/>
  <c r="CH692" i="10"/>
  <c r="CI692" i="10" s="1"/>
  <c r="CJ692" i="10" s="1" a="1"/>
  <c r="CJ692" i="10" s="1"/>
  <c r="CP692" i="10"/>
  <c r="CQ692" i="10" s="1"/>
  <c r="CT692" i="10"/>
  <c r="CU692" i="10" s="1"/>
  <c r="CP639" i="10"/>
  <c r="CQ639" i="10" s="1"/>
  <c r="CT639" i="10"/>
  <c r="CU639" i="10" s="1"/>
  <c r="CH639" i="10"/>
  <c r="CI639" i="10" s="1"/>
  <c r="CJ639" i="10" s="1" a="1"/>
  <c r="CJ639" i="10" s="1"/>
  <c r="CP620" i="10"/>
  <c r="CQ620" i="10" s="1"/>
  <c r="CR620" i="10" s="1" a="1"/>
  <c r="CR620" i="10" s="1"/>
  <c r="CH620" i="10"/>
  <c r="CI620" i="10" s="1"/>
  <c r="CJ620" i="10" s="1" a="1"/>
  <c r="CJ620" i="10" s="1"/>
  <c r="BZ571" i="10" a="1"/>
  <c r="BZ571" i="10" s="1"/>
  <c r="CA571" i="10" a="1"/>
  <c r="CA571" i="10" s="1"/>
  <c r="BZ520" i="10" a="1"/>
  <c r="BZ520" i="10" s="1"/>
  <c r="CA520" i="10" a="1"/>
  <c r="CA520" i="10" s="1"/>
  <c r="BR1007" i="10" a="1"/>
  <c r="BR1007" i="10" s="1"/>
  <c r="BV996" i="10" a="1"/>
  <c r="BV996" i="10" s="1"/>
  <c r="CB996" i="10" s="1"/>
  <c r="S996" i="10" s="1"/>
  <c r="CV935" i="10" a="1"/>
  <c r="CV935" i="10" s="1"/>
  <c r="CT936" i="10"/>
  <c r="CU936" i="10" s="1"/>
  <c r="CV777" i="10" a="1"/>
  <c r="CV777" i="10" s="1"/>
  <c r="CV702" i="10" a="1"/>
  <c r="CV702" i="10" s="1"/>
  <c r="CW702" i="10" a="1"/>
  <c r="CW702" i="10" s="1"/>
  <c r="BL604" i="10"/>
  <c r="BM604" i="10" s="1"/>
  <c r="BN604" i="10" s="1" a="1"/>
  <c r="BN604" i="10" s="1"/>
  <c r="BP604" i="10"/>
  <c r="BQ604" i="10" s="1"/>
  <c r="BT604" i="10"/>
  <c r="BU604" i="10" s="1"/>
  <c r="BV604" i="10" s="1" a="1"/>
  <c r="BV604" i="10" s="1"/>
  <c r="BV645" i="10" a="1"/>
  <c r="BV645" i="10" s="1"/>
  <c r="CW591" i="10" a="1"/>
  <c r="CW591" i="10" s="1"/>
  <c r="CH601" i="10"/>
  <c r="CI601" i="10" s="1"/>
  <c r="CJ601" i="10" s="1" a="1"/>
  <c r="CJ601" i="10" s="1"/>
  <c r="CP601" i="10"/>
  <c r="CQ601" i="10" s="1"/>
  <c r="CR601" i="10" s="1" a="1"/>
  <c r="CR601" i="10" s="1"/>
  <c r="CN563" i="10" a="1"/>
  <c r="CN563" i="10" s="1"/>
  <c r="CX563" i="10" s="1"/>
  <c r="Z563" i="10" s="1"/>
  <c r="AF563" i="10" s="1"/>
  <c r="BL522" i="10"/>
  <c r="BM522" i="10" s="1"/>
  <c r="BN522" i="10" s="1" a="1"/>
  <c r="BN522" i="10" s="1"/>
  <c r="BZ429" i="10" a="1"/>
  <c r="BZ429" i="10" s="1"/>
  <c r="CA429" i="10" a="1"/>
  <c r="CA429" i="10" s="1"/>
  <c r="CH914" i="10"/>
  <c r="CI914" i="10" s="1"/>
  <c r="CJ914" i="10" s="1" a="1"/>
  <c r="CJ914" i="10" s="1"/>
  <c r="BP883" i="10"/>
  <c r="BQ883" i="10" s="1"/>
  <c r="BR883" i="10" s="1" a="1"/>
  <c r="BR883" i="10" s="1"/>
  <c r="BN875" i="10" a="1"/>
  <c r="BN875" i="10" s="1"/>
  <c r="CB875" i="10" s="1"/>
  <c r="S875" i="10" s="1"/>
  <c r="CV730" i="10" a="1"/>
  <c r="CV730" i="10" s="1"/>
  <c r="CW730" i="10" a="1"/>
  <c r="CW730" i="10" s="1"/>
  <c r="BL702" i="10"/>
  <c r="BM702" i="10" s="1"/>
  <c r="BN702" i="10" s="1" a="1"/>
  <c r="BN702" i="10" s="1"/>
  <c r="BT710" i="10"/>
  <c r="BU710" i="10" s="1"/>
  <c r="BV710" i="10" s="1" a="1"/>
  <c r="BV710" i="10" s="1"/>
  <c r="BX580" i="10"/>
  <c r="BY580" i="10" s="1"/>
  <c r="BZ635" i="10" a="1"/>
  <c r="BZ635" i="10" s="1"/>
  <c r="CA635" i="10" a="1"/>
  <c r="CA635" i="10" s="1"/>
  <c r="BP542" i="10"/>
  <c r="BQ542" i="10" s="1"/>
  <c r="BR542" i="10" s="1" a="1"/>
  <c r="BR542" i="10" s="1"/>
  <c r="BT522" i="10"/>
  <c r="BU522" i="10" s="1"/>
  <c r="BV522" i="10" s="1" a="1"/>
  <c r="BV522" i="10" s="1"/>
  <c r="CH499" i="10"/>
  <c r="CI499" i="10" s="1"/>
  <c r="CJ499" i="10" s="1" a="1"/>
  <c r="CJ499" i="10" s="1"/>
  <c r="BP997" i="10"/>
  <c r="BQ997" i="10" s="1"/>
  <c r="BV997" i="10" s="1" a="1"/>
  <c r="BV997" i="10" s="1"/>
  <c r="CH953" i="10"/>
  <c r="CI953" i="10" s="1"/>
  <c r="CJ953" i="10" s="1" a="1"/>
  <c r="CJ953" i="10" s="1"/>
  <c r="CR791" i="10" a="1"/>
  <c r="CR791" i="10" s="1"/>
  <c r="CX791" i="10" s="1"/>
  <c r="Z791" i="10" s="1"/>
  <c r="CP722" i="10"/>
  <c r="CQ722" i="10" s="1"/>
  <c r="CR722" i="10" s="1" a="1"/>
  <c r="CR722" i="10" s="1"/>
  <c r="BT677" i="10"/>
  <c r="BU677" i="10" s="1"/>
  <c r="BV677" i="10" s="1" a="1"/>
  <c r="BV677" i="10" s="1"/>
  <c r="CX602" i="10"/>
  <c r="Z602" i="10" s="1"/>
  <c r="AF602" i="10" s="1"/>
  <c r="BX617" i="10"/>
  <c r="BY617" i="10" s="1"/>
  <c r="CR564" i="10" a="1"/>
  <c r="CR564" i="10" s="1"/>
  <c r="CX584" i="10"/>
  <c r="Z584" i="10" s="1"/>
  <c r="BX542" i="10"/>
  <c r="BY542" i="10" s="1"/>
  <c r="CL537" i="10"/>
  <c r="CM537" i="10" s="1"/>
  <c r="CN537" i="10" s="1" a="1"/>
  <c r="CN537" i="10" s="1"/>
  <c r="BL527" i="10"/>
  <c r="BM527" i="10" s="1"/>
  <c r="BN527" i="10" s="1" a="1"/>
  <c r="BN527" i="10" s="1"/>
  <c r="CV476" i="10" a="1"/>
  <c r="CV476" i="10" s="1"/>
  <c r="CW476" i="10" a="1"/>
  <c r="CW476" i="10" s="1"/>
  <c r="CB509" i="10"/>
  <c r="S509" i="10" s="1"/>
  <c r="BZ440" i="10" a="1"/>
  <c r="BZ440" i="10" s="1"/>
  <c r="CA440" i="10" a="1"/>
  <c r="CA440" i="10" s="1"/>
  <c r="BP461" i="10"/>
  <c r="BQ461" i="10" s="1"/>
  <c r="BZ1008" i="10" a="1"/>
  <c r="BZ1008" i="10" s="1"/>
  <c r="BZ911" i="10" a="1"/>
  <c r="BZ911" i="10" s="1"/>
  <c r="BV899" i="10" a="1"/>
  <c r="BV899" i="10" s="1"/>
  <c r="CB899" i="10" s="1"/>
  <c r="S899" i="10" s="1"/>
  <c r="CA771" i="10" a="1"/>
  <c r="CA771" i="10" s="1"/>
  <c r="BZ771" i="10" a="1"/>
  <c r="BZ771" i="10" s="1"/>
  <c r="CV739" i="10" a="1"/>
  <c r="CV739" i="10" s="1"/>
  <c r="CW739" i="10" a="1"/>
  <c r="CW739" i="10" s="1"/>
  <c r="CV687" i="10" a="1"/>
  <c r="CV687" i="10" s="1"/>
  <c r="CW687" i="10" a="1"/>
  <c r="CW687" i="10" s="1"/>
  <c r="CW673" i="10" a="1"/>
  <c r="CW673" i="10" s="1"/>
  <c r="CV673" i="10" a="1"/>
  <c r="CV673" i="10" s="1"/>
  <c r="BV760" i="10" a="1"/>
  <c r="BV760" i="10" s="1"/>
  <c r="BL793" i="10"/>
  <c r="BM793" i="10" s="1"/>
  <c r="BN793" i="10" s="1" a="1"/>
  <c r="BN793" i="10" s="1"/>
  <c r="BR729" i="10" a="1"/>
  <c r="BR729" i="10" s="1"/>
  <c r="CV618" i="10" a="1"/>
  <c r="CV618" i="10" s="1"/>
  <c r="CW618" i="10" a="1"/>
  <c r="CW618" i="10" s="1"/>
  <c r="CT623" i="10"/>
  <c r="CU623" i="10" s="1"/>
  <c r="CH623" i="10"/>
  <c r="CI623" i="10" s="1"/>
  <c r="CJ623" i="10" s="1" a="1"/>
  <c r="CJ623" i="10" s="1"/>
  <c r="CP623" i="10"/>
  <c r="CQ623" i="10" s="1"/>
  <c r="CR623" i="10" s="1" a="1"/>
  <c r="CR623" i="10" s="1"/>
  <c r="CP644" i="10"/>
  <c r="CQ644" i="10" s="1"/>
  <c r="CR644" i="10" s="1" a="1"/>
  <c r="CR644" i="10" s="1"/>
  <c r="CH644" i="10"/>
  <c r="CI644" i="10" s="1"/>
  <c r="CJ644" i="10" s="1" a="1"/>
  <c r="CJ644" i="10" s="1"/>
  <c r="CT561" i="10"/>
  <c r="CU561" i="10" s="1"/>
  <c r="CW496" i="10" a="1"/>
  <c r="CW496" i="10" s="1"/>
  <c r="CV496" i="10" a="1"/>
  <c r="CV496" i="10" s="1"/>
  <c r="CB488" i="10"/>
  <c r="S488" i="10" s="1"/>
  <c r="CP477" i="10"/>
  <c r="CQ477" i="10" s="1"/>
  <c r="CR477" i="10" s="1" a="1"/>
  <c r="CR477" i="10" s="1"/>
  <c r="CN1003" i="10" a="1"/>
  <c r="CN1003" i="10" s="1"/>
  <c r="CN1012" i="10" a="1"/>
  <c r="CN1012" i="10" s="1"/>
  <c r="CT899" i="10"/>
  <c r="CU899" i="10" s="1"/>
  <c r="CR877" i="10" a="1"/>
  <c r="CR877" i="10" s="1"/>
  <c r="BR843" i="10" a="1"/>
  <c r="BR843" i="10" s="1"/>
  <c r="BP725" i="10"/>
  <c r="BQ725" i="10" s="1"/>
  <c r="BR725" i="10" s="1" a="1"/>
  <c r="BR725" i="10" s="1"/>
  <c r="CH800" i="10"/>
  <c r="CI800" i="10" s="1"/>
  <c r="CJ800" i="10" s="1" a="1"/>
  <c r="CJ800" i="10" s="1"/>
  <c r="CR686" i="10" a="1"/>
  <c r="CR686" i="10" s="1"/>
  <c r="CX686" i="10" s="1"/>
  <c r="Z686" i="10" s="1"/>
  <c r="BT706" i="10"/>
  <c r="BU706" i="10" s="1"/>
  <c r="BV706" i="10" s="1" a="1"/>
  <c r="BV706" i="10" s="1"/>
  <c r="BL714" i="10"/>
  <c r="BM714" i="10" s="1"/>
  <c r="BN714" i="10" s="1" a="1"/>
  <c r="BN714" i="10" s="1"/>
  <c r="BX649" i="10"/>
  <c r="BY649" i="10" s="1"/>
  <c r="BL629" i="10"/>
  <c r="BM629" i="10" s="1"/>
  <c r="BN629" i="10" s="1" a="1"/>
  <c r="BN629" i="10" s="1"/>
  <c r="BX604" i="10"/>
  <c r="BY604" i="10" s="1"/>
  <c r="BV560" i="10" a="1"/>
  <c r="BV560" i="10" s="1"/>
  <c r="CN543" i="10" a="1"/>
  <c r="CN543" i="10" s="1"/>
  <c r="CN540" i="10" a="1"/>
  <c r="CN540" i="10" s="1"/>
  <c r="BX499" i="10"/>
  <c r="BY499" i="10" s="1"/>
  <c r="CR484" i="10" a="1"/>
  <c r="CR484" i="10" s="1"/>
  <c r="BV473" i="10" a="1"/>
  <c r="BV473" i="10" s="1"/>
  <c r="BZ439" i="10" a="1"/>
  <c r="BZ439" i="10" s="1"/>
  <c r="CA439" i="10" a="1"/>
  <c r="CA439" i="10" s="1"/>
  <c r="CT451" i="10"/>
  <c r="CU451" i="10" s="1"/>
  <c r="CH451" i="10"/>
  <c r="CI451" i="10" s="1"/>
  <c r="CJ451" i="10" s="1" a="1"/>
  <c r="CJ451" i="10" s="1"/>
  <c r="BX954" i="10"/>
  <c r="BY954" i="10" s="1"/>
  <c r="CH906" i="10"/>
  <c r="CI906" i="10" s="1"/>
  <c r="CJ906" i="10" s="1" a="1"/>
  <c r="CJ906" i="10" s="1"/>
  <c r="CR840" i="10" a="1"/>
  <c r="CR840" i="10" s="1"/>
  <c r="CR799" i="10" a="1"/>
  <c r="CR799" i="10" s="1"/>
  <c r="CR745" i="10" a="1"/>
  <c r="CR745" i="10" s="1"/>
  <c r="CX745" i="10" s="1"/>
  <c r="Z745" i="10" s="1"/>
  <c r="AF745" i="10" s="1"/>
  <c r="CP729" i="10"/>
  <c r="CQ729" i="10" s="1"/>
  <c r="CR729" i="10" s="1" a="1"/>
  <c r="CR729" i="10" s="1"/>
  <c r="BV719" i="10" a="1"/>
  <c r="BV719" i="10" s="1"/>
  <c r="CA650" i="10" a="1"/>
  <c r="CA650" i="10" s="1"/>
  <c r="BZ650" i="10" a="1"/>
  <c r="BZ650" i="10" s="1"/>
  <c r="CB650" i="10" s="1"/>
  <c r="S650" i="10" s="1"/>
  <c r="AF650" i="10" s="1"/>
  <c r="BT694" i="10"/>
  <c r="BU694" i="10" s="1"/>
  <c r="BV694" i="10" s="1" a="1"/>
  <c r="BV694" i="10" s="1"/>
  <c r="CN731" i="10" a="1"/>
  <c r="CN731" i="10" s="1"/>
  <c r="BR655" i="10" a="1"/>
  <c r="BR655" i="10" s="1"/>
  <c r="BV603" i="10" a="1"/>
  <c r="BV603" i="10" s="1"/>
  <c r="BT640" i="10"/>
  <c r="BU640" i="10" s="1"/>
  <c r="BV640" i="10" s="1" a="1"/>
  <c r="BV640" i="10" s="1"/>
  <c r="BX640" i="10"/>
  <c r="BY640" i="10" s="1"/>
  <c r="BP640" i="10"/>
  <c r="BQ640" i="10" s="1"/>
  <c r="BR640" i="10" s="1" a="1"/>
  <c r="BR640" i="10" s="1"/>
  <c r="BL640" i="10"/>
  <c r="BM640" i="10" s="1"/>
  <c r="BN640" i="10" s="1" a="1"/>
  <c r="BN640" i="10" s="1"/>
  <c r="CT615" i="10"/>
  <c r="CU615" i="10" s="1"/>
  <c r="CH615" i="10"/>
  <c r="CI615" i="10" s="1"/>
  <c r="CJ615" i="10" s="1" a="1"/>
  <c r="CJ615" i="10" s="1"/>
  <c r="CP615" i="10"/>
  <c r="CQ615" i="10" s="1"/>
  <c r="CR615" i="10" s="1" a="1"/>
  <c r="CR615" i="10" s="1"/>
  <c r="BP553" i="10"/>
  <c r="BQ553" i="10" s="1"/>
  <c r="BR553" i="10" s="1" a="1"/>
  <c r="BR553" i="10" s="1"/>
  <c r="CT463" i="10"/>
  <c r="CU463" i="10" s="1"/>
  <c r="CH469" i="10"/>
  <c r="CI469" i="10" s="1"/>
  <c r="CJ469" i="10" s="1" a="1"/>
  <c r="CJ469" i="10" s="1"/>
  <c r="BP471" i="10"/>
  <c r="BQ471" i="10" s="1"/>
  <c r="BR471" i="10" s="1" a="1"/>
  <c r="BR471" i="10" s="1"/>
  <c r="CR943" i="10" a="1"/>
  <c r="CR943" i="10" s="1"/>
  <c r="BZ947" i="10" a="1"/>
  <c r="BZ947" i="10" s="1"/>
  <c r="BZ811" i="10" a="1"/>
  <c r="BZ811" i="10" s="1"/>
  <c r="CN747" i="10" a="1"/>
  <c r="CN747" i="10" s="1"/>
  <c r="CV718" i="10" a="1"/>
  <c r="CV718" i="10" s="1"/>
  <c r="CX718" i="10" s="1"/>
  <c r="Z718" i="10" s="1"/>
  <c r="CW718" i="10" a="1"/>
  <c r="CW718" i="10" s="1"/>
  <c r="CT780" i="10"/>
  <c r="CU780" i="10" s="1"/>
  <c r="CH780" i="10"/>
  <c r="CI780" i="10" s="1"/>
  <c r="CJ780" i="10" s="1" a="1"/>
  <c r="CJ780" i="10" s="1"/>
  <c r="CT671" i="10"/>
  <c r="CU671" i="10" s="1"/>
  <c r="BR683" i="10" a="1"/>
  <c r="BR683" i="10" s="1"/>
  <c r="BR663" i="10" a="1"/>
  <c r="BR663" i="10" s="1"/>
  <c r="CB663" i="10" s="1"/>
  <c r="S663" i="10" s="1"/>
  <c r="AF663" i="10" s="1"/>
  <c r="BT671" i="10"/>
  <c r="BU671" i="10" s="1"/>
  <c r="BV671" i="10" s="1" a="1"/>
  <c r="BV671" i="10" s="1"/>
  <c r="CH659" i="10"/>
  <c r="CI659" i="10" s="1"/>
  <c r="CJ659" i="10" s="1" a="1"/>
  <c r="CJ659" i="10" s="1"/>
  <c r="CT659" i="10"/>
  <c r="CU659" i="10" s="1"/>
  <c r="CP659" i="10"/>
  <c r="CQ659" i="10" s="1"/>
  <c r="CR659" i="10" s="1" a="1"/>
  <c r="CR659" i="10" s="1"/>
  <c r="CT643" i="10"/>
  <c r="CU643" i="10" s="1"/>
  <c r="CH643" i="10"/>
  <c r="CI643" i="10" s="1"/>
  <c r="CJ643" i="10" s="1" a="1"/>
  <c r="CJ643" i="10" s="1"/>
  <c r="CP643" i="10"/>
  <c r="CQ643" i="10" s="1"/>
  <c r="CR643" i="10" s="1" a="1"/>
  <c r="CR643" i="10" s="1"/>
  <c r="CA615" i="10" a="1"/>
  <c r="CA615" i="10" s="1"/>
  <c r="BZ615" i="10" a="1"/>
  <c r="BZ615" i="10" s="1"/>
  <c r="CP648" i="10"/>
  <c r="CQ648" i="10" s="1"/>
  <c r="CR648" i="10" s="1" a="1"/>
  <c r="CR648" i="10" s="1"/>
  <c r="CH648" i="10"/>
  <c r="CI648" i="10" s="1"/>
  <c r="CJ648" i="10" s="1" a="1"/>
  <c r="CJ648" i="10" s="1"/>
  <c r="CP591" i="10"/>
  <c r="CQ591" i="10" s="1"/>
  <c r="CR591" i="10" s="1" a="1"/>
  <c r="CR591" i="10" s="1"/>
  <c r="CN536" i="10" a="1"/>
  <c r="CN536" i="10" s="1"/>
  <c r="CH541" i="10"/>
  <c r="CI541" i="10" s="1"/>
  <c r="CJ541" i="10" s="1" a="1"/>
  <c r="CJ541" i="10" s="1"/>
  <c r="CN593" i="10" a="1"/>
  <c r="CN593" i="10" s="1"/>
  <c r="BV547" i="10" a="1"/>
  <c r="BV547" i="10" s="1"/>
  <c r="CT557" i="10"/>
  <c r="CU557" i="10" s="1"/>
  <c r="CP533" i="10"/>
  <c r="CQ533" i="10" s="1"/>
  <c r="CV526" i="10" a="1"/>
  <c r="CV526" i="10" s="1"/>
  <c r="CW526" i="10" a="1"/>
  <c r="CW526" i="10" s="1"/>
  <c r="CT483" i="10"/>
  <c r="CU483" i="10" s="1"/>
  <c r="BR512" i="10" a="1"/>
  <c r="BR512" i="10" s="1"/>
  <c r="CP502" i="10"/>
  <c r="CQ502" i="10" s="1"/>
  <c r="CR502" i="10" s="1" a="1"/>
  <c r="CR502" i="10" s="1"/>
  <c r="BV469" i="10" a="1"/>
  <c r="BV469" i="10" s="1"/>
  <c r="BV400" i="10" a="1"/>
  <c r="BV400" i="10" s="1"/>
  <c r="BZ425" i="10" a="1"/>
  <c r="BZ425" i="10" s="1"/>
  <c r="CA425" i="10" a="1"/>
  <c r="CA425" i="10" s="1"/>
  <c r="CX376" i="10"/>
  <c r="Z376" i="10" s="1"/>
  <c r="CA323" i="10" a="1"/>
  <c r="CA323" i="10" s="1"/>
  <c r="BZ323" i="10" a="1"/>
  <c r="BZ323" i="10" s="1"/>
  <c r="CB323" i="10" s="1"/>
  <c r="S323" i="10" s="1"/>
  <c r="BT273" i="10"/>
  <c r="BU273" i="10" s="1"/>
  <c r="BV273" i="10" s="1" a="1"/>
  <c r="BV273" i="10" s="1"/>
  <c r="BV283" i="10" a="1"/>
  <c r="BV283" i="10" s="1"/>
  <c r="BZ199" i="10" a="1"/>
  <c r="BZ199" i="10" s="1"/>
  <c r="CA199" i="10" a="1"/>
  <c r="CA199" i="10" s="1"/>
  <c r="BZ166" i="10" a="1"/>
  <c r="BZ166" i="10" s="1"/>
  <c r="CA166" i="10" a="1"/>
  <c r="CA166" i="10" s="1"/>
  <c r="CP138" i="10"/>
  <c r="CQ138" i="10" s="1"/>
  <c r="CV138" i="10" s="1" a="1"/>
  <c r="CV138" i="10" s="1"/>
  <c r="CW409" i="10" a="1"/>
  <c r="CW409" i="10" s="1"/>
  <c r="CV409" i="10" a="1"/>
  <c r="CV409" i="10" s="1"/>
  <c r="BR384" i="10" a="1"/>
  <c r="BR384" i="10" s="1"/>
  <c r="CP361" i="10"/>
  <c r="CQ361" i="10" s="1"/>
  <c r="CL324" i="10"/>
  <c r="CM324" i="10" s="1"/>
  <c r="CN324" i="10" s="1" a="1"/>
  <c r="CN324" i="10" s="1"/>
  <c r="BZ346" i="10" a="1"/>
  <c r="BZ346" i="10" s="1"/>
  <c r="CA346" i="10" a="1"/>
  <c r="CA346" i="10" s="1"/>
  <c r="CA288" i="10" a="1"/>
  <c r="CA288" i="10" s="1"/>
  <c r="BZ288" i="10" a="1"/>
  <c r="BZ288" i="10" s="1"/>
  <c r="CX309" i="10"/>
  <c r="Z309" i="10" s="1"/>
  <c r="BR277" i="10" a="1"/>
  <c r="BR277" i="10" s="1"/>
  <c r="BV245" i="10" a="1"/>
  <c r="BV245" i="10" s="1"/>
  <c r="CP239" i="10"/>
  <c r="CQ239" i="10" s="1"/>
  <c r="CR239" i="10" s="1" a="1"/>
  <c r="CR239" i="10" s="1"/>
  <c r="CA168" i="10" a="1"/>
  <c r="CA168" i="10" s="1"/>
  <c r="BZ168" i="10" a="1"/>
  <c r="BZ168" i="10" s="1"/>
  <c r="BV178" i="10" a="1"/>
  <c r="BV178" i="10" s="1"/>
  <c r="CL138" i="10"/>
  <c r="CM138" i="10" s="1"/>
  <c r="CL124" i="10"/>
  <c r="CM124" i="10" s="1"/>
  <c r="BT553" i="10"/>
  <c r="BU553" i="10" s="1"/>
  <c r="BV553" i="10" s="1" a="1"/>
  <c r="BV553" i="10" s="1"/>
  <c r="BZ532" i="10" a="1"/>
  <c r="BZ532" i="10" s="1"/>
  <c r="BZ500" i="10" a="1"/>
  <c r="BZ500" i="10" s="1"/>
  <c r="CP402" i="10"/>
  <c r="CQ402" i="10" s="1"/>
  <c r="BR417" i="10" a="1"/>
  <c r="BR417" i="10" s="1"/>
  <c r="CH394" i="10"/>
  <c r="CI394" i="10" s="1"/>
  <c r="CJ394" i="10" s="1" a="1"/>
  <c r="CJ394" i="10" s="1"/>
  <c r="CL361" i="10"/>
  <c r="CM361" i="10" s="1"/>
  <c r="CN361" i="10" s="1" a="1"/>
  <c r="CN361" i="10" s="1"/>
  <c r="BR366" i="10" a="1"/>
  <c r="BR366" i="10" s="1"/>
  <c r="BT332" i="10"/>
  <c r="BU332" i="10" s="1"/>
  <c r="BV332" i="10" s="1" a="1"/>
  <c r="BV332" i="10" s="1"/>
  <c r="CV306" i="10" a="1"/>
  <c r="CV306" i="10" s="1"/>
  <c r="CW306" i="10" a="1"/>
  <c r="CW306" i="10" s="1"/>
  <c r="BR262" i="10" a="1"/>
  <c r="BR262" i="10" s="1"/>
  <c r="BX251" i="10"/>
  <c r="BY251" i="10" s="1"/>
  <c r="CN244" i="10" a="1"/>
  <c r="CN244" i="10" s="1"/>
  <c r="BT228" i="10"/>
  <c r="BU228" i="10" s="1"/>
  <c r="BV228" i="10" s="1" a="1"/>
  <c r="BV228" i="10" s="1"/>
  <c r="CH583" i="10"/>
  <c r="CI583" i="10" s="1"/>
  <c r="CJ583" i="10" s="1" a="1"/>
  <c r="CJ583" i="10" s="1"/>
  <c r="CN594" i="10" a="1"/>
  <c r="CN594" i="10" s="1"/>
  <c r="CT485" i="10"/>
  <c r="CU485" i="10" s="1"/>
  <c r="BP332" i="10"/>
  <c r="BQ332" i="10" s="1"/>
  <c r="BR332" i="10" s="1" a="1"/>
  <c r="BR332" i="10" s="1"/>
  <c r="CL371" i="10"/>
  <c r="CM371" i="10" s="1"/>
  <c r="CN371" i="10" s="1" a="1"/>
  <c r="CN371" i="10" s="1"/>
  <c r="CR335" i="10" a="1"/>
  <c r="CR335" i="10" s="1"/>
  <c r="CX293" i="10"/>
  <c r="Z293" i="10" s="1"/>
  <c r="CA312" i="10" a="1"/>
  <c r="CA312" i="10" s="1"/>
  <c r="BZ312" i="10" a="1"/>
  <c r="BZ312" i="10" s="1"/>
  <c r="CN254" i="10" a="1"/>
  <c r="CN254" i="10" s="1"/>
  <c r="BX173" i="10"/>
  <c r="BY173" i="10" s="1"/>
  <c r="BV131" i="10" a="1"/>
  <c r="BV131" i="10" s="1"/>
  <c r="CR715" i="10" a="1"/>
  <c r="CR715" i="10" s="1"/>
  <c r="BZ603" i="10" a="1"/>
  <c r="BZ603" i="10" s="1"/>
  <c r="BP526" i="10"/>
  <c r="BQ526" i="10" s="1"/>
  <c r="BR526" i="10" s="1" a="1"/>
  <c r="BR526" i="10" s="1"/>
  <c r="CH487" i="10"/>
  <c r="CI487" i="10" s="1"/>
  <c r="CJ487" i="10" s="1" a="1"/>
  <c r="CJ487" i="10" s="1"/>
  <c r="BL449" i="10"/>
  <c r="BM449" i="10" s="1"/>
  <c r="BN449" i="10" s="1" a="1"/>
  <c r="BN449" i="10" s="1"/>
  <c r="BZ401" i="10" a="1"/>
  <c r="BZ401" i="10" s="1"/>
  <c r="CB401" i="10" s="1"/>
  <c r="S401" i="10" s="1"/>
  <c r="CA401" i="10" a="1"/>
  <c r="CA401" i="10" s="1"/>
  <c r="BR373" i="10" a="1"/>
  <c r="BR373" i="10" s="1"/>
  <c r="BV363" i="10" a="1"/>
  <c r="BV363" i="10" s="1"/>
  <c r="BX348" i="10"/>
  <c r="BY348" i="10" s="1"/>
  <c r="BZ326" i="10" a="1"/>
  <c r="BZ326" i="10" s="1"/>
  <c r="CA326" i="10" a="1"/>
  <c r="CA326" i="10" s="1"/>
  <c r="BT309" i="10"/>
  <c r="BU309" i="10" s="1"/>
  <c r="BV309" i="10" s="1" a="1"/>
  <c r="BV309" i="10" s="1"/>
  <c r="CA300" i="10" a="1"/>
  <c r="CA300" i="10" s="1"/>
  <c r="BZ300" i="10" a="1"/>
  <c r="BZ300" i="10" s="1"/>
  <c r="BZ256" i="10" a="1"/>
  <c r="BZ256" i="10" s="1"/>
  <c r="CA256" i="10" a="1"/>
  <c r="CA256" i="10" s="1"/>
  <c r="BT251" i="10"/>
  <c r="BU251" i="10" s="1"/>
  <c r="CN242" i="10" a="1"/>
  <c r="CN242" i="10" s="1"/>
  <c r="CT232" i="10"/>
  <c r="CU232" i="10" s="1"/>
  <c r="CP173" i="10"/>
  <c r="CQ173" i="10" s="1"/>
  <c r="CP162" i="10"/>
  <c r="CQ162" i="10" s="1"/>
  <c r="CV162" i="10" s="1" a="1"/>
  <c r="CV162" i="10" s="1"/>
  <c r="BT146" i="10"/>
  <c r="BU146" i="10" s="1"/>
  <c r="BZ146" i="10" s="1" a="1"/>
  <c r="BZ146" i="10" s="1"/>
  <c r="BZ586" i="10" a="1"/>
  <c r="BZ586" i="10" s="1"/>
  <c r="BZ446" i="10" a="1"/>
  <c r="BZ446" i="10" s="1"/>
  <c r="BZ444" i="10" a="1"/>
  <c r="BZ444" i="10" s="1"/>
  <c r="CB444" i="10" s="1"/>
  <c r="S444" i="10" s="1"/>
  <c r="AF444" i="10" s="1"/>
  <c r="CT381" i="10"/>
  <c r="CU381" i="10" s="1"/>
  <c r="CV344" i="10" a="1"/>
  <c r="CV344" i="10" s="1"/>
  <c r="CW344" i="10" a="1"/>
  <c r="CW344" i="10" s="1"/>
  <c r="CA373" i="10" a="1"/>
  <c r="CA373" i="10" s="1"/>
  <c r="BZ373" i="10" a="1"/>
  <c r="BZ373" i="10" s="1"/>
  <c r="CH373" i="10"/>
  <c r="CI373" i="10" s="1"/>
  <c r="CJ373" i="10" s="1" a="1"/>
  <c r="CJ373" i="10" s="1"/>
  <c r="BZ351" i="10" a="1"/>
  <c r="BZ351" i="10" s="1"/>
  <c r="CA351" i="10" a="1"/>
  <c r="CA351" i="10" s="1"/>
  <c r="CV319" i="10" a="1"/>
  <c r="CV319" i="10" s="1"/>
  <c r="CW319" i="10" a="1"/>
  <c r="CW319" i="10" s="1"/>
  <c r="CT273" i="10"/>
  <c r="CU273" i="10" s="1"/>
  <c r="CP275" i="10"/>
  <c r="CQ275" i="10" s="1"/>
  <c r="CR275" i="10" s="1" a="1"/>
  <c r="CR275" i="10" s="1"/>
  <c r="BX272" i="10"/>
  <c r="BY272" i="10" s="1"/>
  <c r="BR240" i="10" a="1"/>
  <c r="BR240" i="10" s="1"/>
  <c r="CA237" i="10" a="1"/>
  <c r="CA237" i="10" s="1"/>
  <c r="BZ237" i="10" a="1"/>
  <c r="BZ237" i="10" s="1"/>
  <c r="CP134" i="10"/>
  <c r="CQ134" i="10" s="1"/>
  <c r="CR134" i="10" s="1" a="1"/>
  <c r="CR134" i="10" s="1"/>
  <c r="BP146" i="10"/>
  <c r="BQ146" i="10" s="1"/>
  <c r="BR148" i="10" a="1"/>
  <c r="BR148" i="10" s="1"/>
  <c r="CW129" i="10" a="1"/>
  <c r="CW129" i="10" s="1"/>
  <c r="CV129" i="10" a="1"/>
  <c r="CV129" i="10" s="1"/>
  <c r="BR638" i="10" a="1"/>
  <c r="BR638" i="10" s="1"/>
  <c r="CB638" i="10" s="1"/>
  <c r="S638" i="10" s="1"/>
  <c r="BZ631" i="10" a="1"/>
  <c r="BZ631" i="10" s="1"/>
  <c r="CN597" i="10" a="1"/>
  <c r="CN597" i="10" s="1"/>
  <c r="BR455" i="10" a="1"/>
  <c r="BR455" i="10" s="1"/>
  <c r="CB455" i="10" s="1"/>
  <c r="S455" i="10" s="1"/>
  <c r="BX407" i="10"/>
  <c r="BY407" i="10" s="1"/>
  <c r="CB402" i="10"/>
  <c r="S402" i="10" s="1"/>
  <c r="BT375" i="10"/>
  <c r="BU375" i="10" s="1"/>
  <c r="BV375" i="10" s="1" a="1"/>
  <c r="BV375" i="10" s="1"/>
  <c r="CH402" i="10"/>
  <c r="CI402" i="10" s="1"/>
  <c r="CJ402" i="10" s="1" a="1"/>
  <c r="CJ402" i="10" s="1"/>
  <c r="BV347" i="10" a="1"/>
  <c r="BV347" i="10" s="1"/>
  <c r="CL336" i="10"/>
  <c r="CM336" i="10" s="1"/>
  <c r="CN336" i="10" s="1" a="1"/>
  <c r="CN336" i="10" s="1"/>
  <c r="CT333" i="10"/>
  <c r="CU333" i="10" s="1"/>
  <c r="CT312" i="10"/>
  <c r="CU312" i="10" s="1"/>
  <c r="BX273" i="10"/>
  <c r="BY273" i="10" s="1"/>
  <c r="CV303" i="10" a="1"/>
  <c r="CV303" i="10" s="1"/>
  <c r="CW303" i="10" a="1"/>
  <c r="CW303" i="10" s="1"/>
  <c r="CN258" i="10" a="1"/>
  <c r="CN258" i="10" s="1"/>
  <c r="CN255" i="10" a="1"/>
  <c r="CN255" i="10" s="1"/>
  <c r="CR258" i="10" a="1"/>
  <c r="CR258" i="10" s="1"/>
  <c r="CP208" i="10"/>
  <c r="CQ208" i="10" s="1"/>
  <c r="CR208" i="10" s="1" a="1"/>
  <c r="CR208" i="10" s="1"/>
  <c r="CH201" i="10"/>
  <c r="CI201" i="10" s="1"/>
  <c r="CJ201" i="10" s="1" a="1"/>
  <c r="CJ201" i="10" s="1"/>
  <c r="CN168" i="10" a="1"/>
  <c r="CN168" i="10" s="1"/>
  <c r="CH173" i="10"/>
  <c r="CI173" i="10" s="1"/>
  <c r="CJ173" i="10" s="1" a="1"/>
  <c r="CJ173" i="10" s="1"/>
  <c r="CL134" i="10"/>
  <c r="CM134" i="10" s="1"/>
  <c r="CR146" i="10" a="1"/>
  <c r="CR146" i="10" s="1"/>
  <c r="CX146" i="10" s="1"/>
  <c r="Z146" i="10" s="1"/>
  <c r="BZ131" i="10" a="1"/>
  <c r="BZ131" i="10" s="1"/>
  <c r="CA131" i="10" a="1"/>
  <c r="CA131" i="10" s="1"/>
  <c r="BZ614" i="10" a="1"/>
  <c r="BZ614" i="10" s="1"/>
  <c r="BZ524" i="10" a="1"/>
  <c r="BZ524" i="10" s="1"/>
  <c r="BV481" i="10" a="1"/>
  <c r="BV481" i="10" s="1"/>
  <c r="BL470" i="10"/>
  <c r="BM470" i="10" s="1"/>
  <c r="BN470" i="10" s="1" a="1"/>
  <c r="BN470" i="10" s="1"/>
  <c r="BP398" i="10"/>
  <c r="BQ398" i="10" s="1"/>
  <c r="BR398" i="10" s="1" a="1"/>
  <c r="BR398" i="10" s="1"/>
  <c r="BZ430" i="10" a="1"/>
  <c r="BZ430" i="10" s="1"/>
  <c r="CA430" i="10" a="1"/>
  <c r="CA430" i="10" s="1"/>
  <c r="BR405" i="10" a="1"/>
  <c r="BR405" i="10" s="1"/>
  <c r="CL406" i="10"/>
  <c r="CM406" i="10" s="1"/>
  <c r="CN406" i="10" s="1" a="1"/>
  <c r="CN406" i="10" s="1"/>
  <c r="CL383" i="10"/>
  <c r="CM383" i="10" s="1"/>
  <c r="CN383" i="10" s="1" a="1"/>
  <c r="CN383" i="10" s="1"/>
  <c r="CT340" i="10"/>
  <c r="CU340" i="10" s="1"/>
  <c r="CP353" i="10"/>
  <c r="CQ353" i="10" s="1"/>
  <c r="CR353" i="10" s="1" a="1"/>
  <c r="CR353" i="10" s="1"/>
  <c r="BX281" i="10"/>
  <c r="BY281" i="10" s="1"/>
  <c r="BL273" i="10"/>
  <c r="BM273" i="10" s="1"/>
  <c r="BN273" i="10" s="1" a="1"/>
  <c r="BN273" i="10" s="1"/>
  <c r="BL254" i="10"/>
  <c r="BM254" i="10" s="1"/>
  <c r="BN254" i="10" s="1" a="1"/>
  <c r="BN254" i="10" s="1"/>
  <c r="BP258" i="10"/>
  <c r="BQ258" i="10" s="1"/>
  <c r="BR258" i="10" s="1" a="1"/>
  <c r="BR258" i="10" s="1"/>
  <c r="BR248" i="10" a="1"/>
  <c r="BR248" i="10" s="1"/>
  <c r="BT212" i="10"/>
  <c r="BU212" i="10" s="1"/>
  <c r="BV212" i="10" s="1" a="1"/>
  <c r="BV212" i="10" s="1"/>
  <c r="CW179" i="10" a="1"/>
  <c r="CW179" i="10" s="1"/>
  <c r="CV179" i="10" a="1"/>
  <c r="CV179" i="10" s="1"/>
  <c r="CP184" i="10"/>
  <c r="CQ184" i="10" s="1"/>
  <c r="CR184" i="10" s="1" a="1"/>
  <c r="CR184" i="10" s="1"/>
  <c r="BP297" i="10"/>
  <c r="BQ297" i="10" s="1"/>
  <c r="BR297" i="10" s="1" a="1"/>
  <c r="BR297" i="10" s="1"/>
  <c r="CN249" i="10" a="1"/>
  <c r="CN249" i="10" s="1"/>
  <c r="CN158" i="10" a="1"/>
  <c r="CN158" i="10" s="1"/>
  <c r="BR292" i="10" a="1"/>
  <c r="BR292" i="10" s="1"/>
  <c r="BL247" i="10"/>
  <c r="BM247" i="10" s="1"/>
  <c r="BN247" i="10" s="1" a="1"/>
  <c r="BN247" i="10" s="1"/>
  <c r="CN221" i="10" a="1"/>
  <c r="CN221" i="10" s="1"/>
  <c r="CH205" i="10"/>
  <c r="CI205" i="10" s="1"/>
  <c r="CJ205" i="10" s="1" a="1"/>
  <c r="CJ205" i="10" s="1"/>
  <c r="CR182" i="10" a="1"/>
  <c r="CR182" i="10" s="1"/>
  <c r="BT156" i="10"/>
  <c r="BU156" i="10" s="1"/>
  <c r="BV156" i="10" s="1" a="1"/>
  <c r="BV156" i="10" s="1"/>
  <c r="BP386" i="10"/>
  <c r="BQ386" i="10" s="1"/>
  <c r="BV386" i="10" s="1" a="1"/>
  <c r="BV386" i="10" s="1"/>
  <c r="BL239" i="10"/>
  <c r="BM239" i="10" s="1"/>
  <c r="BN239" i="10" s="1" a="1"/>
  <c r="BN239" i="10" s="1"/>
  <c r="CN190" i="10" a="1"/>
  <c r="CN190" i="10" s="1"/>
  <c r="CV374" i="10" a="1"/>
  <c r="CV374" i="10" s="1"/>
  <c r="BZ227" i="10" a="1"/>
  <c r="BZ227" i="10" s="1"/>
  <c r="CB227" i="10" s="1"/>
  <c r="S227" i="10" s="1"/>
  <c r="BZ194" i="10" a="1"/>
  <c r="BZ194" i="10" s="1"/>
  <c r="BV334" i="10" a="1"/>
  <c r="BV334" i="10" s="1"/>
  <c r="CB334" i="10" s="1"/>
  <c r="S334" i="10" s="1"/>
  <c r="CN404" i="10" a="1"/>
  <c r="CN404" i="10" s="1"/>
  <c r="CX404" i="10" s="1"/>
  <c r="Z404" i="10" s="1"/>
  <c r="BX293" i="10"/>
  <c r="BY293" i="10" s="1"/>
  <c r="BX129" i="10"/>
  <c r="BY129" i="10" s="1"/>
  <c r="CN358" i="10" a="1"/>
  <c r="CN358" i="10" s="1"/>
  <c r="CV378" i="10" a="1"/>
  <c r="CV378" i="10" s="1"/>
  <c r="CX378" i="10" s="1"/>
  <c r="Z378" i="10" s="1"/>
  <c r="BV304" i="10" a="1"/>
  <c r="BV304" i="10" s="1"/>
  <c r="CB304" i="10" s="1"/>
  <c r="S304" i="10" s="1"/>
  <c r="CN307" i="10" a="1"/>
  <c r="CN307" i="10" s="1"/>
  <c r="CH125" i="10"/>
  <c r="CI125" i="10" s="1"/>
  <c r="CJ125" i="10" s="1" a="1"/>
  <c r="CJ125" i="10" s="1"/>
  <c r="BR130" i="10" a="1"/>
  <c r="BR130" i="10" s="1"/>
  <c r="BP394" i="10"/>
  <c r="BQ394" i="10" s="1"/>
  <c r="BR394" i="10" s="1" a="1"/>
  <c r="BR394" i="10" s="1"/>
  <c r="CR338" i="10" a="1"/>
  <c r="CR338" i="10" s="1"/>
  <c r="CX338" i="10" s="1"/>
  <c r="Z338" i="10" s="1"/>
  <c r="BZ275" i="10" a="1"/>
  <c r="BZ275" i="10" s="1"/>
  <c r="CB275" i="10" s="1"/>
  <c r="S275" i="10" s="1"/>
  <c r="CR235" i="10" a="1"/>
  <c r="CR235" i="10" s="1"/>
  <c r="CN191" i="10" a="1"/>
  <c r="CN191" i="10" s="1"/>
  <c r="CR348" i="10" a="1"/>
  <c r="CR348" i="10" s="1"/>
  <c r="CX348" i="10" s="1"/>
  <c r="Z348" i="10" s="1"/>
  <c r="BR809" i="10" a="1"/>
  <c r="BR809" i="10" s="1"/>
  <c r="BZ860" i="10" a="1"/>
  <c r="BZ860" i="10" s="1"/>
  <c r="CA860" i="10" a="1"/>
  <c r="CA860" i="10" s="1"/>
  <c r="CR982" i="10" a="1"/>
  <c r="CR982" i="10" s="1"/>
  <c r="BR942" i="10" a="1"/>
  <c r="BR942" i="10" s="1"/>
  <c r="CB942" i="10" s="1"/>
  <c r="S942" i="10" s="1"/>
  <c r="CR909" i="10" a="1"/>
  <c r="CR909" i="10" s="1"/>
  <c r="BR864" i="10" a="1"/>
  <c r="BR864" i="10" s="1"/>
  <c r="CB864" i="10" s="1"/>
  <c r="S864" i="10" s="1"/>
  <c r="CR1013" i="10" a="1"/>
  <c r="CR1013" i="10" s="1"/>
  <c r="CX952" i="10"/>
  <c r="Z952" i="10" s="1"/>
  <c r="BL798" i="10"/>
  <c r="BM798" i="10" s="1"/>
  <c r="BN798" i="10" s="1" a="1"/>
  <c r="BN798" i="10" s="1"/>
  <c r="CV715" i="10" a="1"/>
  <c r="CV715" i="10" s="1"/>
  <c r="CX715" i="10" s="1"/>
  <c r="Z715" i="10" s="1"/>
  <c r="CW715" i="10" a="1"/>
  <c r="CW715" i="10" s="1"/>
  <c r="CL653" i="10"/>
  <c r="CM653" i="10" s="1"/>
  <c r="CP605" i="10"/>
  <c r="CQ605" i="10" s="1"/>
  <c r="CR605" i="10" s="1" a="1"/>
  <c r="CR605" i="10" s="1"/>
  <c r="CH605" i="10"/>
  <c r="CI605" i="10" s="1"/>
  <c r="CJ605" i="10" s="1" a="1"/>
  <c r="CJ605" i="10" s="1"/>
  <c r="BZ690" i="10" a="1"/>
  <c r="BZ690" i="10" s="1"/>
  <c r="CA690" i="10" a="1"/>
  <c r="CA690" i="10" s="1"/>
  <c r="CP660" i="10"/>
  <c r="CQ660" i="10" s="1"/>
  <c r="CH660" i="10"/>
  <c r="CI660" i="10" s="1"/>
  <c r="CJ660" i="10" s="1" a="1"/>
  <c r="CJ660" i="10" s="1"/>
  <c r="CL657" i="10"/>
  <c r="CM657" i="10" s="1"/>
  <c r="CN657" i="10" s="1" a="1"/>
  <c r="CN657" i="10" s="1"/>
  <c r="CX547" i="10"/>
  <c r="Z547" i="10" s="1"/>
  <c r="CN798" i="10" a="1"/>
  <c r="CN798" i="10" s="1"/>
  <c r="CX798" i="10" s="1"/>
  <c r="Z798" i="10" s="1"/>
  <c r="CN780" i="10" a="1"/>
  <c r="CN780" i="10" s="1"/>
  <c r="CN511" i="10" a="1"/>
  <c r="CN511" i="10" s="1"/>
  <c r="CX511" i="10" s="1"/>
  <c r="Z511" i="10" s="1"/>
  <c r="CW425" i="10" a="1"/>
  <c r="CW425" i="10" s="1"/>
  <c r="CV425" i="10" a="1"/>
  <c r="CV425" i="10" s="1"/>
  <c r="CA364" i="10" a="1"/>
  <c r="CA364" i="10" s="1"/>
  <c r="AF559" i="10"/>
  <c r="BR138" i="10" a="1"/>
  <c r="BR138" i="10" s="1"/>
  <c r="BV389" i="10" a="1"/>
  <c r="BV389" i="10" s="1"/>
  <c r="CB389" i="10" s="1"/>
  <c r="S389" i="10" s="1"/>
  <c r="CA411" i="10" a="1"/>
  <c r="CA411" i="10" s="1"/>
  <c r="BZ411" i="10" a="1"/>
  <c r="BZ411" i="10" s="1"/>
  <c r="CV367" i="10" a="1"/>
  <c r="CV367" i="10" s="1"/>
  <c r="CW367" i="10" a="1"/>
  <c r="CW367" i="10" s="1"/>
  <c r="CV259" i="10" a="1"/>
  <c r="CV259" i="10" s="1"/>
  <c r="CX259" i="10" s="1"/>
  <c r="Z259" i="10" s="1"/>
  <c r="CW259" i="10" a="1"/>
  <c r="CW259" i="10" s="1"/>
  <c r="BV154" i="10" a="1"/>
  <c r="BV154" i="10" s="1"/>
  <c r="CB154" i="10" s="1"/>
  <c r="S154" i="10" s="1"/>
  <c r="BV185" i="10" a="1"/>
  <c r="BV185" i="10" s="1"/>
  <c r="CW1006" i="10" a="1"/>
  <c r="CW1006" i="10" s="1"/>
  <c r="CV1006" i="10" a="1"/>
  <c r="CV1006" i="10" s="1"/>
  <c r="CL950" i="10"/>
  <c r="CM950" i="10" s="1"/>
  <c r="CN950" i="10" s="1" a="1"/>
  <c r="CN950" i="10" s="1"/>
  <c r="CL867" i="10"/>
  <c r="CM867" i="10" s="1"/>
  <c r="CN867" i="10" s="1" a="1"/>
  <c r="CN867" i="10" s="1"/>
  <c r="CA767" i="10" a="1"/>
  <c r="CA767" i="10" s="1"/>
  <c r="BZ767" i="10" a="1"/>
  <c r="BZ767" i="10" s="1"/>
  <c r="BV807" i="10" a="1"/>
  <c r="BV807" i="10" s="1"/>
  <c r="BT805" i="10"/>
  <c r="BU805" i="10" s="1"/>
  <c r="BZ805" i="10" s="1" a="1"/>
  <c r="BZ805" i="10" s="1"/>
  <c r="CH950" i="10"/>
  <c r="CI950" i="10" s="1"/>
  <c r="CJ950" i="10" s="1" a="1"/>
  <c r="CJ950" i="10" s="1"/>
  <c r="BZ869" i="10" a="1"/>
  <c r="BZ869" i="10" s="1"/>
  <c r="CA869" i="10" a="1"/>
  <c r="CA869" i="10" s="1"/>
  <c r="BZ865" i="10" a="1"/>
  <c r="BZ865" i="10" s="1"/>
  <c r="CA865" i="10" a="1"/>
  <c r="CA865" i="10" s="1"/>
  <c r="CA849" i="10" a="1"/>
  <c r="CA849" i="10" s="1"/>
  <c r="BZ849" i="10" a="1"/>
  <c r="BZ849" i="10" s="1"/>
  <c r="BZ863" i="10" a="1"/>
  <c r="BZ863" i="10" s="1"/>
  <c r="CA863" i="10" a="1"/>
  <c r="CA863" i="10" s="1"/>
  <c r="CW787" i="10" a="1"/>
  <c r="CW787" i="10" s="1"/>
  <c r="CV787" i="10" a="1"/>
  <c r="CV787" i="10" s="1"/>
  <c r="CN763" i="10" a="1"/>
  <c r="CN763" i="10" s="1"/>
  <c r="CR763" i="10" a="1"/>
  <c r="CR763" i="10" s="1"/>
  <c r="CT956" i="10"/>
  <c r="CU956" i="10" s="1"/>
  <c r="CW982" i="10" a="1"/>
  <c r="CW982" i="10" s="1"/>
  <c r="CV982" i="10" a="1"/>
  <c r="CV982" i="10" s="1"/>
  <c r="BR819" i="10" a="1"/>
  <c r="BR819" i="10" s="1"/>
  <c r="CW782" i="10" a="1"/>
  <c r="CW782" i="10" s="1"/>
  <c r="CV782" i="10" a="1"/>
  <c r="CV782" i="10" s="1"/>
  <c r="CN666" i="10" a="1"/>
  <c r="CN666" i="10" s="1"/>
  <c r="CJ666" i="10" a="1"/>
  <c r="CJ666" i="10" s="1"/>
  <c r="CX666" i="10" s="1"/>
  <c r="Z666" i="10" s="1"/>
  <c r="CP816" i="10"/>
  <c r="CQ816" i="10" s="1"/>
  <c r="CR816" i="10" s="1" a="1"/>
  <c r="CR816" i="10" s="1"/>
  <c r="BZ787" i="10" a="1"/>
  <c r="BZ787" i="10" s="1"/>
  <c r="CA787" i="10" a="1"/>
  <c r="CA787" i="10" s="1"/>
  <c r="CN980" i="10" a="1"/>
  <c r="CN980" i="10" s="1"/>
  <c r="CL946" i="10"/>
  <c r="CM946" i="10" s="1"/>
  <c r="CN946" i="10" s="1" a="1"/>
  <c r="CN946" i="10" s="1"/>
  <c r="CL944" i="10"/>
  <c r="CM944" i="10" s="1"/>
  <c r="CN944" i="10" s="1" a="1"/>
  <c r="CN944" i="10" s="1"/>
  <c r="CT914" i="10"/>
  <c r="CU914" i="10" s="1"/>
  <c r="BX930" i="10"/>
  <c r="BY930" i="10" s="1"/>
  <c r="BV928" i="10" a="1"/>
  <c r="BV928" i="10" s="1"/>
  <c r="CB928" i="10" s="1"/>
  <c r="S928" i="10" s="1"/>
  <c r="CH801" i="10"/>
  <c r="CI801" i="10" s="1"/>
  <c r="CJ801" i="10" s="1" a="1"/>
  <c r="CJ801" i="10" s="1"/>
  <c r="CA871" i="10" a="1"/>
  <c r="CA871" i="10" s="1"/>
  <c r="BZ871" i="10" a="1"/>
  <c r="BZ871" i="10" s="1"/>
  <c r="CH823" i="10"/>
  <c r="CI823" i="10" s="1"/>
  <c r="CJ823" i="10" s="1" a="1"/>
  <c r="CJ823" i="10" s="1"/>
  <c r="CP823" i="10"/>
  <c r="CQ823" i="10" s="1"/>
  <c r="CR823" i="10" s="1" a="1"/>
  <c r="CR823" i="10" s="1"/>
  <c r="BX701" i="10"/>
  <c r="BY701" i="10" s="1"/>
  <c r="CW747" i="10" a="1"/>
  <c r="CW747" i="10" s="1"/>
  <c r="CV747" i="10" a="1"/>
  <c r="CV747" i="10" s="1"/>
  <c r="CW755" i="10" a="1"/>
  <c r="CW755" i="10" s="1"/>
  <c r="CV755" i="10" a="1"/>
  <c r="CV755" i="10" s="1"/>
  <c r="CV1003" i="10" a="1"/>
  <c r="CV1003" i="10" s="1"/>
  <c r="CW1003" i="10" a="1"/>
  <c r="CW1003" i="10" s="1"/>
  <c r="BP998" i="10"/>
  <c r="BQ998" i="10" s="1"/>
  <c r="BR998" i="10" s="1" a="1"/>
  <c r="BR998" i="10" s="1"/>
  <c r="CR828" i="10" a="1"/>
  <c r="CR828" i="10" s="1"/>
  <c r="BN867" i="10" a="1"/>
  <c r="BN867" i="10" s="1"/>
  <c r="CL855" i="10"/>
  <c r="CM855" i="10" s="1"/>
  <c r="BZ779" i="10" a="1"/>
  <c r="BZ779" i="10" s="1"/>
  <c r="CA779" i="10" a="1"/>
  <c r="CA779" i="10" s="1"/>
  <c r="CR1002" i="10" a="1"/>
  <c r="CR1002" i="10" s="1"/>
  <c r="CT928" i="10"/>
  <c r="CU928" i="10" s="1"/>
  <c r="BV1014" i="10" a="1"/>
  <c r="BV1014" i="10" s="1"/>
  <c r="CA963" i="10" a="1"/>
  <c r="CA963" i="10" s="1"/>
  <c r="BZ963" i="10" a="1"/>
  <c r="BZ963" i="10" s="1"/>
  <c r="CX935" i="10"/>
  <c r="Z935" i="10" s="1"/>
  <c r="CH912" i="10"/>
  <c r="CI912" i="10" s="1"/>
  <c r="CJ912" i="10" s="1" a="1"/>
  <c r="CJ912" i="10" s="1"/>
  <c r="CR959" i="10" a="1"/>
  <c r="CR959" i="10" s="1"/>
  <c r="BV939" i="10" a="1"/>
  <c r="BV939" i="10" s="1"/>
  <c r="BT852" i="10"/>
  <c r="BU852" i="10" s="1"/>
  <c r="BV852" i="10" s="1" a="1"/>
  <c r="BV852" i="10" s="1"/>
  <c r="CR843" i="10" a="1"/>
  <c r="CR843" i="10" s="1"/>
  <c r="BT782" i="10"/>
  <c r="BU782" i="10" s="1"/>
  <c r="BZ782" i="10" s="1" a="1"/>
  <c r="BZ782" i="10" s="1"/>
  <c r="BT806" i="10"/>
  <c r="BU806" i="10" s="1"/>
  <c r="BV806" i="10" s="1" a="1"/>
  <c r="BV806" i="10" s="1"/>
  <c r="BP796" i="10"/>
  <c r="BQ796" i="10" s="1"/>
  <c r="BR796" i="10" s="1" a="1"/>
  <c r="BR796" i="10" s="1"/>
  <c r="CX799" i="10"/>
  <c r="Z799" i="10" s="1"/>
  <c r="BR786" i="10" a="1"/>
  <c r="BR786" i="10" s="1"/>
  <c r="BN786" i="10" a="1"/>
  <c r="BN786" i="10" s="1"/>
  <c r="CB786" i="10" s="1"/>
  <c r="S786" i="10" s="1"/>
  <c r="CR743" i="10" a="1"/>
  <c r="CR743" i="10" s="1"/>
  <c r="CR1014" i="10" a="1"/>
  <c r="CR1014" i="10" s="1"/>
  <c r="CN998" i="10" a="1"/>
  <c r="CN998" i="10" s="1"/>
  <c r="BP1002" i="10"/>
  <c r="BQ1002" i="10" s="1"/>
  <c r="BT998" i="10"/>
  <c r="BU998" i="10" s="1"/>
  <c r="BV998" i="10" s="1" a="1"/>
  <c r="BV998" i="10" s="1"/>
  <c r="CP914" i="10"/>
  <c r="CQ914" i="10" s="1"/>
  <c r="CR914" i="10" s="1" a="1"/>
  <c r="CR914" i="10" s="1"/>
  <c r="CP985" i="10"/>
  <c r="CQ985" i="10" s="1"/>
  <c r="CV985" i="10" s="1" a="1"/>
  <c r="CV985" i="10" s="1"/>
  <c r="BP1018" i="10"/>
  <c r="BQ1018" i="10" s="1"/>
  <c r="BR1018" i="10" s="1" a="1"/>
  <c r="BR1018" i="10" s="1"/>
  <c r="BP965" i="10"/>
  <c r="BQ965" i="10" s="1"/>
  <c r="BR965" i="10" s="1" a="1"/>
  <c r="BR965" i="10" s="1"/>
  <c r="CA960" i="10" a="1"/>
  <c r="CA960" i="10" s="1"/>
  <c r="BZ960" i="10" a="1"/>
  <c r="BZ960" i="10" s="1"/>
  <c r="CN900" i="10" a="1"/>
  <c r="CN900" i="10" s="1"/>
  <c r="CV909" i="10" a="1"/>
  <c r="CV909" i="10" s="1"/>
  <c r="CW909" i="10" a="1"/>
  <c r="CW909" i="10" s="1"/>
  <c r="BZ825" i="10" a="1"/>
  <c r="BZ825" i="10" s="1"/>
  <c r="CA825" i="10" a="1"/>
  <c r="CA825" i="10" s="1"/>
  <c r="CN849" i="10" a="1"/>
  <c r="CN849" i="10" s="1"/>
  <c r="CN891" i="10" a="1"/>
  <c r="CN891" i="10" s="1"/>
  <c r="BR873" i="10" a="1"/>
  <c r="BR873" i="10" s="1"/>
  <c r="CB873" i="10" s="1"/>
  <c r="S873" i="10" s="1"/>
  <c r="CA843" i="10" a="1"/>
  <c r="CA843" i="10" s="1"/>
  <c r="BZ843" i="10" a="1"/>
  <c r="BZ843" i="10" s="1"/>
  <c r="BP813" i="10"/>
  <c r="BQ813" i="10" s="1"/>
  <c r="BR813" i="10" s="1" a="1"/>
  <c r="BR813" i="10" s="1"/>
  <c r="CP835" i="10"/>
  <c r="CQ835" i="10" s="1"/>
  <c r="CR835" i="10" s="1" a="1"/>
  <c r="CR835" i="10" s="1"/>
  <c r="CP812" i="10"/>
  <c r="CQ812" i="10" s="1"/>
  <c r="CR812" i="10" s="1" a="1"/>
  <c r="CR812" i="10" s="1"/>
  <c r="CN1019" i="10" a="1"/>
  <c r="CN1019" i="10" s="1"/>
  <c r="CP942" i="10"/>
  <c r="CQ942" i="10" s="1"/>
  <c r="CR942" i="10" s="1" a="1"/>
  <c r="CR942" i="10" s="1"/>
  <c r="BL985" i="10"/>
  <c r="BM985" i="10" s="1"/>
  <c r="BN985" i="10" s="1" a="1"/>
  <c r="BN985" i="10" s="1"/>
  <c r="BL961" i="10"/>
  <c r="BM961" i="10" s="1"/>
  <c r="BN961" i="10" s="1" a="1"/>
  <c r="BN961" i="10" s="1"/>
  <c r="BP961" i="10"/>
  <c r="BQ961" i="10" s="1"/>
  <c r="BR974" i="10" a="1"/>
  <c r="BR974" i="10" s="1"/>
  <c r="CA948" i="10" a="1"/>
  <c r="CA948" i="10" s="1"/>
  <c r="BZ948" i="10" a="1"/>
  <c r="BZ948" i="10" s="1"/>
  <c r="BX856" i="10"/>
  <c r="BY856" i="10" s="1"/>
  <c r="BT922" i="10"/>
  <c r="BU922" i="10" s="1"/>
  <c r="BV922" i="10" s="1" a="1"/>
  <c r="BV922" i="10" s="1"/>
  <c r="CL953" i="10"/>
  <c r="CM953" i="10" s="1"/>
  <c r="CN953" i="10" s="1" a="1"/>
  <c r="CN953" i="10" s="1"/>
  <c r="CP924" i="10"/>
  <c r="CQ924" i="10" s="1"/>
  <c r="CR924" i="10" s="1" a="1"/>
  <c r="CR924" i="10" s="1"/>
  <c r="BZ890" i="10" a="1"/>
  <c r="BZ890" i="10" s="1"/>
  <c r="CA890" i="10" a="1"/>
  <c r="CA890" i="10" s="1"/>
  <c r="BR886" i="10" a="1"/>
  <c r="BR886" i="10" s="1"/>
  <c r="CA837" i="10" a="1"/>
  <c r="CA837" i="10" s="1"/>
  <c r="BZ837" i="10" a="1"/>
  <c r="BZ837" i="10" s="1"/>
  <c r="BL848" i="10"/>
  <c r="BM848" i="10" s="1"/>
  <c r="BN848" i="10" s="1" a="1"/>
  <c r="BN848" i="10" s="1"/>
  <c r="CL863" i="10"/>
  <c r="CM863" i="10" s="1"/>
  <c r="CN863" i="10" s="1" a="1"/>
  <c r="CN863" i="10" s="1"/>
  <c r="CV832" i="10" a="1"/>
  <c r="CV832" i="10" s="1"/>
  <c r="CW832" i="10" a="1"/>
  <c r="CW832" i="10" s="1"/>
  <c r="BP735" i="10"/>
  <c r="BQ735" i="10" s="1"/>
  <c r="BR735" i="10" s="1" a="1"/>
  <c r="BR735" i="10" s="1"/>
  <c r="CH790" i="10"/>
  <c r="CI790" i="10" s="1"/>
  <c r="CJ790" i="10" s="1" a="1"/>
  <c r="CJ790" i="10" s="1"/>
  <c r="CH938" i="10"/>
  <c r="CI938" i="10" s="1"/>
  <c r="CJ938" i="10" s="1" a="1"/>
  <c r="CJ938" i="10" s="1"/>
  <c r="BL946" i="10"/>
  <c r="BM946" i="10" s="1"/>
  <c r="BN946" i="10" s="1" a="1"/>
  <c r="BN946" i="10" s="1"/>
  <c r="BL925" i="10"/>
  <c r="BM925" i="10" s="1"/>
  <c r="BN925" i="10" s="1" a="1"/>
  <c r="BN925" i="10" s="1"/>
  <c r="BR692" i="10" a="1"/>
  <c r="BR692" i="10" s="1"/>
  <c r="CW611" i="10" a="1"/>
  <c r="CW611" i="10" s="1"/>
  <c r="CV611" i="10" a="1"/>
  <c r="CV611" i="10" s="1"/>
  <c r="CR567" i="10" a="1"/>
  <c r="CR567" i="10" s="1"/>
  <c r="BZ480" i="10" a="1"/>
  <c r="BZ480" i="10" s="1"/>
  <c r="CA480" i="10" a="1"/>
  <c r="CA480" i="10" s="1"/>
  <c r="CX513" i="10"/>
  <c r="Z513" i="10" s="1"/>
  <c r="CN999" i="10" a="1"/>
  <c r="CN999" i="10" s="1"/>
  <c r="CH928" i="10"/>
  <c r="CI928" i="10" s="1"/>
  <c r="CJ928" i="10" s="1" a="1"/>
  <c r="CJ928" i="10" s="1"/>
  <c r="CV849" i="10" a="1"/>
  <c r="CV849" i="10" s="1"/>
  <c r="BV808" i="10" a="1"/>
  <c r="BV808" i="10" s="1"/>
  <c r="CL681" i="10"/>
  <c r="CM681" i="10" s="1"/>
  <c r="CN681" i="10" s="1" a="1"/>
  <c r="CN681" i="10" s="1"/>
  <c r="BZ695" i="10" a="1"/>
  <c r="BZ695" i="10" s="1"/>
  <c r="CA695" i="10" a="1"/>
  <c r="CA695" i="10" s="1"/>
  <c r="BX628" i="10"/>
  <c r="BY628" i="10" s="1"/>
  <c r="BL628" i="10"/>
  <c r="BM628" i="10" s="1"/>
  <c r="BN628" i="10" s="1" a="1"/>
  <c r="BN628" i="10" s="1"/>
  <c r="BP628" i="10"/>
  <c r="BQ628" i="10" s="1"/>
  <c r="BT628" i="10"/>
  <c r="BU628" i="10" s="1"/>
  <c r="BV628" i="10" s="1" a="1"/>
  <c r="BV628" i="10" s="1"/>
  <c r="BL557" i="10"/>
  <c r="BM557" i="10" s="1"/>
  <c r="BN557" i="10" s="1" a="1"/>
  <c r="BN557" i="10" s="1"/>
  <c r="CT527" i="10"/>
  <c r="CU527" i="10" s="1"/>
  <c r="BR520" i="10" a="1"/>
  <c r="BR520" i="10" s="1"/>
  <c r="BV468" i="10" a="1"/>
  <c r="BV468" i="10" s="1"/>
  <c r="CA469" i="10" a="1"/>
  <c r="CA469" i="10" s="1"/>
  <c r="BZ469" i="10" a="1"/>
  <c r="BZ469" i="10" s="1"/>
  <c r="BL969" i="10"/>
  <c r="BM969" i="10" s="1"/>
  <c r="BN969" i="10" s="1" a="1"/>
  <c r="BN969" i="10" s="1"/>
  <c r="CR726" i="10" a="1"/>
  <c r="CR726" i="10" s="1"/>
  <c r="CN726" i="10" a="1"/>
  <c r="CN726" i="10" s="1"/>
  <c r="BR711" i="10" a="1"/>
  <c r="BR711" i="10" s="1"/>
  <c r="CR682" i="10" a="1"/>
  <c r="CR682" i="10" s="1"/>
  <c r="BT686" i="10"/>
  <c r="BU686" i="10" s="1"/>
  <c r="BV686" i="10" s="1" a="1"/>
  <c r="BV686" i="10" s="1"/>
  <c r="BV578" i="10" a="1"/>
  <c r="BV578" i="10" s="1"/>
  <c r="CN707" i="10" a="1"/>
  <c r="CN707" i="10" s="1"/>
  <c r="CH653" i="10"/>
  <c r="CI653" i="10" s="1"/>
  <c r="CJ653" i="10" s="1" a="1"/>
  <c r="CJ653" i="10" s="1"/>
  <c r="CH688" i="10"/>
  <c r="CI688" i="10" s="1"/>
  <c r="CJ688" i="10" s="1" a="1"/>
  <c r="CJ688" i="10" s="1"/>
  <c r="CP688" i="10"/>
  <c r="CQ688" i="10" s="1"/>
  <c r="CR688" i="10" s="1" a="1"/>
  <c r="CR688" i="10" s="1"/>
  <c r="CT688" i="10"/>
  <c r="CU688" i="10" s="1"/>
  <c r="CB614" i="10"/>
  <c r="S614" i="10" s="1"/>
  <c r="BP593" i="10"/>
  <c r="BQ593" i="10" s="1"/>
  <c r="BR593" i="10" s="1" a="1"/>
  <c r="BR593" i="10" s="1"/>
  <c r="BT593" i="10"/>
  <c r="BU593" i="10" s="1"/>
  <c r="BV593" i="10" s="1" a="1"/>
  <c r="BV593" i="10" s="1"/>
  <c r="CH640" i="10"/>
  <c r="CI640" i="10" s="1"/>
  <c r="CJ640" i="10" s="1" a="1"/>
  <c r="CJ640" i="10" s="1"/>
  <c r="CP640" i="10"/>
  <c r="CQ640" i="10" s="1"/>
  <c r="CR640" i="10" s="1" a="1"/>
  <c r="CR640" i="10" s="1"/>
  <c r="CL533" i="10"/>
  <c r="CM533" i="10" s="1"/>
  <c r="CN533" i="10" s="1" a="1"/>
  <c r="CN533" i="10" s="1"/>
  <c r="CP569" i="10"/>
  <c r="CQ569" i="10" s="1"/>
  <c r="CR479" i="10" a="1"/>
  <c r="CR479" i="10" s="1"/>
  <c r="CW468" i="10" a="1"/>
  <c r="CW468" i="10" s="1"/>
  <c r="CV468" i="10" a="1"/>
  <c r="CV468" i="10" s="1"/>
  <c r="BP958" i="10"/>
  <c r="BQ958" i="10" s="1"/>
  <c r="BR958" i="10" s="1" a="1"/>
  <c r="BR958" i="10" s="1"/>
  <c r="BZ951" i="10" a="1"/>
  <c r="BZ951" i="10" s="1"/>
  <c r="CB951" i="10" s="1"/>
  <c r="S951" i="10" s="1"/>
  <c r="CH937" i="10"/>
  <c r="CI937" i="10" s="1"/>
  <c r="CJ937" i="10" s="1" a="1"/>
  <c r="CJ937" i="10" s="1"/>
  <c r="BL778" i="10"/>
  <c r="BM778" i="10" s="1"/>
  <c r="BN778" i="10" s="1" a="1"/>
  <c r="BN778" i="10" s="1"/>
  <c r="CV779" i="10" a="1"/>
  <c r="CV779" i="10" s="1"/>
  <c r="BR776" i="10" a="1"/>
  <c r="BR776" i="10" s="1"/>
  <c r="CA680" i="10" a="1"/>
  <c r="CA680" i="10" s="1"/>
  <c r="BZ680" i="10" a="1"/>
  <c r="BZ680" i="10" s="1"/>
  <c r="CR756" i="10" a="1"/>
  <c r="CR756" i="10" s="1"/>
  <c r="BX797" i="10"/>
  <c r="BY797" i="10" s="1"/>
  <c r="BZ548" i="10" a="1"/>
  <c r="BZ548" i="10" s="1"/>
  <c r="CB548" i="10" s="1"/>
  <c r="S548" i="10" s="1"/>
  <c r="CA548" i="10" a="1"/>
  <c r="CA548" i="10" s="1"/>
  <c r="CH667" i="10"/>
  <c r="CI667" i="10" s="1"/>
  <c r="CJ667" i="10" s="1" a="1"/>
  <c r="CJ667" i="10" s="1"/>
  <c r="CT667" i="10"/>
  <c r="CU667" i="10" s="1"/>
  <c r="BX608" i="10"/>
  <c r="BY608" i="10" s="1"/>
  <c r="BT608" i="10"/>
  <c r="BU608" i="10" s="1"/>
  <c r="BV608" i="10" s="1" a="1"/>
  <c r="BV608" i="10" s="1"/>
  <c r="BL608" i="10"/>
  <c r="BM608" i="10" s="1"/>
  <c r="BN608" i="10" s="1" a="1"/>
  <c r="BN608" i="10" s="1"/>
  <c r="BP608" i="10"/>
  <c r="BQ608" i="10" s="1"/>
  <c r="BX584" i="10"/>
  <c r="BY584" i="10" s="1"/>
  <c r="BX588" i="10"/>
  <c r="BY588" i="10" s="1"/>
  <c r="BP588" i="10"/>
  <c r="BQ588" i="10" s="1"/>
  <c r="BV588" i="10" s="1" a="1"/>
  <c r="BV588" i="10" s="1"/>
  <c r="CR532" i="10" a="1"/>
  <c r="CR532" i="10" s="1"/>
  <c r="CH527" i="10"/>
  <c r="CI527" i="10" s="1"/>
  <c r="CJ527" i="10" s="1" a="1"/>
  <c r="CJ527" i="10" s="1"/>
  <c r="CP487" i="10"/>
  <c r="CQ487" i="10" s="1"/>
  <c r="CN440" i="10" a="1"/>
  <c r="CN440" i="10" s="1"/>
  <c r="BL464" i="10"/>
  <c r="BM464" i="10" s="1"/>
  <c r="BN464" i="10" s="1" a="1"/>
  <c r="BN464" i="10" s="1"/>
  <c r="BP464" i="10"/>
  <c r="BQ464" i="10" s="1"/>
  <c r="BT464" i="10"/>
  <c r="BU464" i="10" s="1"/>
  <c r="CT447" i="10"/>
  <c r="CU447" i="10" s="1"/>
  <c r="CH447" i="10"/>
  <c r="CI447" i="10" s="1"/>
  <c r="CJ447" i="10" s="1" a="1"/>
  <c r="CJ447" i="10" s="1"/>
  <c r="BL938" i="10"/>
  <c r="BM938" i="10" s="1"/>
  <c r="BN938" i="10" s="1" a="1"/>
  <c r="BN938" i="10" s="1"/>
  <c r="BL1006" i="10"/>
  <c r="BM1006" i="10" s="1"/>
  <c r="BN1006" i="10" s="1" a="1"/>
  <c r="BN1006" i="10" s="1"/>
  <c r="CV837" i="10" a="1"/>
  <c r="CV837" i="10" s="1"/>
  <c r="CX837" i="10" s="1"/>
  <c r="Z837" i="10" s="1"/>
  <c r="CV703" i="10" a="1"/>
  <c r="CV703" i="10" s="1"/>
  <c r="CW703" i="10" a="1"/>
  <c r="CW703" i="10" s="1"/>
  <c r="CN771" i="10" a="1"/>
  <c r="CN771" i="10" s="1"/>
  <c r="BR733" i="10" a="1"/>
  <c r="BR733" i="10" s="1"/>
  <c r="CX687" i="10"/>
  <c r="Z687" i="10" s="1"/>
  <c r="BT797" i="10"/>
  <c r="BU797" i="10" s="1"/>
  <c r="BZ756" i="10" a="1"/>
  <c r="BZ756" i="10" s="1"/>
  <c r="CA756" i="10" a="1"/>
  <c r="CA756" i="10" s="1"/>
  <c r="BP793" i="10"/>
  <c r="BQ793" i="10" s="1"/>
  <c r="BR793" i="10" s="1" a="1"/>
  <c r="BR793" i="10" s="1"/>
  <c r="CN703" i="10" a="1"/>
  <c r="CN703" i="10" s="1"/>
  <c r="CB655" i="10"/>
  <c r="S655" i="10" s="1"/>
  <c r="BV611" i="10" a="1"/>
  <c r="BV611" i="10" s="1"/>
  <c r="BP521" i="10"/>
  <c r="BQ521" i="10" s="1"/>
  <c r="CV512" i="10" a="1"/>
  <c r="CV512" i="10" s="1"/>
  <c r="CW512" i="10" a="1"/>
  <c r="CW512" i="10" s="1"/>
  <c r="CH608" i="10"/>
  <c r="CI608" i="10" s="1"/>
  <c r="CJ608" i="10" s="1" a="1"/>
  <c r="CJ608" i="10" s="1"/>
  <c r="CP608" i="10"/>
  <c r="CQ608" i="10" s="1"/>
  <c r="CR608" i="10" s="1" a="1"/>
  <c r="CR608" i="10" s="1"/>
  <c r="CA550" i="10" a="1"/>
  <c r="CA550" i="10" s="1"/>
  <c r="BZ550" i="10" a="1"/>
  <c r="BZ550" i="10" s="1"/>
  <c r="BL517" i="10"/>
  <c r="BM517" i="10" s="1"/>
  <c r="BN517" i="10" s="1" a="1"/>
  <c r="BN517" i="10" s="1"/>
  <c r="BZ454" i="10" a="1"/>
  <c r="BZ454" i="10" s="1"/>
  <c r="CA454" i="10" a="1"/>
  <c r="CA454" i="10" s="1"/>
  <c r="BX471" i="10"/>
  <c r="BY471" i="10" s="1"/>
  <c r="CA485" i="10" a="1"/>
  <c r="CA485" i="10" s="1"/>
  <c r="BZ485" i="10" a="1"/>
  <c r="BZ485" i="10" s="1"/>
  <c r="CW481" i="10" a="1"/>
  <c r="CW481" i="10" s="1"/>
  <c r="CB438" i="10"/>
  <c r="S438" i="10" s="1"/>
  <c r="AF438" i="10" s="1"/>
  <c r="BR452" i="10" a="1"/>
  <c r="BR452" i="10" s="1"/>
  <c r="CB452" i="10" s="1"/>
  <c r="S452" i="10" s="1"/>
  <c r="CV429" i="10" a="1"/>
  <c r="CV429" i="10" s="1"/>
  <c r="CW429" i="10" a="1"/>
  <c r="CW429" i="10" s="1"/>
  <c r="BZ995" i="10" a="1"/>
  <c r="BZ995" i="10" s="1"/>
  <c r="CB995" i="10" s="1"/>
  <c r="S995" i="10" s="1"/>
  <c r="CH961" i="10"/>
  <c r="CI961" i="10" s="1"/>
  <c r="CJ961" i="10" s="1" a="1"/>
  <c r="CJ961" i="10" s="1"/>
  <c r="CV901" i="10" a="1"/>
  <c r="CV901" i="10" s="1"/>
  <c r="CR783" i="10" a="1"/>
  <c r="CR783" i="10" s="1"/>
  <c r="CX783" i="10" s="1"/>
  <c r="Z783" i="10" s="1"/>
  <c r="CR767" i="10" a="1"/>
  <c r="CR767" i="10" s="1"/>
  <c r="CR741" i="10" a="1"/>
  <c r="CR741" i="10" s="1"/>
  <c r="CT760" i="10"/>
  <c r="CU760" i="10" s="1"/>
  <c r="CH760" i="10"/>
  <c r="CI760" i="10" s="1"/>
  <c r="CJ760" i="10" s="1" a="1"/>
  <c r="CJ760" i="10" s="1"/>
  <c r="CA684" i="10" a="1"/>
  <c r="CA684" i="10" s="1"/>
  <c r="BZ684" i="10" a="1"/>
  <c r="BZ684" i="10" s="1"/>
  <c r="CR702" i="10" a="1"/>
  <c r="CR702" i="10" s="1"/>
  <c r="CH677" i="10"/>
  <c r="CI677" i="10" s="1"/>
  <c r="CJ677" i="10" s="1" a="1"/>
  <c r="CJ677" i="10" s="1"/>
  <c r="BZ618" i="10" a="1"/>
  <c r="BZ618" i="10" s="1"/>
  <c r="CA618" i="10" a="1"/>
  <c r="CA618" i="10" s="1"/>
  <c r="BR700" i="10" a="1"/>
  <c r="BR700" i="10" s="1"/>
  <c r="BL521" i="10"/>
  <c r="BM521" i="10" s="1"/>
  <c r="BN521" i="10" s="1" a="1"/>
  <c r="BN521" i="10" s="1"/>
  <c r="CT542" i="10"/>
  <c r="CU542" i="10" s="1"/>
  <c r="BZ523" i="10" a="1"/>
  <c r="BZ523" i="10" s="1"/>
  <c r="CA523" i="10" a="1"/>
  <c r="CA523" i="10" s="1"/>
  <c r="BP527" i="10"/>
  <c r="BQ527" i="10" s="1"/>
  <c r="BR527" i="10" s="1" a="1"/>
  <c r="BR527" i="10" s="1"/>
  <c r="CR540" i="10" a="1"/>
  <c r="CR540" i="10" s="1"/>
  <c r="CV516" i="10" a="1"/>
  <c r="CV516" i="10" s="1"/>
  <c r="CW516" i="10" a="1"/>
  <c r="CW516" i="10" s="1"/>
  <c r="CT499" i="10"/>
  <c r="CU499" i="10" s="1"/>
  <c r="CV465" i="10" a="1"/>
  <c r="CV465" i="10" s="1"/>
  <c r="CW465" i="10" a="1"/>
  <c r="CW465" i="10" s="1"/>
  <c r="CT457" i="10"/>
  <c r="CU457" i="10" s="1"/>
  <c r="CH457" i="10"/>
  <c r="CI457" i="10" s="1"/>
  <c r="CJ457" i="10" s="1" a="1"/>
  <c r="CJ457" i="10" s="1"/>
  <c r="BR775" i="10" a="1"/>
  <c r="BR775" i="10" s="1"/>
  <c r="BT705" i="10"/>
  <c r="BU705" i="10" s="1"/>
  <c r="BP685" i="10"/>
  <c r="BQ685" i="10" s="1"/>
  <c r="BR685" i="10" s="1" a="1"/>
  <c r="BR685" i="10" s="1"/>
  <c r="BT681" i="10"/>
  <c r="BU681" i="10" s="1"/>
  <c r="BV681" i="10" s="1" a="1"/>
  <c r="BV681" i="10" s="1"/>
  <c r="CH672" i="10"/>
  <c r="CI672" i="10" s="1"/>
  <c r="CJ672" i="10" s="1" a="1"/>
  <c r="CJ672" i="10" s="1"/>
  <c r="CN733" i="10" a="1"/>
  <c r="CN733" i="10" s="1"/>
  <c r="CX733" i="10" s="1"/>
  <c r="Z733" i="10" s="1"/>
  <c r="CR607" i="10" a="1"/>
  <c r="CR607" i="10" s="1"/>
  <c r="CL677" i="10"/>
  <c r="CM677" i="10" s="1"/>
  <c r="CW731" i="10" a="1"/>
  <c r="CW731" i="10" s="1"/>
  <c r="CV731" i="10" a="1"/>
  <c r="CV731" i="10" s="1"/>
  <c r="BT660" i="10"/>
  <c r="BU660" i="10" s="1"/>
  <c r="BV660" i="10" s="1" a="1"/>
  <c r="BV660" i="10" s="1"/>
  <c r="BP660" i="10"/>
  <c r="BQ660" i="10" s="1"/>
  <c r="BR660" i="10" s="1" a="1"/>
  <c r="BR660" i="10" s="1"/>
  <c r="BL660" i="10"/>
  <c r="BM660" i="10" s="1"/>
  <c r="BN660" i="10" s="1" a="1"/>
  <c r="BN660" i="10" s="1"/>
  <c r="BT605" i="10"/>
  <c r="BU605" i="10" s="1"/>
  <c r="BZ556" i="10" a="1"/>
  <c r="BZ556" i="10" s="1"/>
  <c r="CA556" i="10" a="1"/>
  <c r="CA556" i="10" s="1"/>
  <c r="CA598" i="10" a="1"/>
  <c r="CA598" i="10" s="1"/>
  <c r="BZ598" i="10" a="1"/>
  <c r="BZ598" i="10" s="1"/>
  <c r="CN582" i="10" a="1"/>
  <c r="CN582" i="10" s="1"/>
  <c r="CP632" i="10"/>
  <c r="CQ632" i="10" s="1"/>
  <c r="CR632" i="10" s="1" a="1"/>
  <c r="CR632" i="10" s="1"/>
  <c r="CH632" i="10"/>
  <c r="CI632" i="10" s="1"/>
  <c r="CJ632" i="10" s="1" a="1"/>
  <c r="CJ632" i="10" s="1"/>
  <c r="CT577" i="10"/>
  <c r="CU577" i="10" s="1"/>
  <c r="CP549" i="10"/>
  <c r="CQ549" i="10" s="1"/>
  <c r="CR549" i="10" s="1" a="1"/>
  <c r="CR549" i="10" s="1"/>
  <c r="BV492" i="10" a="1"/>
  <c r="BV492" i="10" s="1"/>
  <c r="CA477" i="10" a="1"/>
  <c r="CA477" i="10" s="1"/>
  <c r="BZ477" i="10" a="1"/>
  <c r="BZ477" i="10" s="1"/>
  <c r="CH464" i="10"/>
  <c r="CI464" i="10" s="1"/>
  <c r="CJ464" i="10" s="1" a="1"/>
  <c r="CJ464" i="10" s="1"/>
  <c r="CH490" i="10"/>
  <c r="CI490" i="10" s="1"/>
  <c r="CJ490" i="10" s="1" a="1"/>
  <c r="CJ490" i="10" s="1"/>
  <c r="CV424" i="10" a="1"/>
  <c r="CV424" i="10" s="1"/>
  <c r="CW424" i="10" a="1"/>
  <c r="CW424" i="10" s="1"/>
  <c r="BV428" i="10" a="1"/>
  <c r="BV428" i="10" s="1"/>
  <c r="CB428" i="10" s="1"/>
  <c r="S428" i="10" s="1"/>
  <c r="BV974" i="10" a="1"/>
  <c r="BV974" i="10" s="1"/>
  <c r="BZ893" i="10" a="1"/>
  <c r="BZ893" i="10" s="1"/>
  <c r="BV839" i="10" a="1"/>
  <c r="BV839" i="10" s="1"/>
  <c r="BR748" i="10" a="1"/>
  <c r="BR748" i="10" s="1"/>
  <c r="BZ736" i="10" a="1"/>
  <c r="BZ736" i="10" s="1"/>
  <c r="BZ711" i="10" a="1"/>
  <c r="BZ711" i="10" s="1"/>
  <c r="CA711" i="10" a="1"/>
  <c r="CA711" i="10" s="1"/>
  <c r="CT722" i="10"/>
  <c r="CU722" i="10" s="1"/>
  <c r="CH671" i="10"/>
  <c r="CI671" i="10" s="1"/>
  <c r="CJ671" i="10" s="1" a="1"/>
  <c r="CJ671" i="10" s="1"/>
  <c r="BR622" i="10" a="1"/>
  <c r="BR622" i="10" s="1"/>
  <c r="CN642" i="10" a="1"/>
  <c r="CN642" i="10" s="1"/>
  <c r="CL639" i="10"/>
  <c r="CM639" i="10" s="1"/>
  <c r="CN639" i="10" s="1" a="1"/>
  <c r="CN639" i="10" s="1"/>
  <c r="CT604" i="10"/>
  <c r="CU604" i="10" s="1"/>
  <c r="CN572" i="10" a="1"/>
  <c r="CN572" i="10" s="1"/>
  <c r="CH613" i="10"/>
  <c r="CI613" i="10" s="1"/>
  <c r="CJ613" i="10" s="1" a="1"/>
  <c r="CJ613" i="10" s="1"/>
  <c r="CP613" i="10"/>
  <c r="CQ613" i="10" s="1"/>
  <c r="CW590" i="10" a="1"/>
  <c r="CW590" i="10" s="1"/>
  <c r="CV590" i="10" a="1"/>
  <c r="CV590" i="10" s="1"/>
  <c r="BL502" i="10"/>
  <c r="BM502" i="10" s="1"/>
  <c r="BN502" i="10" s="1" a="1"/>
  <c r="BN502" i="10" s="1"/>
  <c r="BZ547" i="10" a="1"/>
  <c r="BZ547" i="10" s="1"/>
  <c r="CA547" i="10" a="1"/>
  <c r="CA547" i="10" s="1"/>
  <c r="CP565" i="10"/>
  <c r="CQ565" i="10" s="1"/>
  <c r="CR565" i="10" s="1" a="1"/>
  <c r="CR565" i="10" s="1"/>
  <c r="BL507" i="10"/>
  <c r="BM507" i="10" s="1"/>
  <c r="BN507" i="10" s="1" a="1"/>
  <c r="BN507" i="10" s="1"/>
  <c r="BP507" i="10"/>
  <c r="BQ507" i="10" s="1"/>
  <c r="BV507" i="10" s="1" a="1"/>
  <c r="BV507" i="10" s="1"/>
  <c r="CH497" i="10"/>
  <c r="CI497" i="10" s="1"/>
  <c r="CJ497" i="10" s="1" a="1"/>
  <c r="CJ497" i="10" s="1"/>
  <c r="CL489" i="10"/>
  <c r="CM489" i="10" s="1"/>
  <c r="CN489" i="10" s="1" a="1"/>
  <c r="CN489" i="10" s="1"/>
  <c r="CH463" i="10"/>
  <c r="CI463" i="10" s="1"/>
  <c r="CJ463" i="10" s="1" a="1"/>
  <c r="CJ463" i="10" s="1"/>
  <c r="CL470" i="10"/>
  <c r="CM470" i="10" s="1"/>
  <c r="CN470" i="10" s="1" a="1"/>
  <c r="CN470" i="10" s="1"/>
  <c r="CL455" i="10"/>
  <c r="CM455" i="10" s="1"/>
  <c r="CN455" i="10" s="1" a="1"/>
  <c r="CN455" i="10" s="1"/>
  <c r="BZ551" i="10" a="1"/>
  <c r="BZ551" i="10" s="1"/>
  <c r="CB551" i="10" s="1"/>
  <c r="S551" i="10" s="1"/>
  <c r="BZ560" i="10" a="1"/>
  <c r="BZ560" i="10" s="1"/>
  <c r="BZ492" i="10" a="1"/>
  <c r="BZ492" i="10" s="1"/>
  <c r="CP455" i="10"/>
  <c r="CQ455" i="10" s="1"/>
  <c r="CX425" i="10"/>
  <c r="Z425" i="10" s="1"/>
  <c r="CH414" i="10"/>
  <c r="CI414" i="10" s="1"/>
  <c r="CJ414" i="10" s="1" a="1"/>
  <c r="CJ414" i="10" s="1"/>
  <c r="CT414" i="10"/>
  <c r="CU414" i="10" s="1"/>
  <c r="CP414" i="10"/>
  <c r="CQ414" i="10" s="1"/>
  <c r="CR414" i="10" s="1" a="1"/>
  <c r="CR414" i="10" s="1"/>
  <c r="BV376" i="10" a="1"/>
  <c r="BV376" i="10" s="1"/>
  <c r="CA361" i="10" a="1"/>
  <c r="CA361" i="10" s="1"/>
  <c r="BZ361" i="10" a="1"/>
  <c r="BZ361" i="10" s="1"/>
  <c r="CT151" i="10"/>
  <c r="CU151" i="10" s="1"/>
  <c r="CL141" i="10"/>
  <c r="CM141" i="10" s="1"/>
  <c r="CN141" i="10" s="1" a="1"/>
  <c r="CN141" i="10" s="1"/>
  <c r="BR131" i="10" a="1"/>
  <c r="BR131" i="10" s="1"/>
  <c r="CN675" i="10" a="1"/>
  <c r="CN675" i="10" s="1"/>
  <c r="BR643" i="10" a="1"/>
  <c r="BR643" i="10" s="1"/>
  <c r="CN578" i="10" a="1"/>
  <c r="CN578" i="10" s="1"/>
  <c r="CX578" i="10" s="1"/>
  <c r="Z578" i="10" s="1"/>
  <c r="BZ458" i="10" a="1"/>
  <c r="BZ458" i="10" s="1"/>
  <c r="BV424" i="10" a="1"/>
  <c r="BV424" i="10" s="1"/>
  <c r="CL385" i="10"/>
  <c r="CM385" i="10" s="1"/>
  <c r="CP336" i="10"/>
  <c r="CQ336" i="10" s="1"/>
  <c r="CR336" i="10" s="1" a="1"/>
  <c r="CR336" i="10" s="1"/>
  <c r="CL294" i="10"/>
  <c r="CM294" i="10" s="1"/>
  <c r="CN294" i="10" s="1" a="1"/>
  <c r="CN294" i="10" s="1"/>
  <c r="BR235" i="10" a="1"/>
  <c r="BR235" i="10" s="1"/>
  <c r="BR175" i="10" a="1"/>
  <c r="BR175" i="10" s="1"/>
  <c r="BT176" i="10"/>
  <c r="BU176" i="10" s="1"/>
  <c r="BV176" i="10" s="1" a="1"/>
  <c r="BV176" i="10" s="1"/>
  <c r="CR129" i="10" a="1"/>
  <c r="CR129" i="10" s="1"/>
  <c r="CX129" i="10" s="1"/>
  <c r="Z129" i="10" s="1"/>
  <c r="BR727" i="10" a="1"/>
  <c r="BR727" i="10" s="1"/>
  <c r="CR634" i="10" a="1"/>
  <c r="CR634" i="10" s="1"/>
  <c r="CR574" i="10" a="1"/>
  <c r="CR574" i="10" s="1"/>
  <c r="BR567" i="10" a="1"/>
  <c r="BR567" i="10" s="1"/>
  <c r="BV456" i="10" a="1"/>
  <c r="BV456" i="10" s="1"/>
  <c r="CB456" i="10" s="1"/>
  <c r="S456" i="10" s="1"/>
  <c r="AF456" i="10" s="1"/>
  <c r="CL393" i="10"/>
  <c r="CM393" i="10" s="1"/>
  <c r="CN393" i="10" s="1" a="1"/>
  <c r="CN393" i="10" s="1"/>
  <c r="BL386" i="10"/>
  <c r="BM386" i="10" s="1"/>
  <c r="BN386" i="10" s="1" a="1"/>
  <c r="BN386" i="10" s="1"/>
  <c r="BP352" i="10"/>
  <c r="BQ352" i="10" s="1"/>
  <c r="BR352" i="10" s="1" a="1"/>
  <c r="BR352" i="10" s="1"/>
  <c r="CW334" i="10" a="1"/>
  <c r="CW334" i="10" s="1"/>
  <c r="CV334" i="10" a="1"/>
  <c r="CV334" i="10" s="1"/>
  <c r="CA296" i="10" a="1"/>
  <c r="CA296" i="10" s="1"/>
  <c r="BZ296" i="10" a="1"/>
  <c r="BZ296" i="10" s="1"/>
  <c r="CP284" i="10"/>
  <c r="CQ284" i="10" s="1"/>
  <c r="CR284" i="10" s="1" a="1"/>
  <c r="CR284" i="10" s="1"/>
  <c r="CL298" i="10"/>
  <c r="CM298" i="10" s="1"/>
  <c r="BP251" i="10"/>
  <c r="BQ251" i="10" s="1"/>
  <c r="BR251" i="10" s="1" a="1"/>
  <c r="BR251" i="10" s="1"/>
  <c r="CR240" i="10" a="1"/>
  <c r="CR240" i="10" s="1"/>
  <c r="BP234" i="10"/>
  <c r="BQ234" i="10" s="1"/>
  <c r="BR234" i="10" s="1" a="1"/>
  <c r="BR234" i="10" s="1"/>
  <c r="CH203" i="10"/>
  <c r="CI203" i="10" s="1"/>
  <c r="CJ203" i="10" s="1" a="1"/>
  <c r="CJ203" i="10" s="1"/>
  <c r="CW187" i="10" a="1"/>
  <c r="CW187" i="10" s="1"/>
  <c r="CV187" i="10" a="1"/>
  <c r="CV187" i="10" s="1"/>
  <c r="BX125" i="10"/>
  <c r="BY125" i="10" s="1"/>
  <c r="BZ578" i="10" a="1"/>
  <c r="BZ578" i="10" s="1"/>
  <c r="CR543" i="10" a="1"/>
  <c r="CR543" i="10" s="1"/>
  <c r="BL518" i="10"/>
  <c r="BM518" i="10" s="1"/>
  <c r="BN518" i="10" s="1" a="1"/>
  <c r="BN518" i="10" s="1"/>
  <c r="CN476" i="10" a="1"/>
  <c r="CN476" i="10" s="1"/>
  <c r="BZ442" i="10" a="1"/>
  <c r="BZ442" i="10" s="1"/>
  <c r="CB442" i="10" s="1"/>
  <c r="S442" i="10" s="1"/>
  <c r="AF442" i="10" s="1"/>
  <c r="BV395" i="10" a="1"/>
  <c r="BV395" i="10" s="1"/>
  <c r="BV362" i="10" a="1"/>
  <c r="BV362" i="10" s="1"/>
  <c r="CH314" i="10"/>
  <c r="CI314" i="10" s="1"/>
  <c r="CJ314" i="10" s="1" a="1"/>
  <c r="CJ314" i="10" s="1"/>
  <c r="CP273" i="10"/>
  <c r="CQ273" i="10" s="1"/>
  <c r="CR273" i="10" s="1" a="1"/>
  <c r="CR273" i="10" s="1"/>
  <c r="BZ274" i="10" a="1"/>
  <c r="BZ274" i="10" s="1"/>
  <c r="CA274" i="10" a="1"/>
  <c r="CA274" i="10" s="1"/>
  <c r="BL293" i="10"/>
  <c r="BM293" i="10" s="1"/>
  <c r="BN293" i="10" s="1" a="1"/>
  <c r="BN293" i="10" s="1"/>
  <c r="BZ311" i="10" a="1"/>
  <c r="BZ311" i="10" s="1"/>
  <c r="CA311" i="10" a="1"/>
  <c r="CA311" i="10" s="1"/>
  <c r="CW280" i="10" a="1"/>
  <c r="CW280" i="10" s="1"/>
  <c r="CV280" i="10" a="1"/>
  <c r="CV280" i="10" s="1"/>
  <c r="CX280" i="10" s="1"/>
  <c r="Z280" i="10" s="1"/>
  <c r="BR272" i="10" a="1"/>
  <c r="BR272" i="10" s="1"/>
  <c r="BL268" i="10"/>
  <c r="BM268" i="10" s="1"/>
  <c r="BN268" i="10" s="1" a="1"/>
  <c r="BN268" i="10" s="1"/>
  <c r="BP268" i="10"/>
  <c r="BQ268" i="10" s="1"/>
  <c r="BR268" i="10" s="1" a="1"/>
  <c r="BR268" i="10" s="1"/>
  <c r="CH218" i="10"/>
  <c r="CI218" i="10" s="1"/>
  <c r="CJ218" i="10" s="1" a="1"/>
  <c r="CJ218" i="10" s="1"/>
  <c r="CT218" i="10"/>
  <c r="CU218" i="10" s="1"/>
  <c r="BR195" i="10" a="1"/>
  <c r="BR195" i="10" s="1"/>
  <c r="CN699" i="10" a="1"/>
  <c r="CN699" i="10" s="1"/>
  <c r="BL669" i="10"/>
  <c r="BM669" i="10" s="1"/>
  <c r="BN669" i="10" s="1" a="1"/>
  <c r="BN669" i="10" s="1"/>
  <c r="BT596" i="10"/>
  <c r="BU596" i="10" s="1"/>
  <c r="BV596" i="10" s="1" a="1"/>
  <c r="BV596" i="10" s="1"/>
  <c r="BT577" i="10"/>
  <c r="BU577" i="10" s="1"/>
  <c r="CN586" i="10" a="1"/>
  <c r="CN586" i="10" s="1"/>
  <c r="CN534" i="10" a="1"/>
  <c r="CN534" i="10" s="1"/>
  <c r="CH473" i="10"/>
  <c r="CI473" i="10" s="1"/>
  <c r="CJ473" i="10" s="1" a="1"/>
  <c r="CJ473" i="10" s="1"/>
  <c r="BZ472" i="10" a="1"/>
  <c r="BZ472" i="10" s="1"/>
  <c r="BL441" i="10"/>
  <c r="BM441" i="10" s="1"/>
  <c r="BN441" i="10" s="1" a="1"/>
  <c r="BN441" i="10" s="1"/>
  <c r="CP430" i="10"/>
  <c r="CQ430" i="10" s="1"/>
  <c r="CV430" i="10" s="1" a="1"/>
  <c r="CV430" i="10" s="1"/>
  <c r="CR399" i="10" a="1"/>
  <c r="CR399" i="10" s="1"/>
  <c r="BZ405" i="10" a="1"/>
  <c r="BZ405" i="10" s="1"/>
  <c r="CA405" i="10" a="1"/>
  <c r="CA405" i="10" s="1"/>
  <c r="CH422" i="10"/>
  <c r="CI422" i="10" s="1"/>
  <c r="CJ422" i="10" s="1" a="1"/>
  <c r="CJ422" i="10" s="1"/>
  <c r="CT422" i="10"/>
  <c r="CU422" i="10" s="1"/>
  <c r="CP422" i="10"/>
  <c r="CQ422" i="10" s="1"/>
  <c r="CR422" i="10" s="1" a="1"/>
  <c r="CR422" i="10" s="1"/>
  <c r="BV338" i="10" a="1"/>
  <c r="BV338" i="10" s="1"/>
  <c r="CB338" i="10" s="1"/>
  <c r="S338" i="10" s="1"/>
  <c r="AF338" i="10" s="1"/>
  <c r="CT288" i="10"/>
  <c r="CU288" i="10" s="1"/>
  <c r="BT328" i="10"/>
  <c r="BU328" i="10" s="1"/>
  <c r="BV328" i="10" s="1" a="1"/>
  <c r="BV328" i="10" s="1"/>
  <c r="CT261" i="10"/>
  <c r="CU261" i="10" s="1"/>
  <c r="BR255" i="10" a="1"/>
  <c r="BR255" i="10" s="1"/>
  <c r="CR237" i="10" a="1"/>
  <c r="CR237" i="10" s="1"/>
  <c r="CR207" i="10" a="1"/>
  <c r="CR207" i="10" s="1"/>
  <c r="CW190" i="10" a="1"/>
  <c r="CW190" i="10" s="1"/>
  <c r="CV190" i="10" a="1"/>
  <c r="CV190" i="10" s="1"/>
  <c r="CA171" i="10" a="1"/>
  <c r="CA171" i="10" s="1"/>
  <c r="BZ171" i="10" a="1"/>
  <c r="BZ171" i="10" s="1"/>
  <c r="BV167" i="10" a="1"/>
  <c r="BV167" i="10" s="1"/>
  <c r="BV711" i="10" a="1"/>
  <c r="BV711" i="10" s="1"/>
  <c r="CN661" i="10" a="1"/>
  <c r="CN661" i="10" s="1"/>
  <c r="BT580" i="10"/>
  <c r="BU580" i="10" s="1"/>
  <c r="BV580" i="10" s="1" a="1"/>
  <c r="BV580" i="10" s="1"/>
  <c r="BZ525" i="10" a="1"/>
  <c r="BZ525" i="10" s="1"/>
  <c r="BX490" i="10"/>
  <c r="BY490" i="10" s="1"/>
  <c r="BN408" i="10" a="1"/>
  <c r="BN408" i="10" s="1"/>
  <c r="BR408" i="10" a="1"/>
  <c r="BR408" i="10" s="1"/>
  <c r="CR405" i="10" a="1"/>
  <c r="CR405" i="10" s="1"/>
  <c r="BX383" i="10"/>
  <c r="BY383" i="10" s="1"/>
  <c r="BZ342" i="10" a="1"/>
  <c r="BZ342" i="10" s="1"/>
  <c r="CA342" i="10" a="1"/>
  <c r="CA342" i="10" s="1"/>
  <c r="CT332" i="10"/>
  <c r="CU332" i="10" s="1"/>
  <c r="CP351" i="10"/>
  <c r="CQ351" i="10" s="1"/>
  <c r="CR351" i="10" s="1" a="1"/>
  <c r="CR351" i="10" s="1"/>
  <c r="BR270" i="10" a="1"/>
  <c r="BR270" i="10" s="1"/>
  <c r="BT272" i="10"/>
  <c r="BU272" i="10" s="1"/>
  <c r="BV272" i="10" s="1" a="1"/>
  <c r="BV272" i="10" s="1"/>
  <c r="CP271" i="10"/>
  <c r="CQ271" i="10" s="1"/>
  <c r="CR271" i="10" s="1" a="1"/>
  <c r="CR271" i="10" s="1"/>
  <c r="CT239" i="10"/>
  <c r="CU239" i="10" s="1"/>
  <c r="CV200" i="10" a="1"/>
  <c r="CV200" i="10" s="1"/>
  <c r="CW200" i="10" a="1"/>
  <c r="CW200" i="10" s="1"/>
  <c r="BP208" i="10"/>
  <c r="BQ208" i="10" s="1"/>
  <c r="BR208" i="10" s="1" a="1"/>
  <c r="BR208" i="10" s="1"/>
  <c r="CR178" i="10" a="1"/>
  <c r="CR178" i="10" s="1"/>
  <c r="BZ143" i="10" a="1"/>
  <c r="BZ143" i="10" s="1"/>
  <c r="CA143" i="10" a="1"/>
  <c r="CA143" i="10" s="1"/>
  <c r="CH481" i="10"/>
  <c r="CI481" i="10" s="1"/>
  <c r="CJ481" i="10" s="1" a="1"/>
  <c r="CJ481" i="10" s="1"/>
  <c r="BL349" i="10"/>
  <c r="BM349" i="10" s="1"/>
  <c r="BN349" i="10" s="1" a="1"/>
  <c r="BN349" i="10" s="1"/>
  <c r="BR359" i="10" a="1"/>
  <c r="BR359" i="10" s="1"/>
  <c r="CL367" i="10"/>
  <c r="CM367" i="10" s="1"/>
  <c r="CN367" i="10" s="1" a="1"/>
  <c r="CN367" i="10" s="1"/>
  <c r="BV322" i="10" a="1"/>
  <c r="BV322" i="10" s="1"/>
  <c r="CT314" i="10"/>
  <c r="CU314" i="10" s="1"/>
  <c r="BR326" i="10" a="1"/>
  <c r="BR326" i="10" s="1"/>
  <c r="CB326" i="10" s="1"/>
  <c r="S326" i="10" s="1"/>
  <c r="AF326" i="10" s="1"/>
  <c r="CL300" i="10"/>
  <c r="CM300" i="10" s="1"/>
  <c r="CR300" i="10" s="1" a="1"/>
  <c r="CR300" i="10" s="1"/>
  <c r="BZ248" i="10" a="1"/>
  <c r="BZ248" i="10" s="1"/>
  <c r="CA248" i="10" a="1"/>
  <c r="CA248" i="10" s="1"/>
  <c r="BZ249" i="10" a="1"/>
  <c r="BZ249" i="10" s="1"/>
  <c r="CA249" i="10" a="1"/>
  <c r="CA249" i="10" s="1"/>
  <c r="CN227" i="10" a="1"/>
  <c r="CN227" i="10" s="1"/>
  <c r="CX227" i="10" s="1"/>
  <c r="Z227" i="10" s="1"/>
  <c r="CP197" i="10"/>
  <c r="CQ197" i="10" s="1"/>
  <c r="CR197" i="10" s="1" a="1"/>
  <c r="CR197" i="10" s="1"/>
  <c r="CH198" i="10"/>
  <c r="CI198" i="10" s="1"/>
  <c r="CJ198" i="10" s="1" a="1"/>
  <c r="CJ198" i="10" s="1"/>
  <c r="BV191" i="10" a="1"/>
  <c r="BV191" i="10" s="1"/>
  <c r="BL173" i="10"/>
  <c r="BM173" i="10" s="1"/>
  <c r="BN173" i="10" s="1" a="1"/>
  <c r="BN173" i="10" s="1"/>
  <c r="BP134" i="10"/>
  <c r="BQ134" i="10" s="1"/>
  <c r="BR134" i="10" s="1" a="1"/>
  <c r="BR134" i="10" s="1"/>
  <c r="CA152" i="10" a="1"/>
  <c r="CA152" i="10" s="1"/>
  <c r="BZ152" i="10" a="1"/>
  <c r="BZ152" i="10" s="1"/>
  <c r="BX139" i="10"/>
  <c r="BY139" i="10" s="1"/>
  <c r="CR598" i="10" a="1"/>
  <c r="CR598" i="10" s="1"/>
  <c r="CX598" i="10" s="1"/>
  <c r="Z598" i="10" s="1"/>
  <c r="CN548" i="10" a="1"/>
  <c r="CN548" i="10" s="1"/>
  <c r="CX548" i="10" s="1"/>
  <c r="Z548" i="10" s="1"/>
  <c r="CN488" i="10" a="1"/>
  <c r="CN488" i="10" s="1"/>
  <c r="CT469" i="10"/>
  <c r="CU469" i="10" s="1"/>
  <c r="BV447" i="10" a="1"/>
  <c r="BV447" i="10" s="1"/>
  <c r="BX423" i="10"/>
  <c r="BY423" i="10" s="1"/>
  <c r="CH377" i="10"/>
  <c r="CI377" i="10" s="1"/>
  <c r="CJ377" i="10" s="1" a="1"/>
  <c r="CJ377" i="10" s="1"/>
  <c r="CT365" i="10"/>
  <c r="CU365" i="10" s="1"/>
  <c r="CT339" i="10"/>
  <c r="CU339" i="10" s="1"/>
  <c r="CH345" i="10"/>
  <c r="CI345" i="10" s="1"/>
  <c r="CJ345" i="10" s="1" a="1"/>
  <c r="CJ345" i="10" s="1"/>
  <c r="CL333" i="10"/>
  <c r="CM333" i="10" s="1"/>
  <c r="CN333" i="10" s="1" a="1"/>
  <c r="CN333" i="10" s="1"/>
  <c r="CH273" i="10"/>
  <c r="CI273" i="10" s="1"/>
  <c r="CJ273" i="10" s="1" a="1"/>
  <c r="CJ273" i="10" s="1"/>
  <c r="CP276" i="10"/>
  <c r="CQ276" i="10" s="1"/>
  <c r="CR276" i="10" s="1" a="1"/>
  <c r="CR276" i="10" s="1"/>
  <c r="CW249" i="10" a="1"/>
  <c r="CW249" i="10" s="1"/>
  <c r="CV249" i="10" a="1"/>
  <c r="CV249" i="10" s="1"/>
  <c r="CB233" i="10"/>
  <c r="S233" i="10" s="1"/>
  <c r="BV187" i="10" a="1"/>
  <c r="BV187" i="10" s="1"/>
  <c r="BX151" i="10"/>
  <c r="BY151" i="10" s="1"/>
  <c r="CB416" i="10"/>
  <c r="S416" i="10" s="1"/>
  <c r="BZ396" i="10" a="1"/>
  <c r="BZ396" i="10" s="1"/>
  <c r="BR336" i="10" a="1"/>
  <c r="BR336" i="10" s="1"/>
  <c r="CV311" i="10" a="1"/>
  <c r="CV311" i="10" s="1"/>
  <c r="BL276" i="10"/>
  <c r="BM276" i="10" s="1"/>
  <c r="BN276" i="10" s="1" a="1"/>
  <c r="BN276" i="10" s="1"/>
  <c r="BV235" i="10" a="1"/>
  <c r="BV235" i="10" s="1"/>
  <c r="CV186" i="10" a="1"/>
  <c r="CV186" i="10" s="1"/>
  <c r="CR242" i="10" a="1"/>
  <c r="CR242" i="10" s="1"/>
  <c r="CR352" i="10" a="1"/>
  <c r="CR352" i="10" s="1"/>
  <c r="CV335" i="10" a="1"/>
  <c r="CV335" i="10" s="1"/>
  <c r="BZ287" i="10" a="1"/>
  <c r="BZ287" i="10" s="1"/>
  <c r="CB287" i="10" s="1"/>
  <c r="S287" i="10" s="1"/>
  <c r="CR285" i="10" a="1"/>
  <c r="CR285" i="10" s="1"/>
  <c r="BR219" i="10" a="1"/>
  <c r="BR219" i="10" s="1"/>
  <c r="BV183" i="10" a="1"/>
  <c r="BV183" i="10" s="1"/>
  <c r="CT143" i="10"/>
  <c r="CU143" i="10" s="1"/>
  <c r="BZ400" i="10" a="1"/>
  <c r="BZ400" i="10" s="1"/>
  <c r="CR341" i="10" a="1"/>
  <c r="CR341" i="10" s="1"/>
  <c r="CV152" i="10" a="1"/>
  <c r="CV152" i="10" s="1"/>
  <c r="BV312" i="10" a="1"/>
  <c r="BV312" i="10" s="1"/>
  <c r="BL383" i="10"/>
  <c r="BM383" i="10" s="1"/>
  <c r="BN383" i="10" s="1" a="1"/>
  <c r="BN383" i="10" s="1"/>
  <c r="BV377" i="10" a="1"/>
  <c r="BV377" i="10" s="1"/>
  <c r="CH268" i="10"/>
  <c r="CI268" i="10" s="1"/>
  <c r="CJ268" i="10" s="1" a="1"/>
  <c r="CJ268" i="10" s="1"/>
  <c r="BZ244" i="10" a="1"/>
  <c r="BZ244" i="10" s="1"/>
  <c r="CN163" i="10" a="1"/>
  <c r="CN163" i="10" s="1"/>
  <c r="CN148" i="10" a="1"/>
  <c r="CN148" i="10" s="1"/>
  <c r="CL314" i="10"/>
  <c r="CM314" i="10" s="1"/>
  <c r="CN314" i="10" s="1" a="1"/>
  <c r="CN314" i="10" s="1"/>
  <c r="CN356" i="10" a="1"/>
  <c r="CN356" i="10" s="1"/>
  <c r="BR302" i="10" a="1"/>
  <c r="BR302" i="10" s="1"/>
  <c r="CN269" i="10" a="1"/>
  <c r="CN269" i="10" s="1"/>
  <c r="BZ240" i="10" a="1"/>
  <c r="BZ240" i="10" s="1"/>
  <c r="BL202" i="10"/>
  <c r="BM202" i="10" s="1"/>
  <c r="BN202" i="10" s="1" a="1"/>
  <c r="BN202" i="10" s="1"/>
  <c r="CN416" i="10" a="1"/>
  <c r="CN416" i="10" s="1"/>
  <c r="CH298" i="10"/>
  <c r="CI298" i="10" s="1"/>
  <c r="CJ298" i="10" s="1" a="1"/>
  <c r="CJ298" i="10" s="1"/>
  <c r="CX241" i="10"/>
  <c r="Z241" i="10" s="1"/>
  <c r="BZ163" i="10" a="1"/>
  <c r="BZ163" i="10" s="1"/>
  <c r="BP132" i="10"/>
  <c r="BQ132" i="10" s="1"/>
  <c r="BR132" i="10" s="1" a="1"/>
  <c r="BR132" i="10" s="1"/>
  <c r="BR300" i="10" a="1"/>
  <c r="BR300" i="10" s="1"/>
  <c r="BP301" i="10"/>
  <c r="BQ301" i="10" s="1"/>
  <c r="BR301" i="10" s="1" a="1"/>
  <c r="BR301" i="10" s="1"/>
  <c r="BR140" i="10" a="1"/>
  <c r="BR140" i="10" s="1"/>
  <c r="BR906" i="10" a="1"/>
  <c r="BR906" i="10" s="1"/>
  <c r="CN782" i="10" a="1"/>
  <c r="CN782" i="10" s="1"/>
  <c r="CX782" i="10" s="1"/>
  <c r="Z782" i="10" s="1"/>
  <c r="CR957" i="10" a="1"/>
  <c r="CR957" i="10" s="1"/>
  <c r="CX957" i="10" s="1"/>
  <c r="Z957" i="10" s="1"/>
  <c r="CA1012" i="10" a="1"/>
  <c r="CA1012" i="10" s="1"/>
  <c r="BZ1012" i="10" a="1"/>
  <c r="BZ1012" i="10" s="1"/>
  <c r="CB861" i="10"/>
  <c r="S861" i="10" s="1"/>
  <c r="CV939" i="10" a="1"/>
  <c r="CV939" i="10" s="1"/>
  <c r="CW939" i="10" a="1"/>
  <c r="CW939" i="10" s="1"/>
  <c r="CW932" i="10" a="1"/>
  <c r="CW932" i="10" s="1"/>
  <c r="CR545" i="10" a="1"/>
  <c r="CR545" i="10" s="1"/>
  <c r="CX545" i="10" s="1"/>
  <c r="Z545" i="10" s="1"/>
  <c r="CT944" i="10"/>
  <c r="CU944" i="10" s="1"/>
  <c r="CA761" i="10" a="1"/>
  <c r="CA761" i="10" s="1"/>
  <c r="BZ761" i="10" a="1"/>
  <c r="BZ761" i="10" s="1"/>
  <c r="CX538" i="10"/>
  <c r="Z538" i="10" s="1"/>
  <c r="BT539" i="10"/>
  <c r="BU539" i="10" s="1"/>
  <c r="BV539" i="10" s="1" a="1"/>
  <c r="BV539" i="10" s="1"/>
  <c r="BZ495" i="10" a="1"/>
  <c r="BZ495" i="10" s="1"/>
  <c r="CA495" i="10" a="1"/>
  <c r="CA495" i="10" s="1"/>
  <c r="CV630" i="10" a="1"/>
  <c r="CV630" i="10" s="1"/>
  <c r="CW630" i="10" a="1"/>
  <c r="CW630" i="10" s="1"/>
  <c r="CN644" i="10" a="1"/>
  <c r="CN644" i="10" s="1"/>
  <c r="CV546" i="10" a="1"/>
  <c r="CV546" i="10" s="1"/>
  <c r="CW546" i="10" a="1"/>
  <c r="CW546" i="10" s="1"/>
  <c r="BX572" i="10"/>
  <c r="BY572" i="10" s="1"/>
  <c r="CH616" i="10"/>
  <c r="CI616" i="10" s="1"/>
  <c r="CJ616" i="10" s="1" a="1"/>
  <c r="CJ616" i="10" s="1"/>
  <c r="CP616" i="10"/>
  <c r="CQ616" i="10" s="1"/>
  <c r="CR616" i="10" s="1" a="1"/>
  <c r="CR616" i="10" s="1"/>
  <c r="CV581" i="10" a="1"/>
  <c r="CV581" i="10" s="1"/>
  <c r="CW581" i="10" a="1"/>
  <c r="CW581" i="10" s="1"/>
  <c r="CR693" i="10" a="1"/>
  <c r="CR693" i="10" s="1"/>
  <c r="CX693" i="10" s="1"/>
  <c r="Z693" i="10" s="1"/>
  <c r="CB680" i="10"/>
  <c r="S680" i="10" s="1"/>
  <c r="BL427" i="10"/>
  <c r="BM427" i="10" s="1"/>
  <c r="BN427" i="10" s="1" a="1"/>
  <c r="BN427" i="10" s="1"/>
  <c r="CB237" i="10"/>
  <c r="S237" i="10" s="1"/>
  <c r="CV235" i="10" a="1"/>
  <c r="CV235" i="10" s="1"/>
  <c r="CW235" i="10" a="1"/>
  <c r="CW235" i="10" s="1"/>
  <c r="CB130" i="10"/>
  <c r="S130" i="10" s="1"/>
  <c r="CP653" i="10"/>
  <c r="CQ653" i="10" s="1"/>
  <c r="CR653" i="10" s="1" a="1"/>
  <c r="CR653" i="10" s="1"/>
  <c r="CW396" i="10" a="1"/>
  <c r="CW396" i="10" s="1"/>
  <c r="CV396" i="10" a="1"/>
  <c r="CV396" i="10" s="1"/>
  <c r="BV324" i="10" a="1"/>
  <c r="BV324" i="10" s="1"/>
  <c r="CT206" i="10"/>
  <c r="CU206" i="10" s="1"/>
  <c r="CH206" i="10"/>
  <c r="CI206" i="10" s="1"/>
  <c r="CJ206" i="10" s="1" a="1"/>
  <c r="CJ206" i="10" s="1"/>
  <c r="CP206" i="10"/>
  <c r="CQ206" i="10" s="1"/>
  <c r="CR206" i="10" s="1" a="1"/>
  <c r="CR206" i="10" s="1"/>
  <c r="CV384" i="10" a="1"/>
  <c r="CV384" i="10" s="1"/>
  <c r="CW384" i="10" a="1"/>
  <c r="CW384" i="10" s="1"/>
  <c r="CW242" i="10" a="1"/>
  <c r="CW242" i="10" s="1"/>
  <c r="CV242" i="10" a="1"/>
  <c r="CV242" i="10" s="1"/>
  <c r="CR391" i="10" a="1"/>
  <c r="CR391" i="10" s="1"/>
  <c r="CX391" i="10" s="1"/>
  <c r="Z391" i="10" s="1"/>
  <c r="CW372" i="10" a="1"/>
  <c r="CW372" i="10" s="1"/>
  <c r="CW156" i="10" a="1"/>
  <c r="CW156" i="10" s="1"/>
  <c r="CV156" i="10" a="1"/>
  <c r="CV156" i="10" s="1"/>
  <c r="CV392" i="10" a="1"/>
  <c r="CV392" i="10" s="1"/>
  <c r="CW392" i="10" a="1"/>
  <c r="CW392" i="10" s="1"/>
  <c r="BR341" i="10" a="1"/>
  <c r="BR341" i="10" s="1"/>
  <c r="CB341" i="10" s="1"/>
  <c r="S341" i="10" s="1"/>
  <c r="CW233" i="10" a="1"/>
  <c r="CW233" i="10" s="1"/>
  <c r="CV233" i="10" a="1"/>
  <c r="CV233" i="10" s="1"/>
  <c r="CV185" i="10" a="1"/>
  <c r="CV185" i="10" s="1"/>
  <c r="CX185" i="10" s="1"/>
  <c r="Z185" i="10" s="1"/>
  <c r="CW185" i="10" a="1"/>
  <c r="CW185" i="10" s="1"/>
  <c r="CV150" i="10" a="1"/>
  <c r="CV150" i="10" s="1"/>
  <c r="CW150" i="10" a="1"/>
  <c r="CW150" i="10" s="1"/>
  <c r="CH365" i="10"/>
  <c r="CI365" i="10" s="1"/>
  <c r="CJ365" i="10" s="1" a="1"/>
  <c r="CJ365" i="10" s="1"/>
  <c r="CR289" i="10" a="1"/>
  <c r="CR289" i="10" s="1"/>
  <c r="CX289" i="10" s="1"/>
  <c r="Z289" i="10" s="1"/>
  <c r="CN344" i="10" a="1"/>
  <c r="CN344" i="10" s="1"/>
  <c r="CX344" i="10" s="1"/>
  <c r="Z344" i="10" s="1"/>
  <c r="CW943" i="10" a="1"/>
  <c r="CW943" i="10" s="1"/>
  <c r="CV943" i="10" a="1"/>
  <c r="CV943" i="10" s="1"/>
  <c r="BT918" i="10"/>
  <c r="BU918" i="10" s="1"/>
  <c r="BV918" i="10" s="1" a="1"/>
  <c r="BV918" i="10" s="1"/>
  <c r="CL735" i="10"/>
  <c r="CM735" i="10" s="1"/>
  <c r="CN735" i="10" s="1" a="1"/>
  <c r="CN735" i="10" s="1"/>
  <c r="BZ1017" i="10" a="1"/>
  <c r="BZ1017" i="10" s="1"/>
  <c r="CA1017" i="10" a="1"/>
  <c r="CA1017" i="10" s="1"/>
  <c r="BX997" i="10"/>
  <c r="BY997" i="10" s="1"/>
  <c r="CV975" i="10" a="1"/>
  <c r="CV975" i="10" s="1"/>
  <c r="CW975" i="10" a="1"/>
  <c r="CW975" i="10" s="1"/>
  <c r="CL956" i="10"/>
  <c r="CM956" i="10" s="1"/>
  <c r="CN956" i="10" s="1" a="1"/>
  <c r="CN956" i="10" s="1"/>
  <c r="BX913" i="10"/>
  <c r="BY913" i="10" s="1"/>
  <c r="BX709" i="10"/>
  <c r="BY709" i="10" s="1"/>
  <c r="CV951" i="10" a="1"/>
  <c r="CV951" i="10" s="1"/>
  <c r="CW951" i="10" a="1"/>
  <c r="CW951" i="10" s="1"/>
  <c r="BP979" i="10"/>
  <c r="BQ979" i="10" s="1"/>
  <c r="BR869" i="10" a="1"/>
  <c r="BR869" i="10" s="1"/>
  <c r="BR849" i="10" a="1"/>
  <c r="BR849" i="10" s="1"/>
  <c r="BX876" i="10"/>
  <c r="BY876" i="10" s="1"/>
  <c r="BP876" i="10"/>
  <c r="BQ876" i="10" s="1"/>
  <c r="BT824" i="10"/>
  <c r="BU824" i="10" s="1"/>
  <c r="BV824" i="10" s="1" a="1"/>
  <c r="BV824" i="10" s="1"/>
  <c r="BL824" i="10"/>
  <c r="BM824" i="10" s="1"/>
  <c r="BN824" i="10" s="1" a="1"/>
  <c r="BN824" i="10" s="1"/>
  <c r="BP824" i="10"/>
  <c r="BQ824" i="10" s="1"/>
  <c r="CB816" i="10"/>
  <c r="S816" i="10" s="1"/>
  <c r="CT701" i="10"/>
  <c r="CU701" i="10" s="1"/>
  <c r="BZ763" i="10" a="1"/>
  <c r="BZ763" i="10" s="1"/>
  <c r="CA763" i="10" a="1"/>
  <c r="CA763" i="10" s="1"/>
  <c r="CH709" i="10"/>
  <c r="CI709" i="10" s="1"/>
  <c r="CJ709" i="10" s="1" a="1"/>
  <c r="CJ709" i="10" s="1"/>
  <c r="BZ980" i="10" a="1"/>
  <c r="BZ980" i="10" s="1"/>
  <c r="CA980" i="10" a="1"/>
  <c r="CA980" i="10" s="1"/>
  <c r="BP989" i="10"/>
  <c r="BQ989" i="10" s="1"/>
  <c r="BR989" i="10" s="1" a="1"/>
  <c r="BR989" i="10" s="1"/>
  <c r="BP930" i="10"/>
  <c r="BQ930" i="10" s="1"/>
  <c r="BL979" i="10"/>
  <c r="BM979" i="10" s="1"/>
  <c r="BN979" i="10" s="1" a="1"/>
  <c r="BN979" i="10" s="1"/>
  <c r="CT969" i="10"/>
  <c r="CU969" i="10" s="1"/>
  <c r="CN931" i="10" a="1"/>
  <c r="CN931" i="10" s="1"/>
  <c r="CA905" i="10" a="1"/>
  <c r="CA905" i="10" s="1"/>
  <c r="BX921" i="10"/>
  <c r="BY921" i="10" s="1"/>
  <c r="BZ822" i="10" a="1"/>
  <c r="BZ822" i="10" s="1"/>
  <c r="CA822" i="10" a="1"/>
  <c r="CA822" i="10" s="1"/>
  <c r="BV819" i="10" a="1"/>
  <c r="BV819" i="10" s="1"/>
  <c r="BR666" i="10" a="1"/>
  <c r="BR666" i="10" s="1"/>
  <c r="CB666" i="10" s="1"/>
  <c r="S666" i="10" s="1"/>
  <c r="AF666" i="10" s="1"/>
  <c r="CP806" i="10"/>
  <c r="CQ806" i="10" s="1"/>
  <c r="CR806" i="10" s="1" a="1"/>
  <c r="CR806" i="10" s="1"/>
  <c r="BT701" i="10"/>
  <c r="BU701" i="10" s="1"/>
  <c r="BV701" i="10" s="1" a="1"/>
  <c r="BV701" i="10" s="1"/>
  <c r="CB787" i="10"/>
  <c r="S787" i="10" s="1"/>
  <c r="CB1015" i="10"/>
  <c r="S1015" i="10" s="1"/>
  <c r="CR1006" i="10" a="1"/>
  <c r="CR1006" i="10" s="1"/>
  <c r="CX1006" i="10" s="1"/>
  <c r="Z1006" i="10" s="1"/>
  <c r="BT953" i="10"/>
  <c r="BU953" i="10" s="1"/>
  <c r="BV953" i="10" s="1" a="1"/>
  <c r="BV953" i="10" s="1"/>
  <c r="BR931" i="10" a="1"/>
  <c r="BR931" i="10" s="1"/>
  <c r="BZ940" i="10" a="1"/>
  <c r="BZ940" i="10" s="1"/>
  <c r="CA940" i="10" a="1"/>
  <c r="CA940" i="10" s="1"/>
  <c r="CP956" i="10"/>
  <c r="CQ956" i="10" s="1"/>
  <c r="CR956" i="10" s="1" a="1"/>
  <c r="CR956" i="10" s="1"/>
  <c r="BX922" i="10"/>
  <c r="BY922" i="10" s="1"/>
  <c r="CH945" i="10"/>
  <c r="CI945" i="10" s="1"/>
  <c r="CJ945" i="10" s="1" a="1"/>
  <c r="CJ945" i="10" s="1"/>
  <c r="BT856" i="10"/>
  <c r="BU856" i="10" s="1"/>
  <c r="BV856" i="10" s="1" a="1"/>
  <c r="BV856" i="10" s="1"/>
  <c r="BL801" i="10"/>
  <c r="BM801" i="10" s="1"/>
  <c r="BN801" i="10" s="1" a="1"/>
  <c r="BN801" i="10" s="1"/>
  <c r="CA839" i="10" a="1"/>
  <c r="CA839" i="10" s="1"/>
  <c r="BZ839" i="10" a="1"/>
  <c r="BZ839" i="10" s="1"/>
  <c r="CX814" i="10"/>
  <c r="Z814" i="10" s="1"/>
  <c r="AF814" i="10" s="1"/>
  <c r="BZ804" i="10" a="1"/>
  <c r="BZ804" i="10" s="1"/>
  <c r="CB804" i="10" s="1"/>
  <c r="S804" i="10" s="1"/>
  <c r="CA804" i="10" a="1"/>
  <c r="CA804" i="10" s="1"/>
  <c r="BX762" i="10"/>
  <c r="BY762" i="10" s="1"/>
  <c r="BP986" i="10"/>
  <c r="BQ986" i="10" s="1"/>
  <c r="BR986" i="10" s="1" a="1"/>
  <c r="BR986" i="10" s="1"/>
  <c r="CW1004" i="10" a="1"/>
  <c r="CW1004" i="10" s="1"/>
  <c r="CV1004" i="10" a="1"/>
  <c r="CV1004" i="10" s="1"/>
  <c r="CP958" i="10"/>
  <c r="CQ958" i="10" s="1"/>
  <c r="CA975" i="10" a="1"/>
  <c r="CA975" i="10" s="1"/>
  <c r="BZ975" i="10" a="1"/>
  <c r="BZ975" i="10" s="1"/>
  <c r="CW1014" i="10" a="1"/>
  <c r="CW1014" i="10" s="1"/>
  <c r="CV1014" i="10" a="1"/>
  <c r="CV1014" i="10" s="1"/>
  <c r="BP1021" i="10"/>
  <c r="BQ1021" i="10" s="1"/>
  <c r="BR1021" i="10" s="1" a="1"/>
  <c r="BR1021" i="10" s="1"/>
  <c r="CN884" i="10" a="1"/>
  <c r="CN884" i="10" s="1"/>
  <c r="CR848" i="10" a="1"/>
  <c r="CR848" i="10" s="1"/>
  <c r="BR822" i="10" a="1"/>
  <c r="BR822" i="10" s="1"/>
  <c r="BZ851" i="10" a="1"/>
  <c r="BZ851" i="10" s="1"/>
  <c r="CA851" i="10" a="1"/>
  <c r="CA851" i="10" s="1"/>
  <c r="CT806" i="10"/>
  <c r="CU806" i="10" s="1"/>
  <c r="CB779" i="10"/>
  <c r="S779" i="10" s="1"/>
  <c r="BT1021" i="10"/>
  <c r="BU1021" i="10" s="1"/>
  <c r="BV1021" i="10" s="1" a="1"/>
  <c r="BV1021" i="10" s="1"/>
  <c r="CL985" i="10"/>
  <c r="CM985" i="10" s="1"/>
  <c r="BP949" i="10"/>
  <c r="BQ949" i="10" s="1"/>
  <c r="BR949" i="10" s="1" a="1"/>
  <c r="BR949" i="10" s="1"/>
  <c r="CX959" i="10"/>
  <c r="Z959" i="10" s="1"/>
  <c r="CP954" i="10"/>
  <c r="CQ954" i="10" s="1"/>
  <c r="CR954" i="10" s="1" a="1"/>
  <c r="CR954" i="10" s="1"/>
  <c r="CP950" i="10"/>
  <c r="CQ950" i="10" s="1"/>
  <c r="CR950" i="10" s="1" a="1"/>
  <c r="CR950" i="10" s="1"/>
  <c r="CW900" i="10" a="1"/>
  <c r="CW900" i="10" s="1"/>
  <c r="CV900" i="10" a="1"/>
  <c r="CV900" i="10" s="1"/>
  <c r="CR951" i="10" a="1"/>
  <c r="CR951" i="10" s="1"/>
  <c r="CP932" i="10"/>
  <c r="CQ932" i="10" s="1"/>
  <c r="CR932" i="10" s="1" a="1"/>
  <c r="CR932" i="10" s="1"/>
  <c r="BR892" i="10" a="1"/>
  <c r="BR892" i="10" s="1"/>
  <c r="BT848" i="10"/>
  <c r="BU848" i="10" s="1"/>
  <c r="BZ848" i="10" s="1" a="1"/>
  <c r="BZ848" i="10" s="1"/>
  <c r="BP778" i="10"/>
  <c r="BQ778" i="10" s="1"/>
  <c r="BR778" i="10" s="1" a="1"/>
  <c r="BR778" i="10" s="1"/>
  <c r="CT871" i="10"/>
  <c r="CU871" i="10" s="1"/>
  <c r="CB799" i="10"/>
  <c r="S799" i="10" s="1"/>
  <c r="AF799" i="10" s="1"/>
  <c r="CH786" i="10"/>
  <c r="CI786" i="10" s="1"/>
  <c r="CJ786" i="10" s="1" a="1"/>
  <c r="CJ786" i="10" s="1"/>
  <c r="CV999" i="10" a="1"/>
  <c r="CV999" i="10" s="1"/>
  <c r="CW999" i="10" a="1"/>
  <c r="CW999" i="10" s="1"/>
  <c r="BV987" i="10" a="1"/>
  <c r="BV987" i="10" s="1"/>
  <c r="CR990" i="10" a="1"/>
  <c r="CR990" i="10" s="1"/>
  <c r="CX990" i="10" s="1"/>
  <c r="Z990" i="10" s="1"/>
  <c r="BV968" i="10" a="1"/>
  <c r="BV968" i="10" s="1"/>
  <c r="BR894" i="10" a="1"/>
  <c r="BR894" i="10" s="1"/>
  <c r="BZ881" i="10" a="1"/>
  <c r="BZ881" i="10" s="1"/>
  <c r="CA881" i="10" a="1"/>
  <c r="CA881" i="10" s="1"/>
  <c r="BV955" i="10" a="1"/>
  <c r="BV955" i="10" s="1"/>
  <c r="CP917" i="10"/>
  <c r="CQ917" i="10" s="1"/>
  <c r="CV917" i="10" s="1" a="1"/>
  <c r="CV917" i="10" s="1"/>
  <c r="BP848" i="10"/>
  <c r="BQ848" i="10" s="1"/>
  <c r="BR848" i="10" s="1" a="1"/>
  <c r="BR848" i="10" s="1"/>
  <c r="BR791" i="10" a="1"/>
  <c r="BR791" i="10" s="1"/>
  <c r="BZ831" i="10" a="1"/>
  <c r="BZ831" i="10" s="1"/>
  <c r="CA831" i="10" a="1"/>
  <c r="CA831" i="10" s="1"/>
  <c r="BP782" i="10"/>
  <c r="BQ782" i="10" s="1"/>
  <c r="BR782" i="10" s="1" a="1"/>
  <c r="BR782" i="10" s="1"/>
  <c r="CP790" i="10"/>
  <c r="CQ790" i="10" s="1"/>
  <c r="CV790" i="10" s="1" a="1"/>
  <c r="CV790" i="10" s="1"/>
  <c r="BZ743" i="10" a="1"/>
  <c r="BZ743" i="10" s="1"/>
  <c r="CA743" i="10" a="1"/>
  <c r="CA743" i="10" s="1"/>
  <c r="CN987" i="10" a="1"/>
  <c r="CN987" i="10" s="1"/>
  <c r="CV980" i="10" a="1"/>
  <c r="CV980" i="10" s="1"/>
  <c r="CW980" i="10" a="1"/>
  <c r="CW980" i="10" s="1"/>
  <c r="BV1012" i="10" a="1"/>
  <c r="BV1012" i="10" s="1"/>
  <c r="CB1012" i="10" s="1"/>
  <c r="S1012" i="10" s="1"/>
  <c r="CN1011" i="10" a="1"/>
  <c r="CN1011" i="10" s="1"/>
  <c r="BT986" i="10"/>
  <c r="BU986" i="10" s="1"/>
  <c r="BZ986" i="10" s="1" a="1"/>
  <c r="BZ986" i="10" s="1"/>
  <c r="BX985" i="10"/>
  <c r="BY985" i="10" s="1"/>
  <c r="CH920" i="10"/>
  <c r="CI920" i="10" s="1"/>
  <c r="CJ920" i="10" s="1" a="1"/>
  <c r="CJ920" i="10" s="1"/>
  <c r="CT942" i="10"/>
  <c r="CU942" i="10" s="1"/>
  <c r="CH985" i="10"/>
  <c r="CI985" i="10" s="1"/>
  <c r="CJ985" i="10" s="1" a="1"/>
  <c r="CJ985" i="10" s="1"/>
  <c r="CT941" i="10"/>
  <c r="CU941" i="10" s="1"/>
  <c r="BT910" i="10"/>
  <c r="BU910" i="10" s="1"/>
  <c r="BV910" i="10" s="1" a="1"/>
  <c r="BV910" i="10" s="1"/>
  <c r="CL945" i="10"/>
  <c r="CM945" i="10" s="1"/>
  <c r="CL917" i="10"/>
  <c r="CM917" i="10" s="1"/>
  <c r="CN917" i="10" s="1" a="1"/>
  <c r="CN917" i="10" s="1"/>
  <c r="BR889" i="10" a="1"/>
  <c r="BR889" i="10" s="1"/>
  <c r="BV882" i="10" a="1"/>
  <c r="BV882" i="10" s="1"/>
  <c r="CB882" i="10" s="1"/>
  <c r="S882" i="10" s="1"/>
  <c r="BX895" i="10"/>
  <c r="BY895" i="10" s="1"/>
  <c r="BV826" i="10" a="1"/>
  <c r="BV826" i="10" s="1"/>
  <c r="BR857" i="10" a="1"/>
  <c r="BR857" i="10" s="1"/>
  <c r="CB857" i="10" s="1"/>
  <c r="S857" i="10" s="1"/>
  <c r="CL827" i="10"/>
  <c r="CM827" i="10" s="1"/>
  <c r="BT750" i="10"/>
  <c r="BU750" i="10" s="1"/>
  <c r="CB707" i="10"/>
  <c r="S707" i="10" s="1"/>
  <c r="BT709" i="10"/>
  <c r="BU709" i="10" s="1"/>
  <c r="CT664" i="10"/>
  <c r="CU664" i="10" s="1"/>
  <c r="BZ968" i="10" a="1"/>
  <c r="BZ968" i="10" s="1"/>
  <c r="BT917" i="10"/>
  <c r="BU917" i="10" s="1"/>
  <c r="BV917" i="10" s="1" a="1"/>
  <c r="BV917" i="10" s="1"/>
  <c r="BR967" i="10" a="1"/>
  <c r="BR967" i="10" s="1"/>
  <c r="CH744" i="10"/>
  <c r="CI744" i="10" s="1"/>
  <c r="CJ744" i="10" s="1" a="1"/>
  <c r="CJ744" i="10" s="1"/>
  <c r="CT744" i="10"/>
  <c r="CU744" i="10" s="1"/>
  <c r="CW597" i="10" a="1"/>
  <c r="CW597" i="10" s="1"/>
  <c r="CV597" i="10" a="1"/>
  <c r="CV597" i="10" s="1"/>
  <c r="CH636" i="10"/>
  <c r="CI636" i="10" s="1"/>
  <c r="CJ636" i="10" s="1" a="1"/>
  <c r="CJ636" i="10" s="1"/>
  <c r="CP636" i="10"/>
  <c r="CQ636" i="10" s="1"/>
  <c r="CR636" i="10" s="1" a="1"/>
  <c r="CR636" i="10" s="1"/>
  <c r="BZ591" i="10" a="1"/>
  <c r="BZ591" i="10" s="1"/>
  <c r="CA591" i="10" a="1"/>
  <c r="CA591" i="10" s="1"/>
  <c r="CV508" i="10" a="1"/>
  <c r="CV508" i="10" s="1"/>
  <c r="CW508" i="10" a="1"/>
  <c r="CW508" i="10" s="1"/>
  <c r="CV505" i="10" a="1"/>
  <c r="CV505" i="10" s="1"/>
  <c r="CW505" i="10" a="1"/>
  <c r="CW505" i="10" s="1"/>
  <c r="CP681" i="10"/>
  <c r="CQ681" i="10" s="1"/>
  <c r="CR681" i="10" s="1" a="1"/>
  <c r="CR681" i="10" s="1"/>
  <c r="BZ708" i="10" a="1"/>
  <c r="BZ708" i="10" s="1"/>
  <c r="CA708" i="10" a="1"/>
  <c r="CA708" i="10" s="1"/>
  <c r="BT613" i="10"/>
  <c r="BU613" i="10" s="1"/>
  <c r="BV613" i="10" s="1" a="1"/>
  <c r="BV613" i="10" s="1"/>
  <c r="CP651" i="10"/>
  <c r="CQ651" i="10" s="1"/>
  <c r="CR651" i="10" s="1" a="1"/>
  <c r="CR651" i="10" s="1"/>
  <c r="CH651" i="10"/>
  <c r="CI651" i="10" s="1"/>
  <c r="CJ651" i="10" s="1" a="1"/>
  <c r="CJ651" i="10" s="1"/>
  <c r="CT651" i="10"/>
  <c r="CU651" i="10" s="1"/>
  <c r="CH637" i="10"/>
  <c r="CI637" i="10" s="1"/>
  <c r="CJ637" i="10" s="1" a="1"/>
  <c r="CJ637" i="10" s="1"/>
  <c r="CP637" i="10"/>
  <c r="CQ637" i="10" s="1"/>
  <c r="CR637" i="10" s="1" a="1"/>
  <c r="CR637" i="10" s="1"/>
  <c r="CL577" i="10"/>
  <c r="CM577" i="10" s="1"/>
  <c r="BL530" i="10"/>
  <c r="BM530" i="10" s="1"/>
  <c r="BN530" i="10" s="1" a="1"/>
  <c r="BN530" i="10" s="1"/>
  <c r="BR508" i="10" a="1"/>
  <c r="BR508" i="10" s="1"/>
  <c r="CA493" i="10" a="1"/>
  <c r="CA493" i="10" s="1"/>
  <c r="BZ493" i="10" a="1"/>
  <c r="BZ493" i="10" s="1"/>
  <c r="CL487" i="10"/>
  <c r="CM487" i="10" s="1"/>
  <c r="CN487" i="10" s="1" a="1"/>
  <c r="CN487" i="10" s="1"/>
  <c r="BZ1000" i="10" a="1"/>
  <c r="BZ1000" i="10" s="1"/>
  <c r="CB1000" i="10" s="1"/>
  <c r="S1000" i="10" s="1"/>
  <c r="CT908" i="10"/>
  <c r="CU908" i="10" s="1"/>
  <c r="BZ752" i="10" a="1"/>
  <c r="BZ752" i="10" s="1"/>
  <c r="BR684" i="10" a="1"/>
  <c r="BR684" i="10" s="1"/>
  <c r="CT657" i="10"/>
  <c r="CU657" i="10" s="1"/>
  <c r="BX624" i="10"/>
  <c r="BY624" i="10" s="1"/>
  <c r="BL624" i="10"/>
  <c r="BM624" i="10" s="1"/>
  <c r="BN624" i="10" s="1" a="1"/>
  <c r="BN624" i="10" s="1"/>
  <c r="BT624" i="10"/>
  <c r="BU624" i="10" s="1"/>
  <c r="BP624" i="10"/>
  <c r="BQ624" i="10" s="1"/>
  <c r="BR624" i="10" s="1" a="1"/>
  <c r="BR624" i="10" s="1"/>
  <c r="CV550" i="10" a="1"/>
  <c r="CV550" i="10" s="1"/>
  <c r="CW550" i="10" a="1"/>
  <c r="CW550" i="10" s="1"/>
  <c r="CB578" i="10"/>
  <c r="S578" i="10" s="1"/>
  <c r="CP561" i="10"/>
  <c r="CQ561" i="10" s="1"/>
  <c r="CR561" i="10" s="1" a="1"/>
  <c r="CR561" i="10" s="1"/>
  <c r="CT503" i="10"/>
  <c r="CU503" i="10" s="1"/>
  <c r="CH921" i="10"/>
  <c r="CI921" i="10" s="1"/>
  <c r="CJ921" i="10" s="1" a="1"/>
  <c r="CJ921" i="10" s="1"/>
  <c r="AF732" i="10"/>
  <c r="BR795" i="10" a="1"/>
  <c r="BR795" i="10" s="1"/>
  <c r="BZ700" i="10" a="1"/>
  <c r="BZ700" i="10" s="1"/>
  <c r="CA700" i="10" a="1"/>
  <c r="CA700" i="10" s="1"/>
  <c r="BV776" i="10" a="1"/>
  <c r="BV776" i="10" s="1"/>
  <c r="BL609" i="10"/>
  <c r="BM609" i="10" s="1"/>
  <c r="BN609" i="10" s="1" a="1"/>
  <c r="BN609" i="10" s="1"/>
  <c r="CH768" i="10"/>
  <c r="CI768" i="10" s="1"/>
  <c r="CJ768" i="10" s="1" a="1"/>
  <c r="CJ768" i="10" s="1"/>
  <c r="CT768" i="10"/>
  <c r="CU768" i="10" s="1"/>
  <c r="BP797" i="10"/>
  <c r="BQ797" i="10" s="1"/>
  <c r="BR797" i="10" s="1" a="1"/>
  <c r="BR797" i="10" s="1"/>
  <c r="BT657" i="10"/>
  <c r="BU657" i="10" s="1"/>
  <c r="BV657" i="10" s="1" a="1"/>
  <c r="BV657" i="10" s="1"/>
  <c r="CV668" i="10" a="1"/>
  <c r="CV668" i="10" s="1"/>
  <c r="CW668" i="10" a="1"/>
  <c r="CW668" i="10" s="1"/>
  <c r="AF658" i="10"/>
  <c r="BT584" i="10"/>
  <c r="BU584" i="10" s="1"/>
  <c r="BV584" i="10" s="1" a="1"/>
  <c r="BV584" i="10" s="1"/>
  <c r="CH629" i="10"/>
  <c r="CI629" i="10" s="1"/>
  <c r="CJ629" i="10" s="1" a="1"/>
  <c r="CJ629" i="10" s="1"/>
  <c r="CP629" i="10"/>
  <c r="CQ629" i="10" s="1"/>
  <c r="CR629" i="10" s="1" a="1"/>
  <c r="CR629" i="10" s="1"/>
  <c r="BV556" i="10" a="1"/>
  <c r="BV556" i="10" s="1"/>
  <c r="CB547" i="10"/>
  <c r="S547" i="10" s="1"/>
  <c r="AF547" i="10" s="1"/>
  <c r="CP475" i="10"/>
  <c r="CQ475" i="10" s="1"/>
  <c r="CR475" i="10" s="1" a="1"/>
  <c r="CR475" i="10" s="1"/>
  <c r="CB440" i="10"/>
  <c r="S440" i="10" s="1"/>
  <c r="BZ443" i="10" a="1"/>
  <c r="BZ443" i="10" s="1"/>
  <c r="CA443" i="10" a="1"/>
  <c r="CA443" i="10" s="1"/>
  <c r="BL941" i="10"/>
  <c r="BM941" i="10" s="1"/>
  <c r="BN941" i="10" s="1" a="1"/>
  <c r="BN941" i="10" s="1"/>
  <c r="CV706" i="10" a="1"/>
  <c r="CV706" i="10" s="1"/>
  <c r="CW706" i="10" a="1"/>
  <c r="CW706" i="10" s="1"/>
  <c r="CW607" i="10" a="1"/>
  <c r="CW607" i="10" s="1"/>
  <c r="CV607" i="10" a="1"/>
  <c r="CV607" i="10" s="1"/>
  <c r="CA610" i="10" a="1"/>
  <c r="CA610" i="10" s="1"/>
  <c r="BZ610" i="10" a="1"/>
  <c r="BZ610" i="10" s="1"/>
  <c r="BX657" i="10"/>
  <c r="BY657" i="10" s="1"/>
  <c r="CX634" i="10"/>
  <c r="Z634" i="10" s="1"/>
  <c r="BL588" i="10"/>
  <c r="BM588" i="10" s="1"/>
  <c r="BN588" i="10" s="1" a="1"/>
  <c r="BN588" i="10" s="1"/>
  <c r="CT640" i="10"/>
  <c r="CU640" i="10" s="1"/>
  <c r="CB558" i="10"/>
  <c r="S558" i="10" s="1"/>
  <c r="AF558" i="10" s="1"/>
  <c r="CL609" i="10"/>
  <c r="CM609" i="10" s="1"/>
  <c r="CN609" i="10" s="1" a="1"/>
  <c r="CN609" i="10" s="1"/>
  <c r="CA473" i="10" a="1"/>
  <c r="CA473" i="10" s="1"/>
  <c r="BZ473" i="10" a="1"/>
  <c r="BZ473" i="10" s="1"/>
  <c r="CH482" i="10"/>
  <c r="CI482" i="10" s="1"/>
  <c r="CJ482" i="10" s="1" a="1"/>
  <c r="CJ482" i="10" s="1"/>
  <c r="CN429" i="10" a="1"/>
  <c r="CN429" i="10" s="1"/>
  <c r="BL954" i="10"/>
  <c r="BM954" i="10" s="1"/>
  <c r="BN954" i="10" s="1" a="1"/>
  <c r="BN954" i="10" s="1"/>
  <c r="CT948" i="10"/>
  <c r="CU948" i="10" s="1"/>
  <c r="CN852" i="10" a="1"/>
  <c r="CN852" i="10" s="1"/>
  <c r="CX852" i="10" s="1"/>
  <c r="Z852" i="10" s="1"/>
  <c r="CH766" i="10"/>
  <c r="CI766" i="10" s="1"/>
  <c r="CJ766" i="10" s="1" a="1"/>
  <c r="CJ766" i="10" s="1"/>
  <c r="CX741" i="10"/>
  <c r="Z741" i="10" s="1"/>
  <c r="CR775" i="10" a="1"/>
  <c r="CR775" i="10" s="1"/>
  <c r="CX775" i="10" s="1"/>
  <c r="Z775" i="10" s="1"/>
  <c r="BV780" i="10" a="1"/>
  <c r="BV780" i="10" s="1"/>
  <c r="CB780" i="10" s="1"/>
  <c r="S780" i="10" s="1"/>
  <c r="CX690" i="10"/>
  <c r="Z690" i="10" s="1"/>
  <c r="CV797" i="10" a="1"/>
  <c r="CV797" i="10" s="1"/>
  <c r="CW797" i="10" a="1"/>
  <c r="CW797" i="10" s="1"/>
  <c r="BL677" i="10"/>
  <c r="BM677" i="10" s="1"/>
  <c r="BN677" i="10" s="1" a="1"/>
  <c r="BN677" i="10" s="1"/>
  <c r="CP768" i="10"/>
  <c r="CQ768" i="10" s="1"/>
  <c r="CR768" i="10" s="1" a="1"/>
  <c r="CR768" i="10" s="1"/>
  <c r="BV700" i="10" a="1"/>
  <c r="BV700" i="10" s="1"/>
  <c r="BV661" i="10" a="1"/>
  <c r="BV661" i="10" s="1"/>
  <c r="BP644" i="10"/>
  <c r="BQ644" i="10" s="1"/>
  <c r="BR644" i="10" s="1" a="1"/>
  <c r="BR644" i="10" s="1"/>
  <c r="BT644" i="10"/>
  <c r="BU644" i="10" s="1"/>
  <c r="BV644" i="10" s="1" a="1"/>
  <c r="BV644" i="10" s="1"/>
  <c r="BL644" i="10"/>
  <c r="BM644" i="10" s="1"/>
  <c r="BN644" i="10" s="1" a="1"/>
  <c r="BN644" i="10" s="1"/>
  <c r="BX644" i="10"/>
  <c r="BY644" i="10" s="1"/>
  <c r="CT619" i="10"/>
  <c r="CU619" i="10" s="1"/>
  <c r="CH619" i="10"/>
  <c r="CI619" i="10" s="1"/>
  <c r="CJ619" i="10" s="1" a="1"/>
  <c r="CJ619" i="10" s="1"/>
  <c r="CP619" i="10"/>
  <c r="CQ619" i="10" s="1"/>
  <c r="CR619" i="10" s="1" a="1"/>
  <c r="CR619" i="10" s="1"/>
  <c r="CP621" i="10"/>
  <c r="CQ621" i="10" s="1"/>
  <c r="CR621" i="10" s="1" a="1"/>
  <c r="CR621" i="10" s="1"/>
  <c r="CH621" i="10"/>
  <c r="CI621" i="10" s="1"/>
  <c r="CJ621" i="10" s="1" a="1"/>
  <c r="CJ621" i="10" s="1"/>
  <c r="CL541" i="10"/>
  <c r="CM541" i="10" s="1"/>
  <c r="CN541" i="10" s="1" a="1"/>
  <c r="CN541" i="10" s="1"/>
  <c r="CP489" i="10"/>
  <c r="CQ489" i="10" s="1"/>
  <c r="CR489" i="10" s="1" a="1"/>
  <c r="CR489" i="10" s="1"/>
  <c r="CW484" i="10" a="1"/>
  <c r="CW484" i="10" s="1"/>
  <c r="CV484" i="10" a="1"/>
  <c r="CV484" i="10" s="1"/>
  <c r="CX484" i="10" s="1"/>
  <c r="Z484" i="10" s="1"/>
  <c r="CN428" i="10" a="1"/>
  <c r="CN428" i="10" s="1"/>
  <c r="BP810" i="10"/>
  <c r="BQ810" i="10" s="1"/>
  <c r="BR810" i="10" s="1" a="1"/>
  <c r="BR810" i="10" s="1"/>
  <c r="BR871" i="10" a="1"/>
  <c r="BR871" i="10" s="1"/>
  <c r="CB871" i="10" s="1"/>
  <c r="S871" i="10" s="1"/>
  <c r="CA606" i="10" a="1"/>
  <c r="CA606" i="10" s="1"/>
  <c r="BZ606" i="10" a="1"/>
  <c r="BZ606" i="10" s="1"/>
  <c r="CX753" i="10"/>
  <c r="Z753" i="10" s="1"/>
  <c r="BL672" i="10"/>
  <c r="BM672" i="10" s="1"/>
  <c r="BN672" i="10" s="1" a="1"/>
  <c r="BN672" i="10" s="1"/>
  <c r="CP677" i="10"/>
  <c r="CQ677" i="10" s="1"/>
  <c r="CR677" i="10" s="1" a="1"/>
  <c r="CR677" i="10" s="1"/>
  <c r="CW683" i="10" a="1"/>
  <c r="CW683" i="10" s="1"/>
  <c r="CV683" i="10" a="1"/>
  <c r="CV683" i="10" s="1"/>
  <c r="BZ552" i="10" a="1"/>
  <c r="BZ552" i="10" s="1"/>
  <c r="CA552" i="10" a="1"/>
  <c r="CA552" i="10" s="1"/>
  <c r="CX574" i="10"/>
  <c r="Z574" i="10" s="1"/>
  <c r="CT652" i="10"/>
  <c r="CU652" i="10" s="1"/>
  <c r="CT632" i="10"/>
  <c r="CU632" i="10" s="1"/>
  <c r="CP633" i="10"/>
  <c r="CQ633" i="10" s="1"/>
  <c r="CR633" i="10" s="1" a="1"/>
  <c r="CR633" i="10" s="1"/>
  <c r="CH633" i="10"/>
  <c r="CI633" i="10" s="1"/>
  <c r="CJ633" i="10" s="1" a="1"/>
  <c r="CJ633" i="10" s="1"/>
  <c r="CP575" i="10"/>
  <c r="CQ575" i="10" s="1"/>
  <c r="CR575" i="10" s="1" a="1"/>
  <c r="CR575" i="10" s="1"/>
  <c r="CV530" i="10" a="1"/>
  <c r="CV530" i="10" s="1"/>
  <c r="CW530" i="10" a="1"/>
  <c r="CW530" i="10" s="1"/>
  <c r="BX491" i="10"/>
  <c r="BY491" i="10" s="1"/>
  <c r="CL495" i="10"/>
  <c r="CM495" i="10" s="1"/>
  <c r="CN495" i="10" s="1" a="1"/>
  <c r="CN495" i="10" s="1"/>
  <c r="CH461" i="10"/>
  <c r="CI461" i="10" s="1"/>
  <c r="CJ461" i="10" s="1" a="1"/>
  <c r="CJ461" i="10" s="1"/>
  <c r="CT461" i="10"/>
  <c r="CU461" i="10" s="1"/>
  <c r="BX398" i="10"/>
  <c r="BY398" i="10" s="1"/>
  <c r="BP1005" i="10"/>
  <c r="BQ1005" i="10" s="1"/>
  <c r="BR1005" i="10" s="1" a="1"/>
  <c r="BR1005" i="10" s="1"/>
  <c r="BZ939" i="10" a="1"/>
  <c r="BZ939" i="10" s="1"/>
  <c r="CB939" i="10" s="1"/>
  <c r="S939" i="10" s="1"/>
  <c r="BR837" i="10" a="1"/>
  <c r="BR837" i="10" s="1"/>
  <c r="CB837" i="10" s="1"/>
  <c r="S837" i="10" s="1"/>
  <c r="CN789" i="10" a="1"/>
  <c r="CN789" i="10" s="1"/>
  <c r="CX789" i="10" s="1"/>
  <c r="Z789" i="10" s="1"/>
  <c r="BX698" i="10"/>
  <c r="BY698" i="10" s="1"/>
  <c r="CT764" i="10"/>
  <c r="CU764" i="10" s="1"/>
  <c r="CH764" i="10"/>
  <c r="CI764" i="10" s="1"/>
  <c r="CJ764" i="10" s="1" a="1"/>
  <c r="CJ764" i="10" s="1"/>
  <c r="BZ679" i="10" a="1"/>
  <c r="BZ679" i="10" s="1"/>
  <c r="CA679" i="10" a="1"/>
  <c r="CA679" i="10" s="1"/>
  <c r="CH664" i="10"/>
  <c r="CI664" i="10" s="1"/>
  <c r="CJ664" i="10" s="1" a="1"/>
  <c r="CJ664" i="10" s="1"/>
  <c r="CT660" i="10"/>
  <c r="CU660" i="10" s="1"/>
  <c r="CX592" i="10"/>
  <c r="Z592" i="10" s="1"/>
  <c r="BL671" i="10"/>
  <c r="BM671" i="10" s="1"/>
  <c r="BN671" i="10" s="1" a="1"/>
  <c r="BN671" i="10" s="1"/>
  <c r="BP652" i="10"/>
  <c r="BQ652" i="10" s="1"/>
  <c r="BR652" i="10" s="1" a="1"/>
  <c r="BR652" i="10" s="1"/>
  <c r="BT652" i="10"/>
  <c r="BU652" i="10" s="1"/>
  <c r="BV652" i="10" s="1" a="1"/>
  <c r="BV652" i="10" s="1"/>
  <c r="BL652" i="10"/>
  <c r="BM652" i="10" s="1"/>
  <c r="BN652" i="10" s="1" a="1"/>
  <c r="BN652" i="10" s="1"/>
  <c r="BX652" i="10"/>
  <c r="BY652" i="10" s="1"/>
  <c r="CR552" i="10" a="1"/>
  <c r="CR552" i="10" s="1"/>
  <c r="BX577" i="10"/>
  <c r="BY577" i="10" s="1"/>
  <c r="CW560" i="10" a="1"/>
  <c r="CW560" i="10" s="1"/>
  <c r="CV560" i="10" a="1"/>
  <c r="CV560" i="10" s="1"/>
  <c r="BL537" i="10"/>
  <c r="BM537" i="10" s="1"/>
  <c r="BN537" i="10" s="1" a="1"/>
  <c r="BN537" i="10" s="1"/>
  <c r="BV536" i="10" a="1"/>
  <c r="BV536" i="10" s="1"/>
  <c r="BZ536" i="10" a="1"/>
  <c r="BZ536" i="10" s="1"/>
  <c r="CL557" i="10"/>
  <c r="CM557" i="10" s="1"/>
  <c r="CN557" i="10" s="1" a="1"/>
  <c r="CN557" i="10" s="1"/>
  <c r="BP535" i="10"/>
  <c r="BQ535" i="10" s="1"/>
  <c r="BR535" i="10" s="1" a="1"/>
  <c r="BR535" i="10" s="1"/>
  <c r="BT530" i="10"/>
  <c r="BU530" i="10" s="1"/>
  <c r="BV530" i="10" s="1" a="1"/>
  <c r="BV530" i="10" s="1"/>
  <c r="CR519" i="10" a="1"/>
  <c r="CR519" i="10" s="1"/>
  <c r="CX519" i="10" s="1"/>
  <c r="Z519" i="10" s="1"/>
  <c r="CA501" i="10" a="1"/>
  <c r="CA501" i="10" s="1"/>
  <c r="BZ501" i="10" a="1"/>
  <c r="BZ501" i="10" s="1"/>
  <c r="CB501" i="10" s="1"/>
  <c r="S501" i="10" s="1"/>
  <c r="BT491" i="10"/>
  <c r="BU491" i="10" s="1"/>
  <c r="BV491" i="10" s="1" a="1"/>
  <c r="BV491" i="10" s="1"/>
  <c r="BV493" i="10" a="1"/>
  <c r="BV493" i="10" s="1"/>
  <c r="CW458" i="10" a="1"/>
  <c r="CW458" i="10" s="1"/>
  <c r="CV458" i="10" a="1"/>
  <c r="CV458" i="10" s="1"/>
  <c r="BX419" i="10"/>
  <c r="BY419" i="10" s="1"/>
  <c r="BZ651" i="10" a="1"/>
  <c r="BZ651" i="10" s="1"/>
  <c r="BP565" i="10"/>
  <c r="BQ565" i="10" s="1"/>
  <c r="BR565" i="10" s="1" a="1"/>
  <c r="BR565" i="10" s="1"/>
  <c r="CR452" i="10" a="1"/>
  <c r="CR452" i="10" s="1"/>
  <c r="CX452" i="10" s="1"/>
  <c r="Z452" i="10" s="1"/>
  <c r="BX445" i="10"/>
  <c r="BY445" i="10" s="1"/>
  <c r="CX420" i="10"/>
  <c r="Z420" i="10" s="1"/>
  <c r="AF420" i="10" s="1"/>
  <c r="BT419" i="10"/>
  <c r="BU419" i="10" s="1"/>
  <c r="BZ260" i="10" a="1"/>
  <c r="BZ260" i="10" s="1"/>
  <c r="CA260" i="10" a="1"/>
  <c r="CA260" i="10" s="1"/>
  <c r="CV238" i="10" a="1"/>
  <c r="CV238" i="10" s="1"/>
  <c r="CW238" i="10" a="1"/>
  <c r="CW238" i="10" s="1"/>
  <c r="BV220" i="10" a="1"/>
  <c r="BV220" i="10" s="1"/>
  <c r="BP205" i="10"/>
  <c r="BQ205" i="10" s="1"/>
  <c r="BR205" i="10" s="1" a="1"/>
  <c r="BR205" i="10" s="1"/>
  <c r="BL205" i="10"/>
  <c r="BM205" i="10" s="1"/>
  <c r="BN205" i="10" s="1" a="1"/>
  <c r="BN205" i="10" s="1"/>
  <c r="BR190" i="10" a="1"/>
  <c r="BR190" i="10" s="1"/>
  <c r="BV190" i="10" a="1"/>
  <c r="BV190" i="10" s="1"/>
  <c r="CB163" i="10"/>
  <c r="S163" i="10" s="1"/>
  <c r="CH151" i="10"/>
  <c r="CI151" i="10" s="1"/>
  <c r="CJ151" i="10" s="1" a="1"/>
  <c r="CJ151" i="10" s="1"/>
  <c r="CV140" i="10" a="1"/>
  <c r="CV140" i="10" s="1"/>
  <c r="CW140" i="10" a="1"/>
  <c r="CW140" i="10" s="1"/>
  <c r="CV131" i="10" a="1"/>
  <c r="CV131" i="10" s="1"/>
  <c r="CW131" i="10" a="1"/>
  <c r="CW131" i="10" s="1"/>
  <c r="CH124" i="10"/>
  <c r="CI124" i="10" s="1"/>
  <c r="CJ124" i="10" s="1" a="1"/>
  <c r="CJ124" i="10" s="1"/>
  <c r="BV744" i="10" a="1"/>
  <c r="BV744" i="10" s="1"/>
  <c r="CB744" i="10" s="1"/>
  <c r="S744" i="10" s="1"/>
  <c r="CN727" i="10" a="1"/>
  <c r="CN727" i="10" s="1"/>
  <c r="BR583" i="10" a="1"/>
  <c r="BR583" i="10" s="1"/>
  <c r="BR635" i="10" a="1"/>
  <c r="BR635" i="10" s="1"/>
  <c r="CB635" i="10" s="1"/>
  <c r="S635" i="10" s="1"/>
  <c r="CV504" i="10" a="1"/>
  <c r="CV504" i="10" s="1"/>
  <c r="CN492" i="10" a="1"/>
  <c r="CN492" i="10" s="1"/>
  <c r="CL430" i="10"/>
  <c r="CM430" i="10" s="1"/>
  <c r="CN430" i="10" s="1" a="1"/>
  <c r="CN430" i="10" s="1"/>
  <c r="CL363" i="10"/>
  <c r="CM363" i="10" s="1"/>
  <c r="CH284" i="10"/>
  <c r="CI284" i="10" s="1"/>
  <c r="CJ284" i="10" s="1" a="1"/>
  <c r="CJ284" i="10" s="1"/>
  <c r="CL290" i="10"/>
  <c r="CM290" i="10" s="1"/>
  <c r="CN290" i="10" s="1" a="1"/>
  <c r="CN290" i="10" s="1"/>
  <c r="BZ245" i="10" a="1"/>
  <c r="BZ245" i="10" s="1"/>
  <c r="CA245" i="10" a="1"/>
  <c r="CA245" i="10" s="1"/>
  <c r="CB235" i="10"/>
  <c r="S235" i="10" s="1"/>
  <c r="CH138" i="10"/>
  <c r="CI138" i="10" s="1"/>
  <c r="CJ138" i="10" s="1" a="1"/>
  <c r="CJ138" i="10" s="1"/>
  <c r="BX142" i="10"/>
  <c r="BY142" i="10" s="1"/>
  <c r="BR752" i="10" a="1"/>
  <c r="BR752" i="10" s="1"/>
  <c r="CB752" i="10" s="1"/>
  <c r="S752" i="10" s="1"/>
  <c r="BV684" i="10" a="1"/>
  <c r="BV684" i="10" s="1"/>
  <c r="BR597" i="10" a="1"/>
  <c r="BR597" i="10" s="1"/>
  <c r="CB597" i="10" s="1"/>
  <c r="S597" i="10" s="1"/>
  <c r="BV552" i="10" a="1"/>
  <c r="BV552" i="10" s="1"/>
  <c r="CV416" i="10" a="1"/>
  <c r="CV416" i="10" s="1"/>
  <c r="CB366" i="10"/>
  <c r="S366" i="10" s="1"/>
  <c r="AF331" i="10"/>
  <c r="CT294" i="10"/>
  <c r="CU294" i="10" s="1"/>
  <c r="CX281" i="10"/>
  <c r="Z281" i="10" s="1"/>
  <c r="CL257" i="10"/>
  <c r="CM257" i="10" s="1"/>
  <c r="CN257" i="10" s="1" a="1"/>
  <c r="CN257" i="10" s="1"/>
  <c r="BT224" i="10"/>
  <c r="BU224" i="10" s="1"/>
  <c r="BL207" i="10"/>
  <c r="BM207" i="10" s="1"/>
  <c r="BN207" i="10" s="1" a="1"/>
  <c r="BN207" i="10" s="1"/>
  <c r="BP207" i="10"/>
  <c r="BQ207" i="10" s="1"/>
  <c r="BR207" i="10" s="1" a="1"/>
  <c r="BR207" i="10" s="1"/>
  <c r="BX207" i="10"/>
  <c r="BY207" i="10" s="1"/>
  <c r="BT207" i="10"/>
  <c r="BU207" i="10" s="1"/>
  <c r="CB170" i="10"/>
  <c r="S170" i="10" s="1"/>
  <c r="AF170" i="10" s="1"/>
  <c r="CN147" i="10" a="1"/>
  <c r="CN147" i="10" s="1"/>
  <c r="BT125" i="10"/>
  <c r="BU125" i="10" s="1"/>
  <c r="BV125" i="10" s="1" a="1"/>
  <c r="BV125" i="10" s="1"/>
  <c r="BR598" i="10" a="1"/>
  <c r="BR598" i="10" s="1"/>
  <c r="CB598" i="10" s="1"/>
  <c r="S598" i="10" s="1"/>
  <c r="AF598" i="10" s="1"/>
  <c r="CN500" i="10" a="1"/>
  <c r="CN500" i="10" s="1"/>
  <c r="CP451" i="10"/>
  <c r="CQ451" i="10" s="1"/>
  <c r="CR451" i="10" s="1" a="1"/>
  <c r="CR451" i="10" s="1"/>
  <c r="CR436" i="10" a="1"/>
  <c r="CR436" i="10" s="1"/>
  <c r="CR382" i="10" a="1"/>
  <c r="CR382" i="10" s="1"/>
  <c r="BT374" i="10"/>
  <c r="BU374" i="10" s="1"/>
  <c r="BV374" i="10" s="1" a="1"/>
  <c r="BV374" i="10" s="1"/>
  <c r="CA355" i="10" a="1"/>
  <c r="CA355" i="10" s="1"/>
  <c r="BZ355" i="10" a="1"/>
  <c r="BZ355" i="10" s="1"/>
  <c r="CB329" i="10"/>
  <c r="S329" i="10" s="1"/>
  <c r="CL320" i="10"/>
  <c r="CM320" i="10" s="1"/>
  <c r="CN320" i="10" s="1" a="1"/>
  <c r="CN320" i="10" s="1"/>
  <c r="BT310" i="10"/>
  <c r="BU310" i="10" s="1"/>
  <c r="BV310" i="10" s="1" a="1"/>
  <c r="BV310" i="10" s="1"/>
  <c r="CL288" i="10"/>
  <c r="CM288" i="10" s="1"/>
  <c r="CN288" i="10" s="1" a="1"/>
  <c r="CN288" i="10" s="1"/>
  <c r="BZ315" i="10" a="1"/>
  <c r="BZ315" i="10" s="1"/>
  <c r="CA315" i="10" a="1"/>
  <c r="CA315" i="10" s="1"/>
  <c r="CX274" i="10"/>
  <c r="Z274" i="10" s="1"/>
  <c r="CL261" i="10"/>
  <c r="CM261" i="10" s="1"/>
  <c r="CN261" i="10" s="1" a="1"/>
  <c r="CN261" i="10" s="1"/>
  <c r="CA217" i="10" a="1"/>
  <c r="CA217" i="10" s="1"/>
  <c r="BZ217" i="10" a="1"/>
  <c r="BZ217" i="10" s="1"/>
  <c r="CX204" i="10"/>
  <c r="Z204" i="10" s="1"/>
  <c r="AF204" i="10" s="1"/>
  <c r="CA191" i="10" a="1"/>
  <c r="CA191" i="10" s="1"/>
  <c r="BZ191" i="10" a="1"/>
  <c r="BZ191" i="10" s="1"/>
  <c r="CA178" i="10" a="1"/>
  <c r="CA178" i="10" s="1"/>
  <c r="BZ178" i="10" a="1"/>
  <c r="BZ178" i="10" s="1"/>
  <c r="BV696" i="10" a="1"/>
  <c r="BV696" i="10" s="1"/>
  <c r="BX592" i="10"/>
  <c r="BY592" i="10" s="1"/>
  <c r="CR550" i="10" a="1"/>
  <c r="CR550" i="10" s="1"/>
  <c r="CX550" i="10" s="1"/>
  <c r="Z550" i="10" s="1"/>
  <c r="BT573" i="10"/>
  <c r="BU573" i="10" s="1"/>
  <c r="BV573" i="10" s="1" a="1"/>
  <c r="BV573" i="10" s="1"/>
  <c r="BX434" i="10"/>
  <c r="BY434" i="10" s="1"/>
  <c r="BX441" i="10"/>
  <c r="BY441" i="10" s="1"/>
  <c r="CN388" i="10" a="1"/>
  <c r="CN388" i="10" s="1"/>
  <c r="BV397" i="10" a="1"/>
  <c r="BV397" i="10" s="1"/>
  <c r="BZ397" i="10" a="1"/>
  <c r="BZ397" i="10" s="1"/>
  <c r="CR388" i="10" a="1"/>
  <c r="CR388" i="10" s="1"/>
  <c r="CH415" i="10"/>
  <c r="CI415" i="10" s="1"/>
  <c r="CJ415" i="10" s="1" a="1"/>
  <c r="CJ415" i="10" s="1"/>
  <c r="CP415" i="10"/>
  <c r="CQ415" i="10" s="1"/>
  <c r="CR415" i="10" s="1" a="1"/>
  <c r="CR415" i="10" s="1"/>
  <c r="BX344" i="10"/>
  <c r="BY344" i="10" s="1"/>
  <c r="CV355" i="10" a="1"/>
  <c r="CV355" i="10" s="1"/>
  <c r="CW355" i="10" a="1"/>
  <c r="CW355" i="10" s="1"/>
  <c r="CP373" i="10"/>
  <c r="CQ373" i="10" s="1"/>
  <c r="CR373" i="10" s="1" a="1"/>
  <c r="CR373" i="10" s="1"/>
  <c r="CN342" i="10" a="1"/>
  <c r="CN342" i="10" s="1"/>
  <c r="BV295" i="10" a="1"/>
  <c r="BV295" i="10" s="1"/>
  <c r="CV321" i="10" a="1"/>
  <c r="CV321" i="10" s="1"/>
  <c r="CW321" i="10" a="1"/>
  <c r="CW321" i="10" s="1"/>
  <c r="CB278" i="10"/>
  <c r="S278" i="10" s="1"/>
  <c r="CP243" i="10"/>
  <c r="CQ243" i="10" s="1"/>
  <c r="CR243" i="10" s="1" a="1"/>
  <c r="CR243" i="10" s="1"/>
  <c r="BX234" i="10"/>
  <c r="BY234" i="10" s="1"/>
  <c r="CN245" i="10" a="1"/>
  <c r="CN245" i="10" s="1"/>
  <c r="CH212" i="10"/>
  <c r="CI212" i="10" s="1"/>
  <c r="CJ212" i="10" s="1" a="1"/>
  <c r="CJ212" i="10" s="1"/>
  <c r="CL212" i="10"/>
  <c r="CM212" i="10" s="1"/>
  <c r="CN212" i="10" s="1" a="1"/>
  <c r="CN212" i="10" s="1"/>
  <c r="CB168" i="10"/>
  <c r="S168" i="10" s="1"/>
  <c r="CP160" i="10"/>
  <c r="CQ160" i="10" s="1"/>
  <c r="CR160" i="10" s="1" a="1"/>
  <c r="CR160" i="10" s="1"/>
  <c r="BX176" i="10"/>
  <c r="BY176" i="10" s="1"/>
  <c r="CR694" i="10" a="1"/>
  <c r="CR694" i="10" s="1"/>
  <c r="CX694" i="10" s="1"/>
  <c r="Z694" i="10" s="1"/>
  <c r="BV622" i="10" a="1"/>
  <c r="BV622" i="10" s="1"/>
  <c r="CN556" i="10" a="1"/>
  <c r="CN556" i="10" s="1"/>
  <c r="CB430" i="10"/>
  <c r="S430" i="10" s="1"/>
  <c r="CJ403" i="10" a="1"/>
  <c r="CJ403" i="10" s="1"/>
  <c r="CX403" i="10" s="1"/>
  <c r="Z403" i="10" s="1"/>
  <c r="CJ390" i="10" a="1"/>
  <c r="CJ390" i="10" s="1"/>
  <c r="BT383" i="10"/>
  <c r="BU383" i="10" s="1"/>
  <c r="BV383" i="10" s="1" a="1"/>
  <c r="BV383" i="10" s="1"/>
  <c r="BV373" i="10" a="1"/>
  <c r="BV373" i="10" s="1"/>
  <c r="CB377" i="10"/>
  <c r="S377" i="10" s="1"/>
  <c r="BP364" i="10"/>
  <c r="BQ364" i="10" s="1"/>
  <c r="BP333" i="10"/>
  <c r="BQ333" i="10" s="1"/>
  <c r="BR333" i="10" s="1" a="1"/>
  <c r="BR333" i="10" s="1"/>
  <c r="CN322" i="10" a="1"/>
  <c r="CN322" i="10" s="1"/>
  <c r="CW313" i="10" a="1"/>
  <c r="CW313" i="10" s="1"/>
  <c r="CV313" i="10" a="1"/>
  <c r="CV313" i="10" s="1"/>
  <c r="CX285" i="10"/>
  <c r="Z285" i="10" s="1"/>
  <c r="CT267" i="10"/>
  <c r="CU267" i="10" s="1"/>
  <c r="CH267" i="10"/>
  <c r="CI267" i="10" s="1"/>
  <c r="CJ267" i="10" s="1" a="1"/>
  <c r="CJ267" i="10" s="1"/>
  <c r="CW240" i="10" a="1"/>
  <c r="CW240" i="10" s="1"/>
  <c r="CV240" i="10" a="1"/>
  <c r="CV240" i="10" s="1"/>
  <c r="CX240" i="10" s="1"/>
  <c r="Z240" i="10" s="1"/>
  <c r="BT247" i="10"/>
  <c r="BU247" i="10" s="1"/>
  <c r="BT232" i="10"/>
  <c r="BU232" i="10" s="1"/>
  <c r="BV232" i="10" s="1" a="1"/>
  <c r="BV232" i="10" s="1"/>
  <c r="CH208" i="10"/>
  <c r="CI208" i="10" s="1"/>
  <c r="CJ208" i="10" s="1" a="1"/>
  <c r="CJ208" i="10" s="1"/>
  <c r="CL173" i="10"/>
  <c r="CM173" i="10" s="1"/>
  <c r="CN173" i="10" s="1" a="1"/>
  <c r="CN173" i="10" s="1"/>
  <c r="CT196" i="10"/>
  <c r="CU196" i="10" s="1"/>
  <c r="BV161" i="10" a="1"/>
  <c r="BV161" i="10" s="1"/>
  <c r="BL146" i="10"/>
  <c r="BM146" i="10" s="1"/>
  <c r="BN146" i="10" s="1" a="1"/>
  <c r="BN146" i="10" s="1"/>
  <c r="BV143" i="10" a="1"/>
  <c r="BV143" i="10" s="1"/>
  <c r="CB143" i="10" s="1"/>
  <c r="S143" i="10" s="1"/>
  <c r="CL135" i="10"/>
  <c r="CM135" i="10" s="1"/>
  <c r="CN135" i="10" s="1" a="1"/>
  <c r="CN135" i="10" s="1"/>
  <c r="CT128" i="10"/>
  <c r="CU128" i="10" s="1"/>
  <c r="BZ683" i="10" a="1"/>
  <c r="BZ683" i="10" s="1"/>
  <c r="CT595" i="10"/>
  <c r="CU595" i="10" s="1"/>
  <c r="CR588" i="10" a="1"/>
  <c r="CR588" i="10" s="1"/>
  <c r="CX588" i="10" s="1"/>
  <c r="Z588" i="10" s="1"/>
  <c r="CH502" i="10"/>
  <c r="CI502" i="10" s="1"/>
  <c r="CJ502" i="10" s="1" a="1"/>
  <c r="CJ502" i="10" s="1"/>
  <c r="CL389" i="10"/>
  <c r="CM389" i="10" s="1"/>
  <c r="CN389" i="10" s="1" a="1"/>
  <c r="CN389" i="10" s="1"/>
  <c r="CN362" i="10" a="1"/>
  <c r="CN362" i="10" s="1"/>
  <c r="CX362" i="10" s="1"/>
  <c r="Z362" i="10" s="1"/>
  <c r="CX301" i="10"/>
  <c r="Z301" i="10" s="1"/>
  <c r="BZ316" i="10" a="1"/>
  <c r="BZ316" i="10" s="1"/>
  <c r="CA316" i="10" a="1"/>
  <c r="CA316" i="10" s="1"/>
  <c r="CV274" i="10" a="1"/>
  <c r="CV274" i="10" s="1"/>
  <c r="CP294" i="10"/>
  <c r="CQ294" i="10" s="1"/>
  <c r="CR294" i="10" s="1" a="1"/>
  <c r="CR294" i="10" s="1"/>
  <c r="BT269" i="10"/>
  <c r="BU269" i="10" s="1"/>
  <c r="BV269" i="10" s="1" a="1"/>
  <c r="BV269" i="10" s="1"/>
  <c r="BR256" i="10" a="1"/>
  <c r="BR256" i="10" s="1"/>
  <c r="CR225" i="10" a="1"/>
  <c r="CR225" i="10" s="1"/>
  <c r="CH222" i="10"/>
  <c r="CI222" i="10" s="1"/>
  <c r="CJ222" i="10" s="1" a="1"/>
  <c r="CJ222" i="10" s="1"/>
  <c r="BR191" i="10" a="1"/>
  <c r="BR191" i="10" s="1"/>
  <c r="CL149" i="10"/>
  <c r="CM149" i="10" s="1"/>
  <c r="CN149" i="10" s="1" a="1"/>
  <c r="CN149" i="10" s="1"/>
  <c r="CX152" i="10"/>
  <c r="Z152" i="10" s="1"/>
  <c r="BT138" i="10"/>
  <c r="BU138" i="10" s="1"/>
  <c r="BV138" i="10" s="1" a="1"/>
  <c r="BV138" i="10" s="1"/>
  <c r="CH567" i="10"/>
  <c r="CI567" i="10" s="1"/>
  <c r="CJ567" i="10" s="1" a="1"/>
  <c r="CJ567" i="10" s="1"/>
  <c r="CN512" i="10" a="1"/>
  <c r="CN512" i="10" s="1"/>
  <c r="CX512" i="10" s="1"/>
  <c r="Z512" i="10" s="1"/>
  <c r="BR460" i="10" a="1"/>
  <c r="BR460" i="10" s="1"/>
  <c r="CP447" i="10"/>
  <c r="CQ447" i="10" s="1"/>
  <c r="CR447" i="10" s="1" a="1"/>
  <c r="CR447" i="10" s="1"/>
  <c r="CP393" i="10"/>
  <c r="CQ393" i="10" s="1"/>
  <c r="CR393" i="10" s="1" a="1"/>
  <c r="CR393" i="10" s="1"/>
  <c r="CT426" i="10"/>
  <c r="CU426" i="10" s="1"/>
  <c r="CH426" i="10"/>
  <c r="CI426" i="10" s="1"/>
  <c r="CJ426" i="10" s="1" a="1"/>
  <c r="CJ426" i="10" s="1"/>
  <c r="CP426" i="10"/>
  <c r="CQ426" i="10" s="1"/>
  <c r="CR426" i="10" s="1" a="1"/>
  <c r="CR426" i="10" s="1"/>
  <c r="CP365" i="10"/>
  <c r="CQ365" i="10" s="1"/>
  <c r="CR365" i="10" s="1" a="1"/>
  <c r="CR365" i="10" s="1"/>
  <c r="CP359" i="10"/>
  <c r="CQ359" i="10" s="1"/>
  <c r="CR359" i="10" s="1" a="1"/>
  <c r="CR359" i="10" s="1"/>
  <c r="BL345" i="10"/>
  <c r="BM345" i="10" s="1"/>
  <c r="BN345" i="10" s="1" a="1"/>
  <c r="BN345" i="10" s="1"/>
  <c r="BV354" i="10" a="1"/>
  <c r="BV354" i="10" s="1"/>
  <c r="CA321" i="10" a="1"/>
  <c r="CA321" i="10" s="1"/>
  <c r="BZ321" i="10" a="1"/>
  <c r="BZ321" i="10" s="1"/>
  <c r="CW330" i="10" a="1"/>
  <c r="CW330" i="10" s="1"/>
  <c r="CV330" i="10" a="1"/>
  <c r="CV330" i="10" s="1"/>
  <c r="BX309" i="10"/>
  <c r="BY309" i="10" s="1"/>
  <c r="BT257" i="10"/>
  <c r="BU257" i="10" s="1"/>
  <c r="BV257" i="10" s="1" a="1"/>
  <c r="BV257" i="10" s="1"/>
  <c r="CL268" i="10"/>
  <c r="CM268" i="10" s="1"/>
  <c r="CN268" i="10" s="1" a="1"/>
  <c r="CN268" i="10" s="1"/>
  <c r="CW248" i="10" a="1"/>
  <c r="CW248" i="10" s="1"/>
  <c r="CV248" i="10" a="1"/>
  <c r="CV248" i="10" s="1"/>
  <c r="CX248" i="10" s="1"/>
  <c r="Z248" i="10" s="1"/>
  <c r="CW225" i="10" a="1"/>
  <c r="CW225" i="10" s="1"/>
  <c r="CV225" i="10" a="1"/>
  <c r="CV225" i="10" s="1"/>
  <c r="CT230" i="10"/>
  <c r="CU230" i="10" s="1"/>
  <c r="CP230" i="10"/>
  <c r="CQ230" i="10" s="1"/>
  <c r="CR230" i="10" s="1" a="1"/>
  <c r="CR230" i="10" s="1"/>
  <c r="CH230" i="10"/>
  <c r="CI230" i="10" s="1"/>
  <c r="CJ230" i="10" s="1" a="1"/>
  <c r="CJ230" i="10" s="1"/>
  <c r="BX208" i="10"/>
  <c r="BY208" i="10" s="1"/>
  <c r="CN150" i="10" a="1"/>
  <c r="CN150" i="10" s="1"/>
  <c r="CX150" i="10" s="1"/>
  <c r="Z150" i="10" s="1"/>
  <c r="CL156" i="10"/>
  <c r="CM156" i="10" s="1"/>
  <c r="CN156" i="10" s="1" a="1"/>
  <c r="CN156" i="10" s="1"/>
  <c r="CP141" i="10"/>
  <c r="CQ141" i="10" s="1"/>
  <c r="CR141" i="10" s="1" a="1"/>
  <c r="CR141" i="10" s="1"/>
  <c r="CH385" i="10"/>
  <c r="CI385" i="10" s="1"/>
  <c r="CJ385" i="10" s="1" a="1"/>
  <c r="CJ385" i="10" s="1"/>
  <c r="CR147" i="10" a="1"/>
  <c r="CR147" i="10" s="1"/>
  <c r="BL253" i="10"/>
  <c r="BM253" i="10" s="1"/>
  <c r="BN253" i="10" s="1" a="1"/>
  <c r="BN253" i="10" s="1"/>
  <c r="BP125" i="10"/>
  <c r="BQ125" i="10" s="1"/>
  <c r="BR125" i="10" s="1" a="1"/>
  <c r="BR125" i="10" s="1"/>
  <c r="BZ292" i="10" a="1"/>
  <c r="BZ292" i="10" s="1"/>
  <c r="CR327" i="10" a="1"/>
  <c r="CR327" i="10" s="1"/>
  <c r="CX327" i="10" s="1"/>
  <c r="Z327" i="10" s="1"/>
  <c r="AF327" i="10" s="1"/>
  <c r="CV245" i="10" a="1"/>
  <c r="CV245" i="10" s="1"/>
  <c r="CR181" i="10" a="1"/>
  <c r="CR181" i="10" s="1"/>
  <c r="CV408" i="10" a="1"/>
  <c r="CV408" i="10" s="1"/>
  <c r="CN321" i="10" a="1"/>
  <c r="CN321" i="10" s="1"/>
  <c r="CX321" i="10" s="1"/>
  <c r="Z321" i="10" s="1"/>
  <c r="BR180" i="10" a="1"/>
  <c r="BR180" i="10" s="1"/>
  <c r="CB180" i="10" s="1"/>
  <c r="S180" i="10" s="1"/>
  <c r="AF180" i="10" s="1"/>
  <c r="CV405" i="10" a="1"/>
  <c r="CV405" i="10" s="1"/>
  <c r="BN318" i="10" a="1"/>
  <c r="BN318" i="10" s="1"/>
  <c r="CB318" i="10" s="1"/>
  <c r="S318" i="10" s="1"/>
  <c r="AF318" i="10" s="1"/>
  <c r="BR194" i="10" a="1"/>
  <c r="BR194" i="10" s="1"/>
  <c r="CJ167" i="10" a="1"/>
  <c r="CJ167" i="10" s="1"/>
  <c r="CN408" i="10" a="1"/>
  <c r="CN408" i="10" s="1"/>
  <c r="BX386" i="10"/>
  <c r="BY386" i="10" s="1"/>
  <c r="BR321" i="10" a="1"/>
  <c r="BR321" i="10" s="1"/>
  <c r="CV299" i="10" a="1"/>
  <c r="CV299" i="10" s="1"/>
  <c r="BZ161" i="10" a="1"/>
  <c r="BZ161" i="10" s="1"/>
  <c r="BV381" i="10" a="1"/>
  <c r="BV381" i="10" s="1"/>
  <c r="CB381" i="10" s="1"/>
  <c r="S381" i="10" s="1"/>
  <c r="CV388" i="10" a="1"/>
  <c r="CV388" i="10" s="1"/>
  <c r="BZ307" i="10" a="1"/>
  <c r="BZ307" i="10" s="1"/>
  <c r="BV262" i="10" a="1"/>
  <c r="BV262" i="10" s="1"/>
  <c r="CR244" i="10" a="1"/>
  <c r="CR244" i="10" s="1"/>
  <c r="BZ190" i="10" a="1"/>
  <c r="BZ190" i="10" s="1"/>
  <c r="CB811" i="10"/>
  <c r="S811" i="10" s="1"/>
  <c r="CV1002" i="10" a="1"/>
  <c r="CV1002" i="10" s="1"/>
  <c r="CW1002" i="10" a="1"/>
  <c r="CW1002" i="10" s="1"/>
  <c r="CR925" i="10" a="1"/>
  <c r="CR925" i="10" s="1"/>
  <c r="BZ885" i="10" a="1"/>
  <c r="BZ885" i="10" s="1"/>
  <c r="CA885" i="10" a="1"/>
  <c r="CA885" i="10" s="1"/>
  <c r="BR938" i="10" a="1"/>
  <c r="BR938" i="10" s="1"/>
  <c r="BR981" i="10" a="1"/>
  <c r="BR981" i="10" s="1"/>
  <c r="CB981" i="10" s="1"/>
  <c r="S981" i="10" s="1"/>
  <c r="BZ674" i="10" a="1"/>
  <c r="BZ674" i="10" s="1"/>
  <c r="CA674" i="10" a="1"/>
  <c r="CA674" i="10" s="1"/>
  <c r="BZ528" i="10" a="1"/>
  <c r="BZ528" i="10" s="1"/>
  <c r="CB528" i="10" s="1"/>
  <c r="S528" i="10" s="1"/>
  <c r="CA528" i="10" a="1"/>
  <c r="CA528" i="10" s="1"/>
  <c r="CR490" i="10" a="1"/>
  <c r="CR490" i="10" s="1"/>
  <c r="CB708" i="10"/>
  <c r="S708" i="10" s="1"/>
  <c r="AF708" i="10" s="1"/>
  <c r="CP624" i="10"/>
  <c r="CQ624" i="10" s="1"/>
  <c r="CR624" i="10" s="1" a="1"/>
  <c r="CR624" i="10" s="1"/>
  <c r="CH624" i="10"/>
  <c r="CI624" i="10" s="1"/>
  <c r="CJ624" i="10" s="1" a="1"/>
  <c r="CJ624" i="10" s="1"/>
  <c r="CP579" i="10"/>
  <c r="CQ579" i="10" s="1"/>
  <c r="CV579" i="10" s="1" a="1"/>
  <c r="CV579" i="10" s="1"/>
  <c r="CR542" i="10" a="1"/>
  <c r="CR542" i="10" s="1"/>
  <c r="BZ484" i="10" a="1"/>
  <c r="BZ484" i="10" s="1"/>
  <c r="CA484" i="10" a="1"/>
  <c r="CA484" i="10" s="1"/>
  <c r="CW488" i="10" a="1"/>
  <c r="CW488" i="10" s="1"/>
  <c r="CV488" i="10" a="1"/>
  <c r="CV488" i="10" s="1"/>
  <c r="BP709" i="10"/>
  <c r="BQ709" i="10" s="1"/>
  <c r="BR709" i="10" s="1" a="1"/>
  <c r="BR709" i="10" s="1"/>
  <c r="CT748" i="10"/>
  <c r="CU748" i="10" s="1"/>
  <c r="CH748" i="10"/>
  <c r="CI748" i="10" s="1"/>
  <c r="CJ748" i="10" s="1" a="1"/>
  <c r="CJ748" i="10" s="1"/>
  <c r="CN451" i="10" a="1"/>
  <c r="CN451" i="10" s="1"/>
  <c r="CR893" i="10" a="1"/>
  <c r="CR893" i="10" s="1"/>
  <c r="CX893" i="10" s="1"/>
  <c r="Z893" i="10" s="1"/>
  <c r="AF765" i="10"/>
  <c r="BZ731" i="10" a="1"/>
  <c r="BZ731" i="10" s="1"/>
  <c r="CB731" i="10" s="1"/>
  <c r="S731" i="10" s="1"/>
  <c r="CA731" i="10" a="1"/>
  <c r="CA731" i="10" s="1"/>
  <c r="BZ394" i="10" a="1"/>
  <c r="BZ394" i="10" s="1"/>
  <c r="CA394" i="10" a="1"/>
  <c r="CA394" i="10" s="1"/>
  <c r="CN643" i="10" a="1"/>
  <c r="CN643" i="10" s="1"/>
  <c r="CR571" i="10" a="1"/>
  <c r="CR571" i="10" s="1"/>
  <c r="CR188" i="10" a="1"/>
  <c r="CR188" i="10" s="1"/>
  <c r="BR201" i="10" a="1"/>
  <c r="BR201" i="10" s="1"/>
  <c r="CB201" i="10" s="1"/>
  <c r="S201" i="10" s="1"/>
  <c r="CW175" i="10" a="1"/>
  <c r="CW175" i="10" s="1"/>
  <c r="CV175" i="10" a="1"/>
  <c r="CV175" i="10" s="1"/>
  <c r="BR375" i="10" a="1"/>
  <c r="BR375" i="10" s="1"/>
  <c r="CW191" i="10" a="1"/>
  <c r="CW191" i="10" s="1"/>
  <c r="CV191" i="10" a="1"/>
  <c r="CV191" i="10" s="1"/>
  <c r="CR142" i="10" a="1"/>
  <c r="CR142" i="10" s="1"/>
  <c r="CX142" i="10" s="1"/>
  <c r="Z142" i="10" s="1"/>
  <c r="CV176" i="10" a="1"/>
  <c r="CV176" i="10" s="1"/>
  <c r="CX176" i="10" s="1"/>
  <c r="Z176" i="10" s="1"/>
  <c r="CW176" i="10" a="1"/>
  <c r="CW176" i="10" s="1"/>
  <c r="CB382" i="10"/>
  <c r="S382" i="10" s="1"/>
  <c r="CP657" i="10"/>
  <c r="CQ657" i="10" s="1"/>
  <c r="CR657" i="10" s="1" a="1"/>
  <c r="CR657" i="10" s="1"/>
  <c r="BV215" i="10" a="1"/>
  <c r="BV215" i="10" s="1"/>
  <c r="BL263" i="10"/>
  <c r="BM263" i="10" s="1"/>
  <c r="BN263" i="10" s="1" a="1"/>
  <c r="BN263" i="10" s="1"/>
  <c r="BZ1022" i="10" a="1"/>
  <c r="BZ1022" i="10" s="1"/>
  <c r="CA1022" i="10" a="1"/>
  <c r="CA1022" i="10" s="1"/>
  <c r="CV931" i="10" a="1"/>
  <c r="CV931" i="10" s="1"/>
  <c r="CX931" i="10" s="1"/>
  <c r="Z931" i="10" s="1"/>
  <c r="CW931" i="10" a="1"/>
  <c r="CW931" i="10" s="1"/>
  <c r="BZ889" i="10" a="1"/>
  <c r="BZ889" i="10" s="1"/>
  <c r="CA889" i="10" a="1"/>
  <c r="CA889" i="10" s="1"/>
  <c r="CW699" i="10" a="1"/>
  <c r="CW699" i="10" s="1"/>
  <c r="CV699" i="10" a="1"/>
  <c r="CV699" i="10" s="1"/>
  <c r="CL958" i="10"/>
  <c r="CM958" i="10" s="1"/>
  <c r="CN958" i="10" s="1" a="1"/>
  <c r="CN958" i="10" s="1"/>
  <c r="CN906" i="10" a="1"/>
  <c r="CN906" i="10" s="1"/>
  <c r="BV714" i="10" a="1"/>
  <c r="BV714" i="10" s="1"/>
  <c r="CN794" i="10" a="1"/>
  <c r="CN794" i="10" s="1"/>
  <c r="CA907" i="10" a="1"/>
  <c r="CA907" i="10" s="1"/>
  <c r="BZ907" i="10" a="1"/>
  <c r="BZ907" i="10" s="1"/>
  <c r="BZ807" i="10" a="1"/>
  <c r="BZ807" i="10" s="1"/>
  <c r="CA807" i="10" a="1"/>
  <c r="CA807" i="10" s="1"/>
  <c r="CX840" i="10"/>
  <c r="Z840" i="10" s="1"/>
  <c r="CX779" i="10"/>
  <c r="Z779" i="10" s="1"/>
  <c r="CX983" i="10"/>
  <c r="Z983" i="10" s="1"/>
  <c r="BV984" i="10" a="1"/>
  <c r="BV984" i="10" s="1"/>
  <c r="CA978" i="10" a="1"/>
  <c r="CA978" i="10" s="1"/>
  <c r="BZ978" i="10" a="1"/>
  <c r="BZ978" i="10" s="1"/>
  <c r="CB970" i="10"/>
  <c r="S970" i="10" s="1"/>
  <c r="CR1017" i="10" a="1"/>
  <c r="CR1017" i="10" s="1"/>
  <c r="CN981" i="10" a="1"/>
  <c r="CN981" i="10" s="1"/>
  <c r="CX981" i="10" s="1"/>
  <c r="Z981" i="10" s="1"/>
  <c r="CV947" i="10" a="1"/>
  <c r="CV947" i="10" s="1"/>
  <c r="CW947" i="10" a="1"/>
  <c r="CW947" i="10" s="1"/>
  <c r="CA944" i="10" a="1"/>
  <c r="CA944" i="10" s="1"/>
  <c r="BZ944" i="10" a="1"/>
  <c r="BZ944" i="10" s="1"/>
  <c r="CB944" i="10" s="1"/>
  <c r="S944" i="10" s="1"/>
  <c r="CH871" i="10"/>
  <c r="CI871" i="10" s="1"/>
  <c r="CJ871" i="10" s="1" a="1"/>
  <c r="CJ871" i="10" s="1"/>
  <c r="CN821" i="10" a="1"/>
  <c r="CN821" i="10" s="1"/>
  <c r="BZ791" i="10" a="1"/>
  <c r="BZ791" i="10" s="1"/>
  <c r="CA791" i="10" a="1"/>
  <c r="CA791" i="10" s="1"/>
  <c r="CT855" i="10"/>
  <c r="CU855" i="10" s="1"/>
  <c r="CR725" i="10" a="1"/>
  <c r="CR725" i="10" s="1"/>
  <c r="CX725" i="10" s="1"/>
  <c r="Z725" i="10" s="1"/>
  <c r="BR992" i="10" a="1"/>
  <c r="BR992" i="10" s="1"/>
  <c r="BX1018" i="10"/>
  <c r="BY1018" i="10" s="1"/>
  <c r="CV963" i="10" a="1"/>
  <c r="CV963" i="10" s="1"/>
  <c r="CW963" i="10" a="1"/>
  <c r="CW963" i="10" s="1"/>
  <c r="CX976" i="10"/>
  <c r="Z976" i="10" s="1"/>
  <c r="AF976" i="10" s="1"/>
  <c r="BR994" i="10" a="1"/>
  <c r="BR994" i="10" s="1"/>
  <c r="CB994" i="10" s="1"/>
  <c r="S994" i="10" s="1"/>
  <c r="CV965" i="10" a="1"/>
  <c r="CV965" i="10" s="1"/>
  <c r="CW965" i="10" a="1"/>
  <c r="CW965" i="10" s="1"/>
  <c r="CN948" i="10" a="1"/>
  <c r="CN948" i="10" s="1"/>
  <c r="CV857" i="10" a="1"/>
  <c r="CV857" i="10" s="1"/>
  <c r="CW857" i="10" a="1"/>
  <c r="CW857" i="10" s="1"/>
  <c r="CP944" i="10"/>
  <c r="CQ944" i="10" s="1"/>
  <c r="CR944" i="10" s="1" a="1"/>
  <c r="CR944" i="10" s="1"/>
  <c r="BL872" i="10"/>
  <c r="BM872" i="10" s="1"/>
  <c r="BN872" i="10" s="1" a="1"/>
  <c r="BN872" i="10" s="1"/>
  <c r="BP895" i="10"/>
  <c r="BQ895" i="10" s="1"/>
  <c r="BR895" i="10" s="1" a="1"/>
  <c r="BR895" i="10" s="1"/>
  <c r="CV884" i="10" a="1"/>
  <c r="CV884" i="10" s="1"/>
  <c r="CW884" i="10" a="1"/>
  <c r="CW884" i="10" s="1"/>
  <c r="CA855" i="10" a="1"/>
  <c r="CA855" i="10" s="1"/>
  <c r="BZ855" i="10" a="1"/>
  <c r="BZ855" i="10" s="1"/>
  <c r="CA775" i="10" a="1"/>
  <c r="CA775" i="10" s="1"/>
  <c r="BZ775" i="10" a="1"/>
  <c r="BZ775" i="10" s="1"/>
  <c r="CT750" i="10"/>
  <c r="CU750" i="10" s="1"/>
  <c r="CT816" i="10"/>
  <c r="CU816" i="10" s="1"/>
  <c r="CN697" i="10" a="1"/>
  <c r="CN697" i="10" s="1"/>
  <c r="CX982" i="10"/>
  <c r="Z982" i="10" s="1"/>
  <c r="CN986" i="10" a="1"/>
  <c r="CN986" i="10" s="1"/>
  <c r="CX986" i="10" s="1"/>
  <c r="Z986" i="10" s="1"/>
  <c r="BZ1007" i="10" a="1"/>
  <c r="BZ1007" i="10" s="1"/>
  <c r="CA1007" i="10" a="1"/>
  <c r="CA1007" i="10" s="1"/>
  <c r="CB934" i="10"/>
  <c r="S934" i="10" s="1"/>
  <c r="BT957" i="10"/>
  <c r="BU957" i="10" s="1"/>
  <c r="CT940" i="10"/>
  <c r="CU940" i="10" s="1"/>
  <c r="CN907" i="10" a="1"/>
  <c r="CN907" i="10" s="1"/>
  <c r="CL936" i="10"/>
  <c r="CM936" i="10" s="1"/>
  <c r="CN936" i="10" s="1" a="1"/>
  <c r="CN936" i="10" s="1"/>
  <c r="CV879" i="10" a="1"/>
  <c r="CV879" i="10" s="1"/>
  <c r="CW879" i="10" a="1"/>
  <c r="CW879" i="10" s="1"/>
  <c r="CL937" i="10"/>
  <c r="CM937" i="10" s="1"/>
  <c r="CN937" i="10" s="1" a="1"/>
  <c r="CN937" i="10" s="1"/>
  <c r="CN913" i="10" a="1"/>
  <c r="CN913" i="10" s="1"/>
  <c r="CX913" i="10" s="1"/>
  <c r="Z913" i="10" s="1"/>
  <c r="BR900" i="10" a="1"/>
  <c r="BR900" i="10" s="1"/>
  <c r="CB900" i="10" s="1"/>
  <c r="S900" i="10" s="1"/>
  <c r="CW885" i="10" a="1"/>
  <c r="CW885" i="10" s="1"/>
  <c r="CV885" i="10" a="1"/>
  <c r="CV885" i="10" s="1"/>
  <c r="CW872" i="10" a="1"/>
  <c r="CW872" i="10" s="1"/>
  <c r="CV872" i="10" a="1"/>
  <c r="CV872" i="10" s="1"/>
  <c r="CN807" i="10" a="1"/>
  <c r="CN807" i="10" s="1"/>
  <c r="CX807" i="10" s="1"/>
  <c r="Z807" i="10" s="1"/>
  <c r="BX801" i="10"/>
  <c r="BY801" i="10" s="1"/>
  <c r="BP750" i="10"/>
  <c r="BQ750" i="10" s="1"/>
  <c r="BR750" i="10" s="1" a="1"/>
  <c r="BR750" i="10" s="1"/>
  <c r="CX707" i="10"/>
  <c r="Z707" i="10" s="1"/>
  <c r="AF749" i="10"/>
  <c r="AF850" i="10"/>
  <c r="CA739" i="10" a="1"/>
  <c r="CA739" i="10" s="1"/>
  <c r="BZ739" i="10" a="1"/>
  <c r="BZ739" i="10" s="1"/>
  <c r="BT753" i="10"/>
  <c r="BU753" i="10" s="1"/>
  <c r="BV753" i="10" s="1" a="1"/>
  <c r="BV753" i="10" s="1"/>
  <c r="BV757" i="10" a="1"/>
  <c r="BV757" i="10" s="1"/>
  <c r="BR674" i="10" a="1"/>
  <c r="BR674" i="10" s="1"/>
  <c r="BZ692" i="10" a="1"/>
  <c r="BZ692" i="10" s="1"/>
  <c r="CA692" i="10" a="1"/>
  <c r="CA692" i="10" s="1"/>
  <c r="CA696" i="10" a="1"/>
  <c r="CA696" i="10" s="1"/>
  <c r="BZ696" i="10" a="1"/>
  <c r="BZ696" i="10" s="1"/>
  <c r="CA643" i="10" a="1"/>
  <c r="CA643" i="10" s="1"/>
  <c r="BZ643" i="10" a="1"/>
  <c r="BZ643" i="10" s="1"/>
  <c r="CH625" i="10"/>
  <c r="CI625" i="10" s="1"/>
  <c r="CJ625" i="10" s="1" a="1"/>
  <c r="CJ625" i="10" s="1"/>
  <c r="CP625" i="10"/>
  <c r="CQ625" i="10" s="1"/>
  <c r="CR625" i="10" s="1" a="1"/>
  <c r="CR625" i="10" s="1"/>
  <c r="BR522" i="10" a="1"/>
  <c r="BR522" i="10" s="1"/>
  <c r="CH483" i="10"/>
  <c r="CI483" i="10" s="1"/>
  <c r="CJ483" i="10" s="1" a="1"/>
  <c r="CJ483" i="10" s="1"/>
  <c r="BV897" i="10" a="1"/>
  <c r="BV897" i="10" s="1"/>
  <c r="CN832" i="10" a="1"/>
  <c r="CN832" i="10" s="1"/>
  <c r="CX832" i="10" s="1"/>
  <c r="Z832" i="10" s="1"/>
  <c r="BZ898" i="10" a="1"/>
  <c r="BZ898" i="10" s="1"/>
  <c r="CB898" i="10" s="1"/>
  <c r="S898" i="10" s="1"/>
  <c r="AF898" i="10" s="1"/>
  <c r="CN678" i="10" a="1"/>
  <c r="CN678" i="10" s="1"/>
  <c r="CX678" i="10" s="1"/>
  <c r="Z678" i="10" s="1"/>
  <c r="BR672" i="10" a="1"/>
  <c r="BR672" i="10" s="1"/>
  <c r="CN695" i="10" a="1"/>
  <c r="CN695" i="10" s="1"/>
  <c r="CV606" i="10" a="1"/>
  <c r="CV606" i="10" s="1"/>
  <c r="CW606" i="10" a="1"/>
  <c r="CW606" i="10" s="1"/>
  <c r="CT620" i="10"/>
  <c r="CU620" i="10" s="1"/>
  <c r="BP557" i="10"/>
  <c r="BQ557" i="10" s="1"/>
  <c r="BR557" i="10" s="1" a="1"/>
  <c r="BR557" i="10" s="1"/>
  <c r="BZ508" i="10" a="1"/>
  <c r="BZ508" i="10" s="1"/>
  <c r="CA508" i="10" a="1"/>
  <c r="CA508" i="10" s="1"/>
  <c r="CW522" i="10" a="1"/>
  <c r="CW522" i="10" s="1"/>
  <c r="CV522" i="10" a="1"/>
  <c r="CV522" i="10" s="1"/>
  <c r="BZ984" i="10" a="1"/>
  <c r="BZ984" i="10" s="1"/>
  <c r="BZ977" i="10" a="1"/>
  <c r="BZ977" i="10" s="1"/>
  <c r="CB977" i="10" s="1"/>
  <c r="S977" i="10" s="1"/>
  <c r="CN955" i="10" a="1"/>
  <c r="CN955" i="10" s="1"/>
  <c r="BZ901" i="10" a="1"/>
  <c r="BZ901" i="10" s="1"/>
  <c r="CB901" i="10" s="1"/>
  <c r="S901" i="10" s="1"/>
  <c r="CN856" i="10" a="1"/>
  <c r="CN856" i="10" s="1"/>
  <c r="CX856" i="10" s="1"/>
  <c r="Z856" i="10" s="1"/>
  <c r="BR699" i="10" a="1"/>
  <c r="BR699" i="10" s="1"/>
  <c r="BZ802" i="10" a="1"/>
  <c r="BZ802" i="10" s="1"/>
  <c r="CN688" i="10" a="1"/>
  <c r="CN688" i="10" s="1"/>
  <c r="CB622" i="10"/>
  <c r="S622" i="10" s="1"/>
  <c r="BL656" i="10"/>
  <c r="BM656" i="10" s="1"/>
  <c r="BN656" i="10" s="1" a="1"/>
  <c r="BN656" i="10" s="1"/>
  <c r="BT656" i="10"/>
  <c r="BU656" i="10" s="1"/>
  <c r="BV656" i="10" s="1" a="1"/>
  <c r="BV656" i="10" s="1"/>
  <c r="BX656" i="10"/>
  <c r="BY656" i="10" s="1"/>
  <c r="BP656" i="10"/>
  <c r="BQ656" i="10" s="1"/>
  <c r="BR656" i="10" s="1" a="1"/>
  <c r="BR656" i="10" s="1"/>
  <c r="BP605" i="10"/>
  <c r="BQ605" i="10" s="1"/>
  <c r="BR605" i="10" s="1" a="1"/>
  <c r="BR605" i="10" s="1"/>
  <c r="CL579" i="10"/>
  <c r="CM579" i="10" s="1"/>
  <c r="CN579" i="10" s="1" a="1"/>
  <c r="CN579" i="10" s="1"/>
  <c r="CR523" i="10" a="1"/>
  <c r="CR523" i="10" s="1"/>
  <c r="BR1004" i="10" a="1"/>
  <c r="BR1004" i="10" s="1"/>
  <c r="CV977" i="10" a="1"/>
  <c r="CV977" i="10" s="1"/>
  <c r="CX977" i="10" s="1"/>
  <c r="Z977" i="10" s="1"/>
  <c r="CR844" i="10" a="1"/>
  <c r="CR844" i="10" s="1"/>
  <c r="CX844" i="10" s="1"/>
  <c r="Z844" i="10" s="1"/>
  <c r="CV785" i="10" a="1"/>
  <c r="CV785" i="10" s="1"/>
  <c r="CX785" i="10" s="1"/>
  <c r="Z785" i="10" s="1"/>
  <c r="CP744" i="10"/>
  <c r="CQ744" i="10" s="1"/>
  <c r="CR744" i="10" s="1" a="1"/>
  <c r="CR744" i="10" s="1"/>
  <c r="CN568" i="10" a="1"/>
  <c r="CN568" i="10" s="1"/>
  <c r="BX620" i="10"/>
  <c r="BY620" i="10" s="1"/>
  <c r="BT620" i="10"/>
  <c r="BU620" i="10" s="1"/>
  <c r="BV620" i="10" s="1" a="1"/>
  <c r="BV620" i="10" s="1"/>
  <c r="BL620" i="10"/>
  <c r="BM620" i="10" s="1"/>
  <c r="BN620" i="10" s="1" a="1"/>
  <c r="BN620" i="10" s="1"/>
  <c r="BP620" i="10"/>
  <c r="BQ620" i="10" s="1"/>
  <c r="CN596" i="10" a="1"/>
  <c r="CN596" i="10" s="1"/>
  <c r="CX596" i="10" s="1"/>
  <c r="Z596" i="10" s="1"/>
  <c r="CP600" i="10"/>
  <c r="CQ600" i="10" s="1"/>
  <c r="CR600" i="10" s="1" a="1"/>
  <c r="CR600" i="10" s="1"/>
  <c r="CH600" i="10"/>
  <c r="CI600" i="10" s="1"/>
  <c r="CJ600" i="10" s="1" a="1"/>
  <c r="CJ600" i="10" s="1"/>
  <c r="BL584" i="10"/>
  <c r="BM584" i="10" s="1"/>
  <c r="BN584" i="10" s="1" a="1"/>
  <c r="BN584" i="10" s="1"/>
  <c r="BP545" i="10"/>
  <c r="BQ545" i="10" s="1"/>
  <c r="BR545" i="10" s="1" a="1"/>
  <c r="BR545" i="10" s="1"/>
  <c r="CA541" i="10" a="1"/>
  <c r="CA541" i="10" s="1"/>
  <c r="BP449" i="10"/>
  <c r="BQ449" i="10" s="1"/>
  <c r="BR449" i="10" s="1" a="1"/>
  <c r="BR449" i="10" s="1"/>
  <c r="CB493" i="10"/>
  <c r="S493" i="10" s="1"/>
  <c r="CV955" i="10" a="1"/>
  <c r="CV955" i="10" s="1"/>
  <c r="CX703" i="10"/>
  <c r="Z703" i="10" s="1"/>
  <c r="CX771" i="10"/>
  <c r="Z771" i="10" s="1"/>
  <c r="BR690" i="10" a="1"/>
  <c r="BR690" i="10" s="1"/>
  <c r="CB690" i="10" s="1"/>
  <c r="S690" i="10" s="1"/>
  <c r="AF690" i="10" s="1"/>
  <c r="BX677" i="10"/>
  <c r="BY677" i="10" s="1"/>
  <c r="CH684" i="10"/>
  <c r="CI684" i="10" s="1"/>
  <c r="CJ684" i="10" s="1" a="1"/>
  <c r="CJ684" i="10" s="1"/>
  <c r="CT684" i="10"/>
  <c r="CU684" i="10" s="1"/>
  <c r="CP684" i="10"/>
  <c r="CQ684" i="10" s="1"/>
  <c r="CR684" i="10" s="1" a="1"/>
  <c r="CR684" i="10" s="1"/>
  <c r="CB615" i="10"/>
  <c r="S615" i="10" s="1"/>
  <c r="BZ627" i="10" a="1"/>
  <c r="BZ627" i="10" s="1"/>
  <c r="CA627" i="10" a="1"/>
  <c r="CA627" i="10" s="1"/>
  <c r="CV644" i="10" a="1"/>
  <c r="CV644" i="10" s="1"/>
  <c r="CW644" i="10" a="1"/>
  <c r="CW644" i="10" s="1"/>
  <c r="BR599" i="10" a="1"/>
  <c r="BR599" i="10" s="1"/>
  <c r="CA579" i="10" a="1"/>
  <c r="CA579" i="10" s="1"/>
  <c r="BZ579" i="10" a="1"/>
  <c r="BZ579" i="10" s="1"/>
  <c r="BT461" i="10"/>
  <c r="BU461" i="10" s="1"/>
  <c r="BV461" i="10" s="1" a="1"/>
  <c r="BV461" i="10" s="1"/>
  <c r="CV497" i="10" a="1"/>
  <c r="CV497" i="10" s="1"/>
  <c r="CW497" i="10" a="1"/>
  <c r="CW497" i="10" s="1"/>
  <c r="BP465" i="10"/>
  <c r="BQ465" i="10" s="1"/>
  <c r="BR465" i="10" s="1" a="1"/>
  <c r="BR465" i="10" s="1"/>
  <c r="CV464" i="10" a="1"/>
  <c r="CV464" i="10" s="1"/>
  <c r="CW464" i="10" a="1"/>
  <c r="CW464" i="10" s="1"/>
  <c r="CH449" i="10"/>
  <c r="CI449" i="10" s="1"/>
  <c r="CJ449" i="10" s="1" a="1"/>
  <c r="CJ449" i="10" s="1"/>
  <c r="CP449" i="10"/>
  <c r="CQ449" i="10" s="1"/>
  <c r="CR449" i="10" s="1" a="1"/>
  <c r="CR449" i="10" s="1"/>
  <c r="CH940" i="10"/>
  <c r="CI940" i="10" s="1"/>
  <c r="CJ940" i="10" s="1" a="1"/>
  <c r="CJ940" i="10" s="1"/>
  <c r="BZ764" i="10" a="1"/>
  <c r="BZ764" i="10" s="1"/>
  <c r="CB764" i="10" s="1"/>
  <c r="S764" i="10" s="1"/>
  <c r="BT721" i="10"/>
  <c r="BU721" i="10" s="1"/>
  <c r="BV721" i="10" s="1" a="1"/>
  <c r="BV721" i="10" s="1"/>
  <c r="CV781" i="10" a="1"/>
  <c r="CV781" i="10" s="1"/>
  <c r="CW781" i="10" a="1"/>
  <c r="CW781" i="10" s="1"/>
  <c r="CA733" i="10" a="1"/>
  <c r="CA733" i="10" s="1"/>
  <c r="BZ733" i="10" a="1"/>
  <c r="BZ733" i="10" s="1"/>
  <c r="CN711" i="10" a="1"/>
  <c r="CN711" i="10" s="1"/>
  <c r="CX711" i="10" s="1"/>
  <c r="Z711" i="10" s="1"/>
  <c r="CA737" i="10" a="1"/>
  <c r="CA737" i="10" s="1"/>
  <c r="BZ737" i="10" a="1"/>
  <c r="BZ737" i="10" s="1"/>
  <c r="CW583" i="10" a="1"/>
  <c r="CW583" i="10" s="1"/>
  <c r="CV583" i="10" a="1"/>
  <c r="CV583" i="10" s="1"/>
  <c r="CB556" i="10"/>
  <c r="S556" i="10" s="1"/>
  <c r="CA566" i="10" a="1"/>
  <c r="CA566" i="10" s="1"/>
  <c r="BZ566" i="10" a="1"/>
  <c r="BZ566" i="10" s="1"/>
  <c r="CT541" i="10"/>
  <c r="CU541" i="10" s="1"/>
  <c r="CW474" i="10" a="1"/>
  <c r="CW474" i="10" s="1"/>
  <c r="CV474" i="10" a="1"/>
  <c r="CV474" i="10" s="1"/>
  <c r="CL437" i="10"/>
  <c r="CM437" i="10" s="1"/>
  <c r="CN437" i="10" s="1" a="1"/>
  <c r="CN437" i="10" s="1"/>
  <c r="CH437" i="10"/>
  <c r="CI437" i="10" s="1"/>
  <c r="CJ437" i="10" s="1" a="1"/>
  <c r="CJ437" i="10" s="1"/>
  <c r="CP437" i="10"/>
  <c r="CQ437" i="10" s="1"/>
  <c r="CR987" i="10" a="1"/>
  <c r="CR987" i="10" s="1"/>
  <c r="CR939" i="10" a="1"/>
  <c r="CR939" i="10" s="1"/>
  <c r="CX939" i="10" s="1"/>
  <c r="Z939" i="10" s="1"/>
  <c r="BT793" i="10"/>
  <c r="BU793" i="10" s="1"/>
  <c r="BV793" i="10" s="1" a="1"/>
  <c r="BV793" i="10" s="1"/>
  <c r="BX721" i="10"/>
  <c r="BY721" i="10" s="1"/>
  <c r="CW665" i="10" a="1"/>
  <c r="CW665" i="10" s="1"/>
  <c r="CV665" i="10" a="1"/>
  <c r="CV665" i="10" s="1"/>
  <c r="CX665" i="10" s="1"/>
  <c r="Z665" i="10" s="1"/>
  <c r="BR722" i="10" a="1"/>
  <c r="BR722" i="10" s="1"/>
  <c r="CB722" i="10" s="1"/>
  <c r="S722" i="10" s="1"/>
  <c r="CX731" i="10"/>
  <c r="Z731" i="10" s="1"/>
  <c r="BR594" i="10" a="1"/>
  <c r="BR594" i="10" s="1"/>
  <c r="BV594" i="10" a="1"/>
  <c r="BV594" i="10" s="1"/>
  <c r="CW661" i="10" a="1"/>
  <c r="CW661" i="10" s="1"/>
  <c r="CV661" i="10" a="1"/>
  <c r="CV661" i="10" s="1"/>
  <c r="BZ619" i="10" a="1"/>
  <c r="BZ619" i="10" s="1"/>
  <c r="CA619" i="10" a="1"/>
  <c r="CA619" i="10" s="1"/>
  <c r="BR603" i="10" a="1"/>
  <c r="BR603" i="10" s="1"/>
  <c r="CB603" i="10" s="1"/>
  <c r="S603" i="10" s="1"/>
  <c r="CV564" i="10" a="1"/>
  <c r="CV564" i="10" s="1"/>
  <c r="CW564" i="10" a="1"/>
  <c r="CW564" i="10" s="1"/>
  <c r="CT569" i="10"/>
  <c r="CU569" i="10" s="1"/>
  <c r="CA529" i="10" a="1"/>
  <c r="CA529" i="10" s="1"/>
  <c r="BZ529" i="10" a="1"/>
  <c r="BZ529" i="10" s="1"/>
  <c r="CB529" i="10" s="1"/>
  <c r="S529" i="10" s="1"/>
  <c r="BT538" i="10"/>
  <c r="BU538" i="10" s="1"/>
  <c r="BV538" i="10" s="1" a="1"/>
  <c r="BV538" i="10" s="1"/>
  <c r="CT478" i="10"/>
  <c r="CU478" i="10" s="1"/>
  <c r="CN494" i="10" a="1"/>
  <c r="CN494" i="10" s="1"/>
  <c r="CH758" i="10"/>
  <c r="CI758" i="10" s="1"/>
  <c r="CJ758" i="10" s="1" a="1"/>
  <c r="CJ758" i="10" s="1"/>
  <c r="CB748" i="10"/>
  <c r="S748" i="10" s="1"/>
  <c r="BP693" i="10"/>
  <c r="BQ693" i="10" s="1"/>
  <c r="BR693" i="10" s="1" a="1"/>
  <c r="BR693" i="10" s="1"/>
  <c r="CV726" i="10" a="1"/>
  <c r="CV726" i="10" s="1"/>
  <c r="CW726" i="10" a="1"/>
  <c r="CW726" i="10" s="1"/>
  <c r="CX673" i="10"/>
  <c r="Z673" i="10" s="1"/>
  <c r="BL592" i="10"/>
  <c r="BM592" i="10" s="1"/>
  <c r="BN592" i="10" s="1" a="1"/>
  <c r="BN592" i="10" s="1"/>
  <c r="BL580" i="10"/>
  <c r="BM580" i="10" s="1"/>
  <c r="BN580" i="10" s="1" a="1"/>
  <c r="BN580" i="10" s="1"/>
  <c r="CV610" i="10" a="1"/>
  <c r="CV610" i="10" s="1"/>
  <c r="CW610" i="10" a="1"/>
  <c r="CW610" i="10" s="1"/>
  <c r="CA585" i="10" a="1"/>
  <c r="CA585" i="10" s="1"/>
  <c r="BZ585" i="10" a="1"/>
  <c r="BZ585" i="10" s="1"/>
  <c r="CR614" i="10" a="1"/>
  <c r="CR614" i="10" s="1"/>
  <c r="CX614" i="10" s="1"/>
  <c r="Z614" i="10" s="1"/>
  <c r="CH647" i="10"/>
  <c r="CI647" i="10" s="1"/>
  <c r="CJ647" i="10" s="1" a="1"/>
  <c r="CJ647" i="10" s="1"/>
  <c r="CT647" i="10"/>
  <c r="CU647" i="10" s="1"/>
  <c r="CP647" i="10"/>
  <c r="CQ647" i="10" s="1"/>
  <c r="CR647" i="10" s="1" a="1"/>
  <c r="CR647" i="10" s="1"/>
  <c r="BP617" i="10"/>
  <c r="BQ617" i="10" s="1"/>
  <c r="BR617" i="10" s="1" a="1"/>
  <c r="BR617" i="10" s="1"/>
  <c r="CH645" i="10"/>
  <c r="CI645" i="10" s="1"/>
  <c r="CJ645" i="10" s="1" a="1"/>
  <c r="CJ645" i="10" s="1"/>
  <c r="CP645" i="10"/>
  <c r="CQ645" i="10" s="1"/>
  <c r="CR645" i="10" s="1" a="1"/>
  <c r="CR645" i="10" s="1"/>
  <c r="BP572" i="10"/>
  <c r="BQ572" i="10" s="1"/>
  <c r="BR572" i="10" s="1" a="1"/>
  <c r="BR572" i="10" s="1"/>
  <c r="CL555" i="10"/>
  <c r="CM555" i="10" s="1"/>
  <c r="CN555" i="10" s="1" a="1"/>
  <c r="CN555" i="10" s="1"/>
  <c r="CB519" i="10"/>
  <c r="S519" i="10" s="1"/>
  <c r="AF519" i="10" s="1"/>
  <c r="BV504" i="10" a="1"/>
  <c r="BV504" i="10" s="1"/>
  <c r="CB504" i="10" s="1"/>
  <c r="S504" i="10" s="1"/>
  <c r="CP485" i="10"/>
  <c r="CQ485" i="10" s="1"/>
  <c r="BX487" i="10"/>
  <c r="BY487" i="10" s="1"/>
  <c r="CP486" i="10"/>
  <c r="CQ486" i="10" s="1"/>
  <c r="CR486" i="10" s="1" a="1"/>
  <c r="CR486" i="10" s="1"/>
  <c r="CX434" i="10"/>
  <c r="Z434" i="10" s="1"/>
  <c r="CV524" i="10" a="1"/>
  <c r="CV524" i="10" s="1"/>
  <c r="BP419" i="10"/>
  <c r="BQ419" i="10" s="1"/>
  <c r="BR419" i="10" s="1" a="1"/>
  <c r="BR419" i="10" s="1"/>
  <c r="CW390" i="10" a="1"/>
  <c r="CW390" i="10" s="1"/>
  <c r="CV390" i="10" a="1"/>
  <c r="CV390" i="10" s="1"/>
  <c r="CR406" i="10" a="1"/>
  <c r="CR406" i="10" s="1"/>
  <c r="BZ359" i="10" a="1"/>
  <c r="BZ359" i="10" s="1"/>
  <c r="CA359" i="10" a="1"/>
  <c r="CA359" i="10" s="1"/>
  <c r="BZ354" i="10" a="1"/>
  <c r="BZ354" i="10" s="1"/>
  <c r="CA354" i="10" a="1"/>
  <c r="CA354" i="10" s="1"/>
  <c r="CB321" i="10"/>
  <c r="S321" i="10" s="1"/>
  <c r="CV292" i="10" a="1"/>
  <c r="CV292" i="10" s="1"/>
  <c r="CW292" i="10" a="1"/>
  <c r="CW292" i="10" s="1"/>
  <c r="CB300" i="10"/>
  <c r="S300" i="10" s="1"/>
  <c r="CW252" i="10" a="1"/>
  <c r="CW252" i="10" s="1"/>
  <c r="CV252" i="10" a="1"/>
  <c r="CV252" i="10" s="1"/>
  <c r="CA265" i="10" a="1"/>
  <c r="CA265" i="10" s="1"/>
  <c r="BZ265" i="10" a="1"/>
  <c r="BZ265" i="10" s="1"/>
  <c r="CT253" i="10"/>
  <c r="CU253" i="10" s="1"/>
  <c r="BP224" i="10"/>
  <c r="BQ224" i="10" s="1"/>
  <c r="BR224" i="10" s="1" a="1"/>
  <c r="BR224" i="10" s="1"/>
  <c r="CT124" i="10"/>
  <c r="CU124" i="10" s="1"/>
  <c r="CN723" i="10" a="1"/>
  <c r="CN723" i="10" s="1"/>
  <c r="BR627" i="10" a="1"/>
  <c r="BR627" i="10" s="1"/>
  <c r="CV554" i="10" a="1"/>
  <c r="CV554" i="10" s="1"/>
  <c r="CX554" i="10" s="1"/>
  <c r="Z554" i="10" s="1"/>
  <c r="AF554" i="10" s="1"/>
  <c r="CL423" i="10"/>
  <c r="CM423" i="10" s="1"/>
  <c r="BP391" i="10"/>
  <c r="BQ391" i="10" s="1"/>
  <c r="BR391" i="10" s="1" a="1"/>
  <c r="BR391" i="10" s="1"/>
  <c r="BX391" i="10"/>
  <c r="BY391" i="10" s="1"/>
  <c r="CT357" i="10"/>
  <c r="CU357" i="10" s="1"/>
  <c r="BZ413" i="10" a="1"/>
  <c r="BZ413" i="10" s="1"/>
  <c r="CB413" i="10" s="1"/>
  <c r="S413" i="10" s="1"/>
  <c r="CA413" i="10" a="1"/>
  <c r="CA413" i="10" s="1"/>
  <c r="BZ357" i="10" a="1"/>
  <c r="BZ357" i="10" s="1"/>
  <c r="CA357" i="10" a="1"/>
  <c r="CA357" i="10" s="1"/>
  <c r="CP343" i="10"/>
  <c r="CQ343" i="10" s="1"/>
  <c r="CR343" i="10" s="1" a="1"/>
  <c r="CR343" i="10" s="1"/>
  <c r="BZ229" i="10" a="1"/>
  <c r="BZ229" i="10" s="1"/>
  <c r="CA229" i="10" a="1"/>
  <c r="CA229" i="10" s="1"/>
  <c r="CP203" i="10"/>
  <c r="CQ203" i="10" s="1"/>
  <c r="CR203" i="10" s="1" a="1"/>
  <c r="CR203" i="10" s="1"/>
  <c r="CA200" i="10" a="1"/>
  <c r="CA200" i="10" s="1"/>
  <c r="BX124" i="10"/>
  <c r="BY124" i="10" s="1"/>
  <c r="BL124" i="10"/>
  <c r="BM124" i="10" s="1"/>
  <c r="BN124" i="10" s="1" a="1"/>
  <c r="BN124" i="10" s="1"/>
  <c r="BP124" i="10"/>
  <c r="BQ124" i="10" s="1"/>
  <c r="BV124" i="10" s="1" a="1"/>
  <c r="BV124" i="10" s="1"/>
  <c r="BV703" i="10" a="1"/>
  <c r="BV703" i="10" s="1"/>
  <c r="CR719" i="10" a="1"/>
  <c r="CR719" i="10" s="1"/>
  <c r="CV626" i="10" a="1"/>
  <c r="CV626" i="10" s="1"/>
  <c r="CX626" i="10" s="1"/>
  <c r="Z626" i="10" s="1"/>
  <c r="CN528" i="10" a="1"/>
  <c r="CN528" i="10" s="1"/>
  <c r="BV439" i="10" a="1"/>
  <c r="BV439" i="10" s="1"/>
  <c r="CB439" i="10" s="1"/>
  <c r="S439" i="10" s="1"/>
  <c r="AF439" i="10" s="1"/>
  <c r="CP339" i="10"/>
  <c r="CQ339" i="10" s="1"/>
  <c r="BZ303" i="10" a="1"/>
  <c r="BZ303" i="10" s="1"/>
  <c r="CA303" i="10" a="1"/>
  <c r="CA303" i="10" s="1"/>
  <c r="CA314" i="10" a="1"/>
  <c r="CA314" i="10" s="1"/>
  <c r="BZ314" i="10" a="1"/>
  <c r="BZ314" i="10" s="1"/>
  <c r="BR165" i="10" a="1"/>
  <c r="BR165" i="10" s="1"/>
  <c r="CA158" i="10" a="1"/>
  <c r="CA158" i="10" s="1"/>
  <c r="BZ158" i="10" a="1"/>
  <c r="BZ158" i="10" s="1"/>
  <c r="BZ144" i="10" a="1"/>
  <c r="BZ144" i="10" s="1"/>
  <c r="CA144" i="10" a="1"/>
  <c r="CA144" i="10" s="1"/>
  <c r="CL133" i="10"/>
  <c r="CM133" i="10" s="1"/>
  <c r="CH133" i="10"/>
  <c r="CI133" i="10" s="1"/>
  <c r="CJ133" i="10" s="1" a="1"/>
  <c r="CJ133" i="10" s="1"/>
  <c r="CH453" i="10"/>
  <c r="CI453" i="10" s="1"/>
  <c r="CJ453" i="10" s="1" a="1"/>
  <c r="CJ453" i="10" s="1"/>
  <c r="CP453" i="10"/>
  <c r="CQ453" i="10" s="1"/>
  <c r="CR453" i="10" s="1" a="1"/>
  <c r="CR453" i="10" s="1"/>
  <c r="CX416" i="10"/>
  <c r="Z416" i="10" s="1"/>
  <c r="CL402" i="10"/>
  <c r="CM402" i="10" s="1"/>
  <c r="CN402" i="10" s="1" a="1"/>
  <c r="CN402" i="10" s="1"/>
  <c r="CX374" i="10"/>
  <c r="Z374" i="10" s="1"/>
  <c r="BZ322" i="10" a="1"/>
  <c r="BZ322" i="10" s="1"/>
  <c r="CA322" i="10" a="1"/>
  <c r="CA322" i="10" s="1"/>
  <c r="BZ284" i="10" a="1"/>
  <c r="BZ284" i="10" s="1"/>
  <c r="CA284" i="10" a="1"/>
  <c r="CA284" i="10" s="1"/>
  <c r="BX261" i="10"/>
  <c r="BY261" i="10" s="1"/>
  <c r="CV246" i="10" a="1"/>
  <c r="CV246" i="10" s="1"/>
  <c r="CW246" i="10" a="1"/>
  <c r="CW246" i="10" s="1"/>
  <c r="BZ169" i="10" a="1"/>
  <c r="BZ169" i="10" s="1"/>
  <c r="CA169" i="10" a="1"/>
  <c r="CA169" i="10" s="1"/>
  <c r="CP155" i="10"/>
  <c r="CQ155" i="10" s="1"/>
  <c r="CT155" i="10"/>
  <c r="CU155" i="10" s="1"/>
  <c r="CV147" i="10" a="1"/>
  <c r="CV147" i="10" s="1"/>
  <c r="CW147" i="10" a="1"/>
  <c r="CW147" i="10" s="1"/>
  <c r="BL461" i="10"/>
  <c r="BM461" i="10" s="1"/>
  <c r="BN461" i="10" s="1" a="1"/>
  <c r="BN461" i="10" s="1"/>
  <c r="BT441" i="10"/>
  <c r="BU441" i="10" s="1"/>
  <c r="BV441" i="10" s="1" a="1"/>
  <c r="BV441" i="10" s="1"/>
  <c r="CB393" i="10"/>
  <c r="S393" i="10" s="1"/>
  <c r="BZ399" i="10" a="1"/>
  <c r="BZ399" i="10" s="1"/>
  <c r="CA399" i="10" a="1"/>
  <c r="CA399" i="10" s="1"/>
  <c r="CX360" i="10"/>
  <c r="Z360" i="10" s="1"/>
  <c r="CT359" i="10"/>
  <c r="CU359" i="10" s="1"/>
  <c r="BR330" i="10" a="1"/>
  <c r="BR330" i="10" s="1"/>
  <c r="CB330" i="10" s="1"/>
  <c r="S330" i="10" s="1"/>
  <c r="BZ353" i="10" a="1"/>
  <c r="BZ353" i="10" s="1"/>
  <c r="CA353" i="10" a="1"/>
  <c r="CA353" i="10" s="1"/>
  <c r="BT352" i="10"/>
  <c r="BU352" i="10" s="1"/>
  <c r="BV352" i="10" s="1" a="1"/>
  <c r="BV352" i="10" s="1"/>
  <c r="BZ336" i="10" a="1"/>
  <c r="BZ336" i="10" s="1"/>
  <c r="CA336" i="10" a="1"/>
  <c r="CA336" i="10" s="1"/>
  <c r="CL296" i="10"/>
  <c r="CM296" i="10" s="1"/>
  <c r="CN296" i="10" s="1" a="1"/>
  <c r="CN296" i="10" s="1"/>
  <c r="CT236" i="10"/>
  <c r="CU236" i="10" s="1"/>
  <c r="CH236" i="10"/>
  <c r="CI236" i="10" s="1"/>
  <c r="CJ236" i="10" s="1" a="1"/>
  <c r="CJ236" i="10" s="1"/>
  <c r="CP236" i="10"/>
  <c r="CQ236" i="10" s="1"/>
  <c r="CR236" i="10" s="1" a="1"/>
  <c r="CR236" i="10" s="1"/>
  <c r="CL218" i="10"/>
  <c r="CM218" i="10" s="1"/>
  <c r="CN218" i="10" s="1" a="1"/>
  <c r="CN218" i="10" s="1"/>
  <c r="CX189" i="10"/>
  <c r="Z189" i="10" s="1"/>
  <c r="BX135" i="10"/>
  <c r="BY135" i="10" s="1"/>
  <c r="BP135" i="10"/>
  <c r="BQ135" i="10" s="1"/>
  <c r="BR135" i="10" s="1" a="1"/>
  <c r="BR135" i="10" s="1"/>
  <c r="CH134" i="10"/>
  <c r="CI134" i="10" s="1"/>
  <c r="CJ134" i="10" s="1" a="1"/>
  <c r="CJ134" i="10" s="1"/>
  <c r="BR639" i="10" a="1"/>
  <c r="BR639" i="10" s="1"/>
  <c r="BX545" i="10"/>
  <c r="BY545" i="10" s="1"/>
  <c r="CN508" i="10" a="1"/>
  <c r="CN508" i="10" s="1"/>
  <c r="BV463" i="10" a="1"/>
  <c r="BV463" i="10" s="1"/>
  <c r="CB463" i="10" s="1"/>
  <c r="S463" i="10" s="1"/>
  <c r="CH423" i="10"/>
  <c r="CI423" i="10" s="1"/>
  <c r="CJ423" i="10" s="1" a="1"/>
  <c r="CJ423" i="10" s="1"/>
  <c r="CT423" i="10"/>
  <c r="CU423" i="10" s="1"/>
  <c r="CB421" i="10"/>
  <c r="S421" i="10" s="1"/>
  <c r="CW412" i="10" a="1"/>
  <c r="CW412" i="10" s="1"/>
  <c r="CV412" i="10" a="1"/>
  <c r="CV412" i="10" s="1"/>
  <c r="CL355" i="10"/>
  <c r="CM355" i="10" s="1"/>
  <c r="CN355" i="10" s="1" a="1"/>
  <c r="CN355" i="10" s="1"/>
  <c r="CR342" i="10" a="1"/>
  <c r="CR342" i="10" s="1"/>
  <c r="CH343" i="10"/>
  <c r="CI343" i="10" s="1"/>
  <c r="CJ343" i="10" s="1" a="1"/>
  <c r="CJ343" i="10" s="1"/>
  <c r="CT298" i="10"/>
  <c r="CU298" i="10" s="1"/>
  <c r="BP261" i="10"/>
  <c r="BQ261" i="10" s="1"/>
  <c r="BR261" i="10" s="1" a="1"/>
  <c r="BR261" i="10" s="1"/>
  <c r="BV241" i="10" a="1"/>
  <c r="BV241" i="10" s="1"/>
  <c r="CB240" i="10"/>
  <c r="S240" i="10" s="1"/>
  <c r="CA241" i="10" a="1"/>
  <c r="CA241" i="10" s="1"/>
  <c r="BZ241" i="10" a="1"/>
  <c r="BZ241" i="10" s="1"/>
  <c r="CN209" i="10" a="1"/>
  <c r="CN209" i="10" s="1"/>
  <c r="CW161" i="10" a="1"/>
  <c r="CW161" i="10" s="1"/>
  <c r="CV161" i="10" a="1"/>
  <c r="CV161" i="10" s="1"/>
  <c r="CT141" i="10"/>
  <c r="CU141" i="10" s="1"/>
  <c r="CH591" i="10"/>
  <c r="CI591" i="10" s="1"/>
  <c r="CJ591" i="10" s="1" a="1"/>
  <c r="CJ591" i="10" s="1"/>
  <c r="CV540" i="10" a="1"/>
  <c r="CV540" i="10" s="1"/>
  <c r="BZ462" i="10" a="1"/>
  <c r="BZ462" i="10" s="1"/>
  <c r="CB462" i="10" s="1"/>
  <c r="S462" i="10" s="1"/>
  <c r="CP441" i="10"/>
  <c r="CQ441" i="10" s="1"/>
  <c r="CR441" i="10" s="1" a="1"/>
  <c r="CR441" i="10" s="1"/>
  <c r="CH441" i="10"/>
  <c r="CI441" i="10" s="1"/>
  <c r="CJ441" i="10" s="1" a="1"/>
  <c r="CJ441" i="10" s="1"/>
  <c r="BV380" i="10" a="1"/>
  <c r="BV380" i="10" s="1"/>
  <c r="BX415" i="10"/>
  <c r="BY415" i="10" s="1"/>
  <c r="BX379" i="10"/>
  <c r="BY379" i="10" s="1"/>
  <c r="CB359" i="10"/>
  <c r="S359" i="10" s="1"/>
  <c r="CH332" i="10"/>
  <c r="CI332" i="10" s="1"/>
  <c r="CJ332" i="10" s="1" a="1"/>
  <c r="CJ332" i="10" s="1"/>
  <c r="BT320" i="10"/>
  <c r="BU320" i="10" s="1"/>
  <c r="BZ320" i="10" s="1" a="1"/>
  <c r="BZ320" i="10" s="1"/>
  <c r="BP320" i="10"/>
  <c r="BQ320" i="10" s="1"/>
  <c r="BR320" i="10" s="1" a="1"/>
  <c r="BR320" i="10" s="1"/>
  <c r="CP290" i="10"/>
  <c r="CQ290" i="10" s="1"/>
  <c r="CR290" i="10" s="1" a="1"/>
  <c r="CR290" i="10" s="1"/>
  <c r="BP263" i="10"/>
  <c r="BQ263" i="10" s="1"/>
  <c r="BR263" i="10" s="1" a="1"/>
  <c r="BR263" i="10" s="1"/>
  <c r="CP220" i="10"/>
  <c r="CQ220" i="10" s="1"/>
  <c r="CR220" i="10" s="1" a="1"/>
  <c r="CR220" i="10" s="1"/>
  <c r="CH220" i="10"/>
  <c r="CI220" i="10" s="1"/>
  <c r="CJ220" i="10" s="1" a="1"/>
  <c r="CJ220" i="10" s="1"/>
  <c r="CV209" i="10" a="1"/>
  <c r="CV209" i="10" s="1"/>
  <c r="CW209" i="10" a="1"/>
  <c r="CW209" i="10" s="1"/>
  <c r="CB191" i="10"/>
  <c r="S191" i="10" s="1"/>
  <c r="CV182" i="10" a="1"/>
  <c r="CV182" i="10" s="1"/>
  <c r="CW182" i="10" a="1"/>
  <c r="CW182" i="10" s="1"/>
  <c r="CW171" i="10" a="1"/>
  <c r="CW171" i="10" s="1"/>
  <c r="CV171" i="10" a="1"/>
  <c r="CV171" i="10" s="1"/>
  <c r="CN154" i="10" a="1"/>
  <c r="CN154" i="10" s="1"/>
  <c r="CB162" i="10"/>
  <c r="S162" i="10" s="1"/>
  <c r="CN136" i="10" a="1"/>
  <c r="CN136" i="10" s="1"/>
  <c r="BR618" i="10" a="1"/>
  <c r="BR618" i="10" s="1"/>
  <c r="CN518" i="10" a="1"/>
  <c r="CN518" i="10" s="1"/>
  <c r="CX518" i="10" s="1"/>
  <c r="Z518" i="10" s="1"/>
  <c r="CV520" i="10" a="1"/>
  <c r="CV520" i="10" s="1"/>
  <c r="BV466" i="10" a="1"/>
  <c r="BV466" i="10" s="1"/>
  <c r="CB466" i="10" s="1"/>
  <c r="S466" i="10" s="1"/>
  <c r="BV403" i="10" a="1"/>
  <c r="BV403" i="10" s="1"/>
  <c r="BR354" i="10" a="1"/>
  <c r="BR354" i="10" s="1"/>
  <c r="CV304" i="10" a="1"/>
  <c r="CV304" i="10" s="1"/>
  <c r="CW304" i="10" a="1"/>
  <c r="CW304" i="10" s="1"/>
  <c r="CR252" i="10" a="1"/>
  <c r="CR252" i="10" s="1"/>
  <c r="CX252" i="10" s="1"/>
  <c r="Z252" i="10" s="1"/>
  <c r="BR249" i="10" a="1"/>
  <c r="BR249" i="10" s="1"/>
  <c r="CB249" i="10" s="1"/>
  <c r="S249" i="10" s="1"/>
  <c r="CB248" i="10"/>
  <c r="S248" i="10" s="1"/>
  <c r="CT203" i="10"/>
  <c r="CU203" i="10" s="1"/>
  <c r="BT177" i="10"/>
  <c r="BU177" i="10" s="1"/>
  <c r="BV177" i="10" s="1" a="1"/>
  <c r="BV177" i="10" s="1"/>
  <c r="BX177" i="10"/>
  <c r="BY177" i="10" s="1"/>
  <c r="CL153" i="10"/>
  <c r="CM153" i="10" s="1"/>
  <c r="CN153" i="10" s="1" a="1"/>
  <c r="CN153" i="10" s="1"/>
  <c r="BV145" i="10" a="1"/>
  <c r="BV145" i="10" s="1"/>
  <c r="CB145" i="10" s="1"/>
  <c r="S145" i="10" s="1"/>
  <c r="CN350" i="10" a="1"/>
  <c r="CN350" i="10" s="1"/>
  <c r="CN295" i="10" a="1"/>
  <c r="CN295" i="10" s="1"/>
  <c r="CX295" i="10" s="1"/>
  <c r="Z295" i="10" s="1"/>
  <c r="BZ266" i="10" a="1"/>
  <c r="BZ266" i="10" s="1"/>
  <c r="CB266" i="10" s="1"/>
  <c r="S266" i="10" s="1"/>
  <c r="BV213" i="10" a="1"/>
  <c r="BV213" i="10" s="1"/>
  <c r="CR183" i="10" a="1"/>
  <c r="CR183" i="10" s="1"/>
  <c r="BR127" i="10" a="1"/>
  <c r="BR127" i="10" s="1"/>
  <c r="CB127" i="10" s="1"/>
  <c r="S127" i="10" s="1"/>
  <c r="BT151" i="10"/>
  <c r="BU151" i="10" s="1"/>
  <c r="BV151" i="10" s="1" a="1"/>
  <c r="BV151" i="10" s="1"/>
  <c r="CN311" i="10" a="1"/>
  <c r="CN311" i="10" s="1"/>
  <c r="BR222" i="10" a="1"/>
  <c r="BR222" i="10" s="1"/>
  <c r="CV167" i="10" a="1"/>
  <c r="CV167" i="10" s="1"/>
  <c r="BZ137" i="10" a="1"/>
  <c r="BZ137" i="10" s="1"/>
  <c r="BR399" i="10" a="1"/>
  <c r="BR399" i="10" s="1"/>
  <c r="BT364" i="10"/>
  <c r="BU364" i="10" s="1"/>
  <c r="BV364" i="10" s="1" a="1"/>
  <c r="BV364" i="10" s="1"/>
  <c r="BZ277" i="10" a="1"/>
  <c r="BZ277" i="10" s="1"/>
  <c r="CR229" i="10" a="1"/>
  <c r="CR229" i="10" s="1"/>
  <c r="CP145" i="10"/>
  <c r="CQ145" i="10" s="1"/>
  <c r="BR361" i="10" a="1"/>
  <c r="BR361" i="10" s="1"/>
  <c r="CJ334" i="10" a="1"/>
  <c r="CJ334" i="10" s="1"/>
  <c r="CX334" i="10" s="1"/>
  <c r="Z334" i="10" s="1"/>
  <c r="BZ222" i="10" a="1"/>
  <c r="BZ222" i="10" s="1"/>
  <c r="BZ186" i="10" a="1"/>
  <c r="BZ186" i="10" s="1"/>
  <c r="CB186" i="10" s="1"/>
  <c r="S186" i="10" s="1"/>
  <c r="CR144" i="10" a="1"/>
  <c r="CR144" i="10" s="1"/>
  <c r="BZ380" i="10" a="1"/>
  <c r="BZ380" i="10" s="1"/>
  <c r="CV295" i="10" a="1"/>
  <c r="CV295" i="10" s="1"/>
  <c r="BZ404" i="10" a="1"/>
  <c r="BZ404" i="10" s="1"/>
  <c r="CB404" i="10" s="1"/>
  <c r="S404" i="10" s="1"/>
  <c r="AF404" i="10" s="1"/>
  <c r="BP317" i="10"/>
  <c r="BQ317" i="10" s="1"/>
  <c r="BR317" i="10" s="1" a="1"/>
  <c r="BR317" i="10" s="1"/>
  <c r="CH253" i="10"/>
  <c r="CI253" i="10" s="1"/>
  <c r="CJ253" i="10" s="1" a="1"/>
  <c r="CJ253" i="10" s="1"/>
  <c r="CX900" i="10"/>
  <c r="Z900" i="10" s="1"/>
  <c r="CH805" i="10"/>
  <c r="CI805" i="10" s="1"/>
  <c r="CJ805" i="10" s="1" a="1"/>
  <c r="CJ805" i="10" s="1"/>
  <c r="CP805" i="10"/>
  <c r="CQ805" i="10" s="1"/>
  <c r="CR805" i="10" s="1" a="1"/>
  <c r="CR805" i="10" s="1"/>
  <c r="CB865" i="10"/>
  <c r="S865" i="10" s="1"/>
  <c r="CV767" i="10" a="1"/>
  <c r="CV767" i="10" s="1"/>
  <c r="CW767" i="10" a="1"/>
  <c r="CW767" i="10" s="1"/>
  <c r="BR1001" i="10" a="1"/>
  <c r="BR1001" i="10" s="1"/>
  <c r="CX848" i="10"/>
  <c r="Z848" i="10" s="1"/>
  <c r="CH855" i="10"/>
  <c r="CI855" i="10" s="1"/>
  <c r="CJ855" i="10" s="1" a="1"/>
  <c r="CJ855" i="10" s="1"/>
  <c r="CR916" i="10" a="1"/>
  <c r="CR916" i="10" s="1"/>
  <c r="BT828" i="10"/>
  <c r="BU828" i="10" s="1"/>
  <c r="BX828" i="10"/>
  <c r="BY828" i="10" s="1"/>
  <c r="BL828" i="10"/>
  <c r="BM828" i="10" s="1"/>
  <c r="BN828" i="10" s="1" a="1"/>
  <c r="BN828" i="10" s="1"/>
  <c r="BP828" i="10"/>
  <c r="BQ828" i="10" s="1"/>
  <c r="BR828" i="10" s="1" a="1"/>
  <c r="BR828" i="10" s="1"/>
  <c r="BZ891" i="10" a="1"/>
  <c r="BZ891" i="10" s="1"/>
  <c r="CA891" i="10" a="1"/>
  <c r="CA891" i="10" s="1"/>
  <c r="BL668" i="10"/>
  <c r="BM668" i="10" s="1"/>
  <c r="BN668" i="10" s="1" a="1"/>
  <c r="BN668" i="10" s="1"/>
  <c r="BT668" i="10"/>
  <c r="BU668" i="10" s="1"/>
  <c r="BV668" i="10" s="1" a="1"/>
  <c r="BV668" i="10" s="1"/>
  <c r="BP668" i="10"/>
  <c r="BQ668" i="10" s="1"/>
  <c r="BR645" i="10" a="1"/>
  <c r="BR645" i="10" s="1"/>
  <c r="CB645" i="10" s="1"/>
  <c r="S645" i="10" s="1"/>
  <c r="CW480" i="10" a="1"/>
  <c r="CW480" i="10" s="1"/>
  <c r="CV480" i="10" a="1"/>
  <c r="CV480" i="10" s="1"/>
  <c r="CX702" i="10"/>
  <c r="Z702" i="10" s="1"/>
  <c r="CN667" i="10" a="1"/>
  <c r="CN667" i="10" s="1"/>
  <c r="CX521" i="10"/>
  <c r="Z521" i="10" s="1"/>
  <c r="CN497" i="10" a="1"/>
  <c r="CN497" i="10" s="1"/>
  <c r="CN615" i="10" a="1"/>
  <c r="CN615" i="10" s="1"/>
  <c r="BR453" i="10" a="1"/>
  <c r="BR453" i="10" s="1"/>
  <c r="CW491" i="10" a="1"/>
  <c r="CW491" i="10" s="1"/>
  <c r="CV491" i="10" a="1"/>
  <c r="CV491" i="10" s="1"/>
  <c r="CX491" i="10" s="1"/>
  <c r="Z491" i="10" s="1"/>
  <c r="CL473" i="10"/>
  <c r="CM473" i="10" s="1"/>
  <c r="CN473" i="10" s="1" a="1"/>
  <c r="CN473" i="10" s="1"/>
  <c r="CV417" i="10" a="1"/>
  <c r="CV417" i="10" s="1"/>
  <c r="CW417" i="10" a="1"/>
  <c r="CW417" i="10" s="1"/>
  <c r="BT345" i="10"/>
  <c r="BU345" i="10" s="1"/>
  <c r="BV345" i="10" s="1" a="1"/>
  <c r="BV345" i="10" s="1"/>
  <c r="CR302" i="10" a="1"/>
  <c r="CR302" i="10" s="1"/>
  <c r="CX302" i="10" s="1"/>
  <c r="Z302" i="10" s="1"/>
  <c r="CB195" i="10"/>
  <c r="S195" i="10" s="1"/>
  <c r="BZ378" i="10" a="1"/>
  <c r="BZ378" i="10" s="1"/>
  <c r="CA378" i="10" a="1"/>
  <c r="CA378" i="10" s="1"/>
  <c r="CV341" i="10" a="1"/>
  <c r="CV341" i="10" s="1"/>
  <c r="CW341" i="10" a="1"/>
  <c r="CW341" i="10" s="1"/>
  <c r="BR198" i="10" a="1"/>
  <c r="BR198" i="10" s="1"/>
  <c r="BV406" i="10" a="1"/>
  <c r="BV406" i="10" s="1"/>
  <c r="CB406" i="10" s="1"/>
  <c r="S406" i="10" s="1"/>
  <c r="BZ175" i="10" a="1"/>
  <c r="BZ175" i="10" s="1"/>
  <c r="CA175" i="10" a="1"/>
  <c r="CA175" i="10" s="1"/>
  <c r="CA431" i="10" a="1"/>
  <c r="CA431" i="10" s="1"/>
  <c r="BZ431" i="10" a="1"/>
  <c r="BZ431" i="10" s="1"/>
  <c r="BZ390" i="10" a="1"/>
  <c r="BZ390" i="10" s="1"/>
  <c r="CA390" i="10" a="1"/>
  <c r="CA390" i="10" s="1"/>
  <c r="CA358" i="10" a="1"/>
  <c r="CA358" i="10" s="1"/>
  <c r="BZ358" i="10" a="1"/>
  <c r="BZ358" i="10" s="1"/>
  <c r="CA253" i="10" a="1"/>
  <c r="CA253" i="10" s="1"/>
  <c r="BZ253" i="10" a="1"/>
  <c r="BZ253" i="10" s="1"/>
  <c r="CR323" i="10" a="1"/>
  <c r="CR323" i="10" s="1"/>
  <c r="CX323" i="10" s="1"/>
  <c r="Z323" i="10" s="1"/>
  <c r="CA966" i="10" a="1"/>
  <c r="CA966" i="10" s="1"/>
  <c r="BZ966" i="10" a="1"/>
  <c r="BZ966" i="10" s="1"/>
  <c r="CV877" i="10" a="1"/>
  <c r="CV877" i="10" s="1"/>
  <c r="CW877" i="10" a="1"/>
  <c r="CW877" i="10" s="1"/>
  <c r="CX877" i="10" s="1"/>
  <c r="Z877" i="10" s="1"/>
  <c r="CA952" i="10" a="1"/>
  <c r="CA952" i="10" s="1"/>
  <c r="BZ952" i="10" a="1"/>
  <c r="BZ952" i="10" s="1"/>
  <c r="BX896" i="10"/>
  <c r="BY896" i="10" s="1"/>
  <c r="CP1005" i="10"/>
  <c r="CQ1005" i="10" s="1"/>
  <c r="CR1005" i="10" s="1" a="1"/>
  <c r="CR1005" i="10" s="1"/>
  <c r="BZ819" i="10" a="1"/>
  <c r="BZ819" i="10" s="1"/>
  <c r="CA819" i="10" a="1"/>
  <c r="CA819" i="10" s="1"/>
  <c r="CL790" i="10"/>
  <c r="CM790" i="10" s="1"/>
  <c r="CN790" i="10" s="1" a="1"/>
  <c r="CN790" i="10" s="1"/>
  <c r="CN795" i="10" a="1"/>
  <c r="CN795" i="10" s="1"/>
  <c r="CJ795" i="10" a="1"/>
  <c r="CJ795" i="10" s="1"/>
  <c r="BP1022" i="10"/>
  <c r="BQ1022" i="10" s="1"/>
  <c r="BR1022" i="10" s="1" a="1"/>
  <c r="BR1022" i="10" s="1"/>
  <c r="CH979" i="10"/>
  <c r="CI979" i="10" s="1"/>
  <c r="CJ979" i="10" s="1" a="1"/>
  <c r="CJ979" i="10" s="1"/>
  <c r="CV911" i="10" a="1"/>
  <c r="CV911" i="10" s="1"/>
  <c r="CW911" i="10" a="1"/>
  <c r="CW911" i="10" s="1"/>
  <c r="BZ888" i="10" a="1"/>
  <c r="BZ888" i="10" s="1"/>
  <c r="CA888" i="10" a="1"/>
  <c r="CA888" i="10" s="1"/>
  <c r="CV839" i="10" a="1"/>
  <c r="CV839" i="10" s="1"/>
  <c r="CW839" i="10" a="1"/>
  <c r="CW839" i="10" s="1"/>
  <c r="CX995" i="10"/>
  <c r="Z995" i="10" s="1"/>
  <c r="CT953" i="10"/>
  <c r="CU953" i="10" s="1"/>
  <c r="CN929" i="10" a="1"/>
  <c r="CN929" i="10" s="1"/>
  <c r="CT835" i="10"/>
  <c r="CU835" i="10" s="1"/>
  <c r="BZ853" i="10" a="1"/>
  <c r="BZ853" i="10" s="1"/>
  <c r="CA853" i="10" a="1"/>
  <c r="CA853" i="10" s="1"/>
  <c r="CB975" i="10"/>
  <c r="S975" i="10" s="1"/>
  <c r="CL940" i="10"/>
  <c r="CM940" i="10" s="1"/>
  <c r="CN940" i="10" s="1" a="1"/>
  <c r="CN940" i="10" s="1"/>
  <c r="CB699" i="10"/>
  <c r="S699" i="10" s="1"/>
  <c r="BZ795" i="10" a="1"/>
  <c r="BZ795" i="10" s="1"/>
  <c r="CA795" i="10" a="1"/>
  <c r="CA795" i="10" s="1"/>
  <c r="BT954" i="10"/>
  <c r="BU954" i="10" s="1"/>
  <c r="BV954" i="10" s="1" a="1"/>
  <c r="BV954" i="10" s="1"/>
  <c r="BL917" i="10"/>
  <c r="BM917" i="10" s="1"/>
  <c r="BN917" i="10" s="1" a="1"/>
  <c r="BN917" i="10" s="1"/>
  <c r="BZ821" i="10" a="1"/>
  <c r="BZ821" i="10" s="1"/>
  <c r="CA821" i="10" a="1"/>
  <c r="CA821" i="10" s="1"/>
  <c r="CP750" i="10"/>
  <c r="CQ750" i="10" s="1"/>
  <c r="CR750" i="10" s="1" a="1"/>
  <c r="CR750" i="10" s="1"/>
  <c r="BL852" i="10"/>
  <c r="BM852" i="10" s="1"/>
  <c r="BN852" i="10" s="1" a="1"/>
  <c r="BN852" i="10" s="1"/>
  <c r="BT832" i="10"/>
  <c r="BU832" i="10" s="1"/>
  <c r="BV832" i="10" s="1" a="1"/>
  <c r="BV832" i="10" s="1"/>
  <c r="BL832" i="10"/>
  <c r="BM832" i="10" s="1"/>
  <c r="BN832" i="10" s="1" a="1"/>
  <c r="BN832" i="10" s="1"/>
  <c r="BX832" i="10"/>
  <c r="BY832" i="10" s="1"/>
  <c r="BP832" i="10"/>
  <c r="BQ832" i="10" s="1"/>
  <c r="BT813" i="10"/>
  <c r="BU813" i="10" s="1"/>
  <c r="BV813" i="10" s="1" a="1"/>
  <c r="BV813" i="10" s="1"/>
  <c r="BZ755" i="10" a="1"/>
  <c r="BZ755" i="10" s="1"/>
  <c r="CA755" i="10" a="1"/>
  <c r="CA755" i="10" s="1"/>
  <c r="CX955" i="10"/>
  <c r="Z955" i="10" s="1"/>
  <c r="CR980" i="10" a="1"/>
  <c r="CR980" i="10" s="1"/>
  <c r="CX980" i="10" s="1"/>
  <c r="Z980" i="10" s="1"/>
  <c r="CX1014" i="10"/>
  <c r="Z1014" i="10" s="1"/>
  <c r="CT1009" i="10"/>
  <c r="CU1009" i="10" s="1"/>
  <c r="CV994" i="10" a="1"/>
  <c r="CV994" i="10" s="1"/>
  <c r="CW994" i="10" a="1"/>
  <c r="CW994" i="10" s="1"/>
  <c r="CX907" i="10"/>
  <c r="Z907" i="10" s="1"/>
  <c r="CT937" i="10"/>
  <c r="CU937" i="10" s="1"/>
  <c r="BX941" i="10"/>
  <c r="BY941" i="10" s="1"/>
  <c r="BV915" i="10" a="1"/>
  <c r="BV915" i="10" s="1"/>
  <c r="CB915" i="10" s="1"/>
  <c r="S915" i="10" s="1"/>
  <c r="BV940" i="10" a="1"/>
  <c r="BV940" i="10" s="1"/>
  <c r="CB940" i="10" s="1"/>
  <c r="S940" i="10" s="1"/>
  <c r="CA892" i="10" a="1"/>
  <c r="CA892" i="10" s="1"/>
  <c r="BZ892" i="10" a="1"/>
  <c r="BZ892" i="10" s="1"/>
  <c r="BX817" i="10"/>
  <c r="BY817" i="10" s="1"/>
  <c r="BT817" i="10"/>
  <c r="BU817" i="10" s="1"/>
  <c r="BV817" i="10" s="1" a="1"/>
  <c r="BV817" i="10" s="1"/>
  <c r="BP817" i="10"/>
  <c r="BQ817" i="10" s="1"/>
  <c r="BR817" i="10" s="1" a="1"/>
  <c r="BR817" i="10" s="1"/>
  <c r="BL817" i="10"/>
  <c r="BM817" i="10" s="1"/>
  <c r="BN817" i="10" s="1" a="1"/>
  <c r="BN817" i="10" s="1"/>
  <c r="BT774" i="10"/>
  <c r="BU774" i="10" s="1"/>
  <c r="CN784" i="10" a="1"/>
  <c r="CN784" i="10" s="1"/>
  <c r="CX784" i="10" s="1"/>
  <c r="Z784" i="10" s="1"/>
  <c r="BP705" i="10"/>
  <c r="BQ705" i="10" s="1"/>
  <c r="BR705" i="10" s="1" a="1"/>
  <c r="BR705" i="10" s="1"/>
  <c r="CR994" i="10" a="1"/>
  <c r="CR994" i="10" s="1"/>
  <c r="CV962" i="10" a="1"/>
  <c r="CV962" i="10" s="1"/>
  <c r="CW962" i="10" a="1"/>
  <c r="CW962" i="10" s="1"/>
  <c r="BR1003" i="10" a="1"/>
  <c r="BR1003" i="10" s="1"/>
  <c r="CT970" i="10"/>
  <c r="CU970" i="10" s="1"/>
  <c r="CT904" i="10"/>
  <c r="CU904" i="10" s="1"/>
  <c r="BT840" i="10"/>
  <c r="BU840" i="10" s="1"/>
  <c r="BV840" i="10" s="1" a="1"/>
  <c r="BV840" i="10" s="1"/>
  <c r="CP928" i="10"/>
  <c r="CQ928" i="10" s="1"/>
  <c r="CR928" i="10" s="1" a="1"/>
  <c r="CR928" i="10" s="1"/>
  <c r="BV869" i="10" a="1"/>
  <c r="BV869" i="10" s="1"/>
  <c r="CT887" i="10"/>
  <c r="CU887" i="10" s="1"/>
  <c r="CB881" i="10"/>
  <c r="S881" i="10" s="1"/>
  <c r="CV868" i="10" a="1"/>
  <c r="CV868" i="10" s="1"/>
  <c r="CW868" i="10" a="1"/>
  <c r="CW868" i="10" s="1"/>
  <c r="BX813" i="10"/>
  <c r="BY813" i="10" s="1"/>
  <c r="CT823" i="10"/>
  <c r="CU823" i="10" s="1"/>
  <c r="BX710" i="10"/>
  <c r="BY710" i="10" s="1"/>
  <c r="CB743" i="10"/>
  <c r="S743" i="10" s="1"/>
  <c r="CW991" i="10" a="1"/>
  <c r="CW991" i="10" s="1"/>
  <c r="CV991" i="10" a="1"/>
  <c r="CV991" i="10" s="1"/>
  <c r="BX982" i="10"/>
  <c r="BY982" i="10" s="1"/>
  <c r="CX943" i="10"/>
  <c r="Z943" i="10" s="1"/>
  <c r="CA932" i="10" a="1"/>
  <c r="CA932" i="10" s="1"/>
  <c r="BZ932" i="10" a="1"/>
  <c r="BZ932" i="10" s="1"/>
  <c r="CN897" i="10" a="1"/>
  <c r="CN897" i="10" s="1"/>
  <c r="CX885" i="10"/>
  <c r="Z885" i="10" s="1"/>
  <c r="CL810" i="10"/>
  <c r="CM810" i="10" s="1"/>
  <c r="CN810" i="10" s="1" a="1"/>
  <c r="CN810" i="10" s="1"/>
  <c r="CP714" i="10"/>
  <c r="CQ714" i="10" s="1"/>
  <c r="CR714" i="10" s="1" a="1"/>
  <c r="CR714" i="10" s="1"/>
  <c r="CT821" i="10"/>
  <c r="CU821" i="10" s="1"/>
  <c r="CP697" i="10"/>
  <c r="CQ697" i="10" s="1"/>
  <c r="CR697" i="10" s="1" a="1"/>
  <c r="CR697" i="10" s="1"/>
  <c r="BR999" i="10" a="1"/>
  <c r="BR999" i="10" s="1"/>
  <c r="CN962" i="10" a="1"/>
  <c r="CN962" i="10" s="1"/>
  <c r="CR947" i="10" a="1"/>
  <c r="CR947" i="10" s="1"/>
  <c r="CX947" i="10" s="1"/>
  <c r="Z947" i="10" s="1"/>
  <c r="CL892" i="10"/>
  <c r="CM892" i="10" s="1"/>
  <c r="CN892" i="10" s="1" a="1"/>
  <c r="CN892" i="10" s="1"/>
  <c r="BV829" i="10" a="1"/>
  <c r="BV829" i="10" s="1"/>
  <c r="CB829" i="10" s="1"/>
  <c r="S829" i="10" s="1"/>
  <c r="AF829" i="10" s="1"/>
  <c r="CV743" i="10" a="1"/>
  <c r="CV743" i="10" s="1"/>
  <c r="BV674" i="10" a="1"/>
  <c r="BV674" i="10" s="1"/>
  <c r="CH676" i="10"/>
  <c r="CI676" i="10" s="1"/>
  <c r="CJ676" i="10" s="1" a="1"/>
  <c r="CJ676" i="10" s="1"/>
  <c r="CT676" i="10"/>
  <c r="CU676" i="10" s="1"/>
  <c r="CP676" i="10"/>
  <c r="CQ676" i="10" s="1"/>
  <c r="CA424" i="10" a="1"/>
  <c r="CA424" i="10" s="1"/>
  <c r="BZ424" i="10" a="1"/>
  <c r="BZ424" i="10" s="1"/>
  <c r="BV889" i="10" a="1"/>
  <c r="BV889" i="10" s="1"/>
  <c r="CR868" i="10" a="1"/>
  <c r="CR868" i="10" s="1"/>
  <c r="BV730" i="10" a="1"/>
  <c r="BV730" i="10" s="1"/>
  <c r="BR675" i="10" a="1"/>
  <c r="BR675" i="10" s="1"/>
  <c r="CV761" i="10" a="1"/>
  <c r="CV761" i="10" s="1"/>
  <c r="CX761" i="10" s="1"/>
  <c r="Z761" i="10" s="1"/>
  <c r="CP748" i="10"/>
  <c r="CQ748" i="10" s="1"/>
  <c r="CR748" i="10" s="1" a="1"/>
  <c r="CR748" i="10" s="1"/>
  <c r="BZ661" i="10" a="1"/>
  <c r="BZ661" i="10" s="1"/>
  <c r="CA661" i="10" a="1"/>
  <c r="CA661" i="10" s="1"/>
  <c r="CP635" i="10"/>
  <c r="CQ635" i="10" s="1"/>
  <c r="CR635" i="10" s="1" a="1"/>
  <c r="CR635" i="10" s="1"/>
  <c r="CT635" i="10"/>
  <c r="CU635" i="10" s="1"/>
  <c r="CH635" i="10"/>
  <c r="CI635" i="10" s="1"/>
  <c r="CJ635" i="10" s="1" a="1"/>
  <c r="CJ635" i="10" s="1"/>
  <c r="BT542" i="10"/>
  <c r="BU542" i="10" s="1"/>
  <c r="BV542" i="10" s="1" a="1"/>
  <c r="BV542" i="10" s="1"/>
  <c r="BZ567" i="10" a="1"/>
  <c r="BZ567" i="10" s="1"/>
  <c r="CA567" i="10" a="1"/>
  <c r="CA567" i="10" s="1"/>
  <c r="CW528" i="10" a="1"/>
  <c r="CW528" i="10" s="1"/>
  <c r="CV528" i="10" a="1"/>
  <c r="CV528" i="10" s="1"/>
  <c r="CX508" i="10"/>
  <c r="Z508" i="10" s="1"/>
  <c r="BZ903" i="10" a="1"/>
  <c r="BZ903" i="10" s="1"/>
  <c r="CB903" i="10" s="1"/>
  <c r="S903" i="10" s="1"/>
  <c r="CN759" i="10" a="1"/>
  <c r="CN759" i="10" s="1"/>
  <c r="CV751" i="10" a="1"/>
  <c r="CV751" i="10" s="1"/>
  <c r="CW751" i="10" a="1"/>
  <c r="CW751" i="10" s="1"/>
  <c r="BV761" i="10" a="1"/>
  <c r="BV761" i="10" s="1"/>
  <c r="CB761" i="10" s="1"/>
  <c r="S761" i="10" s="1"/>
  <c r="AF761" i="10" s="1"/>
  <c r="BV678" i="10" a="1"/>
  <c r="BV678" i="10" s="1"/>
  <c r="CB678" i="10" s="1"/>
  <c r="S678" i="10" s="1"/>
  <c r="AF678" i="10" s="1"/>
  <c r="CR603" i="10" a="1"/>
  <c r="CR603" i="10" s="1"/>
  <c r="CT616" i="10"/>
  <c r="CU616" i="10" s="1"/>
  <c r="BP577" i="10"/>
  <c r="BQ577" i="10" s="1"/>
  <c r="BR577" i="10" s="1" a="1"/>
  <c r="BR577" i="10" s="1"/>
  <c r="BZ575" i="10" a="1"/>
  <c r="BZ575" i="10" s="1"/>
  <c r="CA575" i="10" a="1"/>
  <c r="CA575" i="10" s="1"/>
  <c r="BL498" i="10"/>
  <c r="BM498" i="10" s="1"/>
  <c r="BN498" i="10" s="1" a="1"/>
  <c r="BN498" i="10" s="1"/>
  <c r="CT473" i="10"/>
  <c r="CU473" i="10" s="1"/>
  <c r="CN479" i="10" a="1"/>
  <c r="CN479" i="10" s="1"/>
  <c r="CX479" i="10" s="1"/>
  <c r="Z479" i="10" s="1"/>
  <c r="BL973" i="10"/>
  <c r="BM973" i="10" s="1"/>
  <c r="BN973" i="10" s="1" a="1"/>
  <c r="BN973" i="10" s="1"/>
  <c r="CN869" i="10" a="1"/>
  <c r="CN869" i="10" s="1"/>
  <c r="BV784" i="10" a="1"/>
  <c r="BV784" i="10" s="1"/>
  <c r="BV756" i="10" a="1"/>
  <c r="BV756" i="10" s="1"/>
  <c r="CT740" i="10"/>
  <c r="CU740" i="10" s="1"/>
  <c r="CH740" i="10"/>
  <c r="CI740" i="10" s="1"/>
  <c r="CJ740" i="10" s="1" a="1"/>
  <c r="CJ740" i="10" s="1"/>
  <c r="CN717" i="10" a="1"/>
  <c r="CN717" i="10" s="1"/>
  <c r="CX717" i="10" s="1"/>
  <c r="Z717" i="10" s="1"/>
  <c r="BZ675" i="10" a="1"/>
  <c r="BZ675" i="10" s="1"/>
  <c r="CA675" i="10" a="1"/>
  <c r="CA675" i="10" s="1"/>
  <c r="CN713" i="10" a="1"/>
  <c r="CN713" i="10" s="1"/>
  <c r="CX713" i="10" s="1"/>
  <c r="Z713" i="10" s="1"/>
  <c r="CX586" i="10"/>
  <c r="Z586" i="10" s="1"/>
  <c r="BR581" i="10" a="1"/>
  <c r="BR581" i="10" s="1"/>
  <c r="CB581" i="10" s="1"/>
  <c r="S581" i="10" s="1"/>
  <c r="CH577" i="10"/>
  <c r="CI577" i="10" s="1"/>
  <c r="CJ577" i="10" s="1" a="1"/>
  <c r="CJ577" i="10" s="1"/>
  <c r="CX532" i="10"/>
  <c r="Z532" i="10" s="1"/>
  <c r="BZ544" i="10" a="1"/>
  <c r="BZ544" i="10" s="1"/>
  <c r="CA544" i="10" a="1"/>
  <c r="CA544" i="10" s="1"/>
  <c r="CW535" i="10" a="1"/>
  <c r="CW535" i="10" s="1"/>
  <c r="CW539" i="10" a="1"/>
  <c r="CW539" i="10" s="1"/>
  <c r="CV539" i="10" a="1"/>
  <c r="CV539" i="10" s="1"/>
  <c r="BV495" i="10" a="1"/>
  <c r="BV495" i="10" s="1"/>
  <c r="CB495" i="10" s="1"/>
  <c r="S495" i="10" s="1"/>
  <c r="BV434" i="10" a="1"/>
  <c r="BV434" i="10" s="1"/>
  <c r="CV440" i="10" a="1"/>
  <c r="CV440" i="10" s="1"/>
  <c r="CW440" i="10" a="1"/>
  <c r="CW440" i="10" s="1"/>
  <c r="BR859" i="10" a="1"/>
  <c r="BR859" i="10" s="1"/>
  <c r="BR704" i="10" a="1"/>
  <c r="BR704" i="10" s="1"/>
  <c r="CB552" i="10"/>
  <c r="S552" i="10" s="1"/>
  <c r="CT655" i="10"/>
  <c r="CU655" i="10" s="1"/>
  <c r="CP655" i="10"/>
  <c r="CQ655" i="10" s="1"/>
  <c r="CR655" i="10" s="1" a="1"/>
  <c r="CR655" i="10" s="1"/>
  <c r="CH655" i="10"/>
  <c r="CI655" i="10" s="1"/>
  <c r="CJ655" i="10" s="1" a="1"/>
  <c r="CJ655" i="10" s="1"/>
  <c r="CT637" i="10"/>
  <c r="CU637" i="10" s="1"/>
  <c r="CP612" i="10"/>
  <c r="CQ612" i="10" s="1"/>
  <c r="CR612" i="10" s="1" a="1"/>
  <c r="CR612" i="10" s="1"/>
  <c r="CH612" i="10"/>
  <c r="CI612" i="10" s="1"/>
  <c r="CJ612" i="10" s="1" a="1"/>
  <c r="CJ612" i="10" s="1"/>
  <c r="CA583" i="10" a="1"/>
  <c r="CA583" i="10" s="1"/>
  <c r="BZ583" i="10" a="1"/>
  <c r="BZ583" i="10" s="1"/>
  <c r="CA599" i="10" a="1"/>
  <c r="CA599" i="10" s="1"/>
  <c r="BZ599" i="10" a="1"/>
  <c r="BZ599" i="10" s="1"/>
  <c r="CW572" i="10" a="1"/>
  <c r="CW572" i="10" s="1"/>
  <c r="CV572" i="10" a="1"/>
  <c r="CV572" i="10" s="1"/>
  <c r="BT541" i="10"/>
  <c r="BU541" i="10" s="1"/>
  <c r="BV541" i="10" s="1" a="1"/>
  <c r="BV541" i="10" s="1"/>
  <c r="CW500" i="10" a="1"/>
  <c r="CW500" i="10" s="1"/>
  <c r="CV500" i="10" a="1"/>
  <c r="CV500" i="10" s="1"/>
  <c r="BV484" i="10" a="1"/>
  <c r="BV484" i="10" s="1"/>
  <c r="CB484" i="10" s="1"/>
  <c r="S484" i="10" s="1"/>
  <c r="AF484" i="10" s="1"/>
  <c r="BX464" i="10"/>
  <c r="BY464" i="10" s="1"/>
  <c r="CX429" i="10"/>
  <c r="Z429" i="10" s="1"/>
  <c r="CH932" i="10"/>
  <c r="CI932" i="10" s="1"/>
  <c r="CJ932" i="10" s="1" a="1"/>
  <c r="CJ932" i="10" s="1"/>
  <c r="BZ886" i="10" a="1"/>
  <c r="BZ886" i="10" s="1"/>
  <c r="CB886" i="10" s="1"/>
  <c r="S886" i="10" s="1"/>
  <c r="AF886" i="10" s="1"/>
  <c r="CT705" i="10"/>
  <c r="CU705" i="10" s="1"/>
  <c r="BR682" i="10" a="1"/>
  <c r="BR682" i="10" s="1"/>
  <c r="BZ727" i="10" a="1"/>
  <c r="BZ727" i="10" s="1"/>
  <c r="CA727" i="10" a="1"/>
  <c r="CA727" i="10" s="1"/>
  <c r="CT729" i="10"/>
  <c r="CU729" i="10" s="1"/>
  <c r="CW672" i="10" a="1"/>
  <c r="CW672" i="10" s="1"/>
  <c r="CV672" i="10" a="1"/>
  <c r="CV672" i="10" s="1"/>
  <c r="CL660" i="10"/>
  <c r="CM660" i="10" s="1"/>
  <c r="CN660" i="10" s="1" a="1"/>
  <c r="CN660" i="10" s="1"/>
  <c r="CN552" i="10" a="1"/>
  <c r="CN552" i="10" s="1"/>
  <c r="CX552" i="10" s="1"/>
  <c r="Z552" i="10" s="1"/>
  <c r="CT636" i="10"/>
  <c r="CU636" i="10" s="1"/>
  <c r="BR543" i="10" a="1"/>
  <c r="BR543" i="10" s="1"/>
  <c r="CB543" i="10" s="1"/>
  <c r="S543" i="10" s="1"/>
  <c r="BT561" i="10"/>
  <c r="BU561" i="10" s="1"/>
  <c r="BV561" i="10" s="1" a="1"/>
  <c r="BV561" i="10" s="1"/>
  <c r="BX573" i="10"/>
  <c r="BY573" i="10" s="1"/>
  <c r="CW568" i="10" a="1"/>
  <c r="CW568" i="10" s="1"/>
  <c r="CV568" i="10" a="1"/>
  <c r="CV568" i="10" s="1"/>
  <c r="BV571" i="10" a="1"/>
  <c r="BV571" i="10" s="1"/>
  <c r="CB571" i="10" s="1"/>
  <c r="S571" i="10" s="1"/>
  <c r="CA481" i="10" a="1"/>
  <c r="CA481" i="10" s="1"/>
  <c r="BZ481" i="10" a="1"/>
  <c r="BZ481" i="10" s="1"/>
  <c r="CL503" i="10"/>
  <c r="CM503" i="10" s="1"/>
  <c r="CN503" i="10" s="1" a="1"/>
  <c r="CN503" i="10" s="1"/>
  <c r="BT482" i="10"/>
  <c r="BU482" i="10" s="1"/>
  <c r="BV482" i="10" s="1" a="1"/>
  <c r="BV482" i="10" s="1"/>
  <c r="BP957" i="10"/>
  <c r="BQ957" i="10" s="1"/>
  <c r="BR957" i="10" s="1" a="1"/>
  <c r="BR957" i="10" s="1"/>
  <c r="BZ919" i="10" a="1"/>
  <c r="BZ919" i="10" s="1"/>
  <c r="CB919" i="10" s="1"/>
  <c r="S919" i="10" s="1"/>
  <c r="BL930" i="10"/>
  <c r="BM930" i="10" s="1"/>
  <c r="BN930" i="10" s="1" a="1"/>
  <c r="BN930" i="10" s="1"/>
  <c r="AF838" i="10"/>
  <c r="CH774" i="10"/>
  <c r="CI774" i="10" s="1"/>
  <c r="CJ774" i="10" s="1" a="1"/>
  <c r="CJ774" i="10" s="1"/>
  <c r="CV719" i="10" a="1"/>
  <c r="CV719" i="10" s="1"/>
  <c r="CW719" i="10" a="1"/>
  <c r="CW719" i="10" s="1"/>
  <c r="CR662" i="10" a="1"/>
  <c r="CR662" i="10" s="1"/>
  <c r="BR718" i="10" a="1"/>
  <c r="BR718" i="10" s="1"/>
  <c r="CB718" i="10" s="1"/>
  <c r="S718" i="10" s="1"/>
  <c r="AF718" i="10" s="1"/>
  <c r="CB683" i="10"/>
  <c r="S683" i="10" s="1"/>
  <c r="CX594" i="10"/>
  <c r="Z594" i="10" s="1"/>
  <c r="BR574" i="10" a="1"/>
  <c r="BR574" i="10" s="1"/>
  <c r="CN546" i="10" a="1"/>
  <c r="CN546" i="10" s="1"/>
  <c r="BP609" i="10"/>
  <c r="BQ609" i="10" s="1"/>
  <c r="BR609" i="10" s="1" a="1"/>
  <c r="BR609" i="10" s="1"/>
  <c r="CR580" i="10" a="1"/>
  <c r="CR580" i="10" s="1"/>
  <c r="CX580" i="10" s="1"/>
  <c r="Z580" i="10" s="1"/>
  <c r="CW576" i="10" a="1"/>
  <c r="CW576" i="10" s="1"/>
  <c r="CV576" i="10" a="1"/>
  <c r="CV576" i="10" s="1"/>
  <c r="CV556" i="10" a="1"/>
  <c r="CV556" i="10" s="1"/>
  <c r="CW556" i="10" a="1"/>
  <c r="CW556" i="10" s="1"/>
  <c r="CH510" i="10"/>
  <c r="CI510" i="10" s="1"/>
  <c r="CJ510" i="10" s="1" a="1"/>
  <c r="CJ510" i="10" s="1"/>
  <c r="CB524" i="10"/>
  <c r="S524" i="10" s="1"/>
  <c r="CP503" i="10"/>
  <c r="CQ503" i="10" s="1"/>
  <c r="BP487" i="10"/>
  <c r="BQ487" i="10" s="1"/>
  <c r="BR487" i="10" s="1" a="1"/>
  <c r="BR487" i="10" s="1"/>
  <c r="CB473" i="10"/>
  <c r="S473" i="10" s="1"/>
  <c r="BV454" i="10" a="1"/>
  <c r="BV454" i="10" s="1"/>
  <c r="CB454" i="10" s="1"/>
  <c r="S454" i="10" s="1"/>
  <c r="AF454" i="10" s="1"/>
  <c r="CL457" i="10"/>
  <c r="CM457" i="10" s="1"/>
  <c r="CN457" i="10" s="1" a="1"/>
  <c r="CN457" i="10" s="1"/>
  <c r="BV453" i="10" a="1"/>
  <c r="BV453" i="10" s="1"/>
  <c r="CN975" i="10" a="1"/>
  <c r="CN975" i="10" s="1"/>
  <c r="BR971" i="10" a="1"/>
  <c r="BR971" i="10" s="1"/>
  <c r="CB971" i="10" s="1"/>
  <c r="S971" i="10" s="1"/>
  <c r="CN902" i="10" a="1"/>
  <c r="CN902" i="10" s="1"/>
  <c r="CX902" i="10" s="1"/>
  <c r="Z902" i="10" s="1"/>
  <c r="BZ833" i="10" a="1"/>
  <c r="BZ833" i="10" s="1"/>
  <c r="CB833" i="10" s="1"/>
  <c r="S833" i="10" s="1"/>
  <c r="AF833" i="10" s="1"/>
  <c r="CN860" i="10" a="1"/>
  <c r="CN860" i="10" s="1"/>
  <c r="CX860" i="10" s="1"/>
  <c r="Z860" i="10" s="1"/>
  <c r="AF741" i="10"/>
  <c r="CX698" i="10"/>
  <c r="Z698" i="10" s="1"/>
  <c r="BZ662" i="10" a="1"/>
  <c r="BZ662" i="10" s="1"/>
  <c r="CA662" i="10" a="1"/>
  <c r="CA662" i="10" s="1"/>
  <c r="CW679" i="10" a="1"/>
  <c r="CW679" i="10" s="1"/>
  <c r="CV679" i="10" a="1"/>
  <c r="CV679" i="10" s="1"/>
  <c r="CB618" i="10"/>
  <c r="S618" i="10" s="1"/>
  <c r="BX668" i="10"/>
  <c r="BY668" i="10" s="1"/>
  <c r="BZ720" i="10" a="1"/>
  <c r="BZ720" i="10" s="1"/>
  <c r="CA720" i="10" a="1"/>
  <c r="CA720" i="10" s="1"/>
  <c r="CL692" i="10"/>
  <c r="CM692" i="10" s="1"/>
  <c r="CN692" i="10" s="1" a="1"/>
  <c r="CN692" i="10" s="1"/>
  <c r="BV587" i="10" a="1"/>
  <c r="BV587" i="10" s="1"/>
  <c r="CB587" i="10" s="1"/>
  <c r="S587" i="10" s="1"/>
  <c r="AF587" i="10" s="1"/>
  <c r="BT592" i="10"/>
  <c r="BU592" i="10" s="1"/>
  <c r="BV592" i="10" s="1" a="1"/>
  <c r="BV592" i="10" s="1"/>
  <c r="CH656" i="10"/>
  <c r="CI656" i="10" s="1"/>
  <c r="CJ656" i="10" s="1" a="1"/>
  <c r="CJ656" i="10" s="1"/>
  <c r="CP656" i="10"/>
  <c r="CQ656" i="10" s="1"/>
  <c r="CX564" i="10"/>
  <c r="Z564" i="10" s="1"/>
  <c r="BV476" i="10" a="1"/>
  <c r="BV476" i="10" s="1"/>
  <c r="CB476" i="10" s="1"/>
  <c r="S476" i="10" s="1"/>
  <c r="CA513" i="10" a="1"/>
  <c r="CA513" i="10" s="1"/>
  <c r="BZ513" i="10" a="1"/>
  <c r="BZ513" i="10" s="1"/>
  <c r="BV477" i="10" a="1"/>
  <c r="BV477" i="10" s="1"/>
  <c r="CB477" i="10" s="1"/>
  <c r="S477" i="10" s="1"/>
  <c r="BT427" i="10"/>
  <c r="BU427" i="10" s="1"/>
  <c r="CN522" i="10" a="1"/>
  <c r="CN522" i="10" s="1"/>
  <c r="CX522" i="10" s="1"/>
  <c r="Z522" i="10" s="1"/>
  <c r="BP445" i="10"/>
  <c r="BQ445" i="10" s="1"/>
  <c r="BR445" i="10" s="1" a="1"/>
  <c r="BR445" i="10" s="1"/>
  <c r="CB425" i="10"/>
  <c r="S425" i="10" s="1"/>
  <c r="AF425" i="10" s="1"/>
  <c r="CA395" i="10" a="1"/>
  <c r="CA395" i="10" s="1"/>
  <c r="BZ395" i="10" a="1"/>
  <c r="BZ395" i="10" s="1"/>
  <c r="BT356" i="10"/>
  <c r="BU356" i="10" s="1"/>
  <c r="BV356" i="10" s="1" a="1"/>
  <c r="BV356" i="10" s="1"/>
  <c r="CP324" i="10"/>
  <c r="CQ324" i="10" s="1"/>
  <c r="CR324" i="10" s="1" a="1"/>
  <c r="CR324" i="10" s="1"/>
  <c r="BV291" i="10" a="1"/>
  <c r="BV291" i="10" s="1"/>
  <c r="CV277" i="10" a="1"/>
  <c r="CV277" i="10" s="1"/>
  <c r="CW277" i="10" a="1"/>
  <c r="CW277" i="10" s="1"/>
  <c r="CH300" i="10"/>
  <c r="CI300" i="10" s="1"/>
  <c r="CJ300" i="10" s="1" a="1"/>
  <c r="CJ300" i="10" s="1"/>
  <c r="CV270" i="10" a="1"/>
  <c r="CV270" i="10" s="1"/>
  <c r="CW270" i="10" a="1"/>
  <c r="CW270" i="10" s="1"/>
  <c r="BZ270" i="10" a="1"/>
  <c r="BZ270" i="10" s="1"/>
  <c r="CA270" i="10" a="1"/>
  <c r="CA270" i="10" s="1"/>
  <c r="CA219" i="10" a="1"/>
  <c r="CA219" i="10" s="1"/>
  <c r="BZ219" i="10" a="1"/>
  <c r="BZ219" i="10" s="1"/>
  <c r="CB213" i="10"/>
  <c r="S213" i="10" s="1"/>
  <c r="CN197" i="10" a="1"/>
  <c r="CN197" i="10" s="1"/>
  <c r="CA187" i="10" a="1"/>
  <c r="CA187" i="10" s="1"/>
  <c r="BZ187" i="10" a="1"/>
  <c r="BZ187" i="10" s="1"/>
  <c r="CB158" i="10"/>
  <c r="S158" i="10" s="1"/>
  <c r="CR546" i="10" a="1"/>
  <c r="CR546" i="10" s="1"/>
  <c r="CN480" i="10" a="1"/>
  <c r="CN480" i="10" s="1"/>
  <c r="CX480" i="10" s="1"/>
  <c r="Z480" i="10" s="1"/>
  <c r="CW413" i="10" a="1"/>
  <c r="CW413" i="10" s="1"/>
  <c r="CV413" i="10" a="1"/>
  <c r="CV413" i="10" s="1"/>
  <c r="CB403" i="10"/>
  <c r="S403" i="10" s="1"/>
  <c r="AF403" i="10" s="1"/>
  <c r="BR350" i="10" a="1"/>
  <c r="BR350" i="10" s="1"/>
  <c r="CB350" i="10" s="1"/>
  <c r="S350" i="10" s="1"/>
  <c r="CB355" i="10"/>
  <c r="S355" i="10" s="1"/>
  <c r="CN313" i="10" a="1"/>
  <c r="CN313" i="10" s="1"/>
  <c r="CL282" i="10"/>
  <c r="CM282" i="10" s="1"/>
  <c r="CN282" i="10" s="1" a="1"/>
  <c r="CN282" i="10" s="1"/>
  <c r="BZ225" i="10" a="1"/>
  <c r="BZ225" i="10" s="1"/>
  <c r="CA225" i="10" a="1"/>
  <c r="CA225" i="10" s="1"/>
  <c r="CV229" i="10" a="1"/>
  <c r="CV229" i="10" s="1"/>
  <c r="CW229" i="10" a="1"/>
  <c r="CW229" i="10" s="1"/>
  <c r="CV219" i="10" a="1"/>
  <c r="CV219" i="10" s="1"/>
  <c r="CW219" i="10" a="1"/>
  <c r="CW219" i="10" s="1"/>
  <c r="CW188" i="10" a="1"/>
  <c r="CW188" i="10" s="1"/>
  <c r="CV188" i="10" a="1"/>
  <c r="CV188" i="10" s="1"/>
  <c r="CX126" i="10"/>
  <c r="Z126" i="10" s="1"/>
  <c r="CX716" i="10"/>
  <c r="Z716" i="10" s="1"/>
  <c r="AF716" i="10" s="1"/>
  <c r="BR695" i="10" a="1"/>
  <c r="BR695" i="10" s="1"/>
  <c r="CB695" i="10" s="1"/>
  <c r="S695" i="10" s="1"/>
  <c r="BZ626" i="10" a="1"/>
  <c r="BZ626" i="10" s="1"/>
  <c r="CB626" i="10" s="1"/>
  <c r="S626" i="10" s="1"/>
  <c r="BL541" i="10"/>
  <c r="BM541" i="10" s="1"/>
  <c r="BN541" i="10" s="1" a="1"/>
  <c r="BN541" i="10" s="1"/>
  <c r="CX408" i="10"/>
  <c r="Z408" i="10" s="1"/>
  <c r="CR386" i="10" a="1"/>
  <c r="CR386" i="10" s="1"/>
  <c r="CX386" i="10" s="1"/>
  <c r="Z386" i="10" s="1"/>
  <c r="CH357" i="10"/>
  <c r="CI357" i="10" s="1"/>
  <c r="CJ357" i="10" s="1" a="1"/>
  <c r="CJ357" i="10" s="1"/>
  <c r="CN335" i="10" a="1"/>
  <c r="CN335" i="10" s="1"/>
  <c r="CX335" i="10" s="1"/>
  <c r="Z335" i="10" s="1"/>
  <c r="AF335" i="10" s="1"/>
  <c r="CA302" i="10" a="1"/>
  <c r="CA302" i="10" s="1"/>
  <c r="BZ302" i="10" a="1"/>
  <c r="BZ302" i="10" s="1"/>
  <c r="CT268" i="10"/>
  <c r="CU268" i="10" s="1"/>
  <c r="CW244" i="10" a="1"/>
  <c r="CW244" i="10" s="1"/>
  <c r="CV244" i="10" a="1"/>
  <c r="CV244" i="10" s="1"/>
  <c r="CP226" i="10"/>
  <c r="CQ226" i="10" s="1"/>
  <c r="CR226" i="10" s="1" a="1"/>
  <c r="CR226" i="10" s="1"/>
  <c r="CT226" i="10"/>
  <c r="CU226" i="10" s="1"/>
  <c r="CH226" i="10"/>
  <c r="CI226" i="10" s="1"/>
  <c r="CJ226" i="10" s="1" a="1"/>
  <c r="CJ226" i="10" s="1"/>
  <c r="BV165" i="10" a="1"/>
  <c r="BV165" i="10" s="1"/>
  <c r="BZ179" i="10" a="1"/>
  <c r="BZ179" i="10" s="1"/>
  <c r="CA179" i="10" a="1"/>
  <c r="CA179" i="10" s="1"/>
  <c r="CH145" i="10"/>
  <c r="CI145" i="10" s="1"/>
  <c r="CJ145" i="10" s="1" a="1"/>
  <c r="CJ145" i="10" s="1"/>
  <c r="BX132" i="10"/>
  <c r="BY132" i="10" s="1"/>
  <c r="CV127" i="10" a="1"/>
  <c r="CV127" i="10" s="1"/>
  <c r="CW127" i="10" a="1"/>
  <c r="CW127" i="10" s="1"/>
  <c r="BV675" i="10" a="1"/>
  <c r="BV675" i="10" s="1"/>
  <c r="BV574" i="10" a="1"/>
  <c r="BV574" i="10" s="1"/>
  <c r="CT575" i="10"/>
  <c r="CU575" i="10" s="1"/>
  <c r="BZ460" i="10" a="1"/>
  <c r="BZ460" i="10" s="1"/>
  <c r="CV395" i="10" a="1"/>
  <c r="CV395" i="10" s="1"/>
  <c r="CW395" i="10" a="1"/>
  <c r="CW395" i="10" s="1"/>
  <c r="CL357" i="10"/>
  <c r="CM357" i="10" s="1"/>
  <c r="CR357" i="10" s="1" a="1"/>
  <c r="CR357" i="10" s="1"/>
  <c r="CB362" i="10"/>
  <c r="S362" i="10" s="1"/>
  <c r="BZ347" i="10" a="1"/>
  <c r="BZ347" i="10" s="1"/>
  <c r="CA347" i="10" a="1"/>
  <c r="CA347" i="10" s="1"/>
  <c r="CW283" i="10" a="1"/>
  <c r="CW283" i="10" s="1"/>
  <c r="CV283" i="10" a="1"/>
  <c r="CV283" i="10" s="1"/>
  <c r="CX307" i="10"/>
  <c r="Z307" i="10" s="1"/>
  <c r="CA183" i="10" a="1"/>
  <c r="CA183" i="10" s="1"/>
  <c r="BZ183" i="10" a="1"/>
  <c r="BZ183" i="10" s="1"/>
  <c r="CB183" i="10" s="1"/>
  <c r="S183" i="10" s="1"/>
  <c r="CN169" i="10" a="1"/>
  <c r="CN169" i="10" s="1"/>
  <c r="CX169" i="10" s="1"/>
  <c r="Z169" i="10" s="1"/>
  <c r="BV144" i="10" a="1"/>
  <c r="BV144" i="10" s="1"/>
  <c r="CB144" i="10" s="1"/>
  <c r="S144" i="10" s="1"/>
  <c r="CR793" i="10" a="1"/>
  <c r="CR793" i="10" s="1"/>
  <c r="CX793" i="10" s="1"/>
  <c r="Z793" i="10" s="1"/>
  <c r="CV570" i="10" a="1"/>
  <c r="CV570" i="10" s="1"/>
  <c r="CX570" i="10" s="1"/>
  <c r="Z570" i="10" s="1"/>
  <c r="AF570" i="10" s="1"/>
  <c r="CV523" i="10" a="1"/>
  <c r="CV523" i="10" s="1"/>
  <c r="CT411" i="10"/>
  <c r="CU411" i="10" s="1"/>
  <c r="BV343" i="10" a="1"/>
  <c r="BV343" i="10" s="1"/>
  <c r="CX352" i="10"/>
  <c r="Z352" i="10" s="1"/>
  <c r="CT290" i="10"/>
  <c r="CU290" i="10" s="1"/>
  <c r="CB315" i="10"/>
  <c r="S315" i="10" s="1"/>
  <c r="CB295" i="10"/>
  <c r="S295" i="10" s="1"/>
  <c r="CR278" i="10" a="1"/>
  <c r="CR278" i="10" s="1"/>
  <c r="CX278" i="10" s="1"/>
  <c r="Z278" i="10" s="1"/>
  <c r="CP253" i="10"/>
  <c r="CQ253" i="10" s="1"/>
  <c r="CR253" i="10" s="1" a="1"/>
  <c r="CR253" i="10" s="1"/>
  <c r="CB221" i="10"/>
  <c r="S221" i="10" s="1"/>
  <c r="CN215" i="10" a="1"/>
  <c r="CN215" i="10" s="1"/>
  <c r="CP157" i="10"/>
  <c r="CQ157" i="10" s="1"/>
  <c r="CR157" i="10" s="1" a="1"/>
  <c r="CR157" i="10" s="1"/>
  <c r="CL162" i="10"/>
  <c r="CM162" i="10" s="1"/>
  <c r="CX144" i="10"/>
  <c r="Z144" i="10" s="1"/>
  <c r="CV593" i="10" a="1"/>
  <c r="CV593" i="10" s="1"/>
  <c r="BR631" i="10" a="1"/>
  <c r="BR631" i="10" s="1"/>
  <c r="CB631" i="10" s="1"/>
  <c r="S631" i="10" s="1"/>
  <c r="BR555" i="10" a="1"/>
  <c r="BR555" i="10" s="1"/>
  <c r="CT571" i="10"/>
  <c r="CU571" i="10" s="1"/>
  <c r="BR446" i="10" a="1"/>
  <c r="BR446" i="10" s="1"/>
  <c r="CV401" i="10" a="1"/>
  <c r="CV401" i="10" s="1"/>
  <c r="CW401" i="10" a="1"/>
  <c r="CW401" i="10" s="1"/>
  <c r="CB399" i="10"/>
  <c r="S399" i="10" s="1"/>
  <c r="CH363" i="10"/>
  <c r="CI363" i="10" s="1"/>
  <c r="CJ363" i="10" s="1" a="1"/>
  <c r="CJ363" i="10" s="1"/>
  <c r="CW342" i="10" a="1"/>
  <c r="CW342" i="10" s="1"/>
  <c r="CV342" i="10" a="1"/>
  <c r="CV342" i="10" s="1"/>
  <c r="BX328" i="10"/>
  <c r="BY328" i="10" s="1"/>
  <c r="CB292" i="10"/>
  <c r="S292" i="10" s="1"/>
  <c r="CB256" i="10"/>
  <c r="S256" i="10" s="1"/>
  <c r="BX228" i="10"/>
  <c r="BY228" i="10" s="1"/>
  <c r="CB161" i="10"/>
  <c r="S161" i="10" s="1"/>
  <c r="BP149" i="10"/>
  <c r="BQ149" i="10" s="1"/>
  <c r="BX149" i="10"/>
  <c r="BY149" i="10" s="1"/>
  <c r="BX156" i="10"/>
  <c r="BY156" i="10" s="1"/>
  <c r="BR437" i="10" a="1"/>
  <c r="BR437" i="10" s="1"/>
  <c r="CB437" i="10" s="1"/>
  <c r="S437" i="10" s="1"/>
  <c r="CH435" i="10"/>
  <c r="CI435" i="10" s="1"/>
  <c r="CJ435" i="10" s="1" a="1"/>
  <c r="CJ435" i="10" s="1"/>
  <c r="BP415" i="10"/>
  <c r="BQ415" i="10" s="1"/>
  <c r="BR415" i="10" s="1" a="1"/>
  <c r="BR415" i="10" s="1"/>
  <c r="BT379" i="10"/>
  <c r="BU379" i="10" s="1"/>
  <c r="BV379" i="10" s="1" a="1"/>
  <c r="BV379" i="10" s="1"/>
  <c r="CH359" i="10"/>
  <c r="CI359" i="10" s="1"/>
  <c r="CJ359" i="10" s="1" a="1"/>
  <c r="CJ359" i="10" s="1"/>
  <c r="BT281" i="10"/>
  <c r="BU281" i="10" s="1"/>
  <c r="BV281" i="10" s="1" a="1"/>
  <c r="BV281" i="10" s="1"/>
  <c r="CH286" i="10"/>
  <c r="CI286" i="10" s="1"/>
  <c r="CJ286" i="10" s="1" a="1"/>
  <c r="CJ286" i="10" s="1"/>
  <c r="CP224" i="10"/>
  <c r="CQ224" i="10" s="1"/>
  <c r="CR224" i="10" s="1" a="1"/>
  <c r="CR224" i="10" s="1"/>
  <c r="BT239" i="10"/>
  <c r="BU239" i="10" s="1"/>
  <c r="BV239" i="10" s="1" a="1"/>
  <c r="BV239" i="10" s="1"/>
  <c r="CX191" i="10"/>
  <c r="Z191" i="10" s="1"/>
  <c r="CW181" i="10" a="1"/>
  <c r="CW181" i="10" s="1"/>
  <c r="CV181" i="10" a="1"/>
  <c r="CV181" i="10" s="1"/>
  <c r="CH162" i="10"/>
  <c r="CI162" i="10" s="1"/>
  <c r="CJ162" i="10" s="1" a="1"/>
  <c r="CJ162" i="10" s="1"/>
  <c r="BV152" i="10" a="1"/>
  <c r="BV152" i="10" s="1"/>
  <c r="BT147" i="10"/>
  <c r="BU147" i="10" s="1"/>
  <c r="BZ147" i="10" s="1" a="1"/>
  <c r="BZ147" i="10" s="1"/>
  <c r="BT142" i="10"/>
  <c r="BU142" i="10" s="1"/>
  <c r="BV142" i="10" s="1" a="1"/>
  <c r="BV142" i="10" s="1"/>
  <c r="BZ123" i="10" a="1"/>
  <c r="BZ123" i="10" s="1"/>
  <c r="CA123" i="10" a="1"/>
  <c r="CA123" i="10" s="1"/>
  <c r="BR715" i="10" a="1"/>
  <c r="BR715" i="10" s="1"/>
  <c r="CB715" i="10" s="1"/>
  <c r="S715" i="10" s="1"/>
  <c r="CX507" i="10"/>
  <c r="Z507" i="10" s="1"/>
  <c r="CV466" i="10" a="1"/>
  <c r="CV466" i="10" s="1"/>
  <c r="CX466" i="10" s="1"/>
  <c r="Z466" i="10" s="1"/>
  <c r="BX324" i="10"/>
  <c r="BY324" i="10" s="1"/>
  <c r="CL381" i="10"/>
  <c r="CM381" i="10" s="1"/>
  <c r="CN381" i="10" s="1" a="1"/>
  <c r="CN381" i="10" s="1"/>
  <c r="BT372" i="10"/>
  <c r="BU372" i="10" s="1"/>
  <c r="BV372" i="10" s="1" a="1"/>
  <c r="BV372" i="10" s="1"/>
  <c r="CB354" i="10"/>
  <c r="S354" i="10" s="1"/>
  <c r="BT344" i="10"/>
  <c r="BU344" i="10" s="1"/>
  <c r="BV344" i="10" s="1" a="1"/>
  <c r="BV344" i="10" s="1"/>
  <c r="CT276" i="10"/>
  <c r="CU276" i="10" s="1"/>
  <c r="CT243" i="10"/>
  <c r="CU243" i="10" s="1"/>
  <c r="CX225" i="10"/>
  <c r="Z225" i="10" s="1"/>
  <c r="CR187" i="10" a="1"/>
  <c r="CR187" i="10" s="1"/>
  <c r="CX187" i="10" s="1"/>
  <c r="Z187" i="10" s="1"/>
  <c r="BP147" i="10"/>
  <c r="BQ147" i="10" s="1"/>
  <c r="BR147" i="10" s="1" a="1"/>
  <c r="BR147" i="10" s="1"/>
  <c r="BV409" i="10" a="1"/>
  <c r="BV409" i="10" s="1"/>
  <c r="CV382" i="10" a="1"/>
  <c r="CV382" i="10" s="1"/>
  <c r="CN299" i="10" a="1"/>
  <c r="CN299" i="10" s="1"/>
  <c r="CX299" i="10" s="1"/>
  <c r="Z299" i="10" s="1"/>
  <c r="CR202" i="10" a="1"/>
  <c r="CR202" i="10" s="1"/>
  <c r="CX202" i="10" s="1"/>
  <c r="Z202" i="10" s="1"/>
  <c r="CN127" i="10" a="1"/>
  <c r="CN127" i="10" s="1"/>
  <c r="CN291" i="10" a="1"/>
  <c r="CN291" i="10" s="1"/>
  <c r="CX291" i="10" s="1"/>
  <c r="Z291" i="10" s="1"/>
  <c r="BR265" i="10" a="1"/>
  <c r="BR265" i="10" s="1"/>
  <c r="CR322" i="10" a="1"/>
  <c r="CR322" i="10" s="1"/>
  <c r="CJ186" i="10" a="1"/>
  <c r="CJ186" i="10" s="1"/>
  <c r="CX186" i="10" s="1"/>
  <c r="Z186" i="10" s="1"/>
  <c r="BZ384" i="10" a="1"/>
  <c r="BZ384" i="10" s="1"/>
  <c r="BP367" i="10"/>
  <c r="BQ367" i="10" s="1"/>
  <c r="BR367" i="10" s="1" a="1"/>
  <c r="BR367" i="10" s="1"/>
  <c r="CN283" i="10" a="1"/>
  <c r="CN283" i="10" s="1"/>
  <c r="BZ167" i="10" a="1"/>
  <c r="BZ167" i="10" s="1"/>
  <c r="CB167" i="10" s="1"/>
  <c r="S167" i="10" s="1"/>
  <c r="CV255" i="10" a="1"/>
  <c r="CV255" i="10" s="1"/>
  <c r="CX255" i="10" s="1"/>
  <c r="Z255" i="10" s="1"/>
  <c r="CR171" i="10" a="1"/>
  <c r="CR171" i="10" s="1"/>
  <c r="CN319" i="10" a="1"/>
  <c r="CN319" i="10" s="1"/>
  <c r="CX319" i="10" s="1"/>
  <c r="Z319" i="10" s="1"/>
  <c r="AF319" i="10" s="1"/>
  <c r="CV178" i="10" a="1"/>
  <c r="CV178" i="10" s="1"/>
  <c r="CX178" i="10" s="1"/>
  <c r="Z178" i="10" s="1"/>
  <c r="CN130" i="10" a="1"/>
  <c r="CN130" i="10" s="1"/>
  <c r="CX130" i="10" s="1"/>
  <c r="Z130" i="10" s="1"/>
  <c r="BR357" i="10" a="1"/>
  <c r="BR357" i="10" s="1"/>
  <c r="CB357" i="10" s="1"/>
  <c r="S357" i="10" s="1"/>
  <c r="CV266" i="10" a="1"/>
  <c r="CV266" i="10" s="1"/>
  <c r="CX266" i="10" s="1"/>
  <c r="Z266" i="10" s="1"/>
  <c r="BR166" i="10" a="1"/>
  <c r="BR166" i="10" s="1"/>
  <c r="CV154" i="10" a="1"/>
  <c r="CV154" i="10" s="1"/>
  <c r="CX154" i="10" s="1"/>
  <c r="Z154" i="10" s="1"/>
  <c r="CR131" i="10" a="1"/>
  <c r="CR131" i="10" s="1"/>
  <c r="CX131" i="10" s="1"/>
  <c r="Z131" i="10" s="1"/>
  <c r="CW895" i="10" a="1"/>
  <c r="CW895" i="10" s="1"/>
  <c r="CV895" i="10" a="1"/>
  <c r="CV895" i="10" s="1"/>
  <c r="CA859" i="10" a="1"/>
  <c r="CA859" i="10" s="1"/>
  <c r="BZ859" i="10" a="1"/>
  <c r="BZ859" i="10" s="1"/>
  <c r="CH827" i="10"/>
  <c r="CI827" i="10" s="1"/>
  <c r="CJ827" i="10" s="1" a="1"/>
  <c r="CJ827" i="10" s="1"/>
  <c r="CP827" i="10"/>
  <c r="CQ827" i="10" s="1"/>
  <c r="CR827" i="10" s="1" a="1"/>
  <c r="CR827" i="10" s="1"/>
  <c r="BP805" i="10"/>
  <c r="BQ805" i="10" s="1"/>
  <c r="BR805" i="10" s="1" a="1"/>
  <c r="BR805" i="10" s="1"/>
  <c r="BL805" i="10"/>
  <c r="BM805" i="10" s="1"/>
  <c r="BN805" i="10" s="1" a="1"/>
  <c r="BN805" i="10" s="1"/>
  <c r="CA847" i="10" a="1"/>
  <c r="CA847" i="10" s="1"/>
  <c r="BZ847" i="10" a="1"/>
  <c r="BZ847" i="10" s="1"/>
  <c r="CB808" i="10"/>
  <c r="S808" i="10" s="1"/>
  <c r="CN971" i="10" a="1"/>
  <c r="CN971" i="10" s="1"/>
  <c r="CP945" i="10"/>
  <c r="CQ945" i="10" s="1"/>
  <c r="CR945" i="10" s="1" a="1"/>
  <c r="CR945" i="10" s="1"/>
  <c r="CB863" i="10"/>
  <c r="S863" i="10" s="1"/>
  <c r="BR1008" i="10" a="1"/>
  <c r="BR1008" i="10" s="1"/>
  <c r="CB1008" i="10" s="1"/>
  <c r="S1008" i="10" s="1"/>
  <c r="BR1014" i="10" a="1"/>
  <c r="BR1014" i="10" s="1"/>
  <c r="CB1014" i="10" s="1"/>
  <c r="S1014" i="10" s="1"/>
  <c r="AF1014" i="10" s="1"/>
  <c r="CB770" i="10"/>
  <c r="S770" i="10" s="1"/>
  <c r="CA999" i="10" a="1"/>
  <c r="CA999" i="10" s="1"/>
  <c r="BZ999" i="10" a="1"/>
  <c r="BZ999" i="10" s="1"/>
  <c r="CX919" i="10"/>
  <c r="Z919" i="10" s="1"/>
  <c r="CV972" i="10" a="1"/>
  <c r="CV972" i="10" s="1"/>
  <c r="CW972" i="10" a="1"/>
  <c r="CW972" i="10" s="1"/>
  <c r="CN926" i="10" a="1"/>
  <c r="CN926" i="10" s="1"/>
  <c r="CW891" i="10" a="1"/>
  <c r="CW891" i="10" s="1"/>
  <c r="CV891" i="10" a="1"/>
  <c r="CV891" i="10" s="1"/>
  <c r="CX987" i="10"/>
  <c r="Z987" i="10" s="1"/>
  <c r="CR989" i="10" a="1"/>
  <c r="CR989" i="10" s="1"/>
  <c r="CW927" i="10" a="1"/>
  <c r="CW927" i="10" s="1"/>
  <c r="CV927" i="10" a="1"/>
  <c r="CV927" i="10" s="1"/>
  <c r="CV897" i="10" a="1"/>
  <c r="CV897" i="10" s="1"/>
  <c r="CW897" i="10" a="1"/>
  <c r="CW897" i="10" s="1"/>
  <c r="CR788" i="10" a="1"/>
  <c r="CR788" i="10" s="1"/>
  <c r="CX788" i="10" s="1"/>
  <c r="Z788" i="10" s="1"/>
  <c r="BR893" i="10" a="1"/>
  <c r="BR893" i="10" s="1"/>
  <c r="CB893" i="10" s="1"/>
  <c r="S893" i="10" s="1"/>
  <c r="AF893" i="10" s="1"/>
  <c r="CB855" i="10"/>
  <c r="S855" i="10" s="1"/>
  <c r="BZ639" i="10" a="1"/>
  <c r="BZ639" i="10" s="1"/>
  <c r="CA639" i="10" a="1"/>
  <c r="CA639" i="10" s="1"/>
  <c r="CX520" i="10"/>
  <c r="Z520" i="10" s="1"/>
  <c r="BZ751" i="10" a="1"/>
  <c r="BZ751" i="10" s="1"/>
  <c r="CA751" i="10" a="1"/>
  <c r="CA751" i="10" s="1"/>
  <c r="CV603" i="10" a="1"/>
  <c r="CV603" i="10" s="1"/>
  <c r="CW603" i="10" a="1"/>
  <c r="CW603" i="10" s="1"/>
  <c r="CR776" i="10" a="1"/>
  <c r="CR776" i="10" s="1"/>
  <c r="CX476" i="10"/>
  <c r="Z476" i="10" s="1"/>
  <c r="BZ486" i="10" a="1"/>
  <c r="BZ486" i="10" s="1"/>
  <c r="CA486" i="10" a="1"/>
  <c r="CA486" i="10" s="1"/>
  <c r="CX432" i="10"/>
  <c r="Z432" i="10" s="1"/>
  <c r="AF432" i="10" s="1"/>
  <c r="BP612" i="10"/>
  <c r="BQ612" i="10" s="1"/>
  <c r="BT612" i="10"/>
  <c r="BU612" i="10" s="1"/>
  <c r="BX612" i="10"/>
  <c r="BY612" i="10" s="1"/>
  <c r="BL612" i="10"/>
  <c r="BM612" i="10" s="1"/>
  <c r="BN612" i="10" s="1" a="1"/>
  <c r="BN612" i="10" s="1"/>
  <c r="CX540" i="10"/>
  <c r="Z540" i="10" s="1"/>
  <c r="BP726" i="10"/>
  <c r="BQ726" i="10" s="1"/>
  <c r="BR726" i="10" s="1" a="1"/>
  <c r="BR726" i="10" s="1"/>
  <c r="BX726" i="10"/>
  <c r="BY726" i="10" s="1"/>
  <c r="CN680" i="10" a="1"/>
  <c r="CN680" i="10" s="1"/>
  <c r="CB505" i="10"/>
  <c r="S505" i="10" s="1"/>
  <c r="BV665" i="10" a="1"/>
  <c r="BV665" i="10" s="1"/>
  <c r="CB665" i="10" s="1"/>
  <c r="S665" i="10" s="1"/>
  <c r="AF665" i="10" s="1"/>
  <c r="CW585" i="10" a="1"/>
  <c r="CW585" i="10" s="1"/>
  <c r="CV585" i="10" a="1"/>
  <c r="CV585" i="10" s="1"/>
  <c r="CN648" i="10" a="1"/>
  <c r="CN648" i="10" s="1"/>
  <c r="CN467" i="10" a="1"/>
  <c r="CN467" i="10" s="1"/>
  <c r="CX467" i="10" s="1"/>
  <c r="Z467" i="10" s="1"/>
  <c r="BR220" i="10" a="1"/>
  <c r="BR220" i="10" s="1"/>
  <c r="CB220" i="10" s="1"/>
  <c r="S220" i="10" s="1"/>
  <c r="BZ409" i="10" a="1"/>
  <c r="BZ409" i="10" s="1"/>
  <c r="CA409" i="10" a="1"/>
  <c r="CA409" i="10" s="1"/>
  <c r="CT310" i="10"/>
  <c r="CU310" i="10" s="1"/>
  <c r="CH310" i="10"/>
  <c r="CI310" i="10" s="1"/>
  <c r="CJ310" i="10" s="1" a="1"/>
  <c r="CJ310" i="10" s="1"/>
  <c r="CR193" i="10" a="1"/>
  <c r="CR193" i="10" s="1"/>
  <c r="CB397" i="10"/>
  <c r="S397" i="10" s="1"/>
  <c r="BR374" i="10" a="1"/>
  <c r="BR374" i="10" s="1"/>
  <c r="CW436" i="10" a="1"/>
  <c r="CW436" i="10" s="1"/>
  <c r="CV436" i="10" a="1"/>
  <c r="CV436" i="10" s="1"/>
  <c r="CB194" i="10"/>
  <c r="S194" i="10" s="1"/>
  <c r="AF194" i="10" s="1"/>
  <c r="CB175" i="10"/>
  <c r="S175" i="10" s="1"/>
  <c r="CL145" i="10"/>
  <c r="CM145" i="10" s="1"/>
  <c r="CN145" i="10" s="1" a="1"/>
  <c r="CN145" i="10" s="1"/>
  <c r="BV387" i="10" a="1"/>
  <c r="BV387" i="10" s="1"/>
  <c r="CB387" i="10" s="1"/>
  <c r="S387" i="10" s="1"/>
  <c r="BV360" i="10" a="1"/>
  <c r="BV360" i="10" s="1"/>
  <c r="CB360" i="10" s="1"/>
  <c r="S360" i="10" s="1"/>
  <c r="AF360" i="10" s="1"/>
  <c r="CW148" i="10" a="1"/>
  <c r="CW148" i="10" s="1"/>
  <c r="CV148" i="10" a="1"/>
  <c r="CV148" i="10" s="1"/>
  <c r="CL339" i="10"/>
  <c r="CM339" i="10" s="1"/>
  <c r="CN339" i="10" s="1" a="1"/>
  <c r="CN339" i="10" s="1"/>
  <c r="CB131" i="10"/>
  <c r="S131" i="10" s="1"/>
  <c r="CN397" i="10" a="1"/>
  <c r="CN397" i="10" s="1"/>
  <c r="CX397" i="10" s="1"/>
  <c r="Z397" i="10" s="1"/>
  <c r="BZ363" i="10" a="1"/>
  <c r="BZ363" i="10" s="1"/>
  <c r="CA363" i="10" a="1"/>
  <c r="CA363" i="10" s="1"/>
  <c r="CV247" i="10" a="1"/>
  <c r="CV247" i="10" s="1"/>
  <c r="CW247" i="10" a="1"/>
  <c r="CW247" i="10" s="1"/>
  <c r="CT934" i="10"/>
  <c r="CU934" i="10" s="1"/>
  <c r="CB929" i="10"/>
  <c r="S929" i="10" s="1"/>
  <c r="CX869" i="10"/>
  <c r="Z869" i="10" s="1"/>
  <c r="CX880" i="10"/>
  <c r="Z880" i="10" s="1"/>
  <c r="CN951" i="10" a="1"/>
  <c r="CN951" i="10" s="1"/>
  <c r="CX951" i="10" s="1"/>
  <c r="Z951" i="10" s="1"/>
  <c r="BR826" i="10" a="1"/>
  <c r="BR826" i="10" s="1"/>
  <c r="CB826" i="10" s="1"/>
  <c r="S826" i="10" s="1"/>
  <c r="AF826" i="10" s="1"/>
  <c r="CA852" i="10" a="1"/>
  <c r="CA852" i="10" s="1"/>
  <c r="BZ852" i="10" a="1"/>
  <c r="BZ852" i="10" s="1"/>
  <c r="CB763" i="10"/>
  <c r="S763" i="10" s="1"/>
  <c r="CX1011" i="10"/>
  <c r="Z1011" i="10" s="1"/>
  <c r="CV930" i="10" a="1"/>
  <c r="CV930" i="10" s="1"/>
  <c r="CW930" i="10" a="1"/>
  <c r="CW930" i="10" s="1"/>
  <c r="CB819" i="10"/>
  <c r="S819" i="10" s="1"/>
  <c r="AF819" i="10" s="1"/>
  <c r="CP810" i="10"/>
  <c r="CQ810" i="10" s="1"/>
  <c r="CR810" i="10" s="1" a="1"/>
  <c r="CR810" i="10" s="1"/>
  <c r="CR685" i="10" a="1"/>
  <c r="CR685" i="10" s="1"/>
  <c r="CX1003" i="10"/>
  <c r="Z1003" i="10" s="1"/>
  <c r="BZ877" i="10" a="1"/>
  <c r="BZ877" i="10" s="1"/>
  <c r="CA877" i="10" a="1"/>
  <c r="CA877" i="10" s="1"/>
  <c r="CN920" i="10" a="1"/>
  <c r="CN920" i="10" s="1"/>
  <c r="CX808" i="10"/>
  <c r="Z808" i="10" s="1"/>
  <c r="BZ784" i="10" a="1"/>
  <c r="BZ784" i="10" s="1"/>
  <c r="CA784" i="10" a="1"/>
  <c r="CA784" i="10" s="1"/>
  <c r="CX1017" i="10"/>
  <c r="Z1017" i="10" s="1"/>
  <c r="CB1007" i="10"/>
  <c r="S1007" i="10" s="1"/>
  <c r="BV885" i="10" a="1"/>
  <c r="BV885" i="10" s="1"/>
  <c r="CB885" i="10" s="1"/>
  <c r="S885" i="10" s="1"/>
  <c r="AF885" i="10" s="1"/>
  <c r="BR847" i="10" a="1"/>
  <c r="BR847" i="10" s="1"/>
  <c r="CP867" i="10"/>
  <c r="CQ867" i="10" s="1"/>
  <c r="CR867" i="10" s="1" a="1"/>
  <c r="CR867" i="10" s="1"/>
  <c r="CP774" i="10"/>
  <c r="CQ774" i="10" s="1"/>
  <c r="CR774" i="10" s="1" a="1"/>
  <c r="CR774" i="10" s="1"/>
  <c r="CV795" i="10" a="1"/>
  <c r="CV795" i="10" s="1"/>
  <c r="CW795" i="10" a="1"/>
  <c r="CW795" i="10" s="1"/>
  <c r="CB759" i="10"/>
  <c r="S759" i="10" s="1"/>
  <c r="BT685" i="10"/>
  <c r="BU685" i="10" s="1"/>
  <c r="BV685" i="10" s="1" a="1"/>
  <c r="BV685" i="10" s="1"/>
  <c r="CN974" i="10" a="1"/>
  <c r="CN974" i="10" s="1"/>
  <c r="CX974" i="10" s="1"/>
  <c r="Z974" i="10" s="1"/>
  <c r="BX946" i="10"/>
  <c r="BY946" i="10" s="1"/>
  <c r="CW853" i="10" a="1"/>
  <c r="CW853" i="10" s="1"/>
  <c r="CV853" i="10" a="1"/>
  <c r="CV853" i="10" s="1"/>
  <c r="BL876" i="10"/>
  <c r="BM876" i="10" s="1"/>
  <c r="BN876" i="10" s="1" a="1"/>
  <c r="BN876" i="10" s="1"/>
  <c r="CL922" i="10"/>
  <c r="CM922" i="10" s="1"/>
  <c r="CN922" i="10" s="1" a="1"/>
  <c r="CN922" i="10" s="1"/>
  <c r="CH806" i="10"/>
  <c r="CI806" i="10" s="1"/>
  <c r="CJ806" i="10" s="1" a="1"/>
  <c r="CJ806" i="10" s="1"/>
  <c r="CX763" i="10"/>
  <c r="Z763" i="10" s="1"/>
  <c r="BL1002" i="10"/>
  <c r="BM1002" i="10" s="1"/>
  <c r="BN1002" i="10" s="1" a="1"/>
  <c r="BN1002" i="10" s="1"/>
  <c r="BL918" i="10"/>
  <c r="BM918" i="10" s="1"/>
  <c r="BN918" i="10" s="1" a="1"/>
  <c r="BN918" i="10" s="1"/>
  <c r="CR903" i="10" a="1"/>
  <c r="CR903" i="10" s="1"/>
  <c r="BZ867" i="10" a="1"/>
  <c r="BZ867" i="10" s="1"/>
  <c r="CA867" i="10" a="1"/>
  <c r="CA867" i="10" s="1"/>
  <c r="BR831" i="10" a="1"/>
  <c r="BR831" i="10" s="1"/>
  <c r="CB831" i="10" s="1"/>
  <c r="S831" i="10" s="1"/>
  <c r="BZ1020" i="10" a="1"/>
  <c r="BZ1020" i="10" s="1"/>
  <c r="CA1020" i="10" a="1"/>
  <c r="CA1020" i="10" s="1"/>
  <c r="CB845" i="10"/>
  <c r="S845" i="10" s="1"/>
  <c r="BN767" i="10" a="1"/>
  <c r="BN767" i="10" s="1"/>
  <c r="BR767" i="10" a="1"/>
  <c r="BR767" i="10" s="1"/>
  <c r="CP766" i="10"/>
  <c r="CQ766" i="10" s="1"/>
  <c r="CR766" i="10" s="1" a="1"/>
  <c r="CR766" i="10" s="1"/>
  <c r="BZ1004" i="10" a="1"/>
  <c r="BZ1004" i="10" s="1"/>
  <c r="CA1004" i="10" a="1"/>
  <c r="CA1004" i="10" s="1"/>
  <c r="BV1020" i="10" a="1"/>
  <c r="BV1020" i="10" s="1"/>
  <c r="CR1010" i="10" a="1"/>
  <c r="CR1010" i="10" s="1"/>
  <c r="BZ943" i="10" a="1"/>
  <c r="BZ943" i="10" s="1"/>
  <c r="CA943" i="10" a="1"/>
  <c r="CA943" i="10" s="1"/>
  <c r="BZ959" i="10" a="1"/>
  <c r="BZ959" i="10" s="1"/>
  <c r="CA959" i="10" a="1"/>
  <c r="CA959" i="10" s="1"/>
  <c r="CP970" i="10"/>
  <c r="CQ970" i="10" s="1"/>
  <c r="CR970" i="10" s="1" a="1"/>
  <c r="CR970" i="10" s="1"/>
  <c r="CX884" i="10"/>
  <c r="Z884" i="10" s="1"/>
  <c r="BZ835" i="10" a="1"/>
  <c r="BZ835" i="10" s="1"/>
  <c r="CA835" i="10" a="1"/>
  <c r="CA835" i="10" s="1"/>
  <c r="CP863" i="10"/>
  <c r="CQ863" i="10" s="1"/>
  <c r="CR863" i="10" s="1" a="1"/>
  <c r="CR863" i="10" s="1"/>
  <c r="CH701" i="10"/>
  <c r="CI701" i="10" s="1"/>
  <c r="CJ701" i="10" s="1" a="1"/>
  <c r="CJ701" i="10" s="1"/>
  <c r="BN777" i="10" a="1"/>
  <c r="BN777" i="10" s="1"/>
  <c r="BR777" i="10" a="1"/>
  <c r="BR777" i="10" s="1"/>
  <c r="CV996" i="10" a="1"/>
  <c r="CV996" i="10" s="1"/>
  <c r="CW996" i="10" a="1"/>
  <c r="CW996" i="10" s="1"/>
  <c r="CN901" i="10" a="1"/>
  <c r="CN901" i="10" s="1"/>
  <c r="CX901" i="10" s="1"/>
  <c r="Z901" i="10" s="1"/>
  <c r="CP966" i="10"/>
  <c r="CQ966" i="10" s="1"/>
  <c r="CR966" i="10" s="1" a="1"/>
  <c r="CR966" i="10" s="1"/>
  <c r="CV889" i="10" a="1"/>
  <c r="CV889" i="10" s="1"/>
  <c r="CW889" i="10" a="1"/>
  <c r="CW889" i="10" s="1"/>
  <c r="CB711" i="10"/>
  <c r="S711" i="10" s="1"/>
  <c r="CX727" i="10"/>
  <c r="Z727" i="10" s="1"/>
  <c r="CX759" i="10"/>
  <c r="Z759" i="10" s="1"/>
  <c r="CX682" i="10"/>
  <c r="Z682" i="10" s="1"/>
  <c r="BV1011" i="10" a="1"/>
  <c r="BV1011" i="10" s="1"/>
  <c r="CB1011" i="10" s="1"/>
  <c r="S1011" i="10" s="1"/>
  <c r="CX975" i="10"/>
  <c r="Z975" i="10" s="1"/>
  <c r="BZ936" i="10" a="1"/>
  <c r="BZ936" i="10" s="1"/>
  <c r="CA936" i="10" a="1"/>
  <c r="CA936" i="10" s="1"/>
  <c r="CR967" i="10" a="1"/>
  <c r="CR967" i="10" s="1"/>
  <c r="CX967" i="10" s="1"/>
  <c r="Z967" i="10" s="1"/>
  <c r="CX876" i="10"/>
  <c r="Z876" i="10" s="1"/>
  <c r="BV931" i="10" a="1"/>
  <c r="BV931" i="10" s="1"/>
  <c r="CV865" i="10" a="1"/>
  <c r="CV865" i="10" s="1"/>
  <c r="CW865" i="10" a="1"/>
  <c r="CW865" i="10" s="1"/>
  <c r="CB853" i="10"/>
  <c r="S853" i="10" s="1"/>
  <c r="CV695" i="10" a="1"/>
  <c r="CV695" i="10" s="1"/>
  <c r="CW695" i="10" a="1"/>
  <c r="CW695" i="10" s="1"/>
  <c r="BT836" i="10"/>
  <c r="BU836" i="10" s="1"/>
  <c r="BV836" i="10" s="1" a="1"/>
  <c r="BV836" i="10" s="1"/>
  <c r="BL836" i="10"/>
  <c r="BM836" i="10" s="1"/>
  <c r="BN836" i="10" s="1" a="1"/>
  <c r="BN836" i="10" s="1"/>
  <c r="BP836" i="10"/>
  <c r="BQ836" i="10" s="1"/>
  <c r="BX836" i="10"/>
  <c r="BY836" i="10" s="1"/>
  <c r="CB803" i="10"/>
  <c r="S803" i="10" s="1"/>
  <c r="AF803" i="10" s="1"/>
  <c r="CX699" i="10"/>
  <c r="Z699" i="10" s="1"/>
  <c r="CB795" i="10"/>
  <c r="S795" i="10" s="1"/>
  <c r="CA983" i="10" a="1"/>
  <c r="CA983" i="10" s="1"/>
  <c r="BZ983" i="10" a="1"/>
  <c r="BZ983" i="10" s="1"/>
  <c r="BT982" i="10"/>
  <c r="BU982" i="10" s="1"/>
  <c r="BV982" i="10" s="1" a="1"/>
  <c r="BV982" i="10" s="1"/>
  <c r="BX1009" i="10"/>
  <c r="BY1009" i="10" s="1"/>
  <c r="BZ967" i="10" a="1"/>
  <c r="BZ967" i="10" s="1"/>
  <c r="CA967" i="10" a="1"/>
  <c r="CA967" i="10" s="1"/>
  <c r="BV972" i="10" a="1"/>
  <c r="BV972" i="10" s="1"/>
  <c r="CB972" i="10" s="1"/>
  <c r="S972" i="10" s="1"/>
  <c r="CB911" i="10"/>
  <c r="S911" i="10" s="1"/>
  <c r="BP905" i="10"/>
  <c r="BQ905" i="10" s="1"/>
  <c r="BR905" i="10" s="1" a="1"/>
  <c r="BR905" i="10" s="1"/>
  <c r="BT905" i="10"/>
  <c r="BU905" i="10" s="1"/>
  <c r="BV905" i="10" s="1" a="1"/>
  <c r="BV905" i="10" s="1"/>
  <c r="BL905" i="10"/>
  <c r="BM905" i="10" s="1"/>
  <c r="BN905" i="10" s="1" a="1"/>
  <c r="BN905" i="10" s="1"/>
  <c r="BV935" i="10" a="1"/>
  <c r="BV935" i="10" s="1"/>
  <c r="CB935" i="10" s="1"/>
  <c r="S935" i="10" s="1"/>
  <c r="AF935" i="10" s="1"/>
  <c r="BP844" i="10"/>
  <c r="BQ844" i="10" s="1"/>
  <c r="BR844" i="10" s="1" a="1"/>
  <c r="BR844" i="10" s="1"/>
  <c r="CP831" i="10"/>
  <c r="CQ831" i="10" s="1"/>
  <c r="CR831" i="10" s="1" a="1"/>
  <c r="CR831" i="10" s="1"/>
  <c r="CN1015" i="10" a="1"/>
  <c r="CN1015" i="10" s="1"/>
  <c r="CX1015" i="10" s="1"/>
  <c r="Z1015" i="10" s="1"/>
  <c r="BL997" i="10"/>
  <c r="BM997" i="10" s="1"/>
  <c r="BN997" i="10" s="1" a="1"/>
  <c r="BN997" i="10" s="1"/>
  <c r="BR964" i="10" a="1"/>
  <c r="BR964" i="10" s="1"/>
  <c r="CB964" i="10" s="1"/>
  <c r="S964" i="10" s="1"/>
  <c r="BZ924" i="10" a="1"/>
  <c r="BZ924" i="10" s="1"/>
  <c r="CA924" i="10" a="1"/>
  <c r="CA924" i="10" s="1"/>
  <c r="CB924" i="10" s="1"/>
  <c r="S924" i="10" s="1"/>
  <c r="CR878" i="10" a="1"/>
  <c r="CR878" i="10" s="1"/>
  <c r="CX878" i="10" s="1"/>
  <c r="Z878" i="10" s="1"/>
  <c r="AF878" i="10" s="1"/>
  <c r="CH883" i="10"/>
  <c r="CI883" i="10" s="1"/>
  <c r="CJ883" i="10" s="1" a="1"/>
  <c r="CJ883" i="10" s="1"/>
  <c r="BV849" i="10" a="1"/>
  <c r="BV849" i="10" s="1"/>
  <c r="CN845" i="10" a="1"/>
  <c r="CN845" i="10" s="1"/>
  <c r="CX845" i="10" s="1"/>
  <c r="Z845" i="10" s="1"/>
  <c r="CX767" i="10"/>
  <c r="Z767" i="10" s="1"/>
  <c r="BZ747" i="10" a="1"/>
  <c r="BZ747" i="10" s="1"/>
  <c r="CB747" i="10" s="1"/>
  <c r="S747" i="10" s="1"/>
  <c r="CA747" i="10" a="1"/>
  <c r="CA747" i="10" s="1"/>
  <c r="CN755" i="10" a="1"/>
  <c r="CN755" i="10" s="1"/>
  <c r="CX755" i="10" s="1"/>
  <c r="Z755" i="10" s="1"/>
  <c r="CX1000" i="10"/>
  <c r="Z1000" i="10" s="1"/>
  <c r="CR1018" i="10" a="1"/>
  <c r="CR1018" i="10" s="1"/>
  <c r="CX1018" i="10" s="1"/>
  <c r="Z1018" i="10" s="1"/>
  <c r="BZ987" i="10" a="1"/>
  <c r="BZ987" i="10" s="1"/>
  <c r="CA987" i="10" a="1"/>
  <c r="CA987" i="10" s="1"/>
  <c r="CL978" i="10"/>
  <c r="CM978" i="10" s="1"/>
  <c r="CN978" i="10" s="1" a="1"/>
  <c r="CN978" i="10" s="1"/>
  <c r="CT978" i="10"/>
  <c r="CU978" i="10" s="1"/>
  <c r="CR923" i="10" a="1"/>
  <c r="CR923" i="10" s="1"/>
  <c r="CX923" i="10" s="1"/>
  <c r="Z923" i="10" s="1"/>
  <c r="CW998" i="10" a="1"/>
  <c r="CW998" i="10" s="1"/>
  <c r="CV998" i="10" a="1"/>
  <c r="CV998" i="10" s="1"/>
  <c r="BR927" i="10" a="1"/>
  <c r="BR927" i="10" s="1"/>
  <c r="CB927" i="10" s="1"/>
  <c r="S927" i="10" s="1"/>
  <c r="CA902" i="10" a="1"/>
  <c r="CA902" i="10" s="1"/>
  <c r="BZ902" i="10" a="1"/>
  <c r="BZ902" i="10" s="1"/>
  <c r="BR877" i="10" a="1"/>
  <c r="BR877" i="10" s="1"/>
  <c r="CB877" i="10" s="1"/>
  <c r="S877" i="10" s="1"/>
  <c r="CB794" i="10"/>
  <c r="S794" i="10" s="1"/>
  <c r="CL792" i="10"/>
  <c r="CM792" i="10" s="1"/>
  <c r="CN792" i="10" s="1" a="1"/>
  <c r="CN792" i="10" s="1"/>
  <c r="CP705" i="10"/>
  <c r="CQ705" i="10" s="1"/>
  <c r="CR705" i="10" s="1" a="1"/>
  <c r="CR705" i="10" s="1"/>
  <c r="CR1016" i="10" a="1"/>
  <c r="CR1016" i="10" s="1"/>
  <c r="CX1016" i="10" s="1"/>
  <c r="Z1016" i="10" s="1"/>
  <c r="CW1008" i="10" a="1"/>
  <c r="CW1008" i="10" s="1"/>
  <c r="CV1008" i="10" a="1"/>
  <c r="CV1008" i="10" s="1"/>
  <c r="BR923" i="10" a="1"/>
  <c r="BR923" i="10" s="1"/>
  <c r="CW903" i="10" a="1"/>
  <c r="CW903" i="10" s="1"/>
  <c r="CV903" i="10" a="1"/>
  <c r="CV903" i="10" s="1"/>
  <c r="CX903" i="10" s="1"/>
  <c r="Z903" i="10" s="1"/>
  <c r="CN873" i="10" a="1"/>
  <c r="CN873" i="10" s="1"/>
  <c r="CX873" i="10" s="1"/>
  <c r="Z873" i="10" s="1"/>
  <c r="BX933" i="10"/>
  <c r="BY933" i="10" s="1"/>
  <c r="CL899" i="10"/>
  <c r="CM899" i="10" s="1"/>
  <c r="CN899" i="10" s="1" a="1"/>
  <c r="CN899" i="10" s="1"/>
  <c r="CL910" i="10"/>
  <c r="CM910" i="10" s="1"/>
  <c r="CN910" i="10" s="1" a="1"/>
  <c r="CN910" i="10" s="1"/>
  <c r="BL896" i="10"/>
  <c r="BM896" i="10" s="1"/>
  <c r="BN896" i="10" s="1" a="1"/>
  <c r="BN896" i="10" s="1"/>
  <c r="CV864" i="10" a="1"/>
  <c r="CV864" i="10" s="1"/>
  <c r="CW864" i="10" a="1"/>
  <c r="CW864" i="10" s="1"/>
  <c r="BL738" i="10"/>
  <c r="BM738" i="10" s="1"/>
  <c r="BN738" i="10" s="1" a="1"/>
  <c r="BN738" i="10" s="1"/>
  <c r="BR802" i="10" a="1"/>
  <c r="BR802" i="10" s="1"/>
  <c r="CB802" i="10" s="1"/>
  <c r="S802" i="10" s="1"/>
  <c r="AF802" i="10" s="1"/>
  <c r="CX1020" i="10"/>
  <c r="Z1020" i="10" s="1"/>
  <c r="CN1007" i="10" a="1"/>
  <c r="CN1007" i="10" s="1"/>
  <c r="CN927" i="10" a="1"/>
  <c r="CN927" i="10" s="1"/>
  <c r="CX927" i="10" s="1"/>
  <c r="Z927" i="10" s="1"/>
  <c r="CV1010" i="10" a="1"/>
  <c r="CV1010" i="10" s="1"/>
  <c r="CW1010" i="10" a="1"/>
  <c r="CW1010" i="10" s="1"/>
  <c r="BX961" i="10"/>
  <c r="BY961" i="10" s="1"/>
  <c r="CX824" i="10"/>
  <c r="Z824" i="10" s="1"/>
  <c r="CN857" i="10" a="1"/>
  <c r="CN857" i="10" s="1"/>
  <c r="CX857" i="10" s="1"/>
  <c r="Z857" i="10" s="1"/>
  <c r="CX817" i="10"/>
  <c r="Z817" i="10" s="1"/>
  <c r="CN836" i="10" a="1"/>
  <c r="CN836" i="10" s="1"/>
  <c r="CX836" i="10" s="1"/>
  <c r="Z836" i="10" s="1"/>
  <c r="CV881" i="10" a="1"/>
  <c r="CV881" i="10" s="1"/>
  <c r="CW881" i="10" a="1"/>
  <c r="CW881" i="10" s="1"/>
  <c r="CX743" i="10"/>
  <c r="Z743" i="10" s="1"/>
  <c r="CW1012" i="10" a="1"/>
  <c r="CW1012" i="10" s="1"/>
  <c r="CV1012" i="10" a="1"/>
  <c r="CV1012" i="10" s="1"/>
  <c r="CW1007" i="10" a="1"/>
  <c r="CW1007" i="10" s="1"/>
  <c r="CV1007" i="10" a="1"/>
  <c r="CV1007" i="10" s="1"/>
  <c r="BV1003" i="10" a="1"/>
  <c r="BV1003" i="10" s="1"/>
  <c r="BX969" i="10"/>
  <c r="BY969" i="10" s="1"/>
  <c r="BL937" i="10"/>
  <c r="BM937" i="10" s="1"/>
  <c r="BN937" i="10" s="1" a="1"/>
  <c r="BN937" i="10" s="1"/>
  <c r="CB943" i="10"/>
  <c r="S943" i="10" s="1"/>
  <c r="AF943" i="10" s="1"/>
  <c r="CR971" i="10" a="1"/>
  <c r="CR971" i="10" s="1"/>
  <c r="CA897" i="10" a="1"/>
  <c r="CA897" i="10" s="1"/>
  <c r="BZ897" i="10" a="1"/>
  <c r="BZ897" i="10" s="1"/>
  <c r="BV948" i="10" a="1"/>
  <c r="BV948" i="10" s="1"/>
  <c r="CB948" i="10" s="1"/>
  <c r="S948" i="10" s="1"/>
  <c r="BT876" i="10"/>
  <c r="BU876" i="10" s="1"/>
  <c r="BV876" i="10" s="1" a="1"/>
  <c r="BV876" i="10" s="1"/>
  <c r="CB835" i="10"/>
  <c r="S835" i="10" s="1"/>
  <c r="CT805" i="10"/>
  <c r="CU805" i="10" s="1"/>
  <c r="BP774" i="10"/>
  <c r="BQ774" i="10" s="1"/>
  <c r="BR774" i="10" s="1" a="1"/>
  <c r="BR774" i="10" s="1"/>
  <c r="BX686" i="10"/>
  <c r="BY686" i="10" s="1"/>
  <c r="BR812" i="10" a="1"/>
  <c r="BR812" i="10" s="1"/>
  <c r="CB812" i="10" s="1"/>
  <c r="S812" i="10" s="1"/>
  <c r="CN811" i="10" a="1"/>
  <c r="CN811" i="10" s="1"/>
  <c r="CX811" i="10" s="1"/>
  <c r="Z811" i="10" s="1"/>
  <c r="BZ783" i="10" a="1"/>
  <c r="BZ783" i="10" s="1"/>
  <c r="CB783" i="10" s="1"/>
  <c r="S783" i="10" s="1"/>
  <c r="AF783" i="10" s="1"/>
  <c r="CN739" i="10" a="1"/>
  <c r="CN739" i="10" s="1"/>
  <c r="CX739" i="10" s="1"/>
  <c r="Z739" i="10" s="1"/>
  <c r="CN777" i="10" a="1"/>
  <c r="CN777" i="10" s="1"/>
  <c r="CX777" i="10" s="1"/>
  <c r="Z777" i="10" s="1"/>
  <c r="CA688" i="10" a="1"/>
  <c r="CA688" i="10" s="1"/>
  <c r="BZ688" i="10" a="1"/>
  <c r="BZ688" i="10" s="1"/>
  <c r="CV622" i="10" a="1"/>
  <c r="CV622" i="10" s="1"/>
  <c r="CW622" i="10" a="1"/>
  <c r="CW622" i="10" s="1"/>
  <c r="BX632" i="10"/>
  <c r="BY632" i="10" s="1"/>
  <c r="BP632" i="10"/>
  <c r="BQ632" i="10" s="1"/>
  <c r="BR632" i="10" s="1" a="1"/>
  <c r="BR632" i="10" s="1"/>
  <c r="BT632" i="10"/>
  <c r="BU632" i="10" s="1"/>
  <c r="BL632" i="10"/>
  <c r="BM632" i="10" s="1"/>
  <c r="BN632" i="10" s="1" a="1"/>
  <c r="BN632" i="10" s="1"/>
  <c r="CT609" i="10"/>
  <c r="CU609" i="10" s="1"/>
  <c r="CA516" i="10" a="1"/>
  <c r="CA516" i="10" s="1"/>
  <c r="BZ516" i="10" a="1"/>
  <c r="BZ516" i="10" s="1"/>
  <c r="CL569" i="10"/>
  <c r="CM569" i="10" s="1"/>
  <c r="CN569" i="10" s="1" a="1"/>
  <c r="CN569" i="10" s="1"/>
  <c r="CL529" i="10"/>
  <c r="CM529" i="10" s="1"/>
  <c r="CB481" i="10"/>
  <c r="S481" i="10" s="1"/>
  <c r="BR458" i="10" a="1"/>
  <c r="BR458" i="10" s="1"/>
  <c r="CB458" i="10" s="1"/>
  <c r="S458" i="10" s="1"/>
  <c r="BR963" i="10" a="1"/>
  <c r="BR963" i="10" s="1"/>
  <c r="CB963" i="10" s="1"/>
  <c r="S963" i="10" s="1"/>
  <c r="BR960" i="10" a="1"/>
  <c r="BR960" i="10" s="1"/>
  <c r="CB960" i="10" s="1"/>
  <c r="S960" i="10" s="1"/>
  <c r="CR881" i="10" a="1"/>
  <c r="CR881" i="10" s="1"/>
  <c r="CX881" i="10" s="1"/>
  <c r="Z881" i="10" s="1"/>
  <c r="CV828" i="10" a="1"/>
  <c r="CV828" i="10" s="1"/>
  <c r="CX675" i="10"/>
  <c r="Z675" i="10" s="1"/>
  <c r="CV723" i="10" a="1"/>
  <c r="CV723" i="10" s="1"/>
  <c r="CW723" i="10" a="1"/>
  <c r="CW723" i="10" s="1"/>
  <c r="CH752" i="10"/>
  <c r="CI752" i="10" s="1"/>
  <c r="CJ752" i="10" s="1" a="1"/>
  <c r="CJ752" i="10" s="1"/>
  <c r="CT752" i="10"/>
  <c r="CU752" i="10" s="1"/>
  <c r="CV710" i="10" a="1"/>
  <c r="CV710" i="10" s="1"/>
  <c r="CW710" i="10" a="1"/>
  <c r="CW710" i="10" s="1"/>
  <c r="CX710" i="10" s="1"/>
  <c r="Z710" i="10" s="1"/>
  <c r="CW674" i="10" a="1"/>
  <c r="CW674" i="10" s="1"/>
  <c r="CV674" i="10" a="1"/>
  <c r="CV674" i="10" s="1"/>
  <c r="CN691" i="10" a="1"/>
  <c r="CN691" i="10" s="1"/>
  <c r="CX691" i="10" s="1"/>
  <c r="Z691" i="10" s="1"/>
  <c r="CX642" i="10"/>
  <c r="Z642" i="10" s="1"/>
  <c r="AF642" i="10" s="1"/>
  <c r="BV520" i="10" a="1"/>
  <c r="BV520" i="10" s="1"/>
  <c r="BX537" i="10"/>
  <c r="BY537" i="10" s="1"/>
  <c r="CX528" i="10"/>
  <c r="Z528" i="10" s="1"/>
  <c r="CB525" i="10"/>
  <c r="S525" i="10" s="1"/>
  <c r="BR480" i="10" a="1"/>
  <c r="BR480" i="10" s="1"/>
  <c r="CB480" i="10" s="1"/>
  <c r="S480" i="10" s="1"/>
  <c r="AF480" i="10" s="1"/>
  <c r="BV497" i="10" a="1"/>
  <c r="BV497" i="10" s="1"/>
  <c r="CB497" i="10" s="1"/>
  <c r="S497" i="10" s="1"/>
  <c r="CB485" i="10"/>
  <c r="S485" i="10" s="1"/>
  <c r="CN888" i="10" a="1"/>
  <c r="CN888" i="10" s="1"/>
  <c r="CX888" i="10" s="1"/>
  <c r="Z888" i="10" s="1"/>
  <c r="BZ894" i="10" a="1"/>
  <c r="BZ894" i="10" s="1"/>
  <c r="BX785" i="10"/>
  <c r="BY785" i="10" s="1"/>
  <c r="BT785" i="10"/>
  <c r="BU785" i="10" s="1"/>
  <c r="BV785" i="10" s="1" a="1"/>
  <c r="BV785" i="10" s="1"/>
  <c r="BX702" i="10"/>
  <c r="BY702" i="10" s="1"/>
  <c r="BX730" i="10"/>
  <c r="BY730" i="10" s="1"/>
  <c r="BX538" i="10"/>
  <c r="BY538" i="10" s="1"/>
  <c r="CP631" i="10"/>
  <c r="CQ631" i="10" s="1"/>
  <c r="CR631" i="10" s="1" a="1"/>
  <c r="CR631" i="10" s="1"/>
  <c r="CT631" i="10"/>
  <c r="CU631" i="10" s="1"/>
  <c r="CH631" i="10"/>
  <c r="CI631" i="10" s="1"/>
  <c r="CJ631" i="10" s="1" a="1"/>
  <c r="CJ631" i="10" s="1"/>
  <c r="CH617" i="10"/>
  <c r="CI617" i="10" s="1"/>
  <c r="CJ617" i="10" s="1" a="1"/>
  <c r="CJ617" i="10" s="1"/>
  <c r="CP617" i="10"/>
  <c r="CQ617" i="10" s="1"/>
  <c r="CR617" i="10" s="1" a="1"/>
  <c r="CR617" i="10" s="1"/>
  <c r="CW544" i="10" a="1"/>
  <c r="CW544" i="10" s="1"/>
  <c r="CV544" i="10" a="1"/>
  <c r="CV544" i="10" s="1"/>
  <c r="BX561" i="10"/>
  <c r="BY561" i="10" s="1"/>
  <c r="CV492" i="10" a="1"/>
  <c r="CV492" i="10" s="1"/>
  <c r="CW492" i="10" a="1"/>
  <c r="CW492" i="10" s="1"/>
  <c r="CH443" i="10"/>
  <c r="CI443" i="10" s="1"/>
  <c r="CJ443" i="10" s="1" a="1"/>
  <c r="CJ443" i="10" s="1"/>
  <c r="CT443" i="10"/>
  <c r="CU443" i="10" s="1"/>
  <c r="BR907" i="10" a="1"/>
  <c r="BR907" i="10" s="1"/>
  <c r="CB907" i="10" s="1"/>
  <c r="S907" i="10" s="1"/>
  <c r="AF907" i="10" s="1"/>
  <c r="CR797" i="10" a="1"/>
  <c r="CR797" i="10" s="1"/>
  <c r="CX797" i="10" s="1"/>
  <c r="Z797" i="10" s="1"/>
  <c r="CB756" i="10"/>
  <c r="S756" i="10" s="1"/>
  <c r="CT776" i="10"/>
  <c r="CU776" i="10" s="1"/>
  <c r="CH776" i="10"/>
  <c r="CI776" i="10" s="1"/>
  <c r="CJ776" i="10" s="1" a="1"/>
  <c r="CJ776" i="10" s="1"/>
  <c r="CB607" i="10"/>
  <c r="S607" i="10" s="1"/>
  <c r="CT612" i="10"/>
  <c r="CU612" i="10" s="1"/>
  <c r="CB586" i="10"/>
  <c r="S586" i="10" s="1"/>
  <c r="AF586" i="10" s="1"/>
  <c r="CB532" i="10"/>
  <c r="S532" i="10" s="1"/>
  <c r="AF532" i="10" s="1"/>
  <c r="CA489" i="10" a="1"/>
  <c r="CA489" i="10" s="1"/>
  <c r="BZ489" i="10" a="1"/>
  <c r="BZ489" i="10" s="1"/>
  <c r="BZ992" i="10" a="1"/>
  <c r="BZ992" i="10" s="1"/>
  <c r="BR771" i="10" a="1"/>
  <c r="BR771" i="10" s="1"/>
  <c r="CB771" i="10" s="1"/>
  <c r="S771" i="10" s="1"/>
  <c r="AF771" i="10" s="1"/>
  <c r="CN769" i="10" a="1"/>
  <c r="CN769" i="10" s="1"/>
  <c r="CX769" i="10" s="1"/>
  <c r="Z769" i="10" s="1"/>
  <c r="AF769" i="10" s="1"/>
  <c r="BZ776" i="10" a="1"/>
  <c r="BZ776" i="10" s="1"/>
  <c r="CA776" i="10" a="1"/>
  <c r="CA776" i="10" s="1"/>
  <c r="BV704" i="10" a="1"/>
  <c r="BV704" i="10" s="1"/>
  <c r="BP616" i="10"/>
  <c r="BQ616" i="10" s="1"/>
  <c r="BR616" i="10" s="1" a="1"/>
  <c r="BR616" i="10" s="1"/>
  <c r="BX616" i="10"/>
  <c r="BY616" i="10" s="1"/>
  <c r="BL616" i="10"/>
  <c r="BM616" i="10" s="1"/>
  <c r="BN616" i="10" s="1" a="1"/>
  <c r="BN616" i="10" s="1"/>
  <c r="BT616" i="10"/>
  <c r="BU616" i="10" s="1"/>
  <c r="CX556" i="10"/>
  <c r="Z556" i="10" s="1"/>
  <c r="CT537" i="10"/>
  <c r="CU537" i="10" s="1"/>
  <c r="CP557" i="10"/>
  <c r="CQ557" i="10" s="1"/>
  <c r="CR557" i="10" s="1" a="1"/>
  <c r="CR557" i="10" s="1"/>
  <c r="CB500" i="10"/>
  <c r="S500" i="10" s="1"/>
  <c r="CH529" i="10"/>
  <c r="CI529" i="10" s="1"/>
  <c r="CJ529" i="10" s="1" a="1"/>
  <c r="CJ529" i="10" s="1"/>
  <c r="CW534" i="10" a="1"/>
  <c r="CW534" i="10" s="1"/>
  <c r="CV534" i="10" a="1"/>
  <c r="CV534" i="10" s="1"/>
  <c r="BR496" i="10" a="1"/>
  <c r="BR496" i="10" s="1"/>
  <c r="CB496" i="10" s="1"/>
  <c r="S496" i="10" s="1"/>
  <c r="BR472" i="10" a="1"/>
  <c r="BR472" i="10" s="1"/>
  <c r="CB472" i="10" s="1"/>
  <c r="S472" i="10" s="1"/>
  <c r="CP435" i="10"/>
  <c r="CQ435" i="10" s="1"/>
  <c r="CR435" i="10" s="1" a="1"/>
  <c r="CR435" i="10" s="1"/>
  <c r="BZ447" i="10" a="1"/>
  <c r="BZ447" i="10" s="1"/>
  <c r="CA447" i="10" a="1"/>
  <c r="CA447" i="10" s="1"/>
  <c r="BR429" i="10" a="1"/>
  <c r="BR429" i="10" s="1"/>
  <c r="CB429" i="10" s="1"/>
  <c r="S429" i="10" s="1"/>
  <c r="AF429" i="10" s="1"/>
  <c r="CV1019" i="10" a="1"/>
  <c r="CV1019" i="10" s="1"/>
  <c r="CX1019" i="10" s="1"/>
  <c r="Z1019" i="10" s="1"/>
  <c r="CR1022" i="10" a="1"/>
  <c r="CR1022" i="10" s="1"/>
  <c r="CX1022" i="10" s="1"/>
  <c r="Z1022" i="10" s="1"/>
  <c r="CR872" i="10" a="1"/>
  <c r="CR872" i="10" s="1"/>
  <c r="CX872" i="10" s="1"/>
  <c r="Z872" i="10" s="1"/>
  <c r="BR800" i="10" a="1"/>
  <c r="BR800" i="10" s="1"/>
  <c r="CX706" i="10"/>
  <c r="Z706" i="10" s="1"/>
  <c r="CV773" i="10" a="1"/>
  <c r="CV773" i="10" s="1"/>
  <c r="CX773" i="10" s="1"/>
  <c r="Z773" i="10" s="1"/>
  <c r="AF773" i="10" s="1"/>
  <c r="BZ611" i="10" a="1"/>
  <c r="BZ611" i="10" s="1"/>
  <c r="CA611" i="10" a="1"/>
  <c r="CA611" i="10" s="1"/>
  <c r="BX648" i="10"/>
  <c r="BY648" i="10" s="1"/>
  <c r="BT648" i="10"/>
  <c r="BU648" i="10" s="1"/>
  <c r="BV648" i="10" s="1" a="1"/>
  <c r="BV648" i="10" s="1"/>
  <c r="BP648" i="10"/>
  <c r="BQ648" i="10" s="1"/>
  <c r="BL648" i="10"/>
  <c r="BM648" i="10" s="1"/>
  <c r="BN648" i="10" s="1" a="1"/>
  <c r="BN648" i="10" s="1"/>
  <c r="BZ623" i="10" a="1"/>
  <c r="BZ623" i="10" s="1"/>
  <c r="CA623" i="10" a="1"/>
  <c r="CA623" i="10" s="1"/>
  <c r="BT641" i="10"/>
  <c r="BU641" i="10" s="1"/>
  <c r="BV641" i="10" s="1" a="1"/>
  <c r="BV641" i="10" s="1"/>
  <c r="BZ555" i="10" a="1"/>
  <c r="BZ555" i="10" s="1"/>
  <c r="CP555" i="10"/>
  <c r="CQ555" i="10" s="1"/>
  <c r="CR555" i="10" s="1" a="1"/>
  <c r="CR555" i="10" s="1"/>
  <c r="CR516" i="10" a="1"/>
  <c r="CR516" i="10" s="1"/>
  <c r="CX516" i="10" s="1"/>
  <c r="Z516" i="10" s="1"/>
  <c r="BP490" i="10"/>
  <c r="BQ490" i="10" s="1"/>
  <c r="BR490" i="10" s="1" a="1"/>
  <c r="BR490" i="10" s="1"/>
  <c r="BZ468" i="10" a="1"/>
  <c r="BZ468" i="10" s="1"/>
  <c r="CA468" i="10" a="1"/>
  <c r="CA468" i="10" s="1"/>
  <c r="CL485" i="10"/>
  <c r="CM485" i="10" s="1"/>
  <c r="CN485" i="10" s="1" a="1"/>
  <c r="CN485" i="10" s="1"/>
  <c r="CB446" i="10"/>
  <c r="S446" i="10" s="1"/>
  <c r="AF446" i="10" s="1"/>
  <c r="BZ827" i="10" a="1"/>
  <c r="BZ827" i="10" s="1"/>
  <c r="CB827" i="10" s="1"/>
  <c r="S827" i="10" s="1"/>
  <c r="BR792" i="10" a="1"/>
  <c r="BR792" i="10" s="1"/>
  <c r="CB792" i="10" s="1"/>
  <c r="S792" i="10" s="1"/>
  <c r="BZ760" i="10" a="1"/>
  <c r="BZ760" i="10" s="1"/>
  <c r="CB760" i="10" s="1"/>
  <c r="S760" i="10" s="1"/>
  <c r="CB719" i="10"/>
  <c r="S719" i="10" s="1"/>
  <c r="CX683" i="10"/>
  <c r="Z683" i="10" s="1"/>
  <c r="CL656" i="10"/>
  <c r="CM656" i="10" s="1"/>
  <c r="CN656" i="10" s="1" a="1"/>
  <c r="CN656" i="10" s="1"/>
  <c r="CT625" i="10"/>
  <c r="CU625" i="10" s="1"/>
  <c r="CB589" i="10"/>
  <c r="S589" i="10" s="1"/>
  <c r="AF589" i="10" s="1"/>
  <c r="BP601" i="10"/>
  <c r="BQ601" i="10" s="1"/>
  <c r="BR601" i="10" s="1" a="1"/>
  <c r="BR601" i="10" s="1"/>
  <c r="CR568" i="10" a="1"/>
  <c r="CR568" i="10" s="1"/>
  <c r="CL613" i="10"/>
  <c r="CM613" i="10" s="1"/>
  <c r="CN613" i="10" s="1" a="1"/>
  <c r="CN613" i="10" s="1"/>
  <c r="CR560" i="10" a="1"/>
  <c r="CR560" i="10" s="1"/>
  <c r="CX560" i="10" s="1"/>
  <c r="Z560" i="10" s="1"/>
  <c r="BT549" i="10"/>
  <c r="BU549" i="10" s="1"/>
  <c r="BV549" i="10" s="1" a="1"/>
  <c r="BV549" i="10" s="1"/>
  <c r="BL549" i="10"/>
  <c r="BM549" i="10" s="1"/>
  <c r="BN549" i="10" s="1" a="1"/>
  <c r="BN549" i="10" s="1"/>
  <c r="CP535" i="10"/>
  <c r="CQ535" i="10" s="1"/>
  <c r="CR535" i="10" s="1" a="1"/>
  <c r="CR535" i="10" s="1"/>
  <c r="CX524" i="10"/>
  <c r="Z524" i="10" s="1"/>
  <c r="CT494" i="10"/>
  <c r="CU494" i="10" s="1"/>
  <c r="BR380" i="10" a="1"/>
  <c r="BR380" i="10" s="1"/>
  <c r="CB380" i="10" s="1"/>
  <c r="S380" i="10" s="1"/>
  <c r="AF380" i="10" s="1"/>
  <c r="CL969" i="10"/>
  <c r="CM969" i="10" s="1"/>
  <c r="CN969" i="10" s="1" a="1"/>
  <c r="CN969" i="10" s="1"/>
  <c r="BZ923" i="10" a="1"/>
  <c r="BZ923" i="10" s="1"/>
  <c r="BZ955" i="10" a="1"/>
  <c r="BZ955" i="10" s="1"/>
  <c r="CB955" i="10" s="1"/>
  <c r="S955" i="10" s="1"/>
  <c r="AF955" i="10" s="1"/>
  <c r="BZ800" i="10" a="1"/>
  <c r="BZ800" i="10" s="1"/>
  <c r="CA800" i="10" a="1"/>
  <c r="CA800" i="10" s="1"/>
  <c r="CV734" i="10" a="1"/>
  <c r="CV734" i="10" s="1"/>
  <c r="CW734" i="10" a="1"/>
  <c r="CW734" i="10" s="1"/>
  <c r="BL698" i="10"/>
  <c r="BM698" i="10" s="1"/>
  <c r="BN698" i="10" s="1" a="1"/>
  <c r="BN698" i="10" s="1"/>
  <c r="CB619" i="10"/>
  <c r="S619" i="10" s="1"/>
  <c r="CH772" i="10"/>
  <c r="CI772" i="10" s="1"/>
  <c r="CJ772" i="10" s="1" a="1"/>
  <c r="CJ772" i="10" s="1"/>
  <c r="CT772" i="10"/>
  <c r="CU772" i="10" s="1"/>
  <c r="CB679" i="10"/>
  <c r="S679" i="10" s="1"/>
  <c r="BZ703" i="10" a="1"/>
  <c r="BZ703" i="10" s="1"/>
  <c r="CA703" i="10" a="1"/>
  <c r="CA703" i="10" s="1"/>
  <c r="CX662" i="10"/>
  <c r="Z662" i="10" s="1"/>
  <c r="CB720" i="10"/>
  <c r="S720" i="10" s="1"/>
  <c r="AF720" i="10" s="1"/>
  <c r="CL676" i="10"/>
  <c r="CM676" i="10" s="1"/>
  <c r="CN676" i="10" s="1" a="1"/>
  <c r="CN676" i="10" s="1"/>
  <c r="BX636" i="10"/>
  <c r="BY636" i="10" s="1"/>
  <c r="BP636" i="10"/>
  <c r="BQ636" i="10" s="1"/>
  <c r="BT636" i="10"/>
  <c r="BU636" i="10" s="1"/>
  <c r="BL636" i="10"/>
  <c r="BM636" i="10" s="1"/>
  <c r="BN636" i="10" s="1" a="1"/>
  <c r="BN636" i="10" s="1"/>
  <c r="BX600" i="10"/>
  <c r="BY600" i="10" s="1"/>
  <c r="BT600" i="10"/>
  <c r="BU600" i="10" s="1"/>
  <c r="BV600" i="10" s="1" a="1"/>
  <c r="BV600" i="10" s="1"/>
  <c r="BP600" i="10"/>
  <c r="BQ600" i="10" s="1"/>
  <c r="BR600" i="10" s="1" a="1"/>
  <c r="BR600" i="10" s="1"/>
  <c r="BL600" i="10"/>
  <c r="BM600" i="10" s="1"/>
  <c r="BN600" i="10" s="1" a="1"/>
  <c r="BN600" i="10" s="1"/>
  <c r="CB560" i="10"/>
  <c r="S560" i="10" s="1"/>
  <c r="CR536" i="10" a="1"/>
  <c r="CR536" i="10" s="1"/>
  <c r="CX536" i="10" s="1"/>
  <c r="Z536" i="10" s="1"/>
  <c r="BL539" i="10"/>
  <c r="BM539" i="10" s="1"/>
  <c r="BN539" i="10" s="1" a="1"/>
  <c r="BN539" i="10" s="1"/>
  <c r="CP481" i="10"/>
  <c r="CQ481" i="10" s="1"/>
  <c r="CR481" i="10" s="1" a="1"/>
  <c r="CR481" i="10" s="1"/>
  <c r="CL461" i="10"/>
  <c r="CM461" i="10" s="1"/>
  <c r="CN461" i="10" s="1" a="1"/>
  <c r="CN461" i="10" s="1"/>
  <c r="BX436" i="10"/>
  <c r="BY436" i="10" s="1"/>
  <c r="BP436" i="10"/>
  <c r="BQ436" i="10" s="1"/>
  <c r="BR436" i="10" s="1" a="1"/>
  <c r="BR436" i="10" s="1"/>
  <c r="BL436" i="10"/>
  <c r="BM436" i="10" s="1"/>
  <c r="BN436" i="10" s="1" a="1"/>
  <c r="BN436" i="10" s="1"/>
  <c r="CT449" i="10"/>
  <c r="CU449" i="10" s="1"/>
  <c r="CB654" i="10"/>
  <c r="S654" i="10" s="1"/>
  <c r="AF654" i="10" s="1"/>
  <c r="BR523" i="10" a="1"/>
  <c r="BR523" i="10" s="1"/>
  <c r="CB523" i="10" s="1"/>
  <c r="S523" i="10" s="1"/>
  <c r="BP503" i="10"/>
  <c r="BQ503" i="10" s="1"/>
  <c r="BR503" i="10" s="1" a="1"/>
  <c r="BR503" i="10" s="1"/>
  <c r="CL418" i="10"/>
  <c r="CM418" i="10" s="1"/>
  <c r="CN418" i="10" s="1" a="1"/>
  <c r="CN418" i="10" s="1"/>
  <c r="CV399" i="10" a="1"/>
  <c r="CV399" i="10" s="1"/>
  <c r="CW399" i="10" a="1"/>
  <c r="CW399" i="10" s="1"/>
  <c r="CX356" i="10"/>
  <c r="Z356" i="10" s="1"/>
  <c r="CB361" i="10"/>
  <c r="S361" i="10" s="1"/>
  <c r="CT282" i="10"/>
  <c r="CU282" i="10" s="1"/>
  <c r="CB291" i="10"/>
  <c r="S291" i="10" s="1"/>
  <c r="CV329" i="10" a="1"/>
  <c r="CV329" i="10" s="1"/>
  <c r="CW329" i="10" a="1"/>
  <c r="CW329" i="10" s="1"/>
  <c r="CP257" i="10"/>
  <c r="CQ257" i="10" s="1"/>
  <c r="CR257" i="10" s="1" a="1"/>
  <c r="CR257" i="10" s="1"/>
  <c r="CX213" i="10"/>
  <c r="Z213" i="10" s="1"/>
  <c r="CP210" i="10"/>
  <c r="CQ210" i="10" s="1"/>
  <c r="CR210" i="10" s="1" a="1"/>
  <c r="CR210" i="10" s="1"/>
  <c r="CH210" i="10"/>
  <c r="CI210" i="10" s="1"/>
  <c r="CJ210" i="10" s="1" a="1"/>
  <c r="CJ210" i="10" s="1"/>
  <c r="CT210" i="10"/>
  <c r="CU210" i="10" s="1"/>
  <c r="CX147" i="10"/>
  <c r="Z147" i="10" s="1"/>
  <c r="CV158" i="10" a="1"/>
  <c r="CV158" i="10" s="1"/>
  <c r="CW158" i="10" a="1"/>
  <c r="CW158" i="10" s="1"/>
  <c r="CV136" i="10" a="1"/>
  <c r="CV136" i="10" s="1"/>
  <c r="CW136" i="10" a="1"/>
  <c r="CW136" i="10" s="1"/>
  <c r="BV606" i="10" a="1"/>
  <c r="BV606" i="10" s="1"/>
  <c r="CB606" i="10" s="1"/>
  <c r="S606" i="10" s="1"/>
  <c r="CR572" i="10" a="1"/>
  <c r="CR572" i="10" s="1"/>
  <c r="BV513" i="10" a="1"/>
  <c r="BV513" i="10" s="1"/>
  <c r="CB513" i="10" s="1"/>
  <c r="S513" i="10" s="1"/>
  <c r="AF513" i="10" s="1"/>
  <c r="CN409" i="10" a="1"/>
  <c r="CN409" i="10" s="1"/>
  <c r="CX409" i="10" s="1"/>
  <c r="Z409" i="10" s="1"/>
  <c r="CB395" i="10"/>
  <c r="S395" i="10" s="1"/>
  <c r="CX350" i="10"/>
  <c r="Z350" i="10" s="1"/>
  <c r="CX305" i="10"/>
  <c r="Z305" i="10" s="1"/>
  <c r="CW256" i="10" a="1"/>
  <c r="CW256" i="10" s="1"/>
  <c r="CV256" i="10" a="1"/>
  <c r="CV256" i="10" s="1"/>
  <c r="CW262" i="10" a="1"/>
  <c r="CW262" i="10" s="1"/>
  <c r="CV262" i="10" a="1"/>
  <c r="CV262" i="10" s="1"/>
  <c r="CB265" i="10"/>
  <c r="S265" i="10" s="1"/>
  <c r="BZ252" i="10" a="1"/>
  <c r="BZ252" i="10" s="1"/>
  <c r="CA252" i="10" a="1"/>
  <c r="CA252" i="10" s="1"/>
  <c r="CX229" i="10"/>
  <c r="Z229" i="10" s="1"/>
  <c r="CN219" i="10" a="1"/>
  <c r="CN219" i="10" s="1"/>
  <c r="CX219" i="10" s="1"/>
  <c r="Z219" i="10" s="1"/>
  <c r="BT200" i="10"/>
  <c r="BU200" i="10" s="1"/>
  <c r="BV200" i="10" s="1" a="1"/>
  <c r="BV200" i="10" s="1"/>
  <c r="BL200" i="10"/>
  <c r="BM200" i="10" s="1"/>
  <c r="BN200" i="10" s="1" a="1"/>
  <c r="BN200" i="10" s="1"/>
  <c r="BT155" i="10"/>
  <c r="BU155" i="10" s="1"/>
  <c r="BV155" i="10" s="1" a="1"/>
  <c r="BV155" i="10" s="1"/>
  <c r="BV126" i="10" a="1"/>
  <c r="BV126" i="10" s="1"/>
  <c r="CB126" i="10" s="1"/>
  <c r="S126" i="10" s="1"/>
  <c r="AF126" i="10" s="1"/>
  <c r="CN610" i="10" a="1"/>
  <c r="CN610" i="10" s="1"/>
  <c r="CX610" i="10" s="1"/>
  <c r="Z610" i="10" s="1"/>
  <c r="BV579" i="10" a="1"/>
  <c r="BV579" i="10" s="1"/>
  <c r="CB579" i="10" s="1"/>
  <c r="S579" i="10" s="1"/>
  <c r="CN504" i="10" a="1"/>
  <c r="CN504" i="10" s="1"/>
  <c r="CX504" i="10" s="1"/>
  <c r="Z504" i="10" s="1"/>
  <c r="CP445" i="10"/>
  <c r="CQ445" i="10" s="1"/>
  <c r="CR445" i="10" s="1" a="1"/>
  <c r="CR445" i="10" s="1"/>
  <c r="CH445" i="10"/>
  <c r="CI445" i="10" s="1"/>
  <c r="CJ445" i="10" s="1" a="1"/>
  <c r="CJ445" i="10" s="1"/>
  <c r="BL364" i="10"/>
  <c r="BM364" i="10" s="1"/>
  <c r="BN364" i="10" s="1" a="1"/>
  <c r="BN364" i="10" s="1"/>
  <c r="CA417" i="10" a="1"/>
  <c r="CA417" i="10" s="1"/>
  <c r="BZ417" i="10" a="1"/>
  <c r="BZ417" i="10" s="1"/>
  <c r="BX352" i="10"/>
  <c r="BY352" i="10" s="1"/>
  <c r="CX342" i="10"/>
  <c r="Z342" i="10" s="1"/>
  <c r="CW354" i="10" a="1"/>
  <c r="CW354" i="10" s="1"/>
  <c r="CV354" i="10" a="1"/>
  <c r="CV354" i="10" s="1"/>
  <c r="CN303" i="10" a="1"/>
  <c r="CN303" i="10" s="1"/>
  <c r="CX303" i="10" s="1"/>
  <c r="Z303" i="10" s="1"/>
  <c r="CB244" i="10"/>
  <c r="S244" i="10" s="1"/>
  <c r="CP214" i="10"/>
  <c r="CQ214" i="10" s="1"/>
  <c r="CR214" i="10" s="1" a="1"/>
  <c r="CR214" i="10" s="1"/>
  <c r="CT214" i="10"/>
  <c r="CU214" i="10" s="1"/>
  <c r="CH214" i="10"/>
  <c r="CI214" i="10" s="1"/>
  <c r="CJ214" i="10" s="1" a="1"/>
  <c r="CJ214" i="10" s="1"/>
  <c r="BZ174" i="10" a="1"/>
  <c r="BZ174" i="10" s="1"/>
  <c r="CA174" i="10" a="1"/>
  <c r="CA174" i="10" s="1"/>
  <c r="CB166" i="10"/>
  <c r="S166" i="10" s="1"/>
  <c r="CV139" i="10" a="1"/>
  <c r="CV139" i="10" s="1"/>
  <c r="CW139" i="10" a="1"/>
  <c r="CW139" i="10" s="1"/>
  <c r="BR137" i="10" a="1"/>
  <c r="BR137" i="10" s="1"/>
  <c r="CB137" i="10" s="1"/>
  <c r="S137" i="10" s="1"/>
  <c r="BR651" i="10" a="1"/>
  <c r="BR651" i="10" s="1"/>
  <c r="CB651" i="10" s="1"/>
  <c r="S651" i="10" s="1"/>
  <c r="BZ451" i="10" a="1"/>
  <c r="BZ451" i="10" s="1"/>
  <c r="CB451" i="10" s="1"/>
  <c r="S451" i="10" s="1"/>
  <c r="CV428" i="10" a="1"/>
  <c r="CV428" i="10" s="1"/>
  <c r="CX428" i="10" s="1"/>
  <c r="Z428" i="10" s="1"/>
  <c r="BV443" i="10" a="1"/>
  <c r="BV443" i="10" s="1"/>
  <c r="CB443" i="10" s="1"/>
  <c r="S443" i="10" s="1"/>
  <c r="CV433" i="10" a="1"/>
  <c r="CV433" i="10" s="1"/>
  <c r="CW433" i="10" a="1"/>
  <c r="CW433" i="10" s="1"/>
  <c r="CX392" i="10"/>
  <c r="Z392" i="10" s="1"/>
  <c r="CT351" i="10"/>
  <c r="CU351" i="10" s="1"/>
  <c r="BP340" i="10"/>
  <c r="BQ340" i="10" s="1"/>
  <c r="BR340" i="10" s="1" a="1"/>
  <c r="BR340" i="10" s="1"/>
  <c r="CB365" i="10"/>
  <c r="S365" i="10" s="1"/>
  <c r="CB307" i="10"/>
  <c r="S307" i="10" s="1"/>
  <c r="AF307" i="10" s="1"/>
  <c r="BR274" i="10" a="1"/>
  <c r="BR274" i="10" s="1"/>
  <c r="CB274" i="10" s="1"/>
  <c r="S274" i="10" s="1"/>
  <c r="AF274" i="10" s="1"/>
  <c r="CB271" i="10"/>
  <c r="S271" i="10" s="1"/>
  <c r="CV260" i="10" a="1"/>
  <c r="CV260" i="10" s="1"/>
  <c r="CW260" i="10" a="1"/>
  <c r="CW260" i="10" s="1"/>
  <c r="BV217" i="10" a="1"/>
  <c r="BV217" i="10" s="1"/>
  <c r="CB217" i="10" s="1"/>
  <c r="S217" i="10" s="1"/>
  <c r="BV203" i="10" a="1"/>
  <c r="BV203" i="10" s="1"/>
  <c r="CB203" i="10" s="1"/>
  <c r="S203" i="10" s="1"/>
  <c r="CN199" i="10" a="1"/>
  <c r="CN199" i="10" s="1"/>
  <c r="BR169" i="10" a="1"/>
  <c r="BR169" i="10" s="1"/>
  <c r="CB169" i="10" s="1"/>
  <c r="S169" i="10" s="1"/>
  <c r="AF169" i="10" s="1"/>
  <c r="CV174" i="10" a="1"/>
  <c r="CV174" i="10" s="1"/>
  <c r="CW174" i="10" a="1"/>
  <c r="CW174" i="10" s="1"/>
  <c r="CR670" i="10" a="1"/>
  <c r="CR670" i="10" s="1"/>
  <c r="CX670" i="10" s="1"/>
  <c r="Z670" i="10" s="1"/>
  <c r="AF670" i="10" s="1"/>
  <c r="BZ667" i="10" a="1"/>
  <c r="BZ667" i="10" s="1"/>
  <c r="CB667" i="10" s="1"/>
  <c r="S667" i="10" s="1"/>
  <c r="BV575" i="10" a="1"/>
  <c r="BV575" i="10" s="1"/>
  <c r="CB575" i="10" s="1"/>
  <c r="S575" i="10" s="1"/>
  <c r="BV512" i="10" a="1"/>
  <c r="BV512" i="10" s="1"/>
  <c r="CB512" i="10" s="1"/>
  <c r="S512" i="10" s="1"/>
  <c r="BP427" i="10"/>
  <c r="BQ427" i="10" s="1"/>
  <c r="BR427" i="10" s="1" a="1"/>
  <c r="BR427" i="10" s="1"/>
  <c r="CA376" i="10" a="1"/>
  <c r="CA376" i="10" s="1"/>
  <c r="BZ376" i="10" a="1"/>
  <c r="BZ376" i="10" s="1"/>
  <c r="CT407" i="10"/>
  <c r="CU407" i="10" s="1"/>
  <c r="CB392" i="10"/>
  <c r="S392" i="10" s="1"/>
  <c r="BZ343" i="10" a="1"/>
  <c r="BZ343" i="10" s="1"/>
  <c r="CB343" i="10" s="1"/>
  <c r="S343" i="10" s="1"/>
  <c r="CA343" i="10" a="1"/>
  <c r="CA343" i="10" s="1"/>
  <c r="BX340" i="10"/>
  <c r="BY340" i="10" s="1"/>
  <c r="CX358" i="10"/>
  <c r="Z358" i="10" s="1"/>
  <c r="CR315" i="10" a="1"/>
  <c r="CR315" i="10" s="1"/>
  <c r="CX315" i="10" s="1"/>
  <c r="Z315" i="10" s="1"/>
  <c r="CX311" i="10"/>
  <c r="Z311" i="10" s="1"/>
  <c r="CR264" i="10" a="1"/>
  <c r="CR264" i="10" s="1"/>
  <c r="CX264" i="10" s="1"/>
  <c r="Z264" i="10" s="1"/>
  <c r="CW269" i="10" a="1"/>
  <c r="CW269" i="10" s="1"/>
  <c r="CV269" i="10" a="1"/>
  <c r="CV269" i="10" s="1"/>
  <c r="BP247" i="10"/>
  <c r="BQ247" i="10" s="1"/>
  <c r="BR247" i="10" s="1" a="1"/>
  <c r="BR247" i="10" s="1"/>
  <c r="CL155" i="10"/>
  <c r="CM155" i="10" s="1"/>
  <c r="CN155" i="10" s="1" a="1"/>
  <c r="CN155" i="10" s="1"/>
  <c r="BV772" i="10" a="1"/>
  <c r="BV772" i="10" s="1"/>
  <c r="CB772" i="10" s="1"/>
  <c r="S772" i="10" s="1"/>
  <c r="BR687" i="10" a="1"/>
  <c r="BR687" i="10" s="1"/>
  <c r="CB687" i="10" s="1"/>
  <c r="S687" i="10" s="1"/>
  <c r="AF687" i="10" s="1"/>
  <c r="BR623" i="10" a="1"/>
  <c r="BR623" i="10" s="1"/>
  <c r="BR412" i="10" a="1"/>
  <c r="BR412" i="10" s="1"/>
  <c r="CB412" i="10" s="1"/>
  <c r="S412" i="10" s="1"/>
  <c r="CW421" i="10" a="1"/>
  <c r="CW421" i="10" s="1"/>
  <c r="CV421" i="10" a="1"/>
  <c r="CV421" i="10" s="1"/>
  <c r="CB363" i="10"/>
  <c r="S363" i="10" s="1"/>
  <c r="CN330" i="10" a="1"/>
  <c r="CN330" i="10" s="1"/>
  <c r="CX330" i="10" s="1"/>
  <c r="Z330" i="10" s="1"/>
  <c r="CH292" i="10"/>
  <c r="CI292" i="10" s="1"/>
  <c r="CJ292" i="10" s="1" a="1"/>
  <c r="CJ292" i="10" s="1"/>
  <c r="BZ255" i="10" a="1"/>
  <c r="BZ255" i="10" s="1"/>
  <c r="CA255" i="10" a="1"/>
  <c r="CA255" i="10" s="1"/>
  <c r="BR231" i="10" a="1"/>
  <c r="BR231" i="10" s="1"/>
  <c r="CB231" i="10" s="1"/>
  <c r="S231" i="10" s="1"/>
  <c r="AF231" i="10" s="1"/>
  <c r="BR209" i="10" a="1"/>
  <c r="BR209" i="10" s="1"/>
  <c r="CB209" i="10" s="1"/>
  <c r="S209" i="10" s="1"/>
  <c r="CR217" i="10" a="1"/>
  <c r="CR217" i="10" s="1"/>
  <c r="CX217" i="10" s="1"/>
  <c r="Z217" i="10" s="1"/>
  <c r="CX183" i="10"/>
  <c r="Z183" i="10" s="1"/>
  <c r="CB123" i="10"/>
  <c r="S123" i="10" s="1"/>
  <c r="BX706" i="10"/>
  <c r="BY706" i="10" s="1"/>
  <c r="BZ659" i="10" a="1"/>
  <c r="BZ659" i="10" s="1"/>
  <c r="CB659" i="10" s="1"/>
  <c r="S659" i="10" s="1"/>
  <c r="CV638" i="10" a="1"/>
  <c r="CV638" i="10" s="1"/>
  <c r="CX638" i="10" s="1"/>
  <c r="Z638" i="10" s="1"/>
  <c r="CV582" i="10" a="1"/>
  <c r="CV582" i="10" s="1"/>
  <c r="CX582" i="10" s="1"/>
  <c r="Z582" i="10" s="1"/>
  <c r="AF582" i="10" s="1"/>
  <c r="CW427" i="10" a="1"/>
  <c r="CW427" i="10" s="1"/>
  <c r="CV427" i="10" a="1"/>
  <c r="CV427" i="10" s="1"/>
  <c r="CL401" i="10"/>
  <c r="CM401" i="10" s="1"/>
  <c r="CN401" i="10" s="1" a="1"/>
  <c r="CN401" i="10" s="1"/>
  <c r="CP363" i="10"/>
  <c r="CQ363" i="10" s="1"/>
  <c r="CR363" i="10" s="1" a="1"/>
  <c r="CR363" i="10" s="1"/>
  <c r="CP372" i="10"/>
  <c r="CQ372" i="10" s="1"/>
  <c r="CR372" i="10" s="1" a="1"/>
  <c r="CR372" i="10" s="1"/>
  <c r="CR313" i="10" a="1"/>
  <c r="CR313" i="10" s="1"/>
  <c r="CP310" i="10"/>
  <c r="CQ310" i="10" s="1"/>
  <c r="CR310" i="10" s="1" a="1"/>
  <c r="CR310" i="10" s="1"/>
  <c r="CJ262" i="10" a="1"/>
  <c r="CJ262" i="10" s="1"/>
  <c r="CX262" i="10" s="1"/>
  <c r="Z262" i="10" s="1"/>
  <c r="CR254" i="10" a="1"/>
  <c r="CR254" i="10" s="1"/>
  <c r="CX171" i="10"/>
  <c r="Z171" i="10" s="1"/>
  <c r="CX182" i="10"/>
  <c r="Z182" i="10" s="1"/>
  <c r="BL149" i="10"/>
  <c r="BM149" i="10" s="1"/>
  <c r="BN149" i="10" s="1" a="1"/>
  <c r="BN149" i="10" s="1"/>
  <c r="CW163" i="10" a="1"/>
  <c r="CW163" i="10" s="1"/>
  <c r="CV163" i="10" a="1"/>
  <c r="CV163" i="10" s="1"/>
  <c r="CB152" i="10"/>
  <c r="S152" i="10" s="1"/>
  <c r="AF152" i="10" s="1"/>
  <c r="CA148" i="10" a="1"/>
  <c r="CA148" i="10" s="1"/>
  <c r="BZ148" i="10" a="1"/>
  <c r="BZ148" i="10" s="1"/>
  <c r="BZ140" i="10" a="1"/>
  <c r="BZ140" i="10" s="1"/>
  <c r="CB140" i="10" s="1"/>
  <c r="S140" i="10" s="1"/>
  <c r="CA140" i="10" a="1"/>
  <c r="CA140" i="10" s="1"/>
  <c r="CT133" i="10"/>
  <c r="CU133" i="10" s="1"/>
  <c r="CN611" i="10" a="1"/>
  <c r="CN611" i="10" s="1"/>
  <c r="CX611" i="10" s="1"/>
  <c r="Z611" i="10" s="1"/>
  <c r="CN496" i="10" a="1"/>
  <c r="CN496" i="10" s="1"/>
  <c r="CX496" i="10" s="1"/>
  <c r="Z496" i="10" s="1"/>
  <c r="CR462" i="10" a="1"/>
  <c r="CR462" i="10" s="1"/>
  <c r="CX462" i="10" s="1"/>
  <c r="Z462" i="10" s="1"/>
  <c r="BR396" i="10" a="1"/>
  <c r="BR396" i="10" s="1"/>
  <c r="CB396" i="10" s="1"/>
  <c r="S396" i="10" s="1"/>
  <c r="BR346" i="10" a="1"/>
  <c r="BR346" i="10" s="1"/>
  <c r="CB346" i="10" s="1"/>
  <c r="S346" i="10" s="1"/>
  <c r="CB312" i="10"/>
  <c r="S312" i="10" s="1"/>
  <c r="BX239" i="10"/>
  <c r="BY239" i="10" s="1"/>
  <c r="CN233" i="10" a="1"/>
  <c r="CN233" i="10" s="1"/>
  <c r="CX233" i="10" s="1"/>
  <c r="Z233" i="10" s="1"/>
  <c r="CB225" i="10"/>
  <c r="S225" i="10" s="1"/>
  <c r="AF225" i="10" s="1"/>
  <c r="CV221" i="10" a="1"/>
  <c r="CV221" i="10" s="1"/>
  <c r="CX221" i="10" s="1"/>
  <c r="Z221" i="10" s="1"/>
  <c r="BX196" i="10"/>
  <c r="BY196" i="10" s="1"/>
  <c r="CB187" i="10"/>
  <c r="S187" i="10" s="1"/>
  <c r="CL164" i="10"/>
  <c r="CM164" i="10" s="1"/>
  <c r="CN164" i="10" s="1" a="1"/>
  <c r="CN164" i="10" s="1"/>
  <c r="BR157" i="10" a="1"/>
  <c r="BR157" i="10" s="1"/>
  <c r="CB157" i="10" s="1"/>
  <c r="S157" i="10" s="1"/>
  <c r="BV314" i="10" a="1"/>
  <c r="BV314" i="10" s="1"/>
  <c r="CB314" i="10" s="1"/>
  <c r="S314" i="10" s="1"/>
  <c r="CV199" i="10" a="1"/>
  <c r="CV199" i="10" s="1"/>
  <c r="BV369" i="10" a="1"/>
  <c r="BV369" i="10" s="1"/>
  <c r="CB369" i="10" s="1"/>
  <c r="S369" i="10" s="1"/>
  <c r="AF369" i="10" s="1"/>
  <c r="CN412" i="10" a="1"/>
  <c r="CN412" i="10" s="1"/>
  <c r="CX412" i="10" s="1"/>
  <c r="Z412" i="10" s="1"/>
  <c r="CR265" i="10" a="1"/>
  <c r="CR265" i="10" s="1"/>
  <c r="CX265" i="10" s="1"/>
  <c r="Z265" i="10" s="1"/>
  <c r="CV207" i="10" a="1"/>
  <c r="CV207" i="10" s="1"/>
  <c r="BV199" i="10" a="1"/>
  <c r="BV199" i="10" s="1"/>
  <c r="CB199" i="10" s="1"/>
  <c r="S199" i="10" s="1"/>
  <c r="CN165" i="10" a="1"/>
  <c r="CN165" i="10" s="1"/>
  <c r="CX165" i="10" s="1"/>
  <c r="Z165" i="10" s="1"/>
  <c r="CR297" i="10" a="1"/>
  <c r="CR297" i="10" s="1"/>
  <c r="CX297" i="10" s="1"/>
  <c r="Z297" i="10" s="1"/>
  <c r="CV237" i="10" a="1"/>
  <c r="CV237" i="10" s="1"/>
  <c r="CX237" i="10" s="1"/>
  <c r="Z237" i="10" s="1"/>
  <c r="CR413" i="10" a="1"/>
  <c r="CR413" i="10" s="1"/>
  <c r="CX413" i="10" s="1"/>
  <c r="Z413" i="10" s="1"/>
  <c r="CR366" i="10" a="1"/>
  <c r="CR366" i="10" s="1"/>
  <c r="CX366" i="10" s="1"/>
  <c r="Z366" i="10" s="1"/>
  <c r="CN287" i="10" a="1"/>
  <c r="CN287" i="10" s="1"/>
  <c r="CX287" i="10" s="1"/>
  <c r="Z287" i="10" s="1"/>
  <c r="CR256" i="10" a="1"/>
  <c r="CR256" i="10" s="1"/>
  <c r="CX256" i="10" s="1"/>
  <c r="Z256" i="10" s="1"/>
  <c r="BV353" i="10" a="1"/>
  <c r="BV353" i="10" s="1"/>
  <c r="CB353" i="10" s="1"/>
  <c r="S353" i="10" s="1"/>
  <c r="BR316" i="10" a="1"/>
  <c r="BR316" i="10" s="1"/>
  <c r="CB316" i="10" s="1"/>
  <c r="S316" i="10" s="1"/>
  <c r="AF316" i="10" s="1"/>
  <c r="CN195" i="10" a="1"/>
  <c r="CN195" i="10" s="1"/>
  <c r="CX195" i="10" s="1"/>
  <c r="Z195" i="10" s="1"/>
  <c r="BR136" i="10" a="1"/>
  <c r="BR136" i="10" s="1"/>
  <c r="CB136" i="10" s="1"/>
  <c r="S136" i="10" s="1"/>
  <c r="CV215" i="10" a="1"/>
  <c r="CV215" i="10" s="1"/>
  <c r="BZ388" i="10" a="1"/>
  <c r="BZ388" i="10" s="1"/>
  <c r="BZ283" i="10" a="1"/>
  <c r="BZ283" i="10" s="1"/>
  <c r="CB283" i="10" s="1"/>
  <c r="S283" i="10" s="1"/>
  <c r="CN179" i="10" a="1"/>
  <c r="CN179" i="10" s="1"/>
  <c r="CX179" i="10" s="1"/>
  <c r="Z179" i="10" s="1"/>
  <c r="CV168" i="10" a="1"/>
  <c r="CV168" i="10" s="1"/>
  <c r="CX168" i="10" s="1"/>
  <c r="Z168" i="10" s="1"/>
  <c r="CN83" i="10" a="1"/>
  <c r="CN83" i="10" s="1"/>
  <c r="CT99" i="10"/>
  <c r="CU99" i="10" s="1"/>
  <c r="CN71" i="10" a="1"/>
  <c r="CN71" i="10" s="1"/>
  <c r="CT76" i="10"/>
  <c r="CU76" i="10" s="1"/>
  <c r="CL99" i="10"/>
  <c r="CM99" i="10" s="1"/>
  <c r="CR81" i="10" a="1"/>
  <c r="CR81" i="10" s="1"/>
  <c r="BT95" i="10"/>
  <c r="BU95" i="10" s="1"/>
  <c r="BV95" i="10" s="1" a="1"/>
  <c r="BV95" i="10" s="1"/>
  <c r="BR110" i="10" a="1"/>
  <c r="BR110" i="10" s="1"/>
  <c r="CB110" i="10" s="1"/>
  <c r="S110" i="10" s="1"/>
  <c r="CT72" i="10"/>
  <c r="CU72" i="10" s="1"/>
  <c r="CP99" i="10"/>
  <c r="CQ99" i="10" s="1"/>
  <c r="BV84" i="10" a="1"/>
  <c r="BV84" i="10" s="1"/>
  <c r="CB85" i="10"/>
  <c r="S85" i="10" s="1"/>
  <c r="CT60" i="10"/>
  <c r="CU60" i="10" s="1"/>
  <c r="BL70" i="10"/>
  <c r="BM70" i="10" s="1"/>
  <c r="BN70" i="10" s="1" a="1"/>
  <c r="BN70" i="10" s="1"/>
  <c r="CN29" i="10" a="1"/>
  <c r="CN29" i="10" s="1"/>
  <c r="CN112" i="10" a="1"/>
  <c r="CN112" i="10" s="1"/>
  <c r="CL26" i="10"/>
  <c r="CM26" i="10" s="1"/>
  <c r="BL86" i="10"/>
  <c r="BM86" i="10" s="1"/>
  <c r="BN86" i="10" s="1" a="1"/>
  <c r="BN86" i="10" s="1"/>
  <c r="BT66" i="10"/>
  <c r="BU66" i="10" s="1"/>
  <c r="BV66" i="10" s="1" a="1"/>
  <c r="BV66" i="10" s="1"/>
  <c r="CP83" i="10"/>
  <c r="CQ83" i="10" s="1"/>
  <c r="CR83" i="10" s="1" a="1"/>
  <c r="CR83" i="10" s="1"/>
  <c r="CP89" i="10"/>
  <c r="CQ89" i="10" s="1"/>
  <c r="CR89" i="10" s="1" a="1"/>
  <c r="CR89" i="10" s="1"/>
  <c r="BR30" i="10" a="1"/>
  <c r="BR30" i="10" s="1"/>
  <c r="CL121" i="10"/>
  <c r="CM121" i="10" s="1"/>
  <c r="CT118" i="10"/>
  <c r="CU118" i="10" s="1"/>
  <c r="BX95" i="10"/>
  <c r="BY95" i="10" s="1"/>
  <c r="CP118" i="10"/>
  <c r="CQ118" i="10" s="1"/>
  <c r="BT117" i="10"/>
  <c r="BU117" i="10" s="1"/>
  <c r="BR77" i="10" a="1"/>
  <c r="BR77" i="10" s="1"/>
  <c r="CN96" i="10" a="1"/>
  <c r="CN96" i="10" s="1"/>
  <c r="BP105" i="10"/>
  <c r="BQ105" i="10" s="1"/>
  <c r="CH68" i="10"/>
  <c r="CI68" i="10" s="1"/>
  <c r="CJ68" i="10" s="1" a="1"/>
  <c r="CJ68" i="10" s="1"/>
  <c r="CR75" i="10" a="1"/>
  <c r="CR75" i="10" s="1"/>
  <c r="BT44" i="10"/>
  <c r="BU44" i="10" s="1"/>
  <c r="CP86" i="10"/>
  <c r="CQ86" i="10" s="1"/>
  <c r="CR86" i="10" s="1" a="1"/>
  <c r="CR86" i="10" s="1"/>
  <c r="CL103" i="10"/>
  <c r="CM103" i="10" s="1"/>
  <c r="CN103" i="10" s="1" a="1"/>
  <c r="CN103" i="10" s="1"/>
  <c r="CL66" i="10"/>
  <c r="CM66" i="10" s="1"/>
  <c r="CR66" i="10" s="1" a="1"/>
  <c r="CR66" i="10" s="1"/>
  <c r="BV34" i="10" a="1"/>
  <c r="BV34" i="10" s="1"/>
  <c r="BZ83" i="10" a="1"/>
  <c r="BZ83" i="10" s="1"/>
  <c r="CR48" i="10" a="1"/>
  <c r="CR48" i="10" s="1"/>
  <c r="CT49" i="10"/>
  <c r="CU49" i="10" s="1"/>
  <c r="BT112" i="10"/>
  <c r="BU112" i="10" s="1"/>
  <c r="BV120" i="10" a="1"/>
  <c r="BV120" i="10" s="1"/>
  <c r="CR41" i="10" a="1"/>
  <c r="CR41" i="10" s="1"/>
  <c r="CT97" i="10"/>
  <c r="CU97" i="10" s="1"/>
  <c r="CT86" i="10"/>
  <c r="CU86" i="10" s="1"/>
  <c r="BL101" i="10"/>
  <c r="BM101" i="10" s="1"/>
  <c r="BN101" i="10" s="1" a="1"/>
  <c r="BN101" i="10" s="1"/>
  <c r="BX65" i="10"/>
  <c r="BY65" i="10" s="1"/>
  <c r="CV67" i="10" a="1"/>
  <c r="CV67" i="10" s="1"/>
  <c r="BL33" i="10"/>
  <c r="BM33" i="10" s="1"/>
  <c r="BN33" i="10" s="1" a="1"/>
  <c r="BN33" i="10" s="1"/>
  <c r="CR65" i="10" a="1"/>
  <c r="CR65" i="10" s="1"/>
  <c r="CX65" i="10" s="1"/>
  <c r="Z65" i="10" s="1"/>
  <c r="BZ120" i="10" a="1"/>
  <c r="BZ120" i="10" s="1"/>
  <c r="CP100" i="10"/>
  <c r="CQ100" i="10" s="1"/>
  <c r="BV51" i="10" a="1"/>
  <c r="BV51" i="10" s="1"/>
  <c r="CN82" i="10" a="1"/>
  <c r="CN82" i="10" s="1"/>
  <c r="CR101" i="10" a="1"/>
  <c r="CR101" i="10" s="1"/>
  <c r="CP103" i="10"/>
  <c r="CQ103" i="10" s="1"/>
  <c r="BR47" i="10" a="1"/>
  <c r="BR47" i="10" s="1"/>
  <c r="BX33" i="10"/>
  <c r="BY33" i="10" s="1"/>
  <c r="CA33" i="10" s="1" a="1"/>
  <c r="CA33" i="10" s="1"/>
  <c r="BZ93" i="10" a="1"/>
  <c r="BZ93" i="10" s="1"/>
  <c r="BR98" i="10" a="1"/>
  <c r="BR98" i="10" s="1"/>
  <c r="CA106" i="10" a="1"/>
  <c r="CA106" i="10" s="1"/>
  <c r="BR61" i="10" a="1"/>
  <c r="BR61" i="10" s="1"/>
  <c r="CB61" i="10" s="1"/>
  <c r="S61" i="10" s="1"/>
  <c r="BR42" i="10" a="1"/>
  <c r="BR42" i="10" s="1"/>
  <c r="CB42" i="10" s="1"/>
  <c r="CH86" i="10"/>
  <c r="CI86" i="10" s="1"/>
  <c r="CJ86" i="10" s="1" a="1"/>
  <c r="CJ86" i="10" s="1"/>
  <c r="BP65" i="10"/>
  <c r="BQ65" i="10" s="1"/>
  <c r="BR65" i="10" s="1" a="1"/>
  <c r="BR65" i="10" s="1"/>
  <c r="BL69" i="10"/>
  <c r="BM69" i="10" s="1"/>
  <c r="BN69" i="10" s="1" a="1"/>
  <c r="BN69" i="10" s="1"/>
  <c r="CR74" i="10" a="1"/>
  <c r="CR74" i="10" s="1"/>
  <c r="CT103" i="10"/>
  <c r="CU103" i="10" s="1"/>
  <c r="CR33" i="10" a="1"/>
  <c r="CR33" i="10" s="1"/>
  <c r="BL44" i="10"/>
  <c r="BM44" i="10" s="1"/>
  <c r="BN44" i="10" s="1" a="1"/>
  <c r="BN44" i="10" s="1"/>
  <c r="CL80" i="10"/>
  <c r="CM80" i="10" s="1"/>
  <c r="CL91" i="10"/>
  <c r="CM91" i="10" s="1"/>
  <c r="BL66" i="10"/>
  <c r="BM66" i="10" s="1"/>
  <c r="BN66" i="10" s="1" a="1"/>
  <c r="BN66" i="10" s="1"/>
  <c r="BP108" i="10"/>
  <c r="BQ108" i="10" s="1"/>
  <c r="BV45" i="10" a="1"/>
  <c r="BV45" i="10" s="1"/>
  <c r="BZ42" i="10" a="1"/>
  <c r="BZ42" i="10" s="1"/>
  <c r="BR92" i="10" a="1"/>
  <c r="BR92" i="10" s="1"/>
  <c r="BL108" i="10"/>
  <c r="BM108" i="10" s="1"/>
  <c r="BN108" i="10" s="1" a="1"/>
  <c r="BN108" i="10" s="1"/>
  <c r="BT31" i="10"/>
  <c r="BU31" i="10" s="1"/>
  <c r="CP44" i="10"/>
  <c r="CQ44" i="10" s="1"/>
  <c r="CL43" i="10"/>
  <c r="CM43" i="10" s="1"/>
  <c r="CP70" i="10"/>
  <c r="CQ70" i="10" s="1"/>
  <c r="CV70" i="10" s="1" a="1"/>
  <c r="CV70" i="10" s="1"/>
  <c r="BP73" i="10"/>
  <c r="BQ73" i="10" s="1"/>
  <c r="BX44" i="10"/>
  <c r="BY44" i="10" s="1"/>
  <c r="BR118" i="10" a="1"/>
  <c r="BR118" i="10" s="1"/>
  <c r="CT38" i="10"/>
  <c r="CU38" i="10" s="1"/>
  <c r="CW38" i="10" s="1" a="1"/>
  <c r="CW38" i="10" s="1"/>
  <c r="BL46" i="10"/>
  <c r="BM46" i="10" s="1"/>
  <c r="BN46" i="10" s="1" a="1"/>
  <c r="BN46" i="10" s="1"/>
  <c r="BL57" i="10"/>
  <c r="BM57" i="10" s="1"/>
  <c r="BN57" i="10" s="1" a="1"/>
  <c r="BN57" i="10" s="1"/>
  <c r="CN27" i="10" a="1"/>
  <c r="CN27" i="10" s="1"/>
  <c r="BL114" i="10"/>
  <c r="BM114" i="10" s="1"/>
  <c r="BN114" i="10" s="1" a="1"/>
  <c r="BN114" i="10" s="1"/>
  <c r="BV107" i="10" a="1"/>
  <c r="BV107" i="10" s="1"/>
  <c r="CV61" i="10" a="1"/>
  <c r="CV61" i="10" s="1"/>
  <c r="BL78" i="10"/>
  <c r="BM78" i="10" s="1"/>
  <c r="BN78" i="10" s="1" a="1"/>
  <c r="BN78" i="10" s="1"/>
  <c r="BT86" i="10"/>
  <c r="BU86" i="10" s="1"/>
  <c r="BZ86" i="10" s="1" a="1"/>
  <c r="BZ86" i="10" s="1"/>
  <c r="BP48" i="10"/>
  <c r="BQ48" i="10" s="1"/>
  <c r="BR48" i="10" s="1" a="1"/>
  <c r="BR48" i="10" s="1"/>
  <c r="BX117" i="10"/>
  <c r="BY117" i="10" s="1"/>
  <c r="BZ117" i="10" s="1" a="1"/>
  <c r="BZ117" i="10" s="1"/>
  <c r="BX114" i="10"/>
  <c r="BY114" i="10" s="1"/>
  <c r="BZ114" i="10" s="1" a="1"/>
  <c r="BZ114" i="10" s="1"/>
  <c r="CR90" i="10" a="1"/>
  <c r="CR90" i="10" s="1"/>
  <c r="CP72" i="10"/>
  <c r="CQ72" i="10" s="1"/>
  <c r="BP114" i="10"/>
  <c r="BQ114" i="10" s="1"/>
  <c r="CN98" i="10" a="1"/>
  <c r="CN98" i="10" s="1"/>
  <c r="CH72" i="10"/>
  <c r="CI72" i="10" s="1"/>
  <c r="CJ72" i="10" s="1" a="1"/>
  <c r="CJ72" i="10" s="1"/>
  <c r="BR88" i="10" a="1"/>
  <c r="BR88" i="10" s="1"/>
  <c r="BT25" i="10"/>
  <c r="BU25" i="10" s="1"/>
  <c r="BV25" i="10" s="1" a="1"/>
  <c r="BV25" i="10" s="1"/>
  <c r="CL31" i="10"/>
  <c r="CM31" i="10" s="1"/>
  <c r="CN31" i="10" s="1" a="1"/>
  <c r="CN31" i="10" s="1"/>
  <c r="BP78" i="10"/>
  <c r="BQ78" i="10" s="1"/>
  <c r="CP78" i="10"/>
  <c r="CQ78" i="10" s="1"/>
  <c r="BX66" i="10"/>
  <c r="BY66" i="10" s="1"/>
  <c r="BP112" i="10"/>
  <c r="BQ112" i="10" s="1"/>
  <c r="CR116" i="10" a="1"/>
  <c r="CR116" i="10" s="1"/>
  <c r="CX106" i="10"/>
  <c r="Z106" i="10" s="1"/>
  <c r="CH89" i="10"/>
  <c r="CI89" i="10" s="1"/>
  <c r="CJ89" i="10" s="1" a="1"/>
  <c r="CJ89" i="10" s="1"/>
  <c r="BV113" i="10" a="1"/>
  <c r="BV113" i="10" s="1"/>
  <c r="BV73" i="10" a="1"/>
  <c r="BV73" i="10" s="1"/>
  <c r="BX43" i="10"/>
  <c r="BY43" i="10" s="1"/>
  <c r="BL112" i="10"/>
  <c r="BM112" i="10" s="1"/>
  <c r="BN112" i="10" s="1" a="1"/>
  <c r="BN112" i="10" s="1"/>
  <c r="CP38" i="10"/>
  <c r="CQ38" i="10" s="1"/>
  <c r="CL113" i="10"/>
  <c r="CM113" i="10" s="1"/>
  <c r="CN113" i="10" s="1" a="1"/>
  <c r="CN113" i="10" s="1"/>
  <c r="CL111" i="10"/>
  <c r="CM111" i="10" s="1"/>
  <c r="BT38" i="10"/>
  <c r="BU38" i="10" s="1"/>
  <c r="BZ38" i="10" s="1" a="1"/>
  <c r="BZ38" i="10" s="1"/>
  <c r="BL72" i="10"/>
  <c r="BM72" i="10" s="1"/>
  <c r="BN72" i="10" s="1" a="1"/>
  <c r="BN72" i="10" s="1"/>
  <c r="BR95" i="10" a="1"/>
  <c r="BR95" i="10" s="1"/>
  <c r="CP79" i="10"/>
  <c r="CQ79" i="10" s="1"/>
  <c r="CR79" i="10" s="1" a="1"/>
  <c r="CR79" i="10" s="1"/>
  <c r="BX58" i="10"/>
  <c r="BY58" i="10" s="1"/>
  <c r="CN86" i="10" a="1"/>
  <c r="CN86" i="10" s="1"/>
  <c r="BL67" i="10"/>
  <c r="BM67" i="10" s="1"/>
  <c r="BN67" i="10" s="1" a="1"/>
  <c r="BN67" i="10" s="1"/>
  <c r="BT67" i="10"/>
  <c r="BU67" i="10" s="1"/>
  <c r="BV67" i="10" s="1" a="1"/>
  <c r="BV67" i="10" s="1"/>
  <c r="BL26" i="10"/>
  <c r="BM26" i="10" s="1"/>
  <c r="BN26" i="10" s="1" a="1"/>
  <c r="BN26" i="10" s="1"/>
  <c r="CN63" i="10" a="1"/>
  <c r="CN63" i="10" s="1"/>
  <c r="BN115" i="10" a="1"/>
  <c r="BN115" i="10" s="1"/>
  <c r="BT104" i="10"/>
  <c r="BU104" i="10" s="1"/>
  <c r="BV104" i="10" s="1" a="1"/>
  <c r="BV104" i="10" s="1"/>
  <c r="BL122" i="10"/>
  <c r="BM122" i="10" s="1"/>
  <c r="BN122" i="10" s="1" a="1"/>
  <c r="BN122" i="10" s="1"/>
  <c r="CT79" i="10"/>
  <c r="CU79" i="10" s="1"/>
  <c r="CW79" i="10" s="1" a="1"/>
  <c r="CW79" i="10" s="1"/>
  <c r="BX68" i="10"/>
  <c r="BY68" i="10" s="1"/>
  <c r="CA68" i="10" s="1" a="1"/>
  <c r="CA68" i="10" s="1"/>
  <c r="CL107" i="10"/>
  <c r="CM107" i="10" s="1"/>
  <c r="BV32" i="10" a="1"/>
  <c r="BV32" i="10" s="1"/>
  <c r="CT111" i="10"/>
  <c r="CU111" i="10" s="1"/>
  <c r="CV111" i="10" s="1" a="1"/>
  <c r="CV111" i="10" s="1"/>
  <c r="BX28" i="10"/>
  <c r="BY28" i="10" s="1"/>
  <c r="BP75" i="10"/>
  <c r="BQ75" i="10" s="1"/>
  <c r="CH57" i="10"/>
  <c r="CI57" i="10" s="1"/>
  <c r="CJ57" i="10" s="1" a="1"/>
  <c r="CJ57" i="10" s="1"/>
  <c r="BL58" i="10"/>
  <c r="BM58" i="10" s="1"/>
  <c r="BN58" i="10" s="1" a="1"/>
  <c r="BN58" i="10" s="1"/>
  <c r="BR103" i="10" a="1"/>
  <c r="BR103" i="10" s="1"/>
  <c r="CT52" i="10"/>
  <c r="CU52" i="10" s="1"/>
  <c r="CW52" i="10" s="1" a="1"/>
  <c r="CW52" i="10" s="1"/>
  <c r="BZ62" i="10" a="1"/>
  <c r="BZ62" i="10" s="1"/>
  <c r="CL105" i="10"/>
  <c r="CM105" i="10" s="1"/>
  <c r="CN42" i="10" a="1"/>
  <c r="CN42" i="10" s="1"/>
  <c r="CX42" i="10" s="1"/>
  <c r="Z42" i="10" s="1"/>
  <c r="CT80" i="10"/>
  <c r="CU80" i="10" s="1"/>
  <c r="CJ28" i="10" a="1"/>
  <c r="CJ28" i="10" s="1"/>
  <c r="BL73" i="10"/>
  <c r="BM73" i="10" s="1"/>
  <c r="BN73" i="10" s="1" a="1"/>
  <c r="BN73" i="10" s="1"/>
  <c r="BL79" i="10"/>
  <c r="BM79" i="10" s="1"/>
  <c r="BN79" i="10" s="1" a="1"/>
  <c r="BN79" i="10" s="1"/>
  <c r="CL34" i="10"/>
  <c r="CM34" i="10" s="1"/>
  <c r="CN34" i="10" s="1" a="1"/>
  <c r="CN34" i="10" s="1"/>
  <c r="BT56" i="10"/>
  <c r="BU56" i="10" s="1"/>
  <c r="BV56" i="10" s="1" a="1"/>
  <c r="BV56" i="10" s="1"/>
  <c r="BL75" i="10"/>
  <c r="BM75" i="10" s="1"/>
  <c r="BN75" i="10" s="1" a="1"/>
  <c r="BN75" i="10" s="1"/>
  <c r="BX79" i="10"/>
  <c r="BY79" i="10" s="1"/>
  <c r="CN36" i="10" a="1"/>
  <c r="CN36" i="10" s="1"/>
  <c r="CP57" i="10"/>
  <c r="CQ57" i="10" s="1"/>
  <c r="BX56" i="10"/>
  <c r="BY56" i="10" s="1"/>
  <c r="CA56" i="10" s="1" a="1"/>
  <c r="CA56" i="10" s="1"/>
  <c r="CH52" i="10"/>
  <c r="CI52" i="10" s="1"/>
  <c r="CJ52" i="10" s="1" a="1"/>
  <c r="CJ52" i="10" s="1"/>
  <c r="BR83" i="10" a="1"/>
  <c r="BR83" i="10" s="1"/>
  <c r="BT28" i="10"/>
  <c r="BU28" i="10" s="1"/>
  <c r="BZ28" i="10" s="1" a="1"/>
  <c r="BZ28" i="10" s="1"/>
  <c r="CP105" i="10"/>
  <c r="CQ105" i="10" s="1"/>
  <c r="CR105" i="10" s="1" a="1"/>
  <c r="CR105" i="10" s="1"/>
  <c r="CN94" i="10" a="1"/>
  <c r="CN94" i="10" s="1"/>
  <c r="CN81" i="10" a="1"/>
  <c r="CN81" i="10" s="1"/>
  <c r="BL56" i="10"/>
  <c r="BM56" i="10" s="1"/>
  <c r="BN56" i="10" s="1" a="1"/>
  <c r="BN56" i="10" s="1"/>
  <c r="CR84" i="10" a="1"/>
  <c r="CR84" i="10" s="1"/>
  <c r="CP113" i="10"/>
  <c r="CQ113" i="10" s="1"/>
  <c r="CL44" i="10"/>
  <c r="CM44" i="10" s="1"/>
  <c r="CR44" i="10" s="1" a="1"/>
  <c r="CR44" i="10" s="1"/>
  <c r="BR62" i="10" a="1"/>
  <c r="BR62" i="10" s="1"/>
  <c r="CR55" i="10" a="1"/>
  <c r="CR55" i="10" s="1"/>
  <c r="CX55" i="10" s="1"/>
  <c r="Z55" i="10" s="1"/>
  <c r="BR54" i="10" a="1"/>
  <c r="BR54" i="10" s="1"/>
  <c r="CT35" i="10"/>
  <c r="CU35" i="10" s="1"/>
  <c r="CW35" i="10" s="1" a="1"/>
  <c r="CW35" i="10" s="1"/>
  <c r="BX55" i="10"/>
  <c r="BY55" i="10" s="1"/>
  <c r="CA55" i="10" s="1" a="1"/>
  <c r="CA55" i="10" s="1"/>
  <c r="BT75" i="10"/>
  <c r="BU75" i="10" s="1"/>
  <c r="BL82" i="10"/>
  <c r="BM82" i="10" s="1"/>
  <c r="BN82" i="10" s="1" a="1"/>
  <c r="BN82" i="10" s="1"/>
  <c r="BL90" i="10"/>
  <c r="BM90" i="10" s="1"/>
  <c r="BN90" i="10" s="1" a="1"/>
  <c r="BN90" i="10" s="1"/>
  <c r="CN99" i="10" a="1"/>
  <c r="CN99" i="10" s="1"/>
  <c r="BV33" i="10" a="1"/>
  <c r="BV33" i="10" s="1"/>
  <c r="CR82" i="10" a="1"/>
  <c r="CR82" i="10" s="1"/>
  <c r="BL38" i="10"/>
  <c r="BM38" i="10" s="1"/>
  <c r="BN38" i="10" s="1" a="1"/>
  <c r="BN38" i="10" s="1"/>
  <c r="CT104" i="10"/>
  <c r="CU104" i="10" s="1"/>
  <c r="CW104" i="10" s="1" a="1"/>
  <c r="CW104" i="10" s="1"/>
  <c r="CR37" i="10" a="1"/>
  <c r="CR37" i="10" s="1"/>
  <c r="BP38" i="10"/>
  <c r="BQ38" i="10" s="1"/>
  <c r="CN90" i="10" a="1"/>
  <c r="CN90" i="10" s="1"/>
  <c r="CH105" i="10"/>
  <c r="CI105" i="10" s="1"/>
  <c r="CJ105" i="10" s="1" a="1"/>
  <c r="CJ105" i="10" s="1"/>
  <c r="BL41" i="10"/>
  <c r="BM41" i="10" s="1"/>
  <c r="BN41" i="10" s="1" a="1"/>
  <c r="BN41" i="10" s="1"/>
  <c r="CT122" i="10"/>
  <c r="CU122" i="10" s="1"/>
  <c r="BV93" i="10" a="1"/>
  <c r="BV93" i="10" s="1"/>
  <c r="BR96" i="10" a="1"/>
  <c r="BR96" i="10" s="1"/>
  <c r="BT94" i="10"/>
  <c r="BU94" i="10" s="1"/>
  <c r="BZ94" i="10" s="1" a="1"/>
  <c r="BZ94" i="10" s="1"/>
  <c r="CR111" i="10" a="1"/>
  <c r="CR111" i="10" s="1"/>
  <c r="CR107" i="10" a="1"/>
  <c r="CR107" i="10" s="1"/>
  <c r="BX67" i="10"/>
  <c r="BY67" i="10" s="1"/>
  <c r="CL24" i="10"/>
  <c r="CM24" i="10" s="1"/>
  <c r="CN24" i="10" s="1" a="1"/>
  <c r="CN24" i="10" s="1"/>
  <c r="CH35" i="10"/>
  <c r="CI35" i="10" s="1"/>
  <c r="CJ35" i="10" s="1" a="1"/>
  <c r="CJ35" i="10" s="1"/>
  <c r="BT57" i="10"/>
  <c r="BU57" i="10" s="1"/>
  <c r="BV103" i="10" a="1"/>
  <c r="BV103" i="10" s="1"/>
  <c r="BT105" i="10"/>
  <c r="BU105" i="10" s="1"/>
  <c r="CT24" i="10"/>
  <c r="CU24" i="10" s="1"/>
  <c r="CW24" i="10" s="1" a="1"/>
  <c r="CW24" i="10" s="1"/>
  <c r="CH107" i="10"/>
  <c r="CI107" i="10" s="1"/>
  <c r="CJ107" i="10" s="1" a="1"/>
  <c r="CJ107" i="10" s="1"/>
  <c r="CH38" i="10"/>
  <c r="CI38" i="10" s="1"/>
  <c r="CJ38" i="10" s="1" a="1"/>
  <c r="CJ38" i="10" s="1"/>
  <c r="BP68" i="10"/>
  <c r="BQ68" i="10" s="1"/>
  <c r="BV68" i="10" s="1" a="1"/>
  <c r="BV68" i="10" s="1"/>
  <c r="CR27" i="10" a="1"/>
  <c r="CR27" i="10" s="1"/>
  <c r="BR64" i="10" a="1"/>
  <c r="BR64" i="10" s="1"/>
  <c r="BV117" i="10" a="1"/>
  <c r="BV117" i="10" s="1"/>
  <c r="BX36" i="10"/>
  <c r="BY36" i="10" s="1"/>
  <c r="BX122" i="10"/>
  <c r="BY122" i="10" s="1"/>
  <c r="CA122" i="10" s="1" a="1"/>
  <c r="CA122" i="10" s="1"/>
  <c r="CL122" i="10"/>
  <c r="CM122" i="10" s="1"/>
  <c r="CW61" i="10" a="1"/>
  <c r="CW61" i="10" s="1"/>
  <c r="CX61" i="10" s="1"/>
  <c r="BR51" i="10" a="1"/>
  <c r="BR51" i="10" s="1"/>
  <c r="CT113" i="10"/>
  <c r="CU113" i="10" s="1"/>
  <c r="BX35" i="10"/>
  <c r="BY35" i="10" s="1"/>
  <c r="CH100" i="10"/>
  <c r="CI100" i="10" s="1"/>
  <c r="CJ100" i="10" s="1" a="1"/>
  <c r="CJ100" i="10" s="1"/>
  <c r="BL35" i="10"/>
  <c r="BM35" i="10" s="1"/>
  <c r="BN35" i="10" s="1" a="1"/>
  <c r="BN35" i="10" s="1"/>
  <c r="CR50" i="10" a="1"/>
  <c r="CR50" i="10" s="1"/>
  <c r="BT76" i="10"/>
  <c r="BU76" i="10" s="1"/>
  <c r="BR100" i="10" a="1"/>
  <c r="BR100" i="10" s="1"/>
  <c r="BT58" i="10"/>
  <c r="BU58" i="10" s="1"/>
  <c r="BV58" i="10" s="1" a="1"/>
  <c r="BV58" i="10" s="1"/>
  <c r="CX53" i="10"/>
  <c r="Z53" i="10" s="1"/>
  <c r="BV92" i="10" a="1"/>
  <c r="BV92" i="10" s="1"/>
  <c r="CL52" i="10"/>
  <c r="CM52" i="10" s="1"/>
  <c r="CN52" i="10" s="1" a="1"/>
  <c r="CN52" i="10" s="1"/>
  <c r="BP46" i="10"/>
  <c r="BQ46" i="10" s="1"/>
  <c r="BR46" i="10" s="1" a="1"/>
  <c r="BR46" i="10" s="1"/>
  <c r="CN62" i="10" a="1"/>
  <c r="CN62" i="10" s="1"/>
  <c r="BT122" i="10"/>
  <c r="BU122" i="10" s="1"/>
  <c r="CN119" i="10" a="1"/>
  <c r="CN119" i="10" s="1"/>
  <c r="BR106" i="10" a="1"/>
  <c r="BR106" i="10" s="1"/>
  <c r="CB106" i="10" s="1"/>
  <c r="CT107" i="10"/>
  <c r="CU107" i="10" s="1"/>
  <c r="CV107" i="10" s="1" a="1"/>
  <c r="CV107" i="10" s="1"/>
  <c r="BV46" i="10" a="1"/>
  <c r="BV46" i="10" s="1"/>
  <c r="CN46" i="10" a="1"/>
  <c r="CN46" i="10" s="1"/>
  <c r="BL68" i="10"/>
  <c r="BM68" i="10" s="1"/>
  <c r="BN68" i="10" s="1" a="1"/>
  <c r="BN68" i="10" s="1"/>
  <c r="BX25" i="10"/>
  <c r="BY25" i="10" s="1"/>
  <c r="CH111" i="10"/>
  <c r="CI111" i="10" s="1"/>
  <c r="CJ111" i="10" s="1" a="1"/>
  <c r="CJ111" i="10" s="1"/>
  <c r="BV39" i="10" a="1"/>
  <c r="BV39" i="10" s="1"/>
  <c r="CH91" i="10"/>
  <c r="CI91" i="10" s="1"/>
  <c r="CJ91" i="10" s="1" a="1"/>
  <c r="CJ91" i="10" s="1"/>
  <c r="BT81" i="10"/>
  <c r="BU81" i="10" s="1"/>
  <c r="BV81" i="10" s="1" a="1"/>
  <c r="BV81" i="10" s="1"/>
  <c r="BX26" i="10"/>
  <c r="BY26" i="10" s="1"/>
  <c r="BP101" i="10"/>
  <c r="BQ101" i="10" s="1"/>
  <c r="BR101" i="10" s="1" a="1"/>
  <c r="BR101" i="10" s="1"/>
  <c r="BP55" i="10"/>
  <c r="BQ55" i="10" s="1"/>
  <c r="BR89" i="10" a="1"/>
  <c r="BR89" i="10" s="1"/>
  <c r="CN108" i="10" a="1"/>
  <c r="CN108" i="10" s="1"/>
  <c r="BV114" i="10" a="1"/>
  <c r="BV114" i="10" s="1"/>
  <c r="CL114" i="10"/>
  <c r="CM114" i="10" s="1"/>
  <c r="CN114" i="10" s="1" a="1"/>
  <c r="CN114" i="10" s="1"/>
  <c r="BX48" i="10"/>
  <c r="BY48" i="10" s="1"/>
  <c r="CL100" i="10"/>
  <c r="CM100" i="10" s="1"/>
  <c r="BT70" i="10"/>
  <c r="BU70" i="10" s="1"/>
  <c r="BV70" i="10" s="1" a="1"/>
  <c r="BV70" i="10" s="1"/>
  <c r="BT101" i="10"/>
  <c r="BU101" i="10" s="1"/>
  <c r="CA35" i="10" a="1"/>
  <c r="CA35" i="10" s="1"/>
  <c r="BZ35" i="10" a="1"/>
  <c r="BZ35" i="10" s="1"/>
  <c r="BR57" i="10" a="1"/>
  <c r="BR57" i="10" s="1"/>
  <c r="CA94" i="10" a="1"/>
  <c r="CA94" i="10" s="1"/>
  <c r="CW97" i="10" a="1"/>
  <c r="CW97" i="10" s="1"/>
  <c r="CV97" i="10" a="1"/>
  <c r="CV97" i="10" s="1"/>
  <c r="CA58" i="10" a="1"/>
  <c r="CA58" i="10" s="1"/>
  <c r="BZ58" i="10" a="1"/>
  <c r="BZ58" i="10" s="1"/>
  <c r="CA86" i="10" a="1"/>
  <c r="CA86" i="10" s="1"/>
  <c r="CW85" i="10" a="1"/>
  <c r="CW85" i="10" s="1"/>
  <c r="CN74" i="10" a="1"/>
  <c r="CN74" i="10" s="1"/>
  <c r="CA95" i="10" a="1"/>
  <c r="CA95" i="10" s="1"/>
  <c r="CW115" i="10" a="1"/>
  <c r="CW115" i="10" s="1"/>
  <c r="BV122" i="10" a="1"/>
  <c r="BV122" i="10" s="1"/>
  <c r="CW100" i="10" a="1"/>
  <c r="CW100" i="10" s="1"/>
  <c r="CV100" i="10" a="1"/>
  <c r="CV100" i="10" s="1"/>
  <c r="CV118" i="10" a="1"/>
  <c r="CV118" i="10" s="1"/>
  <c r="CW118" i="10" a="1"/>
  <c r="CW118" i="10" s="1"/>
  <c r="CR121" i="10" a="1"/>
  <c r="CR121" i="10" s="1"/>
  <c r="CA28" i="10" a="1"/>
  <c r="CA28" i="10" s="1"/>
  <c r="CW36" i="10" a="1"/>
  <c r="CW36" i="10" s="1"/>
  <c r="CV36" i="10" a="1"/>
  <c r="CV36" i="10" s="1"/>
  <c r="BR78" i="10" a="1"/>
  <c r="BR78" i="10" s="1"/>
  <c r="CR38" i="10" a="1"/>
  <c r="CR38" i="10" s="1"/>
  <c r="BR112" i="10" a="1"/>
  <c r="BR112" i="10" s="1"/>
  <c r="CW70" i="10" a="1"/>
  <c r="CW70" i="10" s="1"/>
  <c r="CW49" i="10" a="1"/>
  <c r="CW49" i="10" s="1"/>
  <c r="CV49" i="10" a="1"/>
  <c r="CV49" i="10" s="1"/>
  <c r="CW60" i="10" a="1"/>
  <c r="CW60" i="10" s="1"/>
  <c r="CR91" i="10" a="1"/>
  <c r="CR91" i="10" s="1"/>
  <c r="BZ105" i="10" a="1"/>
  <c r="BZ105" i="10" s="1"/>
  <c r="CA105" i="10" a="1"/>
  <c r="CA105" i="10" s="1"/>
  <c r="CV103" i="10" a="1"/>
  <c r="CV103" i="10" s="1"/>
  <c r="CW103" i="10" a="1"/>
  <c r="CW103" i="10" s="1"/>
  <c r="CN68" i="10" a="1"/>
  <c r="CN68" i="10" s="1"/>
  <c r="CA75" i="10" a="1"/>
  <c r="CA75" i="10" s="1"/>
  <c r="BZ75" i="10" a="1"/>
  <c r="BZ75" i="10" s="1"/>
  <c r="CA118" i="10" a="1"/>
  <c r="CA118" i="10" s="1"/>
  <c r="BZ118" i="10" a="1"/>
  <c r="BZ118" i="10" s="1"/>
  <c r="CN79" i="10" a="1"/>
  <c r="CN79" i="10" s="1"/>
  <c r="CA82" i="10" a="1"/>
  <c r="CA82" i="10" s="1"/>
  <c r="CR34" i="10" a="1"/>
  <c r="CR34" i="10" s="1"/>
  <c r="CA70" i="10" a="1"/>
  <c r="CA70" i="10" s="1"/>
  <c r="BV100" i="10" a="1"/>
  <c r="BV100" i="10" s="1"/>
  <c r="CW83" i="10" a="1"/>
  <c r="CW83" i="10" s="1"/>
  <c r="CV83" i="10" a="1"/>
  <c r="CV83" i="10" s="1"/>
  <c r="BZ33" i="10" a="1"/>
  <c r="BZ33" i="10" s="1"/>
  <c r="CW80" i="10" a="1"/>
  <c r="CW80" i="10" s="1"/>
  <c r="CV80" i="10" a="1"/>
  <c r="CV80" i="10" s="1"/>
  <c r="CR112" i="10" a="1"/>
  <c r="CR112" i="10" s="1"/>
  <c r="CW31" i="10" a="1"/>
  <c r="CW31" i="10" s="1"/>
  <c r="CV31" i="10" a="1"/>
  <c r="CV31" i="10" s="1"/>
  <c r="CA67" i="10" a="1"/>
  <c r="CA67" i="10" s="1"/>
  <c r="BZ73" i="10" a="1"/>
  <c r="BZ73" i="10" s="1"/>
  <c r="CA73" i="10" a="1"/>
  <c r="CA73" i="10" s="1"/>
  <c r="BV57" i="10" a="1"/>
  <c r="BV57" i="10" s="1"/>
  <c r="CR80" i="10" a="1"/>
  <c r="CR80" i="10" s="1"/>
  <c r="BV44" i="10" a="1"/>
  <c r="BV44" i="10" s="1"/>
  <c r="BR68" i="10" a="1"/>
  <c r="BR68" i="10" s="1"/>
  <c r="CA44" i="10" a="1"/>
  <c r="CA44" i="10" s="1"/>
  <c r="BZ44" i="10" a="1"/>
  <c r="BZ44" i="10" s="1"/>
  <c r="BV118" i="10" a="1"/>
  <c r="BV118" i="10" s="1"/>
  <c r="CW56" i="10" a="1"/>
  <c r="CW56" i="10" s="1"/>
  <c r="CW120" i="10" a="1"/>
  <c r="CW120" i="10" s="1"/>
  <c r="CV120" i="10" a="1"/>
  <c r="CV120" i="10" s="1"/>
  <c r="CW86" i="10" a="1"/>
  <c r="CW86" i="10" s="1"/>
  <c r="CV86" i="10" a="1"/>
  <c r="CV86" i="10" s="1"/>
  <c r="CA49" i="10" a="1"/>
  <c r="CA49" i="10" s="1"/>
  <c r="CA71" i="10" a="1"/>
  <c r="CA71" i="10" s="1"/>
  <c r="CA43" i="10" a="1"/>
  <c r="CA43" i="10" s="1"/>
  <c r="CA38" i="10" a="1"/>
  <c r="CA38" i="10" s="1"/>
  <c r="CW93" i="10" a="1"/>
  <c r="CW93" i="10" s="1"/>
  <c r="CW74" i="10" a="1"/>
  <c r="CW74" i="10" s="1"/>
  <c r="CV74" i="10" a="1"/>
  <c r="CV74" i="10" s="1"/>
  <c r="BV65" i="10" a="1"/>
  <c r="BV65" i="10" s="1"/>
  <c r="CW122" i="10" a="1"/>
  <c r="CW122" i="10" s="1"/>
  <c r="CN109" i="10" a="1"/>
  <c r="CN109" i="10" s="1"/>
  <c r="CA76" i="10" a="1"/>
  <c r="CA76" i="10" s="1"/>
  <c r="BZ76" i="10" a="1"/>
  <c r="BZ76" i="10" s="1"/>
  <c r="CV105" i="10" a="1"/>
  <c r="CV105" i="10" s="1"/>
  <c r="CW105" i="10" a="1"/>
  <c r="CW105" i="10" s="1"/>
  <c r="CW72" i="10" a="1"/>
  <c r="CW72" i="10" s="1"/>
  <c r="CV72" i="10" a="1"/>
  <c r="CV72" i="10" s="1"/>
  <c r="CW99" i="10" a="1"/>
  <c r="CW99" i="10" s="1"/>
  <c r="CV99" i="10" a="1"/>
  <c r="CV99" i="10" s="1"/>
  <c r="CA78" i="10" a="1"/>
  <c r="CA78" i="10" s="1"/>
  <c r="BZ39" i="10" a="1"/>
  <c r="BZ39" i="10" s="1"/>
  <c r="CA39" i="10" a="1"/>
  <c r="CA39" i="10" s="1"/>
  <c r="CW26" i="10" a="1"/>
  <c r="CW26" i="10" s="1"/>
  <c r="BZ26" i="10" a="1"/>
  <c r="BZ26" i="10" s="1"/>
  <c r="CA26" i="10" a="1"/>
  <c r="CA26" i="10" s="1"/>
  <c r="CA108" i="10" a="1"/>
  <c r="CA108" i="10" s="1"/>
  <c r="BZ102" i="10" a="1"/>
  <c r="BZ102" i="10" s="1"/>
  <c r="CA102" i="10" a="1"/>
  <c r="CA102" i="10" s="1"/>
  <c r="CP45" i="10"/>
  <c r="CQ45" i="10" s="1"/>
  <c r="BN50" i="10" a="1"/>
  <c r="BN50" i="10" s="1"/>
  <c r="BR50" i="10" a="1"/>
  <c r="BR50" i="10" s="1"/>
  <c r="BZ66" i="10" a="1"/>
  <c r="BZ66" i="10" s="1"/>
  <c r="CA66" i="10" a="1"/>
  <c r="CA66" i="10" s="1"/>
  <c r="BV26" i="10" a="1"/>
  <c r="BV26" i="10" s="1"/>
  <c r="CW51" i="10" a="1"/>
  <c r="CW51" i="10" s="1"/>
  <c r="CV51" i="10" a="1"/>
  <c r="CV51" i="10" s="1"/>
  <c r="CV110" i="10" a="1"/>
  <c r="CV110" i="10" s="1"/>
  <c r="CW110" i="10" a="1"/>
  <c r="CW110" i="10" s="1"/>
  <c r="CH47" i="10"/>
  <c r="CI47" i="10" s="1"/>
  <c r="CJ47" i="10" s="1" a="1"/>
  <c r="CJ47" i="10" s="1"/>
  <c r="BR117" i="10" a="1"/>
  <c r="BR117" i="10" s="1"/>
  <c r="CT109" i="10"/>
  <c r="CU109" i="10" s="1"/>
  <c r="BL76" i="10"/>
  <c r="BM76" i="10" s="1"/>
  <c r="BN76" i="10" s="1" a="1"/>
  <c r="BN76" i="10" s="1"/>
  <c r="CT78" i="10"/>
  <c r="CU78" i="10" s="1"/>
  <c r="CR46" i="10" a="1"/>
  <c r="CR46" i="10" s="1"/>
  <c r="BX57" i="10"/>
  <c r="BY57" i="10" s="1"/>
  <c r="CN73" i="10" a="1"/>
  <c r="CN73" i="10" s="1"/>
  <c r="CR73" i="10" a="1"/>
  <c r="CR73" i="10" s="1"/>
  <c r="CP76" i="10"/>
  <c r="CQ76" i="10" s="1"/>
  <c r="CR76" i="10" s="1" a="1"/>
  <c r="CR76" i="10" s="1"/>
  <c r="CH76" i="10"/>
  <c r="CI76" i="10" s="1"/>
  <c r="CJ76" i="10" s="1" a="1"/>
  <c r="CJ76" i="10" s="1"/>
  <c r="BL87" i="10"/>
  <c r="BM87" i="10" s="1"/>
  <c r="BN87" i="10" s="1" a="1"/>
  <c r="BN87" i="10" s="1"/>
  <c r="BV83" i="10" a="1"/>
  <c r="BV83" i="10" s="1"/>
  <c r="BL99" i="10"/>
  <c r="BM99" i="10" s="1"/>
  <c r="BN99" i="10" s="1" a="1"/>
  <c r="BN99" i="10" s="1"/>
  <c r="BT99" i="10"/>
  <c r="BU99" i="10" s="1"/>
  <c r="BV99" i="10" s="1" a="1"/>
  <c r="BV99" i="10" s="1"/>
  <c r="CL40" i="10"/>
  <c r="CM40" i="10" s="1"/>
  <c r="CN40" i="10" s="1" a="1"/>
  <c r="CN40" i="10" s="1"/>
  <c r="BX46" i="10"/>
  <c r="BY46" i="10" s="1"/>
  <c r="BR74" i="10" a="1"/>
  <c r="BR74" i="10" s="1"/>
  <c r="CL70" i="10"/>
  <c r="CM70" i="10" s="1"/>
  <c r="CN70" i="10" s="1" a="1"/>
  <c r="CN70" i="10" s="1"/>
  <c r="CL97" i="10"/>
  <c r="CM97" i="10" s="1"/>
  <c r="CL93" i="10"/>
  <c r="CM93" i="10" s="1"/>
  <c r="CV37" i="10" a="1"/>
  <c r="CV37" i="10" s="1"/>
  <c r="CW37" i="10" a="1"/>
  <c r="CW37" i="10" s="1"/>
  <c r="CT45" i="10"/>
  <c r="CU45" i="10" s="1"/>
  <c r="BT49" i="10"/>
  <c r="BU49" i="10" s="1"/>
  <c r="BZ49" i="10" s="1" a="1"/>
  <c r="BZ49" i="10" s="1"/>
  <c r="BP49" i="10"/>
  <c r="BQ49" i="10" s="1"/>
  <c r="BL49" i="10"/>
  <c r="BM49" i="10" s="1"/>
  <c r="BN49" i="10" s="1" a="1"/>
  <c r="BN49" i="10" s="1"/>
  <c r="CN58" i="10" a="1"/>
  <c r="CN58" i="10" s="1"/>
  <c r="BP87" i="10"/>
  <c r="BQ87" i="10" s="1"/>
  <c r="BV87" i="10" s="1" a="1"/>
  <c r="BV87" i="10" s="1"/>
  <c r="BX90" i="10"/>
  <c r="BY90" i="10" s="1"/>
  <c r="BT78" i="10"/>
  <c r="BU78" i="10" s="1"/>
  <c r="BV78" i="10" s="1" a="1"/>
  <c r="BV78" i="10" s="1"/>
  <c r="BV54" i="10" a="1"/>
  <c r="BV54" i="10" s="1"/>
  <c r="BZ54" i="10" a="1"/>
  <c r="BZ54" i="10" s="1"/>
  <c r="BV74" i="10" a="1"/>
  <c r="BV74" i="10" s="1"/>
  <c r="BL97" i="10"/>
  <c r="BM97" i="10" s="1"/>
  <c r="BN97" i="10" s="1" a="1"/>
  <c r="BN97" i="10" s="1"/>
  <c r="CP24" i="10"/>
  <c r="CQ24" i="10" s="1"/>
  <c r="CP47" i="10"/>
  <c r="CQ47" i="10" s="1"/>
  <c r="CR47" i="10" s="1" a="1"/>
  <c r="CR47" i="10" s="1"/>
  <c r="BR102" i="10" a="1"/>
  <c r="BR102" i="10" s="1"/>
  <c r="BN103" i="10" a="1"/>
  <c r="BN103" i="10" s="1"/>
  <c r="CL115" i="10"/>
  <c r="CM115" i="10" s="1"/>
  <c r="BL94" i="10"/>
  <c r="BM94" i="10" s="1"/>
  <c r="BN94" i="10" s="1" a="1"/>
  <c r="BN94" i="10" s="1"/>
  <c r="CL117" i="10"/>
  <c r="CM117" i="10" s="1"/>
  <c r="CR117" i="10" s="1" a="1"/>
  <c r="CR117" i="10" s="1"/>
  <c r="BL105" i="10"/>
  <c r="BM105" i="10" s="1"/>
  <c r="BN105" i="10" s="1" a="1"/>
  <c r="BN105" i="10" s="1"/>
  <c r="CL118" i="10"/>
  <c r="CM118" i="10" s="1"/>
  <c r="CN118" i="10" s="1" a="1"/>
  <c r="CN118" i="10" s="1"/>
  <c r="CN39" i="10" a="1"/>
  <c r="CN39" i="10" s="1"/>
  <c r="CH60" i="10"/>
  <c r="CI60" i="10" s="1"/>
  <c r="CJ60" i="10" s="1" a="1"/>
  <c r="CJ60" i="10" s="1"/>
  <c r="CP60" i="10"/>
  <c r="CQ60" i="10" s="1"/>
  <c r="CR60" i="10" s="1" a="1"/>
  <c r="CR60" i="10" s="1"/>
  <c r="CP93" i="10"/>
  <c r="CQ93" i="10" s="1"/>
  <c r="CV93" i="10" s="1" a="1"/>
  <c r="CV93" i="10" s="1"/>
  <c r="CR92" i="10" a="1"/>
  <c r="CR92" i="10" s="1"/>
  <c r="CN75" i="10" a="1"/>
  <c r="CN75" i="10" s="1"/>
  <c r="CT91" i="10"/>
  <c r="CU91" i="10" s="1"/>
  <c r="BZ103" i="10" a="1"/>
  <c r="BZ103" i="10" s="1"/>
  <c r="CT114" i="10"/>
  <c r="CU114" i="10" s="1"/>
  <c r="BP90" i="10"/>
  <c r="BQ90" i="10" s="1"/>
  <c r="BX121" i="10"/>
  <c r="BY121" i="10" s="1"/>
  <c r="CL49" i="10"/>
  <c r="CM49" i="10" s="1"/>
  <c r="CR49" i="10" s="1" a="1"/>
  <c r="CR49" i="10" s="1"/>
  <c r="CH49" i="10"/>
  <c r="CI49" i="10" s="1"/>
  <c r="CJ49" i="10" s="1" a="1"/>
  <c r="CJ49" i="10" s="1"/>
  <c r="CT68" i="10"/>
  <c r="CU68" i="10" s="1"/>
  <c r="CN116" i="10" a="1"/>
  <c r="CN116" i="10" s="1"/>
  <c r="BL104" i="10"/>
  <c r="BM104" i="10" s="1"/>
  <c r="BN104" i="10" s="1" a="1"/>
  <c r="BN104" i="10" s="1"/>
  <c r="BR45" i="10" a="1"/>
  <c r="BR45" i="10" s="1"/>
  <c r="CV119" i="10" a="1"/>
  <c r="CV119" i="10" s="1"/>
  <c r="CH97" i="10"/>
  <c r="CI97" i="10" s="1"/>
  <c r="CJ97" i="10" s="1" a="1"/>
  <c r="CJ97" i="10" s="1"/>
  <c r="CV108" i="10" a="1"/>
  <c r="CV108" i="10" s="1"/>
  <c r="CW108" i="10" a="1"/>
  <c r="CW108" i="10" s="1"/>
  <c r="BR39" i="10" a="1"/>
  <c r="BR39" i="10" s="1"/>
  <c r="CW98" i="10" a="1"/>
  <c r="CW98" i="10" s="1"/>
  <c r="CV98" i="10" a="1"/>
  <c r="CV98" i="10" s="1"/>
  <c r="CV62" i="10" a="1"/>
  <c r="CV62" i="10" s="1"/>
  <c r="CW62" i="10" a="1"/>
  <c r="CW62" i="10" s="1"/>
  <c r="CN43" i="10" a="1"/>
  <c r="CN43" i="10" s="1"/>
  <c r="CA25" i="10" a="1"/>
  <c r="CA25" i="10" s="1"/>
  <c r="CR99" i="10" a="1"/>
  <c r="CR99" i="10" s="1"/>
  <c r="CV69" i="10" a="1"/>
  <c r="CV69" i="10" s="1"/>
  <c r="CW69" i="10" a="1"/>
  <c r="CW69" i="10" s="1"/>
  <c r="CA79" i="10" a="1"/>
  <c r="CA79" i="10" s="1"/>
  <c r="BZ79" i="10" a="1"/>
  <c r="BZ79" i="10" s="1"/>
  <c r="BX72" i="10"/>
  <c r="BY72" i="10" s="1"/>
  <c r="CH80" i="10"/>
  <c r="CI80" i="10" s="1"/>
  <c r="CJ80" i="10" s="1" a="1"/>
  <c r="CJ80" i="10" s="1"/>
  <c r="BL52" i="10"/>
  <c r="BM52" i="10" s="1"/>
  <c r="BN52" i="10" s="1" a="1"/>
  <c r="BN52" i="10" s="1"/>
  <c r="CA65" i="10" a="1"/>
  <c r="CA65" i="10" s="1"/>
  <c r="BZ65" i="10" a="1"/>
  <c r="BZ65" i="10" s="1"/>
  <c r="CH93" i="10"/>
  <c r="CI93" i="10" s="1"/>
  <c r="CJ93" i="10" s="1" a="1"/>
  <c r="CJ93" i="10" s="1"/>
  <c r="CL78" i="10"/>
  <c r="CM78" i="10" s="1"/>
  <c r="CN78" i="10" s="1" a="1"/>
  <c r="CN78" i="10" s="1"/>
  <c r="BV88" i="10" a="1"/>
  <c r="BV88" i="10" s="1"/>
  <c r="CB88" i="10" s="1"/>
  <c r="S88" i="10" s="1"/>
  <c r="BX40" i="10"/>
  <c r="BY40" i="10" s="1"/>
  <c r="CT43" i="10"/>
  <c r="CU43" i="10" s="1"/>
  <c r="BX87" i="10"/>
  <c r="BY87" i="10" s="1"/>
  <c r="BX111" i="10"/>
  <c r="BY111" i="10" s="1"/>
  <c r="BP94" i="10"/>
  <c r="BQ94" i="10" s="1"/>
  <c r="CT47" i="10"/>
  <c r="CU47" i="10" s="1"/>
  <c r="CW30" i="10" a="1"/>
  <c r="CW30" i="10" s="1"/>
  <c r="CV30" i="10" a="1"/>
  <c r="CV30" i="10" s="1"/>
  <c r="BL28" i="10"/>
  <c r="BM28" i="10" s="1"/>
  <c r="BN28" i="10" s="1" a="1"/>
  <c r="BN28" i="10" s="1"/>
  <c r="CW28" i="10" a="1"/>
  <c r="CW28" i="10" s="1"/>
  <c r="CV28" i="10" a="1"/>
  <c r="CV28" i="10" s="1"/>
  <c r="CH104" i="10"/>
  <c r="CI104" i="10" s="1"/>
  <c r="CJ104" i="10" s="1" a="1"/>
  <c r="CJ104" i="10" s="1"/>
  <c r="CP104" i="10"/>
  <c r="CQ104" i="10" s="1"/>
  <c r="CR104" i="10" s="1" a="1"/>
  <c r="CR104" i="10" s="1"/>
  <c r="BL25" i="10"/>
  <c r="BM25" i="10" s="1"/>
  <c r="BN25" i="10" s="1" a="1"/>
  <c r="BN25" i="10" s="1"/>
  <c r="CT34" i="10"/>
  <c r="CU34" i="10" s="1"/>
  <c r="BT48" i="10"/>
  <c r="BU48" i="10" s="1"/>
  <c r="BV48" i="10" s="1" a="1"/>
  <c r="BV48" i="10" s="1"/>
  <c r="CH64" i="10"/>
  <c r="CI64" i="10" s="1"/>
  <c r="CJ64" i="10" s="1" a="1"/>
  <c r="CJ64" i="10" s="1"/>
  <c r="CT64" i="10"/>
  <c r="CU64" i="10" s="1"/>
  <c r="BP86" i="10"/>
  <c r="BQ86" i="10" s="1"/>
  <c r="BR86" i="10" s="1" a="1"/>
  <c r="BR86" i="10" s="1"/>
  <c r="CV90" i="10" a="1"/>
  <c r="CV90" i="10" s="1"/>
  <c r="CW90" i="10" a="1"/>
  <c r="CW90" i="10" s="1"/>
  <c r="BZ32" i="10" a="1"/>
  <c r="BZ32" i="10" s="1"/>
  <c r="CN33" i="10" a="1"/>
  <c r="CN33" i="10" s="1"/>
  <c r="CA115" i="10" a="1"/>
  <c r="CA115" i="10" s="1"/>
  <c r="BZ115" i="10" a="1"/>
  <c r="BZ115" i="10" s="1"/>
  <c r="CV27" i="10" a="1"/>
  <c r="CV27" i="10" s="1"/>
  <c r="CW27" i="10" a="1"/>
  <c r="CW27" i="10" s="1"/>
  <c r="CR58" i="10" a="1"/>
  <c r="CR58" i="10" s="1"/>
  <c r="BT108" i="10"/>
  <c r="BU108" i="10" s="1"/>
  <c r="BP121" i="10"/>
  <c r="BQ121" i="10" s="1"/>
  <c r="CA89" i="10" a="1"/>
  <c r="CA89" i="10" s="1"/>
  <c r="BZ89" i="10" a="1"/>
  <c r="BZ89" i="10" s="1"/>
  <c r="BX81" i="10"/>
  <c r="BY81" i="10" s="1"/>
  <c r="CL64" i="10"/>
  <c r="CM64" i="10" s="1"/>
  <c r="BV102" i="10" a="1"/>
  <c r="BV102" i="10" s="1"/>
  <c r="CT57" i="10"/>
  <c r="CU57" i="10" s="1"/>
  <c r="CR59" i="10" a="1"/>
  <c r="CR59" i="10" s="1"/>
  <c r="BP79" i="10"/>
  <c r="BQ79" i="10" s="1"/>
  <c r="BR79" i="10" s="1" a="1"/>
  <c r="BR79" i="10" s="1"/>
  <c r="CH56" i="10"/>
  <c r="CI56" i="10" s="1"/>
  <c r="CJ56" i="10" s="1" a="1"/>
  <c r="CJ56" i="10" s="1"/>
  <c r="CP56" i="10"/>
  <c r="CQ56" i="10" s="1"/>
  <c r="CN88" i="10" a="1"/>
  <c r="CN88" i="10" s="1"/>
  <c r="CX88" i="10" s="1"/>
  <c r="Z88" i="10" s="1"/>
  <c r="BP35" i="10"/>
  <c r="BQ35" i="10" s="1"/>
  <c r="CW39" i="10" a="1"/>
  <c r="CW39" i="10" s="1"/>
  <c r="CV39" i="10" a="1"/>
  <c r="CV39" i="10" s="1"/>
  <c r="BT55" i="10"/>
  <c r="BU55" i="10" s="1"/>
  <c r="BV55" i="10" s="1" a="1"/>
  <c r="BV55" i="10" s="1"/>
  <c r="CR87" i="10" a="1"/>
  <c r="CR87" i="10" s="1"/>
  <c r="BP91" i="10"/>
  <c r="BQ91" i="10" s="1"/>
  <c r="BR91" i="10" s="1" a="1"/>
  <c r="BR91" i="10" s="1"/>
  <c r="CP35" i="10"/>
  <c r="CQ35" i="10" s="1"/>
  <c r="CR35" i="10" s="1" a="1"/>
  <c r="CR35" i="10" s="1"/>
  <c r="BR80" i="10" a="1"/>
  <c r="BR80" i="10" s="1"/>
  <c r="BT111" i="10"/>
  <c r="BU111" i="10" s="1"/>
  <c r="BX104" i="10"/>
  <c r="BY104" i="10" s="1"/>
  <c r="CA116" i="10" a="1"/>
  <c r="CA116" i="10" s="1"/>
  <c r="BZ116" i="10" a="1"/>
  <c r="BZ116" i="10" s="1"/>
  <c r="BT91" i="10"/>
  <c r="BU91" i="10" s="1"/>
  <c r="CV84" i="10" a="1"/>
  <c r="CV84" i="10" s="1"/>
  <c r="CN102" i="10" a="1"/>
  <c r="CN102" i="10" s="1"/>
  <c r="CR108" i="10" a="1"/>
  <c r="CR108" i="10" s="1"/>
  <c r="BR120" i="10" a="1"/>
  <c r="BR120" i="10" s="1"/>
  <c r="BZ30" i="10" a="1"/>
  <c r="BZ30" i="10" s="1"/>
  <c r="CA30" i="10" a="1"/>
  <c r="CA30" i="10" s="1"/>
  <c r="CN105" i="10" a="1"/>
  <c r="CN105" i="10" s="1"/>
  <c r="BV112" i="10" a="1"/>
  <c r="BV112" i="10" s="1"/>
  <c r="BZ107" i="10" a="1"/>
  <c r="BZ107" i="10" s="1"/>
  <c r="CA107" i="10" a="1"/>
  <c r="CA107" i="10" s="1"/>
  <c r="BR34" i="10" a="1"/>
  <c r="BR34" i="10" s="1"/>
  <c r="CA48" i="10" a="1"/>
  <c r="CA48" i="10" s="1"/>
  <c r="CL45" i="10"/>
  <c r="CM45" i="10" s="1"/>
  <c r="CN45" i="10" s="1" a="1"/>
  <c r="CN45" i="10" s="1"/>
  <c r="CV33" i="10" a="1"/>
  <c r="CV33" i="10" s="1"/>
  <c r="CW33" i="10" a="1"/>
  <c r="CW33" i="10" s="1"/>
  <c r="BX91" i="10"/>
  <c r="BY91" i="10" s="1"/>
  <c r="CP95" i="10"/>
  <c r="CQ95" i="10" s="1"/>
  <c r="CH95" i="10"/>
  <c r="CI95" i="10" s="1"/>
  <c r="CJ95" i="10" s="1" a="1"/>
  <c r="CJ95" i="10" s="1"/>
  <c r="CA109" i="10" a="1"/>
  <c r="CA109" i="10" s="1"/>
  <c r="BZ109" i="10" a="1"/>
  <c r="BZ109" i="10" s="1"/>
  <c r="CA112" i="10" a="1"/>
  <c r="CA112" i="10" s="1"/>
  <c r="BZ112" i="10" a="1"/>
  <c r="BZ112" i="10" s="1"/>
  <c r="CP85" i="10"/>
  <c r="CQ85" i="10" s="1"/>
  <c r="CV85" i="10" s="1" a="1"/>
  <c r="CV85" i="10" s="1"/>
  <c r="CV32" i="10" a="1"/>
  <c r="CV32" i="10" s="1"/>
  <c r="CX32" i="10" s="1"/>
  <c r="Z32" i="10" s="1"/>
  <c r="BZ101" i="10" a="1"/>
  <c r="BZ101" i="10" s="1"/>
  <c r="CA101" i="10" a="1"/>
  <c r="CA101" i="10" s="1"/>
  <c r="BP111" i="10"/>
  <c r="BQ111" i="10" s="1"/>
  <c r="BR111" i="10" s="1" a="1"/>
  <c r="BR111" i="10" s="1"/>
  <c r="CA51" i="10" a="1"/>
  <c r="CA51" i="10" s="1"/>
  <c r="BZ51" i="10" a="1"/>
  <c r="BZ51" i="10" s="1"/>
  <c r="CT121" i="10"/>
  <c r="CU121" i="10" s="1"/>
  <c r="CH121" i="10"/>
  <c r="CI121" i="10" s="1"/>
  <c r="CJ121" i="10" s="1" a="1"/>
  <c r="CJ121" i="10" s="1"/>
  <c r="BL121" i="10"/>
  <c r="BM121" i="10" s="1"/>
  <c r="BN121" i="10" s="1" a="1"/>
  <c r="BN121" i="10" s="1"/>
  <c r="BZ84" i="10" a="1"/>
  <c r="BZ84" i="10" s="1"/>
  <c r="CV92" i="10" a="1"/>
  <c r="CV92" i="10" s="1"/>
  <c r="CW92" i="10" a="1"/>
  <c r="CW92" i="10" s="1"/>
  <c r="CV46" i="10" a="1"/>
  <c r="CV46" i="10" s="1"/>
  <c r="CW46" i="10" a="1"/>
  <c r="CW46" i="10" s="1"/>
  <c r="BT71" i="10"/>
  <c r="BU71" i="10" s="1"/>
  <c r="BZ71" i="10" s="1" a="1"/>
  <c r="BZ71" i="10" s="1"/>
  <c r="BT36" i="10"/>
  <c r="BU36" i="10" s="1"/>
  <c r="BT40" i="10"/>
  <c r="BU40" i="10" s="1"/>
  <c r="BV40" i="10" s="1" a="1"/>
  <c r="BV40" i="10" s="1"/>
  <c r="BP76" i="10"/>
  <c r="BQ76" i="10" s="1"/>
  <c r="CP54" i="10"/>
  <c r="CQ54" i="10" s="1"/>
  <c r="CW58" i="10" a="1"/>
  <c r="CW58" i="10" s="1"/>
  <c r="CV58" i="10" a="1"/>
  <c r="CV58" i="10" s="1"/>
  <c r="CW25" i="10" a="1"/>
  <c r="CW25" i="10" s="1"/>
  <c r="CV25" i="10" a="1"/>
  <c r="CV25" i="10" s="1"/>
  <c r="BZ47" i="10" a="1"/>
  <c r="BZ47" i="10" s="1"/>
  <c r="CA47" i="10" a="1"/>
  <c r="CA47" i="10" s="1"/>
  <c r="CV73" i="10" a="1"/>
  <c r="CV73" i="10" s="1"/>
  <c r="CW73" i="10" a="1"/>
  <c r="CW73" i="10" s="1"/>
  <c r="BZ80" i="10" a="1"/>
  <c r="BZ80" i="10" s="1"/>
  <c r="CA80" i="10" a="1"/>
  <c r="CA80" i="10" s="1"/>
  <c r="BP36" i="10"/>
  <c r="BQ36" i="10" s="1"/>
  <c r="BR36" i="10" s="1" a="1"/>
  <c r="BR36" i="10" s="1"/>
  <c r="BT72" i="10"/>
  <c r="BU72" i="10" s="1"/>
  <c r="BV72" i="10" s="1" a="1"/>
  <c r="BV72" i="10" s="1"/>
  <c r="BT82" i="10"/>
  <c r="BU82" i="10" s="1"/>
  <c r="BZ82" i="10" s="1" a="1"/>
  <c r="BZ82" i="10" s="1"/>
  <c r="BX52" i="10"/>
  <c r="BY52" i="10" s="1"/>
  <c r="CV75" i="10" a="1"/>
  <c r="CV75" i="10" s="1"/>
  <c r="CX75" i="10" s="1"/>
  <c r="Z75" i="10" s="1"/>
  <c r="BP69" i="10"/>
  <c r="BQ69" i="10" s="1"/>
  <c r="BV27" i="10" a="1"/>
  <c r="BV27" i="10" s="1"/>
  <c r="CB27" i="10" s="1"/>
  <c r="CJ23" i="10" a="1"/>
  <c r="CJ23" i="10" s="1"/>
  <c r="CX23" i="10" s="1"/>
  <c r="Z23" i="10" s="1"/>
  <c r="CT95" i="10"/>
  <c r="CU95" i="10" s="1"/>
  <c r="BT43" i="10"/>
  <c r="BU43" i="10" s="1"/>
  <c r="BZ43" i="10" s="1" a="1"/>
  <c r="BZ43" i="10" s="1"/>
  <c r="BL60" i="10"/>
  <c r="BM60" i="10" s="1"/>
  <c r="BN60" i="10" s="1" a="1"/>
  <c r="BN60" i="10" s="1"/>
  <c r="CN92" i="10" a="1"/>
  <c r="CN92" i="10" s="1"/>
  <c r="CT89" i="10"/>
  <c r="CU89" i="10" s="1"/>
  <c r="CR25" i="10" a="1"/>
  <c r="CR25" i="10" s="1"/>
  <c r="CW96" i="10" a="1"/>
  <c r="CW96" i="10" s="1"/>
  <c r="CV96" i="10" a="1"/>
  <c r="CV96" i="10" s="1"/>
  <c r="BR29" i="10" a="1"/>
  <c r="BR29" i="10" s="1"/>
  <c r="CL54" i="10"/>
  <c r="CM54" i="10" s="1"/>
  <c r="CN54" i="10" s="1" a="1"/>
  <c r="CN54" i="10" s="1"/>
  <c r="CL120" i="10"/>
  <c r="CM120" i="10" s="1"/>
  <c r="CR120" i="10" s="1" a="1"/>
  <c r="CR120" i="10" s="1"/>
  <c r="BR119" i="10" a="1"/>
  <c r="BR119" i="10" s="1"/>
  <c r="CB119" i="10" s="1"/>
  <c r="CN110" i="10" a="1"/>
  <c r="CN110" i="10" s="1"/>
  <c r="BX69" i="10"/>
  <c r="BY69" i="10" s="1"/>
  <c r="CW87" i="10" a="1"/>
  <c r="CW87" i="10" s="1"/>
  <c r="CV87" i="10" a="1"/>
  <c r="CV87" i="10" s="1"/>
  <c r="BR55" i="10" a="1"/>
  <c r="BR55" i="10" s="1"/>
  <c r="CA34" i="10" a="1"/>
  <c r="CA34" i="10" s="1"/>
  <c r="BZ34" i="10" a="1"/>
  <c r="BZ34" i="10" s="1"/>
  <c r="CJ69" i="10" a="1"/>
  <c r="CJ69" i="10" s="1"/>
  <c r="CN69" i="10" a="1"/>
  <c r="CN69" i="10" s="1"/>
  <c r="CR118" i="10" a="1"/>
  <c r="CR118" i="10" s="1"/>
  <c r="CA36" i="10" a="1"/>
  <c r="CA36" i="10" s="1"/>
  <c r="CV29" i="10" a="1"/>
  <c r="CV29" i="10" s="1"/>
  <c r="CW29" i="10" a="1"/>
  <c r="CW29" i="10" s="1"/>
  <c r="CR57" i="10" a="1"/>
  <c r="CR57" i="10" s="1"/>
  <c r="BP24" i="10"/>
  <c r="BQ24" i="10" s="1"/>
  <c r="BL24" i="10"/>
  <c r="BM24" i="10" s="1"/>
  <c r="BN24" i="10" s="1" a="1"/>
  <c r="BN24" i="10" s="1"/>
  <c r="BX24" i="10"/>
  <c r="BY24" i="10" s="1"/>
  <c r="CV50" i="10" a="1"/>
  <c r="CV50" i="10" s="1"/>
  <c r="CW50" i="10" a="1"/>
  <c r="CW50" i="10" s="1"/>
  <c r="BX59" i="10"/>
  <c r="BY59" i="10" s="1"/>
  <c r="BP59" i="10"/>
  <c r="BQ59" i="10" s="1"/>
  <c r="BV59" i="10" s="1" a="1"/>
  <c r="BV59" i="10" s="1"/>
  <c r="BL59" i="10"/>
  <c r="BM59" i="10" s="1"/>
  <c r="BN59" i="10" s="1" a="1"/>
  <c r="BN59" i="10" s="1"/>
  <c r="BX63" i="10"/>
  <c r="BY63" i="10" s="1"/>
  <c r="CA92" i="10" a="1"/>
  <c r="CA92" i="10" s="1"/>
  <c r="BZ92" i="10" a="1"/>
  <c r="BZ92" i="10" s="1"/>
  <c r="BX97" i="10"/>
  <c r="BY97" i="10" s="1"/>
  <c r="BR107" i="10" a="1"/>
  <c r="BR107" i="10" s="1"/>
  <c r="CW66" i="10" a="1"/>
  <c r="CW66" i="10" s="1"/>
  <c r="CV66" i="10" a="1"/>
  <c r="CV66" i="10" s="1"/>
  <c r="CL95" i="10"/>
  <c r="CM95" i="10" s="1"/>
  <c r="CN95" i="10" s="1" a="1"/>
  <c r="CN95" i="10" s="1"/>
  <c r="CN101" i="10" a="1"/>
  <c r="CN101" i="10" s="1"/>
  <c r="BR116" i="10" a="1"/>
  <c r="BR116" i="10" s="1"/>
  <c r="CA64" i="10" a="1"/>
  <c r="CA64" i="10" s="1"/>
  <c r="BZ64" i="10" a="1"/>
  <c r="BZ64" i="10" s="1"/>
  <c r="BL31" i="10"/>
  <c r="BM31" i="10" s="1"/>
  <c r="BN31" i="10" s="1" a="1"/>
  <c r="BN31" i="10" s="1"/>
  <c r="BX31" i="10"/>
  <c r="BY31" i="10" s="1"/>
  <c r="BL71" i="10"/>
  <c r="BM71" i="10" s="1"/>
  <c r="BN71" i="10" s="1" a="1"/>
  <c r="BN71" i="10" s="1"/>
  <c r="CV81" i="10" a="1"/>
  <c r="CV81" i="10" s="1"/>
  <c r="CW81" i="10" a="1"/>
  <c r="CW81" i="10" s="1"/>
  <c r="CP68" i="10"/>
  <c r="CQ68" i="10" s="1"/>
  <c r="CR68" i="10" s="1" a="1"/>
  <c r="CR68" i="10" s="1"/>
  <c r="CN50" i="10" a="1"/>
  <c r="CN50" i="10" s="1"/>
  <c r="CP40" i="10"/>
  <c r="CQ40" i="10" s="1"/>
  <c r="BP53" i="10"/>
  <c r="BQ53" i="10" s="1"/>
  <c r="BX53" i="10"/>
  <c r="BY53" i="10" s="1"/>
  <c r="BL53" i="10"/>
  <c r="BM53" i="10" s="1"/>
  <c r="BN53" i="10" s="1" a="1"/>
  <c r="BN53" i="10" s="1"/>
  <c r="BP43" i="10"/>
  <c r="BQ43" i="10" s="1"/>
  <c r="BR43" i="10" s="1" a="1"/>
  <c r="BR43" i="10" s="1"/>
  <c r="CR67" i="10" a="1"/>
  <c r="CR67" i="10" s="1"/>
  <c r="CX67" i="10" s="1"/>
  <c r="Z67" i="10" s="1"/>
  <c r="CT117" i="10"/>
  <c r="CU117" i="10" s="1"/>
  <c r="CP26" i="10"/>
  <c r="CQ26" i="10" s="1"/>
  <c r="CR26" i="10" s="1" a="1"/>
  <c r="CR26" i="10" s="1"/>
  <c r="CH26" i="10"/>
  <c r="CI26" i="10" s="1"/>
  <c r="CJ26" i="10" s="1" a="1"/>
  <c r="CJ26" i="10" s="1"/>
  <c r="BX41" i="10"/>
  <c r="BY41" i="10" s="1"/>
  <c r="BX37" i="10"/>
  <c r="BY37" i="10" s="1"/>
  <c r="BL37" i="10"/>
  <c r="BM37" i="10" s="1"/>
  <c r="BN37" i="10" s="1" a="1"/>
  <c r="BN37" i="10" s="1"/>
  <c r="BP37" i="10"/>
  <c r="BQ37" i="10" s="1"/>
  <c r="BZ74" i="10" a="1"/>
  <c r="BZ74" i="10" s="1"/>
  <c r="CA74" i="10" a="1"/>
  <c r="CA74" i="10" s="1"/>
  <c r="BR84" i="10" a="1"/>
  <c r="BR84" i="10" s="1"/>
  <c r="CB84" i="10" s="1"/>
  <c r="S84" i="10" s="1"/>
  <c r="BP97" i="10"/>
  <c r="BQ97" i="10" s="1"/>
  <c r="BR97" i="10" s="1" a="1"/>
  <c r="BR97" i="10" s="1"/>
  <c r="BX60" i="10"/>
  <c r="BY60" i="10" s="1"/>
  <c r="BT37" i="10"/>
  <c r="BU37" i="10" s="1"/>
  <c r="CT54" i="10"/>
  <c r="CU54" i="10" s="1"/>
  <c r="CP109" i="10"/>
  <c r="CQ109" i="10" s="1"/>
  <c r="CR109" i="10" s="1" a="1"/>
  <c r="CR109" i="10" s="1"/>
  <c r="CW94" i="10" a="1"/>
  <c r="CW94" i="10" s="1"/>
  <c r="CV94" i="10" a="1"/>
  <c r="CV94" i="10" s="1"/>
  <c r="BL81" i="10"/>
  <c r="BM81" i="10" s="1"/>
  <c r="BN81" i="10" s="1" a="1"/>
  <c r="BN81" i="10" s="1"/>
  <c r="BP41" i="10"/>
  <c r="BQ41" i="10" s="1"/>
  <c r="BR41" i="10" s="1" a="1"/>
  <c r="BR41" i="10" s="1"/>
  <c r="CL56" i="10"/>
  <c r="CM56" i="10" s="1"/>
  <c r="BL40" i="10"/>
  <c r="BM40" i="10" s="1"/>
  <c r="BN40" i="10" s="1" a="1"/>
  <c r="BN40" i="10" s="1"/>
  <c r="CP64" i="10"/>
  <c r="CQ64" i="10" s="1"/>
  <c r="BV89" i="10" a="1"/>
  <c r="BV89" i="10" s="1"/>
  <c r="CV63" i="10" a="1"/>
  <c r="CV63" i="10" s="1"/>
  <c r="CX63" i="10" s="1"/>
  <c r="Z63" i="10" s="1"/>
  <c r="CR29" i="10" a="1"/>
  <c r="CR29" i="10" s="1"/>
  <c r="BT60" i="10"/>
  <c r="BU60" i="10" s="1"/>
  <c r="BV60" i="10" s="1" a="1"/>
  <c r="BV60" i="10" s="1"/>
  <c r="BR93" i="10" a="1"/>
  <c r="BR93" i="10" s="1"/>
  <c r="BN113" i="10" a="1"/>
  <c r="BN113" i="10" s="1"/>
  <c r="BR113" i="10" a="1"/>
  <c r="BR113" i="10" s="1"/>
  <c r="CH117" i="10"/>
  <c r="CI117" i="10" s="1"/>
  <c r="CJ117" i="10" s="1" a="1"/>
  <c r="CJ117" i="10" s="1"/>
  <c r="CR96" i="10" a="1"/>
  <c r="CR96" i="10" s="1"/>
  <c r="CN77" i="10" a="1"/>
  <c r="CN77" i="10" s="1"/>
  <c r="CP115" i="10"/>
  <c r="CQ115" i="10" s="1"/>
  <c r="CV115" i="10" s="1" a="1"/>
  <c r="CV115" i="10" s="1"/>
  <c r="CP122" i="10"/>
  <c r="CQ122" i="10" s="1"/>
  <c r="CR122" i="10" s="1" a="1"/>
  <c r="CR122" i="10" s="1"/>
  <c r="CH120" i="10"/>
  <c r="CI120" i="10" s="1"/>
  <c r="CJ120" i="10" s="1" a="1"/>
  <c r="CJ120" i="10" s="1"/>
  <c r="CN51" i="10" a="1"/>
  <c r="CN51" i="10" s="1"/>
  <c r="BX99" i="10"/>
  <c r="BY99" i="10" s="1"/>
  <c r="CP114" i="10"/>
  <c r="CQ114" i="10" s="1"/>
  <c r="BV30" i="10" a="1"/>
  <c r="BV30" i="10" s="1"/>
  <c r="BV31" i="10" a="1"/>
  <c r="BV31" i="10" s="1"/>
  <c r="CN76" i="10" a="1"/>
  <c r="CN76" i="10" s="1"/>
  <c r="CR72" i="10" a="1"/>
  <c r="CR72" i="10" s="1"/>
  <c r="CA100" i="10" a="1"/>
  <c r="CA100" i="10" s="1"/>
  <c r="BZ100" i="10" a="1"/>
  <c r="BZ100" i="10" s="1"/>
  <c r="CA113" i="10" a="1"/>
  <c r="CA113" i="10" s="1"/>
  <c r="BZ113" i="10" a="1"/>
  <c r="BZ113" i="10" s="1"/>
  <c r="CV112" i="10" a="1"/>
  <c r="CV112" i="10" s="1"/>
  <c r="CW112" i="10" a="1"/>
  <c r="CW112" i="10" s="1"/>
  <c r="CA45" i="10" a="1"/>
  <c r="CA45" i="10" s="1"/>
  <c r="BZ45" i="10" a="1"/>
  <c r="BZ45" i="10" s="1"/>
  <c r="CV76" i="10" a="1"/>
  <c r="CV76" i="10" s="1"/>
  <c r="CW76" i="10" a="1"/>
  <c r="CW76" i="10" s="1"/>
  <c r="BP71" i="10"/>
  <c r="BQ71" i="10" s="1"/>
  <c r="BP63" i="10"/>
  <c r="BQ63" i="10" s="1"/>
  <c r="CW59" i="10" a="1"/>
  <c r="CW59" i="10" s="1"/>
  <c r="CV59" i="10" a="1"/>
  <c r="CV59" i="10" s="1"/>
  <c r="CW101" i="10" a="1"/>
  <c r="CW101" i="10" s="1"/>
  <c r="CV101" i="10" a="1"/>
  <c r="CV101" i="10" s="1"/>
  <c r="BR67" i="10" a="1"/>
  <c r="BR67" i="10" s="1"/>
  <c r="CR71" i="10" a="1"/>
  <c r="CR71" i="10" s="1"/>
  <c r="CX71" i="10" s="1"/>
  <c r="Z71" i="10" s="1"/>
  <c r="CH115" i="10"/>
  <c r="CI115" i="10" s="1"/>
  <c r="CJ115" i="10" s="1" a="1"/>
  <c r="CJ115" i="10" s="1"/>
  <c r="CV41" i="10" a="1"/>
  <c r="CV41" i="10" s="1"/>
  <c r="CW41" i="10" a="1"/>
  <c r="CW41" i="10" s="1"/>
  <c r="CA98" i="10" a="1"/>
  <c r="CA98" i="10" s="1"/>
  <c r="BZ98" i="10" a="1"/>
  <c r="BZ98" i="10" s="1"/>
  <c r="CR36" i="10" a="1"/>
  <c r="CR36" i="10" s="1"/>
  <c r="BP82" i="10"/>
  <c r="BQ82" i="10" s="1"/>
  <c r="BZ29" i="10" a="1"/>
  <c r="BZ29" i="10" s="1"/>
  <c r="BP52" i="10"/>
  <c r="BQ52" i="10" s="1"/>
  <c r="BR52" i="10" s="1" a="1"/>
  <c r="BR52" i="10" s="1"/>
  <c r="BZ77" i="10" a="1"/>
  <c r="BZ77" i="10" s="1"/>
  <c r="CA77" i="10" a="1"/>
  <c r="CA77" i="10" s="1"/>
  <c r="CV82" i="10" a="1"/>
  <c r="CV82" i="10" s="1"/>
  <c r="CW82" i="10" a="1"/>
  <c r="CW82" i="10" s="1"/>
  <c r="CP43" i="10"/>
  <c r="CQ43" i="10" s="1"/>
  <c r="CR43" i="10" s="1" a="1"/>
  <c r="CR43" i="10" s="1"/>
  <c r="CT40" i="10"/>
  <c r="CU40" i="10" s="1"/>
  <c r="BR56" i="10" a="1"/>
  <c r="BR56" i="10" s="1"/>
  <c r="BV77" i="10" a="1"/>
  <c r="BV77" i="10" s="1"/>
  <c r="CL85" i="10"/>
  <c r="CM85" i="10" s="1"/>
  <c r="CN85" i="10" s="1" a="1"/>
  <c r="CN85" i="10" s="1"/>
  <c r="CR62" i="10" a="1"/>
  <c r="CR62" i="10" s="1"/>
  <c r="BL63" i="10"/>
  <c r="BM63" i="10" s="1"/>
  <c r="BN63" i="10" s="1" a="1"/>
  <c r="BN63" i="10" s="1"/>
  <c r="CN84" i="10" a="1"/>
  <c r="CN84" i="10" s="1"/>
  <c r="CW116" i="10" a="1"/>
  <c r="CW116" i="10" s="1"/>
  <c r="CV116" i="10" a="1"/>
  <c r="CV116" i="10" s="1"/>
  <c r="BV109" i="10" a="1"/>
  <c r="BV109" i="10" s="1"/>
  <c r="CW102" i="10" a="1"/>
  <c r="CW102" i="10" s="1"/>
  <c r="CV102" i="10" a="1"/>
  <c r="CV102" i="10" s="1"/>
  <c r="CV77" i="10" a="1"/>
  <c r="CV77" i="10" s="1"/>
  <c r="CN41" i="10" a="1"/>
  <c r="CN41" i="10" s="1"/>
  <c r="CV48" i="10" a="1"/>
  <c r="CV48" i="10" s="1"/>
  <c r="CX48" i="10" s="1"/>
  <c r="Z48" i="10" s="1"/>
  <c r="CN122" i="10" a="1"/>
  <c r="CN122" i="10" s="1"/>
  <c r="BT53" i="10"/>
  <c r="BU53" i="10" s="1"/>
  <c r="BZ96" i="10" a="1"/>
  <c r="BZ96" i="10" s="1"/>
  <c r="CA96" i="10" a="1"/>
  <c r="CA96" i="10" s="1"/>
  <c r="CW44" i="10" a="1"/>
  <c r="CW44" i="10" s="1"/>
  <c r="CV44" i="10" a="1"/>
  <c r="CV44" i="10" s="1"/>
  <c r="CR98" i="10" a="1"/>
  <c r="CR98" i="10" s="1"/>
  <c r="CX98" i="10" s="1"/>
  <c r="Z98" i="10" s="1"/>
  <c r="BV98" i="10" a="1"/>
  <c r="BV98" i="10" s="1"/>
  <c r="CB252" i="10" l="1"/>
  <c r="S252" i="10" s="1"/>
  <c r="AF252" i="10" s="1"/>
  <c r="CX158" i="10"/>
  <c r="Z158" i="10" s="1"/>
  <c r="CX329" i="10"/>
  <c r="Z329" i="10" s="1"/>
  <c r="CB447" i="10"/>
  <c r="S447" i="10" s="1"/>
  <c r="CX1008" i="10"/>
  <c r="Z1008" i="10" s="1"/>
  <c r="AF1011" i="10"/>
  <c r="CX576" i="10"/>
  <c r="Z576" i="10" s="1"/>
  <c r="CB851" i="10"/>
  <c r="S851" i="10" s="1"/>
  <c r="AF851" i="10" s="1"/>
  <c r="CX590" i="10"/>
  <c r="Z590" i="10" s="1"/>
  <c r="CX915" i="10"/>
  <c r="Z915" i="10" s="1"/>
  <c r="CX770" i="10"/>
  <c r="Z770" i="10" s="1"/>
  <c r="CX933" i="10"/>
  <c r="Z933" i="10" s="1"/>
  <c r="CB193" i="10"/>
  <c r="S193" i="10" s="1"/>
  <c r="CX964" i="10"/>
  <c r="Z964" i="10" s="1"/>
  <c r="AF964" i="10" s="1"/>
  <c r="CB653" i="10"/>
  <c r="S653" i="10" s="1"/>
  <c r="CX996" i="10"/>
  <c r="Z996" i="10" s="1"/>
  <c r="CB784" i="10"/>
  <c r="S784" i="10" s="1"/>
  <c r="CB179" i="10"/>
  <c r="S179" i="10" s="1"/>
  <c r="CB424" i="10"/>
  <c r="S424" i="10" s="1"/>
  <c r="CX994" i="10"/>
  <c r="Z994" i="10" s="1"/>
  <c r="CB821" i="10"/>
  <c r="S821" i="10" s="1"/>
  <c r="CX417" i="10"/>
  <c r="Z417" i="10" s="1"/>
  <c r="CB591" i="10"/>
  <c r="S591" i="10" s="1"/>
  <c r="CB822" i="10"/>
  <c r="S822" i="10" s="1"/>
  <c r="AF822" i="10" s="1"/>
  <c r="CX396" i="10"/>
  <c r="Z396" i="10" s="1"/>
  <c r="CX200" i="10"/>
  <c r="Z200" i="10" s="1"/>
  <c r="CB342" i="10"/>
  <c r="S342" i="10" s="1"/>
  <c r="CB306" i="10"/>
  <c r="S306" i="10" s="1"/>
  <c r="CX973" i="10"/>
  <c r="Z973" i="10" s="1"/>
  <c r="CB189" i="10"/>
  <c r="S189" i="10" s="1"/>
  <c r="CB633" i="10"/>
  <c r="S633" i="10" s="1"/>
  <c r="AF346" i="10"/>
  <c r="CX260" i="10"/>
  <c r="Z260" i="10" s="1"/>
  <c r="CX139" i="10"/>
  <c r="Z139" i="10" s="1"/>
  <c r="CX674" i="10"/>
  <c r="Z674" i="10" s="1"/>
  <c r="CB959" i="10"/>
  <c r="S959" i="10" s="1"/>
  <c r="AF959" i="10" s="1"/>
  <c r="CX962" i="10"/>
  <c r="Z962" i="10" s="1"/>
  <c r="AF962" i="10" s="1"/>
  <c r="CB932" i="10"/>
  <c r="S932" i="10" s="1"/>
  <c r="CB431" i="10"/>
  <c r="S431" i="10" s="1"/>
  <c r="AF431" i="10" s="1"/>
  <c r="CB891" i="10"/>
  <c r="S891" i="10" s="1"/>
  <c r="CX630" i="10"/>
  <c r="Z630" i="10" s="1"/>
  <c r="AF630" i="10" s="1"/>
  <c r="CX424" i="10"/>
  <c r="Z424" i="10" s="1"/>
  <c r="AF396" i="10"/>
  <c r="CB847" i="10"/>
  <c r="S847" i="10" s="1"/>
  <c r="AF847" i="10" s="1"/>
  <c r="CX440" i="10"/>
  <c r="Z440" i="10" s="1"/>
  <c r="CX544" i="10"/>
  <c r="Z544" i="10" s="1"/>
  <c r="AF877" i="10"/>
  <c r="CX889" i="10"/>
  <c r="Z889" i="10" s="1"/>
  <c r="CX283" i="10"/>
  <c r="Z283" i="10" s="1"/>
  <c r="AF715" i="10"/>
  <c r="CX181" i="10"/>
  <c r="Z181" i="10" s="1"/>
  <c r="CB662" i="10"/>
  <c r="S662" i="10" s="1"/>
  <c r="AF915" i="10"/>
  <c r="CB980" i="10"/>
  <c r="S980" i="10" s="1"/>
  <c r="CB408" i="10"/>
  <c r="S408" i="10" s="1"/>
  <c r="CX515" i="10"/>
  <c r="Z515" i="10" s="1"/>
  <c r="AF515" i="10" s="1"/>
  <c r="CX279" i="10"/>
  <c r="Z279" i="10" s="1"/>
  <c r="CB174" i="10"/>
  <c r="S174" i="10" s="1"/>
  <c r="CX734" i="10"/>
  <c r="Z734" i="10" s="1"/>
  <c r="CB639" i="10"/>
  <c r="S639" i="10" s="1"/>
  <c r="CX244" i="10"/>
  <c r="Z244" i="10" s="1"/>
  <c r="CB952" i="10"/>
  <c r="S952" i="10" s="1"/>
  <c r="AF952" i="10" s="1"/>
  <c r="CB807" i="10"/>
  <c r="S807" i="10" s="1"/>
  <c r="CX882" i="10"/>
  <c r="Z882" i="10" s="1"/>
  <c r="AF882" i="10" s="1"/>
  <c r="CB29" i="10"/>
  <c r="S29" i="10" s="1"/>
  <c r="CX119" i="10"/>
  <c r="Z119" i="10" s="1"/>
  <c r="CB255" i="10"/>
  <c r="S255" i="10" s="1"/>
  <c r="AF255" i="10" s="1"/>
  <c r="CB376" i="10"/>
  <c r="S376" i="10" s="1"/>
  <c r="AF376" i="10" s="1"/>
  <c r="CX174" i="10"/>
  <c r="Z174" i="10" s="1"/>
  <c r="CX354" i="10"/>
  <c r="Z354" i="10" s="1"/>
  <c r="CX492" i="10"/>
  <c r="Z492" i="10" s="1"/>
  <c r="CX723" i="10"/>
  <c r="Z723" i="10" s="1"/>
  <c r="CX1007" i="10"/>
  <c r="Z1007" i="10" s="1"/>
  <c r="CX998" i="10"/>
  <c r="Z998" i="10" s="1"/>
  <c r="CX585" i="10"/>
  <c r="Z585" i="10" s="1"/>
  <c r="CB409" i="10"/>
  <c r="S409" i="10" s="1"/>
  <c r="AF409" i="10" s="1"/>
  <c r="CB555" i="10"/>
  <c r="S555" i="10" s="1"/>
  <c r="CB1003" i="10"/>
  <c r="S1003" i="10" s="1"/>
  <c r="AF1003" i="10" s="1"/>
  <c r="CB453" i="10"/>
  <c r="S453" i="10" s="1"/>
  <c r="CB241" i="10"/>
  <c r="S241" i="10" s="1"/>
  <c r="AF241" i="10" s="1"/>
  <c r="CB594" i="10"/>
  <c r="S594" i="10" s="1"/>
  <c r="AF594" i="10" s="1"/>
  <c r="CB599" i="10"/>
  <c r="S599" i="10" s="1"/>
  <c r="AF599" i="10" s="1"/>
  <c r="CX523" i="10"/>
  <c r="Z523" i="10" s="1"/>
  <c r="CX606" i="10"/>
  <c r="Z606" i="10" s="1"/>
  <c r="AF900" i="10"/>
  <c r="CX436" i="10"/>
  <c r="Z436" i="10" s="1"/>
  <c r="CB536" i="10"/>
  <c r="S536" i="10" s="1"/>
  <c r="AF1000" i="10"/>
  <c r="CB889" i="10"/>
  <c r="S889" i="10" s="1"/>
  <c r="CX999" i="10"/>
  <c r="Z999" i="10" s="1"/>
  <c r="CB1017" i="10"/>
  <c r="S1017" i="10" s="1"/>
  <c r="AF1017" i="10" s="1"/>
  <c r="CX384" i="10"/>
  <c r="Z384" i="10" s="1"/>
  <c r="CX581" i="10"/>
  <c r="Z581" i="10" s="1"/>
  <c r="CX488" i="10"/>
  <c r="Z488" i="10" s="1"/>
  <c r="CB171" i="10"/>
  <c r="S171" i="10" s="1"/>
  <c r="AF171" i="10" s="1"/>
  <c r="CX399" i="10"/>
  <c r="Z399" i="10" s="1"/>
  <c r="CB643" i="10"/>
  <c r="S643" i="10" s="1"/>
  <c r="CX465" i="10"/>
  <c r="Z465" i="10" s="1"/>
  <c r="AF995" i="10"/>
  <c r="CX468" i="10"/>
  <c r="Z468" i="10" s="1"/>
  <c r="CX849" i="10"/>
  <c r="Z849" i="10" s="1"/>
  <c r="CB411" i="10"/>
  <c r="S411" i="10" s="1"/>
  <c r="CB148" i="10"/>
  <c r="S148" i="10" s="1"/>
  <c r="CX593" i="10"/>
  <c r="Z593" i="10" s="1"/>
  <c r="CB1016" i="10"/>
  <c r="S1016" i="10" s="1"/>
  <c r="CB697" i="10"/>
  <c r="S697" i="10" s="1"/>
  <c r="CX433" i="10"/>
  <c r="Z433" i="10" s="1"/>
  <c r="CX421" i="10"/>
  <c r="Z421" i="10" s="1"/>
  <c r="CB664" i="10"/>
  <c r="S664" i="10" s="1"/>
  <c r="CX843" i="10"/>
  <c r="Z843" i="10" s="1"/>
  <c r="CX839" i="10"/>
  <c r="Z839" i="10" s="1"/>
  <c r="CX1013" i="10"/>
  <c r="Z1013" i="10" s="1"/>
  <c r="CX949" i="10"/>
  <c r="Z949" i="10" s="1"/>
  <c r="CX30" i="10"/>
  <c r="Z30" i="10" s="1"/>
  <c r="AF695" i="10"/>
  <c r="CX868" i="10"/>
  <c r="Z868" i="10" s="1"/>
  <c r="CB358" i="10"/>
  <c r="S358" i="10" s="1"/>
  <c r="AF358" i="10" s="1"/>
  <c r="CB303" i="10"/>
  <c r="S303" i="10" s="1"/>
  <c r="AF303" i="10" s="1"/>
  <c r="CB627" i="10"/>
  <c r="S627" i="10" s="1"/>
  <c r="CX695" i="10"/>
  <c r="Z695" i="10" s="1"/>
  <c r="CB674" i="10"/>
  <c r="S674" i="10" s="1"/>
  <c r="CX140" i="10"/>
  <c r="Z140" i="10" s="1"/>
  <c r="CX163" i="10"/>
  <c r="Z163" i="10" s="1"/>
  <c r="CX242" i="10"/>
  <c r="Z242" i="10" s="1"/>
  <c r="AF242" i="10" s="1"/>
  <c r="CB270" i="10"/>
  <c r="S270" i="10" s="1"/>
  <c r="CB520" i="10"/>
  <c r="S520" i="10" s="1"/>
  <c r="AF520" i="10" s="1"/>
  <c r="CB288" i="10"/>
  <c r="S288" i="10" s="1"/>
  <c r="CB688" i="10"/>
  <c r="S688" i="10" s="1"/>
  <c r="CX337" i="10"/>
  <c r="Z337" i="10" s="1"/>
  <c r="CB153" i="10"/>
  <c r="S153" i="10" s="1"/>
  <c r="CX573" i="10"/>
  <c r="Z573" i="10" s="1"/>
  <c r="AF189" i="10"/>
  <c r="CX199" i="10"/>
  <c r="Z199" i="10" s="1"/>
  <c r="CB489" i="10"/>
  <c r="S489" i="10" s="1"/>
  <c r="CB516" i="10"/>
  <c r="S516" i="10" s="1"/>
  <c r="CX622" i="10"/>
  <c r="Z622" i="10" s="1"/>
  <c r="CX1012" i="10"/>
  <c r="Z1012" i="10" s="1"/>
  <c r="CB983" i="10"/>
  <c r="S983" i="10" s="1"/>
  <c r="AF983" i="10" s="1"/>
  <c r="CX853" i="10"/>
  <c r="Z853" i="10" s="1"/>
  <c r="CX679" i="10"/>
  <c r="Z679" i="10" s="1"/>
  <c r="CB727" i="10"/>
  <c r="S727" i="10" s="1"/>
  <c r="AF727" i="10" s="1"/>
  <c r="CX500" i="10"/>
  <c r="Z500" i="10" s="1"/>
  <c r="CB704" i="10"/>
  <c r="S704" i="10" s="1"/>
  <c r="AF704" i="10" s="1"/>
  <c r="CB755" i="10"/>
  <c r="S755" i="10" s="1"/>
  <c r="CX161" i="10"/>
  <c r="Z161" i="10" s="1"/>
  <c r="CX781" i="10"/>
  <c r="Z781" i="10" s="1"/>
  <c r="AF781" i="10" s="1"/>
  <c r="CX568" i="10"/>
  <c r="Z568" i="10" s="1"/>
  <c r="CB978" i="10"/>
  <c r="S978" i="10" s="1"/>
  <c r="CX175" i="10"/>
  <c r="Z175" i="10" s="1"/>
  <c r="CB245" i="10"/>
  <c r="S245" i="10" s="1"/>
  <c r="CB583" i="10"/>
  <c r="S583" i="10" s="1"/>
  <c r="CX238" i="10"/>
  <c r="Z238" i="10" s="1"/>
  <c r="AF238" i="10" s="1"/>
  <c r="CX190" i="10"/>
  <c r="Z190" i="10" s="1"/>
  <c r="CB567" i="10"/>
  <c r="S567" i="10" s="1"/>
  <c r="CB839" i="10"/>
  <c r="S839" i="10" s="1"/>
  <c r="AF839" i="10" s="1"/>
  <c r="CB700" i="10"/>
  <c r="S700" i="10" s="1"/>
  <c r="AF700" i="10" s="1"/>
  <c r="CB776" i="10"/>
  <c r="S776" i="10" s="1"/>
  <c r="CX909" i="10"/>
  <c r="Z909" i="10" s="1"/>
  <c r="CX235" i="10"/>
  <c r="Z235" i="10" s="1"/>
  <c r="CB178" i="10"/>
  <c r="S178" i="10" s="1"/>
  <c r="CX543" i="10"/>
  <c r="Z543" i="10" s="1"/>
  <c r="AF543" i="10" s="1"/>
  <c r="CB820" i="10"/>
  <c r="S820" i="10" s="1"/>
  <c r="CB1019" i="10"/>
  <c r="S1019" i="10" s="1"/>
  <c r="CB494" i="10"/>
  <c r="S494" i="10" s="1"/>
  <c r="CX400" i="10"/>
  <c r="Z400" i="10" s="1"/>
  <c r="CX864" i="10"/>
  <c r="Z864" i="10" s="1"/>
  <c r="AF864" i="10" s="1"/>
  <c r="CX963" i="10"/>
  <c r="Z963" i="10" s="1"/>
  <c r="AF963" i="10" s="1"/>
  <c r="CX505" i="10"/>
  <c r="Z505" i="10" s="1"/>
  <c r="CB486" i="10"/>
  <c r="S486" i="10" s="1"/>
  <c r="CX474" i="10"/>
  <c r="Z474" i="10" s="1"/>
  <c r="AF305" i="10"/>
  <c r="CB868" i="10"/>
  <c r="S868" i="10" s="1"/>
  <c r="AF512" i="10"/>
  <c r="AF144" i="10"/>
  <c r="CB859" i="10"/>
  <c r="S859" i="10" s="1"/>
  <c r="AF859" i="10" s="1"/>
  <c r="CX603" i="10"/>
  <c r="Z603" i="10" s="1"/>
  <c r="AF603" i="10" s="1"/>
  <c r="AF424" i="10"/>
  <c r="AF731" i="10"/>
  <c r="CB894" i="10"/>
  <c r="S894" i="10" s="1"/>
  <c r="AF894" i="10" s="1"/>
  <c r="CB322" i="10"/>
  <c r="S322" i="10" s="1"/>
  <c r="CB733" i="10"/>
  <c r="S733" i="10" s="1"/>
  <c r="CB974" i="10"/>
  <c r="S974" i="10" s="1"/>
  <c r="CX406" i="10"/>
  <c r="Z406" i="10" s="1"/>
  <c r="AF406" i="10" s="1"/>
  <c r="CX597" i="10"/>
  <c r="Z597" i="10" s="1"/>
  <c r="AF597" i="10" s="1"/>
  <c r="CX188" i="10"/>
  <c r="Z188" i="10" s="1"/>
  <c r="AF188" i="10" s="1"/>
  <c r="CX989" i="10"/>
  <c r="Z989" i="10" s="1"/>
  <c r="CB637" i="10"/>
  <c r="S637" i="10" s="1"/>
  <c r="CX501" i="10"/>
  <c r="Z501" i="10" s="1"/>
  <c r="AF501" i="10" s="1"/>
  <c r="AF199" i="10"/>
  <c r="CX427" i="10"/>
  <c r="Z427" i="10" s="1"/>
  <c r="CX269" i="10"/>
  <c r="Z269" i="10" s="1"/>
  <c r="CB417" i="10"/>
  <c r="S417" i="10" s="1"/>
  <c r="AF417" i="10" s="1"/>
  <c r="AF523" i="10"/>
  <c r="CB611" i="10"/>
  <c r="S611" i="10" s="1"/>
  <c r="AF611" i="10" s="1"/>
  <c r="CB936" i="10"/>
  <c r="S936" i="10" s="1"/>
  <c r="CB751" i="10"/>
  <c r="S751" i="10" s="1"/>
  <c r="CX127" i="10"/>
  <c r="Z127" i="10" s="1"/>
  <c r="CX546" i="10"/>
  <c r="Z546" i="10" s="1"/>
  <c r="CB544" i="10"/>
  <c r="S544" i="10" s="1"/>
  <c r="CX897" i="10"/>
  <c r="Z897" i="10" s="1"/>
  <c r="CB888" i="10"/>
  <c r="S888" i="10" s="1"/>
  <c r="AF888" i="10" s="1"/>
  <c r="CB966" i="10"/>
  <c r="S966" i="10" s="1"/>
  <c r="CB390" i="10"/>
  <c r="S390" i="10" s="1"/>
  <c r="CX209" i="10"/>
  <c r="Z209" i="10" s="1"/>
  <c r="AF209" i="10" s="1"/>
  <c r="CX246" i="10"/>
  <c r="Z246" i="10" s="1"/>
  <c r="AF246" i="10" s="1"/>
  <c r="CB737" i="10"/>
  <c r="S737" i="10" s="1"/>
  <c r="AF737" i="10" s="1"/>
  <c r="CB739" i="10"/>
  <c r="S739" i="10" s="1"/>
  <c r="CX879" i="10"/>
  <c r="Z879" i="10" s="1"/>
  <c r="CB992" i="10"/>
  <c r="S992" i="10" s="1"/>
  <c r="AF992" i="10" s="1"/>
  <c r="CB984" i="10"/>
  <c r="S984" i="10" s="1"/>
  <c r="AF984" i="10" s="1"/>
  <c r="CX322" i="10"/>
  <c r="Z322" i="10" s="1"/>
  <c r="CB696" i="10"/>
  <c r="S696" i="10" s="1"/>
  <c r="AF696" i="10" s="1"/>
  <c r="CB260" i="10"/>
  <c r="S260" i="10" s="1"/>
  <c r="CX458" i="10"/>
  <c r="Z458" i="10" s="1"/>
  <c r="CB508" i="10"/>
  <c r="S508" i="10" s="1"/>
  <c r="AF508" i="10" s="1"/>
  <c r="CB968" i="10"/>
  <c r="S968" i="10" s="1"/>
  <c r="AF968" i="10" s="1"/>
  <c r="CB849" i="10"/>
  <c r="S849" i="10" s="1"/>
  <c r="AF849" i="10" s="1"/>
  <c r="CB219" i="10"/>
  <c r="S219" i="10" s="1"/>
  <c r="CX207" i="10"/>
  <c r="Z207" i="10" s="1"/>
  <c r="CB311" i="10"/>
  <c r="S311" i="10" s="1"/>
  <c r="AF311" i="10" s="1"/>
  <c r="CB775" i="10"/>
  <c r="S775" i="10" s="1"/>
  <c r="CB550" i="10"/>
  <c r="S550" i="10" s="1"/>
  <c r="AF550" i="10" s="1"/>
  <c r="CB890" i="10"/>
  <c r="S890" i="10" s="1"/>
  <c r="AF890" i="10" s="1"/>
  <c r="CB405" i="10"/>
  <c r="S405" i="10" s="1"/>
  <c r="CB351" i="10"/>
  <c r="S351" i="10" s="1"/>
  <c r="CB262" i="10"/>
  <c r="S262" i="10" s="1"/>
  <c r="AF262" i="10" s="1"/>
  <c r="CX526" i="10"/>
  <c r="Z526" i="10" s="1"/>
  <c r="CB843" i="10"/>
  <c r="S843" i="10" s="1"/>
  <c r="AF843" i="10" s="1"/>
  <c r="CX618" i="10"/>
  <c r="Z618" i="10" s="1"/>
  <c r="CX874" i="10"/>
  <c r="Z874" i="10" s="1"/>
  <c r="AF874" i="10" s="1"/>
  <c r="CX762" i="10"/>
  <c r="Z762" i="10" s="1"/>
  <c r="CB757" i="10"/>
  <c r="S757" i="10" s="1"/>
  <c r="AF757" i="10" s="1"/>
  <c r="CX820" i="10"/>
  <c r="Z820" i="10" s="1"/>
  <c r="CB337" i="10"/>
  <c r="S337" i="10" s="1"/>
  <c r="AF337" i="10" s="1"/>
  <c r="CB568" i="10"/>
  <c r="S568" i="10" s="1"/>
  <c r="CX517" i="10"/>
  <c r="Z517" i="10" s="1"/>
  <c r="CX813" i="10"/>
  <c r="Z813" i="10" s="1"/>
  <c r="CB766" i="10"/>
  <c r="S766" i="10" s="1"/>
  <c r="CX997" i="10"/>
  <c r="Z997" i="10" s="1"/>
  <c r="CX972" i="10"/>
  <c r="Z972" i="10" s="1"/>
  <c r="AF972" i="10" s="1"/>
  <c r="CB514" i="10"/>
  <c r="S514" i="10" s="1"/>
  <c r="AF514" i="10" s="1"/>
  <c r="CB990" i="10"/>
  <c r="S990" i="10" s="1"/>
  <c r="CB197" i="10"/>
  <c r="S197" i="10" s="1"/>
  <c r="CX721" i="10"/>
  <c r="Z721" i="10" s="1"/>
  <c r="AF250" i="10"/>
  <c r="CB923" i="10"/>
  <c r="S923" i="10" s="1"/>
  <c r="AF923" i="10" s="1"/>
  <c r="CB902" i="10"/>
  <c r="S902" i="10" s="1"/>
  <c r="AF902" i="10" s="1"/>
  <c r="CX148" i="10"/>
  <c r="Z148" i="10" s="1"/>
  <c r="AF148" i="10" s="1"/>
  <c r="AF183" i="10"/>
  <c r="CX313" i="10"/>
  <c r="Z313" i="10" s="1"/>
  <c r="AF662" i="10"/>
  <c r="CB574" i="10"/>
  <c r="S574" i="10" s="1"/>
  <c r="AF574" i="10" s="1"/>
  <c r="CB222" i="10"/>
  <c r="S222" i="10" s="1"/>
  <c r="CB165" i="10"/>
  <c r="S165" i="10" s="1"/>
  <c r="AF165" i="10" s="1"/>
  <c r="CB460" i="10"/>
  <c r="S460" i="10" s="1"/>
  <c r="AF460" i="10" s="1"/>
  <c r="CX245" i="10"/>
  <c r="Z245" i="10" s="1"/>
  <c r="CB190" i="10"/>
  <c r="S190" i="10" s="1"/>
  <c r="CB661" i="10"/>
  <c r="S661" i="10" s="1"/>
  <c r="CB684" i="10"/>
  <c r="S684" i="10" s="1"/>
  <c r="CB791" i="10"/>
  <c r="S791" i="10" s="1"/>
  <c r="AF791" i="10" s="1"/>
  <c r="CB869" i="10"/>
  <c r="S869" i="10" s="1"/>
  <c r="AF869" i="10" s="1"/>
  <c r="CB302" i="10"/>
  <c r="S302" i="10" s="1"/>
  <c r="AF302" i="10" s="1"/>
  <c r="AF342" i="10"/>
  <c r="CX661" i="10"/>
  <c r="Z661" i="10" s="1"/>
  <c r="CX534" i="10"/>
  <c r="Z534" i="10" s="1"/>
  <c r="CB492" i="10"/>
  <c r="S492" i="10" s="1"/>
  <c r="AF492" i="10" s="1"/>
  <c r="AF548" i="10"/>
  <c r="CB692" i="10"/>
  <c r="S692" i="10" s="1"/>
  <c r="CX249" i="10"/>
  <c r="Z249" i="10" s="1"/>
  <c r="AF249" i="10" s="1"/>
  <c r="CB347" i="10"/>
  <c r="S347" i="10" s="1"/>
  <c r="AF347" i="10" s="1"/>
  <c r="CB373" i="10"/>
  <c r="S373" i="10" s="1"/>
  <c r="CB388" i="10"/>
  <c r="S388" i="10" s="1"/>
  <c r="CB185" i="10"/>
  <c r="S185" i="10" s="1"/>
  <c r="CX375" i="10"/>
  <c r="Z375" i="10" s="1"/>
  <c r="CB510" i="10"/>
  <c r="S510" i="10" s="1"/>
  <c r="CX304" i="10"/>
  <c r="Z304" i="10" s="1"/>
  <c r="AF304" i="10" s="1"/>
  <c r="CX349" i="10"/>
  <c r="Z349" i="10" s="1"/>
  <c r="CB339" i="10"/>
  <c r="S339" i="10" s="1"/>
  <c r="AF458" i="10"/>
  <c r="CX1010" i="10"/>
  <c r="Z1010" i="10" s="1"/>
  <c r="CX971" i="10"/>
  <c r="Z971" i="10" s="1"/>
  <c r="CX215" i="10"/>
  <c r="Z215" i="10" s="1"/>
  <c r="CB999" i="10"/>
  <c r="S999" i="10" s="1"/>
  <c r="AF999" i="10" s="1"/>
  <c r="CX911" i="10"/>
  <c r="Z911" i="10" s="1"/>
  <c r="CB378" i="10"/>
  <c r="S378" i="10" s="1"/>
  <c r="AF378" i="10" s="1"/>
  <c r="CX136" i="10"/>
  <c r="Z136" i="10" s="1"/>
  <c r="AF136" i="10" s="1"/>
  <c r="CX719" i="10"/>
  <c r="Z719" i="10" s="1"/>
  <c r="CB229" i="10"/>
  <c r="S229" i="10" s="1"/>
  <c r="AF229" i="10" s="1"/>
  <c r="CB585" i="10"/>
  <c r="S585" i="10" s="1"/>
  <c r="CX726" i="10"/>
  <c r="Z726" i="10" s="1"/>
  <c r="CB897" i="10"/>
  <c r="S897" i="10" s="1"/>
  <c r="CX965" i="10"/>
  <c r="Z965" i="10" s="1"/>
  <c r="CX1002" i="10"/>
  <c r="Z1002" i="10" s="1"/>
  <c r="CX388" i="10"/>
  <c r="Z388" i="10" s="1"/>
  <c r="CB987" i="10"/>
  <c r="S987" i="10" s="1"/>
  <c r="AF987" i="10" s="1"/>
  <c r="CB892" i="10"/>
  <c r="S892" i="10" s="1"/>
  <c r="CX1004" i="10"/>
  <c r="Z1004" i="10" s="1"/>
  <c r="CB931" i="10"/>
  <c r="S931" i="10" s="1"/>
  <c r="AF287" i="10"/>
  <c r="CB336" i="10"/>
  <c r="S336" i="10" s="1"/>
  <c r="CX607" i="10"/>
  <c r="Z607" i="10" s="1"/>
  <c r="CX828" i="10"/>
  <c r="Z828" i="10" s="1"/>
  <c r="CB860" i="10"/>
  <c r="S860" i="10" s="1"/>
  <c r="AF860" i="10" s="1"/>
  <c r="CX258" i="10"/>
  <c r="Z258" i="10" s="1"/>
  <c r="CX306" i="10"/>
  <c r="Z306" i="10" s="1"/>
  <c r="CB400" i="10"/>
  <c r="S400" i="10" s="1"/>
  <c r="AF400" i="10" s="1"/>
  <c r="CX747" i="10"/>
  <c r="Z747" i="10" s="1"/>
  <c r="AF747" i="10" s="1"/>
  <c r="CX730" i="10"/>
  <c r="Z730" i="10" s="1"/>
  <c r="CX472" i="10"/>
  <c r="Z472" i="10" s="1"/>
  <c r="AF472" i="10" s="1"/>
  <c r="AF182" i="10"/>
  <c r="CB634" i="10"/>
  <c r="S634" i="10" s="1"/>
  <c r="AF634" i="10" s="1"/>
  <c r="CB825" i="10"/>
  <c r="S825" i="10" s="1"/>
  <c r="AF825" i="10" s="1"/>
  <c r="CX930" i="10"/>
  <c r="Z930" i="10" s="1"/>
  <c r="CX193" i="10"/>
  <c r="Z193" i="10" s="1"/>
  <c r="AF193" i="10" s="1"/>
  <c r="CB308" i="10"/>
  <c r="S308" i="10" s="1"/>
  <c r="AF308" i="10" s="1"/>
  <c r="CX192" i="10"/>
  <c r="Z192" i="10" s="1"/>
  <c r="AF192" i="10" s="1"/>
  <c r="CB133" i="10"/>
  <c r="S133" i="10" s="1"/>
  <c r="CB623" i="10"/>
  <c r="S623" i="10" s="1"/>
  <c r="AF606" i="10"/>
  <c r="CB468" i="10"/>
  <c r="S468" i="10" s="1"/>
  <c r="AF468" i="10" s="1"/>
  <c r="CB800" i="10"/>
  <c r="S800" i="10" s="1"/>
  <c r="CB967" i="10"/>
  <c r="S967" i="10" s="1"/>
  <c r="AF967" i="10" s="1"/>
  <c r="CX865" i="10"/>
  <c r="Z865" i="10" s="1"/>
  <c r="CB1020" i="10"/>
  <c r="S1020" i="10" s="1"/>
  <c r="AF1020" i="10" s="1"/>
  <c r="CX247" i="10"/>
  <c r="Z247" i="10" s="1"/>
  <c r="AF808" i="10"/>
  <c r="CX395" i="10"/>
  <c r="Z395" i="10" s="1"/>
  <c r="AF350" i="10"/>
  <c r="CX270" i="10"/>
  <c r="Z270" i="10" s="1"/>
  <c r="AF476" i="10"/>
  <c r="AF919" i="10"/>
  <c r="AF581" i="10"/>
  <c r="CX751" i="10"/>
  <c r="Z751" i="10" s="1"/>
  <c r="CB675" i="10"/>
  <c r="S675" i="10" s="1"/>
  <c r="AF675" i="10" s="1"/>
  <c r="CB703" i="10"/>
  <c r="S703" i="10" s="1"/>
  <c r="AF703" i="10" s="1"/>
  <c r="CB1004" i="10"/>
  <c r="S1004" i="10" s="1"/>
  <c r="AF1004" i="10" s="1"/>
  <c r="AF994" i="10"/>
  <c r="CX382" i="10"/>
  <c r="Z382" i="10" s="1"/>
  <c r="CX405" i="10"/>
  <c r="Z405" i="10" s="1"/>
  <c r="AF405" i="10" s="1"/>
  <c r="CX572" i="10"/>
  <c r="Z572" i="10" s="1"/>
  <c r="CX891" i="10"/>
  <c r="Z891" i="10" s="1"/>
  <c r="AF891" i="10" s="1"/>
  <c r="AF334" i="10"/>
  <c r="CX254" i="10"/>
  <c r="Z254" i="10" s="1"/>
  <c r="CB277" i="10"/>
  <c r="S277" i="10" s="1"/>
  <c r="CB384" i="10"/>
  <c r="S384" i="10" s="1"/>
  <c r="CB469" i="10"/>
  <c r="S469" i="10" s="1"/>
  <c r="CB947" i="10"/>
  <c r="S947" i="10" s="1"/>
  <c r="CX530" i="10"/>
  <c r="Z530" i="10" s="1"/>
  <c r="CB673" i="10"/>
  <c r="S673" i="10" s="1"/>
  <c r="AF673" i="10" s="1"/>
  <c r="CB279" i="10"/>
  <c r="S279" i="10" s="1"/>
  <c r="AF279" i="10" s="1"/>
  <c r="CB215" i="10"/>
  <c r="S215" i="10" s="1"/>
  <c r="AF215" i="10" s="1"/>
  <c r="CB506" i="10"/>
  <c r="S506" i="10" s="1"/>
  <c r="AF506" i="10" s="1"/>
  <c r="CB564" i="10"/>
  <c r="S564" i="10" s="1"/>
  <c r="AF564" i="10" s="1"/>
  <c r="AF784" i="10"/>
  <c r="AF179" i="10"/>
  <c r="AF903" i="10"/>
  <c r="AF674" i="10"/>
  <c r="AF807" i="10"/>
  <c r="AF980" i="10"/>
  <c r="AF270" i="10"/>
  <c r="AF227" i="10"/>
  <c r="AF323" i="10"/>
  <c r="AF474" i="10"/>
  <c r="AF264" i="10"/>
  <c r="AF174" i="10"/>
  <c r="AF516" i="10"/>
  <c r="AF755" i="10"/>
  <c r="AF466" i="10"/>
  <c r="AF245" i="10"/>
  <c r="AF178" i="10"/>
  <c r="AF996" i="10"/>
  <c r="AF1019" i="10"/>
  <c r="AF1008" i="10"/>
  <c r="AF971" i="10"/>
  <c r="AF266" i="10"/>
  <c r="AF413" i="10"/>
  <c r="AF504" i="10"/>
  <c r="AF1012" i="10"/>
  <c r="AF452" i="10"/>
  <c r="AF733" i="10"/>
  <c r="AF974" i="10"/>
  <c r="AF154" i="10"/>
  <c r="AF511" i="10"/>
  <c r="AF713" i="10"/>
  <c r="AF217" i="10"/>
  <c r="AF751" i="10"/>
  <c r="AF544" i="10"/>
  <c r="AF901" i="10"/>
  <c r="AF739" i="10"/>
  <c r="AF260" i="10"/>
  <c r="AF837" i="10"/>
  <c r="AF857" i="10"/>
  <c r="AF219" i="10"/>
  <c r="AF775" i="10"/>
  <c r="AF568" i="10"/>
  <c r="AF990" i="10"/>
  <c r="AF462" i="10"/>
  <c r="AF330" i="10"/>
  <c r="AF939" i="10"/>
  <c r="AF428" i="10"/>
  <c r="AF638" i="10"/>
  <c r="AF388" i="10"/>
  <c r="AF185" i="10"/>
  <c r="AF283" i="10"/>
  <c r="AF412" i="10"/>
  <c r="AF585" i="10"/>
  <c r="AF977" i="10"/>
  <c r="AF897" i="10"/>
  <c r="AF931" i="10"/>
  <c r="AF951" i="10"/>
  <c r="AF873" i="10"/>
  <c r="AF459" i="10"/>
  <c r="AF576" i="10"/>
  <c r="AF927" i="10"/>
  <c r="AF384" i="10"/>
  <c r="AF947" i="10"/>
  <c r="AF306" i="10"/>
  <c r="AF496" i="10"/>
  <c r="AF626" i="10"/>
  <c r="AF981" i="10"/>
  <c r="AF536" i="10"/>
  <c r="AF889" i="10"/>
  <c r="AF1016" i="10"/>
  <c r="AF590" i="10"/>
  <c r="AF789" i="10"/>
  <c r="CW351" i="10" a="1"/>
  <c r="CW351" i="10" s="1"/>
  <c r="CV351" i="10" a="1"/>
  <c r="CV351" i="10" s="1"/>
  <c r="BZ600" i="10" a="1"/>
  <c r="BZ600" i="10" s="1"/>
  <c r="CA600" i="10" a="1"/>
  <c r="CA600" i="10" s="1"/>
  <c r="BZ961" i="10" a="1"/>
  <c r="BZ961" i="10" s="1"/>
  <c r="CA961" i="10" a="1"/>
  <c r="CA961" i="10" s="1"/>
  <c r="CV978" i="10" a="1"/>
  <c r="CV978" i="10" s="1"/>
  <c r="CW978" i="10" a="1"/>
  <c r="CW978" i="10" s="1"/>
  <c r="CA726" i="10" a="1"/>
  <c r="CA726" i="10" s="1"/>
  <c r="BZ726" i="10" a="1"/>
  <c r="BZ726" i="10" s="1"/>
  <c r="BZ324" i="10" a="1"/>
  <c r="BZ324" i="10" s="1"/>
  <c r="CA324" i="10" a="1"/>
  <c r="CA324" i="10" s="1"/>
  <c r="BR149" i="10" a="1"/>
  <c r="BR149" i="10" s="1"/>
  <c r="AF221" i="10"/>
  <c r="CV411" i="10" a="1"/>
  <c r="CV411" i="10" s="1"/>
  <c r="CW411" i="10" a="1"/>
  <c r="CW411" i="10" s="1"/>
  <c r="CV575" i="10" a="1"/>
  <c r="CV575" i="10" s="1"/>
  <c r="CX575" i="10" s="1"/>
  <c r="Z575" i="10" s="1"/>
  <c r="AF575" i="10" s="1"/>
  <c r="CW575" i="10" a="1"/>
  <c r="CW575" i="10" s="1"/>
  <c r="CV268" i="10" a="1"/>
  <c r="CV268" i="10" s="1"/>
  <c r="CW268" i="10" a="1"/>
  <c r="CW268" i="10" s="1"/>
  <c r="CA668" i="10" a="1"/>
  <c r="CA668" i="10" s="1"/>
  <c r="BZ668" i="10" a="1"/>
  <c r="BZ668" i="10" s="1"/>
  <c r="AF683" i="10"/>
  <c r="CR676" i="10" a="1"/>
  <c r="CR676" i="10" s="1"/>
  <c r="AF743" i="10"/>
  <c r="BZ817" i="10" a="1"/>
  <c r="BZ817" i="10" s="1"/>
  <c r="CA817" i="10" a="1"/>
  <c r="CA817" i="10" s="1"/>
  <c r="CV203" i="10" a="1"/>
  <c r="CV203" i="10" s="1"/>
  <c r="CW203" i="10" a="1"/>
  <c r="CW203" i="10" s="1"/>
  <c r="CA415" i="10" a="1"/>
  <c r="CA415" i="10" s="1"/>
  <c r="BZ415" i="10" a="1"/>
  <c r="BZ415" i="10" s="1"/>
  <c r="CV141" i="10" a="1"/>
  <c r="CV141" i="10" s="1"/>
  <c r="CW141" i="10" a="1"/>
  <c r="CW141" i="10" s="1"/>
  <c r="CW423" i="10" a="1"/>
  <c r="CW423" i="10" s="1"/>
  <c r="CV423" i="10" a="1"/>
  <c r="CV423" i="10" s="1"/>
  <c r="BZ135" i="10" a="1"/>
  <c r="BZ135" i="10" s="1"/>
  <c r="CA135" i="10" a="1"/>
  <c r="CA135" i="10" s="1"/>
  <c r="CV155" i="10" a="1"/>
  <c r="CV155" i="10" s="1"/>
  <c r="CW155" i="10" a="1"/>
  <c r="CW155" i="10" s="1"/>
  <c r="CA261" i="10" a="1"/>
  <c r="CA261" i="10" s="1"/>
  <c r="BZ261" i="10" a="1"/>
  <c r="BZ261" i="10" s="1"/>
  <c r="CV357" i="10" a="1"/>
  <c r="CV357" i="10" s="1"/>
  <c r="CW357" i="10" a="1"/>
  <c r="CW357" i="10" s="1"/>
  <c r="BZ487" i="10" a="1"/>
  <c r="BZ487" i="10" s="1"/>
  <c r="CA487" i="10" a="1"/>
  <c r="CA487" i="10" s="1"/>
  <c r="CA721" i="10" a="1"/>
  <c r="CA721" i="10" s="1"/>
  <c r="BZ721" i="10" a="1"/>
  <c r="BZ721" i="10" s="1"/>
  <c r="CW684" i="10" a="1"/>
  <c r="CW684" i="10" s="1"/>
  <c r="CV684" i="10" a="1"/>
  <c r="CV684" i="10" s="1"/>
  <c r="BZ656" i="10" a="1"/>
  <c r="BZ656" i="10" s="1"/>
  <c r="CA656" i="10" a="1"/>
  <c r="CA656" i="10" s="1"/>
  <c r="AF528" i="10"/>
  <c r="BZ176" i="10" a="1"/>
  <c r="BZ176" i="10" s="1"/>
  <c r="CA176" i="10" a="1"/>
  <c r="CA176" i="10" s="1"/>
  <c r="AF278" i="10"/>
  <c r="CA441" i="10" a="1"/>
  <c r="CA441" i="10" s="1"/>
  <c r="BZ441" i="10" a="1"/>
  <c r="BZ441" i="10" s="1"/>
  <c r="BV224" i="10" a="1"/>
  <c r="BV224" i="10" s="1"/>
  <c r="AF235" i="10"/>
  <c r="BZ398" i="10" a="1"/>
  <c r="BZ398" i="10" s="1"/>
  <c r="CA398" i="10" a="1"/>
  <c r="CA398" i="10" s="1"/>
  <c r="AF440" i="10"/>
  <c r="AF578" i="10"/>
  <c r="CW806" i="10" a="1"/>
  <c r="CW806" i="10" s="1"/>
  <c r="CV806" i="10" a="1"/>
  <c r="CV806" i="10" s="1"/>
  <c r="CW701" i="10" a="1"/>
  <c r="CW701" i="10" s="1"/>
  <c r="CV701" i="10" a="1"/>
  <c r="CV701" i="10" s="1"/>
  <c r="CA997" i="10" a="1"/>
  <c r="CA997" i="10" s="1"/>
  <c r="BZ997" i="10" a="1"/>
  <c r="BZ997" i="10" s="1"/>
  <c r="AF130" i="10"/>
  <c r="AF233" i="10"/>
  <c r="AF408" i="10"/>
  <c r="CR261" i="10" a="1"/>
  <c r="CR261" i="10" s="1"/>
  <c r="CW542" i="10" a="1"/>
  <c r="CW542" i="10" s="1"/>
  <c r="CV542" i="10" a="1"/>
  <c r="CV542" i="10" s="1"/>
  <c r="CR487" i="10" a="1"/>
  <c r="CR487" i="10" s="1"/>
  <c r="BZ797" i="10" a="1"/>
  <c r="BZ797" i="10" s="1"/>
  <c r="CA797" i="10" a="1"/>
  <c r="CA797" i="10" s="1"/>
  <c r="CR660" i="10" a="1"/>
  <c r="CR660" i="10" s="1"/>
  <c r="BR253" i="10" a="1"/>
  <c r="BR253" i="10" s="1"/>
  <c r="CW333" i="10" a="1"/>
  <c r="CW333" i="10" s="1"/>
  <c r="CV333" i="10" a="1"/>
  <c r="CV333" i="10" s="1"/>
  <c r="CR173" i="10" a="1"/>
  <c r="CR173" i="10" s="1"/>
  <c r="BR702" i="10" a="1"/>
  <c r="BR702" i="10" s="1"/>
  <c r="BV965" i="10" a="1"/>
  <c r="BV965" i="10" s="1"/>
  <c r="BZ806" i="10" a="1"/>
  <c r="BZ806" i="10" s="1"/>
  <c r="CB806" i="10" s="1"/>
  <c r="S806" i="10" s="1"/>
  <c r="CA806" i="10" a="1"/>
  <c r="CA806" i="10" s="1"/>
  <c r="CN583" i="10" a="1"/>
  <c r="CN583" i="10" s="1"/>
  <c r="CA332" i="10" a="1"/>
  <c r="CA332" i="10" s="1"/>
  <c r="BZ332" i="10" a="1"/>
  <c r="BZ332" i="10" s="1"/>
  <c r="BR502" i="10" a="1"/>
  <c r="BR502" i="10" s="1"/>
  <c r="BZ629" i="10" a="1"/>
  <c r="BZ629" i="10" s="1"/>
  <c r="CA629" i="10" a="1"/>
  <c r="CA629" i="10" s="1"/>
  <c r="CN284" i="10" a="1"/>
  <c r="CN284" i="10" s="1"/>
  <c r="CW551" i="10" a="1"/>
  <c r="CW551" i="10" s="1"/>
  <c r="CV551" i="10" a="1"/>
  <c r="CV551" i="10" s="1"/>
  <c r="BR232" i="10" a="1"/>
  <c r="BR232" i="10" s="1"/>
  <c r="BV208" i="10" a="1"/>
  <c r="BV208" i="10" s="1"/>
  <c r="CV800" i="10" a="1"/>
  <c r="CV800" i="10" s="1"/>
  <c r="CW800" i="10" a="1"/>
  <c r="CW800" i="10" s="1"/>
  <c r="CV477" i="10" a="1"/>
  <c r="CV477" i="10" s="1"/>
  <c r="CW477" i="10" a="1"/>
  <c r="CW477" i="10" s="1"/>
  <c r="CW567" i="10" a="1"/>
  <c r="CW567" i="10" s="1"/>
  <c r="CV567" i="10" a="1"/>
  <c r="CV567" i="10" s="1"/>
  <c r="BR798" i="10" a="1"/>
  <c r="BR798" i="10" s="1"/>
  <c r="CV926" i="10" a="1"/>
  <c r="CV926" i="10" s="1"/>
  <c r="CW926" i="10" a="1"/>
  <c r="CW926" i="10" s="1"/>
  <c r="CV735" i="10" a="1"/>
  <c r="CV735" i="10" s="1"/>
  <c r="CW735" i="10" a="1"/>
  <c r="CW735" i="10" s="1"/>
  <c r="CX794" i="10"/>
  <c r="Z794" i="10" s="1"/>
  <c r="AF794" i="10" s="1"/>
  <c r="CN1005" i="10" a="1"/>
  <c r="CN1005" i="10" s="1"/>
  <c r="CV958" i="10" a="1"/>
  <c r="CV958" i="10" s="1"/>
  <c r="CW958" i="10" a="1"/>
  <c r="CW958" i="10" s="1"/>
  <c r="CN709" i="10" a="1"/>
  <c r="CN709" i="10" s="1"/>
  <c r="CB736" i="10"/>
  <c r="S736" i="10" s="1"/>
  <c r="AF736" i="10" s="1"/>
  <c r="CV373" i="10" a="1"/>
  <c r="CV373" i="10" s="1"/>
  <c r="BV132" i="10" a="1"/>
  <c r="BV132" i="10" s="1"/>
  <c r="CR288" i="10" a="1"/>
  <c r="CR288" i="10" s="1"/>
  <c r="CN601" i="10" a="1"/>
  <c r="CN601" i="10" s="1"/>
  <c r="CV629" i="10" a="1"/>
  <c r="CV629" i="10" s="1"/>
  <c r="CN800" i="10" a="1"/>
  <c r="CN800" i="10" s="1"/>
  <c r="BV844" i="10" a="1"/>
  <c r="BV844" i="10" s="1"/>
  <c r="CB844" i="10" s="1"/>
  <c r="S844" i="10" s="1"/>
  <c r="AF844" i="10" s="1"/>
  <c r="CV653" i="10" a="1"/>
  <c r="CV653" i="10" s="1"/>
  <c r="BZ824" i="10" a="1"/>
  <c r="BZ824" i="10" s="1"/>
  <c r="BR498" i="10" a="1"/>
  <c r="BR498" i="10" s="1"/>
  <c r="CN914" i="10" a="1"/>
  <c r="CN914" i="10" s="1"/>
  <c r="BZ945" i="10" a="1"/>
  <c r="BZ945" i="10" s="1"/>
  <c r="CB945" i="10" s="1"/>
  <c r="S945" i="10" s="1"/>
  <c r="BV367" i="10" a="1"/>
  <c r="BV367" i="10" s="1"/>
  <c r="CB367" i="10" s="1"/>
  <c r="S367" i="10" s="1"/>
  <c r="CN415" i="10" a="1"/>
  <c r="CN415" i="10" s="1"/>
  <c r="BV205" i="10" a="1"/>
  <c r="BV205" i="10" s="1"/>
  <c r="CN625" i="10" a="1"/>
  <c r="CN625" i="10" s="1"/>
  <c r="BR801" i="10" a="1"/>
  <c r="BR801" i="10" s="1"/>
  <c r="CN896" i="10" a="1"/>
  <c r="CN896" i="10" s="1"/>
  <c r="BR310" i="10" a="1"/>
  <c r="BR310" i="10" s="1"/>
  <c r="CN236" i="10" a="1"/>
  <c r="CN236" i="10" s="1"/>
  <c r="CN633" i="10" a="1"/>
  <c r="CN633" i="10" s="1"/>
  <c r="CN684" i="10" a="1"/>
  <c r="CN684" i="10" s="1"/>
  <c r="CX684" i="10" s="1"/>
  <c r="Z684" i="10" s="1"/>
  <c r="AF684" i="10" s="1"/>
  <c r="BV398" i="10" a="1"/>
  <c r="BV398" i="10" s="1"/>
  <c r="CB398" i="10" s="1"/>
  <c r="S398" i="10" s="1"/>
  <c r="BR273" i="10" a="1"/>
  <c r="BR273" i="10" s="1"/>
  <c r="CR367" i="10" a="1"/>
  <c r="CR367" i="10" s="1"/>
  <c r="CX367" i="10" s="1"/>
  <c r="Z367" i="10" s="1"/>
  <c r="CN659" i="10" a="1"/>
  <c r="CN659" i="10" s="1"/>
  <c r="CN624" i="10" a="1"/>
  <c r="CN624" i="10" s="1"/>
  <c r="BR917" i="10" a="1"/>
  <c r="BR917" i="10" s="1"/>
  <c r="CV714" i="10" a="1"/>
  <c r="CV714" i="10" s="1"/>
  <c r="CX714" i="10" s="1"/>
  <c r="Z714" i="10" s="1"/>
  <c r="BR954" i="10" a="1"/>
  <c r="BR954" i="10" s="1"/>
  <c r="BR441" i="10" a="1"/>
  <c r="BR441" i="10" s="1"/>
  <c r="BZ660" i="10" a="1"/>
  <c r="BZ660" i="10" s="1"/>
  <c r="BZ198" i="10" a="1"/>
  <c r="BZ198" i="10" s="1"/>
  <c r="CB198" i="10" s="1"/>
  <c r="S198" i="10" s="1"/>
  <c r="CN365" i="10" a="1"/>
  <c r="CN365" i="10" s="1"/>
  <c r="CN332" i="10" a="1"/>
  <c r="CN332" i="10" s="1"/>
  <c r="BR584" i="10" a="1"/>
  <c r="BR584" i="10" s="1"/>
  <c r="CV549" i="10" a="1"/>
  <c r="CV549" i="10" s="1"/>
  <c r="CX549" i="10" s="1"/>
  <c r="Z549" i="10" s="1"/>
  <c r="CN449" i="10" a="1"/>
  <c r="CN449" i="10" s="1"/>
  <c r="CN760" i="10" a="1"/>
  <c r="CN760" i="10" s="1"/>
  <c r="CN768" i="10" a="1"/>
  <c r="CN768" i="10" s="1"/>
  <c r="CN640" i="10" a="1"/>
  <c r="CN640" i="10" s="1"/>
  <c r="CW210" i="10" a="1"/>
  <c r="CW210" i="10" s="1"/>
  <c r="CV210" i="10" a="1"/>
  <c r="CV210" i="10" s="1"/>
  <c r="AF291" i="10"/>
  <c r="CW625" i="10" a="1"/>
  <c r="CW625" i="10" s="1"/>
  <c r="CV625" i="10" a="1"/>
  <c r="CV625" i="10" s="1"/>
  <c r="CX625" i="10" s="1"/>
  <c r="Z625" i="10" s="1"/>
  <c r="AF625" i="10" s="1"/>
  <c r="AF500" i="10"/>
  <c r="CV776" i="10" a="1"/>
  <c r="CV776" i="10" s="1"/>
  <c r="CW776" i="10" a="1"/>
  <c r="CW776" i="10" s="1"/>
  <c r="BZ561" i="10" a="1"/>
  <c r="BZ561" i="10" s="1"/>
  <c r="CB561" i="10" s="1"/>
  <c r="S561" i="10" s="1"/>
  <c r="CA561" i="10" a="1"/>
  <c r="CA561" i="10" s="1"/>
  <c r="CA538" i="10" a="1"/>
  <c r="CA538" i="10" s="1"/>
  <c r="BZ538" i="10" a="1"/>
  <c r="BZ538" i="10" s="1"/>
  <c r="CB538" i="10" s="1"/>
  <c r="S538" i="10" s="1"/>
  <c r="AF538" i="10" s="1"/>
  <c r="CN529" i="10" a="1"/>
  <c r="CN529" i="10" s="1"/>
  <c r="BZ632" i="10" a="1"/>
  <c r="BZ632" i="10" s="1"/>
  <c r="CA632" i="10" a="1"/>
  <c r="CA632" i="10" s="1"/>
  <c r="AF711" i="10"/>
  <c r="CB777" i="10"/>
  <c r="S777" i="10" s="1"/>
  <c r="AF777" i="10" s="1"/>
  <c r="AF397" i="10"/>
  <c r="AF161" i="10"/>
  <c r="AF362" i="10"/>
  <c r="CX277" i="10"/>
  <c r="Z277" i="10" s="1"/>
  <c r="AF277" i="10" s="1"/>
  <c r="CR656" i="10" a="1"/>
  <c r="CR656" i="10" s="1"/>
  <c r="AF618" i="10"/>
  <c r="CN617" i="10" a="1"/>
  <c r="CN617" i="10" s="1"/>
  <c r="CV676" i="10" a="1"/>
  <c r="CV676" i="10" s="1"/>
  <c r="CW676" i="10" a="1"/>
  <c r="CW676" i="10" s="1"/>
  <c r="BZ710" i="10" a="1"/>
  <c r="BZ710" i="10" s="1"/>
  <c r="CA710" i="10" a="1"/>
  <c r="CA710" i="10" s="1"/>
  <c r="CW835" i="10" a="1"/>
  <c r="CW835" i="10" s="1"/>
  <c r="CV835" i="10" a="1"/>
  <c r="CV835" i="10" s="1"/>
  <c r="AF186" i="10"/>
  <c r="AF248" i="10"/>
  <c r="CV298" i="10" a="1"/>
  <c r="CV298" i="10" s="1"/>
  <c r="CW298" i="10" a="1"/>
  <c r="CW298" i="10" s="1"/>
  <c r="CR155" i="10" a="1"/>
  <c r="CR155" i="10" s="1"/>
  <c r="CX155" i="10" s="1"/>
  <c r="Z155" i="10" s="1"/>
  <c r="CA391" i="10" a="1"/>
  <c r="CA391" i="10" s="1"/>
  <c r="BZ391" i="10" a="1"/>
  <c r="BZ391" i="10" s="1"/>
  <c r="CR485" i="10" a="1"/>
  <c r="CR485" i="10" s="1"/>
  <c r="CV940" i="10" a="1"/>
  <c r="CV940" i="10" s="1"/>
  <c r="CW940" i="10" a="1"/>
  <c r="CW940" i="10" s="1"/>
  <c r="BZ1018" i="10" a="1"/>
  <c r="BZ1018" i="10" s="1"/>
  <c r="CA1018" i="10" a="1"/>
  <c r="CA1018" i="10" s="1"/>
  <c r="CW128" i="10" a="1"/>
  <c r="CW128" i="10" s="1"/>
  <c r="CV128" i="10" a="1"/>
  <c r="CV128" i="10" s="1"/>
  <c r="CX390" i="10"/>
  <c r="Z390" i="10" s="1"/>
  <c r="AF390" i="10" s="1"/>
  <c r="BZ344" i="10" a="1"/>
  <c r="BZ344" i="10" s="1"/>
  <c r="CA344" i="10" a="1"/>
  <c r="CA344" i="10" s="1"/>
  <c r="BZ434" i="10" a="1"/>
  <c r="BZ434" i="10" s="1"/>
  <c r="CB434" i="10" s="1"/>
  <c r="S434" i="10" s="1"/>
  <c r="AF434" i="10" s="1"/>
  <c r="CA434" i="10" a="1"/>
  <c r="CA434" i="10" s="1"/>
  <c r="BZ419" i="10" a="1"/>
  <c r="BZ419" i="10" s="1"/>
  <c r="CA419" i="10" a="1"/>
  <c r="CA419" i="10" s="1"/>
  <c r="CV764" i="10" a="1"/>
  <c r="CV764" i="10" s="1"/>
  <c r="CW764" i="10" a="1"/>
  <c r="CW764" i="10" s="1"/>
  <c r="CW461" i="10" a="1"/>
  <c r="CW461" i="10" s="1"/>
  <c r="CV461" i="10" a="1"/>
  <c r="CV461" i="10" s="1"/>
  <c r="CV664" i="10" a="1"/>
  <c r="CV664" i="10" s="1"/>
  <c r="CW664" i="10" a="1"/>
  <c r="CW664" i="10" s="1"/>
  <c r="BZ895" i="10" a="1"/>
  <c r="BZ895" i="10" s="1"/>
  <c r="CA895" i="10" a="1"/>
  <c r="CA895" i="10" s="1"/>
  <c r="CA762" i="10" a="1"/>
  <c r="CA762" i="10" s="1"/>
  <c r="BZ762" i="10" a="1"/>
  <c r="BZ762" i="10" s="1"/>
  <c r="BR930" i="10" a="1"/>
  <c r="BR930" i="10" s="1"/>
  <c r="BZ709" i="10" a="1"/>
  <c r="BZ709" i="10" s="1"/>
  <c r="CA709" i="10" a="1"/>
  <c r="CA709" i="10" s="1"/>
  <c r="CV372" i="10" a="1"/>
  <c r="CV372" i="10" s="1"/>
  <c r="CX372" i="10" s="1"/>
  <c r="Z372" i="10" s="1"/>
  <c r="CV932" i="10" a="1"/>
  <c r="CV932" i="10" s="1"/>
  <c r="CW339" i="10" a="1"/>
  <c r="CW339" i="10" s="1"/>
  <c r="CV339" i="10" a="1"/>
  <c r="CV339" i="10" s="1"/>
  <c r="CV332" i="10" a="1"/>
  <c r="CV332" i="10" s="1"/>
  <c r="CW332" i="10" a="1"/>
  <c r="CW332" i="10" s="1"/>
  <c r="BZ490" i="10" a="1"/>
  <c r="BZ490" i="10" s="1"/>
  <c r="CA490" i="10" a="1"/>
  <c r="CA490" i="10" s="1"/>
  <c r="CW261" i="10" a="1"/>
  <c r="CW261" i="10" s="1"/>
  <c r="CV261" i="10" a="1"/>
  <c r="CV261" i="10" s="1"/>
  <c r="CV604" i="10" a="1"/>
  <c r="CV604" i="10" s="1"/>
  <c r="CW604" i="10" a="1"/>
  <c r="CW604" i="10" s="1"/>
  <c r="CV722" i="10" a="1"/>
  <c r="CV722" i="10" s="1"/>
  <c r="CW722" i="10" a="1"/>
  <c r="CW722" i="10" s="1"/>
  <c r="BV705" i="10" a="1"/>
  <c r="BV705" i="10" s="1"/>
  <c r="CW499" i="10" a="1"/>
  <c r="CW499" i="10" s="1"/>
  <c r="CV499" i="10" a="1"/>
  <c r="CV499" i="10" s="1"/>
  <c r="CV481" i="10" a="1"/>
  <c r="CV481" i="10" s="1"/>
  <c r="BV797" i="10" a="1"/>
  <c r="BV797" i="10" s="1"/>
  <c r="CB797" i="10" s="1"/>
  <c r="S797" i="10" s="1"/>
  <c r="AF797" i="10" s="1"/>
  <c r="CW928" i="10" a="1"/>
  <c r="CW928" i="10" s="1"/>
  <c r="CV928" i="10" a="1"/>
  <c r="CV928" i="10" s="1"/>
  <c r="CV232" i="10" a="1"/>
  <c r="CV232" i="10" s="1"/>
  <c r="CW232" i="10" a="1"/>
  <c r="CW232" i="10" s="1"/>
  <c r="CA173" i="10" a="1"/>
  <c r="CA173" i="10" s="1"/>
  <c r="BZ173" i="10" a="1"/>
  <c r="BZ173" i="10" s="1"/>
  <c r="CN124" i="10" a="1"/>
  <c r="CN124" i="10" s="1"/>
  <c r="CV483" i="10" a="1"/>
  <c r="CV483" i="10" s="1"/>
  <c r="CW483" i="10" a="1"/>
  <c r="CW483" i="10" s="1"/>
  <c r="BZ604" i="10" a="1"/>
  <c r="BZ604" i="10" s="1"/>
  <c r="CA604" i="10" a="1"/>
  <c r="CA604" i="10" s="1"/>
  <c r="CX800" i="10"/>
  <c r="Z800" i="10" s="1"/>
  <c r="AF800" i="10" s="1"/>
  <c r="BR537" i="10" a="1"/>
  <c r="BR537" i="10" s="1"/>
  <c r="CW639" i="10" a="1"/>
  <c r="CW639" i="10" s="1"/>
  <c r="CV639" i="10" a="1"/>
  <c r="CV639" i="10" s="1"/>
  <c r="CW867" i="10" a="1"/>
  <c r="CW867" i="10" s="1"/>
  <c r="CV867" i="10" a="1"/>
  <c r="CV867" i="10" s="1"/>
  <c r="CR969" i="10" a="1"/>
  <c r="CR969" i="10" s="1"/>
  <c r="CN774" i="10" a="1"/>
  <c r="CN774" i="10" s="1"/>
  <c r="CV286" i="10" a="1"/>
  <c r="CV286" i="10" s="1"/>
  <c r="CW286" i="10" a="1"/>
  <c r="CW286" i="10" s="1"/>
  <c r="BZ205" i="10" a="1"/>
  <c r="BZ205" i="10" s="1"/>
  <c r="CA205" i="10" a="1"/>
  <c r="CA205" i="10" s="1"/>
  <c r="BZ134" i="10" a="1"/>
  <c r="BZ134" i="10" s="1"/>
  <c r="CA134" i="10" a="1"/>
  <c r="CA134" i="10" s="1"/>
  <c r="BR671" i="10" a="1"/>
  <c r="BR671" i="10" s="1"/>
  <c r="BZ693" i="10" a="1"/>
  <c r="BZ693" i="10" s="1"/>
  <c r="CA693" i="10" a="1"/>
  <c r="CA693" i="10" s="1"/>
  <c r="CW627" i="10" a="1"/>
  <c r="CW627" i="10" s="1"/>
  <c r="CV627" i="10" a="1"/>
  <c r="CV627" i="10" s="1"/>
  <c r="CN591" i="10" a="1"/>
  <c r="CN591" i="10" s="1"/>
  <c r="CN758" i="10" a="1"/>
  <c r="CN758" i="10" s="1"/>
  <c r="CV896" i="10" a="1"/>
  <c r="CV896" i="10" s="1"/>
  <c r="CW896" i="10" a="1"/>
  <c r="CW896" i="10" s="1"/>
  <c r="CV922" i="10" a="1"/>
  <c r="CV922" i="10" s="1"/>
  <c r="CW922" i="10" a="1"/>
  <c r="CW922" i="10" s="1"/>
  <c r="CA887" i="10" a="1"/>
  <c r="CA887" i="10" s="1"/>
  <c r="BZ887" i="10" a="1"/>
  <c r="BZ887" i="10" s="1"/>
  <c r="BV333" i="10" a="1"/>
  <c r="BV333" i="10" s="1"/>
  <c r="CB333" i="10" s="1"/>
  <c r="S333" i="10" s="1"/>
  <c r="CN426" i="10" a="1"/>
  <c r="CN426" i="10" s="1"/>
  <c r="BZ181" i="10" a="1"/>
  <c r="BZ181" i="10" s="1"/>
  <c r="CB181" i="10" s="1"/>
  <c r="S181" i="10" s="1"/>
  <c r="AF181" i="10" s="1"/>
  <c r="CV415" i="10" a="1"/>
  <c r="CV415" i="10" s="1"/>
  <c r="BR160" i="10" a="1"/>
  <c r="BR160" i="10" s="1"/>
  <c r="BZ641" i="10" a="1"/>
  <c r="BZ641" i="10" s="1"/>
  <c r="CB641" i="10" s="1"/>
  <c r="S641" i="10" s="1"/>
  <c r="BZ553" i="10" a="1"/>
  <c r="BZ553" i="10" s="1"/>
  <c r="CB553" i="10" s="1"/>
  <c r="S553" i="10" s="1"/>
  <c r="AF553" i="10" s="1"/>
  <c r="CN671" i="10" a="1"/>
  <c r="CN671" i="10" s="1"/>
  <c r="CN651" i="10" a="1"/>
  <c r="CN651" i="10" s="1"/>
  <c r="CN932" i="10" a="1"/>
  <c r="CN932" i="10" s="1"/>
  <c r="CX932" i="10" s="1"/>
  <c r="Z932" i="10" s="1"/>
  <c r="AF932" i="10" s="1"/>
  <c r="CN823" i="10" a="1"/>
  <c r="CN823" i="10" s="1"/>
  <c r="CR895" i="10" a="1"/>
  <c r="CR895" i="10" s="1"/>
  <c r="CN469" i="10" a="1"/>
  <c r="CN469" i="10" s="1"/>
  <c r="BV499" i="10" a="1"/>
  <c r="BV499" i="10" s="1"/>
  <c r="BR580" i="10" a="1"/>
  <c r="BR580" i="10" s="1"/>
  <c r="CN871" i="10" a="1"/>
  <c r="CN871" i="10" s="1"/>
  <c r="AF880" i="10"/>
  <c r="BR276" i="10" a="1"/>
  <c r="BR276" i="10" s="1"/>
  <c r="CB276" i="10" s="1"/>
  <c r="S276" i="10" s="1"/>
  <c r="CV257" i="10" a="1"/>
  <c r="CV257" i="10" s="1"/>
  <c r="CX257" i="10" s="1"/>
  <c r="Z257" i="10" s="1"/>
  <c r="CR457" i="10" a="1"/>
  <c r="CR457" i="10" s="1"/>
  <c r="CV565" i="10" a="1"/>
  <c r="CV565" i="10" s="1"/>
  <c r="CX565" i="10" s="1"/>
  <c r="Z565" i="10" s="1"/>
  <c r="BV557" i="10" a="1"/>
  <c r="BV557" i="10" s="1"/>
  <c r="CR940" i="10" a="1"/>
  <c r="CR940" i="10" s="1"/>
  <c r="CN928" i="10" a="1"/>
  <c r="CN928" i="10" s="1"/>
  <c r="CR389" i="10" a="1"/>
  <c r="CR389" i="10" s="1"/>
  <c r="CX389" i="10" s="1"/>
  <c r="Z389" i="10" s="1"/>
  <c r="AF389" i="10" s="1"/>
  <c r="BV569" i="10" a="1"/>
  <c r="BV569" i="10" s="1"/>
  <c r="CB569" i="10" s="1"/>
  <c r="S569" i="10" s="1"/>
  <c r="CV502" i="10" a="1"/>
  <c r="CV502" i="10" s="1"/>
  <c r="CR892" i="10" a="1"/>
  <c r="CR892" i="10" s="1"/>
  <c r="CN993" i="10" a="1"/>
  <c r="CN993" i="10" s="1"/>
  <c r="CR401" i="10" a="1"/>
  <c r="CR401" i="10" s="1"/>
  <c r="CX401" i="10" s="1"/>
  <c r="Z401" i="10" s="1"/>
  <c r="AF401" i="10" s="1"/>
  <c r="BZ224" i="10" a="1"/>
  <c r="BZ224" i="10" s="1"/>
  <c r="BR698" i="10" a="1"/>
  <c r="BR698" i="10" s="1"/>
  <c r="CV648" i="10" a="1"/>
  <c r="CV648" i="10" s="1"/>
  <c r="CV633" i="10" a="1"/>
  <c r="CV633" i="10" s="1"/>
  <c r="CR473" i="10" a="1"/>
  <c r="CR473" i="10" s="1"/>
  <c r="BZ938" i="10" a="1"/>
  <c r="BZ938" i="10" s="1"/>
  <c r="CB938" i="10" s="1"/>
  <c r="S938" i="10" s="1"/>
  <c r="BV790" i="10" a="1"/>
  <c r="BV790" i="10" s="1"/>
  <c r="BR383" i="10" a="1"/>
  <c r="BR383" i="10" s="1"/>
  <c r="CN407" i="10" a="1"/>
  <c r="CN407" i="10" s="1"/>
  <c r="CN273" i="10" a="1"/>
  <c r="CN273" i="10" s="1"/>
  <c r="CR461" i="10" a="1"/>
  <c r="CR461" i="10" s="1"/>
  <c r="CR910" i="10" a="1"/>
  <c r="CR910" i="10" s="1"/>
  <c r="CX910" i="10" s="1"/>
  <c r="Z910" i="10" s="1"/>
  <c r="BR852" i="10" a="1"/>
  <c r="BR852" i="10" s="1"/>
  <c r="CB852" i="10" s="1"/>
  <c r="S852" i="10" s="1"/>
  <c r="AF852" i="10" s="1"/>
  <c r="BZ1013" i="10" a="1"/>
  <c r="BZ1013" i="10" s="1"/>
  <c r="CB1013" i="10" s="1"/>
  <c r="S1013" i="10" s="1"/>
  <c r="AF1013" i="10" s="1"/>
  <c r="CN125" i="10" a="1"/>
  <c r="CN125" i="10" s="1"/>
  <c r="CX125" i="10" s="1"/>
  <c r="Z125" i="10" s="1"/>
  <c r="BZ155" i="10" a="1"/>
  <c r="BZ155" i="10" s="1"/>
  <c r="CB155" i="10" s="1"/>
  <c r="S155" i="10" s="1"/>
  <c r="AF155" i="10" s="1"/>
  <c r="CN203" i="10" a="1"/>
  <c r="CN203" i="10" s="1"/>
  <c r="CX203" i="10" s="1"/>
  <c r="Z203" i="10" s="1"/>
  <c r="AF203" i="10" s="1"/>
  <c r="CV608" i="10" a="1"/>
  <c r="CV608" i="10" s="1"/>
  <c r="BV796" i="10" a="1"/>
  <c r="BV796" i="10" s="1"/>
  <c r="CB796" i="10" s="1"/>
  <c r="S796" i="10" s="1"/>
  <c r="AF796" i="10" s="1"/>
  <c r="CN359" i="10" a="1"/>
  <c r="CN359" i="10" s="1"/>
  <c r="BV340" i="10" a="1"/>
  <c r="BV340" i="10" s="1"/>
  <c r="BZ461" i="10" a="1"/>
  <c r="BZ461" i="10" s="1"/>
  <c r="CV445" i="10" a="1"/>
  <c r="CV445" i="10" s="1"/>
  <c r="BZ522" i="10" a="1"/>
  <c r="BZ522" i="10" s="1"/>
  <c r="BZ705" i="10" a="1"/>
  <c r="BZ705" i="10" s="1"/>
  <c r="AF392" i="10"/>
  <c r="AF244" i="10"/>
  <c r="CV282" i="10" a="1"/>
  <c r="CV282" i="10" s="1"/>
  <c r="CW282" i="10" a="1"/>
  <c r="CW282" i="10" s="1"/>
  <c r="BV636" i="10" a="1"/>
  <c r="BV636" i="10" s="1"/>
  <c r="AF679" i="10"/>
  <c r="CA730" i="10" a="1"/>
  <c r="CA730" i="10" s="1"/>
  <c r="BZ730" i="10" a="1"/>
  <c r="BZ730" i="10" s="1"/>
  <c r="CB730" i="10" s="1"/>
  <c r="S730" i="10" s="1"/>
  <c r="AF730" i="10" s="1"/>
  <c r="AF911" i="10"/>
  <c r="CB767" i="10"/>
  <c r="S767" i="10" s="1"/>
  <c r="AF767" i="10" s="1"/>
  <c r="CV243" i="10" a="1"/>
  <c r="CV243" i="10" s="1"/>
  <c r="CX243" i="10" s="1"/>
  <c r="Z243" i="10" s="1"/>
  <c r="AF243" i="10" s="1"/>
  <c r="CW243" i="10" a="1"/>
  <c r="CW243" i="10" s="1"/>
  <c r="AF399" i="10"/>
  <c r="CN357" i="10" a="1"/>
  <c r="CN357" i="10" s="1"/>
  <c r="BV427" i="10" a="1"/>
  <c r="BV427" i="10" s="1"/>
  <c r="CR503" i="10" a="1"/>
  <c r="CR503" i="10" s="1"/>
  <c r="CA573" i="10" a="1"/>
  <c r="CA573" i="10" s="1"/>
  <c r="BZ573" i="10" a="1"/>
  <c r="BZ573" i="10" s="1"/>
  <c r="CW729" i="10" a="1"/>
  <c r="CW729" i="10" s="1"/>
  <c r="CV729" i="10" a="1"/>
  <c r="CV729" i="10" s="1"/>
  <c r="CA464" i="10" a="1"/>
  <c r="CA464" i="10" s="1"/>
  <c r="BZ464" i="10" a="1"/>
  <c r="BZ464" i="10" s="1"/>
  <c r="CW655" i="10" a="1"/>
  <c r="CW655" i="10" s="1"/>
  <c r="CV655" i="10" a="1"/>
  <c r="CV655" i="10" s="1"/>
  <c r="CV616" i="10" a="1"/>
  <c r="CV616" i="10" s="1"/>
  <c r="CW616" i="10" a="1"/>
  <c r="CW616" i="10" s="1"/>
  <c r="CX676" i="10"/>
  <c r="Z676" i="10" s="1"/>
  <c r="AF676" i="10" s="1"/>
  <c r="CW823" i="10" a="1"/>
  <c r="CW823" i="10" s="1"/>
  <c r="CV823" i="10" a="1"/>
  <c r="CV823" i="10" s="1"/>
  <c r="AF699" i="10"/>
  <c r="BR668" i="10" a="1"/>
  <c r="BR668" i="10" s="1"/>
  <c r="BZ828" i="10" a="1"/>
  <c r="BZ828" i="10" s="1"/>
  <c r="CA828" i="10" a="1"/>
  <c r="CA828" i="10" s="1"/>
  <c r="AF865" i="10"/>
  <c r="CR339" i="10" a="1"/>
  <c r="CR339" i="10" s="1"/>
  <c r="CX339" i="10" s="1"/>
  <c r="Z339" i="10" s="1"/>
  <c r="AF339" i="10" s="1"/>
  <c r="BR124" i="10" a="1"/>
  <c r="BR124" i="10" s="1"/>
  <c r="CV253" i="10" a="1"/>
  <c r="CV253" i="10" s="1"/>
  <c r="CW253" i="10" a="1"/>
  <c r="CW253" i="10" s="1"/>
  <c r="AF321" i="10"/>
  <c r="CW541" i="10" a="1"/>
  <c r="CW541" i="10" s="1"/>
  <c r="CV541" i="10" a="1"/>
  <c r="CV541" i="10" s="1"/>
  <c r="CX940" i="10"/>
  <c r="Z940" i="10" s="1"/>
  <c r="AF940" i="10" s="1"/>
  <c r="BR620" i="10" a="1"/>
  <c r="BR620" i="10" s="1"/>
  <c r="CB656" i="10"/>
  <c r="S656" i="10" s="1"/>
  <c r="BZ801" i="10" a="1"/>
  <c r="BZ801" i="10" s="1"/>
  <c r="CA801" i="10" a="1"/>
  <c r="CA801" i="10" s="1"/>
  <c r="BZ208" i="10" a="1"/>
  <c r="BZ208" i="10" s="1"/>
  <c r="CA208" i="10" a="1"/>
  <c r="CA208" i="10" s="1"/>
  <c r="BV247" i="10" a="1"/>
  <c r="BV247" i="10" s="1"/>
  <c r="AF168" i="10"/>
  <c r="BV419" i="10" a="1"/>
  <c r="BV419" i="10" s="1"/>
  <c r="CB419" i="10" s="1"/>
  <c r="S419" i="10" s="1"/>
  <c r="AF419" i="10" s="1"/>
  <c r="BZ577" i="10" a="1"/>
  <c r="BZ577" i="10" s="1"/>
  <c r="CA577" i="10" a="1"/>
  <c r="CA577" i="10" s="1"/>
  <c r="BZ698" i="10" a="1"/>
  <c r="BZ698" i="10" s="1"/>
  <c r="CA698" i="10" a="1"/>
  <c r="CA698" i="10" s="1"/>
  <c r="CX461" i="10"/>
  <c r="Z461" i="10" s="1"/>
  <c r="CV632" i="10" a="1"/>
  <c r="CV632" i="10" s="1"/>
  <c r="CW632" i="10" a="1"/>
  <c r="CW632" i="10" s="1"/>
  <c r="BV709" i="10" a="1"/>
  <c r="BV709" i="10" s="1"/>
  <c r="CB709" i="10" s="1"/>
  <c r="S709" i="10" s="1"/>
  <c r="CW942" i="10" a="1"/>
  <c r="CW942" i="10" s="1"/>
  <c r="CV942" i="10" a="1"/>
  <c r="CV942" i="10" s="1"/>
  <c r="CA922" i="10" a="1"/>
  <c r="CA922" i="10" s="1"/>
  <c r="BZ922" i="10" a="1"/>
  <c r="BZ922" i="10" s="1"/>
  <c r="CB922" i="10" s="1"/>
  <c r="S922" i="10" s="1"/>
  <c r="BR824" i="10" a="1"/>
  <c r="BR824" i="10" s="1"/>
  <c r="CV206" i="10" a="1"/>
  <c r="CV206" i="10" s="1"/>
  <c r="CW206" i="10" a="1"/>
  <c r="CW206" i="10" s="1"/>
  <c r="BR549" i="10" a="1"/>
  <c r="BR549" i="10" s="1"/>
  <c r="BV778" i="10" a="1"/>
  <c r="BV778" i="10" s="1"/>
  <c r="CV365" i="10" a="1"/>
  <c r="CV365" i="10" s="1"/>
  <c r="CW365" i="10" a="1"/>
  <c r="CW365" i="10" s="1"/>
  <c r="BZ139" i="10" a="1"/>
  <c r="BZ139" i="10" s="1"/>
  <c r="CA139" i="10" a="1"/>
  <c r="CA139" i="10" s="1"/>
  <c r="CN300" i="10" a="1"/>
  <c r="CN300" i="10" s="1"/>
  <c r="BV577" i="10" a="1"/>
  <c r="BV577" i="10" s="1"/>
  <c r="CB577" i="10" s="1"/>
  <c r="S577" i="10" s="1"/>
  <c r="BR521" i="10" a="1"/>
  <c r="BR521" i="10" s="1"/>
  <c r="BZ608" i="10" a="1"/>
  <c r="BZ608" i="10" s="1"/>
  <c r="CA608" i="10" a="1"/>
  <c r="CA608" i="10" s="1"/>
  <c r="BR628" i="10" a="1"/>
  <c r="BR628" i="10" s="1"/>
  <c r="CX928" i="10"/>
  <c r="Z928" i="10" s="1"/>
  <c r="AF928" i="10" s="1"/>
  <c r="BZ856" i="10" a="1"/>
  <c r="BZ856" i="10" s="1"/>
  <c r="CB856" i="10" s="1"/>
  <c r="S856" i="10" s="1"/>
  <c r="AF856" i="10" s="1"/>
  <c r="CA856" i="10" a="1"/>
  <c r="CA856" i="10" s="1"/>
  <c r="CV956" i="10" a="1"/>
  <c r="CV956" i="10" s="1"/>
  <c r="CX956" i="10" s="1"/>
  <c r="Z956" i="10" s="1"/>
  <c r="AF956" i="10" s="1"/>
  <c r="CW956" i="10" a="1"/>
  <c r="CW956" i="10" s="1"/>
  <c r="CV381" i="10" a="1"/>
  <c r="CV381" i="10" s="1"/>
  <c r="CW381" i="10" a="1"/>
  <c r="CW381" i="10" s="1"/>
  <c r="CW643" i="10" a="1"/>
  <c r="CW643" i="10" s="1"/>
  <c r="CV643" i="10" a="1"/>
  <c r="CV643" i="10" s="1"/>
  <c r="CW671" i="10" a="1"/>
  <c r="CW671" i="10" s="1"/>
  <c r="CV671" i="10" a="1"/>
  <c r="CV671" i="10" s="1"/>
  <c r="AF488" i="10"/>
  <c r="CW623" i="10" a="1"/>
  <c r="CW623" i="10" s="1"/>
  <c r="CV623" i="10" a="1"/>
  <c r="CV623" i="10" s="1"/>
  <c r="BR517" i="10" a="1"/>
  <c r="BR517" i="10" s="1"/>
  <c r="CB517" i="10" s="1"/>
  <c r="S517" i="10" s="1"/>
  <c r="AF517" i="10" s="1"/>
  <c r="CV591" i="10" a="1"/>
  <c r="CV591" i="10" s="1"/>
  <c r="CR639" i="10" a="1"/>
  <c r="CR639" i="10" s="1"/>
  <c r="CX639" i="10" s="1"/>
  <c r="Z639" i="10" s="1"/>
  <c r="AF639" i="10" s="1"/>
  <c r="BZ909" i="10" a="1"/>
  <c r="BZ909" i="10" s="1"/>
  <c r="CA909" i="10" a="1"/>
  <c r="CA909" i="10" s="1"/>
  <c r="CN961" i="10" a="1"/>
  <c r="CN961" i="10" s="1"/>
  <c r="BZ957" i="10" a="1"/>
  <c r="BZ957" i="10" s="1"/>
  <c r="CA957" i="10" a="1"/>
  <c r="CA957" i="10" s="1"/>
  <c r="CR296" i="10" a="1"/>
  <c r="CR296" i="10" s="1"/>
  <c r="CX296" i="10" s="1"/>
  <c r="Z296" i="10" s="1"/>
  <c r="CV486" i="10" a="1"/>
  <c r="CV486" i="10" s="1"/>
  <c r="CX486" i="10" s="1"/>
  <c r="Z486" i="10" s="1"/>
  <c r="AF486" i="10" s="1"/>
  <c r="BV913" i="10" a="1"/>
  <c r="BV913" i="10" s="1"/>
  <c r="BZ289" i="10" a="1"/>
  <c r="BZ289" i="10" s="1"/>
  <c r="CB289" i="10" s="1"/>
  <c r="S289" i="10" s="1"/>
  <c r="AF289" i="10" s="1"/>
  <c r="CA289" i="10" a="1"/>
  <c r="CA289" i="10" s="1"/>
  <c r="CB296" i="10"/>
  <c r="S296" i="10" s="1"/>
  <c r="CX135" i="10"/>
  <c r="Z135" i="10" s="1"/>
  <c r="CV212" i="10" a="1"/>
  <c r="CV212" i="10" s="1"/>
  <c r="CW212" i="10" a="1"/>
  <c r="CW212" i="10" s="1"/>
  <c r="CR385" i="10" a="1"/>
  <c r="CR385" i="10" s="1"/>
  <c r="CN208" i="10" a="1"/>
  <c r="CN208" i="10" s="1"/>
  <c r="CX208" i="10" s="1"/>
  <c r="Z208" i="10" s="1"/>
  <c r="CV410" i="10" a="1"/>
  <c r="CV410" i="10" s="1"/>
  <c r="CW410" i="10" a="1"/>
  <c r="CW410" i="10" s="1"/>
  <c r="BV490" i="10" a="1"/>
  <c r="BV490" i="10" s="1"/>
  <c r="CB490" i="10" s="1"/>
  <c r="S490" i="10" s="1"/>
  <c r="BZ669" i="10" a="1"/>
  <c r="BZ669" i="10" s="1"/>
  <c r="CA669" i="10" a="1"/>
  <c r="CA669" i="10" s="1"/>
  <c r="CN510" i="10" a="1"/>
  <c r="CN510" i="10" s="1"/>
  <c r="CA738" i="10" a="1"/>
  <c r="CA738" i="10" s="1"/>
  <c r="BZ738" i="10" a="1"/>
  <c r="BZ738" i="10" s="1"/>
  <c r="CV605" i="10" a="1"/>
  <c r="CV605" i="10" s="1"/>
  <c r="CW605" i="10" a="1"/>
  <c r="CW605" i="10" s="1"/>
  <c r="CA950" i="10" a="1"/>
  <c r="CA950" i="10" s="1"/>
  <c r="BZ950" i="10" a="1"/>
  <c r="BZ950" i="10" s="1"/>
  <c r="CR135" i="10" a="1"/>
  <c r="CR135" i="10" s="1"/>
  <c r="CV208" i="10" a="1"/>
  <c r="CV208" i="10" s="1"/>
  <c r="CV435" i="10" a="1"/>
  <c r="CV435" i="10" s="1"/>
  <c r="BR239" i="10" a="1"/>
  <c r="BR239" i="10" s="1"/>
  <c r="BV149" i="10" a="1"/>
  <c r="BV149" i="10" s="1"/>
  <c r="CV160" i="10" a="1"/>
  <c r="CV160" i="10" s="1"/>
  <c r="CX160" i="10" s="1"/>
  <c r="Z160" i="10" s="1"/>
  <c r="BV601" i="10" a="1"/>
  <c r="BV601" i="10" s="1"/>
  <c r="CV487" i="10" a="1"/>
  <c r="CV487" i="10" s="1"/>
  <c r="CR899" i="10" a="1"/>
  <c r="CR899" i="10" s="1"/>
  <c r="BZ138" i="10" a="1"/>
  <c r="BZ138" i="10" s="1"/>
  <c r="CB138" i="10" s="1"/>
  <c r="S138" i="10" s="1"/>
  <c r="CN345" i="10" a="1"/>
  <c r="CN345" i="10" s="1"/>
  <c r="CX345" i="10" s="1"/>
  <c r="Z345" i="10" s="1"/>
  <c r="CN447" i="10" a="1"/>
  <c r="CN447" i="10" s="1"/>
  <c r="CV617" i="10" a="1"/>
  <c r="CV617" i="10" s="1"/>
  <c r="AF788" i="10"/>
  <c r="CV905" i="10" a="1"/>
  <c r="CV905" i="10" s="1"/>
  <c r="BR202" i="10" a="1"/>
  <c r="BR202" i="10" s="1"/>
  <c r="BR324" i="10" a="1"/>
  <c r="BR324" i="10" s="1"/>
  <c r="CV275" i="10" a="1"/>
  <c r="CV275" i="10" s="1"/>
  <c r="CX275" i="10" s="1"/>
  <c r="Z275" i="10" s="1"/>
  <c r="AF275" i="10" s="1"/>
  <c r="BZ671" i="10" a="1"/>
  <c r="BZ671" i="10" s="1"/>
  <c r="BZ682" i="10" a="1"/>
  <c r="BZ682" i="10" s="1"/>
  <c r="CB682" i="10" s="1"/>
  <c r="S682" i="10" s="1"/>
  <c r="AF682" i="10" s="1"/>
  <c r="BR953" i="10" a="1"/>
  <c r="BR953" i="10" s="1"/>
  <c r="BV313" i="10" a="1"/>
  <c r="BV313" i="10" s="1"/>
  <c r="CB313" i="10" s="1"/>
  <c r="S313" i="10" s="1"/>
  <c r="AF313" i="10" s="1"/>
  <c r="CN151" i="10" a="1"/>
  <c r="CN151" i="10" s="1"/>
  <c r="BR345" i="10" a="1"/>
  <c r="BR345" i="10" s="1"/>
  <c r="AF546" i="10"/>
  <c r="CN647" i="10" a="1"/>
  <c r="CN647" i="10" s="1"/>
  <c r="BV465" i="10" a="1"/>
  <c r="BV465" i="10" s="1"/>
  <c r="CV812" i="10" a="1"/>
  <c r="CV812" i="10" s="1"/>
  <c r="CX812" i="10" s="1"/>
  <c r="Z812" i="10" s="1"/>
  <c r="AF812" i="10" s="1"/>
  <c r="CR934" i="10" a="1"/>
  <c r="CR934" i="10" s="1"/>
  <c r="CN137" i="10" a="1"/>
  <c r="CN137" i="10" s="1"/>
  <c r="BV471" i="10" a="1"/>
  <c r="BV471" i="10" s="1"/>
  <c r="CV489" i="10" a="1"/>
  <c r="CV489" i="10" s="1"/>
  <c r="CX489" i="10" s="1"/>
  <c r="Z489" i="10" s="1"/>
  <c r="AF489" i="10" s="1"/>
  <c r="CV284" i="10" a="1"/>
  <c r="CV284" i="10" s="1"/>
  <c r="CN310" i="10" a="1"/>
  <c r="CN310" i="10" s="1"/>
  <c r="BZ793" i="10" a="1"/>
  <c r="BZ793" i="10" s="1"/>
  <c r="BR896" i="10" a="1"/>
  <c r="BR896" i="10" s="1"/>
  <c r="CN701" i="10" a="1"/>
  <c r="CN701" i="10" s="1"/>
  <c r="CX701" i="10" s="1"/>
  <c r="Z701" i="10" s="1"/>
  <c r="CV697" i="10" a="1"/>
  <c r="CV697" i="10" s="1"/>
  <c r="CX697" i="10" s="1"/>
  <c r="Z697" i="10" s="1"/>
  <c r="AF697" i="10" s="1"/>
  <c r="CN616" i="10" a="1"/>
  <c r="CN616" i="10" s="1"/>
  <c r="CN672" i="10" a="1"/>
  <c r="CN672" i="10" s="1"/>
  <c r="CR922" i="10" a="1"/>
  <c r="CR922" i="10" s="1"/>
  <c r="CX922" i="10" s="1"/>
  <c r="Z922" i="10" s="1"/>
  <c r="CR875" i="10" a="1"/>
  <c r="CR875" i="10" s="1"/>
  <c r="CX875" i="10" s="1"/>
  <c r="Z875" i="10" s="1"/>
  <c r="AF875" i="10" s="1"/>
  <c r="AF140" i="10"/>
  <c r="CA239" i="10" a="1"/>
  <c r="CA239" i="10" s="1"/>
  <c r="BZ239" i="10" a="1"/>
  <c r="BZ239" i="10" s="1"/>
  <c r="CV133" i="10" a="1"/>
  <c r="CV133" i="10" s="1"/>
  <c r="CW133" i="10" a="1"/>
  <c r="CW133" i="10" s="1"/>
  <c r="CV407" i="10" a="1"/>
  <c r="CV407" i="10" s="1"/>
  <c r="CW407" i="10" a="1"/>
  <c r="CW407" i="10" s="1"/>
  <c r="BR636" i="10" a="1"/>
  <c r="BR636" i="10" s="1"/>
  <c r="CV772" i="10" a="1"/>
  <c r="CV772" i="10" s="1"/>
  <c r="CW772" i="10" a="1"/>
  <c r="CW772" i="10" s="1"/>
  <c r="CV537" i="10" a="1"/>
  <c r="CV537" i="10" s="1"/>
  <c r="CW537" i="10" a="1"/>
  <c r="CW537" i="10" s="1"/>
  <c r="CA702" i="10" a="1"/>
  <c r="CA702" i="10" s="1"/>
  <c r="BZ702" i="10" a="1"/>
  <c r="BZ702" i="10" s="1"/>
  <c r="AF960" i="10"/>
  <c r="AF853" i="10"/>
  <c r="AF845" i="10"/>
  <c r="CV276" i="10" a="1"/>
  <c r="CV276" i="10" s="1"/>
  <c r="CX276" i="10" s="1"/>
  <c r="Z276" i="10" s="1"/>
  <c r="CW276" i="10" a="1"/>
  <c r="CW276" i="10" s="1"/>
  <c r="CA228" i="10" a="1"/>
  <c r="CA228" i="10" s="1"/>
  <c r="BZ228" i="10" a="1"/>
  <c r="BZ228" i="10" s="1"/>
  <c r="CB228" i="10" s="1"/>
  <c r="S228" i="10" s="1"/>
  <c r="AF295" i="10"/>
  <c r="AF158" i="10"/>
  <c r="AF524" i="10"/>
  <c r="AF552" i="10"/>
  <c r="CN631" i="10" a="1"/>
  <c r="CN631" i="10" s="1"/>
  <c r="CW821" i="10" a="1"/>
  <c r="CW821" i="10" s="1"/>
  <c r="CV821" i="10" a="1"/>
  <c r="CV821" i="10" s="1"/>
  <c r="BZ813" i="10" a="1"/>
  <c r="BZ813" i="10" s="1"/>
  <c r="CB813" i="10" s="1"/>
  <c r="S813" i="10" s="1"/>
  <c r="AF813" i="10" s="1"/>
  <c r="CA813" i="10" a="1"/>
  <c r="CA813" i="10" s="1"/>
  <c r="CW904" i="10" a="1"/>
  <c r="CW904" i="10" s="1"/>
  <c r="CV904" i="10" a="1"/>
  <c r="CV904" i="10" s="1"/>
  <c r="CV953" i="10" a="1"/>
  <c r="CV953" i="10" s="1"/>
  <c r="CW953" i="10" a="1"/>
  <c r="CW953" i="10" s="1"/>
  <c r="CA896" i="10" a="1"/>
  <c r="CA896" i="10" s="1"/>
  <c r="BZ896" i="10" a="1"/>
  <c r="BZ896" i="10" s="1"/>
  <c r="CN292" i="10" a="1"/>
  <c r="CN292" i="10" s="1"/>
  <c r="BV828" i="10" a="1"/>
  <c r="BV828" i="10" s="1"/>
  <c r="CB828" i="10" s="1"/>
  <c r="S828" i="10" s="1"/>
  <c r="AF828" i="10" s="1"/>
  <c r="CR145" i="10" a="1"/>
  <c r="CR145" i="10" s="1"/>
  <c r="AF191" i="10"/>
  <c r="CN423" i="10" a="1"/>
  <c r="CN423" i="10" s="1"/>
  <c r="CW647" i="10" a="1"/>
  <c r="CW647" i="10" s="1"/>
  <c r="CV647" i="10" a="1"/>
  <c r="CV647" i="10" s="1"/>
  <c r="CV478" i="10" a="1"/>
  <c r="CV478" i="10" s="1"/>
  <c r="CW478" i="10" a="1"/>
  <c r="CW478" i="10" s="1"/>
  <c r="CA677" i="10" a="1"/>
  <c r="CA677" i="10" s="1"/>
  <c r="BZ677" i="10" a="1"/>
  <c r="BZ677" i="10" s="1"/>
  <c r="BZ541" i="10" a="1"/>
  <c r="BZ541" i="10" s="1"/>
  <c r="AF622" i="10"/>
  <c r="CV620" i="10" a="1"/>
  <c r="CV620" i="10" s="1"/>
  <c r="CW620" i="10" a="1"/>
  <c r="CW620" i="10" s="1"/>
  <c r="AF811" i="10"/>
  <c r="CB253" i="10"/>
  <c r="S253" i="10" s="1"/>
  <c r="CX415" i="10"/>
  <c r="Z415" i="10" s="1"/>
  <c r="CV294" i="10" a="1"/>
  <c r="CV294" i="10" s="1"/>
  <c r="CW294" i="10" a="1"/>
  <c r="CW294" i="10" s="1"/>
  <c r="CV652" i="10" a="1"/>
  <c r="CV652" i="10" s="1"/>
  <c r="CW652" i="10" a="1"/>
  <c r="CW652" i="10" s="1"/>
  <c r="BZ657" i="10" a="1"/>
  <c r="BZ657" i="10" s="1"/>
  <c r="CB657" i="10" s="1"/>
  <c r="S657" i="10" s="1"/>
  <c r="CA657" i="10" a="1"/>
  <c r="CA657" i="10" s="1"/>
  <c r="CV744" i="10" a="1"/>
  <c r="CV744" i="10" s="1"/>
  <c r="CW744" i="10" a="1"/>
  <c r="CW744" i="10" s="1"/>
  <c r="AF707" i="10"/>
  <c r="CX920" i="10"/>
  <c r="Z920" i="10" s="1"/>
  <c r="AF920" i="10" s="1"/>
  <c r="CN985" i="10" a="1"/>
  <c r="CN985" i="10" s="1"/>
  <c r="AF1015" i="10"/>
  <c r="BZ921" i="10" a="1"/>
  <c r="BZ921" i="10" s="1"/>
  <c r="CA921" i="10" a="1"/>
  <c r="CA921" i="10" s="1"/>
  <c r="CB824" i="10"/>
  <c r="S824" i="10" s="1"/>
  <c r="AF824" i="10" s="1"/>
  <c r="CX365" i="10"/>
  <c r="Z365" i="10" s="1"/>
  <c r="CV239" i="10" a="1"/>
  <c r="CV239" i="10" s="1"/>
  <c r="CW239" i="10" a="1"/>
  <c r="CW239" i="10" s="1"/>
  <c r="CR455" i="10" a="1"/>
  <c r="CR455" i="10" s="1"/>
  <c r="CN677" i="10" a="1"/>
  <c r="CN677" i="10" s="1"/>
  <c r="CW447" i="10" a="1"/>
  <c r="CW447" i="10" s="1"/>
  <c r="CV447" i="10" a="1"/>
  <c r="CV447" i="10" s="1"/>
  <c r="CN883" i="10" a="1"/>
  <c r="CN883" i="10" s="1"/>
  <c r="CA930" i="10" a="1"/>
  <c r="CA930" i="10" s="1"/>
  <c r="BZ930" i="10" a="1"/>
  <c r="BZ930" i="10" s="1"/>
  <c r="CA281" i="10" a="1"/>
  <c r="CA281" i="10" s="1"/>
  <c r="BZ281" i="10" a="1"/>
  <c r="BZ281" i="10" s="1"/>
  <c r="CB281" i="10" s="1"/>
  <c r="S281" i="10" s="1"/>
  <c r="AF281" i="10" s="1"/>
  <c r="BZ251" i="10" a="1"/>
  <c r="BZ251" i="10" s="1"/>
  <c r="CA251" i="10" a="1"/>
  <c r="CA251" i="10" s="1"/>
  <c r="CN138" i="10" a="1"/>
  <c r="CN138" i="10" s="1"/>
  <c r="CR361" i="10" a="1"/>
  <c r="CR361" i="10" s="1"/>
  <c r="CX361" i="10" s="1"/>
  <c r="Z361" i="10" s="1"/>
  <c r="AF361" i="10" s="1"/>
  <c r="CX648" i="10"/>
  <c r="Z648" i="10" s="1"/>
  <c r="CW615" i="10" a="1"/>
  <c r="CW615" i="10" s="1"/>
  <c r="CV615" i="10" a="1"/>
  <c r="CV615" i="10" s="1"/>
  <c r="CX615" i="10" s="1"/>
  <c r="Z615" i="10" s="1"/>
  <c r="AF615" i="10" s="1"/>
  <c r="BZ649" i="10" a="1"/>
  <c r="BZ649" i="10" s="1"/>
  <c r="CA649" i="10" a="1"/>
  <c r="CA649" i="10" s="1"/>
  <c r="CB522" i="10"/>
  <c r="S522" i="10" s="1"/>
  <c r="AF522" i="10" s="1"/>
  <c r="BZ1021" i="10" a="1"/>
  <c r="BZ1021" i="10" s="1"/>
  <c r="CA1021" i="10" a="1"/>
  <c r="CA1021" i="10" s="1"/>
  <c r="CV361" i="10" a="1"/>
  <c r="CV361" i="10" s="1"/>
  <c r="CW766" i="10" a="1"/>
  <c r="CW766" i="10" s="1"/>
  <c r="CV766" i="10" a="1"/>
  <c r="CV766" i="10" s="1"/>
  <c r="CB284" i="10"/>
  <c r="S284" i="10" s="1"/>
  <c r="BR254" i="10" a="1"/>
  <c r="BR254" i="10" s="1"/>
  <c r="CB254" i="10" s="1"/>
  <c r="S254" i="10" s="1"/>
  <c r="AF254" i="10" s="1"/>
  <c r="CB324" i="10"/>
  <c r="S324" i="10" s="1"/>
  <c r="BZ141" i="10" a="1"/>
  <c r="BZ141" i="10" s="1"/>
  <c r="CA141" i="10" a="1"/>
  <c r="CA141" i="10" s="1"/>
  <c r="CV324" i="10" a="1"/>
  <c r="CV324" i="10" s="1"/>
  <c r="CX324" i="10" s="1"/>
  <c r="Z324" i="10" s="1"/>
  <c r="CW324" i="10" a="1"/>
  <c r="CW324" i="10" s="1"/>
  <c r="BV258" i="10" a="1"/>
  <c r="BV258" i="10" s="1"/>
  <c r="CA475" i="10" a="1"/>
  <c r="CA475" i="10" s="1"/>
  <c r="BZ475" i="10" a="1"/>
  <c r="BZ475" i="10" s="1"/>
  <c r="CB475" i="10" s="1"/>
  <c r="S475" i="10" s="1"/>
  <c r="CA753" i="10" a="1"/>
  <c r="CA753" i="10" s="1"/>
  <c r="BZ753" i="10" a="1"/>
  <c r="BZ753" i="10" s="1"/>
  <c r="AF540" i="10"/>
  <c r="BR530" i="10" a="1"/>
  <c r="BR530" i="10" s="1"/>
  <c r="CW742" i="10" a="1"/>
  <c r="CW742" i="10" s="1"/>
  <c r="CV742" i="10" a="1"/>
  <c r="CV742" i="10" s="1"/>
  <c r="CW455" i="10" a="1"/>
  <c r="CW455" i="10" s="1"/>
  <c r="CV455" i="10" a="1"/>
  <c r="CV455" i="10" s="1"/>
  <c r="CA918" i="10" a="1"/>
  <c r="CA918" i="10" s="1"/>
  <c r="BZ918" i="10" a="1"/>
  <c r="BZ918" i="10" s="1"/>
  <c r="CX916" i="10"/>
  <c r="Z916" i="10" s="1"/>
  <c r="AF916" i="10" s="1"/>
  <c r="CW929" i="10" a="1"/>
  <c r="CW929" i="10" s="1"/>
  <c r="CV929" i="10" a="1"/>
  <c r="CV929" i="10" s="1"/>
  <c r="CR978" i="10" a="1"/>
  <c r="CR978" i="10" s="1"/>
  <c r="CX978" i="10" s="1"/>
  <c r="Z978" i="10" s="1"/>
  <c r="AF978" i="10" s="1"/>
  <c r="CA965" i="10" a="1"/>
  <c r="CA965" i="10" s="1"/>
  <c r="BZ965" i="10" a="1"/>
  <c r="BZ965" i="10" s="1"/>
  <c r="CW336" i="10" a="1"/>
  <c r="CW336" i="10" s="1"/>
  <c r="CV336" i="10" a="1"/>
  <c r="CV336" i="10" s="1"/>
  <c r="AF884" i="10"/>
  <c r="CN267" i="10" a="1"/>
  <c r="CN267" i="10" s="1"/>
  <c r="CV387" i="10" a="1"/>
  <c r="CV387" i="10" s="1"/>
  <c r="CX387" i="10" s="1"/>
  <c r="Z387" i="10" s="1"/>
  <c r="AF387" i="10" s="1"/>
  <c r="CN340" i="10" a="1"/>
  <c r="CN340" i="10" s="1"/>
  <c r="CR268" i="10" a="1"/>
  <c r="CR268" i="10" s="1"/>
  <c r="CX268" i="10" s="1"/>
  <c r="Z268" i="10" s="1"/>
  <c r="CV628" i="10" a="1"/>
  <c r="CV628" i="10" s="1"/>
  <c r="BV487" i="10" a="1"/>
  <c r="BV487" i="10" s="1"/>
  <c r="CB487" i="10" s="1"/>
  <c r="S487" i="10" s="1"/>
  <c r="CN744" i="10" a="1"/>
  <c r="CN744" i="10" s="1"/>
  <c r="CN271" i="10" a="1"/>
  <c r="CN271" i="10" s="1"/>
  <c r="CR218" i="10" a="1"/>
  <c r="CR218" i="10" s="1"/>
  <c r="BV391" i="10" a="1"/>
  <c r="BV391" i="10" s="1"/>
  <c r="CB391" i="10" s="1"/>
  <c r="S391" i="10" s="1"/>
  <c r="AF391" i="10" s="1"/>
  <c r="CN443" i="10" a="1"/>
  <c r="CN443" i="10" s="1"/>
  <c r="BZ672" i="10" a="1"/>
  <c r="BZ672" i="10" s="1"/>
  <c r="BZ694" i="10" a="1"/>
  <c r="BZ694" i="10" s="1"/>
  <c r="CB694" i="10" s="1"/>
  <c r="S694" i="10" s="1"/>
  <c r="AF694" i="10" s="1"/>
  <c r="AF879" i="10"/>
  <c r="CV924" i="10" a="1"/>
  <c r="CV924" i="10" s="1"/>
  <c r="BR925" i="10" a="1"/>
  <c r="BR925" i="10" s="1"/>
  <c r="CN377" i="10" a="1"/>
  <c r="CN377" i="10" s="1"/>
  <c r="CX377" i="10" s="1"/>
  <c r="Z377" i="10" s="1"/>
  <c r="AF377" i="10" s="1"/>
  <c r="BZ374" i="10" a="1"/>
  <c r="BZ374" i="10" s="1"/>
  <c r="CB374" i="10" s="1"/>
  <c r="S374" i="10" s="1"/>
  <c r="AF374" i="10" s="1"/>
  <c r="BZ530" i="10" a="1"/>
  <c r="BZ530" i="10" s="1"/>
  <c r="CN621" i="10" a="1"/>
  <c r="CN621" i="10" s="1"/>
  <c r="BV449" i="10" a="1"/>
  <c r="BV449" i="10" s="1"/>
  <c r="CB449" i="10" s="1"/>
  <c r="S449" i="10" s="1"/>
  <c r="CV645" i="10" a="1"/>
  <c r="CV645" i="10" s="1"/>
  <c r="BZ809" i="10" a="1"/>
  <c r="BZ809" i="10" s="1"/>
  <c r="CB809" i="10" s="1"/>
  <c r="S809" i="10" s="1"/>
  <c r="AF809" i="10" s="1"/>
  <c r="BZ247" i="10" a="1"/>
  <c r="BZ247" i="10" s="1"/>
  <c r="CN527" i="10" a="1"/>
  <c r="CN527" i="10" s="1"/>
  <c r="CN652" i="10" a="1"/>
  <c r="CN652" i="10" s="1"/>
  <c r="CV624" i="10" a="1"/>
  <c r="CV624" i="10" s="1"/>
  <c r="BV150" i="10" a="1"/>
  <c r="BV150" i="10" s="1"/>
  <c r="CB150" i="10" s="1"/>
  <c r="S150" i="10" s="1"/>
  <c r="AF150" i="10" s="1"/>
  <c r="CN464" i="10" a="1"/>
  <c r="CN464" i="10" s="1"/>
  <c r="BV502" i="10" a="1"/>
  <c r="BV502" i="10" s="1"/>
  <c r="CB502" i="10" s="1"/>
  <c r="S502" i="10" s="1"/>
  <c r="BR918" i="10" a="1"/>
  <c r="BR918" i="10" s="1"/>
  <c r="CB918" i="10" s="1"/>
  <c r="S918" i="10" s="1"/>
  <c r="AF918" i="10" s="1"/>
  <c r="BV1018" i="10" a="1"/>
  <c r="BV1018" i="10" s="1"/>
  <c r="CB1018" i="10" s="1"/>
  <c r="S1018" i="10" s="1"/>
  <c r="AF1018" i="10" s="1"/>
  <c r="CN904" i="10" a="1"/>
  <c r="CN904" i="10" s="1"/>
  <c r="CN410" i="10" a="1"/>
  <c r="CN410" i="10" s="1"/>
  <c r="CX410" i="10" s="1"/>
  <c r="Z410" i="10" s="1"/>
  <c r="AF410" i="10" s="1"/>
  <c r="AF285" i="10"/>
  <c r="CN166" i="10" a="1"/>
  <c r="CN166" i="10" s="1"/>
  <c r="CX166" i="10" s="1"/>
  <c r="Z166" i="10" s="1"/>
  <c r="AF166" i="10" s="1"/>
  <c r="CN214" i="10" a="1"/>
  <c r="CN214" i="10" s="1"/>
  <c r="BR1006" i="10" a="1"/>
  <c r="BR1006" i="10" s="1"/>
  <c r="CB1006" i="10" s="1"/>
  <c r="S1006" i="10" s="1"/>
  <c r="AF1006" i="10" s="1"/>
  <c r="BR753" i="10" a="1"/>
  <c r="BR753" i="10" s="1"/>
  <c r="BR539" i="10" a="1"/>
  <c r="BR539" i="10" s="1"/>
  <c r="CR537" i="10" a="1"/>
  <c r="CR537" i="10" s="1"/>
  <c r="CX537" i="10" s="1"/>
  <c r="Z537" i="10" s="1"/>
  <c r="CR936" i="10" a="1"/>
  <c r="CR936" i="10" s="1"/>
  <c r="BV135" i="10" a="1"/>
  <c r="BV135" i="10" s="1"/>
  <c r="CB135" i="10" s="1"/>
  <c r="S135" i="10" s="1"/>
  <c r="AF135" i="10" s="1"/>
  <c r="CN445" i="10" a="1"/>
  <c r="CN445" i="10" s="1"/>
  <c r="CX445" i="10" s="1"/>
  <c r="Z445" i="10" s="1"/>
  <c r="BZ257" i="10" a="1"/>
  <c r="BZ257" i="10" s="1"/>
  <c r="CB257" i="10" s="1"/>
  <c r="S257" i="10" s="1"/>
  <c r="AF257" i="10" s="1"/>
  <c r="CN764" i="10" a="1"/>
  <c r="CN764" i="10" s="1"/>
  <c r="CX764" i="10" s="1"/>
  <c r="Z764" i="10" s="1"/>
  <c r="AF764" i="10" s="1"/>
  <c r="CN748" i="10" a="1"/>
  <c r="CN748" i="10" s="1"/>
  <c r="CN481" i="10" a="1"/>
  <c r="CN481" i="10" s="1"/>
  <c r="CX481" i="10" s="1"/>
  <c r="Z481" i="10" s="1"/>
  <c r="AF481" i="10" s="1"/>
  <c r="BV527" i="10" a="1"/>
  <c r="BV527" i="10" s="1"/>
  <c r="CB527" i="10" s="1"/>
  <c r="S527" i="10" s="1"/>
  <c r="BV810" i="10" a="1"/>
  <c r="BV810" i="10" s="1"/>
  <c r="CB810" i="10" s="1"/>
  <c r="S810" i="10" s="1"/>
  <c r="CV831" i="10" a="1"/>
  <c r="CV831" i="10" s="1"/>
  <c r="CX831" i="10" s="1"/>
  <c r="Z831" i="10" s="1"/>
  <c r="AF831" i="10" s="1"/>
  <c r="BR872" i="10" a="1"/>
  <c r="BR872" i="10" s="1"/>
  <c r="CX292" i="10"/>
  <c r="Z292" i="10" s="1"/>
  <c r="AF123" i="10"/>
  <c r="CW449" i="10" a="1"/>
  <c r="CW449" i="10" s="1"/>
  <c r="CV449" i="10" a="1"/>
  <c r="CV449" i="10" s="1"/>
  <c r="AF560" i="10"/>
  <c r="BZ636" i="10" a="1"/>
  <c r="BZ636" i="10" s="1"/>
  <c r="CA636" i="10" a="1"/>
  <c r="CA636" i="10" s="1"/>
  <c r="AF719" i="10"/>
  <c r="AF525" i="10"/>
  <c r="BZ686" i="10" a="1"/>
  <c r="BZ686" i="10" s="1"/>
  <c r="CA686" i="10" a="1"/>
  <c r="CA686" i="10" s="1"/>
  <c r="CX883" i="10"/>
  <c r="Z883" i="10" s="1"/>
  <c r="CA946" i="10" a="1"/>
  <c r="CA946" i="10" s="1"/>
  <c r="BZ946" i="10" a="1"/>
  <c r="BZ946" i="10" s="1"/>
  <c r="AF175" i="10"/>
  <c r="CW310" i="10" a="1"/>
  <c r="CW310" i="10" s="1"/>
  <c r="CV310" i="10" a="1"/>
  <c r="CV310" i="10" s="1"/>
  <c r="BZ612" i="10" a="1"/>
  <c r="BZ612" i="10" s="1"/>
  <c r="CA612" i="10" a="1"/>
  <c r="CA612" i="10" s="1"/>
  <c r="AF256" i="10"/>
  <c r="CN162" i="10" a="1"/>
  <c r="CN162" i="10" s="1"/>
  <c r="AF315" i="10"/>
  <c r="CW226" i="10" a="1"/>
  <c r="CW226" i="10" s="1"/>
  <c r="CV226" i="10" a="1"/>
  <c r="CV226" i="10" s="1"/>
  <c r="CV535" i="10" a="1"/>
  <c r="CV535" i="10" s="1"/>
  <c r="CX535" i="10" s="1"/>
  <c r="Z535" i="10" s="1"/>
  <c r="CV740" i="10" a="1"/>
  <c r="CV740" i="10" s="1"/>
  <c r="CW740" i="10" a="1"/>
  <c r="CW740" i="10" s="1"/>
  <c r="CV473" i="10" a="1"/>
  <c r="CV473" i="10" s="1"/>
  <c r="CW473" i="10" a="1"/>
  <c r="CW473" i="10" s="1"/>
  <c r="BV503" i="10" a="1"/>
  <c r="BV503" i="10" s="1"/>
  <c r="CB503" i="10" s="1"/>
  <c r="S503" i="10" s="1"/>
  <c r="CW635" i="10" a="1"/>
  <c r="CW635" i="10" s="1"/>
  <c r="CV635" i="10" a="1"/>
  <c r="CV635" i="10" s="1"/>
  <c r="CV970" i="10" a="1"/>
  <c r="CV970" i="10" s="1"/>
  <c r="CW970" i="10" a="1"/>
  <c r="CW970" i="10" s="1"/>
  <c r="BV774" i="10" a="1"/>
  <c r="BV774" i="10" s="1"/>
  <c r="AF195" i="10"/>
  <c r="CB668" i="10"/>
  <c r="S668" i="10" s="1"/>
  <c r="BV320" i="10" a="1"/>
  <c r="BV320" i="10" s="1"/>
  <c r="CB320" i="10" s="1"/>
  <c r="S320" i="10" s="1"/>
  <c r="BZ545" i="10" a="1"/>
  <c r="BZ545" i="10" s="1"/>
  <c r="CA545" i="10" a="1"/>
  <c r="CA545" i="10" s="1"/>
  <c r="CN133" i="10" a="1"/>
  <c r="CN133" i="10" s="1"/>
  <c r="BZ124" i="10" a="1"/>
  <c r="BZ124" i="10" s="1"/>
  <c r="CB124" i="10" s="1"/>
  <c r="S124" i="10" s="1"/>
  <c r="CA124" i="10" a="1"/>
  <c r="CA124" i="10" s="1"/>
  <c r="CX647" i="10"/>
  <c r="Z647" i="10" s="1"/>
  <c r="AF647" i="10" s="1"/>
  <c r="CR437" i="10" a="1"/>
  <c r="CR437" i="10" s="1"/>
  <c r="CB566" i="10"/>
  <c r="S566" i="10" s="1"/>
  <c r="AF566" i="10" s="1"/>
  <c r="CV855" i="10" a="1"/>
  <c r="CV855" i="10" s="1"/>
  <c r="CW855" i="10" a="1"/>
  <c r="CW855" i="10" s="1"/>
  <c r="BZ309" i="10" a="1"/>
  <c r="BZ309" i="10" s="1"/>
  <c r="CA309" i="10" a="1"/>
  <c r="CA309" i="10" s="1"/>
  <c r="BZ592" i="10" a="1"/>
  <c r="BZ592" i="10" s="1"/>
  <c r="CA592" i="10" a="1"/>
  <c r="CA592" i="10" s="1"/>
  <c r="BV207" i="10" a="1"/>
  <c r="BV207" i="10" s="1"/>
  <c r="CX284" i="10"/>
  <c r="Z284" i="10" s="1"/>
  <c r="AF163" i="10"/>
  <c r="BZ445" i="10" a="1"/>
  <c r="BZ445" i="10" s="1"/>
  <c r="CA445" i="10" a="1"/>
  <c r="CA445" i="10" s="1"/>
  <c r="BZ652" i="10" a="1"/>
  <c r="BZ652" i="10" s="1"/>
  <c r="CA652" i="10" a="1"/>
  <c r="CA652" i="10" s="1"/>
  <c r="CV660" i="10" a="1"/>
  <c r="CV660" i="10" s="1"/>
  <c r="CW660" i="10" a="1"/>
  <c r="CW660" i="10" s="1"/>
  <c r="BZ491" i="10" a="1"/>
  <c r="BZ491" i="10" s="1"/>
  <c r="CA491" i="10" a="1"/>
  <c r="CA491" i="10" s="1"/>
  <c r="CB672" i="10"/>
  <c r="S672" i="10" s="1"/>
  <c r="CB610" i="10"/>
  <c r="S610" i="10" s="1"/>
  <c r="AF610" i="10" s="1"/>
  <c r="CV768" i="10" a="1"/>
  <c r="CV768" i="10" s="1"/>
  <c r="CW768" i="10" a="1"/>
  <c r="CW768" i="10" s="1"/>
  <c r="BV624" i="10" a="1"/>
  <c r="BV624" i="10" s="1"/>
  <c r="CV908" i="10" a="1"/>
  <c r="CV908" i="10" s="1"/>
  <c r="CW908" i="10" a="1"/>
  <c r="CW908" i="10" s="1"/>
  <c r="CN577" i="10" a="1"/>
  <c r="CN577" i="10" s="1"/>
  <c r="CX744" i="10"/>
  <c r="Z744" i="10" s="1"/>
  <c r="AF744" i="10" s="1"/>
  <c r="BV750" i="10" a="1"/>
  <c r="BV750" i="10" s="1"/>
  <c r="CA985" i="10" a="1"/>
  <c r="CA985" i="10" s="1"/>
  <c r="BZ985" i="10" a="1"/>
  <c r="BZ985" i="10" s="1"/>
  <c r="CR917" i="10" a="1"/>
  <c r="CR917" i="10" s="1"/>
  <c r="CX917" i="10" s="1"/>
  <c r="Z917" i="10" s="1"/>
  <c r="CV871" i="10" a="1"/>
  <c r="CV871" i="10" s="1"/>
  <c r="CW871" i="10" a="1"/>
  <c r="CW871" i="10" s="1"/>
  <c r="CR958" i="10" a="1"/>
  <c r="CR958" i="10" s="1"/>
  <c r="CX958" i="10" s="1"/>
  <c r="Z958" i="10" s="1"/>
  <c r="BR979" i="10" a="1"/>
  <c r="BR979" i="10" s="1"/>
  <c r="BZ913" i="10" a="1"/>
  <c r="BZ913" i="10" s="1"/>
  <c r="CA913" i="10" a="1"/>
  <c r="CA913" i="10" s="1"/>
  <c r="AF237" i="10"/>
  <c r="AF861" i="10"/>
  <c r="BZ423" i="10" a="1"/>
  <c r="BZ423" i="10" s="1"/>
  <c r="CA423" i="10" a="1"/>
  <c r="CA423" i="10" s="1"/>
  <c r="CV314" i="10" a="1"/>
  <c r="CV314" i="10" s="1"/>
  <c r="CW314" i="10" a="1"/>
  <c r="CW314" i="10" s="1"/>
  <c r="CV288" i="10" a="1"/>
  <c r="CV288" i="10" s="1"/>
  <c r="CW288" i="10" a="1"/>
  <c r="CW288" i="10" s="1"/>
  <c r="CR430" i="10" a="1"/>
  <c r="CR430" i="10" s="1"/>
  <c r="CX430" i="10" s="1"/>
  <c r="Z430" i="10" s="1"/>
  <c r="AF430" i="10" s="1"/>
  <c r="CA125" i="10" a="1"/>
  <c r="CA125" i="10" s="1"/>
  <c r="BZ125" i="10" a="1"/>
  <c r="BZ125" i="10" s="1"/>
  <c r="CB125" i="10" s="1"/>
  <c r="S125" i="10" s="1"/>
  <c r="CN298" i="10" a="1"/>
  <c r="CN298" i="10" s="1"/>
  <c r="CN385" i="10" a="1"/>
  <c r="CN385" i="10" s="1"/>
  <c r="CX497" i="10"/>
  <c r="Z497" i="10" s="1"/>
  <c r="AF497" i="10" s="1"/>
  <c r="CW457" i="10" a="1"/>
  <c r="CW457" i="10" s="1"/>
  <c r="CV457" i="10" a="1"/>
  <c r="CV457" i="10" s="1"/>
  <c r="CX457" i="10" s="1"/>
  <c r="Z457" i="10" s="1"/>
  <c r="AF457" i="10" s="1"/>
  <c r="CW760" i="10" a="1"/>
  <c r="CW760" i="10" s="1"/>
  <c r="CV760" i="10" a="1"/>
  <c r="CV760" i="10" s="1"/>
  <c r="BV464" i="10" a="1"/>
  <c r="BV464" i="10" s="1"/>
  <c r="BR588" i="10" a="1"/>
  <c r="BR588" i="10" s="1"/>
  <c r="CW667" i="10" a="1"/>
  <c r="CW667" i="10" s="1"/>
  <c r="CV667" i="10" a="1"/>
  <c r="CV667" i="10" s="1"/>
  <c r="BZ628" i="10" a="1"/>
  <c r="BZ628" i="10" s="1"/>
  <c r="CA628" i="10" a="1"/>
  <c r="CA628" i="10" s="1"/>
  <c r="BR1002" i="10" a="1"/>
  <c r="BR1002" i="10" s="1"/>
  <c r="BZ701" i="10" a="1"/>
  <c r="BZ701" i="10" s="1"/>
  <c r="CA701" i="10" a="1"/>
  <c r="CA701" i="10" s="1"/>
  <c r="CV914" i="10" a="1"/>
  <c r="CV914" i="10" s="1"/>
  <c r="CW914" i="10" a="1"/>
  <c r="CW914" i="10" s="1"/>
  <c r="BV805" i="10" a="1"/>
  <c r="BV805" i="10" s="1"/>
  <c r="CB247" i="10"/>
  <c r="S247" i="10" s="1"/>
  <c r="AF247" i="10" s="1"/>
  <c r="CN134" i="10" a="1"/>
  <c r="CN134" i="10" s="1"/>
  <c r="BV251" i="10" a="1"/>
  <c r="BV251" i="10" s="1"/>
  <c r="CB251" i="10" s="1"/>
  <c r="S251" i="10" s="1"/>
  <c r="AF251" i="10" s="1"/>
  <c r="CX487" i="10"/>
  <c r="Z487" i="10" s="1"/>
  <c r="CR533" i="10" a="1"/>
  <c r="CR533" i="10" s="1"/>
  <c r="CW659" i="10" a="1"/>
  <c r="CW659" i="10" s="1"/>
  <c r="CV659" i="10" a="1"/>
  <c r="CV659" i="10" s="1"/>
  <c r="CV780" i="10" a="1"/>
  <c r="CV780" i="10" s="1"/>
  <c r="CX780" i="10" s="1"/>
  <c r="Z780" i="10" s="1"/>
  <c r="AF780" i="10" s="1"/>
  <c r="CW780" i="10" a="1"/>
  <c r="CW780" i="10" s="1"/>
  <c r="CX906" i="10"/>
  <c r="Z906" i="10" s="1"/>
  <c r="BZ499" i="10" a="1"/>
  <c r="BZ499" i="10" s="1"/>
  <c r="CA499" i="10" a="1"/>
  <c r="CA499" i="10" s="1"/>
  <c r="BR461" i="10" a="1"/>
  <c r="BR461" i="10" s="1"/>
  <c r="BZ542" i="10" a="1"/>
  <c r="BZ542" i="10" s="1"/>
  <c r="CA542" i="10" a="1"/>
  <c r="CA542" i="10" s="1"/>
  <c r="CW936" i="10" a="1"/>
  <c r="CW936" i="10" s="1"/>
  <c r="CV936" i="10" a="1"/>
  <c r="CV936" i="10" s="1"/>
  <c r="CV692" i="10" a="1"/>
  <c r="CV692" i="10" s="1"/>
  <c r="CW692" i="10" a="1"/>
  <c r="CW692" i="10" s="1"/>
  <c r="BR946" i="10" a="1"/>
  <c r="BR946" i="10" s="1"/>
  <c r="CV892" i="10" a="1"/>
  <c r="CV892" i="10" s="1"/>
  <c r="CW892" i="10" a="1"/>
  <c r="CW892" i="10" s="1"/>
  <c r="BZ840" i="10" a="1"/>
  <c r="BZ840" i="10" s="1"/>
  <c r="CA840" i="10" a="1"/>
  <c r="CA840" i="10" s="1"/>
  <c r="BV1002" i="10" a="1"/>
  <c r="BV1002" i="10" s="1"/>
  <c r="BR909" i="10" a="1"/>
  <c r="BR909" i="10" s="1"/>
  <c r="CB909" i="10" s="1"/>
  <c r="S909" i="10" s="1"/>
  <c r="AF909" i="10" s="1"/>
  <c r="CB913" i="10"/>
  <c r="S913" i="10" s="1"/>
  <c r="AF913" i="10" s="1"/>
  <c r="BV368" i="10" a="1"/>
  <c r="BV368" i="10" s="1"/>
  <c r="CB368" i="10" s="1"/>
  <c r="S368" i="10" s="1"/>
  <c r="AF368" i="10" s="1"/>
  <c r="CN222" i="10" a="1"/>
  <c r="CN222" i="10" s="1"/>
  <c r="BV134" i="10" a="1"/>
  <c r="BV134" i="10" s="1"/>
  <c r="CB134" i="10" s="1"/>
  <c r="S134" i="10" s="1"/>
  <c r="BR139" i="10" a="1"/>
  <c r="BR139" i="10" s="1"/>
  <c r="CB139" i="10" s="1"/>
  <c r="S139" i="10" s="1"/>
  <c r="AF139" i="10" s="1"/>
  <c r="CA263" i="10" a="1"/>
  <c r="CA263" i="10" s="1"/>
  <c r="BZ263" i="10" a="1"/>
  <c r="BZ263" i="10" s="1"/>
  <c r="BR470" i="10" a="1"/>
  <c r="BR470" i="10" s="1"/>
  <c r="BZ872" i="10" a="1"/>
  <c r="BZ872" i="10" s="1"/>
  <c r="CA872" i="10" a="1"/>
  <c r="CA872" i="10" s="1"/>
  <c r="CX904" i="10"/>
  <c r="Z904" i="10" s="1"/>
  <c r="AF904" i="10" s="1"/>
  <c r="CN463" i="10" a="1"/>
  <c r="CN463" i="10" s="1"/>
  <c r="AF723" i="10"/>
  <c r="CX455" i="10"/>
  <c r="Z455" i="10" s="1"/>
  <c r="AF455" i="10" s="1"/>
  <c r="CX896" i="10"/>
  <c r="Z896" i="10" s="1"/>
  <c r="BR969" i="10" a="1"/>
  <c r="BR969" i="10" s="1"/>
  <c r="CN801" i="10" a="1"/>
  <c r="CN801" i="10" s="1"/>
  <c r="CX336" i="10"/>
  <c r="Z336" i="10" s="1"/>
  <c r="AF336" i="10" s="1"/>
  <c r="CN786" i="10" a="1"/>
  <c r="CN786" i="10" s="1"/>
  <c r="CX786" i="10" s="1"/>
  <c r="Z786" i="10" s="1"/>
  <c r="AF786" i="10" s="1"/>
  <c r="CN772" i="10" a="1"/>
  <c r="CN772" i="10" s="1"/>
  <c r="CX772" i="10" s="1"/>
  <c r="Z772" i="10" s="1"/>
  <c r="AF772" i="10" s="1"/>
  <c r="CN605" i="10" a="1"/>
  <c r="CN605" i="10" s="1"/>
  <c r="CX605" i="10" s="1"/>
  <c r="Z605" i="10" s="1"/>
  <c r="CV681" i="10" a="1"/>
  <c r="CV681" i="10" s="1"/>
  <c r="CX681" i="10" s="1"/>
  <c r="Z681" i="10" s="1"/>
  <c r="CN912" i="10" a="1"/>
  <c r="CN912" i="10" s="1"/>
  <c r="CX912" i="10" s="1"/>
  <c r="Z912" i="10" s="1"/>
  <c r="AF912" i="10" s="1"/>
  <c r="BZ906" i="10" a="1"/>
  <c r="BZ906" i="10" s="1"/>
  <c r="CB906" i="10" s="1"/>
  <c r="S906" i="10" s="1"/>
  <c r="AF906" i="10" s="1"/>
  <c r="CN422" i="10" a="1"/>
  <c r="CN422" i="10" s="1"/>
  <c r="CV385" i="10" a="1"/>
  <c r="CV385" i="10" s="1"/>
  <c r="CN600" i="10" a="1"/>
  <c r="CN600" i="10" s="1"/>
  <c r="CN493" i="10" a="1"/>
  <c r="CN493" i="10" s="1"/>
  <c r="CN636" i="10" a="1"/>
  <c r="CN636" i="10" s="1"/>
  <c r="BZ356" i="10" a="1"/>
  <c r="BZ356" i="10" s="1"/>
  <c r="BV415" i="10" a="1"/>
  <c r="BV415" i="10" s="1"/>
  <c r="CB415" i="10" s="1"/>
  <c r="S415" i="10" s="1"/>
  <c r="AF415" i="10" s="1"/>
  <c r="CN226" i="10" a="1"/>
  <c r="CN226" i="10" s="1"/>
  <c r="CX226" i="10" s="1"/>
  <c r="Z226" i="10" s="1"/>
  <c r="AF226" i="10" s="1"/>
  <c r="CN641" i="10" a="1"/>
  <c r="CN641" i="10" s="1"/>
  <c r="CN627" i="10" a="1"/>
  <c r="CN627" i="10" s="1"/>
  <c r="CX627" i="10" s="1"/>
  <c r="Z627" i="10" s="1"/>
  <c r="AF627" i="10" s="1"/>
  <c r="CR758" i="10" a="1"/>
  <c r="CR758" i="10" s="1"/>
  <c r="BV949" i="10" a="1"/>
  <c r="BV949" i="10" s="1"/>
  <c r="CB949" i="10" s="1"/>
  <c r="S949" i="10" s="1"/>
  <c r="AF949" i="10" s="1"/>
  <c r="BR941" i="10" a="1"/>
  <c r="BR941" i="10" s="1"/>
  <c r="CN979" i="10" a="1"/>
  <c r="CN979" i="10" s="1"/>
  <c r="CV145" i="10" a="1"/>
  <c r="CV145" i="10" s="1"/>
  <c r="BV317" i="10" a="1"/>
  <c r="BV317" i="10" s="1"/>
  <c r="CV393" i="10" a="1"/>
  <c r="CV393" i="10" s="1"/>
  <c r="CX393" i="10" s="1"/>
  <c r="Z393" i="10" s="1"/>
  <c r="AF393" i="10" s="1"/>
  <c r="BZ433" i="10" a="1"/>
  <c r="BZ433" i="10" s="1"/>
  <c r="CB433" i="10" s="1"/>
  <c r="S433" i="10" s="1"/>
  <c r="AF433" i="10" s="1"/>
  <c r="CN629" i="10" a="1"/>
  <c r="CN629" i="10" s="1"/>
  <c r="CX629" i="10" s="1"/>
  <c r="Z629" i="10" s="1"/>
  <c r="BR309" i="10" a="1"/>
  <c r="BR309" i="10" s="1"/>
  <c r="CR355" i="10" a="1"/>
  <c r="CR355" i="10" s="1"/>
  <c r="CX355" i="10" s="1"/>
  <c r="Z355" i="10" s="1"/>
  <c r="AF355" i="10" s="1"/>
  <c r="BR173" i="10" a="1"/>
  <c r="BR173" i="10" s="1"/>
  <c r="BR467" i="10" a="1"/>
  <c r="BR467" i="10" s="1"/>
  <c r="BV535" i="10" a="1"/>
  <c r="BV535" i="10" s="1"/>
  <c r="CB535" i="10" s="1"/>
  <c r="S535" i="10" s="1"/>
  <c r="CR463" i="10" a="1"/>
  <c r="CR463" i="10" s="1"/>
  <c r="CV778" i="10" a="1"/>
  <c r="CV778" i="10" s="1"/>
  <c r="CX778" i="10" s="1"/>
  <c r="Z778" i="10" s="1"/>
  <c r="CR961" i="10" a="1"/>
  <c r="CR961" i="10" s="1"/>
  <c r="CR164" i="10" a="1"/>
  <c r="CR164" i="10" s="1"/>
  <c r="CX164" i="10" s="1"/>
  <c r="Z164" i="10" s="1"/>
  <c r="AF164" i="10" s="1"/>
  <c r="CN343" i="10" a="1"/>
  <c r="CN343" i="10" s="1"/>
  <c r="CV157" i="10" a="1"/>
  <c r="CV157" i="10" s="1"/>
  <c r="CX157" i="10" s="1"/>
  <c r="Z157" i="10" s="1"/>
  <c r="AF157" i="10" s="1"/>
  <c r="CR371" i="10" a="1"/>
  <c r="CR371" i="10" s="1"/>
  <c r="CR541" i="10" a="1"/>
  <c r="CR541" i="10" s="1"/>
  <c r="CX541" i="10" s="1"/>
  <c r="Z541" i="10" s="1"/>
  <c r="CV555" i="10" a="1"/>
  <c r="CV555" i="10" s="1"/>
  <c r="CX555" i="10" s="1"/>
  <c r="Z555" i="10" s="1"/>
  <c r="AF555" i="10" s="1"/>
  <c r="BZ479" i="10" a="1"/>
  <c r="BZ479" i="10" s="1"/>
  <c r="CB479" i="10" s="1"/>
  <c r="S479" i="10" s="1"/>
  <c r="AF479" i="10" s="1"/>
  <c r="CV601" i="10" a="1"/>
  <c r="CV601" i="10" s="1"/>
  <c r="CX601" i="10" s="1"/>
  <c r="Z601" i="10" s="1"/>
  <c r="CR689" i="10" a="1"/>
  <c r="CR689" i="10" s="1"/>
  <c r="CX689" i="10" s="1"/>
  <c r="Z689" i="10" s="1"/>
  <c r="AF689" i="10" s="1"/>
  <c r="BZ798" i="10" a="1"/>
  <c r="BZ798" i="10" s="1"/>
  <c r="CB798" i="10" s="1"/>
  <c r="S798" i="10" s="1"/>
  <c r="AF798" i="10" s="1"/>
  <c r="BV725" i="10" a="1"/>
  <c r="BV725" i="10" s="1"/>
  <c r="CB725" i="10" s="1"/>
  <c r="S725" i="10" s="1"/>
  <c r="AF725" i="10" s="1"/>
  <c r="BR714" i="10" a="1"/>
  <c r="BR714" i="10" s="1"/>
  <c r="CR234" i="10" a="1"/>
  <c r="CR234" i="10" s="1"/>
  <c r="CX234" i="10" s="1"/>
  <c r="Z234" i="10" s="1"/>
  <c r="CR156" i="10" a="1"/>
  <c r="CR156" i="10" s="1"/>
  <c r="CX156" i="10" s="1"/>
  <c r="Z156" i="10" s="1"/>
  <c r="BZ310" i="10" a="1"/>
  <c r="BZ310" i="10" s="1"/>
  <c r="CB310" i="10" s="1"/>
  <c r="S310" i="10" s="1"/>
  <c r="BV301" i="10" a="1"/>
  <c r="BV301" i="10" s="1"/>
  <c r="CB301" i="10" s="1"/>
  <c r="S301" i="10" s="1"/>
  <c r="AF301" i="10" s="1"/>
  <c r="CR282" i="10" a="1"/>
  <c r="CR282" i="10" s="1"/>
  <c r="CX282" i="10" s="1"/>
  <c r="Z282" i="10" s="1"/>
  <c r="AF282" i="10" s="1"/>
  <c r="BZ596" i="10" a="1"/>
  <c r="BZ596" i="10" s="1"/>
  <c r="CB596" i="10" s="1"/>
  <c r="S596" i="10" s="1"/>
  <c r="AF596" i="10" s="1"/>
  <c r="BR541" i="10" a="1"/>
  <c r="BR541" i="10" s="1"/>
  <c r="CB541" i="10" s="1"/>
  <c r="S541" i="10" s="1"/>
  <c r="CV804" i="10" a="1"/>
  <c r="CV804" i="10" s="1"/>
  <c r="CX804" i="10" s="1"/>
  <c r="Z804" i="10" s="1"/>
  <c r="AF804" i="10" s="1"/>
  <c r="CR953" i="10" a="1"/>
  <c r="CR953" i="10" s="1"/>
  <c r="CX953" i="10" s="1"/>
  <c r="Z953" i="10" s="1"/>
  <c r="BV693" i="10" a="1"/>
  <c r="BV693" i="10" s="1"/>
  <c r="CB693" i="10" s="1"/>
  <c r="S693" i="10" s="1"/>
  <c r="AF693" i="10" s="1"/>
  <c r="CV509" i="10" a="1"/>
  <c r="CV509" i="10" s="1"/>
  <c r="CX509" i="10" s="1"/>
  <c r="Z509" i="10" s="1"/>
  <c r="AF509" i="10" s="1"/>
  <c r="CR510" i="10" a="1"/>
  <c r="CR510" i="10" s="1"/>
  <c r="CX510" i="10" s="1"/>
  <c r="Z510" i="10" s="1"/>
  <c r="AF510" i="10" s="1"/>
  <c r="CR470" i="10" a="1"/>
  <c r="CR470" i="10" s="1"/>
  <c r="BZ910" i="10" a="1"/>
  <c r="BZ910" i="10" s="1"/>
  <c r="CB910" i="10" s="1"/>
  <c r="S910" i="10" s="1"/>
  <c r="AF910" i="10" s="1"/>
  <c r="CR735" i="10" a="1"/>
  <c r="CR735" i="10" s="1"/>
  <c r="CX735" i="10" s="1"/>
  <c r="Z735" i="10" s="1"/>
  <c r="CN938" i="10" a="1"/>
  <c r="CN938" i="10" s="1"/>
  <c r="AF265" i="10"/>
  <c r="CA706" i="10" a="1"/>
  <c r="CA706" i="10" s="1"/>
  <c r="BZ706" i="10" a="1"/>
  <c r="BZ706" i="10" s="1"/>
  <c r="CB600" i="10"/>
  <c r="S600" i="10" s="1"/>
  <c r="BR648" i="10" a="1"/>
  <c r="BR648" i="10" s="1"/>
  <c r="BV616" i="10" a="1"/>
  <c r="BV616" i="10" s="1"/>
  <c r="CV612" i="10" a="1"/>
  <c r="CV612" i="10" s="1"/>
  <c r="CW612" i="10" a="1"/>
  <c r="CW612" i="10" s="1"/>
  <c r="CV443" i="10" a="1"/>
  <c r="CV443" i="10" s="1"/>
  <c r="CW443" i="10" a="1"/>
  <c r="CW443" i="10" s="1"/>
  <c r="CX617" i="10"/>
  <c r="Z617" i="10" s="1"/>
  <c r="CV609" i="10" a="1"/>
  <c r="CV609" i="10" s="1"/>
  <c r="CW609" i="10" a="1"/>
  <c r="CW609" i="10" s="1"/>
  <c r="CA933" i="10" a="1"/>
  <c r="CA933" i="10" s="1"/>
  <c r="BZ933" i="10" a="1"/>
  <c r="BZ933" i="10" s="1"/>
  <c r="CA836" i="10" a="1"/>
  <c r="CA836" i="10" s="1"/>
  <c r="BZ836" i="10" a="1"/>
  <c r="BZ836" i="10" s="1"/>
  <c r="CB1002" i="10"/>
  <c r="S1002" i="10" s="1"/>
  <c r="AF1002" i="10" s="1"/>
  <c r="AF131" i="10"/>
  <c r="BV612" i="10" a="1"/>
  <c r="BV612" i="10" s="1"/>
  <c r="AF770" i="10"/>
  <c r="AF354" i="10"/>
  <c r="AF292" i="10"/>
  <c r="CV290" i="10" a="1"/>
  <c r="CV290" i="10" s="1"/>
  <c r="CW290" i="10" a="1"/>
  <c r="CW290" i="10" s="1"/>
  <c r="BZ132" i="10" a="1"/>
  <c r="BZ132" i="10" s="1"/>
  <c r="CB132" i="10" s="1"/>
  <c r="S132" i="10" s="1"/>
  <c r="CA132" i="10" a="1"/>
  <c r="CA132" i="10" s="1"/>
  <c r="CV636" i="10" a="1"/>
  <c r="CV636" i="10" s="1"/>
  <c r="CW636" i="10" a="1"/>
  <c r="CW636" i="10" s="1"/>
  <c r="CB498" i="10"/>
  <c r="S498" i="10" s="1"/>
  <c r="AF498" i="10" s="1"/>
  <c r="CA982" i="10" a="1"/>
  <c r="CA982" i="10" s="1"/>
  <c r="BZ982" i="10" a="1"/>
  <c r="BZ982" i="10" s="1"/>
  <c r="CB817" i="10"/>
  <c r="S817" i="10" s="1"/>
  <c r="AF817" i="10" s="1"/>
  <c r="CV1009" i="10" a="1"/>
  <c r="CV1009" i="10" s="1"/>
  <c r="CW1009" i="10" a="1"/>
  <c r="CW1009" i="10" s="1"/>
  <c r="AF975" i="10"/>
  <c r="CX795" i="10"/>
  <c r="Z795" i="10" s="1"/>
  <c r="AF795" i="10" s="1"/>
  <c r="CA177" i="10" a="1"/>
  <c r="CA177" i="10" s="1"/>
  <c r="BZ177" i="10" a="1"/>
  <c r="BZ177" i="10" s="1"/>
  <c r="CX332" i="10"/>
  <c r="Z332" i="10" s="1"/>
  <c r="CB461" i="10"/>
  <c r="S461" i="10" s="1"/>
  <c r="AF461" i="10" s="1"/>
  <c r="BZ620" i="10" a="1"/>
  <c r="BZ620" i="10" s="1"/>
  <c r="CB620" i="10" s="1"/>
  <c r="S620" i="10" s="1"/>
  <c r="CA620" i="10" a="1"/>
  <c r="CA620" i="10" s="1"/>
  <c r="BV957" i="10" a="1"/>
  <c r="BV957" i="10" s="1"/>
  <c r="CB957" i="10" s="1"/>
  <c r="S957" i="10" s="1"/>
  <c r="AF957" i="10" s="1"/>
  <c r="CW816" i="10" a="1"/>
  <c r="CW816" i="10" s="1"/>
  <c r="CV816" i="10" a="1"/>
  <c r="CV816" i="10" s="1"/>
  <c r="CX816" i="10" s="1"/>
  <c r="Z816" i="10" s="1"/>
  <c r="AF816" i="10" s="1"/>
  <c r="CW748" i="10" a="1"/>
  <c r="CW748" i="10" s="1"/>
  <c r="CV748" i="10" a="1"/>
  <c r="CV748" i="10" s="1"/>
  <c r="BZ386" i="10" a="1"/>
  <c r="BZ386" i="10" s="1"/>
  <c r="CA386" i="10" a="1"/>
  <c r="CA386" i="10" s="1"/>
  <c r="CW230" i="10" a="1"/>
  <c r="CW230" i="10" s="1"/>
  <c r="CV230" i="10" a="1"/>
  <c r="CV230" i="10" s="1"/>
  <c r="BR364" i="10" a="1"/>
  <c r="BR364" i="10" s="1"/>
  <c r="BZ207" i="10" a="1"/>
  <c r="BZ207" i="10" s="1"/>
  <c r="CA207" i="10" a="1"/>
  <c r="CA207" i="10" s="1"/>
  <c r="AF366" i="10"/>
  <c r="CB652" i="10"/>
  <c r="S652" i="10" s="1"/>
  <c r="CW619" i="10" a="1"/>
  <c r="CW619" i="10" s="1"/>
  <c r="CV619" i="10" a="1"/>
  <c r="CV619" i="10" s="1"/>
  <c r="CX768" i="10"/>
  <c r="Z768" i="10" s="1"/>
  <c r="AF768" i="10" s="1"/>
  <c r="CN827" i="10" a="1"/>
  <c r="CN827" i="10" s="1"/>
  <c r="CN945" i="10" a="1"/>
  <c r="CN945" i="10" s="1"/>
  <c r="BV986" i="10" a="1"/>
  <c r="BV986" i="10" s="1"/>
  <c r="CB986" i="10" s="1"/>
  <c r="S986" i="10" s="1"/>
  <c r="AF986" i="10" s="1"/>
  <c r="BZ905" i="10" a="1"/>
  <c r="BZ905" i="10" s="1"/>
  <c r="CX709" i="10"/>
  <c r="Z709" i="10" s="1"/>
  <c r="BR876" i="10" a="1"/>
  <c r="BR876" i="10" s="1"/>
  <c r="CR381" i="10" a="1"/>
  <c r="CR381" i="10" s="1"/>
  <c r="CX381" i="10" s="1"/>
  <c r="Z381" i="10" s="1"/>
  <c r="AF381" i="10" s="1"/>
  <c r="CV944" i="10" a="1"/>
  <c r="CV944" i="10" s="1"/>
  <c r="CW944" i="10" a="1"/>
  <c r="CW944" i="10" s="1"/>
  <c r="CX341" i="10"/>
  <c r="Z341" i="10" s="1"/>
  <c r="AF341" i="10" s="1"/>
  <c r="AF416" i="10"/>
  <c r="BZ383" i="10" a="1"/>
  <c r="BZ383" i="10" s="1"/>
  <c r="CA383" i="10" a="1"/>
  <c r="CA383" i="10" s="1"/>
  <c r="CB441" i="10"/>
  <c r="S441" i="10" s="1"/>
  <c r="BR507" i="10" a="1"/>
  <c r="BR507" i="10" s="1"/>
  <c r="CX671" i="10"/>
  <c r="Z671" i="10" s="1"/>
  <c r="CW577" i="10" a="1"/>
  <c r="CW577" i="10" s="1"/>
  <c r="CV577" i="10" a="1"/>
  <c r="CV577" i="10" s="1"/>
  <c r="BV605" i="10" a="1"/>
  <c r="BV605" i="10" s="1"/>
  <c r="CA471" i="10" a="1"/>
  <c r="CA471" i="10" s="1"/>
  <c r="BZ471" i="10" a="1"/>
  <c r="BZ471" i="10" s="1"/>
  <c r="BR464" i="10" a="1"/>
  <c r="BR464" i="10" s="1"/>
  <c r="BZ588" i="10" a="1"/>
  <c r="BZ588" i="10" s="1"/>
  <c r="CA588" i="10" a="1"/>
  <c r="CA588" i="10" s="1"/>
  <c r="CX667" i="10"/>
  <c r="Z667" i="10" s="1"/>
  <c r="AF667" i="10" s="1"/>
  <c r="AF614" i="10"/>
  <c r="CN855" i="10" a="1"/>
  <c r="CN855" i="10" s="1"/>
  <c r="CN653" i="10" a="1"/>
  <c r="CN653" i="10" s="1"/>
  <c r="CX653" i="10" s="1"/>
  <c r="Z653" i="10" s="1"/>
  <c r="AF653" i="10" s="1"/>
  <c r="CB470" i="10"/>
  <c r="S470" i="10" s="1"/>
  <c r="CA272" i="10" a="1"/>
  <c r="CA272" i="10" s="1"/>
  <c r="BZ272" i="10" a="1"/>
  <c r="BZ272" i="10" s="1"/>
  <c r="CV485" i="10" a="1"/>
  <c r="CV485" i="10" s="1"/>
  <c r="CW485" i="10" a="1"/>
  <c r="CW485" i="10" s="1"/>
  <c r="CR402" i="10" a="1"/>
  <c r="CR402" i="10" s="1"/>
  <c r="CV557" i="10" a="1"/>
  <c r="CV557" i="10" s="1"/>
  <c r="CX557" i="10" s="1"/>
  <c r="Z557" i="10" s="1"/>
  <c r="CW557" i="10" a="1"/>
  <c r="CW557" i="10" s="1"/>
  <c r="CX659" i="10"/>
  <c r="Z659" i="10" s="1"/>
  <c r="AF659" i="10" s="1"/>
  <c r="CA954" i="10" a="1"/>
  <c r="CA954" i="10" s="1"/>
  <c r="BZ954" i="10" a="1"/>
  <c r="BZ954" i="10" s="1"/>
  <c r="CB714" i="10"/>
  <c r="S714" i="10" s="1"/>
  <c r="CW899" i="10" a="1"/>
  <c r="CW899" i="10" s="1"/>
  <c r="CV899" i="10" a="1"/>
  <c r="CV899" i="10" s="1"/>
  <c r="CV561" i="10" a="1"/>
  <c r="CV561" i="10" s="1"/>
  <c r="CX561" i="10" s="1"/>
  <c r="Z561" i="10" s="1"/>
  <c r="CW561" i="10" a="1"/>
  <c r="CW561" i="10" s="1"/>
  <c r="BR997" i="10" a="1"/>
  <c r="BR997" i="10" s="1"/>
  <c r="CB997" i="10" s="1"/>
  <c r="S997" i="10" s="1"/>
  <c r="AF997" i="10" s="1"/>
  <c r="CA580" i="10" a="1"/>
  <c r="CA580" i="10" s="1"/>
  <c r="BZ580" i="10" a="1"/>
  <c r="BZ580" i="10" s="1"/>
  <c r="CX914" i="10"/>
  <c r="Z914" i="10" s="1"/>
  <c r="CR692" i="10" a="1"/>
  <c r="CR692" i="10" s="1"/>
  <c r="CA925" i="10" a="1"/>
  <c r="CA925" i="10" s="1"/>
  <c r="BZ925" i="10" a="1"/>
  <c r="BZ925" i="10" s="1"/>
  <c r="CV961" i="10" a="1"/>
  <c r="CV961" i="10" s="1"/>
  <c r="CW961" i="10" a="1"/>
  <c r="CW961" i="10" s="1"/>
  <c r="CR418" i="10" a="1"/>
  <c r="CR418" i="10" s="1"/>
  <c r="CV993" i="10" a="1"/>
  <c r="CV993" i="10" s="1"/>
  <c r="CX137" i="10"/>
  <c r="Z137" i="10" s="1"/>
  <c r="AF137" i="10" s="1"/>
  <c r="CB160" i="10"/>
  <c r="S160" i="10" s="1"/>
  <c r="CW271" i="10" a="1"/>
  <c r="CW271" i="10" s="1"/>
  <c r="CV271" i="10" a="1"/>
  <c r="CV271" i="10" s="1"/>
  <c r="AF299" i="10"/>
  <c r="BZ258" i="10" a="1"/>
  <c r="BZ258" i="10" s="1"/>
  <c r="CA258" i="10" a="1"/>
  <c r="CA258" i="10" s="1"/>
  <c r="CX926" i="10"/>
  <c r="Z926" i="10" s="1"/>
  <c r="AF926" i="10" s="1"/>
  <c r="CB601" i="10"/>
  <c r="S601" i="10" s="1"/>
  <c r="CR668" i="10" a="1"/>
  <c r="CR668" i="10" s="1"/>
  <c r="CX668" i="10" s="1"/>
  <c r="Z668" i="10" s="1"/>
  <c r="BZ557" i="10" a="1"/>
  <c r="BZ557" i="10" s="1"/>
  <c r="CA557" i="10" a="1"/>
  <c r="CA557" i="10" s="1"/>
  <c r="BV726" i="10" a="1"/>
  <c r="BV726" i="10" s="1"/>
  <c r="CB726" i="10" s="1"/>
  <c r="S726" i="10" s="1"/>
  <c r="AF726" i="10" s="1"/>
  <c r="CX895" i="10"/>
  <c r="Z895" i="10" s="1"/>
  <c r="CR383" i="10" a="1"/>
  <c r="CR383" i="10" s="1"/>
  <c r="CX383" i="10" s="1"/>
  <c r="Z383" i="10" s="1"/>
  <c r="BV394" i="10" a="1"/>
  <c r="BV394" i="10" s="1"/>
  <c r="CB394" i="10" s="1"/>
  <c r="S394" i="10" s="1"/>
  <c r="CV224" i="10" a="1"/>
  <c r="CV224" i="10" s="1"/>
  <c r="CX224" i="10" s="1"/>
  <c r="Z224" i="10" s="1"/>
  <c r="BZ349" i="10" a="1"/>
  <c r="BZ349" i="10" s="1"/>
  <c r="BZ259" i="10" a="1"/>
  <c r="BZ259" i="10" s="1"/>
  <c r="CB259" i="10" s="1"/>
  <c r="S259" i="10" s="1"/>
  <c r="AF259" i="10" s="1"/>
  <c r="AF734" i="10"/>
  <c r="BR518" i="10" a="1"/>
  <c r="BR518" i="10" s="1"/>
  <c r="CB518" i="10" s="1"/>
  <c r="S518" i="10" s="1"/>
  <c r="AF518" i="10" s="1"/>
  <c r="BZ729" i="10" a="1"/>
  <c r="BZ729" i="10" s="1"/>
  <c r="CB729" i="10" s="1"/>
  <c r="S729" i="10" s="1"/>
  <c r="CN628" i="10" a="1"/>
  <c r="CN628" i="10" s="1"/>
  <c r="CX628" i="10" s="1"/>
  <c r="Z628" i="10" s="1"/>
  <c r="CN740" i="10" a="1"/>
  <c r="CN740" i="10" s="1"/>
  <c r="CX740" i="10" s="1"/>
  <c r="Z740" i="10" s="1"/>
  <c r="AF740" i="10" s="1"/>
  <c r="BZ685" i="10" a="1"/>
  <c r="BZ685" i="10" s="1"/>
  <c r="CB685" i="10" s="1"/>
  <c r="S685" i="10" s="1"/>
  <c r="CR124" i="10" a="1"/>
  <c r="CR124" i="10" s="1"/>
  <c r="CN632" i="10" a="1"/>
  <c r="CN632" i="10" s="1"/>
  <c r="CN619" i="10" a="1"/>
  <c r="CN619" i="10" s="1"/>
  <c r="CX619" i="10" s="1"/>
  <c r="Z619" i="10" s="1"/>
  <c r="AF619" i="10" s="1"/>
  <c r="CN752" i="10" a="1"/>
  <c r="CN752" i="10" s="1"/>
  <c r="CR153" i="10" a="1"/>
  <c r="CR153" i="10" s="1"/>
  <c r="CX153" i="10" s="1"/>
  <c r="Z153" i="10" s="1"/>
  <c r="AF153" i="10" s="1"/>
  <c r="BZ212" i="10" a="1"/>
  <c r="BZ212" i="10" s="1"/>
  <c r="BV263" i="10" a="1"/>
  <c r="BV263" i="10" s="1"/>
  <c r="CB263" i="10" s="1"/>
  <c r="S263" i="10" s="1"/>
  <c r="AF263" i="10" s="1"/>
  <c r="CV493" i="10" a="1"/>
  <c r="CV493" i="10" s="1"/>
  <c r="BV1005" i="10" a="1"/>
  <c r="BV1005" i="10" s="1"/>
  <c r="CB1005" i="10" s="1"/>
  <c r="S1005" i="10" s="1"/>
  <c r="BZ774" i="10" a="1"/>
  <c r="BZ774" i="10" s="1"/>
  <c r="CN942" i="10" a="1"/>
  <c r="CN942" i="10" s="1"/>
  <c r="CX942" i="10" s="1"/>
  <c r="Z942" i="10" s="1"/>
  <c r="AF942" i="10" s="1"/>
  <c r="BR985" i="10" a="1"/>
  <c r="BR985" i="10" s="1"/>
  <c r="CB985" i="10" s="1"/>
  <c r="S985" i="10" s="1"/>
  <c r="BR328" i="10" a="1"/>
  <c r="BR328" i="10" s="1"/>
  <c r="CV600" i="10" a="1"/>
  <c r="CV600" i="10" s="1"/>
  <c r="BR710" i="10" a="1"/>
  <c r="BR710" i="10" s="1"/>
  <c r="CB710" i="10" s="1"/>
  <c r="S710" i="10" s="1"/>
  <c r="AF710" i="10" s="1"/>
  <c r="BR1010" i="10" a="1"/>
  <c r="BR1010" i="10" s="1"/>
  <c r="CB1010" i="10" s="1"/>
  <c r="S1010" i="10" s="1"/>
  <c r="AF1010" i="10" s="1"/>
  <c r="BZ953" i="10" a="1"/>
  <c r="BZ953" i="10" s="1"/>
  <c r="CB953" i="10" s="1"/>
  <c r="S953" i="10" s="1"/>
  <c r="AF953" i="10" s="1"/>
  <c r="AF280" i="10"/>
  <c r="CV402" i="10" a="1"/>
  <c r="CV402" i="10" s="1"/>
  <c r="CR314" i="10" a="1"/>
  <c r="CR314" i="10" s="1"/>
  <c r="CX314" i="10" s="1"/>
  <c r="Z314" i="10" s="1"/>
  <c r="AF314" i="10" s="1"/>
  <c r="CR232" i="10" a="1"/>
  <c r="CR232" i="10" s="1"/>
  <c r="CX232" i="10" s="1"/>
  <c r="Z232" i="10" s="1"/>
  <c r="CN210" i="10" a="1"/>
  <c r="CN210" i="10" s="1"/>
  <c r="CX210" i="10" s="1"/>
  <c r="Z210" i="10" s="1"/>
  <c r="AF210" i="10" s="1"/>
  <c r="CN604" i="10" a="1"/>
  <c r="CN604" i="10" s="1"/>
  <c r="CX604" i="10" s="1"/>
  <c r="Z604" i="10" s="1"/>
  <c r="BR721" i="10" a="1"/>
  <c r="BR721" i="10" s="1"/>
  <c r="CB721" i="10" s="1"/>
  <c r="S721" i="10" s="1"/>
  <c r="AF721" i="10" s="1"/>
  <c r="CV656" i="10" a="1"/>
  <c r="CV656" i="10" s="1"/>
  <c r="CX656" i="10" s="1"/>
  <c r="Z656" i="10" s="1"/>
  <c r="CR222" i="10" a="1"/>
  <c r="CR222" i="10" s="1"/>
  <c r="CR320" i="10" a="1"/>
  <c r="CR320" i="10" s="1"/>
  <c r="CX320" i="10" s="1"/>
  <c r="Z320" i="10" s="1"/>
  <c r="BV526" i="10" a="1"/>
  <c r="BV526" i="10" s="1"/>
  <c r="CB526" i="10" s="1"/>
  <c r="S526" i="10" s="1"/>
  <c r="AF526" i="10" s="1"/>
  <c r="CN635" i="10" a="1"/>
  <c r="CN635" i="10" s="1"/>
  <c r="CX635" i="10" s="1"/>
  <c r="Z635" i="10" s="1"/>
  <c r="AF635" i="10" s="1"/>
  <c r="CN1001" i="10" a="1"/>
  <c r="CN1001" i="10" s="1"/>
  <c r="CX1001" i="10" s="1"/>
  <c r="Z1001" i="10" s="1"/>
  <c r="CN924" i="10" a="1"/>
  <c r="CN924" i="10" s="1"/>
  <c r="BV883" i="10" a="1"/>
  <c r="BV883" i="10" s="1"/>
  <c r="CB883" i="10" s="1"/>
  <c r="S883" i="10" s="1"/>
  <c r="AF883" i="10" s="1"/>
  <c r="CV173" i="10" a="1"/>
  <c r="CV173" i="10" s="1"/>
  <c r="CX173" i="10" s="1"/>
  <c r="Z173" i="10" s="1"/>
  <c r="BR372" i="10" a="1"/>
  <c r="BR372" i="10" s="1"/>
  <c r="CV441" i="10" a="1"/>
  <c r="CV441" i="10" s="1"/>
  <c r="BV436" i="10" a="1"/>
  <c r="BV436" i="10" s="1"/>
  <c r="BR973" i="10" a="1"/>
  <c r="BR973" i="10" s="1"/>
  <c r="CB973" i="10" s="1"/>
  <c r="S973" i="10" s="1"/>
  <c r="AF973" i="10" s="1"/>
  <c r="CV966" i="10" a="1"/>
  <c r="CV966" i="10" s="1"/>
  <c r="CX966" i="10" s="1"/>
  <c r="Z966" i="10" s="1"/>
  <c r="AF966" i="10" s="1"/>
  <c r="BZ917" i="10" a="1"/>
  <c r="BZ917" i="10" s="1"/>
  <c r="CB917" i="10" s="1"/>
  <c r="S917" i="10" s="1"/>
  <c r="AF917" i="10" s="1"/>
  <c r="CN201" i="10" a="1"/>
  <c r="CN201" i="10" s="1"/>
  <c r="BR293" i="10" a="1"/>
  <c r="BR293" i="10" s="1"/>
  <c r="CR423" i="10" a="1"/>
  <c r="CR423" i="10" s="1"/>
  <c r="BV617" i="10" a="1"/>
  <c r="BV617" i="10" s="1"/>
  <c r="CN475" i="10" a="1"/>
  <c r="CN475" i="10" s="1"/>
  <c r="CN567" i="10" a="1"/>
  <c r="CN567" i="10" s="1"/>
  <c r="CX567" i="10" s="1"/>
  <c r="Z567" i="10" s="1"/>
  <c r="AF567" i="10" s="1"/>
  <c r="BV895" i="10" a="1"/>
  <c r="BV895" i="10" s="1"/>
  <c r="CB895" i="10" s="1"/>
  <c r="S895" i="10" s="1"/>
  <c r="AF895" i="10" s="1"/>
  <c r="CV214" i="10" a="1"/>
  <c r="CV214" i="10" s="1"/>
  <c r="CW214" i="10" a="1"/>
  <c r="CW214" i="10" s="1"/>
  <c r="AF187" i="10"/>
  <c r="AF365" i="10"/>
  <c r="CB698" i="10"/>
  <c r="S698" i="10" s="1"/>
  <c r="AF698" i="10" s="1"/>
  <c r="CX443" i="10"/>
  <c r="Z443" i="10" s="1"/>
  <c r="AF443" i="10" s="1"/>
  <c r="CA785" i="10" a="1"/>
  <c r="CA785" i="10" s="1"/>
  <c r="BZ785" i="10" a="1"/>
  <c r="BZ785" i="10" s="1"/>
  <c r="CA537" i="10" a="1"/>
  <c r="CA537" i="10" s="1"/>
  <c r="BZ537" i="10" a="1"/>
  <c r="BZ537" i="10" s="1"/>
  <c r="CW752" i="10" a="1"/>
  <c r="CW752" i="10" s="1"/>
  <c r="CV752" i="10" a="1"/>
  <c r="CV752" i="10" s="1"/>
  <c r="CW805" i="10" a="1"/>
  <c r="CW805" i="10" s="1"/>
  <c r="CV805" i="10" a="1"/>
  <c r="CV805" i="10" s="1"/>
  <c r="CA1009" i="10" a="1"/>
  <c r="CA1009" i="10" s="1"/>
  <c r="BZ1009" i="10" a="1"/>
  <c r="BZ1009" i="10" s="1"/>
  <c r="BR836" i="10" a="1"/>
  <c r="BR836" i="10" s="1"/>
  <c r="AF1007" i="10"/>
  <c r="AF763" i="10"/>
  <c r="AF505" i="10"/>
  <c r="BR612" i="10" a="1"/>
  <c r="BR612" i="10" s="1"/>
  <c r="CB612" i="10" s="1"/>
  <c r="S612" i="10" s="1"/>
  <c r="BZ156" i="10" a="1"/>
  <c r="BZ156" i="10" s="1"/>
  <c r="CA156" i="10" a="1"/>
  <c r="CA156" i="10" s="1"/>
  <c r="CA328" i="10" a="1"/>
  <c r="CA328" i="10" s="1"/>
  <c r="BZ328" i="10" a="1"/>
  <c r="BZ328" i="10" s="1"/>
  <c r="CX145" i="10"/>
  <c r="Z145" i="10" s="1"/>
  <c r="AF145" i="10" s="1"/>
  <c r="CX357" i="10"/>
  <c r="Z357" i="10" s="1"/>
  <c r="AF357" i="10" s="1"/>
  <c r="CN286" i="10" a="1"/>
  <c r="CN286" i="10" s="1"/>
  <c r="CW705" i="10" a="1"/>
  <c r="CW705" i="10" s="1"/>
  <c r="CV705" i="10" a="1"/>
  <c r="CV705" i="10" s="1"/>
  <c r="CX991" i="10"/>
  <c r="Z991" i="10" s="1"/>
  <c r="AF991" i="10" s="1"/>
  <c r="AF881" i="10"/>
  <c r="CA941" i="10" a="1"/>
  <c r="CA941" i="10" s="1"/>
  <c r="BZ941" i="10" a="1"/>
  <c r="BZ941" i="10" s="1"/>
  <c r="BR832" i="10" a="1"/>
  <c r="BR832" i="10" s="1"/>
  <c r="CX591" i="10"/>
  <c r="Z591" i="10" s="1"/>
  <c r="AF591" i="10" s="1"/>
  <c r="AF240" i="10"/>
  <c r="CW236" i="10" a="1"/>
  <c r="CW236" i="10" s="1"/>
  <c r="CV236" i="10" a="1"/>
  <c r="CV236" i="10" s="1"/>
  <c r="CX236" i="10" s="1"/>
  <c r="Z236" i="10" s="1"/>
  <c r="AF236" i="10" s="1"/>
  <c r="BZ200" i="10" a="1"/>
  <c r="BZ200" i="10" s="1"/>
  <c r="AF556" i="10"/>
  <c r="CW750" i="10" a="1"/>
  <c r="CW750" i="10" s="1"/>
  <c r="CV750" i="10" a="1"/>
  <c r="CV750" i="10" s="1"/>
  <c r="CX750" i="10" s="1"/>
  <c r="Z750" i="10" s="1"/>
  <c r="CB872" i="10"/>
  <c r="S872" i="10" s="1"/>
  <c r="AF872" i="10" s="1"/>
  <c r="CR579" i="10" a="1"/>
  <c r="CR579" i="10" s="1"/>
  <c r="CX579" i="10" s="1"/>
  <c r="Z579" i="10" s="1"/>
  <c r="AF579" i="10" s="1"/>
  <c r="CX385" i="10"/>
  <c r="Z385" i="10" s="1"/>
  <c r="AF385" i="10" s="1"/>
  <c r="CW196" i="10" a="1"/>
  <c r="CW196" i="10" s="1"/>
  <c r="CV196" i="10" a="1"/>
  <c r="CV196" i="10" s="1"/>
  <c r="BZ234" i="10" a="1"/>
  <c r="BZ234" i="10" s="1"/>
  <c r="CA234" i="10" a="1"/>
  <c r="CA234" i="10" s="1"/>
  <c r="CA142" i="10" a="1"/>
  <c r="CA142" i="10" s="1"/>
  <c r="BZ142" i="10" a="1"/>
  <c r="BZ142" i="10" s="1"/>
  <c r="CN363" i="10" a="1"/>
  <c r="CN363" i="10" s="1"/>
  <c r="BZ644" i="10" a="1"/>
  <c r="BZ644" i="10" s="1"/>
  <c r="CA644" i="10" a="1"/>
  <c r="CA644" i="10" s="1"/>
  <c r="CW948" i="10" a="1"/>
  <c r="CW948" i="10" s="1"/>
  <c r="CV948" i="10" a="1"/>
  <c r="CV948" i="10" s="1"/>
  <c r="CW503" i="10" a="1"/>
  <c r="CW503" i="10" s="1"/>
  <c r="CV503" i="10" a="1"/>
  <c r="CV503" i="10" s="1"/>
  <c r="BZ624" i="10" a="1"/>
  <c r="BZ624" i="10" s="1"/>
  <c r="CA624" i="10" a="1"/>
  <c r="CA624" i="10" s="1"/>
  <c r="CR790" i="10" a="1"/>
  <c r="CR790" i="10" s="1"/>
  <c r="CX790" i="10" s="1"/>
  <c r="Z790" i="10" s="1"/>
  <c r="BV848" i="10" a="1"/>
  <c r="BV848" i="10" s="1"/>
  <c r="CB848" i="10" s="1"/>
  <c r="S848" i="10" s="1"/>
  <c r="AF848" i="10" s="1"/>
  <c r="BZ876" i="10" a="1"/>
  <c r="BZ876" i="10" s="1"/>
  <c r="CA876" i="10" a="1"/>
  <c r="CA876" i="10" s="1"/>
  <c r="CX616" i="10"/>
  <c r="Z616" i="10" s="1"/>
  <c r="BZ151" i="10" a="1"/>
  <c r="BZ151" i="10" s="1"/>
  <c r="CA151" i="10" a="1"/>
  <c r="CA151" i="10" s="1"/>
  <c r="CV469" i="10" a="1"/>
  <c r="CV469" i="10" s="1"/>
  <c r="CX469" i="10" s="1"/>
  <c r="Z469" i="10" s="1"/>
  <c r="AF469" i="10" s="1"/>
  <c r="CW469" i="10" a="1"/>
  <c r="CW469" i="10" s="1"/>
  <c r="CB173" i="10"/>
  <c r="S173" i="10" s="1"/>
  <c r="CV151" i="10" a="1"/>
  <c r="CV151" i="10" s="1"/>
  <c r="CX151" i="10" s="1"/>
  <c r="Z151" i="10" s="1"/>
  <c r="CW151" i="10" a="1"/>
  <c r="CW151" i="10" s="1"/>
  <c r="CB507" i="10"/>
  <c r="S507" i="10" s="1"/>
  <c r="AF507" i="10" s="1"/>
  <c r="CR613" i="10" a="1"/>
  <c r="CR613" i="10" s="1"/>
  <c r="CX632" i="10"/>
  <c r="Z632" i="10" s="1"/>
  <c r="CB660" i="10"/>
  <c r="S660" i="10" s="1"/>
  <c r="CX672" i="10"/>
  <c r="Z672" i="10" s="1"/>
  <c r="CB464" i="10"/>
  <c r="S464" i="10" s="1"/>
  <c r="BZ584" i="10" a="1"/>
  <c r="BZ584" i="10" s="1"/>
  <c r="CB584" i="10" s="1"/>
  <c r="S584" i="10" s="1"/>
  <c r="AF584" i="10" s="1"/>
  <c r="CA584" i="10" a="1"/>
  <c r="CA584" i="10" s="1"/>
  <c r="CB778" i="10"/>
  <c r="S778" i="10" s="1"/>
  <c r="CR569" i="10" a="1"/>
  <c r="CR569" i="10" s="1"/>
  <c r="CV688" i="10" a="1"/>
  <c r="CV688" i="10" s="1"/>
  <c r="CW688" i="10" a="1"/>
  <c r="CW688" i="10" s="1"/>
  <c r="BR961" i="10" a="1"/>
  <c r="BR961" i="10" s="1"/>
  <c r="BV782" i="10" a="1"/>
  <c r="BV782" i="10" s="1"/>
  <c r="CB782" i="10" s="1"/>
  <c r="S782" i="10" s="1"/>
  <c r="AF782" i="10" s="1"/>
  <c r="CX823" i="10"/>
  <c r="Z823" i="10" s="1"/>
  <c r="AF823" i="10" s="1"/>
  <c r="BZ364" i="10" a="1"/>
  <c r="BZ364" i="10" s="1"/>
  <c r="BV521" i="10" a="1"/>
  <c r="BV521" i="10" s="1"/>
  <c r="CB521" i="10" s="1"/>
  <c r="S521" i="10" s="1"/>
  <c r="AF521" i="10" s="1"/>
  <c r="CR792" i="10" a="1"/>
  <c r="CR792" i="10" s="1"/>
  <c r="CX792" i="10" s="1"/>
  <c r="Z792" i="10" s="1"/>
  <c r="AF792" i="10" s="1"/>
  <c r="BZ129" i="10" a="1"/>
  <c r="BZ129" i="10" s="1"/>
  <c r="CA129" i="10" a="1"/>
  <c r="CA129" i="10" s="1"/>
  <c r="CB239" i="10"/>
  <c r="S239" i="10" s="1"/>
  <c r="CW340" i="10" a="1"/>
  <c r="CW340" i="10" s="1"/>
  <c r="CV340" i="10" a="1"/>
  <c r="CV340" i="10" s="1"/>
  <c r="BZ273" i="10" a="1"/>
  <c r="BZ273" i="10" s="1"/>
  <c r="CB273" i="10" s="1"/>
  <c r="S273" i="10" s="1"/>
  <c r="CA273" i="10" a="1"/>
  <c r="CA273" i="10" s="1"/>
  <c r="CA407" i="10" a="1"/>
  <c r="CA407" i="10" s="1"/>
  <c r="BZ407" i="10" a="1"/>
  <c r="BZ407" i="10" s="1"/>
  <c r="BR146" i="10" a="1"/>
  <c r="BR146" i="10" s="1"/>
  <c r="CB146" i="10" s="1"/>
  <c r="S146" i="10" s="1"/>
  <c r="AF146" i="10" s="1"/>
  <c r="BV146" i="10" a="1"/>
  <c r="BV146" i="10" s="1"/>
  <c r="CA348" i="10" a="1"/>
  <c r="CA348" i="10" s="1"/>
  <c r="BZ348" i="10" a="1"/>
  <c r="BZ348" i="10" s="1"/>
  <c r="CW463" i="10" a="1"/>
  <c r="CW463" i="10" s="1"/>
  <c r="CV463" i="10" a="1"/>
  <c r="CV463" i="10" s="1"/>
  <c r="BZ640" i="10" a="1"/>
  <c r="BZ640" i="10" s="1"/>
  <c r="CB640" i="10" s="1"/>
  <c r="S640" i="10" s="1"/>
  <c r="CA640" i="10" a="1"/>
  <c r="CA640" i="10" s="1"/>
  <c r="CX644" i="10"/>
  <c r="Z644" i="10" s="1"/>
  <c r="BR604" i="10" a="1"/>
  <c r="BR604" i="10" s="1"/>
  <c r="CX692" i="10"/>
  <c r="Z692" i="10" s="1"/>
  <c r="AF692" i="10" s="1"/>
  <c r="CW685" i="10" a="1"/>
  <c r="CW685" i="10" s="1"/>
  <c r="CV685" i="10" a="1"/>
  <c r="CV685" i="10" s="1"/>
  <c r="CV938" i="10" a="1"/>
  <c r="CV938" i="10" s="1"/>
  <c r="CW938" i="10" a="1"/>
  <c r="CW938" i="10" s="1"/>
  <c r="CV418" i="10" a="1"/>
  <c r="CV418" i="10" s="1"/>
  <c r="CW418" i="10" a="1"/>
  <c r="CW418" i="10" s="1"/>
  <c r="BZ317" i="10" a="1"/>
  <c r="BZ317" i="10" s="1"/>
  <c r="CA317" i="10" a="1"/>
  <c r="CA317" i="10" s="1"/>
  <c r="CB224" i="10"/>
  <c r="S224" i="10" s="1"/>
  <c r="BZ482" i="10" a="1"/>
  <c r="BZ482" i="10" s="1"/>
  <c r="CB482" i="10" s="1"/>
  <c r="S482" i="10" s="1"/>
  <c r="CA482" i="10" a="1"/>
  <c r="CA482" i="10" s="1"/>
  <c r="CB356" i="10"/>
  <c r="S356" i="10" s="1"/>
  <c r="AF356" i="10" s="1"/>
  <c r="CN482" i="10" a="1"/>
  <c r="CN482" i="10" s="1"/>
  <c r="CX482" i="10" s="1"/>
  <c r="Z482" i="10" s="1"/>
  <c r="BZ549" i="10" a="1"/>
  <c r="BZ549" i="10" s="1"/>
  <c r="BR669" i="10" a="1"/>
  <c r="BR669" i="10" s="1"/>
  <c r="CB669" i="10" s="1"/>
  <c r="S669" i="10" s="1"/>
  <c r="AF669" i="10" s="1"/>
  <c r="CA790" i="10" a="1"/>
  <c r="CA790" i="10" s="1"/>
  <c r="BZ790" i="10" a="1"/>
  <c r="BZ790" i="10" s="1"/>
  <c r="BZ1001" i="10" a="1"/>
  <c r="BZ1001" i="10" s="1"/>
  <c r="CB1001" i="10" s="1"/>
  <c r="S1001" i="10" s="1"/>
  <c r="AF1001" i="10" s="1"/>
  <c r="CA1001" i="10" a="1"/>
  <c r="CA1001" i="10" s="1"/>
  <c r="CV979" i="10" a="1"/>
  <c r="CV979" i="10" s="1"/>
  <c r="CW979" i="10" a="1"/>
  <c r="CW979" i="10" s="1"/>
  <c r="CB691" i="10"/>
  <c r="S691" i="10" s="1"/>
  <c r="AF691" i="10" s="1"/>
  <c r="CW863" i="10" a="1"/>
  <c r="CW863" i="10" s="1"/>
  <c r="CV863" i="10" a="1"/>
  <c r="CV863" i="10" s="1"/>
  <c r="CX863" i="10" s="1"/>
  <c r="Z863" i="10" s="1"/>
  <c r="AF863" i="10" s="1"/>
  <c r="CR946" i="10" a="1"/>
  <c r="CR946" i="10" s="1"/>
  <c r="CX946" i="10" s="1"/>
  <c r="Z946" i="10" s="1"/>
  <c r="BV958" i="10" a="1"/>
  <c r="BV958" i="10" s="1"/>
  <c r="CB958" i="10" s="1"/>
  <c r="S958" i="10" s="1"/>
  <c r="AF958" i="10" s="1"/>
  <c r="CN312" i="10" a="1"/>
  <c r="CN312" i="10" s="1"/>
  <c r="CN398" i="10" a="1"/>
  <c r="CN398" i="10" s="1"/>
  <c r="CN655" i="10" a="1"/>
  <c r="CN655" i="10" s="1"/>
  <c r="CX655" i="10" s="1"/>
  <c r="Z655" i="10" s="1"/>
  <c r="AF655" i="10" s="1"/>
  <c r="BZ427" i="10" a="1"/>
  <c r="BZ427" i="10" s="1"/>
  <c r="CB427" i="10" s="1"/>
  <c r="S427" i="10" s="1"/>
  <c r="AF427" i="10" s="1"/>
  <c r="CN776" i="10" a="1"/>
  <c r="CN776" i="10" s="1"/>
  <c r="CX776" i="10" s="1"/>
  <c r="Z776" i="10" s="1"/>
  <c r="AF776" i="10" s="1"/>
  <c r="BV545" i="10" a="1"/>
  <c r="BV545" i="10" s="1"/>
  <c r="CB545" i="10" s="1"/>
  <c r="S545" i="10" s="1"/>
  <c r="AF545" i="10" s="1"/>
  <c r="CR577" i="10" a="1"/>
  <c r="CR577" i="10" s="1"/>
  <c r="CR855" i="10" a="1"/>
  <c r="CR855" i="10" s="1"/>
  <c r="CX855" i="10" s="1"/>
  <c r="Z855" i="10" s="1"/>
  <c r="AF855" i="10" s="1"/>
  <c r="BR914" i="10" a="1"/>
  <c r="BR914" i="10" s="1"/>
  <c r="CB914" i="10" s="1"/>
  <c r="S914" i="10" s="1"/>
  <c r="AF914" i="10" s="1"/>
  <c r="CN253" i="10" a="1"/>
  <c r="CN253" i="10" s="1"/>
  <c r="CX253" i="10" s="1"/>
  <c r="Z253" i="10" s="1"/>
  <c r="CR133" i="10" a="1"/>
  <c r="CR133" i="10" s="1"/>
  <c r="CV641" i="10" a="1"/>
  <c r="CV641" i="10" s="1"/>
  <c r="BZ593" i="10" a="1"/>
  <c r="BZ593" i="10" s="1"/>
  <c r="CB593" i="10" s="1"/>
  <c r="S593" i="10" s="1"/>
  <c r="AF593" i="10" s="1"/>
  <c r="CN490" i="10" a="1"/>
  <c r="CN490" i="10" s="1"/>
  <c r="CX490" i="10" s="1"/>
  <c r="Z490" i="10" s="1"/>
  <c r="CR333" i="10" a="1"/>
  <c r="CR333" i="10" s="1"/>
  <c r="CX333" i="10" s="1"/>
  <c r="Z333" i="10" s="1"/>
  <c r="AF717" i="10"/>
  <c r="CN483" i="10" a="1"/>
  <c r="CN483" i="10" s="1"/>
  <c r="CX483" i="10" s="1"/>
  <c r="Z483" i="10" s="1"/>
  <c r="AF483" i="10" s="1"/>
  <c r="BR937" i="10" a="1"/>
  <c r="BR937" i="10" s="1"/>
  <c r="CB937" i="10" s="1"/>
  <c r="S937" i="10" s="1"/>
  <c r="CV1005" i="10" a="1"/>
  <c r="CV1005" i="10" s="1"/>
  <c r="BV1022" i="10" a="1"/>
  <c r="BV1022" i="10" s="1"/>
  <c r="CB1022" i="10" s="1"/>
  <c r="S1022" i="10" s="1"/>
  <c r="AF1022" i="10" s="1"/>
  <c r="BZ375" i="10" a="1"/>
  <c r="BZ375" i="10" s="1"/>
  <c r="CB375" i="10" s="1"/>
  <c r="S375" i="10" s="1"/>
  <c r="AF375" i="10" s="1"/>
  <c r="CN205" i="10" a="1"/>
  <c r="CN205" i="10" s="1"/>
  <c r="CX205" i="10" s="1"/>
  <c r="Z205" i="10" s="1"/>
  <c r="BV297" i="10" a="1"/>
  <c r="BV297" i="10" s="1"/>
  <c r="CB297" i="10" s="1"/>
  <c r="S297" i="10" s="1"/>
  <c r="AF297" i="10" s="1"/>
  <c r="CR149" i="10" a="1"/>
  <c r="CR149" i="10" s="1"/>
  <c r="CX149" i="10" s="1"/>
  <c r="Z149" i="10" s="1"/>
  <c r="BR491" i="10" a="1"/>
  <c r="BR491" i="10" s="1"/>
  <c r="CV649" i="10" a="1"/>
  <c r="CV649" i="10" s="1"/>
  <c r="BZ605" i="10" a="1"/>
  <c r="BZ605" i="10" s="1"/>
  <c r="BR677" i="10" a="1"/>
  <c r="BR677" i="10" s="1"/>
  <c r="CB677" i="10" s="1"/>
  <c r="S677" i="10" s="1"/>
  <c r="BV735" i="10" a="1"/>
  <c r="BV735" i="10" s="1"/>
  <c r="CB735" i="10" s="1"/>
  <c r="S735" i="10" s="1"/>
  <c r="CN805" i="10" a="1"/>
  <c r="CN805" i="10" s="1"/>
  <c r="CX805" i="10" s="1"/>
  <c r="Z805" i="10" s="1"/>
  <c r="BV961" i="10" a="1"/>
  <c r="BV961" i="10" s="1"/>
  <c r="BV930" i="10" a="1"/>
  <c r="BV930" i="10" s="1"/>
  <c r="CR132" i="10" a="1"/>
  <c r="CR132" i="10" s="1"/>
  <c r="CX132" i="10" s="1"/>
  <c r="Z132" i="10" s="1"/>
  <c r="CV220" i="10" a="1"/>
  <c r="CV220" i="10" s="1"/>
  <c r="CN649" i="10" a="1"/>
  <c r="CN649" i="10" s="1"/>
  <c r="BR212" i="10" a="1"/>
  <c r="BR212" i="10" s="1"/>
  <c r="CB212" i="10" s="1"/>
  <c r="S212" i="10" s="1"/>
  <c r="AF212" i="10" s="1"/>
  <c r="CV363" i="10" a="1"/>
  <c r="CV363" i="10" s="1"/>
  <c r="CN608" i="10" a="1"/>
  <c r="CN608" i="10" s="1"/>
  <c r="CX608" i="10" s="1"/>
  <c r="Z608" i="10" s="1"/>
  <c r="BV946" i="10" a="1"/>
  <c r="BV946" i="10" s="1"/>
  <c r="CN664" i="10" a="1"/>
  <c r="CN664" i="10" s="1"/>
  <c r="CX664" i="10" s="1"/>
  <c r="Z664" i="10" s="1"/>
  <c r="AF664" i="10" s="1"/>
  <c r="CR212" i="10" a="1"/>
  <c r="CR212" i="10" s="1"/>
  <c r="CX212" i="10" s="1"/>
  <c r="Z212" i="10" s="1"/>
  <c r="BR200" i="10" a="1"/>
  <c r="BR200" i="10" s="1"/>
  <c r="CB200" i="10" s="1"/>
  <c r="S200" i="10" s="1"/>
  <c r="AF200" i="10" s="1"/>
  <c r="CN612" i="10" a="1"/>
  <c r="CN612" i="10" s="1"/>
  <c r="CX612" i="10" s="1"/>
  <c r="Z612" i="10" s="1"/>
  <c r="CN230" i="10" a="1"/>
  <c r="CN230" i="10" s="1"/>
  <c r="CX230" i="10" s="1"/>
  <c r="Z230" i="10" s="1"/>
  <c r="AF230" i="10" s="1"/>
  <c r="CV184" i="10" a="1"/>
  <c r="CV184" i="10" s="1"/>
  <c r="CX184" i="10" s="1"/>
  <c r="Z184" i="10" s="1"/>
  <c r="AF184" i="10" s="1"/>
  <c r="CV343" i="10" a="1"/>
  <c r="CV343" i="10" s="1"/>
  <c r="CN453" i="10" a="1"/>
  <c r="CN453" i="10" s="1"/>
  <c r="CX453" i="10" s="1"/>
  <c r="Z453" i="10" s="1"/>
  <c r="AF453" i="10" s="1"/>
  <c r="CV197" i="10" a="1"/>
  <c r="CV197" i="10" s="1"/>
  <c r="CX197" i="10" s="1"/>
  <c r="Z197" i="10" s="1"/>
  <c r="AF197" i="10" s="1"/>
  <c r="CV453" i="10" a="1"/>
  <c r="CV453" i="10" s="1"/>
  <c r="CV621" i="10" a="1"/>
  <c r="CV621" i="10" s="1"/>
  <c r="CR495" i="10" a="1"/>
  <c r="CR495" i="10" s="1"/>
  <c r="CX495" i="10" s="1"/>
  <c r="Z495" i="10" s="1"/>
  <c r="AF495" i="10" s="1"/>
  <c r="CN620" i="10" a="1"/>
  <c r="CN620" i="10" s="1"/>
  <c r="CX620" i="10" s="1"/>
  <c r="Z620" i="10" s="1"/>
  <c r="CV950" i="10" a="1"/>
  <c r="CV950" i="10" s="1"/>
  <c r="CX950" i="10" s="1"/>
  <c r="Z950" i="10" s="1"/>
  <c r="CV801" i="10" a="1"/>
  <c r="CV801" i="10" s="1"/>
  <c r="CN921" i="10" a="1"/>
  <c r="CN921" i="10" s="1"/>
  <c r="CX921" i="10" s="1"/>
  <c r="Z921" i="10" s="1"/>
  <c r="CA196" i="10" a="1"/>
  <c r="CA196" i="10" s="1"/>
  <c r="BZ196" i="10" a="1"/>
  <c r="BZ196" i="10" s="1"/>
  <c r="BZ340" i="10" a="1"/>
  <c r="BZ340" i="10" s="1"/>
  <c r="CA340" i="10" a="1"/>
  <c r="CA340" i="10" s="1"/>
  <c r="CX214" i="10"/>
  <c r="Z214" i="10" s="1"/>
  <c r="AF214" i="10" s="1"/>
  <c r="CA352" i="10" a="1"/>
  <c r="CA352" i="10" s="1"/>
  <c r="BZ352" i="10" a="1"/>
  <c r="BZ352" i="10" s="1"/>
  <c r="CB352" i="10" s="1"/>
  <c r="S352" i="10" s="1"/>
  <c r="AF352" i="10" s="1"/>
  <c r="AF395" i="10"/>
  <c r="CA436" i="10" a="1"/>
  <c r="CA436" i="10" s="1"/>
  <c r="BZ436" i="10" a="1"/>
  <c r="BZ436" i="10" s="1"/>
  <c r="CV494" i="10" a="1"/>
  <c r="CV494" i="10" s="1"/>
  <c r="CW494" i="10" a="1"/>
  <c r="CW494" i="10" s="1"/>
  <c r="BZ648" i="10" a="1"/>
  <c r="BZ648" i="10" s="1"/>
  <c r="CA648" i="10" a="1"/>
  <c r="CA648" i="10" s="1"/>
  <c r="BZ616" i="10" a="1"/>
  <c r="BZ616" i="10" s="1"/>
  <c r="CA616" i="10" a="1"/>
  <c r="CA616" i="10" s="1"/>
  <c r="AF607" i="10"/>
  <c r="CW631" i="10" a="1"/>
  <c r="CW631" i="10" s="1"/>
  <c r="CV631" i="10" a="1"/>
  <c r="CV631" i="10" s="1"/>
  <c r="CX631" i="10" s="1"/>
  <c r="Z631" i="10" s="1"/>
  <c r="AF631" i="10" s="1"/>
  <c r="CX752" i="10"/>
  <c r="Z752" i="10" s="1"/>
  <c r="AF752" i="10" s="1"/>
  <c r="BV632" i="10" a="1"/>
  <c r="BV632" i="10" s="1"/>
  <c r="CB632" i="10" s="1"/>
  <c r="S632" i="10" s="1"/>
  <c r="AF632" i="10" s="1"/>
  <c r="BZ969" i="10" a="1"/>
  <c r="BZ969" i="10" s="1"/>
  <c r="CA969" i="10" a="1"/>
  <c r="CA969" i="10" s="1"/>
  <c r="CB905" i="10"/>
  <c r="S905" i="10" s="1"/>
  <c r="CB836" i="10"/>
  <c r="S836" i="10" s="1"/>
  <c r="AF836" i="10" s="1"/>
  <c r="AF759" i="10"/>
  <c r="CV934" i="10" a="1"/>
  <c r="CV934" i="10" s="1"/>
  <c r="CW934" i="10" a="1"/>
  <c r="CW934" i="10" s="1"/>
  <c r="CB805" i="10"/>
  <c r="S805" i="10" s="1"/>
  <c r="BV147" i="10" a="1"/>
  <c r="BV147" i="10" s="1"/>
  <c r="CB147" i="10" s="1"/>
  <c r="S147" i="10" s="1"/>
  <c r="AF147" i="10" s="1"/>
  <c r="CX286" i="10"/>
  <c r="Z286" i="10" s="1"/>
  <c r="AF286" i="10" s="1"/>
  <c r="CA149" i="10" a="1"/>
  <c r="CA149" i="10" s="1"/>
  <c r="BZ149" i="10" a="1"/>
  <c r="BZ149" i="10" s="1"/>
  <c r="CV571" i="10" a="1"/>
  <c r="CV571" i="10" s="1"/>
  <c r="CW571" i="10" a="1"/>
  <c r="CW571" i="10" s="1"/>
  <c r="AF213" i="10"/>
  <c r="CX300" i="10"/>
  <c r="Z300" i="10" s="1"/>
  <c r="AF300" i="10" s="1"/>
  <c r="CB930" i="10"/>
  <c r="S930" i="10" s="1"/>
  <c r="AF930" i="10" s="1"/>
  <c r="CW637" i="10" a="1"/>
  <c r="CW637" i="10" s="1"/>
  <c r="CV637" i="10" a="1"/>
  <c r="CV637" i="10" s="1"/>
  <c r="CV887" i="10" a="1"/>
  <c r="CV887" i="10" s="1"/>
  <c r="CX887" i="10" s="1"/>
  <c r="Z887" i="10" s="1"/>
  <c r="CW887" i="10" a="1"/>
  <c r="CW887" i="10" s="1"/>
  <c r="CV937" i="10" a="1"/>
  <c r="CV937" i="10" s="1"/>
  <c r="CW937" i="10" a="1"/>
  <c r="CW937" i="10" s="1"/>
  <c r="CA832" i="10" a="1"/>
  <c r="CA832" i="10" s="1"/>
  <c r="BZ832" i="10" a="1"/>
  <c r="BZ832" i="10" s="1"/>
  <c r="CA379" i="10" a="1"/>
  <c r="CA379" i="10" s="1"/>
  <c r="BZ379" i="10" a="1"/>
  <c r="BZ379" i="10" s="1"/>
  <c r="AF127" i="10"/>
  <c r="AF421" i="10"/>
  <c r="CV359" i="10" a="1"/>
  <c r="CV359" i="10" s="1"/>
  <c r="CW359" i="10" a="1"/>
  <c r="CW359" i="10" s="1"/>
  <c r="CW124" i="10" a="1"/>
  <c r="CW124" i="10" s="1"/>
  <c r="CV124" i="10" a="1"/>
  <c r="CV124" i="10" s="1"/>
  <c r="CV569" i="10" a="1"/>
  <c r="CV569" i="10" s="1"/>
  <c r="CW569" i="10" a="1"/>
  <c r="CW569" i="10" s="1"/>
  <c r="CX600" i="10"/>
  <c r="Z600" i="10" s="1"/>
  <c r="AF382" i="10"/>
  <c r="CX167" i="10"/>
  <c r="Z167" i="10" s="1"/>
  <c r="AF167" i="10" s="1"/>
  <c r="CV426" i="10" a="1"/>
  <c r="CV426" i="10" s="1"/>
  <c r="CW426" i="10" a="1"/>
  <c r="CW426" i="10" s="1"/>
  <c r="CW595" i="10" a="1"/>
  <c r="CW595" i="10" s="1"/>
  <c r="CV595" i="10" a="1"/>
  <c r="CV595" i="10" s="1"/>
  <c r="CX595" i="10" s="1"/>
  <c r="Z595" i="10" s="1"/>
  <c r="AF595" i="10" s="1"/>
  <c r="CV267" i="10" a="1"/>
  <c r="CV267" i="10" s="1"/>
  <c r="CX267" i="10" s="1"/>
  <c r="Z267" i="10" s="1"/>
  <c r="AF267" i="10" s="1"/>
  <c r="CW267" i="10" a="1"/>
  <c r="CW267" i="10" s="1"/>
  <c r="AF329" i="10"/>
  <c r="CB207" i="10"/>
  <c r="S207" i="10" s="1"/>
  <c r="AF207" i="10" s="1"/>
  <c r="CB205" i="10"/>
  <c r="S205" i="10" s="1"/>
  <c r="CB537" i="10"/>
  <c r="S537" i="10" s="1"/>
  <c r="CB644" i="10"/>
  <c r="S644" i="10" s="1"/>
  <c r="AF644" i="10" s="1"/>
  <c r="CB954" i="10"/>
  <c r="S954" i="10" s="1"/>
  <c r="CV640" i="10" a="1"/>
  <c r="CV640" i="10" s="1"/>
  <c r="CX640" i="10" s="1"/>
  <c r="Z640" i="10" s="1"/>
  <c r="CW640" i="10" a="1"/>
  <c r="CW640" i="10" s="1"/>
  <c r="CW657" i="10" a="1"/>
  <c r="CW657" i="10" s="1"/>
  <c r="CV657" i="10" a="1"/>
  <c r="CV657" i="10" s="1"/>
  <c r="CX657" i="10" s="1"/>
  <c r="Z657" i="10" s="1"/>
  <c r="CW651" i="10" a="1"/>
  <c r="CW651" i="10" s="1"/>
  <c r="CV651" i="10" a="1"/>
  <c r="CV651" i="10" s="1"/>
  <c r="CV941" i="10" a="1"/>
  <c r="CV941" i="10" s="1"/>
  <c r="CW941" i="10" a="1"/>
  <c r="CW941" i="10" s="1"/>
  <c r="AF779" i="10"/>
  <c r="CB801" i="10"/>
  <c r="S801" i="10" s="1"/>
  <c r="CW969" i="10" a="1"/>
  <c r="CW969" i="10" s="1"/>
  <c r="CV969" i="10" a="1"/>
  <c r="CV969" i="10" s="1"/>
  <c r="CA572" i="10" a="1"/>
  <c r="CA572" i="10" s="1"/>
  <c r="BZ572" i="10" a="1"/>
  <c r="BZ572" i="10" s="1"/>
  <c r="CB202" i="10"/>
  <c r="S202" i="10" s="1"/>
  <c r="AF202" i="10" s="1"/>
  <c r="CV143" i="10" a="1"/>
  <c r="CV143" i="10" s="1"/>
  <c r="CX143" i="10" s="1"/>
  <c r="Z143" i="10" s="1"/>
  <c r="AF143" i="10" s="1"/>
  <c r="CW143" i="10" a="1"/>
  <c r="CW143" i="10" s="1"/>
  <c r="CV422" i="10" a="1"/>
  <c r="CV422" i="10" s="1"/>
  <c r="CW422" i="10" a="1"/>
  <c r="CW422" i="10" s="1"/>
  <c r="CX473" i="10"/>
  <c r="Z473" i="10" s="1"/>
  <c r="AF473" i="10" s="1"/>
  <c r="CV218" i="10" a="1"/>
  <c r="CV218" i="10" s="1"/>
  <c r="CW218" i="10" a="1"/>
  <c r="CW218" i="10" s="1"/>
  <c r="CV414" i="10" a="1"/>
  <c r="CV414" i="10" s="1"/>
  <c r="CW414" i="10" a="1"/>
  <c r="CW414" i="10" s="1"/>
  <c r="CX464" i="10"/>
  <c r="Z464" i="10" s="1"/>
  <c r="BR608" i="10" a="1"/>
  <c r="BR608" i="10" s="1"/>
  <c r="CB608" i="10" s="1"/>
  <c r="S608" i="10" s="1"/>
  <c r="CV527" i="10" a="1"/>
  <c r="CV527" i="10" s="1"/>
  <c r="CW527" i="10" a="1"/>
  <c r="CW527" i="10" s="1"/>
  <c r="CB925" i="10"/>
  <c r="S925" i="10" s="1"/>
  <c r="CB961" i="10"/>
  <c r="S961" i="10" s="1"/>
  <c r="CR985" i="10" a="1"/>
  <c r="CR985" i="10" s="1"/>
  <c r="CB867" i="10"/>
  <c r="S867" i="10" s="1"/>
  <c r="CX660" i="10"/>
  <c r="Z660" i="10" s="1"/>
  <c r="BZ293" i="10" a="1"/>
  <c r="BZ293" i="10" s="1"/>
  <c r="CA293" i="10" a="1"/>
  <c r="CA293" i="10" s="1"/>
  <c r="BR386" i="10" a="1"/>
  <c r="BR386" i="10" s="1"/>
  <c r="CB386" i="10" s="1"/>
  <c r="S386" i="10" s="1"/>
  <c r="AF386" i="10" s="1"/>
  <c r="CX201" i="10"/>
  <c r="Z201" i="10" s="1"/>
  <c r="AF201" i="10" s="1"/>
  <c r="CV312" i="10" a="1"/>
  <c r="CV312" i="10" s="1"/>
  <c r="CW312" i="10" a="1"/>
  <c r="CW312" i="10" s="1"/>
  <c r="CW273" i="10" a="1"/>
  <c r="CW273" i="10" s="1"/>
  <c r="CV273" i="10" a="1"/>
  <c r="CV273" i="10" s="1"/>
  <c r="CR162" i="10" a="1"/>
  <c r="CR162" i="10" s="1"/>
  <c r="CX583" i="10"/>
  <c r="Z583" i="10" s="1"/>
  <c r="AF583" i="10" s="1"/>
  <c r="CR138" i="10" a="1"/>
  <c r="CR138" i="10" s="1"/>
  <c r="CX138" i="10" s="1"/>
  <c r="Z138" i="10" s="1"/>
  <c r="CV451" i="10" a="1"/>
  <c r="CV451" i="10" s="1"/>
  <c r="CW451" i="10" a="1"/>
  <c r="CW451" i="10" s="1"/>
  <c r="CB793" i="10"/>
  <c r="S793" i="10" s="1"/>
  <c r="AF793" i="10" s="1"/>
  <c r="BZ617" i="10" a="1"/>
  <c r="BZ617" i="10" s="1"/>
  <c r="CA617" i="10" a="1"/>
  <c r="CA617" i="10" s="1"/>
  <c r="CB702" i="10"/>
  <c r="S702" i="10" s="1"/>
  <c r="AF702" i="10" s="1"/>
  <c r="CB604" i="10"/>
  <c r="S604" i="10" s="1"/>
  <c r="CW746" i="10" a="1"/>
  <c r="CW746" i="10" s="1"/>
  <c r="CV746" i="10" a="1"/>
  <c r="CV746" i="10" s="1"/>
  <c r="CX924" i="10"/>
  <c r="Z924" i="10" s="1"/>
  <c r="AF924" i="10" s="1"/>
  <c r="CX787" i="10"/>
  <c r="Z787" i="10" s="1"/>
  <c r="AF787" i="10" s="1"/>
  <c r="CB309" i="10"/>
  <c r="S309" i="10" s="1"/>
  <c r="AF309" i="10" s="1"/>
  <c r="CX418" i="10"/>
  <c r="Z418" i="10" s="1"/>
  <c r="AF418" i="10" s="1"/>
  <c r="CV613" i="10" a="1"/>
  <c r="CV613" i="10" s="1"/>
  <c r="CX613" i="10" s="1"/>
  <c r="Z613" i="10" s="1"/>
  <c r="CR609" i="10" a="1"/>
  <c r="CR609" i="10" s="1"/>
  <c r="CX609" i="10" s="1"/>
  <c r="Z609" i="10" s="1"/>
  <c r="BZ539" i="10" a="1"/>
  <c r="BZ539" i="10" s="1"/>
  <c r="CA539" i="10" a="1"/>
  <c r="CA539" i="10" s="1"/>
  <c r="CW371" i="10" a="1"/>
  <c r="CW371" i="10" s="1"/>
  <c r="CV371" i="10" a="1"/>
  <c r="CV371" i="10" s="1"/>
  <c r="BR349" i="10" a="1"/>
  <c r="BR349" i="10" s="1"/>
  <c r="CB349" i="10" s="1"/>
  <c r="S349" i="10" s="1"/>
  <c r="AF349" i="10" s="1"/>
  <c r="CA345" i="10" a="1"/>
  <c r="CA345" i="10" s="1"/>
  <c r="BZ345" i="10" a="1"/>
  <c r="BZ345" i="10" s="1"/>
  <c r="CB465" i="10"/>
  <c r="S465" i="10" s="1"/>
  <c r="AF465" i="10" s="1"/>
  <c r="CX398" i="10"/>
  <c r="Z398" i="10" s="1"/>
  <c r="CB491" i="10"/>
  <c r="S491" i="10" s="1"/>
  <c r="AF491" i="10" s="1"/>
  <c r="BZ467" i="10" a="1"/>
  <c r="BZ467" i="10" s="1"/>
  <c r="CA467" i="10" a="1"/>
  <c r="CA467" i="10" s="1"/>
  <c r="CV680" i="10" a="1"/>
  <c r="CV680" i="10" s="1"/>
  <c r="CX680" i="10" s="1"/>
  <c r="Z680" i="10" s="1"/>
  <c r="AF680" i="10" s="1"/>
  <c r="CW680" i="10" a="1"/>
  <c r="CW680" i="10" s="1"/>
  <c r="CX641" i="10"/>
  <c r="Z641" i="10" s="1"/>
  <c r="BV572" i="10" a="1"/>
  <c r="BV572" i="10" s="1"/>
  <c r="CW756" i="10" a="1"/>
  <c r="CW756" i="10" s="1"/>
  <c r="CV756" i="10" a="1"/>
  <c r="CV756" i="10" s="1"/>
  <c r="CX756" i="10" s="1"/>
  <c r="Z756" i="10" s="1"/>
  <c r="AF756" i="10" s="1"/>
  <c r="CX470" i="10"/>
  <c r="Z470" i="10" s="1"/>
  <c r="CA613" i="10" a="1"/>
  <c r="CA613" i="10" s="1"/>
  <c r="BZ613" i="10" a="1"/>
  <c r="BZ613" i="10" s="1"/>
  <c r="CW925" i="10" a="1"/>
  <c r="CW925" i="10" s="1"/>
  <c r="CV925" i="10" a="1"/>
  <c r="CV925" i="10" s="1"/>
  <c r="BV979" i="10" a="1"/>
  <c r="BV979" i="10" s="1"/>
  <c r="CR1009" i="10" a="1"/>
  <c r="CR1009" i="10" s="1"/>
  <c r="CX1009" i="10" s="1"/>
  <c r="Z1009" i="10" s="1"/>
  <c r="CR411" i="10" a="1"/>
  <c r="CR411" i="10" s="1"/>
  <c r="CX411" i="10" s="1"/>
  <c r="Z411" i="10" s="1"/>
  <c r="AF411" i="10" s="1"/>
  <c r="BV298" i="10" a="1"/>
  <c r="BV298" i="10" s="1"/>
  <c r="CB298" i="10" s="1"/>
  <c r="S298" i="10" s="1"/>
  <c r="CN394" i="10" a="1"/>
  <c r="CN394" i="10" s="1"/>
  <c r="CX394" i="10" s="1"/>
  <c r="Z394" i="10" s="1"/>
  <c r="BV445" i="10" a="1"/>
  <c r="BV445" i="10" s="1"/>
  <c r="CB445" i="10" s="1"/>
  <c r="S445" i="10" s="1"/>
  <c r="AF445" i="10" s="1"/>
  <c r="AF534" i="10"/>
  <c r="CN477" i="10" a="1"/>
  <c r="CN477" i="10" s="1"/>
  <c r="CX477" i="10" s="1"/>
  <c r="Z477" i="10" s="1"/>
  <c r="AF477" i="10" s="1"/>
  <c r="CN502" i="10" a="1"/>
  <c r="CN502" i="10" s="1"/>
  <c r="CX502" i="10" s="1"/>
  <c r="Z502" i="10" s="1"/>
  <c r="CV827" i="10" a="1"/>
  <c r="CV827" i="10" s="1"/>
  <c r="BZ372" i="10" a="1"/>
  <c r="BZ372" i="10" s="1"/>
  <c r="CV437" i="10" a="1"/>
  <c r="CV437" i="10" s="1"/>
  <c r="CX437" i="10" s="1"/>
  <c r="Z437" i="10" s="1"/>
  <c r="AF437" i="10" s="1"/>
  <c r="CV677" i="10" a="1"/>
  <c r="CV677" i="10" s="1"/>
  <c r="CX677" i="10" s="1"/>
  <c r="Z677" i="10" s="1"/>
  <c r="CV810" i="10" a="1"/>
  <c r="CV810" i="10" s="1"/>
  <c r="CX810" i="10" s="1"/>
  <c r="Z810" i="10" s="1"/>
  <c r="BR840" i="10" a="1"/>
  <c r="BR840" i="10" s="1"/>
  <c r="CB840" i="10" s="1"/>
  <c r="S840" i="10" s="1"/>
  <c r="AF840" i="10" s="1"/>
  <c r="CR228" i="10" a="1"/>
  <c r="CR228" i="10" s="1"/>
  <c r="CX228" i="10" s="1"/>
  <c r="Z228" i="10" s="1"/>
  <c r="CV134" i="10" a="1"/>
  <c r="CV134" i="10" s="1"/>
  <c r="CX134" i="10" s="1"/>
  <c r="Z134" i="10" s="1"/>
  <c r="CN441" i="10" a="1"/>
  <c r="CN441" i="10" s="1"/>
  <c r="CX441" i="10" s="1"/>
  <c r="Z441" i="10" s="1"/>
  <c r="CR529" i="10" a="1"/>
  <c r="CR529" i="10" s="1"/>
  <c r="CV533" i="10" a="1"/>
  <c r="CV533" i="10" s="1"/>
  <c r="BV989" i="10" a="1"/>
  <c r="BV989" i="10" s="1"/>
  <c r="CB989" i="10" s="1"/>
  <c r="S989" i="10" s="1"/>
  <c r="AF989" i="10" s="1"/>
  <c r="CN645" i="10" a="1"/>
  <c r="CN645" i="10" s="1"/>
  <c r="CX645" i="10" s="1"/>
  <c r="Z645" i="10" s="1"/>
  <c r="AF645" i="10" s="1"/>
  <c r="BV565" i="10" a="1"/>
  <c r="BV565" i="10" s="1"/>
  <c r="CB565" i="10" s="1"/>
  <c r="S565" i="10" s="1"/>
  <c r="AF565" i="10" s="1"/>
  <c r="BR785" i="10" a="1"/>
  <c r="BR785" i="10" s="1"/>
  <c r="CB785" i="10" s="1"/>
  <c r="S785" i="10" s="1"/>
  <c r="AF785" i="10" s="1"/>
  <c r="CN539" i="10" a="1"/>
  <c r="CN539" i="10" s="1"/>
  <c r="CX539" i="10" s="1"/>
  <c r="Z539" i="10" s="1"/>
  <c r="BV261" i="10" a="1"/>
  <c r="BV261" i="10" s="1"/>
  <c r="CB261" i="10" s="1"/>
  <c r="S261" i="10" s="1"/>
  <c r="CN206" i="10" a="1"/>
  <c r="CN206" i="10" s="1"/>
  <c r="CX206" i="10" s="1"/>
  <c r="Z206" i="10" s="1"/>
  <c r="AF206" i="10" s="1"/>
  <c r="CN220" i="10" a="1"/>
  <c r="CN220" i="10" s="1"/>
  <c r="CX220" i="10" s="1"/>
  <c r="Z220" i="10" s="1"/>
  <c r="AF220" i="10" s="1"/>
  <c r="CN373" i="10" a="1"/>
  <c r="CN373" i="10" s="1"/>
  <c r="CX373" i="10" s="1"/>
  <c r="Z373" i="10" s="1"/>
  <c r="AF373" i="10" s="1"/>
  <c r="CV353" i="10" a="1"/>
  <c r="CV353" i="10" s="1"/>
  <c r="CX353" i="10" s="1"/>
  <c r="Z353" i="10" s="1"/>
  <c r="AF353" i="10" s="1"/>
  <c r="BV268" i="10" a="1"/>
  <c r="BV268" i="10" s="1"/>
  <c r="CB268" i="10" s="1"/>
  <c r="S268" i="10" s="1"/>
  <c r="AF268" i="10" s="1"/>
  <c r="BZ232" i="10" a="1"/>
  <c r="BZ232" i="10" s="1"/>
  <c r="CB232" i="10" s="1"/>
  <c r="S232" i="10" s="1"/>
  <c r="AF232" i="10" s="1"/>
  <c r="CV475" i="10" a="1"/>
  <c r="CV475" i="10" s="1"/>
  <c r="CX475" i="10" s="1"/>
  <c r="Z475" i="10" s="1"/>
  <c r="BZ681" i="10" a="1"/>
  <c r="BZ681" i="10" s="1"/>
  <c r="CB681" i="10" s="1"/>
  <c r="S681" i="10" s="1"/>
  <c r="AF681" i="10" s="1"/>
  <c r="BR592" i="10" a="1"/>
  <c r="BR592" i="10" s="1"/>
  <c r="CB592" i="10" s="1"/>
  <c r="S592" i="10" s="1"/>
  <c r="AF592" i="10" s="1"/>
  <c r="CN637" i="10" a="1"/>
  <c r="CN637" i="10" s="1"/>
  <c r="CX637" i="10" s="1"/>
  <c r="Z637" i="10" s="1"/>
  <c r="AF637" i="10" s="1"/>
  <c r="BZ750" i="10" a="1"/>
  <c r="BZ750" i="10" s="1"/>
  <c r="CV774" i="10" a="1"/>
  <c r="CV774" i="10" s="1"/>
  <c r="CX774" i="10" s="1"/>
  <c r="Z774" i="10" s="1"/>
  <c r="CR937" i="10" a="1"/>
  <c r="CR937" i="10" s="1"/>
  <c r="CX937" i="10" s="1"/>
  <c r="Z937" i="10" s="1"/>
  <c r="BZ269" i="10" a="1"/>
  <c r="BZ269" i="10" s="1"/>
  <c r="CB269" i="10" s="1"/>
  <c r="S269" i="10" s="1"/>
  <c r="AF269" i="10" s="1"/>
  <c r="CR298" i="10" a="1"/>
  <c r="CR298" i="10" s="1"/>
  <c r="CX298" i="10" s="1"/>
  <c r="Z298" i="10" s="1"/>
  <c r="CN198" i="10" a="1"/>
  <c r="CN198" i="10" s="1"/>
  <c r="CX198" i="10" s="1"/>
  <c r="Z198" i="10" s="1"/>
  <c r="CN414" i="10" a="1"/>
  <c r="CN414" i="10" s="1"/>
  <c r="CN623" i="10" a="1"/>
  <c r="CN623" i="10" s="1"/>
  <c r="CX623" i="10" s="1"/>
  <c r="Z623" i="10" s="1"/>
  <c r="AF623" i="10" s="1"/>
  <c r="BV609" i="10" a="1"/>
  <c r="BV609" i="10" s="1"/>
  <c r="CB609" i="10" s="1"/>
  <c r="S609" i="10" s="1"/>
  <c r="AF609" i="10" s="1"/>
  <c r="CN766" i="10" a="1"/>
  <c r="CN766" i="10" s="1"/>
  <c r="CX766" i="10" s="1"/>
  <c r="Z766" i="10" s="1"/>
  <c r="AF766" i="10" s="1"/>
  <c r="BR738" i="10" a="1"/>
  <c r="BR738" i="10" s="1"/>
  <c r="CB738" i="10" s="1"/>
  <c r="S738" i="10" s="1"/>
  <c r="AF738" i="10" s="1"/>
  <c r="CV945" i="10" a="1"/>
  <c r="CV945" i="10" s="1"/>
  <c r="BV234" i="10" a="1"/>
  <c r="BV234" i="10" s="1"/>
  <c r="CB234" i="10" s="1"/>
  <c r="S234" i="10" s="1"/>
  <c r="AF234" i="10" s="1"/>
  <c r="CN435" i="10" a="1"/>
  <c r="CN435" i="10" s="1"/>
  <c r="CX435" i="10" s="1"/>
  <c r="Z435" i="10" s="1"/>
  <c r="AF435" i="10" s="1"/>
  <c r="BR629" i="10" a="1"/>
  <c r="BR629" i="10" s="1"/>
  <c r="CB629" i="10" s="1"/>
  <c r="S629" i="10" s="1"/>
  <c r="AF629" i="10" s="1"/>
  <c r="CN806" i="10" a="1"/>
  <c r="CN806" i="10" s="1"/>
  <c r="CX806" i="10" s="1"/>
  <c r="Z806" i="10" s="1"/>
  <c r="BZ998" i="10" a="1"/>
  <c r="BZ998" i="10" s="1"/>
  <c r="CB998" i="10" s="1"/>
  <c r="S998" i="10" s="1"/>
  <c r="AF998" i="10" s="1"/>
  <c r="CV954" i="10" a="1"/>
  <c r="CV954" i="10" s="1"/>
  <c r="CX954" i="10" s="1"/>
  <c r="Z954" i="10" s="1"/>
  <c r="CN499" i="10" a="1"/>
  <c r="CN499" i="10" s="1"/>
  <c r="CX499" i="10" s="1"/>
  <c r="Z499" i="10" s="1"/>
  <c r="BR706" i="10" a="1"/>
  <c r="BR706" i="10" s="1"/>
  <c r="CB706" i="10" s="1"/>
  <c r="S706" i="10" s="1"/>
  <c r="AF706" i="10" s="1"/>
  <c r="CN905" i="10" a="1"/>
  <c r="CN905" i="10" s="1"/>
  <c r="CX905" i="10" s="1"/>
  <c r="Z905" i="10" s="1"/>
  <c r="CB109" i="10"/>
  <c r="S109" i="10" s="1"/>
  <c r="BR94" i="10" a="1"/>
  <c r="BR94" i="10" s="1"/>
  <c r="BZ70" i="10" a="1"/>
  <c r="BZ70" i="10" s="1"/>
  <c r="BR44" i="10" a="1"/>
  <c r="BR44" i="10" s="1"/>
  <c r="BV105" i="10" a="1"/>
  <c r="BV105" i="10" s="1"/>
  <c r="CR113" i="10" a="1"/>
  <c r="CR113" i="10" s="1"/>
  <c r="CB54" i="10"/>
  <c r="S54" i="10" s="1"/>
  <c r="CX84" i="10"/>
  <c r="Z84" i="10" s="1"/>
  <c r="BZ95" i="10" a="1"/>
  <c r="BZ95" i="10" s="1"/>
  <c r="CB116" i="10"/>
  <c r="S116" i="10" s="1"/>
  <c r="BR70" i="10" a="1"/>
  <c r="BR70" i="10" s="1"/>
  <c r="CB70" i="10" s="1"/>
  <c r="S70" i="10" s="1"/>
  <c r="BR73" i="10" a="1"/>
  <c r="BR73" i="10" s="1"/>
  <c r="CB73" i="10" s="1"/>
  <c r="S73" i="10" s="1"/>
  <c r="BR108" i="10" a="1"/>
  <c r="BR108" i="10" s="1"/>
  <c r="CB120" i="10"/>
  <c r="S120" i="10" s="1"/>
  <c r="BR58" i="10" a="1"/>
  <c r="BR58" i="10" s="1"/>
  <c r="CB30" i="10"/>
  <c r="S30" i="10" s="1"/>
  <c r="AF30" i="10" s="1"/>
  <c r="CB65" i="10"/>
  <c r="S65" i="10" s="1"/>
  <c r="AF65" i="10" s="1"/>
  <c r="CX105" i="10"/>
  <c r="Z105" i="10" s="1"/>
  <c r="BV101" i="10" a="1"/>
  <c r="BV101" i="10" s="1"/>
  <c r="CB101" i="10" s="1"/>
  <c r="S101" i="10" s="1"/>
  <c r="AF101" i="10" s="1"/>
  <c r="CN56" i="10" a="1"/>
  <c r="CN56" i="10" s="1"/>
  <c r="BR69" i="10" a="1"/>
  <c r="BR69" i="10" s="1"/>
  <c r="BR72" i="10" a="1"/>
  <c r="BR72" i="10" s="1"/>
  <c r="BR26" i="10" a="1"/>
  <c r="BR26" i="10" s="1"/>
  <c r="BR33" i="10" a="1"/>
  <c r="BR33" i="10" s="1"/>
  <c r="CB33" i="10" s="1"/>
  <c r="S33" i="10" s="1"/>
  <c r="CB93" i="10"/>
  <c r="S93" i="10" s="1"/>
  <c r="CR31" i="10" a="1"/>
  <c r="CR31" i="10" s="1"/>
  <c r="CR54" i="10" a="1"/>
  <c r="CR54" i="10" s="1"/>
  <c r="BV108" i="10" a="1"/>
  <c r="BV108" i="10" s="1"/>
  <c r="CA114" i="10" a="1"/>
  <c r="CA114" i="10" s="1"/>
  <c r="CB114" i="10" s="1"/>
  <c r="S114" i="10" s="1"/>
  <c r="CB32" i="10"/>
  <c r="S32" i="10" s="1"/>
  <c r="AF32" i="10" s="1"/>
  <c r="CB83" i="10"/>
  <c r="S83" i="10" s="1"/>
  <c r="BZ67" i="10" a="1"/>
  <c r="BZ67" i="10" s="1"/>
  <c r="BZ68" i="10" a="1"/>
  <c r="BZ68" i="10" s="1"/>
  <c r="CB68" i="10" s="1"/>
  <c r="S68" i="10" s="1"/>
  <c r="CR103" i="10" a="1"/>
  <c r="CR103" i="10" s="1"/>
  <c r="CX103" i="10" s="1"/>
  <c r="Z103" i="10" s="1"/>
  <c r="BV28" i="10" a="1"/>
  <c r="BV28" i="10" s="1"/>
  <c r="CA117" i="10" a="1"/>
  <c r="CA117" i="10" s="1"/>
  <c r="CB117" i="10" s="1"/>
  <c r="S117" i="10" s="1"/>
  <c r="CV113" i="10" a="1"/>
  <c r="CV113" i="10" s="1"/>
  <c r="BR66" i="10" a="1"/>
  <c r="BR66" i="10" s="1"/>
  <c r="CB66" i="10" s="1"/>
  <c r="CB58" i="10"/>
  <c r="S58" i="10" s="1"/>
  <c r="BR114" i="10" a="1"/>
  <c r="BR114" i="10" s="1"/>
  <c r="BZ122" i="10" a="1"/>
  <c r="BZ122" i="10" s="1"/>
  <c r="CN66" i="10" a="1"/>
  <c r="CN66" i="10" s="1"/>
  <c r="BR90" i="10" a="1"/>
  <c r="BR90" i="10" s="1"/>
  <c r="CV52" i="10" a="1"/>
  <c r="CV52" i="10" s="1"/>
  <c r="BV36" i="10" a="1"/>
  <c r="BV36" i="10" s="1"/>
  <c r="BR35" i="10" a="1"/>
  <c r="BR35" i="10" s="1"/>
  <c r="CN44" i="10" a="1"/>
  <c r="CN44" i="10" s="1"/>
  <c r="CW107" i="10" a="1"/>
  <c r="CW107" i="10" s="1"/>
  <c r="CN89" i="10" a="1"/>
  <c r="CN89" i="10" s="1"/>
  <c r="CB89" i="10"/>
  <c r="S89" i="10" s="1"/>
  <c r="CX108" i="10"/>
  <c r="Z108" i="10" s="1"/>
  <c r="BZ25" i="10" a="1"/>
  <c r="BZ25" i="10" s="1"/>
  <c r="CX110" i="10"/>
  <c r="Z110" i="10" s="1"/>
  <c r="AF110" i="10" s="1"/>
  <c r="CB50" i="10"/>
  <c r="S50" i="10" s="1"/>
  <c r="S106" i="10"/>
  <c r="AF106" i="10" s="1"/>
  <c r="CB96" i="10"/>
  <c r="S96" i="10" s="1"/>
  <c r="BR63" i="10" a="1"/>
  <c r="BR63" i="10" s="1"/>
  <c r="CX77" i="10"/>
  <c r="Z77" i="10" s="1"/>
  <c r="CX94" i="10"/>
  <c r="Z94" i="10" s="1"/>
  <c r="S119" i="10"/>
  <c r="AF119" i="10" s="1"/>
  <c r="CX92" i="10"/>
  <c r="Z92" i="10" s="1"/>
  <c r="BZ48" i="10" a="1"/>
  <c r="BZ48" i="10" s="1"/>
  <c r="CB48" i="10" s="1"/>
  <c r="S48" i="10" s="1"/>
  <c r="AF48" i="10" s="1"/>
  <c r="BV91" i="10" a="1"/>
  <c r="BV91" i="10" s="1"/>
  <c r="CB45" i="10"/>
  <c r="S45" i="10" s="1"/>
  <c r="CX39" i="10"/>
  <c r="Z39" i="10" s="1"/>
  <c r="CV38" i="10" a="1"/>
  <c r="CV38" i="10" s="1"/>
  <c r="S27" i="10"/>
  <c r="CB80" i="10"/>
  <c r="S80" i="10" s="1"/>
  <c r="CR24" i="10" a="1"/>
  <c r="CR24" i="10" s="1"/>
  <c r="CN97" i="10" a="1"/>
  <c r="CN97" i="10" s="1"/>
  <c r="BR122" i="10" a="1"/>
  <c r="BR122" i="10" s="1"/>
  <c r="CB62" i="10"/>
  <c r="S62" i="10" s="1"/>
  <c r="BV53" i="10" a="1"/>
  <c r="BV53" i="10" s="1"/>
  <c r="CB98" i="10"/>
  <c r="S98" i="10" s="1"/>
  <c r="CB100" i="10"/>
  <c r="S100" i="10" s="1"/>
  <c r="CX116" i="10"/>
  <c r="Z116" i="10" s="1"/>
  <c r="BR38" i="10" a="1"/>
  <c r="BR38" i="10" s="1"/>
  <c r="BV37" i="10" a="1"/>
  <c r="BV37" i="10" s="1"/>
  <c r="CX81" i="10"/>
  <c r="Z81" i="10" s="1"/>
  <c r="CX101" i="10"/>
  <c r="Z101" i="10" s="1"/>
  <c r="CX99" i="10"/>
  <c r="Z99" i="10" s="1"/>
  <c r="CB39" i="10"/>
  <c r="S39" i="10" s="1"/>
  <c r="AF39" i="10" s="1"/>
  <c r="CB44" i="10"/>
  <c r="S44" i="10" s="1"/>
  <c r="CN100" i="10" a="1"/>
  <c r="CN100" i="10" s="1"/>
  <c r="CX27" i="10"/>
  <c r="Z27" i="10" s="1"/>
  <c r="BV75" i="10" a="1"/>
  <c r="BV75" i="10" s="1"/>
  <c r="CX96" i="10"/>
  <c r="Z96" i="10" s="1"/>
  <c r="CX28" i="10"/>
  <c r="Z28" i="10" s="1"/>
  <c r="Z61" i="10"/>
  <c r="AF61" i="10" s="1"/>
  <c r="CR40" i="10" a="1"/>
  <c r="CR40" i="10" s="1"/>
  <c r="CX36" i="10"/>
  <c r="Z36" i="10" s="1"/>
  <c r="CX29" i="10"/>
  <c r="Z29" i="10" s="1"/>
  <c r="AF29" i="10" s="1"/>
  <c r="CX31" i="10"/>
  <c r="Z31" i="10" s="1"/>
  <c r="CN72" i="10" a="1"/>
  <c r="CN72" i="10" s="1"/>
  <c r="CX72" i="10" s="1"/>
  <c r="Z72" i="10" s="1"/>
  <c r="CN57" i="10" a="1"/>
  <c r="CN57" i="10" s="1"/>
  <c r="S42" i="10"/>
  <c r="AF42" i="10" s="1"/>
  <c r="CB115" i="10"/>
  <c r="S115" i="10" s="1"/>
  <c r="BR24" i="10" a="1"/>
  <c r="BR24" i="10" s="1"/>
  <c r="CB77" i="10"/>
  <c r="S77" i="10" s="1"/>
  <c r="CX66" i="10"/>
  <c r="Z66" i="10" s="1"/>
  <c r="CB51" i="10"/>
  <c r="S51" i="10" s="1"/>
  <c r="CX33" i="10"/>
  <c r="Z33" i="10" s="1"/>
  <c r="CB34" i="10"/>
  <c r="S34" i="10" s="1"/>
  <c r="CB102" i="10"/>
  <c r="S102" i="10" s="1"/>
  <c r="AF102" i="10" s="1"/>
  <c r="CX118" i="10"/>
  <c r="Z118" i="10" s="1"/>
  <c r="CX37" i="10"/>
  <c r="Z37" i="10" s="1"/>
  <c r="CX50" i="10"/>
  <c r="Z50" i="10" s="1"/>
  <c r="CB64" i="10"/>
  <c r="S64" i="10" s="1"/>
  <c r="CB107" i="10"/>
  <c r="S107" i="10" s="1"/>
  <c r="CW111" i="10" a="1"/>
  <c r="CW111" i="10" s="1"/>
  <c r="CX102" i="10"/>
  <c r="Z102" i="10" s="1"/>
  <c r="CX58" i="10"/>
  <c r="CB26" i="10"/>
  <c r="S26" i="10" s="1"/>
  <c r="BZ78" i="10" a="1"/>
  <c r="BZ78" i="10" s="1"/>
  <c r="CB78" i="10" s="1"/>
  <c r="S78" i="10" s="1"/>
  <c r="CX83" i="10"/>
  <c r="CX44" i="10"/>
  <c r="CB67" i="10"/>
  <c r="CR56" i="10" a="1"/>
  <c r="CR56" i="10" s="1"/>
  <c r="CV56" i="10" a="1"/>
  <c r="CV56" i="10" s="1"/>
  <c r="CN107" i="10" a="1"/>
  <c r="CN107" i="10" s="1"/>
  <c r="CX107" i="10" s="1"/>
  <c r="Z107" i="10" s="1"/>
  <c r="CX41" i="10"/>
  <c r="Z41" i="10" s="1"/>
  <c r="CR114" i="10" a="1"/>
  <c r="CR114" i="10" s="1"/>
  <c r="CV24" i="10" a="1"/>
  <c r="CV24" i="10" s="1"/>
  <c r="CB47" i="10"/>
  <c r="S47" i="10" s="1"/>
  <c r="BZ55" i="10" a="1"/>
  <c r="BZ55" i="10" s="1"/>
  <c r="CB55" i="10" s="1"/>
  <c r="CN49" i="10" a="1"/>
  <c r="CN49" i="10" s="1"/>
  <c r="CR93" i="10" a="1"/>
  <c r="CR93" i="10" s="1"/>
  <c r="CB74" i="10"/>
  <c r="CB118" i="10"/>
  <c r="CX112" i="10"/>
  <c r="Z112" i="10" s="1"/>
  <c r="BR60" i="10" a="1"/>
  <c r="BR60" i="10" s="1"/>
  <c r="BR82" i="10" a="1"/>
  <c r="BR82" i="10" s="1"/>
  <c r="CX82" i="10"/>
  <c r="Z82" i="10" s="1"/>
  <c r="CR64" i="10" a="1"/>
  <c r="CR64" i="10" s="1"/>
  <c r="CB92" i="10"/>
  <c r="CX87" i="10"/>
  <c r="Z87" i="10" s="1"/>
  <c r="CN115" i="10" a="1"/>
  <c r="CN115" i="10" s="1"/>
  <c r="CW113" i="10" a="1"/>
  <c r="CW113" i="10" s="1"/>
  <c r="CX86" i="10"/>
  <c r="Z86" i="10" s="1"/>
  <c r="CB112" i="10"/>
  <c r="CV79" i="10" a="1"/>
  <c r="CV79" i="10" s="1"/>
  <c r="CX79" i="10" s="1"/>
  <c r="Z79" i="10" s="1"/>
  <c r="BV38" i="10" a="1"/>
  <c r="BV38" i="10" s="1"/>
  <c r="CX62" i="10"/>
  <c r="Z62" i="10" s="1"/>
  <c r="CX59" i="10"/>
  <c r="Z59" i="10" s="1"/>
  <c r="BZ56" i="10" a="1"/>
  <c r="BZ56" i="10" s="1"/>
  <c r="CB56" i="10" s="1"/>
  <c r="S56" i="10" s="1"/>
  <c r="CB95" i="10"/>
  <c r="S95" i="10" s="1"/>
  <c r="CR52" i="10" a="1"/>
  <c r="CR52" i="10" s="1"/>
  <c r="CX52" i="10" s="1"/>
  <c r="Z52" i="10" s="1"/>
  <c r="CN35" i="10" a="1"/>
  <c r="CN35" i="10" s="1"/>
  <c r="CN111" i="10" a="1"/>
  <c r="CN111" i="10" s="1"/>
  <c r="CX51" i="10"/>
  <c r="Z51" i="10" s="1"/>
  <c r="AF33" i="10"/>
  <c r="CX25" i="10"/>
  <c r="Z25" i="10" s="1"/>
  <c r="CX46" i="10"/>
  <c r="Z46" i="10" s="1"/>
  <c r="CX90" i="10"/>
  <c r="Z90" i="10" s="1"/>
  <c r="CN47" i="10" a="1"/>
  <c r="CN47" i="10" s="1"/>
  <c r="CX74" i="10"/>
  <c r="Z74" i="10" s="1"/>
  <c r="CN91" i="10" a="1"/>
  <c r="CN91" i="10" s="1"/>
  <c r="CN38" i="10" a="1"/>
  <c r="CN38" i="10" s="1"/>
  <c r="CX38" i="10" s="1"/>
  <c r="Z38" i="10" s="1"/>
  <c r="BR75" i="10" a="1"/>
  <c r="BR75" i="10" s="1"/>
  <c r="CR100" i="10" a="1"/>
  <c r="CR100" i="10" s="1"/>
  <c r="CA63" i="10" a="1"/>
  <c r="CA63" i="10" s="1"/>
  <c r="BZ63" i="10" a="1"/>
  <c r="BZ63" i="10" s="1"/>
  <c r="CV95" i="10" a="1"/>
  <c r="CV95" i="10" s="1"/>
  <c r="CW95" i="10" a="1"/>
  <c r="CW95" i="10" s="1"/>
  <c r="BR121" i="10" a="1"/>
  <c r="BR121" i="10" s="1"/>
  <c r="CA72" i="10" a="1"/>
  <c r="CA72" i="10" s="1"/>
  <c r="BZ72" i="10" a="1"/>
  <c r="BZ72" i="10" s="1"/>
  <c r="BR87" i="10" a="1"/>
  <c r="BR87" i="10" s="1"/>
  <c r="CN93" i="10" a="1"/>
  <c r="CN93" i="10" s="1"/>
  <c r="CN26" i="10" a="1"/>
  <c r="CN26" i="10" s="1"/>
  <c r="CN104" i="10" a="1"/>
  <c r="CN104" i="10" s="1"/>
  <c r="CR70" i="10" a="1"/>
  <c r="CR70" i="10" s="1"/>
  <c r="CX70" i="10" s="1"/>
  <c r="BV121" i="10" a="1"/>
  <c r="BV121" i="10" s="1"/>
  <c r="CW78" i="10" a="1"/>
  <c r="CW78" i="10" s="1"/>
  <c r="CV78" i="10" a="1"/>
  <c r="CV78" i="10" s="1"/>
  <c r="BZ108" i="10" a="1"/>
  <c r="BZ108" i="10" s="1"/>
  <c r="BZ99" i="10" a="1"/>
  <c r="BZ99" i="10" s="1"/>
  <c r="CA99" i="10" a="1"/>
  <c r="CA99" i="10" s="1"/>
  <c r="CW54" i="10" a="1"/>
  <c r="CW54" i="10" s="1"/>
  <c r="CV54" i="10" a="1"/>
  <c r="CV54" i="10" s="1"/>
  <c r="AF88" i="10"/>
  <c r="CA59" i="10" a="1"/>
  <c r="CA59" i="10" s="1"/>
  <c r="BZ59" i="10" a="1"/>
  <c r="BZ59" i="10" s="1"/>
  <c r="CX69" i="10"/>
  <c r="Z69" i="10" s="1"/>
  <c r="BZ69" i="10" a="1"/>
  <c r="BZ69" i="10" s="1"/>
  <c r="CA69" i="10" a="1"/>
  <c r="CA69" i="10" s="1"/>
  <c r="CW121" i="10" a="1"/>
  <c r="CW121" i="10" s="1"/>
  <c r="CV121" i="10" a="1"/>
  <c r="CV121" i="10" s="1"/>
  <c r="BZ111" i="10" a="1"/>
  <c r="BZ111" i="10" s="1"/>
  <c r="CA111" i="10" a="1"/>
  <c r="CA111" i="10" s="1"/>
  <c r="BV94" i="10" a="1"/>
  <c r="BV94" i="10" s="1"/>
  <c r="CB94" i="10" s="1"/>
  <c r="CB103" i="10"/>
  <c r="BR49" i="10" a="1"/>
  <c r="BR49" i="10" s="1"/>
  <c r="CX76" i="10"/>
  <c r="Z76" i="10" s="1"/>
  <c r="BV52" i="10" a="1"/>
  <c r="BV52" i="10" s="1"/>
  <c r="BR104" i="10" a="1"/>
  <c r="BR104" i="10" s="1"/>
  <c r="BV24" i="10" a="1"/>
  <c r="BV24" i="10" s="1"/>
  <c r="CV47" i="10" a="1"/>
  <c r="CV47" i="10" s="1"/>
  <c r="CW47" i="10" a="1"/>
  <c r="CW47" i="10" s="1"/>
  <c r="AF62" i="10"/>
  <c r="CW40" i="10" a="1"/>
  <c r="CW40" i="10" s="1"/>
  <c r="CV40" i="10" a="1"/>
  <c r="CV40" i="10" s="1"/>
  <c r="CB113" i="10"/>
  <c r="S113" i="10" s="1"/>
  <c r="BR37" i="10" a="1"/>
  <c r="BR37" i="10" s="1"/>
  <c r="BZ97" i="10" a="1"/>
  <c r="BZ97" i="10" s="1"/>
  <c r="CA97" i="10" a="1"/>
  <c r="CA97" i="10" s="1"/>
  <c r="CW89" i="10" a="1"/>
  <c r="CW89" i="10" s="1"/>
  <c r="CV89" i="10" a="1"/>
  <c r="CV89" i="10" s="1"/>
  <c r="BV82" i="10" a="1"/>
  <c r="BV82" i="10" s="1"/>
  <c r="CB82" i="10" s="1"/>
  <c r="BR76" i="10" a="1"/>
  <c r="BR76" i="10" s="1"/>
  <c r="CN64" i="10" a="1"/>
  <c r="CN64" i="10" s="1"/>
  <c r="CW64" i="10" a="1"/>
  <c r="CW64" i="10" s="1"/>
  <c r="CV64" i="10" a="1"/>
  <c r="CV64" i="10" s="1"/>
  <c r="CX49" i="10"/>
  <c r="Z49" i="10" s="1"/>
  <c r="CV91" i="10" a="1"/>
  <c r="CV91" i="10" s="1"/>
  <c r="CW91" i="10" a="1"/>
  <c r="CW91" i="10" s="1"/>
  <c r="BV49" i="10" a="1"/>
  <c r="BV49" i="10" s="1"/>
  <c r="CV109" i="10" a="1"/>
  <c r="CV109" i="10" s="1"/>
  <c r="CW109" i="10" a="1"/>
  <c r="CW109" i="10" s="1"/>
  <c r="CV122" i="10" a="1"/>
  <c r="CV122" i="10" s="1"/>
  <c r="CX122" i="10" s="1"/>
  <c r="BR105" i="10" a="1"/>
  <c r="BR105" i="10" s="1"/>
  <c r="BR31" i="10" a="1"/>
  <c r="BR31" i="10" s="1"/>
  <c r="BV90" i="10" a="1"/>
  <c r="BV90" i="10" s="1"/>
  <c r="CR97" i="10" a="1"/>
  <c r="CR97" i="10" s="1"/>
  <c r="CN121" i="10" a="1"/>
  <c r="CN121" i="10" s="1"/>
  <c r="CX121" i="10" s="1"/>
  <c r="Z121" i="10" s="1"/>
  <c r="BV97" i="10" a="1"/>
  <c r="BV97" i="10" s="1"/>
  <c r="AF98" i="10"/>
  <c r="CW117" i="10" a="1"/>
  <c r="CW117" i="10" s="1"/>
  <c r="CV117" i="10" a="1"/>
  <c r="CV117" i="10" s="1"/>
  <c r="BR59" i="10" a="1"/>
  <c r="BR59" i="10" s="1"/>
  <c r="CA60" i="10" a="1"/>
  <c r="CA60" i="10" s="1"/>
  <c r="BZ60" i="10" a="1"/>
  <c r="BZ60" i="10" s="1"/>
  <c r="CR95" i="10" a="1"/>
  <c r="CR95" i="10" s="1"/>
  <c r="CX95" i="10" s="1"/>
  <c r="CV104" i="10" a="1"/>
  <c r="CV104" i="10" s="1"/>
  <c r="CA81" i="10" a="1"/>
  <c r="CA81" i="10" s="1"/>
  <c r="BZ81" i="10" a="1"/>
  <c r="BZ81" i="10" s="1"/>
  <c r="CA87" i="10" a="1"/>
  <c r="CA87" i="10" s="1"/>
  <c r="BZ87" i="10" a="1"/>
  <c r="BZ87" i="10" s="1"/>
  <c r="BV79" i="10" a="1"/>
  <c r="BV79" i="10" s="1"/>
  <c r="CB79" i="10" s="1"/>
  <c r="S79" i="10" s="1"/>
  <c r="CW45" i="10" a="1"/>
  <c r="CW45" i="10" s="1"/>
  <c r="CV45" i="10" a="1"/>
  <c r="CV45" i="10" s="1"/>
  <c r="BZ46" i="10" a="1"/>
  <c r="BZ46" i="10" s="1"/>
  <c r="CA46" i="10" a="1"/>
  <c r="CA46" i="10" s="1"/>
  <c r="BV63" i="10" a="1"/>
  <c r="BV63" i="10" s="1"/>
  <c r="BR40" i="10" a="1"/>
  <c r="BR40" i="10" s="1"/>
  <c r="BV69" i="10" a="1"/>
  <c r="BV69" i="10" s="1"/>
  <c r="CN80" i="10" a="1"/>
  <c r="CN80" i="10" s="1"/>
  <c r="CX80" i="10" s="1"/>
  <c r="AF96" i="10"/>
  <c r="AF116" i="10"/>
  <c r="CV114" i="10" a="1"/>
  <c r="CV114" i="10" s="1"/>
  <c r="CW114" i="10" a="1"/>
  <c r="CW114" i="10" s="1"/>
  <c r="AF84" i="10"/>
  <c r="CV68" i="10" a="1"/>
  <c r="CV68" i="10" s="1"/>
  <c r="CW68" i="10" a="1"/>
  <c r="CW68" i="10" s="1"/>
  <c r="CR45" i="10" a="1"/>
  <c r="CR45" i="10" s="1"/>
  <c r="CA37" i="10" a="1"/>
  <c r="CA37" i="10" s="1"/>
  <c r="BZ37" i="10" a="1"/>
  <c r="BZ37" i="10" s="1"/>
  <c r="CN120" i="10" a="1"/>
  <c r="CN120" i="10" s="1"/>
  <c r="CX120" i="10" s="1"/>
  <c r="CA91" i="10" a="1"/>
  <c r="CA91" i="10" s="1"/>
  <c r="BZ91" i="10" a="1"/>
  <c r="BZ91" i="10" s="1"/>
  <c r="CA104" i="10" a="1"/>
  <c r="CA104" i="10" s="1"/>
  <c r="BZ104" i="10" a="1"/>
  <c r="BZ104" i="10" s="1"/>
  <c r="CW43" i="10" a="1"/>
  <c r="CW43" i="10" s="1"/>
  <c r="CV43" i="10" a="1"/>
  <c r="CV43" i="10" s="1"/>
  <c r="BZ121" i="10" a="1"/>
  <c r="BZ121" i="10" s="1"/>
  <c r="CA121" i="10" a="1"/>
  <c r="CA121" i="10" s="1"/>
  <c r="CX73" i="10"/>
  <c r="BV35" i="10" a="1"/>
  <c r="BV35" i="10" s="1"/>
  <c r="BR25" i="10" a="1"/>
  <c r="BR25" i="10" s="1"/>
  <c r="CB25" i="10" s="1"/>
  <c r="CV35" i="10" a="1"/>
  <c r="CV35" i="10" s="1"/>
  <c r="CX35" i="10" s="1"/>
  <c r="Z35" i="10" s="1"/>
  <c r="BV41" i="10" a="1"/>
  <c r="BV41" i="10" s="1"/>
  <c r="BR28" i="10" a="1"/>
  <c r="BR28" i="10" s="1"/>
  <c r="CB28" i="10" s="1"/>
  <c r="CA52" i="10" a="1"/>
  <c r="CA52" i="10" s="1"/>
  <c r="BZ52" i="10" a="1"/>
  <c r="BZ52" i="10" s="1"/>
  <c r="BZ53" i="10" a="1"/>
  <c r="BZ53" i="10" s="1"/>
  <c r="CA53" i="10" a="1"/>
  <c r="CA53" i="10" s="1"/>
  <c r="BR71" i="10" a="1"/>
  <c r="BR71" i="10" s="1"/>
  <c r="CR115" i="10" a="1"/>
  <c r="CR115" i="10" s="1"/>
  <c r="CA41" i="10" a="1"/>
  <c r="CA41" i="10" s="1"/>
  <c r="BZ41" i="10" a="1"/>
  <c r="BZ41" i="10" s="1"/>
  <c r="BR53" i="10" a="1"/>
  <c r="BR53" i="10" s="1"/>
  <c r="BZ31" i="10" a="1"/>
  <c r="BZ31" i="10" s="1"/>
  <c r="CA31" i="10" a="1"/>
  <c r="CA31" i="10" s="1"/>
  <c r="CA24" i="10" a="1"/>
  <c r="CA24" i="10" s="1"/>
  <c r="BZ24" i="10" a="1"/>
  <c r="BZ24" i="10" s="1"/>
  <c r="BZ36" i="10" a="1"/>
  <c r="BZ36" i="10" s="1"/>
  <c r="BV43" i="10" a="1"/>
  <c r="BV43" i="10" s="1"/>
  <c r="CB43" i="10" s="1"/>
  <c r="S43" i="10" s="1"/>
  <c r="BV71" i="10" a="1"/>
  <c r="BV71" i="10" s="1"/>
  <c r="CR85" i="10" a="1"/>
  <c r="CR85" i="10" s="1"/>
  <c r="CX85" i="10" s="1"/>
  <c r="CN60" i="10" a="1"/>
  <c r="CN60" i="10" s="1"/>
  <c r="BV111" i="10" a="1"/>
  <c r="BV111" i="10" s="1"/>
  <c r="CW57" i="10" a="1"/>
  <c r="CW57" i="10" s="1"/>
  <c r="CV57" i="10" a="1"/>
  <c r="CV57" i="10" s="1"/>
  <c r="CW34" i="10" a="1"/>
  <c r="CW34" i="10" s="1"/>
  <c r="CV34" i="10" a="1"/>
  <c r="CV34" i="10" s="1"/>
  <c r="BZ40" i="10" a="1"/>
  <c r="BZ40" i="10" s="1"/>
  <c r="CA40" i="10" a="1"/>
  <c r="CA40" i="10" s="1"/>
  <c r="CN117" i="10" a="1"/>
  <c r="CN117" i="10" s="1"/>
  <c r="BZ90" i="10" a="1"/>
  <c r="BZ90" i="10" s="1"/>
  <c r="CA90" i="10" a="1"/>
  <c r="CA90" i="10" s="1"/>
  <c r="BZ57" i="10" a="1"/>
  <c r="BZ57" i="10" s="1"/>
  <c r="CA57" i="10" a="1"/>
  <c r="CA57" i="10" s="1"/>
  <c r="BV86" i="10" a="1"/>
  <c r="BV86" i="10" s="1"/>
  <c r="CB86" i="10" s="1"/>
  <c r="CV26" i="10" a="1"/>
  <c r="CV26" i="10" s="1"/>
  <c r="BV76" i="10" a="1"/>
  <c r="BV76" i="10" s="1"/>
  <c r="CB76" i="10" s="1"/>
  <c r="S76" i="10" s="1"/>
  <c r="BR81" i="10" a="1"/>
  <c r="BR81" i="10" s="1"/>
  <c r="CR78" i="10" a="1"/>
  <c r="CR78" i="10" s="1"/>
  <c r="CX78" i="10" s="1"/>
  <c r="BR99" i="10" a="1"/>
  <c r="BR99" i="10" s="1"/>
  <c r="CV60" i="10" a="1"/>
  <c r="CV60" i="10" s="1"/>
  <c r="CB108" i="10" l="1"/>
  <c r="AF541" i="10"/>
  <c r="AF868" i="10"/>
  <c r="CB105" i="10"/>
  <c r="AF51" i="10"/>
  <c r="CB38" i="10"/>
  <c r="S38" i="10" s="1"/>
  <c r="CX494" i="10"/>
  <c r="Z494" i="10" s="1"/>
  <c r="AF494" i="10" s="1"/>
  <c r="CB151" i="10"/>
  <c r="S151" i="10" s="1"/>
  <c r="CB35" i="10"/>
  <c r="CB572" i="10"/>
  <c r="S572" i="10" s="1"/>
  <c r="AF572" i="10" s="1"/>
  <c r="CX908" i="10"/>
  <c r="Z908" i="10" s="1"/>
  <c r="AF908" i="10" s="1"/>
  <c r="CX652" i="10"/>
  <c r="Z652" i="10" s="1"/>
  <c r="CX542" i="10"/>
  <c r="Z542" i="10" s="1"/>
  <c r="AF608" i="10"/>
  <c r="CB762" i="10"/>
  <c r="S762" i="10" s="1"/>
  <c r="AF762" i="10" s="1"/>
  <c r="CX835" i="10"/>
  <c r="Z835" i="10" s="1"/>
  <c r="AF835" i="10" s="1"/>
  <c r="CB790" i="10"/>
  <c r="S790" i="10" s="1"/>
  <c r="AF790" i="10" s="1"/>
  <c r="CB348" i="10"/>
  <c r="S348" i="10" s="1"/>
  <c r="AF348" i="10" s="1"/>
  <c r="CX196" i="10"/>
  <c r="Z196" i="10" s="1"/>
  <c r="AF322" i="10"/>
  <c r="AF50" i="10"/>
  <c r="AF77" i="10"/>
  <c r="CX56" i="10"/>
  <c r="CB613" i="10"/>
  <c r="S613" i="10" s="1"/>
  <c r="CX273" i="10"/>
  <c r="Z273" i="10" s="1"/>
  <c r="CB379" i="10"/>
  <c r="S379" i="10" s="1"/>
  <c r="AF379" i="10" s="1"/>
  <c r="CB876" i="10"/>
  <c r="S876" i="10" s="1"/>
  <c r="AF876" i="10" s="1"/>
  <c r="AF132" i="10"/>
  <c r="CX422" i="10"/>
  <c r="Z422" i="10" s="1"/>
  <c r="AF422" i="10" s="1"/>
  <c r="CX801" i="10"/>
  <c r="Z801" i="10" s="1"/>
  <c r="AF801" i="10" s="1"/>
  <c r="CB774" i="10"/>
  <c r="S774" i="10" s="1"/>
  <c r="CX449" i="10"/>
  <c r="Z449" i="10" s="1"/>
  <c r="CB539" i="10"/>
  <c r="S539" i="10" s="1"/>
  <c r="CB530" i="10"/>
  <c r="S530" i="10" s="1"/>
  <c r="AF530" i="10" s="1"/>
  <c r="CB345" i="10"/>
  <c r="S345" i="10" s="1"/>
  <c r="AF345" i="10" s="1"/>
  <c r="CB950" i="10"/>
  <c r="S950" i="10" s="1"/>
  <c r="CB549" i="10"/>
  <c r="S549" i="10" s="1"/>
  <c r="AF549" i="10" s="1"/>
  <c r="AF709" i="10"/>
  <c r="CX729" i="10"/>
  <c r="Z729" i="10" s="1"/>
  <c r="CB340" i="10"/>
  <c r="S340" i="10" s="1"/>
  <c r="CX867" i="10"/>
  <c r="Z867" i="10" s="1"/>
  <c r="CX128" i="10"/>
  <c r="Z128" i="10" s="1"/>
  <c r="AF128" i="10" s="1"/>
  <c r="CX529" i="10"/>
  <c r="Z529" i="10" s="1"/>
  <c r="AF529" i="10" s="1"/>
  <c r="CB208" i="10"/>
  <c r="S208" i="10" s="1"/>
  <c r="AF208" i="10" s="1"/>
  <c r="CB332" i="10"/>
  <c r="S332" i="10" s="1"/>
  <c r="AF332" i="10" s="1"/>
  <c r="CX351" i="10"/>
  <c r="Z351" i="10" s="1"/>
  <c r="AF351" i="10" s="1"/>
  <c r="AF820" i="10"/>
  <c r="CB616" i="10"/>
  <c r="S616" i="10" s="1"/>
  <c r="AF616" i="10" s="1"/>
  <c r="CB328" i="10"/>
  <c r="S328" i="10" s="1"/>
  <c r="AF328" i="10" s="1"/>
  <c r="CB317" i="10"/>
  <c r="S317" i="10" s="1"/>
  <c r="AF317" i="10" s="1"/>
  <c r="CB969" i="10"/>
  <c r="S969" i="10" s="1"/>
  <c r="AF969" i="10" s="1"/>
  <c r="CB471" i="10"/>
  <c r="S471" i="10" s="1"/>
  <c r="AF471" i="10" s="1"/>
  <c r="CX961" i="10"/>
  <c r="Z961" i="10" s="1"/>
  <c r="CX359" i="10"/>
  <c r="Z359" i="10" s="1"/>
  <c r="AF359" i="10" s="1"/>
  <c r="CX758" i="10"/>
  <c r="Z758" i="10" s="1"/>
  <c r="AF758" i="10" s="1"/>
  <c r="CX633" i="10"/>
  <c r="Z633" i="10" s="1"/>
  <c r="AF633" i="10" s="1"/>
  <c r="CX261" i="10"/>
  <c r="Z261" i="10" s="1"/>
  <c r="AF661" i="10"/>
  <c r="CB81" i="10"/>
  <c r="S81" i="10" s="1"/>
  <c r="AF81" i="10" s="1"/>
  <c r="CX117" i="10"/>
  <c r="CB52" i="10"/>
  <c r="CX414" i="10"/>
  <c r="Z414" i="10" s="1"/>
  <c r="AF414" i="10" s="1"/>
  <c r="CX941" i="10"/>
  <c r="Z941" i="10" s="1"/>
  <c r="AF941" i="10" s="1"/>
  <c r="CX124" i="10"/>
  <c r="Z124" i="10" s="1"/>
  <c r="CX705" i="10"/>
  <c r="Z705" i="10" s="1"/>
  <c r="CB156" i="10"/>
  <c r="S156" i="10" s="1"/>
  <c r="AF156" i="10" s="1"/>
  <c r="CB436" i="10"/>
  <c r="S436" i="10" s="1"/>
  <c r="AF436" i="10" s="1"/>
  <c r="CX748" i="10"/>
  <c r="Z748" i="10" s="1"/>
  <c r="AF748" i="10" s="1"/>
  <c r="CB982" i="10"/>
  <c r="S982" i="10" s="1"/>
  <c r="AF982" i="10" s="1"/>
  <c r="CX290" i="10"/>
  <c r="Z290" i="10" s="1"/>
  <c r="AF290" i="10" s="1"/>
  <c r="CX938" i="10"/>
  <c r="Z938" i="10" s="1"/>
  <c r="CX371" i="10"/>
  <c r="Z371" i="10" s="1"/>
  <c r="AF371" i="10" s="1"/>
  <c r="CB467" i="10"/>
  <c r="S467" i="10" s="1"/>
  <c r="AF467" i="10" s="1"/>
  <c r="CB628" i="10"/>
  <c r="S628" i="10" s="1"/>
  <c r="CB750" i="10"/>
  <c r="S750" i="10" s="1"/>
  <c r="AF750" i="10" s="1"/>
  <c r="CX133" i="10"/>
  <c r="Z133" i="10" s="1"/>
  <c r="AF133" i="10" s="1"/>
  <c r="CX970" i="10"/>
  <c r="Z970" i="10" s="1"/>
  <c r="AF970" i="10" s="1"/>
  <c r="CB686" i="10"/>
  <c r="S686" i="10" s="1"/>
  <c r="AF686" i="10" s="1"/>
  <c r="AF487" i="10"/>
  <c r="CB141" i="10"/>
  <c r="S141" i="10" s="1"/>
  <c r="CB1021" i="10"/>
  <c r="S1021" i="10" s="1"/>
  <c r="AF1021" i="10" s="1"/>
  <c r="CX821" i="10"/>
  <c r="Z821" i="10" s="1"/>
  <c r="AF821" i="10" s="1"/>
  <c r="CB573" i="10"/>
  <c r="S573" i="10" s="1"/>
  <c r="AF573" i="10" s="1"/>
  <c r="CX651" i="10"/>
  <c r="Z651" i="10" s="1"/>
  <c r="AF651" i="10" s="1"/>
  <c r="CX1005" i="10"/>
  <c r="Z1005" i="10" s="1"/>
  <c r="CX551" i="10"/>
  <c r="Z551" i="10" s="1"/>
  <c r="AF551" i="10" s="1"/>
  <c r="CX141" i="10"/>
  <c r="Z141" i="10" s="1"/>
  <c r="AF141" i="10" s="1"/>
  <c r="AF190" i="10"/>
  <c r="AF261" i="10"/>
  <c r="CX363" i="10"/>
  <c r="Z363" i="10" s="1"/>
  <c r="AF363" i="10" s="1"/>
  <c r="AF612" i="10"/>
  <c r="CB617" i="10"/>
  <c r="S617" i="10" s="1"/>
  <c r="AF617" i="10" s="1"/>
  <c r="CX271" i="10"/>
  <c r="Z271" i="10" s="1"/>
  <c r="AF271" i="10" s="1"/>
  <c r="CB605" i="10"/>
  <c r="S605" i="10" s="1"/>
  <c r="AF605" i="10" s="1"/>
  <c r="CB177" i="10"/>
  <c r="S177" i="10" s="1"/>
  <c r="AF177" i="10" s="1"/>
  <c r="CB933" i="10"/>
  <c r="S933" i="10" s="1"/>
  <c r="AF933" i="10" s="1"/>
  <c r="CX979" i="10"/>
  <c r="Z979" i="10" s="1"/>
  <c r="CB979" i="10"/>
  <c r="S979" i="10" s="1"/>
  <c r="AF979" i="10" s="1"/>
  <c r="CB753" i="10"/>
  <c r="S753" i="10" s="1"/>
  <c r="AF753" i="10" s="1"/>
  <c r="CX934" i="10"/>
  <c r="Z934" i="10" s="1"/>
  <c r="AF934" i="10" s="1"/>
  <c r="CX871" i="10"/>
  <c r="Z871" i="10" s="1"/>
  <c r="AF871" i="10" s="1"/>
  <c r="CB887" i="10"/>
  <c r="S887" i="10" s="1"/>
  <c r="AF887" i="10" s="1"/>
  <c r="CX624" i="10"/>
  <c r="Z624" i="10" s="1"/>
  <c r="CX288" i="10"/>
  <c r="Z288" i="10" s="1"/>
  <c r="AF288" i="10" s="1"/>
  <c r="CX746" i="10"/>
  <c r="Z746" i="10" s="1"/>
  <c r="AF746" i="10" s="1"/>
  <c r="CX451" i="10"/>
  <c r="Z451" i="10" s="1"/>
  <c r="AF451" i="10" s="1"/>
  <c r="CX426" i="10"/>
  <c r="Z426" i="10" s="1"/>
  <c r="AF426" i="10" s="1"/>
  <c r="CX649" i="10"/>
  <c r="Z649" i="10" s="1"/>
  <c r="CB407" i="10"/>
  <c r="S407" i="10" s="1"/>
  <c r="CB129" i="10"/>
  <c r="S129" i="10" s="1"/>
  <c r="AF129" i="10" s="1"/>
  <c r="CX688" i="10"/>
  <c r="Z688" i="10" s="1"/>
  <c r="AF688" i="10" s="1"/>
  <c r="CB624" i="10"/>
  <c r="S624" i="10" s="1"/>
  <c r="CB142" i="10"/>
  <c r="S142" i="10" s="1"/>
  <c r="AF142" i="10" s="1"/>
  <c r="CB372" i="10"/>
  <c r="S372" i="10" s="1"/>
  <c r="AF372" i="10" s="1"/>
  <c r="CX402" i="10"/>
  <c r="Z402" i="10" s="1"/>
  <c r="AF402" i="10" s="1"/>
  <c r="CX945" i="10"/>
  <c r="Z945" i="10" s="1"/>
  <c r="CX343" i="10"/>
  <c r="Z343" i="10" s="1"/>
  <c r="AF343" i="10" s="1"/>
  <c r="CX636" i="10"/>
  <c r="Z636" i="10" s="1"/>
  <c r="CX577" i="10"/>
  <c r="Z577" i="10" s="1"/>
  <c r="AF577" i="10" s="1"/>
  <c r="CX621" i="10"/>
  <c r="Z621" i="10" s="1"/>
  <c r="AF621" i="10" s="1"/>
  <c r="CB896" i="10"/>
  <c r="S896" i="10" s="1"/>
  <c r="AF896" i="10" s="1"/>
  <c r="CX447" i="10"/>
  <c r="Z447" i="10" s="1"/>
  <c r="AF447" i="10" s="1"/>
  <c r="CX643" i="10"/>
  <c r="Z643" i="10" s="1"/>
  <c r="AF643" i="10" s="1"/>
  <c r="CX503" i="10"/>
  <c r="Z503" i="10" s="1"/>
  <c r="CX407" i="10"/>
  <c r="Z407" i="10" s="1"/>
  <c r="CB122" i="10"/>
  <c r="S122" i="10" s="1"/>
  <c r="AF937" i="10"/>
  <c r="AF640" i="10"/>
  <c r="CX569" i="10"/>
  <c r="Z569" i="10" s="1"/>
  <c r="AF151" i="10"/>
  <c r="CB832" i="10"/>
  <c r="S832" i="10" s="1"/>
  <c r="AF832" i="10" s="1"/>
  <c r="CB293" i="10"/>
  <c r="S293" i="10" s="1"/>
  <c r="AF293" i="10" s="1"/>
  <c r="AF1005" i="10"/>
  <c r="CX827" i="10"/>
  <c r="Z827" i="10" s="1"/>
  <c r="AF827" i="10" s="1"/>
  <c r="CB364" i="10"/>
  <c r="S364" i="10" s="1"/>
  <c r="AF364" i="10" s="1"/>
  <c r="CB648" i="10"/>
  <c r="S648" i="10" s="1"/>
  <c r="AF648" i="10" s="1"/>
  <c r="CX493" i="10"/>
  <c r="Z493" i="10" s="1"/>
  <c r="AF493" i="10" s="1"/>
  <c r="CX463" i="10"/>
  <c r="Z463" i="10" s="1"/>
  <c r="AF463" i="10" s="1"/>
  <c r="AF134" i="10"/>
  <c r="CB542" i="10"/>
  <c r="S542" i="10" s="1"/>
  <c r="AF542" i="10" s="1"/>
  <c r="CB588" i="10"/>
  <c r="S588" i="10" s="1"/>
  <c r="AF588" i="10" s="1"/>
  <c r="AF503" i="10"/>
  <c r="CB649" i="10"/>
  <c r="S649" i="10" s="1"/>
  <c r="AF649" i="10" s="1"/>
  <c r="CX985" i="10"/>
  <c r="Z985" i="10" s="1"/>
  <c r="CX423" i="10"/>
  <c r="Z423" i="10" s="1"/>
  <c r="CB383" i="10"/>
  <c r="S383" i="10" s="1"/>
  <c r="AF383" i="10" s="1"/>
  <c r="CB557" i="10"/>
  <c r="S557" i="10" s="1"/>
  <c r="AF557" i="10" s="1"/>
  <c r="CB499" i="10"/>
  <c r="S499" i="10" s="1"/>
  <c r="AF641" i="10"/>
  <c r="CB705" i="10"/>
  <c r="S705" i="10" s="1"/>
  <c r="AF705" i="10" s="1"/>
  <c r="CB965" i="10"/>
  <c r="S965" i="10" s="1"/>
  <c r="AF965" i="10" s="1"/>
  <c r="CB176" i="10"/>
  <c r="S176" i="10" s="1"/>
  <c r="AF176" i="10" s="1"/>
  <c r="CX925" i="10"/>
  <c r="Z925" i="10" s="1"/>
  <c r="CX571" i="10"/>
  <c r="Z571" i="10" s="1"/>
  <c r="AF571" i="10" s="1"/>
  <c r="CX312" i="10"/>
  <c r="Z312" i="10" s="1"/>
  <c r="AF312" i="10" s="1"/>
  <c r="CB941" i="10"/>
  <c r="S941" i="10" s="1"/>
  <c r="CX944" i="10"/>
  <c r="Z944" i="10" s="1"/>
  <c r="AF944" i="10" s="1"/>
  <c r="CX222" i="10"/>
  <c r="Z222" i="10" s="1"/>
  <c r="AF222" i="10" s="1"/>
  <c r="CX533" i="10"/>
  <c r="Z533" i="10" s="1"/>
  <c r="AF533" i="10" s="1"/>
  <c r="CB423" i="10"/>
  <c r="S423" i="10" s="1"/>
  <c r="CX162" i="10"/>
  <c r="Z162" i="10" s="1"/>
  <c r="AF162" i="10" s="1"/>
  <c r="CX936" i="10"/>
  <c r="Z936" i="10" s="1"/>
  <c r="AF936" i="10" s="1"/>
  <c r="CX340" i="10"/>
  <c r="Z340" i="10" s="1"/>
  <c r="CX742" i="10"/>
  <c r="Z742" i="10" s="1"/>
  <c r="AF742" i="10" s="1"/>
  <c r="CB258" i="10"/>
  <c r="S258" i="10" s="1"/>
  <c r="AF258" i="10" s="1"/>
  <c r="CB636" i="10"/>
  <c r="S636" i="10" s="1"/>
  <c r="AF636" i="10" s="1"/>
  <c r="CX310" i="10"/>
  <c r="Z310" i="10" s="1"/>
  <c r="AF310" i="10" s="1"/>
  <c r="CX993" i="10"/>
  <c r="Z993" i="10" s="1"/>
  <c r="AF993" i="10" s="1"/>
  <c r="CB344" i="10"/>
  <c r="S344" i="10" s="1"/>
  <c r="AF344" i="10" s="1"/>
  <c r="CB59" i="10"/>
  <c r="S59" i="10" s="1"/>
  <c r="AF59" i="10" s="1"/>
  <c r="CB149" i="10"/>
  <c r="S149" i="10" s="1"/>
  <c r="AF149" i="10" s="1"/>
  <c r="AF482" i="10"/>
  <c r="CX685" i="10"/>
  <c r="Z685" i="10" s="1"/>
  <c r="CX948" i="10"/>
  <c r="Z948" i="10" s="1"/>
  <c r="AF948" i="10" s="1"/>
  <c r="CB580" i="10"/>
  <c r="S580" i="10" s="1"/>
  <c r="AF580" i="10" s="1"/>
  <c r="CB272" i="10"/>
  <c r="S272" i="10" s="1"/>
  <c r="AF272" i="10" s="1"/>
  <c r="CB946" i="10"/>
  <c r="S946" i="10" s="1"/>
  <c r="AF946" i="10" s="1"/>
  <c r="CB701" i="10"/>
  <c r="S701" i="10" s="1"/>
  <c r="AF701" i="10" s="1"/>
  <c r="CX760" i="10"/>
  <c r="Z760" i="10" s="1"/>
  <c r="AF760" i="10" s="1"/>
  <c r="CX527" i="10"/>
  <c r="Z527" i="10" s="1"/>
  <c r="AF527" i="10" s="1"/>
  <c r="CX218" i="10"/>
  <c r="Z218" i="10" s="1"/>
  <c r="AF218" i="10" s="1"/>
  <c r="CX929" i="10"/>
  <c r="Z929" i="10" s="1"/>
  <c r="AF929" i="10" s="1"/>
  <c r="CX239" i="10"/>
  <c r="Z239" i="10" s="1"/>
  <c r="CX294" i="10"/>
  <c r="Z294" i="10" s="1"/>
  <c r="AF294" i="10" s="1"/>
  <c r="CX899" i="10"/>
  <c r="Z899" i="10" s="1"/>
  <c r="AF899" i="10" s="1"/>
  <c r="AF938" i="10"/>
  <c r="CX892" i="10"/>
  <c r="Z892" i="10" s="1"/>
  <c r="AF892" i="10" s="1"/>
  <c r="CB671" i="10"/>
  <c r="S671" i="10" s="1"/>
  <c r="AF671" i="10" s="1"/>
  <c r="CX969" i="10"/>
  <c r="Z969" i="10" s="1"/>
  <c r="CX722" i="10"/>
  <c r="Z722" i="10" s="1"/>
  <c r="AF722" i="10" s="1"/>
  <c r="CX485" i="10"/>
  <c r="Z485" i="10" s="1"/>
  <c r="AF485" i="10" s="1"/>
  <c r="AF398" i="10"/>
  <c r="AF298" i="10"/>
  <c r="AF729" i="10"/>
  <c r="AF124" i="10"/>
  <c r="AF228" i="10"/>
  <c r="AF490" i="10"/>
  <c r="AF569" i="10"/>
  <c r="AF276" i="10"/>
  <c r="AF613" i="10"/>
  <c r="AF735" i="10"/>
  <c r="AF985" i="10"/>
  <c r="AF628" i="10"/>
  <c r="AF502" i="10"/>
  <c r="AF333" i="10"/>
  <c r="AF945" i="10"/>
  <c r="AF677" i="10"/>
  <c r="AF449" i="10"/>
  <c r="AF657" i="10"/>
  <c r="AF475" i="10"/>
  <c r="AF922" i="10"/>
  <c r="AF561" i="10"/>
  <c r="AF806" i="10"/>
  <c r="AF320" i="10"/>
  <c r="AF499" i="10"/>
  <c r="AF198" i="10"/>
  <c r="AF685" i="10"/>
  <c r="AF423" i="10"/>
  <c r="AF810" i="10"/>
  <c r="AF138" i="10"/>
  <c r="AF273" i="10"/>
  <c r="AF394" i="10"/>
  <c r="AF620" i="10"/>
  <c r="AF774" i="10"/>
  <c r="AF539" i="10"/>
  <c r="AF950" i="10"/>
  <c r="AF601" i="10"/>
  <c r="AF160" i="10"/>
  <c r="AF470" i="10"/>
  <c r="AF668" i="10"/>
  <c r="AF537" i="10"/>
  <c r="AF905" i="10"/>
  <c r="CB196" i="10"/>
  <c r="S196" i="10" s="1"/>
  <c r="AF464" i="10"/>
  <c r="CB921" i="10"/>
  <c r="S921" i="10" s="1"/>
  <c r="AF921" i="10" s="1"/>
  <c r="AF205" i="10"/>
  <c r="AF239" i="10"/>
  <c r="CB1009" i="10"/>
  <c r="S1009" i="10" s="1"/>
  <c r="AF1009" i="10" s="1"/>
  <c r="AF714" i="10"/>
  <c r="AF535" i="10"/>
  <c r="AF253" i="10"/>
  <c r="AF867" i="10"/>
  <c r="AF805" i="10"/>
  <c r="AF173" i="10"/>
  <c r="AF324" i="10"/>
  <c r="AF224" i="10"/>
  <c r="AF660" i="10"/>
  <c r="AF125" i="10"/>
  <c r="AF296" i="10"/>
  <c r="AF961" i="10"/>
  <c r="AF600" i="10"/>
  <c r="AF284" i="10"/>
  <c r="CX478" i="10"/>
  <c r="Z478" i="10" s="1"/>
  <c r="AF478" i="10" s="1"/>
  <c r="AF656" i="10"/>
  <c r="AF604" i="10"/>
  <c r="AF925" i="10"/>
  <c r="AF778" i="10"/>
  <c r="AF367" i="10"/>
  <c r="AF954" i="10"/>
  <c r="AF441" i="10"/>
  <c r="AF652" i="10"/>
  <c r="AF672" i="10"/>
  <c r="CX24" i="10"/>
  <c r="Z24" i="10" s="1"/>
  <c r="CB36" i="10"/>
  <c r="CB63" i="10"/>
  <c r="CB104" i="10"/>
  <c r="S104" i="10" s="1"/>
  <c r="CX47" i="10"/>
  <c r="Z47" i="10" s="1"/>
  <c r="AF47" i="10" s="1"/>
  <c r="CX113" i="10"/>
  <c r="Z113" i="10" s="1"/>
  <c r="AF113" i="10" s="1"/>
  <c r="CX100" i="10"/>
  <c r="Z100" i="10" s="1"/>
  <c r="AF100" i="10" s="1"/>
  <c r="CX64" i="10"/>
  <c r="Z64" i="10" s="1"/>
  <c r="AF64" i="10" s="1"/>
  <c r="CB91" i="10"/>
  <c r="S91" i="10" s="1"/>
  <c r="AF27" i="10"/>
  <c r="CX104" i="10"/>
  <c r="Z104" i="10" s="1"/>
  <c r="CB75" i="10"/>
  <c r="S75" i="10" s="1"/>
  <c r="AF75" i="10" s="1"/>
  <c r="CB60" i="10"/>
  <c r="S60" i="10" s="1"/>
  <c r="CX97" i="10"/>
  <c r="Z97" i="10" s="1"/>
  <c r="CX89" i="10"/>
  <c r="Z89" i="10" s="1"/>
  <c r="AF89" i="10" s="1"/>
  <c r="S25" i="10"/>
  <c r="AF25" i="10" s="1"/>
  <c r="CB69" i="10"/>
  <c r="S94" i="10"/>
  <c r="AF94" i="10" s="1"/>
  <c r="S108" i="10"/>
  <c r="AF108" i="10" s="1"/>
  <c r="CX93" i="10"/>
  <c r="Z117" i="10"/>
  <c r="AF117" i="10" s="1"/>
  <c r="S35" i="10"/>
  <c r="AF35" i="10" s="1"/>
  <c r="Z85" i="10"/>
  <c r="AF85" i="10" s="1"/>
  <c r="CB53" i="10"/>
  <c r="Z73" i="10"/>
  <c r="AF73" i="10" s="1"/>
  <c r="Z122" i="10"/>
  <c r="S67" i="10"/>
  <c r="AF67" i="10" s="1"/>
  <c r="S86" i="10"/>
  <c r="AF86" i="10" s="1"/>
  <c r="S52" i="10"/>
  <c r="AF52" i="10" s="1"/>
  <c r="S105" i="10"/>
  <c r="AF105" i="10" s="1"/>
  <c r="Z56" i="10"/>
  <c r="AF56" i="10" s="1"/>
  <c r="S55" i="10"/>
  <c r="AF55" i="10" s="1"/>
  <c r="S118" i="10"/>
  <c r="AF118" i="10" s="1"/>
  <c r="Z44" i="10"/>
  <c r="AF44" i="10" s="1"/>
  <c r="Z120" i="10"/>
  <c r="AF120" i="10" s="1"/>
  <c r="CX114" i="10"/>
  <c r="CB46" i="10"/>
  <c r="Z70" i="10"/>
  <c r="AF70" i="10" s="1"/>
  <c r="S112" i="10"/>
  <c r="AF112" i="10" s="1"/>
  <c r="S92" i="10"/>
  <c r="AF92" i="10" s="1"/>
  <c r="S66" i="10"/>
  <c r="AF66" i="10" s="1"/>
  <c r="Z83" i="10"/>
  <c r="AF83" i="10" s="1"/>
  <c r="S28" i="10"/>
  <c r="AF28" i="10" s="1"/>
  <c r="Z95" i="10"/>
  <c r="AF95" i="10" s="1"/>
  <c r="S82" i="10"/>
  <c r="AF82" i="10" s="1"/>
  <c r="S74" i="10"/>
  <c r="AF74" i="10" s="1"/>
  <c r="CX26" i="10"/>
  <c r="S36" i="10"/>
  <c r="AF36" i="10" s="1"/>
  <c r="Z78" i="10"/>
  <c r="AF78" i="10" s="1"/>
  <c r="CX57" i="10"/>
  <c r="Z57" i="10" s="1"/>
  <c r="S63" i="10"/>
  <c r="AF63" i="10" s="1"/>
  <c r="CX45" i="10"/>
  <c r="Z80" i="10"/>
  <c r="AF80" i="10" s="1"/>
  <c r="S103" i="10"/>
  <c r="AF103" i="10" s="1"/>
  <c r="Z58" i="10"/>
  <c r="AF58" i="10" s="1"/>
  <c r="AF38" i="10"/>
  <c r="CX60" i="10"/>
  <c r="Z60" i="10" s="1"/>
  <c r="CB97" i="10"/>
  <c r="CX40" i="10"/>
  <c r="Z40" i="10" s="1"/>
  <c r="CX54" i="10"/>
  <c r="CX34" i="10"/>
  <c r="CX68" i="10"/>
  <c r="CB40" i="10"/>
  <c r="S40" i="10" s="1"/>
  <c r="CB87" i="10"/>
  <c r="CX91" i="10"/>
  <c r="Z91" i="10" s="1"/>
  <c r="AF107" i="10"/>
  <c r="AF79" i="10"/>
  <c r="CX115" i="10"/>
  <c r="CB31" i="10"/>
  <c r="CX111" i="10"/>
  <c r="Z111" i="10" s="1"/>
  <c r="CB99" i="10"/>
  <c r="CB71" i="10"/>
  <c r="CB121" i="10"/>
  <c r="S121" i="10" s="1"/>
  <c r="AF121" i="10" s="1"/>
  <c r="CB49" i="10"/>
  <c r="CB41" i="10"/>
  <c r="CB111" i="10"/>
  <c r="CB72" i="10"/>
  <c r="AF76" i="10"/>
  <c r="CX43" i="10"/>
  <c r="Z43" i="10" s="1"/>
  <c r="AF43" i="10" s="1"/>
  <c r="CB37" i="10"/>
  <c r="CB24" i="10"/>
  <c r="AF104" i="10"/>
  <c r="CB90" i="10"/>
  <c r="CX109" i="10"/>
  <c r="CB57" i="10"/>
  <c r="AF624" i="10" l="1"/>
  <c r="AF91" i="10"/>
  <c r="AF60" i="10"/>
  <c r="AF196" i="10"/>
  <c r="AF407" i="10"/>
  <c r="AF122" i="10"/>
  <c r="AF340" i="10"/>
  <c r="S72" i="10"/>
  <c r="AF72" i="10" s="1"/>
  <c r="S31" i="10"/>
  <c r="AF31" i="10" s="1"/>
  <c r="S69" i="10"/>
  <c r="AF69" i="10" s="1"/>
  <c r="S49" i="10"/>
  <c r="AF49" i="10" s="1"/>
  <c r="Z115" i="10"/>
  <c r="AF115" i="10" s="1"/>
  <c r="Z34" i="10"/>
  <c r="AF34" i="10" s="1"/>
  <c r="Z93" i="10"/>
  <c r="AF93" i="10" s="1"/>
  <c r="S90" i="10"/>
  <c r="AF90" i="10" s="1"/>
  <c r="S87" i="10"/>
  <c r="AF87" i="10" s="1"/>
  <c r="Z54" i="10"/>
  <c r="AF54" i="10" s="1"/>
  <c r="S57" i="10"/>
  <c r="AF57" i="10" s="1"/>
  <c r="S37" i="10"/>
  <c r="AF37" i="10" s="1"/>
  <c r="S71" i="10"/>
  <c r="AF71" i="10" s="1"/>
  <c r="Z109" i="10"/>
  <c r="AF109" i="10" s="1"/>
  <c r="S99" i="10"/>
  <c r="AF99" i="10" s="1"/>
  <c r="S97" i="10"/>
  <c r="AF97" i="10" s="1"/>
  <c r="S46" i="10"/>
  <c r="AF46" i="10" s="1"/>
  <c r="Z114" i="10"/>
  <c r="AF114" i="10" s="1"/>
  <c r="S111" i="10"/>
  <c r="AF111" i="10" s="1"/>
  <c r="Z68" i="10"/>
  <c r="AF68" i="10" s="1"/>
  <c r="Z45" i="10"/>
  <c r="AF45" i="10" s="1"/>
  <c r="Z26" i="10"/>
  <c r="AF26" i="10" s="1"/>
  <c r="S41" i="10"/>
  <c r="AF41" i="10" s="1"/>
  <c r="S53" i="10"/>
  <c r="AF53" i="10" s="1"/>
  <c r="S24" i="10"/>
  <c r="AF24" i="10" s="1"/>
  <c r="AF40" i="10"/>
  <c r="T24" i="5" l="1"/>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Q21" i="5" l="1"/>
  <c r="P22" i="5"/>
  <c r="B22" i="5" s="1"/>
  <c r="L11" i="6"/>
  <c r="X33" i="6"/>
  <c r="X69" i="6"/>
  <c r="X68" i="6"/>
  <c r="R6" i="5" a="1"/>
  <c r="R6" i="5" s="1"/>
  <c r="B1" i="10" l="1"/>
  <c r="C1" i="10"/>
  <c r="A20" i="10"/>
  <c r="B69" i="6" a="1"/>
  <c r="B69"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M132" i="10" l="1" a="1"/>
  <c r="M132" i="10" s="1"/>
  <c r="M137" i="10" a="1"/>
  <c r="M137" i="10" s="1"/>
  <c r="T138" i="10" a="1"/>
  <c r="T138" i="10" s="1"/>
  <c r="M139" i="10" a="1"/>
  <c r="M139" i="10" s="1"/>
  <c r="M140" i="10" a="1"/>
  <c r="M140" i="10" s="1"/>
  <c r="M145" i="10" a="1"/>
  <c r="M145" i="10" s="1"/>
  <c r="T149" i="10" a="1"/>
  <c r="T149" i="10" s="1"/>
  <c r="T151" i="10" a="1"/>
  <c r="T151" i="10" s="1"/>
  <c r="T153" i="10" a="1"/>
  <c r="T153" i="10" s="1"/>
  <c r="T156" i="10" a="1"/>
  <c r="T156" i="10" s="1"/>
  <c r="T158" i="10" a="1"/>
  <c r="T158" i="10" s="1"/>
  <c r="T168" i="10" a="1"/>
  <c r="T168" i="10" s="1"/>
  <c r="T171" i="10" a="1"/>
  <c r="T171" i="10" s="1"/>
  <c r="T175" i="10" a="1"/>
  <c r="T175" i="10" s="1"/>
  <c r="M176" i="10" a="1"/>
  <c r="M176" i="10" s="1"/>
  <c r="M182" i="10" a="1"/>
  <c r="M182" i="10" s="1"/>
  <c r="T188" i="10" a="1"/>
  <c r="T188" i="10" s="1"/>
  <c r="T191" i="10" a="1"/>
  <c r="T191" i="10" s="1"/>
  <c r="M194" i="10" a="1"/>
  <c r="M194" i="10" s="1"/>
  <c r="M199" i="10" a="1"/>
  <c r="M199" i="10" s="1"/>
  <c r="T206" i="10" a="1"/>
  <c r="T206" i="10" s="1"/>
  <c r="M207" i="10" a="1"/>
  <c r="M207" i="10" s="1"/>
  <c r="M213" i="10" a="1"/>
  <c r="M213" i="10" s="1"/>
  <c r="M214" i="10" a="1"/>
  <c r="M214" i="10" s="1"/>
  <c r="T218" i="10" a="1"/>
  <c r="T218" i="10" s="1"/>
  <c r="T219" i="10" a="1"/>
  <c r="T219" i="10" s="1"/>
  <c r="T228" i="10" a="1"/>
  <c r="T228" i="10" s="1"/>
  <c r="M233" i="10" a="1"/>
  <c r="M233" i="10" s="1"/>
  <c r="M237" i="10" a="1"/>
  <c r="M237" i="10" s="1"/>
  <c r="M245" i="10" a="1"/>
  <c r="M245" i="10" s="1"/>
  <c r="M248" i="10" a="1"/>
  <c r="M248" i="10" s="1"/>
  <c r="T255" i="10" a="1"/>
  <c r="T255" i="10" s="1"/>
  <c r="M259" i="10" a="1"/>
  <c r="M259" i="10" s="1"/>
  <c r="T262" i="10" a="1"/>
  <c r="T262" i="10" s="1"/>
  <c r="M263" i="10" a="1"/>
  <c r="M263" i="10" s="1"/>
  <c r="M265" i="10" a="1"/>
  <c r="M265" i="10" s="1"/>
  <c r="T270" i="10" a="1"/>
  <c r="T270" i="10" s="1"/>
  <c r="T276" i="10" a="1"/>
  <c r="T276" i="10" s="1"/>
  <c r="M125" i="10" a="1"/>
  <c r="M125" i="10" s="1"/>
  <c r="M127" i="10" a="1"/>
  <c r="M127" i="10" s="1"/>
  <c r="M130" i="10" a="1"/>
  <c r="M130" i="10" s="1"/>
  <c r="T132" i="10" a="1"/>
  <c r="T132" i="10" s="1"/>
  <c r="M136" i="10" a="1"/>
  <c r="M136" i="10" s="1"/>
  <c r="T137" i="10" a="1"/>
  <c r="T137" i="10" s="1"/>
  <c r="T139" i="10" a="1"/>
  <c r="T139" i="10" s="1"/>
  <c r="T140" i="10" a="1"/>
  <c r="T140" i="10" s="1"/>
  <c r="M142" i="10" a="1"/>
  <c r="M142" i="10" s="1"/>
  <c r="T145" i="10" a="1"/>
  <c r="T145" i="10" s="1"/>
  <c r="M162" i="10" a="1"/>
  <c r="M162" i="10" s="1"/>
  <c r="M163" i="10" a="1"/>
  <c r="M163" i="10" s="1"/>
  <c r="T176" i="10" a="1"/>
  <c r="T176" i="10" s="1"/>
  <c r="T182" i="10" a="1"/>
  <c r="T182" i="10" s="1"/>
  <c r="M186" i="10" a="1"/>
  <c r="M186" i="10" s="1"/>
  <c r="M192" i="10" a="1"/>
  <c r="M192" i="10" s="1"/>
  <c r="T194" i="10" a="1"/>
  <c r="T194" i="10" s="1"/>
  <c r="M197" i="10" a="1"/>
  <c r="M197" i="10" s="1"/>
  <c r="T199" i="10" a="1"/>
  <c r="T199" i="10" s="1"/>
  <c r="M205" i="10" a="1"/>
  <c r="M205" i="10" s="1"/>
  <c r="T207" i="10" a="1"/>
  <c r="T207" i="10" s="1"/>
  <c r="M210" i="10" a="1"/>
  <c r="M210" i="10" s="1"/>
  <c r="T213" i="10" a="1"/>
  <c r="T213" i="10" s="1"/>
  <c r="T214" i="10" a="1"/>
  <c r="T214" i="10" s="1"/>
  <c r="M221" i="10" a="1"/>
  <c r="M221" i="10" s="1"/>
  <c r="M224" i="10" a="1"/>
  <c r="M224" i="10" s="1"/>
  <c r="M226" i="10" a="1"/>
  <c r="M226" i="10" s="1"/>
  <c r="M232" i="10" a="1"/>
  <c r="M232" i="10" s="1"/>
  <c r="T233" i="10" a="1"/>
  <c r="T233" i="10" s="1"/>
  <c r="M235" i="10" a="1"/>
  <c r="M235" i="10" s="1"/>
  <c r="T237" i="10" a="1"/>
  <c r="T237" i="10" s="1"/>
  <c r="M243" i="10" a="1"/>
  <c r="M243" i="10" s="1"/>
  <c r="T245" i="10" a="1"/>
  <c r="T245" i="10" s="1"/>
  <c r="T248" i="10" a="1"/>
  <c r="T248" i="10" s="1"/>
  <c r="M250" i="10" a="1"/>
  <c r="M250" i="10" s="1"/>
  <c r="M251" i="10" a="1"/>
  <c r="M251" i="10" s="1"/>
  <c r="T259" i="10" a="1"/>
  <c r="T259" i="10" s="1"/>
  <c r="T263" i="10" a="1"/>
  <c r="T263" i="10" s="1"/>
  <c r="T265" i="10" a="1"/>
  <c r="T265" i="10" s="1"/>
  <c r="M269" i="10" a="1"/>
  <c r="M269" i="10" s="1"/>
  <c r="M273" i="10" a="1"/>
  <c r="M273" i="10" s="1"/>
  <c r="M277" i="10" a="1"/>
  <c r="M277" i="10" s="1"/>
  <c r="M281" i="10" a="1"/>
  <c r="M281" i="10" s="1"/>
  <c r="T282" i="10" a="1"/>
  <c r="T282" i="10" s="1"/>
  <c r="T283" i="10" a="1"/>
  <c r="T283" i="10" s="1"/>
  <c r="M285" i="10" a="1"/>
  <c r="M285" i="10" s="1"/>
  <c r="T286" i="10" a="1"/>
  <c r="T286" i="10" s="1"/>
  <c r="T287" i="10" a="1"/>
  <c r="T287" i="10" s="1"/>
  <c r="M289" i="10" a="1"/>
  <c r="M289" i="10" s="1"/>
  <c r="T290" i="10" a="1"/>
  <c r="T290" i="10" s="1"/>
  <c r="T291" i="10" a="1"/>
  <c r="T291" i="10" s="1"/>
  <c r="M293" i="10" a="1"/>
  <c r="M293" i="10" s="1"/>
  <c r="T294" i="10" a="1"/>
  <c r="T294" i="10" s="1"/>
  <c r="T295" i="10" a="1"/>
  <c r="T295" i="10" s="1"/>
  <c r="M297" i="10" a="1"/>
  <c r="M297" i="10" s="1"/>
  <c r="T298" i="10" a="1"/>
  <c r="T298" i="10" s="1"/>
  <c r="T300" i="10" a="1"/>
  <c r="T300" i="10" s="1"/>
  <c r="T301" i="10" a="1"/>
  <c r="T301" i="10" s="1"/>
  <c r="M308" i="10" a="1"/>
  <c r="M308" i="10" s="1"/>
  <c r="M311" i="10" a="1"/>
  <c r="M311" i="10" s="1"/>
  <c r="T314" i="10" a="1"/>
  <c r="T314" i="10" s="1"/>
  <c r="M323" i="10" a="1"/>
  <c r="M323" i="10" s="1"/>
  <c r="M325" i="10" a="1"/>
  <c r="M325" i="10" s="1"/>
  <c r="T330" i="10" a="1"/>
  <c r="T330" i="10" s="1"/>
  <c r="M331" i="10" a="1"/>
  <c r="M331" i="10" s="1"/>
  <c r="T335" i="10" a="1"/>
  <c r="T335" i="10" s="1"/>
  <c r="M344" i="10" a="1"/>
  <c r="M344" i="10" s="1"/>
  <c r="T346" i="10" a="1"/>
  <c r="T346" i="10" s="1"/>
  <c r="M352" i="10" a="1"/>
  <c r="M352" i="10" s="1"/>
  <c r="T353" i="10" a="1"/>
  <c r="T353" i="10" s="1"/>
  <c r="T355" i="10" a="1"/>
  <c r="T355" i="10" s="1"/>
  <c r="T360" i="10" a="1"/>
  <c r="T360" i="10" s="1"/>
  <c r="T363" i="10" a="1"/>
  <c r="T363" i="10" s="1"/>
  <c r="T367" i="10" a="1"/>
  <c r="T367" i="10" s="1"/>
  <c r="M372" i="10" a="1"/>
  <c r="M372" i="10" s="1"/>
  <c r="T379" i="10" a="1"/>
  <c r="T379" i="10" s="1"/>
  <c r="M383" i="10" a="1"/>
  <c r="M383" i="10" s="1"/>
  <c r="T387" i="10" a="1"/>
  <c r="T387" i="10" s="1"/>
  <c r="M394" i="10" a="1"/>
  <c r="M394" i="10" s="1"/>
  <c r="M396" i="10" a="1"/>
  <c r="M396" i="10" s="1"/>
  <c r="T399" i="10" a="1"/>
  <c r="T399" i="10" s="1"/>
  <c r="T411" i="10" a="1"/>
  <c r="T411" i="10" s="1"/>
  <c r="T413" i="10" a="1"/>
  <c r="T413" i="10" s="1"/>
  <c r="M415" i="10" a="1"/>
  <c r="M415" i="10" s="1"/>
  <c r="M417" i="10" a="1"/>
  <c r="M417" i="10" s="1"/>
  <c r="T125" i="10" a="1"/>
  <c r="T125" i="10" s="1"/>
  <c r="T127" i="10" a="1"/>
  <c r="T127" i="10" s="1"/>
  <c r="T130" i="10" a="1"/>
  <c r="T130" i="10" s="1"/>
  <c r="M134" i="10" a="1"/>
  <c r="M134" i="10" s="1"/>
  <c r="T136" i="10" a="1"/>
  <c r="T136" i="10" s="1"/>
  <c r="T142" i="10" a="1"/>
  <c r="T142" i="10" s="1"/>
  <c r="M148" i="10" a="1"/>
  <c r="M148" i="10" s="1"/>
  <c r="M155" i="10" a="1"/>
  <c r="M155" i="10" s="1"/>
  <c r="T162" i="10" a="1"/>
  <c r="T162" i="10" s="1"/>
  <c r="T163" i="10" a="1"/>
  <c r="T163" i="10" s="1"/>
  <c r="M128" i="10" a="1"/>
  <c r="M128" i="10" s="1"/>
  <c r="M133" i="10" a="1"/>
  <c r="M133" i="10" s="1"/>
  <c r="T134" i="10" a="1"/>
  <c r="T134" i="10" s="1"/>
  <c r="M135" i="10" a="1"/>
  <c r="M135" i="10" s="1"/>
  <c r="T148" i="10" a="1"/>
  <c r="T148" i="10" s="1"/>
  <c r="M152" i="10" a="1"/>
  <c r="M152" i="10" s="1"/>
  <c r="T155" i="10" a="1"/>
  <c r="T155" i="10" s="1"/>
  <c r="M157" i="10" a="1"/>
  <c r="M157" i="10" s="1"/>
  <c r="M160" i="10" a="1"/>
  <c r="M160" i="10" s="1"/>
  <c r="M165" i="10" a="1"/>
  <c r="M165" i="10" s="1"/>
  <c r="T169" i="10" a="1"/>
  <c r="T169" i="10" s="1"/>
  <c r="M170" i="10" a="1"/>
  <c r="M170" i="10" s="1"/>
  <c r="M173" i="10" a="1"/>
  <c r="M173" i="10" s="1"/>
  <c r="M181" i="10" a="1"/>
  <c r="M181" i="10" s="1"/>
  <c r="T183" i="10" a="1"/>
  <c r="T183" i="10" s="1"/>
  <c r="M185" i="10" a="1"/>
  <c r="M185" i="10" s="1"/>
  <c r="T187" i="10" a="1"/>
  <c r="T187" i="10" s="1"/>
  <c r="T200" i="10" a="1"/>
  <c r="T200" i="10" s="1"/>
  <c r="T201" i="10" a="1"/>
  <c r="T201" i="10" s="1"/>
  <c r="T204" i="10" a="1"/>
  <c r="T204" i="10" s="1"/>
  <c r="M208" i="10" a="1"/>
  <c r="M208" i="10" s="1"/>
  <c r="M211" i="10" a="1"/>
  <c r="M211" i="10" s="1"/>
  <c r="T215" i="10" a="1"/>
  <c r="T215" i="10" s="1"/>
  <c r="T216" i="10" a="1"/>
  <c r="T216" i="10" s="1"/>
  <c r="M225" i="10" a="1"/>
  <c r="M225" i="10" s="1"/>
  <c r="M230" i="10" a="1"/>
  <c r="M230" i="10" s="1"/>
  <c r="M239" i="10" a="1"/>
  <c r="M239" i="10" s="1"/>
  <c r="M241" i="10" a="1"/>
  <c r="M241" i="10" s="1"/>
  <c r="T242" i="10" a="1"/>
  <c r="T242" i="10" s="1"/>
  <c r="M244" i="10" a="1"/>
  <c r="M244" i="10" s="1"/>
  <c r="M249" i="10" a="1"/>
  <c r="M249" i="10" s="1"/>
  <c r="M252" i="10" a="1"/>
  <c r="M252" i="10" s="1"/>
  <c r="T254" i="10" a="1"/>
  <c r="T254" i="10" s="1"/>
  <c r="M256" i="10" a="1"/>
  <c r="M256" i="10" s="1"/>
  <c r="M258" i="10" a="1"/>
  <c r="M258" i="10" s="1"/>
  <c r="M264" i="10" a="1"/>
  <c r="M264" i="10" s="1"/>
  <c r="T266" i="10" a="1"/>
  <c r="T266" i="10" s="1"/>
  <c r="M274" i="10" a="1"/>
  <c r="M274" i="10" s="1"/>
  <c r="T275" i="10" a="1"/>
  <c r="T275" i="10" s="1"/>
  <c r="T278" i="10" a="1"/>
  <c r="T278" i="10" s="1"/>
  <c r="T280" i="10" a="1"/>
  <c r="T280" i="10" s="1"/>
  <c r="M296" i="10" a="1"/>
  <c r="M296" i="10" s="1"/>
  <c r="M309" i="10" a="1"/>
  <c r="M309" i="10" s="1"/>
  <c r="T310" i="10" a="1"/>
  <c r="T310" i="10" s="1"/>
  <c r="M316" i="10" a="1"/>
  <c r="M316" i="10" s="1"/>
  <c r="T317" i="10" a="1"/>
  <c r="T317" i="10" s="1"/>
  <c r="T326" i="10" a="1"/>
  <c r="T326" i="10" s="1"/>
  <c r="M328" i="10" a="1"/>
  <c r="M328" i="10" s="1"/>
  <c r="T332" i="10" a="1"/>
  <c r="T332" i="10" s="1"/>
  <c r="M336" i="10" a="1"/>
  <c r="M336" i="10" s="1"/>
  <c r="M338" i="10" a="1"/>
  <c r="M338" i="10" s="1"/>
  <c r="T339" i="10" a="1"/>
  <c r="T339" i="10" s="1"/>
  <c r="M343" i="10" a="1"/>
  <c r="M343" i="10" s="1"/>
  <c r="T347" i="10" a="1"/>
  <c r="T347" i="10" s="1"/>
  <c r="T350" i="10" a="1"/>
  <c r="T350" i="10" s="1"/>
  <c r="T358" i="10" a="1"/>
  <c r="T358" i="10" s="1"/>
  <c r="M369" i="10" a="1"/>
  <c r="M369" i="10" s="1"/>
  <c r="M371" i="10" a="1"/>
  <c r="M371" i="10" s="1"/>
  <c r="T374" i="10" a="1"/>
  <c r="T374" i="10" s="1"/>
  <c r="T376" i="10" a="1"/>
  <c r="T376" i="10" s="1"/>
  <c r="M378" i="10" a="1"/>
  <c r="M378" i="10" s="1"/>
  <c r="M386" i="10" a="1"/>
  <c r="M386" i="10" s="1"/>
  <c r="T390" i="10" a="1"/>
  <c r="T390" i="10" s="1"/>
  <c r="M392" i="10" a="1"/>
  <c r="M392" i="10" s="1"/>
  <c r="M395" i="10" a="1"/>
  <c r="M395" i="10" s="1"/>
  <c r="T397" i="10" a="1"/>
  <c r="T397" i="10" s="1"/>
  <c r="M406" i="10" a="1"/>
  <c r="M406" i="10" s="1"/>
  <c r="M126" i="10" a="1"/>
  <c r="M126" i="10" s="1"/>
  <c r="T128" i="10" a="1"/>
  <c r="T128" i="10" s="1"/>
  <c r="T133" i="10" a="1"/>
  <c r="T133" i="10" s="1"/>
  <c r="T135" i="10" a="1"/>
  <c r="T135" i="10" s="1"/>
  <c r="M147" i="10" a="1"/>
  <c r="M147" i="10" s="1"/>
  <c r="M150" i="10" a="1"/>
  <c r="M150" i="10" s="1"/>
  <c r="T152" i="10" a="1"/>
  <c r="T152" i="10" s="1"/>
  <c r="M154" i="10" a="1"/>
  <c r="M154" i="10" s="1"/>
  <c r="T157" i="10" a="1"/>
  <c r="T157" i="10" s="1"/>
  <c r="T160" i="10" a="1"/>
  <c r="T160" i="10" s="1"/>
  <c r="M164" i="10" a="1"/>
  <c r="M164" i="10" s="1"/>
  <c r="T165" i="10" a="1"/>
  <c r="T165" i="10" s="1"/>
  <c r="M167" i="10" a="1"/>
  <c r="M167" i="10" s="1"/>
  <c r="T170" i="10" a="1"/>
  <c r="T170" i="10" s="1"/>
  <c r="M172" i="10" a="1"/>
  <c r="M172" i="10" s="1"/>
  <c r="T173" i="10" a="1"/>
  <c r="T173" i="10" s="1"/>
  <c r="M179" i="10" a="1"/>
  <c r="M179" i="10" s="1"/>
  <c r="T181" i="10" a="1"/>
  <c r="T181" i="10" s="1"/>
  <c r="M184" i="10" a="1"/>
  <c r="M184" i="10" s="1"/>
  <c r="T185" i="10" a="1"/>
  <c r="T185" i="10" s="1"/>
  <c r="M189" i="10" a="1"/>
  <c r="M189" i="10" s="1"/>
  <c r="M195" i="10" a="1"/>
  <c r="M195" i="10" s="1"/>
  <c r="M203" i="10" a="1"/>
  <c r="M203" i="10" s="1"/>
  <c r="T208" i="10" a="1"/>
  <c r="T208" i="10" s="1"/>
  <c r="T211" i="10" a="1"/>
  <c r="T211" i="10" s="1"/>
  <c r="M212" i="10" a="1"/>
  <c r="M212" i="10" s="1"/>
  <c r="M220" i="10" a="1"/>
  <c r="M220" i="10" s="1"/>
  <c r="T225" i="10" a="1"/>
  <c r="T225" i="10" s="1"/>
  <c r="M227" i="10" a="1"/>
  <c r="M227" i="10" s="1"/>
  <c r="T230" i="10" a="1"/>
  <c r="T230" i="10" s="1"/>
  <c r="T239" i="10" a="1"/>
  <c r="T239" i="10" s="1"/>
  <c r="T241" i="10" a="1"/>
  <c r="T241" i="10" s="1"/>
  <c r="T244" i="10" a="1"/>
  <c r="T244" i="10" s="1"/>
  <c r="T249" i="10" a="1"/>
  <c r="T249" i="10" s="1"/>
  <c r="T252" i="10" a="1"/>
  <c r="T252" i="10" s="1"/>
  <c r="M123" i="10" a="1"/>
  <c r="M123" i="10" s="1"/>
  <c r="M124" i="10" a="1"/>
  <c r="M124" i="10" s="1"/>
  <c r="T126" i="10" a="1"/>
  <c r="T126" i="10" s="1"/>
  <c r="M131" i="10" a="1"/>
  <c r="M131" i="10" s="1"/>
  <c r="M143" i="10" a="1"/>
  <c r="M143" i="10" s="1"/>
  <c r="T147" i="10" a="1"/>
  <c r="T147" i="10" s="1"/>
  <c r="T150" i="10" a="1"/>
  <c r="T150" i="10" s="1"/>
  <c r="T154" i="10" a="1"/>
  <c r="T154" i="10" s="1"/>
  <c r="M159" i="10" a="1"/>
  <c r="M159" i="10" s="1"/>
  <c r="M161" i="10" a="1"/>
  <c r="M161" i="10" s="1"/>
  <c r="T164" i="10" a="1"/>
  <c r="T164" i="10" s="1"/>
  <c r="T167" i="10" a="1"/>
  <c r="T167" i="10" s="1"/>
  <c r="T172" i="10" a="1"/>
  <c r="T172" i="10" s="1"/>
  <c r="M174" i="10" a="1"/>
  <c r="M174" i="10" s="1"/>
  <c r="M177" i="10" a="1"/>
  <c r="M177" i="10" s="1"/>
  <c r="M178" i="10" a="1"/>
  <c r="M178" i="10" s="1"/>
  <c r="T179" i="10" a="1"/>
  <c r="T179" i="10" s="1"/>
  <c r="M180" i="10" a="1"/>
  <c r="M180" i="10" s="1"/>
  <c r="T184" i="10" a="1"/>
  <c r="T184" i="10" s="1"/>
  <c r="T189" i="10" a="1"/>
  <c r="T189" i="10" s="1"/>
  <c r="T195" i="10" a="1"/>
  <c r="T195" i="10" s="1"/>
  <c r="M198" i="10" a="1"/>
  <c r="M198" i="10" s="1"/>
  <c r="M202" i="10" a="1"/>
  <c r="M202" i="10" s="1"/>
  <c r="T203" i="10" a="1"/>
  <c r="T203" i="10" s="1"/>
  <c r="T212" i="10" a="1"/>
  <c r="T212" i="10" s="1"/>
  <c r="M217" i="10" a="1"/>
  <c r="M217" i="10" s="1"/>
  <c r="T220" i="10" a="1"/>
  <c r="T220" i="10" s="1"/>
  <c r="T227" i="10" a="1"/>
  <c r="T227" i="10" s="1"/>
  <c r="M234" i="10" a="1"/>
  <c r="M234" i="10" s="1"/>
  <c r="M236" i="10" a="1"/>
  <c r="M236" i="10" s="1"/>
  <c r="M246" i="10" a="1"/>
  <c r="M246" i="10" s="1"/>
  <c r="T260" i="10" a="1"/>
  <c r="T260" i="10" s="1"/>
  <c r="M261" i="10" a="1"/>
  <c r="M261" i="10" s="1"/>
  <c r="T267" i="10" a="1"/>
  <c r="T267" i="10" s="1"/>
  <c r="T268" i="10" a="1"/>
  <c r="T268" i="10" s="1"/>
  <c r="M271" i="10" a="1"/>
  <c r="M271" i="10" s="1"/>
  <c r="T272" i="10" a="1"/>
  <c r="T272" i="10" s="1"/>
  <c r="T284" i="10" a="1"/>
  <c r="T284" i="10" s="1"/>
  <c r="T288" i="10" a="1"/>
  <c r="T288" i="10" s="1"/>
  <c r="T292" i="10" a="1"/>
  <c r="T292" i="10" s="1"/>
  <c r="T299" i="10" a="1"/>
  <c r="T299" i="10" s="1"/>
  <c r="T303" i="10" a="1"/>
  <c r="T303" i="10" s="1"/>
  <c r="M306" i="10" a="1"/>
  <c r="M306" i="10" s="1"/>
  <c r="M307" i="10" a="1"/>
  <c r="M307" i="10" s="1"/>
  <c r="T320" i="10" a="1"/>
  <c r="T320" i="10" s="1"/>
  <c r="T327" i="10" a="1"/>
  <c r="T327" i="10" s="1"/>
  <c r="T333" i="10" a="1"/>
  <c r="T333" i="10" s="1"/>
  <c r="T340" i="10" a="1"/>
  <c r="T340" i="10" s="1"/>
  <c r="M342" i="10" a="1"/>
  <c r="M342" i="10" s="1"/>
  <c r="M345" i="10" a="1"/>
  <c r="M345" i="10" s="1"/>
  <c r="T351" i="10" a="1"/>
  <c r="T351" i="10" s="1"/>
  <c r="M354" i="10" a="1"/>
  <c r="M354" i="10" s="1"/>
  <c r="M356" i="10" a="1"/>
  <c r="M356" i="10" s="1"/>
  <c r="T357" i="10" a="1"/>
  <c r="T357" i="10" s="1"/>
  <c r="T359" i="10" a="1"/>
  <c r="T359" i="10" s="1"/>
  <c r="M362" i="10" a="1"/>
  <c r="M362" i="10" s="1"/>
  <c r="M364" i="10" a="1"/>
  <c r="M364" i="10" s="1"/>
  <c r="T365" i="10" a="1"/>
  <c r="T365" i="10" s="1"/>
  <c r="M366" i="10" a="1"/>
  <c r="M366" i="10" s="1"/>
  <c r="M368" i="10" a="1"/>
  <c r="M368" i="10" s="1"/>
  <c r="M370" i="10" a="1"/>
  <c r="M370" i="10" s="1"/>
  <c r="M373" i="10" a="1"/>
  <c r="M373" i="10" s="1"/>
  <c r="T380" i="10" a="1"/>
  <c r="T380" i="10" s="1"/>
  <c r="T382" i="10" a="1"/>
  <c r="T382" i="10" s="1"/>
  <c r="M384" i="10" a="1"/>
  <c r="M384" i="10" s="1"/>
  <c r="M385" i="10" a="1"/>
  <c r="M385" i="10" s="1"/>
  <c r="T388" i="10" a="1"/>
  <c r="T388" i="10" s="1"/>
  <c r="T393" i="10" a="1"/>
  <c r="T393" i="10" s="1"/>
  <c r="T402" i="10" a="1"/>
  <c r="T402" i="10" s="1"/>
  <c r="T404" i="10" a="1"/>
  <c r="T404" i="10" s="1"/>
  <c r="M405" i="10" a="1"/>
  <c r="M405" i="10" s="1"/>
  <c r="M408" i="10" a="1"/>
  <c r="M408" i="10" s="1"/>
  <c r="T410" i="10" a="1"/>
  <c r="T410" i="10" s="1"/>
  <c r="M414" i="10" a="1"/>
  <c r="M414" i="10" s="1"/>
  <c r="T124" i="10" a="1"/>
  <c r="T124" i="10" s="1"/>
  <c r="M129" i="10" a="1"/>
  <c r="M129" i="10" s="1"/>
  <c r="T131" i="10" a="1"/>
  <c r="T131" i="10" s="1"/>
  <c r="M141" i="10" a="1"/>
  <c r="M141" i="10" s="1"/>
  <c r="T143" i="10" a="1"/>
  <c r="T143" i="10" s="1"/>
  <c r="M144" i="10" a="1"/>
  <c r="M144" i="10" s="1"/>
  <c r="M146" i="10" a="1"/>
  <c r="M146" i="10" s="1"/>
  <c r="T159" i="10" a="1"/>
  <c r="T159" i="10" s="1"/>
  <c r="T161" i="10" a="1"/>
  <c r="T161" i="10" s="1"/>
  <c r="M149" i="10" a="1"/>
  <c r="M149" i="10" s="1"/>
  <c r="T186" i="10" a="1"/>
  <c r="T186" i="10" s="1"/>
  <c r="M187" i="10" a="1"/>
  <c r="M187" i="10" s="1"/>
  <c r="M190" i="10" a="1"/>
  <c r="M190" i="10" s="1"/>
  <c r="T198" i="10" a="1"/>
  <c r="T198" i="10" s="1"/>
  <c r="M206" i="10" a="1"/>
  <c r="M206" i="10" s="1"/>
  <c r="M231" i="10" a="1"/>
  <c r="M231" i="10" s="1"/>
  <c r="M238" i="10" a="1"/>
  <c r="M238" i="10" s="1"/>
  <c r="M242" i="10" a="1"/>
  <c r="M242" i="10" s="1"/>
  <c r="T256" i="10" a="1"/>
  <c r="T256" i="10" s="1"/>
  <c r="T285" i="10" a="1"/>
  <c r="T285" i="10" s="1"/>
  <c r="M288" i="10" a="1"/>
  <c r="M288" i="10" s="1"/>
  <c r="T293" i="10" a="1"/>
  <c r="T293" i="10" s="1"/>
  <c r="M300" i="10" a="1"/>
  <c r="M300" i="10" s="1"/>
  <c r="M320" i="10" a="1"/>
  <c r="M320" i="10" s="1"/>
  <c r="T337" i="10" a="1"/>
  <c r="T337" i="10" s="1"/>
  <c r="T354" i="10" a="1"/>
  <c r="T354" i="10" s="1"/>
  <c r="T369" i="10" a="1"/>
  <c r="T369" i="10" s="1"/>
  <c r="M380" i="10" a="1"/>
  <c r="M380" i="10" s="1"/>
  <c r="T396" i="10" a="1"/>
  <c r="T396" i="10" s="1"/>
  <c r="M397" i="10" a="1"/>
  <c r="M397" i="10" s="1"/>
  <c r="M402" i="10" a="1"/>
  <c r="M402" i="10" s="1"/>
  <c r="T407" i="10" a="1"/>
  <c r="T407" i="10" s="1"/>
  <c r="T418" i="10" a="1"/>
  <c r="T418" i="10" s="1"/>
  <c r="T420" i="10" a="1"/>
  <c r="T420" i="10" s="1"/>
  <c r="M422" i="10" a="1"/>
  <c r="M422" i="10" s="1"/>
  <c r="T423" i="10" a="1"/>
  <c r="T423" i="10" s="1"/>
  <c r="M427" i="10" a="1"/>
  <c r="M427" i="10" s="1"/>
  <c r="T428" i="10" a="1"/>
  <c r="T428" i="10" s="1"/>
  <c r="M432" i="10" a="1"/>
  <c r="M432" i="10" s="1"/>
  <c r="T437" i="10" a="1"/>
  <c r="T437" i="10" s="1"/>
  <c r="M438" i="10" a="1"/>
  <c r="M438" i="10" s="1"/>
  <c r="T441" i="10" a="1"/>
  <c r="T441" i="10" s="1"/>
  <c r="M445" i="10" a="1"/>
  <c r="M445" i="10" s="1"/>
  <c r="T446" i="10" a="1"/>
  <c r="T446" i="10" s="1"/>
  <c r="M450" i="10" a="1"/>
  <c r="M450" i="10" s="1"/>
  <c r="M456" i="10" a="1"/>
  <c r="M456" i="10" s="1"/>
  <c r="M458" i="10" a="1"/>
  <c r="M458" i="10" s="1"/>
  <c r="T460" i="10" a="1"/>
  <c r="T460" i="10" s="1"/>
  <c r="T462" i="10" a="1"/>
  <c r="T462" i="10" s="1"/>
  <c r="M466" i="10" a="1"/>
  <c r="M466" i="10" s="1"/>
  <c r="T468" i="10" a="1"/>
  <c r="T468" i="10" s="1"/>
  <c r="M475" i="10" a="1"/>
  <c r="M475" i="10" s="1"/>
  <c r="M477" i="10" a="1"/>
  <c r="M477" i="10" s="1"/>
  <c r="M478" i="10" a="1"/>
  <c r="M478" i="10" s="1"/>
  <c r="M484" i="10" a="1"/>
  <c r="M484" i="10" s="1"/>
  <c r="M487" i="10" a="1"/>
  <c r="M487" i="10" s="1"/>
  <c r="M497" i="10" a="1"/>
  <c r="M497" i="10" s="1"/>
  <c r="M498" i="10" a="1"/>
  <c r="M498" i="10" s="1"/>
  <c r="M168" i="10" a="1"/>
  <c r="M168" i="10" s="1"/>
  <c r="T178" i="10" a="1"/>
  <c r="T178" i="10" s="1"/>
  <c r="T190" i="10" a="1"/>
  <c r="T190" i="10" s="1"/>
  <c r="M191" i="10" a="1"/>
  <c r="M191" i="10" s="1"/>
  <c r="M201" i="10" a="1"/>
  <c r="M201" i="10" s="1"/>
  <c r="M222" i="10" a="1"/>
  <c r="M222" i="10" s="1"/>
  <c r="M223" i="10" a="1"/>
  <c r="M223" i="10" s="1"/>
  <c r="T226" i="10" a="1"/>
  <c r="T226" i="10" s="1"/>
  <c r="T231" i="10" a="1"/>
  <c r="T231" i="10" s="1"/>
  <c r="T238" i="10" a="1"/>
  <c r="T238" i="10" s="1"/>
  <c r="M254" i="10" a="1"/>
  <c r="M254" i="10" s="1"/>
  <c r="T271" i="10" a="1"/>
  <c r="T271" i="10" s="1"/>
  <c r="M283" i="10" a="1"/>
  <c r="M283" i="10" s="1"/>
  <c r="M291" i="10" a="1"/>
  <c r="M291" i="10" s="1"/>
  <c r="T307" i="10" a="1"/>
  <c r="T307" i="10" s="1"/>
  <c r="T311" i="10" a="1"/>
  <c r="T311" i="10" s="1"/>
  <c r="T316" i="10" a="1"/>
  <c r="T316" i="10" s="1"/>
  <c r="M324" i="10" a="1"/>
  <c r="M324" i="10" s="1"/>
  <c r="M334" i="10" a="1"/>
  <c r="M334" i="10" s="1"/>
  <c r="M339" i="10" a="1"/>
  <c r="M339" i="10" s="1"/>
  <c r="M346" i="10" a="1"/>
  <c r="M346" i="10" s="1"/>
  <c r="M350" i="10" a="1"/>
  <c r="M350" i="10" s="1"/>
  <c r="M358" i="10" a="1"/>
  <c r="M358" i="10" s="1"/>
  <c r="T362" i="10" a="1"/>
  <c r="T362" i="10" s="1"/>
  <c r="T370" i="10" a="1"/>
  <c r="T370" i="10" s="1"/>
  <c r="M376" i="10" a="1"/>
  <c r="M376" i="10" s="1"/>
  <c r="T378" i="10" a="1"/>
  <c r="T378" i="10" s="1"/>
  <c r="M388" i="10" a="1"/>
  <c r="M388" i="10" s="1"/>
  <c r="M391" i="10" a="1"/>
  <c r="M391" i="10" s="1"/>
  <c r="M403" i="10" a="1"/>
  <c r="M403" i="10" s="1"/>
  <c r="T414" i="10" a="1"/>
  <c r="T414" i="10" s="1"/>
  <c r="M416" i="10" a="1"/>
  <c r="M416" i="10" s="1"/>
  <c r="T422" i="10" a="1"/>
  <c r="T422" i="10" s="1"/>
  <c r="T427" i="10" a="1"/>
  <c r="T427" i="10" s="1"/>
  <c r="M429" i="10" a="1"/>
  <c r="M429" i="10" s="1"/>
  <c r="M431" i="10" a="1"/>
  <c r="M431" i="10" s="1"/>
  <c r="T432" i="10" a="1"/>
  <c r="T432" i="10" s="1"/>
  <c r="M434" i="10" a="1"/>
  <c r="M434" i="10" s="1"/>
  <c r="T438" i="10" a="1"/>
  <c r="T438" i="10" s="1"/>
  <c r="T445" i="10" a="1"/>
  <c r="T445" i="10" s="1"/>
  <c r="M449" i="10" a="1"/>
  <c r="M449" i="10" s="1"/>
  <c r="T450" i="10" a="1"/>
  <c r="T450" i="10" s="1"/>
  <c r="T456" i="10" a="1"/>
  <c r="T456" i="10" s="1"/>
  <c r="T458" i="10" a="1"/>
  <c r="T458" i="10" s="1"/>
  <c r="T466" i="10" a="1"/>
  <c r="T466" i="10" s="1"/>
  <c r="M472" i="10" a="1"/>
  <c r="M472" i="10" s="1"/>
  <c r="T475" i="10" a="1"/>
  <c r="T475" i="10" s="1"/>
  <c r="T477" i="10" a="1"/>
  <c r="T477" i="10" s="1"/>
  <c r="T478" i="10" a="1"/>
  <c r="T478" i="10" s="1"/>
  <c r="T484" i="10" a="1"/>
  <c r="T484" i="10" s="1"/>
  <c r="T487" i="10" a="1"/>
  <c r="T487" i="10" s="1"/>
  <c r="M489" i="10" a="1"/>
  <c r="M489" i="10" s="1"/>
  <c r="M490" i="10" a="1"/>
  <c r="M490" i="10" s="1"/>
  <c r="T497" i="10" a="1"/>
  <c r="T497" i="10" s="1"/>
  <c r="T498" i="10" a="1"/>
  <c r="T498" i="10" s="1"/>
  <c r="M504" i="10" a="1"/>
  <c r="M504" i="10" s="1"/>
  <c r="M507" i="10" a="1"/>
  <c r="M507" i="10" s="1"/>
  <c r="T508" i="10" a="1"/>
  <c r="T508" i="10" s="1"/>
  <c r="T512" i="10" a="1"/>
  <c r="T512" i="10" s="1"/>
  <c r="T515" i="10" a="1"/>
  <c r="T515" i="10" s="1"/>
  <c r="T517" i="10" a="1"/>
  <c r="T517" i="10" s="1"/>
  <c r="T519" i="10" a="1"/>
  <c r="T519" i="10" s="1"/>
  <c r="M523" i="10" a="1"/>
  <c r="M523" i="10" s="1"/>
  <c r="M525" i="10" a="1"/>
  <c r="M525" i="10" s="1"/>
  <c r="T528" i="10" a="1"/>
  <c r="T528" i="10" s="1"/>
  <c r="M533" i="10" a="1"/>
  <c r="M533" i="10" s="1"/>
  <c r="M537" i="10" a="1"/>
  <c r="M537" i="10" s="1"/>
  <c r="M542" i="10" a="1"/>
  <c r="M542" i="10" s="1"/>
  <c r="T544" i="10" a="1"/>
  <c r="T544" i="10" s="1"/>
  <c r="M545" i="10" a="1"/>
  <c r="M545" i="10" s="1"/>
  <c r="T553" i="10" a="1"/>
  <c r="T553" i="10" s="1"/>
  <c r="T555" i="10" a="1"/>
  <c r="T555" i="10" s="1"/>
  <c r="T565" i="10" a="1"/>
  <c r="T565" i="10" s="1"/>
  <c r="M569" i="10" a="1"/>
  <c r="M569" i="10" s="1"/>
  <c r="M573" i="10" a="1"/>
  <c r="M573" i="10" s="1"/>
  <c r="T575" i="10" a="1"/>
  <c r="T575" i="10" s="1"/>
  <c r="T586" i="10" a="1"/>
  <c r="T586" i="10" s="1"/>
  <c r="T589" i="10" a="1"/>
  <c r="T589" i="10" s="1"/>
  <c r="M591" i="10" a="1"/>
  <c r="M591" i="10" s="1"/>
  <c r="T129" i="10" a="1"/>
  <c r="T129" i="10" s="1"/>
  <c r="M138" i="10" a="1"/>
  <c r="M138" i="10" s="1"/>
  <c r="M153" i="10" a="1"/>
  <c r="M153" i="10" s="1"/>
  <c r="M158" i="10" a="1"/>
  <c r="M158" i="10" s="1"/>
  <c r="M166" i="10" a="1"/>
  <c r="M166" i="10" s="1"/>
  <c r="T177" i="10" a="1"/>
  <c r="T177" i="10" s="1"/>
  <c r="T192" i="10" a="1"/>
  <c r="T192" i="10" s="1"/>
  <c r="M196" i="10" a="1"/>
  <c r="M196" i="10" s="1"/>
  <c r="M200" i="10" a="1"/>
  <c r="M200" i="10" s="1"/>
  <c r="M209" i="10" a="1"/>
  <c r="M209" i="10" s="1"/>
  <c r="T222" i="10" a="1"/>
  <c r="T222" i="10" s="1"/>
  <c r="T223" i="10" a="1"/>
  <c r="T223" i="10" s="1"/>
  <c r="M229" i="10" a="1"/>
  <c r="M229" i="10" s="1"/>
  <c r="T236" i="10" a="1"/>
  <c r="T236" i="10" s="1"/>
  <c r="M257" i="10" a="1"/>
  <c r="M257" i="10" s="1"/>
  <c r="M275" i="10" a="1"/>
  <c r="M275" i="10" s="1"/>
  <c r="M282" i="10" a="1"/>
  <c r="M282" i="10" s="1"/>
  <c r="M290" i="10" a="1"/>
  <c r="M290" i="10" s="1"/>
  <c r="M298" i="10" a="1"/>
  <c r="M298" i="10" s="1"/>
  <c r="M303" i="10" a="1"/>
  <c r="M303" i="10" s="1"/>
  <c r="T306" i="10" a="1"/>
  <c r="T306" i="10" s="1"/>
  <c r="M318" i="10" a="1"/>
  <c r="M318" i="10" s="1"/>
  <c r="M319" i="10" a="1"/>
  <c r="M319" i="10" s="1"/>
  <c r="M321" i="10" a="1"/>
  <c r="M321" i="10" s="1"/>
  <c r="M322" i="10" a="1"/>
  <c r="M322" i="10" s="1"/>
  <c r="T324" i="10" a="1"/>
  <c r="T324" i="10" s="1"/>
  <c r="T328" i="10" a="1"/>
  <c r="T328" i="10" s="1"/>
  <c r="T334" i="10" a="1"/>
  <c r="T334" i="10" s="1"/>
  <c r="M335" i="10" a="1"/>
  <c r="M335" i="10" s="1"/>
  <c r="M340" i="10" a="1"/>
  <c r="M340" i="10" s="1"/>
  <c r="T342" i="10" a="1"/>
  <c r="T342" i="10" s="1"/>
  <c r="M347" i="10" a="1"/>
  <c r="M347" i="10" s="1"/>
  <c r="M351" i="10" a="1"/>
  <c r="M351" i="10" s="1"/>
  <c r="M355" i="10" a="1"/>
  <c r="M355" i="10" s="1"/>
  <c r="M359" i="10" a="1"/>
  <c r="M359" i="10" s="1"/>
  <c r="M374" i="10" a="1"/>
  <c r="M374" i="10" s="1"/>
  <c r="M381" i="10" a="1"/>
  <c r="M381" i="10" s="1"/>
  <c r="T386" i="10" a="1"/>
  <c r="T386" i="10" s="1"/>
  <c r="M389" i="10" a="1"/>
  <c r="M389" i="10" s="1"/>
  <c r="T391" i="10" a="1"/>
  <c r="T391" i="10" s="1"/>
  <c r="T394" i="10" a="1"/>
  <c r="T394" i="10" s="1"/>
  <c r="M400" i="10" a="1"/>
  <c r="M400" i="10" s="1"/>
  <c r="T403" i="10" a="1"/>
  <c r="T403" i="10" s="1"/>
  <c r="T416" i="10" a="1"/>
  <c r="T416" i="10" s="1"/>
  <c r="M421" i="10" a="1"/>
  <c r="M421" i="10" s="1"/>
  <c r="M424" i="10" a="1"/>
  <c r="M424" i="10" s="1"/>
  <c r="T429" i="10" a="1"/>
  <c r="T429" i="10" s="1"/>
  <c r="T431" i="10" a="1"/>
  <c r="T431" i="10" s="1"/>
  <c r="T434" i="10" a="1"/>
  <c r="T434" i="10" s="1"/>
  <c r="M440" i="10" a="1"/>
  <c r="M440" i="10" s="1"/>
  <c r="M443" i="10" a="1"/>
  <c r="M443" i="10" s="1"/>
  <c r="T449" i="10" a="1"/>
  <c r="T449" i="10" s="1"/>
  <c r="M454" i="10" a="1"/>
  <c r="M454" i="10" s="1"/>
  <c r="T472" i="10" a="1"/>
  <c r="T472" i="10" s="1"/>
  <c r="M479" i="10" a="1"/>
  <c r="M479" i="10" s="1"/>
  <c r="T489" i="10" a="1"/>
  <c r="T489" i="10" s="1"/>
  <c r="T490" i="10" a="1"/>
  <c r="T490" i="10" s="1"/>
  <c r="M496" i="10" a="1"/>
  <c r="M496" i="10" s="1"/>
  <c r="M499" i="10" a="1"/>
  <c r="M499" i="10" s="1"/>
  <c r="T504" i="10" a="1"/>
  <c r="T504" i="10" s="1"/>
  <c r="T507" i="10" a="1"/>
  <c r="T507" i="10" s="1"/>
  <c r="M518" i="10" a="1"/>
  <c r="M518" i="10" s="1"/>
  <c r="M521" i="10" a="1"/>
  <c r="M521" i="10" s="1"/>
  <c r="T523" i="10" a="1"/>
  <c r="T523" i="10" s="1"/>
  <c r="T525" i="10" a="1"/>
  <c r="T525" i="10" s="1"/>
  <c r="M527" i="10" a="1"/>
  <c r="M527" i="10" s="1"/>
  <c r="T533" i="10" a="1"/>
  <c r="T533" i="10" s="1"/>
  <c r="T537" i="10" a="1"/>
  <c r="T537" i="10" s="1"/>
  <c r="M539" i="10" a="1"/>
  <c r="M539" i="10" s="1"/>
  <c r="T542" i="10" a="1"/>
  <c r="T542" i="10" s="1"/>
  <c r="M543" i="10" a="1"/>
  <c r="M543" i="10" s="1"/>
  <c r="T545" i="10" a="1"/>
  <c r="T545" i="10" s="1"/>
  <c r="M547" i="10" a="1"/>
  <c r="M547" i="10" s="1"/>
  <c r="M548" i="10" a="1"/>
  <c r="M548" i="10" s="1"/>
  <c r="M550" i="10" a="1"/>
  <c r="M550" i="10" s="1"/>
  <c r="M557" i="10" a="1"/>
  <c r="M557" i="10" s="1"/>
  <c r="M560" i="10" a="1"/>
  <c r="M560" i="10" s="1"/>
  <c r="M567" i="10" a="1"/>
  <c r="M567" i="10" s="1"/>
  <c r="T569" i="10" a="1"/>
  <c r="T569" i="10" s="1"/>
  <c r="M571" i="10" a="1"/>
  <c r="M571" i="10" s="1"/>
  <c r="T573" i="10" a="1"/>
  <c r="T573" i="10" s="1"/>
  <c r="M582" i="10" a="1"/>
  <c r="M582" i="10" s="1"/>
  <c r="T591" i="10" a="1"/>
  <c r="T591" i="10" s="1"/>
  <c r="M595" i="10" a="1"/>
  <c r="M595" i="10" s="1"/>
  <c r="M596" i="10" a="1"/>
  <c r="M596" i="10" s="1"/>
  <c r="T166" i="10" a="1"/>
  <c r="T166" i="10" s="1"/>
  <c r="M169" i="10" a="1"/>
  <c r="M169" i="10" s="1"/>
  <c r="T196" i="10" a="1"/>
  <c r="T196" i="10" s="1"/>
  <c r="T202" i="10" a="1"/>
  <c r="T202" i="10" s="1"/>
  <c r="T205" i="10" a="1"/>
  <c r="T205" i="10" s="1"/>
  <c r="T209" i="10" a="1"/>
  <c r="T209" i="10" s="1"/>
  <c r="T229" i="10" a="1"/>
  <c r="T229" i="10" s="1"/>
  <c r="T232" i="10" a="1"/>
  <c r="T232" i="10" s="1"/>
  <c r="T251" i="10" a="1"/>
  <c r="T251" i="10" s="1"/>
  <c r="T257" i="10" a="1"/>
  <c r="T257" i="10" s="1"/>
  <c r="M266" i="10" a="1"/>
  <c r="M266" i="10" s="1"/>
  <c r="M268" i="10" a="1"/>
  <c r="M268" i="10" s="1"/>
  <c r="T273" i="10" a="1"/>
  <c r="T273" i="10" s="1"/>
  <c r="M279" i="10" a="1"/>
  <c r="M279" i="10" s="1"/>
  <c r="M305" i="10" a="1"/>
  <c r="M305" i="10" s="1"/>
  <c r="M310" i="10" a="1"/>
  <c r="M310" i="10" s="1"/>
  <c r="T318" i="10" a="1"/>
  <c r="T318" i="10" s="1"/>
  <c r="T319" i="10" a="1"/>
  <c r="T319" i="10" s="1"/>
  <c r="T321" i="10" a="1"/>
  <c r="T321" i="10" s="1"/>
  <c r="T322" i="10" a="1"/>
  <c r="T322" i="10" s="1"/>
  <c r="T325" i="10" a="1"/>
  <c r="T325" i="10" s="1"/>
  <c r="M326" i="10" a="1"/>
  <c r="M326" i="10" s="1"/>
  <c r="T338" i="10" a="1"/>
  <c r="T338" i="10" s="1"/>
  <c r="M361" i="10" a="1"/>
  <c r="M361" i="10" s="1"/>
  <c r="M363" i="10" a="1"/>
  <c r="M363" i="10" s="1"/>
  <c r="T368" i="10" a="1"/>
  <c r="T368" i="10" s="1"/>
  <c r="T372" i="10" a="1"/>
  <c r="T372" i="10" s="1"/>
  <c r="T381" i="10" a="1"/>
  <c r="T381" i="10" s="1"/>
  <c r="T383" i="10" a="1"/>
  <c r="T383" i="10" s="1"/>
  <c r="T389" i="10" a="1"/>
  <c r="T389" i="10" s="1"/>
  <c r="T395" i="10" a="1"/>
  <c r="T395" i="10" s="1"/>
  <c r="T400" i="10" a="1"/>
  <c r="T400" i="10" s="1"/>
  <c r="M401" i="10" a="1"/>
  <c r="M401" i="10" s="1"/>
  <c r="M410" i="10" a="1"/>
  <c r="M410" i="10" s="1"/>
  <c r="M412" i="10" a="1"/>
  <c r="M412" i="10" s="1"/>
  <c r="T417" i="10" a="1"/>
  <c r="T417" i="10" s="1"/>
  <c r="M419" i="10" a="1"/>
  <c r="M419" i="10" s="1"/>
  <c r="T421" i="10" a="1"/>
  <c r="T421" i="10" s="1"/>
  <c r="T424" i="10" a="1"/>
  <c r="T424" i="10" s="1"/>
  <c r="M426" i="10" a="1"/>
  <c r="M426" i="10" s="1"/>
  <c r="T440" i="10" a="1"/>
  <c r="T440" i="10" s="1"/>
  <c r="T443" i="10" a="1"/>
  <c r="T443" i="10" s="1"/>
  <c r="M447" i="10" a="1"/>
  <c r="M447" i="10" s="1"/>
  <c r="M453" i="10" a="1"/>
  <c r="M453" i="10" s="1"/>
  <c r="T454" i="10" a="1"/>
  <c r="T454" i="10" s="1"/>
  <c r="T141" i="10" a="1"/>
  <c r="T141" i="10" s="1"/>
  <c r="T123" i="10" a="1"/>
  <c r="T123" i="10" s="1"/>
  <c r="M151" i="10" a="1"/>
  <c r="M151" i="10" s="1"/>
  <c r="M156" i="10" a="1"/>
  <c r="M156" i="10" s="1"/>
  <c r="M171" i="10" a="1"/>
  <c r="M171" i="10" s="1"/>
  <c r="T197" i="10" a="1"/>
  <c r="T197" i="10" s="1"/>
  <c r="M204" i="10" a="1"/>
  <c r="M204" i="10" s="1"/>
  <c r="T210" i="10" a="1"/>
  <c r="T210" i="10" s="1"/>
  <c r="M215" i="10" a="1"/>
  <c r="M215" i="10" s="1"/>
  <c r="T221" i="10" a="1"/>
  <c r="T221" i="10" s="1"/>
  <c r="T246" i="10" a="1"/>
  <c r="T246" i="10" s="1"/>
  <c r="M247" i="10" a="1"/>
  <c r="M247" i="10" s="1"/>
  <c r="M253" i="10" a="1"/>
  <c r="M253" i="10" s="1"/>
  <c r="M255" i="10" a="1"/>
  <c r="M255" i="10" s="1"/>
  <c r="M260" i="10" a="1"/>
  <c r="M260" i="10" s="1"/>
  <c r="T261" i="10" a="1"/>
  <c r="T261" i="10" s="1"/>
  <c r="M287" i="10" a="1"/>
  <c r="M287" i="10" s="1"/>
  <c r="M295" i="10" a="1"/>
  <c r="M295" i="10" s="1"/>
  <c r="M299" i="10" a="1"/>
  <c r="M299" i="10" s="1"/>
  <c r="M302" i="10" a="1"/>
  <c r="M302" i="10" s="1"/>
  <c r="T304" i="10" a="1"/>
  <c r="T304" i="10" s="1"/>
  <c r="T309" i="10" a="1"/>
  <c r="T309" i="10" s="1"/>
  <c r="M312" i="10" a="1"/>
  <c r="M312" i="10" s="1"/>
  <c r="M313" i="10" a="1"/>
  <c r="M313" i="10" s="1"/>
  <c r="M315" i="10" a="1"/>
  <c r="M315" i="10" s="1"/>
  <c r="M329" i="10" a="1"/>
  <c r="M329" i="10" s="1"/>
  <c r="T341" i="10" a="1"/>
  <c r="T341" i="10" s="1"/>
  <c r="M360" i="10" a="1"/>
  <c r="M360" i="10" s="1"/>
  <c r="M365" i="10" a="1"/>
  <c r="M365" i="10" s="1"/>
  <c r="T366" i="10" a="1"/>
  <c r="T366" i="10" s="1"/>
  <c r="T377" i="10" a="1"/>
  <c r="T377" i="10" s="1"/>
  <c r="M379" i="10" a="1"/>
  <c r="M379" i="10" s="1"/>
  <c r="T385" i="10" a="1"/>
  <c r="T385" i="10" s="1"/>
  <c r="T398" i="10" a="1"/>
  <c r="T398" i="10" s="1"/>
  <c r="M399" i="10" a="1"/>
  <c r="M399" i="10" s="1"/>
  <c r="T408" i="10" a="1"/>
  <c r="T408" i="10" s="1"/>
  <c r="M413" i="10" a="1"/>
  <c r="M413" i="10" s="1"/>
  <c r="M425" i="10" a="1"/>
  <c r="M425" i="10" s="1"/>
  <c r="T430" i="10" a="1"/>
  <c r="T430" i="10" s="1"/>
  <c r="T435" i="10" a="1"/>
  <c r="T435" i="10" s="1"/>
  <c r="M436" i="10" a="1"/>
  <c r="M436" i="10" s="1"/>
  <c r="T444" i="10" a="1"/>
  <c r="T444" i="10" s="1"/>
  <c r="M448" i="10" a="1"/>
  <c r="M448" i="10" s="1"/>
  <c r="T451" i="10" a="1"/>
  <c r="T451" i="10" s="1"/>
  <c r="T457" i="10" a="1"/>
  <c r="T457" i="10" s="1"/>
  <c r="T459" i="10" a="1"/>
  <c r="T459" i="10" s="1"/>
  <c r="T467" i="10" a="1"/>
  <c r="T467" i="10" s="1"/>
  <c r="T469" i="10" a="1"/>
  <c r="T469" i="10" s="1"/>
  <c r="T470" i="10" a="1"/>
  <c r="T470" i="10" s="1"/>
  <c r="M483" i="10" a="1"/>
  <c r="M483" i="10" s="1"/>
  <c r="T493" i="10" a="1"/>
  <c r="T493" i="10" s="1"/>
  <c r="T494" i="10" a="1"/>
  <c r="T494" i="10" s="1"/>
  <c r="M503" i="10" a="1"/>
  <c r="M503" i="10" s="1"/>
  <c r="M509" i="10" a="1"/>
  <c r="M509" i="10" s="1"/>
  <c r="T510" i="10" a="1"/>
  <c r="T510" i="10" s="1"/>
  <c r="M511" i="10" a="1"/>
  <c r="M511" i="10" s="1"/>
  <c r="M520" i="10" a="1"/>
  <c r="M520" i="10" s="1"/>
  <c r="T522" i="10" a="1"/>
  <c r="T522" i="10" s="1"/>
  <c r="M532" i="10" a="1"/>
  <c r="M532" i="10" s="1"/>
  <c r="T546" i="10" a="1"/>
  <c r="T546" i="10" s="1"/>
  <c r="M549" i="10" a="1"/>
  <c r="M549" i="10" s="1"/>
  <c r="M552" i="10" a="1"/>
  <c r="M552" i="10" s="1"/>
  <c r="M554" i="10" a="1"/>
  <c r="M554" i="10" s="1"/>
  <c r="M561" i="10" a="1"/>
  <c r="M561" i="10" s="1"/>
  <c r="M574" i="10" a="1"/>
  <c r="M574" i="10" s="1"/>
  <c r="M576" i="10" a="1"/>
  <c r="M576" i="10" s="1"/>
  <c r="M581" i="10" a="1"/>
  <c r="M581" i="10" s="1"/>
  <c r="T584" i="10" a="1"/>
  <c r="T584" i="10" s="1"/>
  <c r="M585" i="10" a="1"/>
  <c r="M585" i="10" s="1"/>
  <c r="T587" i="10" a="1"/>
  <c r="T587" i="10" s="1"/>
  <c r="M590" i="10" a="1"/>
  <c r="M590" i="10" s="1"/>
  <c r="M593" i="10" a="1"/>
  <c r="M593" i="10" s="1"/>
  <c r="T146" i="10" a="1"/>
  <c r="T146" i="10" s="1"/>
  <c r="T174" i="10" a="1"/>
  <c r="T174" i="10" s="1"/>
  <c r="M193" i="10" a="1"/>
  <c r="M193" i="10" s="1"/>
  <c r="M216" i="10" a="1"/>
  <c r="M216" i="10" s="1"/>
  <c r="T235" i="10" a="1"/>
  <c r="T235" i="10" s="1"/>
  <c r="M262" i="10" a="1"/>
  <c r="M262" i="10" s="1"/>
  <c r="T279" i="10" a="1"/>
  <c r="T279" i="10" s="1"/>
  <c r="T281" i="10" a="1"/>
  <c r="T281" i="10" s="1"/>
  <c r="T305" i="10" a="1"/>
  <c r="T305" i="10" s="1"/>
  <c r="M337" i="10" a="1"/>
  <c r="M337" i="10" s="1"/>
  <c r="T348" i="10" a="1"/>
  <c r="T348" i="10" s="1"/>
  <c r="T349" i="10" a="1"/>
  <c r="T349" i="10" s="1"/>
  <c r="T371" i="10" a="1"/>
  <c r="T371" i="10" s="1"/>
  <c r="M382" i="10" a="1"/>
  <c r="M382" i="10" s="1"/>
  <c r="M411" i="10" a="1"/>
  <c r="M411" i="10" s="1"/>
  <c r="M435" i="10" a="1"/>
  <c r="M435" i="10" s="1"/>
  <c r="T436" i="10" a="1"/>
  <c r="T436" i="10" s="1"/>
  <c r="M461" i="10" a="1"/>
  <c r="M461" i="10" s="1"/>
  <c r="T463" i="10" a="1"/>
  <c r="T463" i="10" s="1"/>
  <c r="T465" i="10" a="1"/>
  <c r="T465" i="10" s="1"/>
  <c r="M468" i="10" a="1"/>
  <c r="M468" i="10" s="1"/>
  <c r="T479" i="10" a="1"/>
  <c r="T479" i="10" s="1"/>
  <c r="M481" i="10" a="1"/>
  <c r="M481" i="10" s="1"/>
  <c r="M482" i="10" a="1"/>
  <c r="M482" i="10" s="1"/>
  <c r="M485" i="10" a="1"/>
  <c r="M485" i="10" s="1"/>
  <c r="M486" i="10" a="1"/>
  <c r="M486" i="10" s="1"/>
  <c r="T491" i="10" a="1"/>
  <c r="T491" i="10" s="1"/>
  <c r="M493" i="10" a="1"/>
  <c r="M493" i="10" s="1"/>
  <c r="M495" i="10" a="1"/>
  <c r="M495" i="10" s="1"/>
  <c r="T501" i="10" a="1"/>
  <c r="T501" i="10" s="1"/>
  <c r="T502" i="10" a="1"/>
  <c r="T502" i="10" s="1"/>
  <c r="T505" i="10" a="1"/>
  <c r="T505" i="10" s="1"/>
  <c r="M506" i="10" a="1"/>
  <c r="M506" i="10" s="1"/>
  <c r="M514" i="10" a="1"/>
  <c r="M514" i="10" s="1"/>
  <c r="M522" i="10" a="1"/>
  <c r="M522" i="10" s="1"/>
  <c r="M530" i="10" a="1"/>
  <c r="M530" i="10" s="1"/>
  <c r="M531" i="10" a="1"/>
  <c r="M531" i="10" s="1"/>
  <c r="M535" i="10" a="1"/>
  <c r="M535" i="10" s="1"/>
  <c r="T538" i="10" a="1"/>
  <c r="T538" i="10" s="1"/>
  <c r="T556" i="10" a="1"/>
  <c r="T556" i="10" s="1"/>
  <c r="M562" i="10" a="1"/>
  <c r="M562" i="10" s="1"/>
  <c r="M570" i="10" a="1"/>
  <c r="M570" i="10" s="1"/>
  <c r="T572" i="10" a="1"/>
  <c r="T572" i="10" s="1"/>
  <c r="T581" i="10" a="1"/>
  <c r="T581" i="10" s="1"/>
  <c r="M583" i="10" a="1"/>
  <c r="M583" i="10" s="1"/>
  <c r="M592" i="10" a="1"/>
  <c r="M592" i="10" s="1"/>
  <c r="T603" i="10" a="1"/>
  <c r="T603" i="10" s="1"/>
  <c r="T608" i="10" a="1"/>
  <c r="T608" i="10" s="1"/>
  <c r="M609" i="10" a="1"/>
  <c r="M609" i="10" s="1"/>
  <c r="M616" i="10" a="1"/>
  <c r="M616" i="10" s="1"/>
  <c r="M618" i="10" a="1"/>
  <c r="M618" i="10" s="1"/>
  <c r="T620" i="10" a="1"/>
  <c r="T620" i="10" s="1"/>
  <c r="M621" i="10" a="1"/>
  <c r="M621" i="10" s="1"/>
  <c r="T622" i="10" a="1"/>
  <c r="T622" i="10" s="1"/>
  <c r="T625" i="10" a="1"/>
  <c r="T625" i="10" s="1"/>
  <c r="M639" i="10" a="1"/>
  <c r="M639" i="10" s="1"/>
  <c r="T643" i="10" a="1"/>
  <c r="T643" i="10" s="1"/>
  <c r="M648" i="10" a="1"/>
  <c r="M648" i="10" s="1"/>
  <c r="M650" i="10" a="1"/>
  <c r="M650" i="10" s="1"/>
  <c r="T652" i="10" a="1"/>
  <c r="T652" i="10" s="1"/>
  <c r="M653" i="10" a="1"/>
  <c r="M653" i="10" s="1"/>
  <c r="T659" i="10" a="1"/>
  <c r="T659" i="10" s="1"/>
  <c r="M660" i="10" a="1"/>
  <c r="M660" i="10" s="1"/>
  <c r="M662" i="10" a="1"/>
  <c r="M662" i="10" s="1"/>
  <c r="M666" i="10" a="1"/>
  <c r="M666" i="10" s="1"/>
  <c r="T675" i="10" a="1"/>
  <c r="T675" i="10" s="1"/>
  <c r="M678" i="10" a="1"/>
  <c r="M678" i="10" s="1"/>
  <c r="T692" i="10" a="1"/>
  <c r="T692" i="10" s="1"/>
  <c r="M696" i="10" a="1"/>
  <c r="M696" i="10" s="1"/>
  <c r="M700" i="10" a="1"/>
  <c r="M700" i="10" s="1"/>
  <c r="T710" i="10" a="1"/>
  <c r="T710" i="10" s="1"/>
  <c r="T716" i="10" a="1"/>
  <c r="T716" i="10" s="1"/>
  <c r="T718" i="10" a="1"/>
  <c r="T718" i="10" s="1"/>
  <c r="M728" i="10" a="1"/>
  <c r="M728" i="10" s="1"/>
  <c r="T730" i="10" a="1"/>
  <c r="T730" i="10" s="1"/>
  <c r="T733" i="10" a="1"/>
  <c r="T733" i="10" s="1"/>
  <c r="T736" i="10" a="1"/>
  <c r="T736" i="10" s="1"/>
  <c r="M738" i="10" a="1"/>
  <c r="M738" i="10" s="1"/>
  <c r="M175" i="10" a="1"/>
  <c r="M175" i="10" s="1"/>
  <c r="T193" i="10" a="1"/>
  <c r="T193" i="10" s="1"/>
  <c r="T247" i="10" a="1"/>
  <c r="T247" i="10" s="1"/>
  <c r="T264" i="10" a="1"/>
  <c r="T264" i="10" s="1"/>
  <c r="M292" i="10" a="1"/>
  <c r="M292" i="10" s="1"/>
  <c r="M341" i="10" a="1"/>
  <c r="M341" i="10" s="1"/>
  <c r="M357" i="10" a="1"/>
  <c r="M357" i="10" s="1"/>
  <c r="M390" i="10" a="1"/>
  <c r="M390" i="10" s="1"/>
  <c r="M398" i="10" a="1"/>
  <c r="M398" i="10" s="1"/>
  <c r="T406" i="10" a="1"/>
  <c r="T406" i="10" s="1"/>
  <c r="M409" i="10" a="1"/>
  <c r="M409" i="10" s="1"/>
  <c r="M420" i="10" a="1"/>
  <c r="M420" i="10" s="1"/>
  <c r="M437" i="10" a="1"/>
  <c r="M437" i="10" s="1"/>
  <c r="T447" i="10" a="1"/>
  <c r="T447" i="10" s="1"/>
  <c r="T461" i="10" a="1"/>
  <c r="T461" i="10" s="1"/>
  <c r="T481" i="10" a="1"/>
  <c r="T481" i="10" s="1"/>
  <c r="T482" i="10" a="1"/>
  <c r="T482" i="10" s="1"/>
  <c r="T485" i="10" a="1"/>
  <c r="T485" i="10" s="1"/>
  <c r="T486" i="10" a="1"/>
  <c r="T486" i="10" s="1"/>
  <c r="T495" i="10" a="1"/>
  <c r="T495" i="10" s="1"/>
  <c r="T503" i="10" a="1"/>
  <c r="T503" i="10" s="1"/>
  <c r="T506" i="10" a="1"/>
  <c r="T506" i="10" s="1"/>
  <c r="M510" i="10" a="1"/>
  <c r="M510" i="10" s="1"/>
  <c r="T511" i="10" a="1"/>
  <c r="T511" i="10" s="1"/>
  <c r="M513" i="10" a="1"/>
  <c r="M513" i="10" s="1"/>
  <c r="T514" i="10" a="1"/>
  <c r="T514" i="10" s="1"/>
  <c r="M517" i="10" a="1"/>
  <c r="M517" i="10" s="1"/>
  <c r="T527" i="10" a="1"/>
  <c r="T527" i="10" s="1"/>
  <c r="T530" i="10" a="1"/>
  <c r="T530" i="10" s="1"/>
  <c r="T531" i="10" a="1"/>
  <c r="T531" i="10" s="1"/>
  <c r="T535" i="10" a="1"/>
  <c r="T535" i="10" s="1"/>
  <c r="T548" i="10" a="1"/>
  <c r="T548" i="10" s="1"/>
  <c r="T552" i="10" a="1"/>
  <c r="T552" i="10" s="1"/>
  <c r="M555" i="10" a="1"/>
  <c r="M555" i="10" s="1"/>
  <c r="T560" i="10" a="1"/>
  <c r="T560" i="10" s="1"/>
  <c r="T562" i="10" a="1"/>
  <c r="T562" i="10" s="1"/>
  <c r="T570" i="10" a="1"/>
  <c r="T570" i="10" s="1"/>
  <c r="T576" i="10" a="1"/>
  <c r="T576" i="10" s="1"/>
  <c r="M579" i="10" a="1"/>
  <c r="M579" i="10" s="1"/>
  <c r="T583" i="10" a="1"/>
  <c r="T583" i="10" s="1"/>
  <c r="T590" i="10" a="1"/>
  <c r="T590" i="10" s="1"/>
  <c r="T592" i="10" a="1"/>
  <c r="T592" i="10" s="1"/>
  <c r="T596" i="10" a="1"/>
  <c r="T596" i="10" s="1"/>
  <c r="M602" i="10" a="1"/>
  <c r="M602" i="10" s="1"/>
  <c r="M607" i="10" a="1"/>
  <c r="M607" i="10" s="1"/>
  <c r="T609" i="10" a="1"/>
  <c r="T609" i="10" s="1"/>
  <c r="M612" i="10" a="1"/>
  <c r="M612" i="10" s="1"/>
  <c r="M614" i="10" a="1"/>
  <c r="M614" i="10" s="1"/>
  <c r="M188" i="10" a="1"/>
  <c r="M188" i="10" s="1"/>
  <c r="T217" i="10" a="1"/>
  <c r="T217" i="10" s="1"/>
  <c r="M219" i="10" a="1"/>
  <c r="M219" i="10" s="1"/>
  <c r="M228" i="10" a="1"/>
  <c r="M228" i="10" s="1"/>
  <c r="T274" i="10" a="1"/>
  <c r="T274" i="10" s="1"/>
  <c r="M280" i="10" a="1"/>
  <c r="M280" i="10" s="1"/>
  <c r="M294" i="10" a="1"/>
  <c r="M294" i="10" s="1"/>
  <c r="T296" i="10" a="1"/>
  <c r="T296" i="10" s="1"/>
  <c r="M304" i="10" a="1"/>
  <c r="M304" i="10" s="1"/>
  <c r="T315" i="10" a="1"/>
  <c r="T315" i="10" s="1"/>
  <c r="M317" i="10" a="1"/>
  <c r="M317" i="10" s="1"/>
  <c r="M327" i="10" a="1"/>
  <c r="M327" i="10" s="1"/>
  <c r="T329" i="10" a="1"/>
  <c r="T329" i="10" s="1"/>
  <c r="M330" i="10" a="1"/>
  <c r="M330" i="10" s="1"/>
  <c r="T331" i="10" a="1"/>
  <c r="T331" i="10" s="1"/>
  <c r="M332" i="10" a="1"/>
  <c r="M332" i="10" s="1"/>
  <c r="T343" i="10" a="1"/>
  <c r="T343" i="10" s="1"/>
  <c r="T345" i="10" a="1"/>
  <c r="T345" i="10" s="1"/>
  <c r="T144" i="10" a="1"/>
  <c r="T144" i="10" s="1"/>
  <c r="M218" i="10" a="1"/>
  <c r="M218" i="10" s="1"/>
  <c r="T224" i="10" a="1"/>
  <c r="T224" i="10" s="1"/>
  <c r="T243" i="10" a="1"/>
  <c r="T243" i="10" s="1"/>
  <c r="T258" i="10" a="1"/>
  <c r="T258" i="10" s="1"/>
  <c r="M276" i="10" a="1"/>
  <c r="M276" i="10" s="1"/>
  <c r="T289" i="10" a="1"/>
  <c r="T289" i="10" s="1"/>
  <c r="T313" i="10" a="1"/>
  <c r="T313" i="10" s="1"/>
  <c r="M333" i="10" a="1"/>
  <c r="M333" i="10" s="1"/>
  <c r="M353" i="10" a="1"/>
  <c r="M353" i="10" s="1"/>
  <c r="T356" i="10" a="1"/>
  <c r="T356" i="10" s="1"/>
  <c r="M377" i="10" a="1"/>
  <c r="M377" i="10" s="1"/>
  <c r="T415" i="10" a="1"/>
  <c r="T415" i="10" s="1"/>
  <c r="M418" i="10" a="1"/>
  <c r="M418" i="10" s="1"/>
  <c r="T442" i="10" a="1"/>
  <c r="T442" i="10" s="1"/>
  <c r="T455" i="10" a="1"/>
  <c r="T455" i="10" s="1"/>
  <c r="M459" i="10" a="1"/>
  <c r="M459" i="10" s="1"/>
  <c r="T464" i="10" a="1"/>
  <c r="T464" i="10" s="1"/>
  <c r="M470" i="10" a="1"/>
  <c r="M470" i="10" s="1"/>
  <c r="T473" i="10" a="1"/>
  <c r="T473" i="10" s="1"/>
  <c r="T474" i="10" a="1"/>
  <c r="T474" i="10" s="1"/>
  <c r="M480" i="10" a="1"/>
  <c r="M480" i="10" s="1"/>
  <c r="M488" i="10" a="1"/>
  <c r="M488" i="10" s="1"/>
  <c r="T492" i="10" a="1"/>
  <c r="T492" i="10" s="1"/>
  <c r="T500" i="10" a="1"/>
  <c r="T500" i="10" s="1"/>
  <c r="T509" i="10" a="1"/>
  <c r="T509" i="10" s="1"/>
  <c r="M512" i="10" a="1"/>
  <c r="M512" i="10" s="1"/>
  <c r="T520" i="10" a="1"/>
  <c r="T520" i="10" s="1"/>
  <c r="M529" i="10" a="1"/>
  <c r="M529" i="10" s="1"/>
  <c r="T541" i="10" a="1"/>
  <c r="T541" i="10" s="1"/>
  <c r="T549" i="10" a="1"/>
  <c r="T549" i="10" s="1"/>
  <c r="T551" i="10" a="1"/>
  <c r="T551" i="10" s="1"/>
  <c r="M553" i="10" a="1"/>
  <c r="M553" i="10" s="1"/>
  <c r="T559" i="10" a="1"/>
  <c r="T559" i="10" s="1"/>
  <c r="T561" i="10" a="1"/>
  <c r="T561" i="10" s="1"/>
  <c r="M564" i="10" a="1"/>
  <c r="M564" i="10" s="1"/>
  <c r="T566" i="10" a="1"/>
  <c r="T566" i="10" s="1"/>
  <c r="T568" i="10" a="1"/>
  <c r="T568" i="10" s="1"/>
  <c r="T571" i="10" a="1"/>
  <c r="T571" i="10" s="1"/>
  <c r="T574" i="10" a="1"/>
  <c r="T574" i="10" s="1"/>
  <c r="T577" i="10" a="1"/>
  <c r="T577" i="10" s="1"/>
  <c r="M588" i="10" a="1"/>
  <c r="M588" i="10" s="1"/>
  <c r="M599" i="10" a="1"/>
  <c r="M599" i="10" s="1"/>
  <c r="M600" i="10" a="1"/>
  <c r="M600" i="10" s="1"/>
  <c r="M601" i="10" a="1"/>
  <c r="M601" i="10" s="1"/>
  <c r="M611" i="10" a="1"/>
  <c r="M611" i="10" s="1"/>
  <c r="T613" i="10" a="1"/>
  <c r="T613" i="10" s="1"/>
  <c r="M627" i="10" a="1"/>
  <c r="M627" i="10" s="1"/>
  <c r="T631" i="10" a="1"/>
  <c r="T631" i="10" s="1"/>
  <c r="M636" i="10" a="1"/>
  <c r="M636" i="10" s="1"/>
  <c r="M638" i="10" a="1"/>
  <c r="M638" i="10" s="1"/>
  <c r="T640" i="10" a="1"/>
  <c r="T640" i="10" s="1"/>
  <c r="M641" i="10" a="1"/>
  <c r="M641" i="10" s="1"/>
  <c r="T642" i="10" a="1"/>
  <c r="T642" i="10" s="1"/>
  <c r="T645" i="10" a="1"/>
  <c r="T645" i="10" s="1"/>
  <c r="T655" i="10" a="1"/>
  <c r="T655" i="10" s="1"/>
  <c r="T658" i="10" a="1"/>
  <c r="T658" i="10" s="1"/>
  <c r="M664" i="10" a="1"/>
  <c r="M664" i="10" s="1"/>
  <c r="M669" i="10" a="1"/>
  <c r="M669" i="10" s="1"/>
  <c r="M670" i="10" a="1"/>
  <c r="M670" i="10" s="1"/>
  <c r="T671" i="10" a="1"/>
  <c r="T671" i="10" s="1"/>
  <c r="T674" i="10" a="1"/>
  <c r="T674" i="10" s="1"/>
  <c r="M681" i="10" a="1"/>
  <c r="M681" i="10" s="1"/>
  <c r="T684" i="10" a="1"/>
  <c r="T684" i="10" s="1"/>
  <c r="T685" i="10" a="1"/>
  <c r="T685" i="10" s="1"/>
  <c r="M686" i="10" a="1"/>
  <c r="M686" i="10" s="1"/>
  <c r="T234" i="10" a="1"/>
  <c r="T234" i="10" s="1"/>
  <c r="T240" i="10" a="1"/>
  <c r="T240" i="10" s="1"/>
  <c r="M267" i="10" a="1"/>
  <c r="M267" i="10" s="1"/>
  <c r="T302" i="10" a="1"/>
  <c r="T302" i="10" s="1"/>
  <c r="T336" i="10" a="1"/>
  <c r="T336" i="10" s="1"/>
  <c r="T352" i="10" a="1"/>
  <c r="T352" i="10" s="1"/>
  <c r="T361" i="10" a="1"/>
  <c r="T361" i="10" s="1"/>
  <c r="T412" i="10" a="1"/>
  <c r="T412" i="10" s="1"/>
  <c r="M428" i="10" a="1"/>
  <c r="M428" i="10" s="1"/>
  <c r="T433" i="10" a="1"/>
  <c r="T433" i="10" s="1"/>
  <c r="M439" i="10" a="1"/>
  <c r="M439" i="10" s="1"/>
  <c r="M452" i="10" a="1"/>
  <c r="M452" i="10" s="1"/>
  <c r="M460" i="10" a="1"/>
  <c r="M460" i="10" s="1"/>
  <c r="T471" i="10" a="1"/>
  <c r="T471" i="10" s="1"/>
  <c r="M476" i="10" a="1"/>
  <c r="M476" i="10" s="1"/>
  <c r="T516" i="10" a="1"/>
  <c r="T516" i="10" s="1"/>
  <c r="T524" i="10" a="1"/>
  <c r="T524" i="10" s="1"/>
  <c r="M526" i="10" a="1"/>
  <c r="M526" i="10" s="1"/>
  <c r="M534" i="10" a="1"/>
  <c r="M534" i="10" s="1"/>
  <c r="M536" i="10" a="1"/>
  <c r="M536" i="10" s="1"/>
  <c r="M540" i="10" a="1"/>
  <c r="M540" i="10" s="1"/>
  <c r="M546" i="10" a="1"/>
  <c r="M546" i="10" s="1"/>
  <c r="T563" i="10" a="1"/>
  <c r="T563" i="10" s="1"/>
  <c r="M565" i="10" a="1"/>
  <c r="M565" i="10" s="1"/>
  <c r="M575" i="10" a="1"/>
  <c r="M575" i="10" s="1"/>
  <c r="M584" i="10" a="1"/>
  <c r="M584" i="10" s="1"/>
  <c r="T585" i="10" a="1"/>
  <c r="T585" i="10" s="1"/>
  <c r="M589" i="10" a="1"/>
  <c r="M589" i="10" s="1"/>
  <c r="M597" i="10" a="1"/>
  <c r="M597" i="10" s="1"/>
  <c r="M598" i="10" a="1"/>
  <c r="M598" i="10" s="1"/>
  <c r="M604" i="10" a="1"/>
  <c r="M604" i="10" s="1"/>
  <c r="T606" i="10" a="1"/>
  <c r="T606" i="10" s="1"/>
  <c r="M619" i="10" a="1"/>
  <c r="M619" i="10" s="1"/>
  <c r="T623" i="10" a="1"/>
  <c r="T623" i="10" s="1"/>
  <c r="M628" i="10" a="1"/>
  <c r="M628" i="10" s="1"/>
  <c r="M630" i="10" a="1"/>
  <c r="M630" i="10" s="1"/>
  <c r="T632" i="10" a="1"/>
  <c r="T632" i="10" s="1"/>
  <c r="M633" i="10" a="1"/>
  <c r="M633" i="10" s="1"/>
  <c r="T634" i="10" a="1"/>
  <c r="T634" i="10" s="1"/>
  <c r="T637" i="10" a="1"/>
  <c r="T637" i="10" s="1"/>
  <c r="M651" i="10" a="1"/>
  <c r="M651" i="10" s="1"/>
  <c r="M654" i="10" a="1"/>
  <c r="M654" i="10" s="1"/>
  <c r="T656" i="10" a="1"/>
  <c r="T656" i="10" s="1"/>
  <c r="M657" i="10" a="1"/>
  <c r="M657" i="10" s="1"/>
  <c r="M663" i="10" a="1"/>
  <c r="M663" i="10" s="1"/>
  <c r="T665" i="10" a="1"/>
  <c r="T665" i="10" s="1"/>
  <c r="M667" i="10" a="1"/>
  <c r="M667" i="10" s="1"/>
  <c r="M668" i="10" a="1"/>
  <c r="M668" i="10" s="1"/>
  <c r="M672" i="10" a="1"/>
  <c r="M672" i="10" s="1"/>
  <c r="M676" i="10" a="1"/>
  <c r="M676" i="10" s="1"/>
  <c r="T679" i="10" a="1"/>
  <c r="T679" i="10" s="1"/>
  <c r="M682" i="10" a="1"/>
  <c r="M682" i="10" s="1"/>
  <c r="M683" i="10" a="1"/>
  <c r="M683" i="10" s="1"/>
  <c r="T702" i="10" a="1"/>
  <c r="T702" i="10" s="1"/>
  <c r="T705" i="10" a="1"/>
  <c r="T705" i="10" s="1"/>
  <c r="M706" i="10" a="1"/>
  <c r="M706" i="10" s="1"/>
  <c r="T707" i="10" a="1"/>
  <c r="T707" i="10" s="1"/>
  <c r="T712" i="10" a="1"/>
  <c r="T712" i="10" s="1"/>
  <c r="M717" i="10" a="1"/>
  <c r="M717" i="10" s="1"/>
  <c r="M722" i="10" a="1"/>
  <c r="M722" i="10" s="1"/>
  <c r="M726" i="10" a="1"/>
  <c r="M726" i="10" s="1"/>
  <c r="T729" i="10" a="1"/>
  <c r="T729" i="10" s="1"/>
  <c r="T734" i="10" a="1"/>
  <c r="T734" i="10" s="1"/>
  <c r="T737" i="10" a="1"/>
  <c r="T737" i="10" s="1"/>
  <c r="T740" i="10" a="1"/>
  <c r="T740" i="10" s="1"/>
  <c r="T741" i="10" a="1"/>
  <c r="T741" i="10" s="1"/>
  <c r="M743" i="10" a="1"/>
  <c r="M743" i="10" s="1"/>
  <c r="M746" i="10" a="1"/>
  <c r="M746" i="10" s="1"/>
  <c r="T749" i="10" a="1"/>
  <c r="T749" i="10" s="1"/>
  <c r="T767" i="10" a="1"/>
  <c r="T767" i="10" s="1"/>
  <c r="T770" i="10" a="1"/>
  <c r="T770" i="10" s="1"/>
  <c r="M775" i="10" a="1"/>
  <c r="M775" i="10" s="1"/>
  <c r="M779" i="10" a="1"/>
  <c r="M779" i="10" s="1"/>
  <c r="M783" i="10" a="1"/>
  <c r="M783" i="10" s="1"/>
  <c r="T787" i="10" a="1"/>
  <c r="T787" i="10" s="1"/>
  <c r="T789" i="10" a="1"/>
  <c r="T789" i="10" s="1"/>
  <c r="T791" i="10" a="1"/>
  <c r="T791" i="10" s="1"/>
  <c r="M800" i="10" a="1"/>
  <c r="M800" i="10" s="1"/>
  <c r="T802" i="10" a="1"/>
  <c r="T802" i="10" s="1"/>
  <c r="T803" i="10" a="1"/>
  <c r="T803" i="10" s="1"/>
  <c r="M811" i="10" a="1"/>
  <c r="M811" i="10" s="1"/>
  <c r="T814" i="10" a="1"/>
  <c r="T814" i="10" s="1"/>
  <c r="M822" i="10" a="1"/>
  <c r="M822" i="10" s="1"/>
  <c r="T823" i="10" a="1"/>
  <c r="T823" i="10" s="1"/>
  <c r="T824" i="10" a="1"/>
  <c r="T824" i="10" s="1"/>
  <c r="T180" i="10" a="1"/>
  <c r="T180" i="10" s="1"/>
  <c r="M183" i="10" a="1"/>
  <c r="M183" i="10" s="1"/>
  <c r="M272" i="10" a="1"/>
  <c r="M272" i="10" s="1"/>
  <c r="M284" i="10" a="1"/>
  <c r="M284" i="10" s="1"/>
  <c r="T308" i="10" a="1"/>
  <c r="T308" i="10" s="1"/>
  <c r="T323" i="10" a="1"/>
  <c r="T323" i="10" s="1"/>
  <c r="T364" i="10" a="1"/>
  <c r="T364" i="10" s="1"/>
  <c r="M375" i="10" a="1"/>
  <c r="M375" i="10" s="1"/>
  <c r="T384" i="10" a="1"/>
  <c r="T384" i="10" s="1"/>
  <c r="T419" i="10" a="1"/>
  <c r="T419" i="10" s="1"/>
  <c r="T439" i="10" a="1"/>
  <c r="T439" i="10" s="1"/>
  <c r="M444" i="10" a="1"/>
  <c r="M444" i="10" s="1"/>
  <c r="M446" i="10" a="1"/>
  <c r="M446" i="10" s="1"/>
  <c r="T452" i="10" a="1"/>
  <c r="T452" i="10" s="1"/>
  <c r="M457" i="10" a="1"/>
  <c r="M457" i="10" s="1"/>
  <c r="M467" i="10" a="1"/>
  <c r="M467" i="10" s="1"/>
  <c r="T476" i="10" a="1"/>
  <c r="T476" i="10" s="1"/>
  <c r="T526" i="10" a="1"/>
  <c r="T526" i="10" s="1"/>
  <c r="M528" i="10" a="1"/>
  <c r="M528" i="10" s="1"/>
  <c r="T534" i="10" a="1"/>
  <c r="T534" i="10" s="1"/>
  <c r="T536" i="10" a="1"/>
  <c r="T536" i="10" s="1"/>
  <c r="T540" i="10" a="1"/>
  <c r="T540" i="10" s="1"/>
  <c r="M558" i="10" a="1"/>
  <c r="M558" i="10" s="1"/>
  <c r="T567" i="10" a="1"/>
  <c r="T567" i="10" s="1"/>
  <c r="M578" i="10" a="1"/>
  <c r="M578" i="10" s="1"/>
  <c r="M580" i="10" a="1"/>
  <c r="M580" i="10" s="1"/>
  <c r="T593" i="10" a="1"/>
  <c r="T593" i="10" s="1"/>
  <c r="M594" i="10" a="1"/>
  <c r="M594" i="10" s="1"/>
  <c r="T597" i="10" a="1"/>
  <c r="T597" i="10" s="1"/>
  <c r="T598" i="10" a="1"/>
  <c r="T598" i="10" s="1"/>
  <c r="T604" i="10" a="1"/>
  <c r="T604" i="10" s="1"/>
  <c r="M605" i="10" a="1"/>
  <c r="M605" i="10" s="1"/>
  <c r="M610" i="10" a="1"/>
  <c r="M610" i="10" s="1"/>
  <c r="M615" i="10" a="1"/>
  <c r="M615" i="10" s="1"/>
  <c r="T619" i="10" a="1"/>
  <c r="T619" i="10" s="1"/>
  <c r="M624" i="10" a="1"/>
  <c r="M624" i="10" s="1"/>
  <c r="M626" i="10" a="1"/>
  <c r="M626" i="10" s="1"/>
  <c r="T628" i="10" a="1"/>
  <c r="T628" i="10" s="1"/>
  <c r="M629" i="10" a="1"/>
  <c r="M629" i="10" s="1"/>
  <c r="T630" i="10" a="1"/>
  <c r="T630" i="10" s="1"/>
  <c r="T633" i="10" a="1"/>
  <c r="T633" i="10" s="1"/>
  <c r="M647" i="10" a="1"/>
  <c r="M647" i="10" s="1"/>
  <c r="T651" i="10" a="1"/>
  <c r="T651" i="10" s="1"/>
  <c r="T654" i="10" a="1"/>
  <c r="T654" i="10" s="1"/>
  <c r="T657" i="10" a="1"/>
  <c r="T657" i="10" s="1"/>
  <c r="T663" i="10" a="1"/>
  <c r="T663" i="10" s="1"/>
  <c r="T667" i="10" a="1"/>
  <c r="T667" i="10" s="1"/>
  <c r="T668" i="10" a="1"/>
  <c r="T668" i="10" s="1"/>
  <c r="T672" i="10" a="1"/>
  <c r="T672" i="10" s="1"/>
  <c r="M673" i="10" a="1"/>
  <c r="M673" i="10" s="1"/>
  <c r="T676" i="10" a="1"/>
  <c r="T676" i="10" s="1"/>
  <c r="M677" i="10" a="1"/>
  <c r="M677" i="10" s="1"/>
  <c r="T682" i="10" a="1"/>
  <c r="T682" i="10" s="1"/>
  <c r="T683" i="10" a="1"/>
  <c r="T683" i="10" s="1"/>
  <c r="T706" i="10" a="1"/>
  <c r="T706" i="10" s="1"/>
  <c r="M709" i="10" a="1"/>
  <c r="M709" i="10" s="1"/>
  <c r="M711" i="10" a="1"/>
  <c r="M711" i="10" s="1"/>
  <c r="T717" i="10" a="1"/>
  <c r="T717" i="10" s="1"/>
  <c r="M720" i="10" a="1"/>
  <c r="M720" i="10" s="1"/>
  <c r="T722" i="10" a="1"/>
  <c r="T722" i="10" s="1"/>
  <c r="M724" i="10" a="1"/>
  <c r="M724" i="10" s="1"/>
  <c r="T726" i="10" a="1"/>
  <c r="T726" i="10" s="1"/>
  <c r="M731" i="10" a="1"/>
  <c r="M731" i="10" s="1"/>
  <c r="T743" i="10" a="1"/>
  <c r="T743" i="10" s="1"/>
  <c r="T746" i="10" a="1"/>
  <c r="T746" i="10" s="1"/>
  <c r="M771" i="10" a="1"/>
  <c r="M771" i="10" s="1"/>
  <c r="T775" i="10" a="1"/>
  <c r="T775" i="10" s="1"/>
  <c r="T779" i="10" a="1"/>
  <c r="T779" i="10" s="1"/>
  <c r="T783" i="10" a="1"/>
  <c r="T783" i="10" s="1"/>
  <c r="T800" i="10" a="1"/>
  <c r="T800" i="10" s="1"/>
  <c r="M809" i="10" a="1"/>
  <c r="M809" i="10" s="1"/>
  <c r="T811" i="10" a="1"/>
  <c r="T811" i="10" s="1"/>
  <c r="M819" i="10" a="1"/>
  <c r="M819" i="10" s="1"/>
  <c r="M821" i="10" a="1"/>
  <c r="M821" i="10" s="1"/>
  <c r="T822" i="10" a="1"/>
  <c r="T822" i="10" s="1"/>
  <c r="M286" i="10" a="1"/>
  <c r="M286" i="10" s="1"/>
  <c r="M349" i="10" a="1"/>
  <c r="M349" i="10" s="1"/>
  <c r="T373" i="10" a="1"/>
  <c r="T373" i="10" s="1"/>
  <c r="M441" i="10" a="1"/>
  <c r="M441" i="10" s="1"/>
  <c r="T453" i="10" a="1"/>
  <c r="T453" i="10" s="1"/>
  <c r="M455" i="10" a="1"/>
  <c r="M455" i="10" s="1"/>
  <c r="M505" i="10" a="1"/>
  <c r="M505" i="10" s="1"/>
  <c r="T547" i="10" a="1"/>
  <c r="T547" i="10" s="1"/>
  <c r="T554" i="10" a="1"/>
  <c r="T554" i="10" s="1"/>
  <c r="M559" i="10" a="1"/>
  <c r="M559" i="10" s="1"/>
  <c r="M566" i="10" a="1"/>
  <c r="M566" i="10" s="1"/>
  <c r="T601" i="10" a="1"/>
  <c r="T601" i="10" s="1"/>
  <c r="T610" i="10" a="1"/>
  <c r="T610" i="10" s="1"/>
  <c r="T626" i="10" a="1"/>
  <c r="T626" i="10" s="1"/>
  <c r="T635" i="10" a="1"/>
  <c r="T635" i="10" s="1"/>
  <c r="T644" i="10" a="1"/>
  <c r="T644" i="10" s="1"/>
  <c r="M645" i="10" a="1"/>
  <c r="M645" i="10" s="1"/>
  <c r="T666" i="10" a="1"/>
  <c r="T666" i="10" s="1"/>
  <c r="T678" i="10" a="1"/>
  <c r="T678" i="10" s="1"/>
  <c r="T680" i="10" a="1"/>
  <c r="T680" i="10" s="1"/>
  <c r="T688" i="10" a="1"/>
  <c r="T688" i="10" s="1"/>
  <c r="T689" i="10" a="1"/>
  <c r="T689" i="10" s="1"/>
  <c r="M690" i="10" a="1"/>
  <c r="M690" i="10" s="1"/>
  <c r="M691" i="10" a="1"/>
  <c r="M691" i="10" s="1"/>
  <c r="M694" i="10" a="1"/>
  <c r="M694" i="10" s="1"/>
  <c r="T695" i="10" a="1"/>
  <c r="T695" i="10" s="1"/>
  <c r="T698" i="10" a="1"/>
  <c r="T698" i="10" s="1"/>
  <c r="M708" i="10" a="1"/>
  <c r="M708" i="10" s="1"/>
  <c r="T719" i="10" a="1"/>
  <c r="T719" i="10" s="1"/>
  <c r="M721" i="10" a="1"/>
  <c r="M721" i="10" s="1"/>
  <c r="T728" i="10" a="1"/>
  <c r="T728" i="10" s="1"/>
  <c r="T738" i="10" a="1"/>
  <c r="T738" i="10" s="1"/>
  <c r="M739" i="10" a="1"/>
  <c r="M739" i="10" s="1"/>
  <c r="M742" i="10" a="1"/>
  <c r="M742" i="10" s="1"/>
  <c r="M750" i="10" a="1"/>
  <c r="M750" i="10" s="1"/>
  <c r="M754" i="10" a="1"/>
  <c r="M754" i="10" s="1"/>
  <c r="M756" i="10" a="1"/>
  <c r="M756" i="10" s="1"/>
  <c r="M758" i="10" a="1"/>
  <c r="M758" i="10" s="1"/>
  <c r="M760" i="10" a="1"/>
  <c r="M760" i="10" s="1"/>
  <c r="M761" i="10" a="1"/>
  <c r="M761" i="10" s="1"/>
  <c r="T762" i="10" a="1"/>
  <c r="T762" i="10" s="1"/>
  <c r="T764" i="10" a="1"/>
  <c r="T764" i="10" s="1"/>
  <c r="T765" i="10" a="1"/>
  <c r="T765" i="10" s="1"/>
  <c r="T772" i="10" a="1"/>
  <c r="T772" i="10" s="1"/>
  <c r="T773" i="10" a="1"/>
  <c r="T773" i="10" s="1"/>
  <c r="M774" i="10" a="1"/>
  <c r="M774" i="10" s="1"/>
  <c r="M784" i="10" a="1"/>
  <c r="M784" i="10" s="1"/>
  <c r="M785" i="10" a="1"/>
  <c r="M785" i="10" s="1"/>
  <c r="T786" i="10" a="1"/>
  <c r="T786" i="10" s="1"/>
  <c r="M788" i="10" a="1"/>
  <c r="M788" i="10" s="1"/>
  <c r="T790" i="10" a="1"/>
  <c r="T790" i="10" s="1"/>
  <c r="T806" i="10" a="1"/>
  <c r="T806" i="10" s="1"/>
  <c r="T808" i="10" a="1"/>
  <c r="T808" i="10" s="1"/>
  <c r="M810" i="10" a="1"/>
  <c r="M810" i="10" s="1"/>
  <c r="M832" i="10" a="1"/>
  <c r="M832" i="10" s="1"/>
  <c r="T835" i="10" a="1"/>
  <c r="T835" i="10" s="1"/>
  <c r="T838" i="10" a="1"/>
  <c r="T838" i="10" s="1"/>
  <c r="M840" i="10" a="1"/>
  <c r="M840" i="10" s="1"/>
  <c r="T842" i="10" a="1"/>
  <c r="T842" i="10" s="1"/>
  <c r="M845" i="10" a="1"/>
  <c r="M845" i="10" s="1"/>
  <c r="T848" i="10" a="1"/>
  <c r="T848" i="10" s="1"/>
  <c r="T849" i="10" a="1"/>
  <c r="T849" i="10" s="1"/>
  <c r="M854" i="10" a="1"/>
  <c r="M854" i="10" s="1"/>
  <c r="M856" i="10" a="1"/>
  <c r="M856" i="10" s="1"/>
  <c r="T857" i="10" a="1"/>
  <c r="T857" i="10" s="1"/>
  <c r="M862" i="10" a="1"/>
  <c r="M862" i="10" s="1"/>
  <c r="T863" i="10" a="1"/>
  <c r="T863" i="10" s="1"/>
  <c r="M865" i="10" a="1"/>
  <c r="M865" i="10" s="1"/>
  <c r="M871" i="10" a="1"/>
  <c r="M871" i="10" s="1"/>
  <c r="M878" i="10" a="1"/>
  <c r="M878" i="10" s="1"/>
  <c r="T879" i="10" a="1"/>
  <c r="T879" i="10" s="1"/>
  <c r="M880" i="10" a="1"/>
  <c r="M880" i="10" s="1"/>
  <c r="M881" i="10" a="1"/>
  <c r="M881" i="10" s="1"/>
  <c r="M883" i="10" a="1"/>
  <c r="M883" i="10" s="1"/>
  <c r="T886" i="10" a="1"/>
  <c r="T886" i="10" s="1"/>
  <c r="T892" i="10" a="1"/>
  <c r="T892" i="10" s="1"/>
  <c r="T894" i="10" a="1"/>
  <c r="T894" i="10" s="1"/>
  <c r="M897" i="10" a="1"/>
  <c r="M897" i="10" s="1"/>
  <c r="M907" i="10" a="1"/>
  <c r="M907" i="10" s="1"/>
  <c r="M909" i="10" a="1"/>
  <c r="M909" i="10" s="1"/>
  <c r="T914" i="10" a="1"/>
  <c r="T914" i="10" s="1"/>
  <c r="T925" i="10" a="1"/>
  <c r="T925" i="10" s="1"/>
  <c r="T928" i="10" a="1"/>
  <c r="T928" i="10" s="1"/>
  <c r="T930" i="10" a="1"/>
  <c r="T930" i="10" s="1"/>
  <c r="T935" i="10" a="1"/>
  <c r="T935" i="10" s="1"/>
  <c r="T277" i="10" a="1"/>
  <c r="T277" i="10" s="1"/>
  <c r="M278" i="10" a="1"/>
  <c r="M278" i="10" s="1"/>
  <c r="M348" i="10" a="1"/>
  <c r="M348" i="10" s="1"/>
  <c r="M387" i="10" a="1"/>
  <c r="M387" i="10" s="1"/>
  <c r="M430" i="10" a="1"/>
  <c r="M430" i="10" s="1"/>
  <c r="M464" i="10" a="1"/>
  <c r="M464" i="10" s="1"/>
  <c r="T483" i="10" a="1"/>
  <c r="T483" i="10" s="1"/>
  <c r="M491" i="10" a="1"/>
  <c r="M491" i="10" s="1"/>
  <c r="T496" i="10" a="1"/>
  <c r="T496" i="10" s="1"/>
  <c r="M515" i="10" a="1"/>
  <c r="M515" i="10" s="1"/>
  <c r="T529" i="10" a="1"/>
  <c r="T529" i="10" s="1"/>
  <c r="T557" i="10" a="1"/>
  <c r="T557" i="10" s="1"/>
  <c r="T578" i="10" a="1"/>
  <c r="T578" i="10" s="1"/>
  <c r="T600" i="10" a="1"/>
  <c r="T600" i="10" s="1"/>
  <c r="T612" i="10" a="1"/>
  <c r="T612" i="10" s="1"/>
  <c r="M613" i="10" a="1"/>
  <c r="M613" i="10" s="1"/>
  <c r="M623" i="10" a="1"/>
  <c r="M623" i="10" s="1"/>
  <c r="T636" i="10" a="1"/>
  <c r="T636" i="10" s="1"/>
  <c r="M637" i="10" a="1"/>
  <c r="M637" i="10" s="1"/>
  <c r="T681" i="10" a="1"/>
  <c r="T681" i="10" s="1"/>
  <c r="M687" i="10" a="1"/>
  <c r="M687" i="10" s="1"/>
  <c r="T690" i="10" a="1"/>
  <c r="T690" i="10" s="1"/>
  <c r="T691" i="10" a="1"/>
  <c r="T691" i="10" s="1"/>
  <c r="T694" i="10" a="1"/>
  <c r="T694" i="10" s="1"/>
  <c r="T708" i="10" a="1"/>
  <c r="T708" i="10" s="1"/>
  <c r="M716" i="10" a="1"/>
  <c r="M716" i="10" s="1"/>
  <c r="T721" i="10" a="1"/>
  <c r="T721" i="10" s="1"/>
  <c r="T724" i="10" a="1"/>
  <c r="T724" i="10" s="1"/>
  <c r="M736" i="10" a="1"/>
  <c r="M736" i="10" s="1"/>
  <c r="T739" i="10" a="1"/>
  <c r="T739" i="10" s="1"/>
  <c r="T742" i="10" a="1"/>
  <c r="T742" i="10" s="1"/>
  <c r="M747" i="10" a="1"/>
  <c r="M747" i="10" s="1"/>
  <c r="T750" i="10" a="1"/>
  <c r="T750" i="10" s="1"/>
  <c r="M752" i="10" a="1"/>
  <c r="M752" i="10" s="1"/>
  <c r="M753" i="10" a="1"/>
  <c r="M753" i="10" s="1"/>
  <c r="T754" i="10" a="1"/>
  <c r="T754" i="10" s="1"/>
  <c r="T756" i="10" a="1"/>
  <c r="T756" i="10" s="1"/>
  <c r="M757" i="10" a="1"/>
  <c r="M757" i="10" s="1"/>
  <c r="T758" i="10" a="1"/>
  <c r="T758" i="10" s="1"/>
  <c r="T760" i="10" a="1"/>
  <c r="T760" i="10" s="1"/>
  <c r="T761" i="10" a="1"/>
  <c r="T761" i="10" s="1"/>
  <c r="M763" i="10" a="1"/>
  <c r="M763" i="10" s="1"/>
  <c r="M766" i="10" a="1"/>
  <c r="M766" i="10" s="1"/>
  <c r="M768" i="10" a="1"/>
  <c r="M768" i="10" s="1"/>
  <c r="M769" i="10" a="1"/>
  <c r="M769" i="10" s="1"/>
  <c r="T774" i="10" a="1"/>
  <c r="T774" i="10" s="1"/>
  <c r="T784" i="10" a="1"/>
  <c r="T784" i="10" s="1"/>
  <c r="T785" i="10" a="1"/>
  <c r="T785" i="10" s="1"/>
  <c r="T788" i="10" a="1"/>
  <c r="T788" i="10" s="1"/>
  <c r="M791" i="10" a="1"/>
  <c r="M791" i="10" s="1"/>
  <c r="M805" i="10" a="1"/>
  <c r="M805" i="10" s="1"/>
  <c r="T810" i="10" a="1"/>
  <c r="T810" i="10" s="1"/>
  <c r="M814" i="10" a="1"/>
  <c r="M814" i="10" s="1"/>
  <c r="T821" i="10" a="1"/>
  <c r="T821" i="10" s="1"/>
  <c r="M831" i="10" a="1"/>
  <c r="M831" i="10" s="1"/>
  <c r="T832" i="10" a="1"/>
  <c r="T832" i="10" s="1"/>
  <c r="M837" i="10" a="1"/>
  <c r="M837" i="10" s="1"/>
  <c r="T840" i="10" a="1"/>
  <c r="T840" i="10" s="1"/>
  <c r="T845" i="10" a="1"/>
  <c r="T845" i="10" s="1"/>
  <c r="M851" i="10" a="1"/>
  <c r="M851" i="10" s="1"/>
  <c r="T854" i="10" a="1"/>
  <c r="T854" i="10" s="1"/>
  <c r="T856" i="10" a="1"/>
  <c r="T856" i="10" s="1"/>
  <c r="T862" i="10" a="1"/>
  <c r="T862" i="10" s="1"/>
  <c r="M864" i="10" a="1"/>
  <c r="M864" i="10" s="1"/>
  <c r="T865" i="10" a="1"/>
  <c r="T865" i="10" s="1"/>
  <c r="M870" i="10" a="1"/>
  <c r="M870" i="10" s="1"/>
  <c r="T871" i="10" a="1"/>
  <c r="T871" i="10" s="1"/>
  <c r="M873" i="10" a="1"/>
  <c r="M873" i="10" s="1"/>
  <c r="T878" i="10" a="1"/>
  <c r="T878" i="10" s="1"/>
  <c r="T880" i="10" a="1"/>
  <c r="T880" i="10" s="1"/>
  <c r="T881" i="10" a="1"/>
  <c r="T881" i="10" s="1"/>
  <c r="T883" i="10" a="1"/>
  <c r="T883" i="10" s="1"/>
  <c r="M885" i="10" a="1"/>
  <c r="M885" i="10" s="1"/>
  <c r="M890" i="10" a="1"/>
  <c r="M890" i="10" s="1"/>
  <c r="T897" i="10" a="1"/>
  <c r="T897" i="10" s="1"/>
  <c r="M901" i="10" a="1"/>
  <c r="M901" i="10" s="1"/>
  <c r="T907" i="10" a="1"/>
  <c r="T907" i="10" s="1"/>
  <c r="M908" i="10" a="1"/>
  <c r="M908" i="10" s="1"/>
  <c r="T909" i="10" a="1"/>
  <c r="T909" i="10" s="1"/>
  <c r="M923" i="10" a="1"/>
  <c r="M923" i="10" s="1"/>
  <c r="M933" i="10" a="1"/>
  <c r="M933" i="10" s="1"/>
  <c r="T344" i="10" a="1"/>
  <c r="T344" i="10" s="1"/>
  <c r="T425" i="10" a="1"/>
  <c r="T425" i="10" s="1"/>
  <c r="T448" i="10" a="1"/>
  <c r="T448" i="10" s="1"/>
  <c r="M474" i="10" a="1"/>
  <c r="M474" i="10" s="1"/>
  <c r="M502" i="10" a="1"/>
  <c r="M502" i="10" s="1"/>
  <c r="M538" i="10" a="1"/>
  <c r="M538" i="10" s="1"/>
  <c r="M541" i="10" a="1"/>
  <c r="M541" i="10" s="1"/>
  <c r="M586" i="10" a="1"/>
  <c r="M586" i="10" s="1"/>
  <c r="T599" i="10" a="1"/>
  <c r="T599" i="10" s="1"/>
  <c r="M603" i="10" a="1"/>
  <c r="M603" i="10" s="1"/>
  <c r="T624" i="10" a="1"/>
  <c r="T624" i="10" s="1"/>
  <c r="M625" i="10" a="1"/>
  <c r="M625" i="10" s="1"/>
  <c r="M642" i="10" a="1"/>
  <c r="M642" i="10" s="1"/>
  <c r="M658" i="10" a="1"/>
  <c r="M658" i="10" s="1"/>
  <c r="M685" i="10" a="1"/>
  <c r="M685" i="10" s="1"/>
  <c r="T686" i="10" a="1"/>
  <c r="T686" i="10" s="1"/>
  <c r="T687" i="10" a="1"/>
  <c r="T687" i="10" s="1"/>
  <c r="T711" i="10" a="1"/>
  <c r="T711" i="10" s="1"/>
  <c r="M741" i="10" a="1"/>
  <c r="M741" i="10" s="1"/>
  <c r="T747" i="10" a="1"/>
  <c r="T747" i="10" s="1"/>
  <c r="M751" i="10" a="1"/>
  <c r="M751" i="10" s="1"/>
  <c r="T752" i="10" a="1"/>
  <c r="T752" i="10" s="1"/>
  <c r="T753" i="10" a="1"/>
  <c r="T753" i="10" s="1"/>
  <c r="M755" i="10" a="1"/>
  <c r="M755" i="10" s="1"/>
  <c r="T757" i="10" a="1"/>
  <c r="T757" i="10" s="1"/>
  <c r="T763" i="10" a="1"/>
  <c r="T763" i="10" s="1"/>
  <c r="T766" i="10" a="1"/>
  <c r="T766" i="10" s="1"/>
  <c r="T768" i="10" a="1"/>
  <c r="T768" i="10" s="1"/>
  <c r="T769" i="10" a="1"/>
  <c r="T769" i="10" s="1"/>
  <c r="M780" i="10" a="1"/>
  <c r="M780" i="10" s="1"/>
  <c r="M781" i="10" a="1"/>
  <c r="M781" i="10" s="1"/>
  <c r="M789" i="10" a="1"/>
  <c r="M789" i="10" s="1"/>
  <c r="M804" i="10" a="1"/>
  <c r="M804" i="10" s="1"/>
  <c r="T805" i="10" a="1"/>
  <c r="T805" i="10" s="1"/>
  <c r="M807" i="10" a="1"/>
  <c r="M807" i="10" s="1"/>
  <c r="T819" i="10" a="1"/>
  <c r="T819" i="10" s="1"/>
  <c r="M827" i="10" a="1"/>
  <c r="M827" i="10" s="1"/>
  <c r="M828" i="10" a="1"/>
  <c r="M828" i="10" s="1"/>
  <c r="T831" i="10" a="1"/>
  <c r="T831" i="10" s="1"/>
  <c r="M834" i="10" a="1"/>
  <c r="M834" i="10" s="1"/>
  <c r="T837" i="10" a="1"/>
  <c r="T837" i="10" s="1"/>
  <c r="M841" i="10" a="1"/>
  <c r="M841" i="10" s="1"/>
  <c r="T851" i="10" a="1"/>
  <c r="T851" i="10" s="1"/>
  <c r="M859" i="10" a="1"/>
  <c r="M859" i="10" s="1"/>
  <c r="T864" i="10" a="1"/>
  <c r="T864" i="10" s="1"/>
  <c r="T870" i="10" a="1"/>
  <c r="T870" i="10" s="1"/>
  <c r="M872" i="10" a="1"/>
  <c r="M872" i="10" s="1"/>
  <c r="T873" i="10" a="1"/>
  <c r="T873" i="10" s="1"/>
  <c r="M875" i="10" a="1"/>
  <c r="M875" i="10" s="1"/>
  <c r="M884" i="10" a="1"/>
  <c r="M884" i="10" s="1"/>
  <c r="T885" i="10" a="1"/>
  <c r="T885" i="10" s="1"/>
  <c r="T890" i="10" a="1"/>
  <c r="T890" i="10" s="1"/>
  <c r="M893" i="10" a="1"/>
  <c r="M893" i="10" s="1"/>
  <c r="M899" i="10" a="1"/>
  <c r="M899" i="10" s="1"/>
  <c r="T901" i="10" a="1"/>
  <c r="T901" i="10" s="1"/>
  <c r="M902" i="10" a="1"/>
  <c r="M902" i="10" s="1"/>
  <c r="T908" i="10" a="1"/>
  <c r="T908" i="10" s="1"/>
  <c r="M911" i="10" a="1"/>
  <c r="M911" i="10" s="1"/>
  <c r="M913" i="10" a="1"/>
  <c r="M913" i="10" s="1"/>
  <c r="M919" i="10" a="1"/>
  <c r="M919" i="10" s="1"/>
  <c r="M921" i="10" a="1"/>
  <c r="M921" i="10" s="1"/>
  <c r="T923" i="10" a="1"/>
  <c r="T923" i="10" s="1"/>
  <c r="M924" i="10" a="1"/>
  <c r="M924" i="10" s="1"/>
  <c r="M926" i="10" a="1"/>
  <c r="M926" i="10" s="1"/>
  <c r="T933" i="10" a="1"/>
  <c r="T933" i="10" s="1"/>
  <c r="M240" i="10" a="1"/>
  <c r="M240" i="10" s="1"/>
  <c r="T250" i="10" a="1"/>
  <c r="T250" i="10" s="1"/>
  <c r="T253" i="10" a="1"/>
  <c r="T253" i="10" s="1"/>
  <c r="T392" i="10" a="1"/>
  <c r="T392" i="10" s="1"/>
  <c r="M393" i="10" a="1"/>
  <c r="M393" i="10" s="1"/>
  <c r="T409" i="10" a="1"/>
  <c r="T409" i="10" s="1"/>
  <c r="M473" i="10" a="1"/>
  <c r="M473" i="10" s="1"/>
  <c r="M492" i="10" a="1"/>
  <c r="M492" i="10" s="1"/>
  <c r="M501" i="10" a="1"/>
  <c r="M501" i="10" s="1"/>
  <c r="T513" i="10" a="1"/>
  <c r="T513" i="10" s="1"/>
  <c r="M516" i="10" a="1"/>
  <c r="M516" i="10" s="1"/>
  <c r="T521" i="10" a="1"/>
  <c r="T521" i="10" s="1"/>
  <c r="T532" i="10" a="1"/>
  <c r="T532" i="10" s="1"/>
  <c r="M544" i="10" a="1"/>
  <c r="M544" i="10" s="1"/>
  <c r="T550" i="10" a="1"/>
  <c r="T550" i="10" s="1"/>
  <c r="T564" i="10" a="1"/>
  <c r="T564" i="10" s="1"/>
  <c r="T579" i="10" a="1"/>
  <c r="T579" i="10" s="1"/>
  <c r="T582" i="10" a="1"/>
  <c r="T582" i="10" s="1"/>
  <c r="T594" i="10" a="1"/>
  <c r="T594" i="10" s="1"/>
  <c r="M606" i="10" a="1"/>
  <c r="M606" i="10" s="1"/>
  <c r="T615" i="10" a="1"/>
  <c r="T615" i="10" s="1"/>
  <c r="T618" i="10" a="1"/>
  <c r="T618" i="10" s="1"/>
  <c r="M634" i="10" a="1"/>
  <c r="M634" i="10" s="1"/>
  <c r="T639" i="10" a="1"/>
  <c r="T639" i="10" s="1"/>
  <c r="T647" i="10" a="1"/>
  <c r="T647" i="10" s="1"/>
  <c r="T650" i="10" a="1"/>
  <c r="T650" i="10" s="1"/>
  <c r="M671" i="10" a="1"/>
  <c r="M671" i="10" s="1"/>
  <c r="M675" i="10" a="1"/>
  <c r="M675" i="10" s="1"/>
  <c r="M679" i="10" a="1"/>
  <c r="M679" i="10" s="1"/>
  <c r="M684" i="10" a="1"/>
  <c r="M684" i="10" s="1"/>
  <c r="M704" i="10" a="1"/>
  <c r="M704" i="10" s="1"/>
  <c r="M707" i="10" a="1"/>
  <c r="M707" i="10" s="1"/>
  <c r="M713" i="10" a="1"/>
  <c r="M713" i="10" s="1"/>
  <c r="M727" i="10" a="1"/>
  <c r="M727" i="10" s="1"/>
  <c r="M729" i="10" a="1"/>
  <c r="M729" i="10" s="1"/>
  <c r="T731" i="10" a="1"/>
  <c r="T731" i="10" s="1"/>
  <c r="M733" i="10" a="1"/>
  <c r="M733" i="10" s="1"/>
  <c r="M740" i="10" a="1"/>
  <c r="M740" i="10" s="1"/>
  <c r="M744" i="10" a="1"/>
  <c r="M744" i="10" s="1"/>
  <c r="M745" i="10" a="1"/>
  <c r="M745" i="10" s="1"/>
  <c r="T751" i="10" a="1"/>
  <c r="T751" i="10" s="1"/>
  <c r="T755" i="10" a="1"/>
  <c r="T755" i="10" s="1"/>
  <c r="M759" i="10" a="1"/>
  <c r="M759" i="10" s="1"/>
  <c r="M770" i="10" a="1"/>
  <c r="M770" i="10" s="1"/>
  <c r="T780" i="10" a="1"/>
  <c r="T780" i="10" s="1"/>
  <c r="T781" i="10" a="1"/>
  <c r="T781" i="10" s="1"/>
  <c r="M787" i="10" a="1"/>
  <c r="M787" i="10" s="1"/>
  <c r="M794" i="10" a="1"/>
  <c r="M794" i="10" s="1"/>
  <c r="M799" i="10" a="1"/>
  <c r="M799" i="10" s="1"/>
  <c r="T804" i="10" a="1"/>
  <c r="T804" i="10" s="1"/>
  <c r="T807" i="10" a="1"/>
  <c r="T807" i="10" s="1"/>
  <c r="M815" i="10" a="1"/>
  <c r="M815" i="10" s="1"/>
  <c r="M816" i="10" a="1"/>
  <c r="M816" i="10" s="1"/>
  <c r="M817" i="10" a="1"/>
  <c r="M817" i="10" s="1"/>
  <c r="M824" i="10" a="1"/>
  <c r="M824" i="10" s="1"/>
  <c r="T827" i="10" a="1"/>
  <c r="T827" i="10" s="1"/>
  <c r="T828" i="10" a="1"/>
  <c r="T828" i="10" s="1"/>
  <c r="T834" i="10" a="1"/>
  <c r="T834" i="10" s="1"/>
  <c r="T841" i="10" a="1"/>
  <c r="T841" i="10" s="1"/>
  <c r="M850" i="10" a="1"/>
  <c r="M850" i="10" s="1"/>
  <c r="M852" i="10" a="1"/>
  <c r="M852" i="10" s="1"/>
  <c r="M853" i="10" a="1"/>
  <c r="M853" i="10" s="1"/>
  <c r="T859" i="10" a="1"/>
  <c r="T859" i="10" s="1"/>
  <c r="M861" i="10" a="1"/>
  <c r="M861" i="10" s="1"/>
  <c r="T872" i="10" a="1"/>
  <c r="T872" i="10" s="1"/>
  <c r="T875" i="10" a="1"/>
  <c r="T875" i="10" s="1"/>
  <c r="M877" i="10" a="1"/>
  <c r="M877" i="10" s="1"/>
  <c r="T884" i="10" a="1"/>
  <c r="T884" i="10" s="1"/>
  <c r="M887" i="10" a="1"/>
  <c r="M887" i="10" s="1"/>
  <c r="T893" i="10" a="1"/>
  <c r="T893" i="10" s="1"/>
  <c r="T899" i="10" a="1"/>
  <c r="T899" i="10" s="1"/>
  <c r="T902" i="10" a="1"/>
  <c r="T902" i="10" s="1"/>
  <c r="T911" i="10" a="1"/>
  <c r="T911" i="10" s="1"/>
  <c r="M912" i="10" a="1"/>
  <c r="M912" i="10" s="1"/>
  <c r="T913" i="10" a="1"/>
  <c r="T913" i="10" s="1"/>
  <c r="M915" i="10" a="1"/>
  <c r="M915" i="10" s="1"/>
  <c r="M917" i="10" a="1"/>
  <c r="M917" i="10" s="1"/>
  <c r="T919" i="10" a="1"/>
  <c r="T919" i="10" s="1"/>
  <c r="M920" i="10" a="1"/>
  <c r="M920" i="10" s="1"/>
  <c r="T921" i="10" a="1"/>
  <c r="T921" i="10" s="1"/>
  <c r="T924" i="10" a="1"/>
  <c r="T924" i="10" s="1"/>
  <c r="T926" i="10" a="1"/>
  <c r="T926" i="10" s="1"/>
  <c r="M931" i="10" a="1"/>
  <c r="M931" i="10" s="1"/>
  <c r="M270" i="10" a="1"/>
  <c r="M270" i="10" s="1"/>
  <c r="T297" i="10" a="1"/>
  <c r="T297" i="10" s="1"/>
  <c r="M301" i="10" a="1"/>
  <c r="M301" i="10" s="1"/>
  <c r="M314" i="10" a="1"/>
  <c r="M314" i="10" s="1"/>
  <c r="M451" i="10" a="1"/>
  <c r="M451" i="10" s="1"/>
  <c r="M462" i="10" a="1"/>
  <c r="M462" i="10" s="1"/>
  <c r="T499" i="10" a="1"/>
  <c r="T499" i="10" s="1"/>
  <c r="M519" i="10" a="1"/>
  <c r="M519" i="10" s="1"/>
  <c r="T539" i="10" a="1"/>
  <c r="T539" i="10" s="1"/>
  <c r="M608" i="10" a="1"/>
  <c r="M608" i="10" s="1"/>
  <c r="T611" i="10" a="1"/>
  <c r="T611" i="10" s="1"/>
  <c r="T616" i="10" a="1"/>
  <c r="T616" i="10" s="1"/>
  <c r="M617" i="10" a="1"/>
  <c r="M617" i="10" s="1"/>
  <c r="T627" i="10" a="1"/>
  <c r="T627" i="10" s="1"/>
  <c r="T629" i="10" a="1"/>
  <c r="T629" i="10" s="1"/>
  <c r="M640" i="10" a="1"/>
  <c r="M640" i="10" s="1"/>
  <c r="T641" i="10" a="1"/>
  <c r="T641" i="10" s="1"/>
  <c r="T648" i="10" a="1"/>
  <c r="T648" i="10" s="1"/>
  <c r="M649" i="10" a="1"/>
  <c r="M649" i="10" s="1"/>
  <c r="T673" i="10" a="1"/>
  <c r="T673" i="10" s="1"/>
  <c r="T700" i="10" a="1"/>
  <c r="T700" i="10" s="1"/>
  <c r="T704" i="10" a="1"/>
  <c r="T704" i="10" s="1"/>
  <c r="T709" i="10" a="1"/>
  <c r="T709" i="10" s="1"/>
  <c r="M710" i="10" a="1"/>
  <c r="M710" i="10" s="1"/>
  <c r="T713" i="10" a="1"/>
  <c r="T713" i="10" s="1"/>
  <c r="M714" i="10" a="1"/>
  <c r="M714" i="10" s="1"/>
  <c r="T720" i="10" a="1"/>
  <c r="T720" i="10" s="1"/>
  <c r="M723" i="10" a="1"/>
  <c r="M723" i="10" s="1"/>
  <c r="T727" i="10" a="1"/>
  <c r="T727" i="10" s="1"/>
  <c r="T744" i="10" a="1"/>
  <c r="T744" i="10" s="1"/>
  <c r="T745" i="10" a="1"/>
  <c r="T745" i="10" s="1"/>
  <c r="M748" i="10" a="1"/>
  <c r="M748" i="10" s="1"/>
  <c r="T759" i="10" a="1"/>
  <c r="T759" i="10" s="1"/>
  <c r="M767" i="10" a="1"/>
  <c r="M767" i="10" s="1"/>
  <c r="T771" i="10" a="1"/>
  <c r="T771" i="10" s="1"/>
  <c r="M777" i="10" a="1"/>
  <c r="M777" i="10" s="1"/>
  <c r="M782" i="10" a="1"/>
  <c r="M782" i="10" s="1"/>
  <c r="M792" i="10" a="1"/>
  <c r="M792" i="10" s="1"/>
  <c r="M793" i="10" a="1"/>
  <c r="M793" i="10" s="1"/>
  <c r="T794" i="10" a="1"/>
  <c r="T794" i="10" s="1"/>
  <c r="M796" i="10" a="1"/>
  <c r="M796" i="10" s="1"/>
  <c r="T799" i="10" a="1"/>
  <c r="T799" i="10" s="1"/>
  <c r="M801" i="10" a="1"/>
  <c r="M801" i="10" s="1"/>
  <c r="T815" i="10" a="1"/>
  <c r="T815" i="10" s="1"/>
  <c r="T816" i="10" a="1"/>
  <c r="T816" i="10" s="1"/>
  <c r="T817" i="10" a="1"/>
  <c r="T817" i="10" s="1"/>
  <c r="M820" i="10" a="1"/>
  <c r="M820" i="10" s="1"/>
  <c r="M823" i="10" a="1"/>
  <c r="M823" i="10" s="1"/>
  <c r="M826" i="10" a="1"/>
  <c r="M826" i="10" s="1"/>
  <c r="M830" i="10" a="1"/>
  <c r="M830" i="10" s="1"/>
  <c r="M833" i="10" a="1"/>
  <c r="M833" i="10" s="1"/>
  <c r="M839" i="10" a="1"/>
  <c r="M839" i="10" s="1"/>
  <c r="M843" i="10" a="1"/>
  <c r="M843" i="10" s="1"/>
  <c r="T850" i="10" a="1"/>
  <c r="T850" i="10" s="1"/>
  <c r="T852" i="10" a="1"/>
  <c r="T852" i="10" s="1"/>
  <c r="T853" i="10" a="1"/>
  <c r="T853" i="10" s="1"/>
  <c r="M858" i="10" a="1"/>
  <c r="M858" i="10" s="1"/>
  <c r="M860" i="10" a="1"/>
  <c r="M860" i="10" s="1"/>
  <c r="T861" i="10" a="1"/>
  <c r="T861" i="10" s="1"/>
  <c r="M867" i="10" a="1"/>
  <c r="M867" i="10" s="1"/>
  <c r="M876" i="10" a="1"/>
  <c r="M876" i="10" s="1"/>
  <c r="T877" i="10" a="1"/>
  <c r="T877" i="10" s="1"/>
  <c r="T887" i="10" a="1"/>
  <c r="T887" i="10" s="1"/>
  <c r="M895" i="10" a="1"/>
  <c r="M895" i="10" s="1"/>
  <c r="M898" i="10" a="1"/>
  <c r="M898" i="10" s="1"/>
  <c r="M906" i="10" a="1"/>
  <c r="M906" i="10" s="1"/>
  <c r="T912" i="10" a="1"/>
  <c r="T912" i="10" s="1"/>
  <c r="T915" i="10" a="1"/>
  <c r="T915" i="10" s="1"/>
  <c r="M916" i="10" a="1"/>
  <c r="M916" i="10" s="1"/>
  <c r="T917" i="10" a="1"/>
  <c r="T917" i="10" s="1"/>
  <c r="T920" i="10" a="1"/>
  <c r="T920" i="10" s="1"/>
  <c r="M929" i="10" a="1"/>
  <c r="M929" i="10" s="1"/>
  <c r="T931" i="10" a="1"/>
  <c r="T931" i="10" s="1"/>
  <c r="M932" i="10" a="1"/>
  <c r="M932" i="10" s="1"/>
  <c r="M934" i="10" a="1"/>
  <c r="M934" i="10" s="1"/>
  <c r="T269" i="10" a="1"/>
  <c r="T269" i="10" s="1"/>
  <c r="T375" i="10" a="1"/>
  <c r="T375" i="10" s="1"/>
  <c r="T401" i="10" a="1"/>
  <c r="T401" i="10" s="1"/>
  <c r="M404" i="10" a="1"/>
  <c r="M404" i="10" s="1"/>
  <c r="T405" i="10" a="1"/>
  <c r="T405" i="10" s="1"/>
  <c r="M423" i="10" a="1"/>
  <c r="M423" i="10" s="1"/>
  <c r="T426" i="10" a="1"/>
  <c r="T426" i="10" s="1"/>
  <c r="M463" i="10" a="1"/>
  <c r="M463" i="10" s="1"/>
  <c r="M469" i="10" a="1"/>
  <c r="M469" i="10" s="1"/>
  <c r="T480" i="10" a="1"/>
  <c r="T480" i="10" s="1"/>
  <c r="M500" i="10" a="1"/>
  <c r="M500" i="10" s="1"/>
  <c r="T518" i="10" a="1"/>
  <c r="T518" i="10" s="1"/>
  <c r="M524" i="10" a="1"/>
  <c r="M524" i="10" s="1"/>
  <c r="M556" i="10" a="1"/>
  <c r="M556" i="10" s="1"/>
  <c r="M572" i="10" a="1"/>
  <c r="M572" i="10" s="1"/>
  <c r="T580" i="10" a="1"/>
  <c r="T580" i="10" s="1"/>
  <c r="T607" i="10" a="1"/>
  <c r="T607" i="10" s="1"/>
  <c r="T614" i="10" a="1"/>
  <c r="T614" i="10" s="1"/>
  <c r="M620" i="10" a="1"/>
  <c r="M620" i="10" s="1"/>
  <c r="T621" i="10" a="1"/>
  <c r="T621" i="10" s="1"/>
  <c r="M635" i="10" a="1"/>
  <c r="M635" i="10" s="1"/>
  <c r="T638" i="10" a="1"/>
  <c r="T638" i="10" s="1"/>
  <c r="M644" i="10" a="1"/>
  <c r="M644" i="10" s="1"/>
  <c r="T646" i="10" a="1"/>
  <c r="T646" i="10" s="1"/>
  <c r="M652" i="10" a="1"/>
  <c r="M652" i="10" s="1"/>
  <c r="T653" i="10" a="1"/>
  <c r="T653" i="10" s="1"/>
  <c r="M656" i="10" a="1"/>
  <c r="M656" i="10" s="1"/>
  <c r="T661" i="10" a="1"/>
  <c r="T661" i="10" s="1"/>
  <c r="M674" i="10" a="1"/>
  <c r="M674" i="10" s="1"/>
  <c r="T677" i="10" a="1"/>
  <c r="T677" i="10" s="1"/>
  <c r="M680" i="10" a="1"/>
  <c r="M680" i="10" s="1"/>
  <c r="M688" i="10" a="1"/>
  <c r="M688" i="10" s="1"/>
  <c r="M689" i="10" a="1"/>
  <c r="M689" i="10" s="1"/>
  <c r="T693" i="10" a="1"/>
  <c r="T693" i="10" s="1"/>
  <c r="M695" i="10" a="1"/>
  <c r="M695" i="10" s="1"/>
  <c r="T697" i="10" a="1"/>
  <c r="T697" i="10" s="1"/>
  <c r="M698" i="10" a="1"/>
  <c r="M698" i="10" s="1"/>
  <c r="T699" i="10" a="1"/>
  <c r="T699" i="10" s="1"/>
  <c r="T701" i="10" a="1"/>
  <c r="T701" i="10" s="1"/>
  <c r="M702" i="10" a="1"/>
  <c r="M702" i="10" s="1"/>
  <c r="M712" i="10" a="1"/>
  <c r="M712" i="10" s="1"/>
  <c r="M719" i="10" a="1"/>
  <c r="M719" i="10" s="1"/>
  <c r="T732" i="10" a="1"/>
  <c r="T732" i="10" s="1"/>
  <c r="M734" i="10" a="1"/>
  <c r="M734" i="10" s="1"/>
  <c r="M762" i="10" a="1"/>
  <c r="M762" i="10" s="1"/>
  <c r="M764" i="10" a="1"/>
  <c r="M764" i="10" s="1"/>
  <c r="M765" i="10" a="1"/>
  <c r="M765" i="10" s="1"/>
  <c r="M772" i="10" a="1"/>
  <c r="M772" i="10" s="1"/>
  <c r="M773" i="10" a="1"/>
  <c r="M773" i="10" s="1"/>
  <c r="M786" i="10" a="1"/>
  <c r="M786" i="10" s="1"/>
  <c r="M790" i="10" a="1"/>
  <c r="M790" i="10" s="1"/>
  <c r="T795" i="10" a="1"/>
  <c r="T795" i="10" s="1"/>
  <c r="T797" i="10" a="1"/>
  <c r="T797" i="10" s="1"/>
  <c r="M806" i="10" a="1"/>
  <c r="M806" i="10" s="1"/>
  <c r="M808" i="10" a="1"/>
  <c r="M808" i="10" s="1"/>
  <c r="M367" i="10" a="1"/>
  <c r="M367" i="10" s="1"/>
  <c r="M407" i="10" a="1"/>
  <c r="M407" i="10" s="1"/>
  <c r="M577" i="10" a="1"/>
  <c r="M577" i="10" s="1"/>
  <c r="M643" i="10" a="1"/>
  <c r="M643" i="10" s="1"/>
  <c r="T649" i="10" a="1"/>
  <c r="T649" i="10" s="1"/>
  <c r="T792" i="10" a="1"/>
  <c r="T792" i="10" s="1"/>
  <c r="M802" i="10" a="1"/>
  <c r="M802" i="10" s="1"/>
  <c r="T825" i="10" a="1"/>
  <c r="T825" i="10" s="1"/>
  <c r="M844" i="10" a="1"/>
  <c r="M844" i="10" s="1"/>
  <c r="M863" i="10" a="1"/>
  <c r="M863" i="10" s="1"/>
  <c r="T867" i="10" a="1"/>
  <c r="T867" i="10" s="1"/>
  <c r="M869" i="10" a="1"/>
  <c r="M869" i="10" s="1"/>
  <c r="M874" i="10" a="1"/>
  <c r="M874" i="10" s="1"/>
  <c r="M886" i="10" a="1"/>
  <c r="M886" i="10" s="1"/>
  <c r="M894" i="10" a="1"/>
  <c r="M894" i="10" s="1"/>
  <c r="T900" i="10" a="1"/>
  <c r="T900" i="10" s="1"/>
  <c r="M914" i="10" a="1"/>
  <c r="M914" i="10" s="1"/>
  <c r="M925" i="10" a="1"/>
  <c r="M925" i="10" s="1"/>
  <c r="M939" i="10" a="1"/>
  <c r="M939" i="10" s="1"/>
  <c r="M947" i="10" a="1"/>
  <c r="M947" i="10" s="1"/>
  <c r="T949" i="10" a="1"/>
  <c r="T949" i="10" s="1"/>
  <c r="M955" i="10" a="1"/>
  <c r="M955" i="10" s="1"/>
  <c r="M957" i="10" a="1"/>
  <c r="M957" i="10" s="1"/>
  <c r="T959" i="10" a="1"/>
  <c r="T959" i="10" s="1"/>
  <c r="T960" i="10" a="1"/>
  <c r="T960" i="10" s="1"/>
  <c r="T962" i="10" a="1"/>
  <c r="T962" i="10" s="1"/>
  <c r="T963" i="10" a="1"/>
  <c r="T963" i="10" s="1"/>
  <c r="T964" i="10" a="1"/>
  <c r="T964" i="10" s="1"/>
  <c r="T971" i="10" a="1"/>
  <c r="T971" i="10" s="1"/>
  <c r="T972" i="10" a="1"/>
  <c r="T972" i="10" s="1"/>
  <c r="T988" i="10" a="1"/>
  <c r="T988" i="10" s="1"/>
  <c r="M990" i="10" a="1"/>
  <c r="M990" i="10" s="1"/>
  <c r="M993" i="10" a="1"/>
  <c r="M993" i="10" s="1"/>
  <c r="T995" i="10" a="1"/>
  <c r="T995" i="10" s="1"/>
  <c r="M999" i="10" a="1"/>
  <c r="M999" i="10" s="1"/>
  <c r="M1002" i="10" a="1"/>
  <c r="M1002" i="10" s="1"/>
  <c r="T1004" i="10" a="1"/>
  <c r="T1004" i="10" s="1"/>
  <c r="M1010" i="10" a="1"/>
  <c r="M1010" i="10" s="1"/>
  <c r="M1015" i="10" a="1"/>
  <c r="M1015" i="10" s="1"/>
  <c r="M1016" i="10" a="1"/>
  <c r="M1016" i="10" s="1"/>
  <c r="T488" i="10" a="1"/>
  <c r="T488" i="10" s="1"/>
  <c r="T605" i="10" a="1"/>
  <c r="T605" i="10" s="1"/>
  <c r="M655" i="10" a="1"/>
  <c r="M655" i="10" s="1"/>
  <c r="M732" i="10" a="1"/>
  <c r="M732" i="10" s="1"/>
  <c r="M795" i="10" a="1"/>
  <c r="M795" i="10" s="1"/>
  <c r="T809" i="10" a="1"/>
  <c r="T809" i="10" s="1"/>
  <c r="T847" i="10" a="1"/>
  <c r="T847" i="10" s="1"/>
  <c r="M941" i="10" a="1"/>
  <c r="M941" i="10" s="1"/>
  <c r="M954" i="10" a="1"/>
  <c r="M954" i="10" s="1"/>
  <c r="T974" i="10" a="1"/>
  <c r="T974" i="10" s="1"/>
  <c r="M986" i="10" a="1"/>
  <c r="M986" i="10" s="1"/>
  <c r="T1006" i="10" a="1"/>
  <c r="T1006" i="10" s="1"/>
  <c r="T1011" i="10" a="1"/>
  <c r="T1011" i="10" s="1"/>
  <c r="M960" i="10" a="1"/>
  <c r="M960" i="10" s="1"/>
  <c r="M972" i="10" a="1"/>
  <c r="M972" i="10" s="1"/>
  <c r="T989" i="10" a="1"/>
  <c r="T989" i="10" s="1"/>
  <c r="M1004" i="10" a="1"/>
  <c r="M1004" i="10" s="1"/>
  <c r="M568" i="10" a="1"/>
  <c r="M568" i="10" s="1"/>
  <c r="M631" i="10" a="1"/>
  <c r="M631" i="10" s="1"/>
  <c r="T670" i="10" a="1"/>
  <c r="T670" i="10" s="1"/>
  <c r="M701" i="10" a="1"/>
  <c r="M701" i="10" s="1"/>
  <c r="M737" i="10" a="1"/>
  <c r="M737" i="10" s="1"/>
  <c r="T830" i="10" a="1"/>
  <c r="T830" i="10" s="1"/>
  <c r="M836" i="10" a="1"/>
  <c r="M836" i="10" s="1"/>
  <c r="M838" i="10" a="1"/>
  <c r="M838" i="10" s="1"/>
  <c r="T844" i="10" a="1"/>
  <c r="T844" i="10" s="1"/>
  <c r="M857" i="10" a="1"/>
  <c r="M857" i="10" s="1"/>
  <c r="M866" i="10" a="1"/>
  <c r="M866" i="10" s="1"/>
  <c r="M868" i="10" a="1"/>
  <c r="M868" i="10" s="1"/>
  <c r="T869" i="10" a="1"/>
  <c r="T869" i="10" s="1"/>
  <c r="T874" i="10" a="1"/>
  <c r="T874" i="10" s="1"/>
  <c r="T898" i="10" a="1"/>
  <c r="T898" i="10" s="1"/>
  <c r="M918" i="10" a="1"/>
  <c r="M918" i="10" s="1"/>
  <c r="T929" i="10" a="1"/>
  <c r="T929" i="10" s="1"/>
  <c r="M937" i="10" a="1"/>
  <c r="M937" i="10" s="1"/>
  <c r="T939" i="10" a="1"/>
  <c r="T939" i="10" s="1"/>
  <c r="M940" i="10" a="1"/>
  <c r="M940" i="10" s="1"/>
  <c r="M942" i="10" a="1"/>
  <c r="M942" i="10" s="1"/>
  <c r="T947" i="10" a="1"/>
  <c r="T947" i="10" s="1"/>
  <c r="M948" i="10" a="1"/>
  <c r="M948" i="10" s="1"/>
  <c r="T955" i="10" a="1"/>
  <c r="T955" i="10" s="1"/>
  <c r="M956" i="10" a="1"/>
  <c r="M956" i="10" s="1"/>
  <c r="T957" i="10" a="1"/>
  <c r="T957" i="10" s="1"/>
  <c r="M970" i="10" a="1"/>
  <c r="M970" i="10" s="1"/>
  <c r="M983" i="10" a="1"/>
  <c r="M983" i="10" s="1"/>
  <c r="T990" i="10" a="1"/>
  <c r="T990" i="10" s="1"/>
  <c r="M992" i="10" a="1"/>
  <c r="M992" i="10" s="1"/>
  <c r="T993" i="10" a="1"/>
  <c r="T993" i="10" s="1"/>
  <c r="M997" i="10" a="1"/>
  <c r="M997" i="10" s="1"/>
  <c r="T999" i="10" a="1"/>
  <c r="T999" i="10" s="1"/>
  <c r="T1002" i="10" a="1"/>
  <c r="T1002" i="10" s="1"/>
  <c r="T1010" i="10" a="1"/>
  <c r="T1010" i="10" s="1"/>
  <c r="M1013" i="10" a="1"/>
  <c r="M1013" i="10" s="1"/>
  <c r="T1015" i="10" a="1"/>
  <c r="T1015" i="10" s="1"/>
  <c r="T1016" i="10" a="1"/>
  <c r="T1016" i="10" s="1"/>
  <c r="M1019" i="10" a="1"/>
  <c r="M1019" i="10" s="1"/>
  <c r="M1020" i="10" a="1"/>
  <c r="M1020" i="10" s="1"/>
  <c r="M978" i="10" a="1"/>
  <c r="M978" i="10" s="1"/>
  <c r="T1012" i="10" a="1"/>
  <c r="T1012" i="10" s="1"/>
  <c r="T1018" i="10" a="1"/>
  <c r="T1018" i="10" s="1"/>
  <c r="M848" i="10" a="1"/>
  <c r="M848" i="10" s="1"/>
  <c r="M900" i="10" a="1"/>
  <c r="M900" i="10" s="1"/>
  <c r="T941" i="10" a="1"/>
  <c r="T941" i="10" s="1"/>
  <c r="T954" i="10" a="1"/>
  <c r="T954" i="10" s="1"/>
  <c r="M959" i="10" a="1"/>
  <c r="M959" i="10" s="1"/>
  <c r="M963" i="10" a="1"/>
  <c r="M963" i="10" s="1"/>
  <c r="T978" i="10" a="1"/>
  <c r="T978" i="10" s="1"/>
  <c r="M988" i="10" a="1"/>
  <c r="M988" i="10" s="1"/>
  <c r="M442" i="10" a="1"/>
  <c r="M442" i="10" s="1"/>
  <c r="M465" i="10" a="1"/>
  <c r="M465" i="10" s="1"/>
  <c r="M471" i="10" a="1"/>
  <c r="M471" i="10" s="1"/>
  <c r="T543" i="10" a="1"/>
  <c r="T543" i="10" s="1"/>
  <c r="M563" i="10" a="1"/>
  <c r="M563" i="10" s="1"/>
  <c r="M587" i="10" a="1"/>
  <c r="M587" i="10" s="1"/>
  <c r="T595" i="10" a="1"/>
  <c r="T595" i="10" s="1"/>
  <c r="T617" i="10" a="1"/>
  <c r="T617" i="10" s="1"/>
  <c r="M632" i="10" a="1"/>
  <c r="M632" i="10" s="1"/>
  <c r="T662" i="10" a="1"/>
  <c r="T662" i="10" s="1"/>
  <c r="T664" i="10" a="1"/>
  <c r="T664" i="10" s="1"/>
  <c r="M665" i="10" a="1"/>
  <c r="M665" i="10" s="1"/>
  <c r="T669" i="10" a="1"/>
  <c r="T669" i="10" s="1"/>
  <c r="M692" i="10" a="1"/>
  <c r="M692" i="10" s="1"/>
  <c r="T714" i="10" a="1"/>
  <c r="T714" i="10" s="1"/>
  <c r="M715" i="10" a="1"/>
  <c r="M715" i="10" s="1"/>
  <c r="M718" i="10" a="1"/>
  <c r="M718" i="10" s="1"/>
  <c r="M725" i="10" a="1"/>
  <c r="M725" i="10" s="1"/>
  <c r="M735" i="10" a="1"/>
  <c r="M735" i="10" s="1"/>
  <c r="M798" i="10" a="1"/>
  <c r="M798" i="10" s="1"/>
  <c r="T820" i="10" a="1"/>
  <c r="T820" i="10" s="1"/>
  <c r="M829" i="10" a="1"/>
  <c r="M829" i="10" s="1"/>
  <c r="T836" i="10" a="1"/>
  <c r="T836" i="10" s="1"/>
  <c r="M855" i="10" a="1"/>
  <c r="M855" i="10" s="1"/>
  <c r="T860" i="10" a="1"/>
  <c r="T860" i="10" s="1"/>
  <c r="T866" i="10" a="1"/>
  <c r="T866" i="10" s="1"/>
  <c r="T868" i="10" a="1"/>
  <c r="T868" i="10" s="1"/>
  <c r="M891" i="10" a="1"/>
  <c r="M891" i="10" s="1"/>
  <c r="T906" i="10" a="1"/>
  <c r="T906" i="10" s="1"/>
  <c r="T916" i="10" a="1"/>
  <c r="T916" i="10" s="1"/>
  <c r="T918" i="10" a="1"/>
  <c r="T918" i="10" s="1"/>
  <c r="M922" i="10" a="1"/>
  <c r="M922" i="10" s="1"/>
  <c r="T934" i="10" a="1"/>
  <c r="T934" i="10" s="1"/>
  <c r="T937" i="10" a="1"/>
  <c r="T937" i="10" s="1"/>
  <c r="T940" i="10" a="1"/>
  <c r="T940" i="10" s="1"/>
  <c r="T942" i="10" a="1"/>
  <c r="T942" i="10" s="1"/>
  <c r="M945" i="10" a="1"/>
  <c r="M945" i="10" s="1"/>
  <c r="T948" i="10" a="1"/>
  <c r="T948" i="10" s="1"/>
  <c r="M950" i="10" a="1"/>
  <c r="M950" i="10" s="1"/>
  <c r="T956" i="10" a="1"/>
  <c r="T956" i="10" s="1"/>
  <c r="M965" i="10" a="1"/>
  <c r="M965" i="10" s="1"/>
  <c r="T970" i="10" a="1"/>
  <c r="T970" i="10" s="1"/>
  <c r="M973" i="10" a="1"/>
  <c r="M973" i="10" s="1"/>
  <c r="M981" i="10" a="1"/>
  <c r="M981" i="10" s="1"/>
  <c r="T983" i="10" a="1"/>
  <c r="T983" i="10" s="1"/>
  <c r="T992" i="10" a="1"/>
  <c r="T992" i="10" s="1"/>
  <c r="M994" i="10" a="1"/>
  <c r="M994" i="10" s="1"/>
  <c r="T997" i="10" a="1"/>
  <c r="T997" i="10" s="1"/>
  <c r="M1000" i="10" a="1"/>
  <c r="M1000" i="10" s="1"/>
  <c r="M1007" i="10" a="1"/>
  <c r="M1007" i="10" s="1"/>
  <c r="M1008" i="10" a="1"/>
  <c r="M1008" i="10" s="1"/>
  <c r="T1013" i="10" a="1"/>
  <c r="T1013" i="10" s="1"/>
  <c r="T1019" i="10" a="1"/>
  <c r="T1019" i="10" s="1"/>
  <c r="T1020" i="10" a="1"/>
  <c r="T1020" i="10" s="1"/>
  <c r="T602" i="10" a="1"/>
  <c r="T602" i="10" s="1"/>
  <c r="M703" i="10" a="1"/>
  <c r="M703" i="10" s="1"/>
  <c r="M730" i="10" a="1"/>
  <c r="M730" i="10" s="1"/>
  <c r="T782" i="10" a="1"/>
  <c r="T782" i="10" s="1"/>
  <c r="M846" i="10" a="1"/>
  <c r="M846" i="10" s="1"/>
  <c r="T946" i="10" a="1"/>
  <c r="T946" i="10" s="1"/>
  <c r="T952" i="10" a="1"/>
  <c r="T952" i="10" s="1"/>
  <c r="M969" i="10" a="1"/>
  <c r="M969" i="10" s="1"/>
  <c r="T980" i="10" a="1"/>
  <c r="T980" i="10" s="1"/>
  <c r="T991" i="10" a="1"/>
  <c r="T991" i="10" s="1"/>
  <c r="M1001" i="10" a="1"/>
  <c r="M1001" i="10" s="1"/>
  <c r="M803" i="10" a="1"/>
  <c r="M803" i="10" s="1"/>
  <c r="T846" i="10" a="1"/>
  <c r="T846" i="10" s="1"/>
  <c r="M962" i="10" a="1"/>
  <c r="M962" i="10" s="1"/>
  <c r="M971" i="10" a="1"/>
  <c r="M971" i="10" s="1"/>
  <c r="T1001" i="10" a="1"/>
  <c r="T1001" i="10" s="1"/>
  <c r="T1022" i="10" a="1"/>
  <c r="T1022" i="10" s="1"/>
  <c r="T312" i="10" a="1"/>
  <c r="T312" i="10" s="1"/>
  <c r="M433" i="10" a="1"/>
  <c r="M433" i="10" s="1"/>
  <c r="T558" i="10" a="1"/>
  <c r="T558" i="10" s="1"/>
  <c r="T588" i="10" a="1"/>
  <c r="T588" i="10" s="1"/>
  <c r="M693" i="10" a="1"/>
  <c r="M693" i="10" s="1"/>
  <c r="M699" i="10" a="1"/>
  <c r="M699" i="10" s="1"/>
  <c r="T715" i="10" a="1"/>
  <c r="T715" i="10" s="1"/>
  <c r="T723" i="10" a="1"/>
  <c r="T723" i="10" s="1"/>
  <c r="T725" i="10" a="1"/>
  <c r="T725" i="10" s="1"/>
  <c r="T735" i="10" a="1"/>
  <c r="T735" i="10" s="1"/>
  <c r="T748" i="10" a="1"/>
  <c r="T748" i="10" s="1"/>
  <c r="M749" i="10" a="1"/>
  <c r="M749" i="10" s="1"/>
  <c r="T777" i="10" a="1"/>
  <c r="T777" i="10" s="1"/>
  <c r="M778" i="10" a="1"/>
  <c r="M778" i="10" s="1"/>
  <c r="T796" i="10" a="1"/>
  <c r="T796" i="10" s="1"/>
  <c r="T798" i="10" a="1"/>
  <c r="T798" i="10" s="1"/>
  <c r="M813" i="10" a="1"/>
  <c r="M813" i="10" s="1"/>
  <c r="T829" i="10" a="1"/>
  <c r="T829" i="10" s="1"/>
  <c r="M842" i="10" a="1"/>
  <c r="M842" i="10" s="1"/>
  <c r="T855" i="10" a="1"/>
  <c r="T855" i="10" s="1"/>
  <c r="M879" i="10" a="1"/>
  <c r="M879" i="10" s="1"/>
  <c r="M888" i="10" a="1"/>
  <c r="M888" i="10" s="1"/>
  <c r="M889" i="10" a="1"/>
  <c r="M889" i="10" s="1"/>
  <c r="T891" i="10" a="1"/>
  <c r="T891" i="10" s="1"/>
  <c r="M892" i="10" a="1"/>
  <c r="M892" i="10" s="1"/>
  <c r="M903" i="10" a="1"/>
  <c r="M903" i="10" s="1"/>
  <c r="M905" i="10" a="1"/>
  <c r="M905" i="10" s="1"/>
  <c r="T922" i="10" a="1"/>
  <c r="T922" i="10" s="1"/>
  <c r="M930" i="10" a="1"/>
  <c r="M930" i="10" s="1"/>
  <c r="T945" i="10" a="1"/>
  <c r="T945" i="10" s="1"/>
  <c r="T950" i="10" a="1"/>
  <c r="T950" i="10" s="1"/>
  <c r="M953" i="10" a="1"/>
  <c r="M953" i="10" s="1"/>
  <c r="M958" i="10" a="1"/>
  <c r="M958" i="10" s="1"/>
  <c r="T965" i="10" a="1"/>
  <c r="T965" i="10" s="1"/>
  <c r="M967" i="10" a="1"/>
  <c r="M967" i="10" s="1"/>
  <c r="M968" i="10" a="1"/>
  <c r="M968" i="10" s="1"/>
  <c r="T973" i="10" a="1"/>
  <c r="T973" i="10" s="1"/>
  <c r="M975" i="10" a="1"/>
  <c r="M975" i="10" s="1"/>
  <c r="M979" i="10" a="1"/>
  <c r="M979" i="10" s="1"/>
  <c r="T981" i="10" a="1"/>
  <c r="T981" i="10" s="1"/>
  <c r="M987" i="10" a="1"/>
  <c r="M987" i="10" s="1"/>
  <c r="T994" i="10" a="1"/>
  <c r="T994" i="10" s="1"/>
  <c r="M996" i="10" a="1"/>
  <c r="M996" i="10" s="1"/>
  <c r="M998" i="10" a="1"/>
  <c r="M998" i="10" s="1"/>
  <c r="T1000" i="10" a="1"/>
  <c r="T1000" i="10" s="1"/>
  <c r="M1005" i="10" a="1"/>
  <c r="M1005" i="10" s="1"/>
  <c r="T1007" i="10" a="1"/>
  <c r="T1007" i="10" s="1"/>
  <c r="T1008" i="10" a="1"/>
  <c r="T1008" i="10" s="1"/>
  <c r="M1014" i="10" a="1"/>
  <c r="M1014" i="10" s="1"/>
  <c r="M697" i="10" a="1"/>
  <c r="M697" i="10" s="1"/>
  <c r="T944" i="10" a="1"/>
  <c r="T944" i="10" s="1"/>
  <c r="T966" i="10" a="1"/>
  <c r="T966" i="10" s="1"/>
  <c r="M1009" i="10" a="1"/>
  <c r="M1009" i="10" s="1"/>
  <c r="M949" i="10" a="1"/>
  <c r="M949" i="10" s="1"/>
  <c r="T969" i="10" a="1"/>
  <c r="T969" i="10" s="1"/>
  <c r="M494" i="10" a="1"/>
  <c r="M494" i="10" s="1"/>
  <c r="M659" i="10" a="1"/>
  <c r="M659" i="10" s="1"/>
  <c r="T660" i="10" a="1"/>
  <c r="T660" i="10" s="1"/>
  <c r="M661" i="10" a="1"/>
  <c r="M661" i="10" s="1"/>
  <c r="M776" i="10" a="1"/>
  <c r="M776" i="10" s="1"/>
  <c r="T778" i="10" a="1"/>
  <c r="T778" i="10" s="1"/>
  <c r="M797" i="10" a="1"/>
  <c r="M797" i="10" s="1"/>
  <c r="M812" i="10" a="1"/>
  <c r="M812" i="10" s="1"/>
  <c r="T813" i="10" a="1"/>
  <c r="T813" i="10" s="1"/>
  <c r="M818" i="10" a="1"/>
  <c r="M818" i="10" s="1"/>
  <c r="T833" i="10" a="1"/>
  <c r="T833" i="10" s="1"/>
  <c r="M835" i="10" a="1"/>
  <c r="M835" i="10" s="1"/>
  <c r="M882" i="10" a="1"/>
  <c r="M882" i="10" s="1"/>
  <c r="T888" i="10" a="1"/>
  <c r="T888" i="10" s="1"/>
  <c r="T889" i="10" a="1"/>
  <c r="T889" i="10" s="1"/>
  <c r="T895" i="10" a="1"/>
  <c r="T895" i="10" s="1"/>
  <c r="M896" i="10" a="1"/>
  <c r="M896" i="10" s="1"/>
  <c r="T903" i="10" a="1"/>
  <c r="T903" i="10" s="1"/>
  <c r="M904" i="10" a="1"/>
  <c r="M904" i="10" s="1"/>
  <c r="T905" i="10" a="1"/>
  <c r="T905" i="10" s="1"/>
  <c r="M927" i="10" a="1"/>
  <c r="M927" i="10" s="1"/>
  <c r="M935" i="10" a="1"/>
  <c r="M935" i="10" s="1"/>
  <c r="M936" i="10" a="1"/>
  <c r="M936" i="10" s="1"/>
  <c r="M938" i="10" a="1"/>
  <c r="M938" i="10" s="1"/>
  <c r="M943" i="10" a="1"/>
  <c r="M943" i="10" s="1"/>
  <c r="T953" i="10" a="1"/>
  <c r="T953" i="10" s="1"/>
  <c r="T958" i="10" a="1"/>
  <c r="T958" i="10" s="1"/>
  <c r="M961" i="10" a="1"/>
  <c r="M961" i="10" s="1"/>
  <c r="T967" i="10" a="1"/>
  <c r="T967" i="10" s="1"/>
  <c r="T968" i="10" a="1"/>
  <c r="T968" i="10" s="1"/>
  <c r="T975" i="10" a="1"/>
  <c r="T975" i="10" s="1"/>
  <c r="M976" i="10" a="1"/>
  <c r="M976" i="10" s="1"/>
  <c r="M977" i="10" a="1"/>
  <c r="M977" i="10" s="1"/>
  <c r="T979" i="10" a="1"/>
  <c r="T979" i="10" s="1"/>
  <c r="M982" i="10" a="1"/>
  <c r="M982" i="10" s="1"/>
  <c r="M985" i="10" a="1"/>
  <c r="M985" i="10" s="1"/>
  <c r="T987" i="10" a="1"/>
  <c r="T987" i="10" s="1"/>
  <c r="T996" i="10" a="1"/>
  <c r="T996" i="10" s="1"/>
  <c r="T998" i="10" a="1"/>
  <c r="T998" i="10" s="1"/>
  <c r="T1005" i="10" a="1"/>
  <c r="T1005" i="10" s="1"/>
  <c r="T1014" i="10" a="1"/>
  <c r="T1014" i="10" s="1"/>
  <c r="M1017" i="10" a="1"/>
  <c r="M1017" i="10" s="1"/>
  <c r="T826" i="10" a="1"/>
  <c r="T826" i="10" s="1"/>
  <c r="T951" i="10" a="1"/>
  <c r="T951" i="10" s="1"/>
  <c r="T984" i="10" a="1"/>
  <c r="T984" i="10" s="1"/>
  <c r="M1022" i="10" a="1"/>
  <c r="M1022" i="10" s="1"/>
  <c r="T801" i="10" a="1"/>
  <c r="T801" i="10" s="1"/>
  <c r="M825" i="10" a="1"/>
  <c r="M825" i="10" s="1"/>
  <c r="T843" i="10" a="1"/>
  <c r="T843" i="10" s="1"/>
  <c r="M964" i="10" a="1"/>
  <c r="M964" i="10" s="1"/>
  <c r="T1009" i="10" a="1"/>
  <c r="T1009" i="10" s="1"/>
  <c r="M508" i="10" a="1"/>
  <c r="M508" i="10" s="1"/>
  <c r="M646" i="10" a="1"/>
  <c r="M646" i="10" s="1"/>
  <c r="T696" i="10" a="1"/>
  <c r="T696" i="10" s="1"/>
  <c r="M705" i="10" a="1"/>
  <c r="M705" i="10" s="1"/>
  <c r="T776" i="10" a="1"/>
  <c r="T776" i="10" s="1"/>
  <c r="T812" i="10" a="1"/>
  <c r="T812" i="10" s="1"/>
  <c r="T818" i="10" a="1"/>
  <c r="T818" i="10" s="1"/>
  <c r="T839" i="10" a="1"/>
  <c r="T839" i="10" s="1"/>
  <c r="M847" i="10" a="1"/>
  <c r="M847" i="10" s="1"/>
  <c r="T858" i="10" a="1"/>
  <c r="T858" i="10" s="1"/>
  <c r="T876" i="10" a="1"/>
  <c r="T876" i="10" s="1"/>
  <c r="T882" i="10" a="1"/>
  <c r="T882" i="10" s="1"/>
  <c r="T896" i="10" a="1"/>
  <c r="T896" i="10" s="1"/>
  <c r="T904" i="10" a="1"/>
  <c r="T904" i="10" s="1"/>
  <c r="M910" i="10" a="1"/>
  <c r="M910" i="10" s="1"/>
  <c r="T927" i="10" a="1"/>
  <c r="T927" i="10" s="1"/>
  <c r="M928" i="10" a="1"/>
  <c r="M928" i="10" s="1"/>
  <c r="T932" i="10" a="1"/>
  <c r="T932" i="10" s="1"/>
  <c r="T936" i="10" a="1"/>
  <c r="T936" i="10" s="1"/>
  <c r="T938" i="10" a="1"/>
  <c r="T938" i="10" s="1"/>
  <c r="T943" i="10" a="1"/>
  <c r="T943" i="10" s="1"/>
  <c r="M944" i="10" a="1"/>
  <c r="M944" i="10" s="1"/>
  <c r="M946" i="10" a="1"/>
  <c r="M946" i="10" s="1"/>
  <c r="M951" i="10" a="1"/>
  <c r="M951" i="10" s="1"/>
  <c r="M952" i="10" a="1"/>
  <c r="M952" i="10" s="1"/>
  <c r="T961" i="10" a="1"/>
  <c r="T961" i="10" s="1"/>
  <c r="M966" i="10" a="1"/>
  <c r="M966" i="10" s="1"/>
  <c r="M974" i="10" a="1"/>
  <c r="M974" i="10" s="1"/>
  <c r="T976" i="10" a="1"/>
  <c r="T976" i="10" s="1"/>
  <c r="T977" i="10" a="1"/>
  <c r="T977" i="10" s="1"/>
  <c r="M980" i="10" a="1"/>
  <c r="M980" i="10" s="1"/>
  <c r="T982" i="10" a="1"/>
  <c r="T982" i="10" s="1"/>
  <c r="M984" i="10" a="1"/>
  <c r="M984" i="10" s="1"/>
  <c r="T985" i="10" a="1"/>
  <c r="T985" i="10" s="1"/>
  <c r="M991" i="10" a="1"/>
  <c r="M991" i="10" s="1"/>
  <c r="M1003" i="10" a="1"/>
  <c r="M1003" i="10" s="1"/>
  <c r="M1006" i="10" a="1"/>
  <c r="M1006" i="10" s="1"/>
  <c r="M1011" i="10" a="1"/>
  <c r="M1011" i="10" s="1"/>
  <c r="M1012" i="10" a="1"/>
  <c r="M1012" i="10" s="1"/>
  <c r="T1017" i="10" a="1"/>
  <c r="T1017" i="10" s="1"/>
  <c r="M1018" i="10" a="1"/>
  <c r="M1018" i="10" s="1"/>
  <c r="M1021" i="10" a="1"/>
  <c r="M1021" i="10" s="1"/>
  <c r="M849" i="10" a="1"/>
  <c r="M849" i="10" s="1"/>
  <c r="T910" i="10" a="1"/>
  <c r="T910" i="10" s="1"/>
  <c r="M989" i="10" a="1"/>
  <c r="M989" i="10" s="1"/>
  <c r="T1003" i="10" a="1"/>
  <c r="T1003" i="10" s="1"/>
  <c r="T1021" i="10" a="1"/>
  <c r="T1021" i="10" s="1"/>
  <c r="M551" i="10" a="1"/>
  <c r="M551" i="10" s="1"/>
  <c r="M622" i="10" a="1"/>
  <c r="M622" i="10" s="1"/>
  <c r="T703" i="10" a="1"/>
  <c r="T703" i="10" s="1"/>
  <c r="T793" i="10" a="1"/>
  <c r="T793" i="10" s="1"/>
  <c r="T986" i="10" a="1"/>
  <c r="T986" i="10" s="1"/>
  <c r="M995" i="10" a="1"/>
  <c r="M995" i="10" s="1"/>
  <c r="K21" i="10" a="1"/>
  <c r="K21" i="10" s="1"/>
  <c r="I21" i="10" a="1"/>
  <c r="I21" i="10" s="1"/>
  <c r="H21" i="10" a="1"/>
  <c r="H21" i="10" s="1"/>
  <c r="AD21" i="10" a="1"/>
  <c r="AD21" i="10" s="1"/>
  <c r="G21" i="10" a="1"/>
  <c r="G21" i="10" s="1"/>
  <c r="G20" i="10" a="1"/>
  <c r="G20" i="10" s="1"/>
  <c r="F21" i="10" a="1"/>
  <c r="F21" i="10" s="1"/>
  <c r="T21" i="10" a="1"/>
  <c r="T21" i="10" s="1"/>
  <c r="M21" i="10" a="1"/>
  <c r="M21" i="10" s="1"/>
  <c r="L21" i="10" a="1"/>
  <c r="L21" i="10" s="1"/>
  <c r="C11" i="10" a="1"/>
  <c r="C11" i="10" s="1"/>
  <c r="B15" i="10" a="1"/>
  <c r="B15" i="10" s="1"/>
  <c r="C8" i="10" a="1"/>
  <c r="C8" i="10" s="1"/>
  <c r="B16" i="10" a="1"/>
  <c r="B16" i="10" s="1"/>
  <c r="C9" i="10" a="1"/>
  <c r="C9" i="10" s="1"/>
  <c r="B18" i="10" a="1"/>
  <c r="B18" i="10" s="1"/>
  <c r="B5" i="10" a="1"/>
  <c r="B5" i="10" s="1"/>
  <c r="C13" i="10" a="1"/>
  <c r="C13" i="10" s="1"/>
  <c r="B6" i="10" a="1"/>
  <c r="B6" i="10" s="1"/>
  <c r="B2" i="10" a="1"/>
  <c r="B2" i="10" s="1"/>
  <c r="B17" i="10" a="1"/>
  <c r="B17" i="10" s="1"/>
  <c r="B4" i="10" a="1"/>
  <c r="B4" i="10" s="1"/>
  <c r="C10" i="10" a="1"/>
  <c r="C10" i="10" s="1"/>
  <c r="B7" i="10" a="1"/>
  <c r="B7" i="10" s="1"/>
  <c r="C12" i="10" a="1"/>
  <c r="C12" i="10" s="1"/>
  <c r="T24" i="10" a="1"/>
  <c r="T24" i="10" s="1"/>
  <c r="T31" i="10" a="1"/>
  <c r="T31" i="10" s="1"/>
  <c r="T37" i="10" a="1"/>
  <c r="T37" i="10" s="1"/>
  <c r="T50" i="10" a="1"/>
  <c r="T50" i="10" s="1"/>
  <c r="T56" i="10" a="1"/>
  <c r="T56" i="10" s="1"/>
  <c r="T63" i="10" a="1"/>
  <c r="T63" i="10" s="1"/>
  <c r="T69" i="10" a="1"/>
  <c r="T69" i="10" s="1"/>
  <c r="T82" i="10" a="1"/>
  <c r="T82" i="10" s="1"/>
  <c r="T88" i="10" a="1"/>
  <c r="T88" i="10" s="1"/>
  <c r="T95" i="10" a="1"/>
  <c r="T95" i="10" s="1"/>
  <c r="T101" i="10" a="1"/>
  <c r="T101" i="10" s="1"/>
  <c r="T114" i="10" a="1"/>
  <c r="T114" i="10" s="1"/>
  <c r="T120" i="10" a="1"/>
  <c r="T120" i="10" s="1"/>
  <c r="M28" i="10" a="1"/>
  <c r="M28" i="10" s="1"/>
  <c r="M34" i="10" a="1"/>
  <c r="M34" i="10" s="1"/>
  <c r="M47" i="10" a="1"/>
  <c r="M47" i="10" s="1"/>
  <c r="M53" i="10" a="1"/>
  <c r="M53" i="10" s="1"/>
  <c r="M60" i="10" a="1"/>
  <c r="M60" i="10" s="1"/>
  <c r="M66" i="10" a="1"/>
  <c r="M66" i="10" s="1"/>
  <c r="M80" i="10" a="1"/>
  <c r="M80" i="10" s="1"/>
  <c r="M88" i="10" a="1"/>
  <c r="M88" i="10" s="1"/>
  <c r="M96" i="10" a="1"/>
  <c r="M96" i="10" s="1"/>
  <c r="M104" i="10" a="1"/>
  <c r="M104" i="10" s="1"/>
  <c r="M112" i="10" a="1"/>
  <c r="M112" i="10" s="1"/>
  <c r="M120" i="10" a="1"/>
  <c r="M120" i="10" s="1"/>
  <c r="T25" i="10" a="1"/>
  <c r="T25" i="10" s="1"/>
  <c r="T38" i="10" a="1"/>
  <c r="T38" i="10" s="1"/>
  <c r="T44" i="10" a="1"/>
  <c r="T44" i="10" s="1"/>
  <c r="T51" i="10" a="1"/>
  <c r="T51" i="10" s="1"/>
  <c r="T57" i="10" a="1"/>
  <c r="T57" i="10" s="1"/>
  <c r="T70" i="10" a="1"/>
  <c r="T70" i="10" s="1"/>
  <c r="T76" i="10" a="1"/>
  <c r="T76" i="10" s="1"/>
  <c r="T83" i="10" a="1"/>
  <c r="T83" i="10" s="1"/>
  <c r="T89" i="10" a="1"/>
  <c r="T89" i="10" s="1"/>
  <c r="T102" i="10" a="1"/>
  <c r="T102" i="10" s="1"/>
  <c r="T108" i="10" a="1"/>
  <c r="T108" i="10" s="1"/>
  <c r="T115" i="10" a="1"/>
  <c r="T115" i="10" s="1"/>
  <c r="T121" i="10" a="1"/>
  <c r="T121" i="10" s="1"/>
  <c r="M35" i="10" a="1"/>
  <c r="M35" i="10" s="1"/>
  <c r="M41" i="10" a="1"/>
  <c r="M41" i="10" s="1"/>
  <c r="M48" i="10" a="1"/>
  <c r="M48" i="10" s="1"/>
  <c r="M54" i="10" a="1"/>
  <c r="M54" i="10" s="1"/>
  <c r="M67" i="10" a="1"/>
  <c r="M67" i="10" s="1"/>
  <c r="M73" i="10" a="1"/>
  <c r="M73" i="10" s="1"/>
  <c r="M81" i="10" a="1"/>
  <c r="M81" i="10" s="1"/>
  <c r="M89" i="10" a="1"/>
  <c r="M89" i="10" s="1"/>
  <c r="M97" i="10" a="1"/>
  <c r="M97" i="10" s="1"/>
  <c r="M105" i="10" a="1"/>
  <c r="M105" i="10" s="1"/>
  <c r="M113" i="10" a="1"/>
  <c r="M113" i="10" s="1"/>
  <c r="M121" i="10" a="1"/>
  <c r="M121" i="10" s="1"/>
  <c r="T26" i="10" a="1"/>
  <c r="T26" i="10" s="1"/>
  <c r="T32" i="10" a="1"/>
  <c r="T32" i="10" s="1"/>
  <c r="T39" i="10" a="1"/>
  <c r="T39" i="10" s="1"/>
  <c r="T45" i="10" a="1"/>
  <c r="T45" i="10" s="1"/>
  <c r="T58" i="10" a="1"/>
  <c r="T58" i="10" s="1"/>
  <c r="T64" i="10" a="1"/>
  <c r="T64" i="10" s="1"/>
  <c r="T71" i="10" a="1"/>
  <c r="T71" i="10" s="1"/>
  <c r="T77" i="10" a="1"/>
  <c r="T77" i="10" s="1"/>
  <c r="T90" i="10" a="1"/>
  <c r="T90" i="10" s="1"/>
  <c r="T96" i="10" a="1"/>
  <c r="T96" i="10" s="1"/>
  <c r="T103" i="10" a="1"/>
  <c r="T103" i="10" s="1"/>
  <c r="T109" i="10" a="1"/>
  <c r="T109" i="10" s="1"/>
  <c r="T122" i="10" a="1"/>
  <c r="T122" i="10" s="1"/>
  <c r="M29" i="10" a="1"/>
  <c r="M29" i="10" s="1"/>
  <c r="M36" i="10" a="1"/>
  <c r="M36" i="10" s="1"/>
  <c r="M42" i="10" a="1"/>
  <c r="M42" i="10" s="1"/>
  <c r="M55" i="10" a="1"/>
  <c r="M55" i="10" s="1"/>
  <c r="M61" i="10" a="1"/>
  <c r="M61" i="10" s="1"/>
  <c r="M68" i="10" a="1"/>
  <c r="M68" i="10" s="1"/>
  <c r="M74" i="10" a="1"/>
  <c r="M74" i="10" s="1"/>
  <c r="M82" i="10" a="1"/>
  <c r="M82" i="10" s="1"/>
  <c r="M90" i="10" a="1"/>
  <c r="M90" i="10" s="1"/>
  <c r="M98" i="10" a="1"/>
  <c r="M98" i="10" s="1"/>
  <c r="M106" i="10" a="1"/>
  <c r="M106" i="10" s="1"/>
  <c r="M114" i="10" a="1"/>
  <c r="M114" i="10" s="1"/>
  <c r="M122" i="10" a="1"/>
  <c r="M122" i="10" s="1"/>
  <c r="T27" i="10" a="1"/>
  <c r="T27" i="10" s="1"/>
  <c r="T33" i="10" a="1"/>
  <c r="T33" i="10" s="1"/>
  <c r="T46" i="10" a="1"/>
  <c r="T46" i="10" s="1"/>
  <c r="T52" i="10" a="1"/>
  <c r="T52" i="10" s="1"/>
  <c r="T59" i="10" a="1"/>
  <c r="T59" i="10" s="1"/>
  <c r="T65" i="10" a="1"/>
  <c r="T65" i="10" s="1"/>
  <c r="T78" i="10" a="1"/>
  <c r="T78" i="10" s="1"/>
  <c r="T84" i="10" a="1"/>
  <c r="T84" i="10" s="1"/>
  <c r="T91" i="10" a="1"/>
  <c r="T91" i="10" s="1"/>
  <c r="T97" i="10" a="1"/>
  <c r="T97" i="10" s="1"/>
  <c r="T110" i="10" a="1"/>
  <c r="T110" i="10" s="1"/>
  <c r="T116" i="10" a="1"/>
  <c r="T116" i="10" s="1"/>
  <c r="M24" i="10" a="1"/>
  <c r="M24" i="10" s="1"/>
  <c r="M30" i="10" a="1"/>
  <c r="M30" i="10" s="1"/>
  <c r="M43" i="10" a="1"/>
  <c r="M43" i="10" s="1"/>
  <c r="M49" i="10" a="1"/>
  <c r="M49" i="10" s="1"/>
  <c r="M56" i="10" a="1"/>
  <c r="M56" i="10" s="1"/>
  <c r="M62" i="10" a="1"/>
  <c r="M62" i="10" s="1"/>
  <c r="M75" i="10" a="1"/>
  <c r="M75" i="10" s="1"/>
  <c r="M83" i="10" a="1"/>
  <c r="M83" i="10" s="1"/>
  <c r="M91" i="10" a="1"/>
  <c r="M91" i="10" s="1"/>
  <c r="M99" i="10" a="1"/>
  <c r="M99" i="10" s="1"/>
  <c r="M107" i="10" a="1"/>
  <c r="M107" i="10" s="1"/>
  <c r="M115" i="10" a="1"/>
  <c r="M115" i="10" s="1"/>
  <c r="T34" i="10" a="1"/>
  <c r="T34" i="10" s="1"/>
  <c r="T40" i="10" a="1"/>
  <c r="T40" i="10" s="1"/>
  <c r="T47" i="10" a="1"/>
  <c r="T47" i="10" s="1"/>
  <c r="T53" i="10" a="1"/>
  <c r="T53" i="10" s="1"/>
  <c r="T66" i="10" a="1"/>
  <c r="T66" i="10" s="1"/>
  <c r="T72" i="10" a="1"/>
  <c r="T72" i="10" s="1"/>
  <c r="T79" i="10" a="1"/>
  <c r="T79" i="10" s="1"/>
  <c r="T85" i="10" a="1"/>
  <c r="T85" i="10" s="1"/>
  <c r="T98" i="10" a="1"/>
  <c r="T98" i="10" s="1"/>
  <c r="T104" i="10" a="1"/>
  <c r="T104" i="10" s="1"/>
  <c r="T111" i="10" a="1"/>
  <c r="T111" i="10" s="1"/>
  <c r="T117" i="10" a="1"/>
  <c r="T117" i="10" s="1"/>
  <c r="M31" i="10" a="1"/>
  <c r="M31" i="10" s="1"/>
  <c r="M37" i="10" a="1"/>
  <c r="M37" i="10" s="1"/>
  <c r="M44" i="10" a="1"/>
  <c r="M44" i="10" s="1"/>
  <c r="M50" i="10" a="1"/>
  <c r="M50" i="10" s="1"/>
  <c r="M63" i="10" a="1"/>
  <c r="M63" i="10" s="1"/>
  <c r="M69" i="10" a="1"/>
  <c r="M69" i="10" s="1"/>
  <c r="M76" i="10" a="1"/>
  <c r="M76" i="10" s="1"/>
  <c r="M84" i="10" a="1"/>
  <c r="M84" i="10" s="1"/>
  <c r="M92" i="10" a="1"/>
  <c r="M92" i="10" s="1"/>
  <c r="M100" i="10" a="1"/>
  <c r="M100" i="10" s="1"/>
  <c r="M108" i="10" a="1"/>
  <c r="M108" i="10" s="1"/>
  <c r="M116" i="10" a="1"/>
  <c r="M116" i="10" s="1"/>
  <c r="T28" i="10" a="1"/>
  <c r="T28" i="10" s="1"/>
  <c r="T35" i="10" a="1"/>
  <c r="T35" i="10" s="1"/>
  <c r="T41" i="10" a="1"/>
  <c r="T41" i="10" s="1"/>
  <c r="T54" i="10" a="1"/>
  <c r="T54" i="10" s="1"/>
  <c r="T60" i="10" a="1"/>
  <c r="T60" i="10" s="1"/>
  <c r="T67" i="10" a="1"/>
  <c r="T67" i="10" s="1"/>
  <c r="T73" i="10" a="1"/>
  <c r="T73" i="10" s="1"/>
  <c r="T86" i="10" a="1"/>
  <c r="T86" i="10" s="1"/>
  <c r="T92" i="10" a="1"/>
  <c r="T92" i="10" s="1"/>
  <c r="T99" i="10" a="1"/>
  <c r="T99" i="10" s="1"/>
  <c r="T105" i="10" a="1"/>
  <c r="T105" i="10" s="1"/>
  <c r="T118" i="10" a="1"/>
  <c r="T118" i="10" s="1"/>
  <c r="M25" i="10" a="1"/>
  <c r="M25" i="10" s="1"/>
  <c r="M32" i="10" a="1"/>
  <c r="M32" i="10" s="1"/>
  <c r="M38" i="10" a="1"/>
  <c r="M38" i="10" s="1"/>
  <c r="M51" i="10" a="1"/>
  <c r="M51" i="10" s="1"/>
  <c r="M57" i="10" a="1"/>
  <c r="M57" i="10" s="1"/>
  <c r="M64" i="10" a="1"/>
  <c r="M64" i="10" s="1"/>
  <c r="M70" i="10" a="1"/>
  <c r="M70" i="10" s="1"/>
  <c r="M77" i="10" a="1"/>
  <c r="M77" i="10" s="1"/>
  <c r="M85" i="10" a="1"/>
  <c r="M85" i="10" s="1"/>
  <c r="M93" i="10" a="1"/>
  <c r="M93" i="10" s="1"/>
  <c r="M101" i="10" a="1"/>
  <c r="M101" i="10" s="1"/>
  <c r="M109" i="10" a="1"/>
  <c r="M109" i="10" s="1"/>
  <c r="M117" i="10" a="1"/>
  <c r="M117" i="10" s="1"/>
  <c r="T29" i="10" a="1"/>
  <c r="T29" i="10" s="1"/>
  <c r="T42" i="10" a="1"/>
  <c r="T42" i="10" s="1"/>
  <c r="T48" i="10" a="1"/>
  <c r="T48" i="10" s="1"/>
  <c r="T55" i="10" a="1"/>
  <c r="T55" i="10" s="1"/>
  <c r="T61" i="10" a="1"/>
  <c r="T61" i="10" s="1"/>
  <c r="T74" i="10" a="1"/>
  <c r="T74" i="10" s="1"/>
  <c r="T80" i="10" a="1"/>
  <c r="T80" i="10" s="1"/>
  <c r="T87" i="10" a="1"/>
  <c r="T87" i="10" s="1"/>
  <c r="T93" i="10" a="1"/>
  <c r="T93" i="10" s="1"/>
  <c r="T106" i="10" a="1"/>
  <c r="T106" i="10" s="1"/>
  <c r="T112" i="10" a="1"/>
  <c r="T112" i="10" s="1"/>
  <c r="T119" i="10" a="1"/>
  <c r="T119" i="10" s="1"/>
  <c r="M26" i="10" a="1"/>
  <c r="M26" i="10" s="1"/>
  <c r="M39" i="10" a="1"/>
  <c r="M39" i="10" s="1"/>
  <c r="M45" i="10" a="1"/>
  <c r="M45" i="10" s="1"/>
  <c r="M52" i="10" a="1"/>
  <c r="M52" i="10" s="1"/>
  <c r="M58" i="10" a="1"/>
  <c r="M58" i="10" s="1"/>
  <c r="M71" i="10" a="1"/>
  <c r="M71" i="10" s="1"/>
  <c r="M78" i="10" a="1"/>
  <c r="M78" i="10" s="1"/>
  <c r="M86" i="10" a="1"/>
  <c r="M86" i="10" s="1"/>
  <c r="M94" i="10" a="1"/>
  <c r="M94" i="10" s="1"/>
  <c r="M102" i="10" a="1"/>
  <c r="M102" i="10" s="1"/>
  <c r="M110" i="10" a="1"/>
  <c r="M110" i="10" s="1"/>
  <c r="M118" i="10" a="1"/>
  <c r="M118" i="10" s="1"/>
  <c r="T30" i="10" a="1"/>
  <c r="T30" i="10" s="1"/>
  <c r="T36" i="10" a="1"/>
  <c r="T36" i="10" s="1"/>
  <c r="T43" i="10" a="1"/>
  <c r="T43" i="10" s="1"/>
  <c r="T49" i="10" a="1"/>
  <c r="T49" i="10" s="1"/>
  <c r="T62" i="10" a="1"/>
  <c r="T62" i="10" s="1"/>
  <c r="T68" i="10" a="1"/>
  <c r="T68" i="10" s="1"/>
  <c r="T75" i="10" a="1"/>
  <c r="T75" i="10" s="1"/>
  <c r="T81" i="10" a="1"/>
  <c r="T81" i="10" s="1"/>
  <c r="T94" i="10" a="1"/>
  <c r="T94" i="10" s="1"/>
  <c r="T100" i="10" a="1"/>
  <c r="T100" i="10" s="1"/>
  <c r="T107" i="10" a="1"/>
  <c r="T107" i="10" s="1"/>
  <c r="T113" i="10" a="1"/>
  <c r="T113" i="10" s="1"/>
  <c r="M27" i="10" a="1"/>
  <c r="M27" i="10" s="1"/>
  <c r="M33" i="10" a="1"/>
  <c r="M33" i="10" s="1"/>
  <c r="M40" i="10" a="1"/>
  <c r="M40" i="10" s="1"/>
  <c r="M46" i="10" a="1"/>
  <c r="M46" i="10" s="1"/>
  <c r="M59" i="10" a="1"/>
  <c r="M59" i="10" s="1"/>
  <c r="M65" i="10" a="1"/>
  <c r="M65" i="10" s="1"/>
  <c r="M72" i="10" a="1"/>
  <c r="M72" i="10" s="1"/>
  <c r="M79" i="10" a="1"/>
  <c r="M79" i="10" s="1"/>
  <c r="M87" i="10" a="1"/>
  <c r="M87" i="10" s="1"/>
  <c r="M95" i="10" a="1"/>
  <c r="M95" i="10" s="1"/>
  <c r="M103" i="10" a="1"/>
  <c r="M103" i="10" s="1"/>
  <c r="M111" i="10" a="1"/>
  <c r="M111" i="10" s="1"/>
  <c r="M119" i="10" a="1"/>
  <c r="M119" i="10" s="1"/>
  <c r="M23" i="10" a="1"/>
  <c r="M23" i="10" s="1"/>
  <c r="X21" i="10" a="1"/>
  <c r="X21" i="10" s="1"/>
  <c r="AA20" i="10" a="1"/>
  <c r="AA20" i="10" s="1"/>
  <c r="D21" i="10" a="1"/>
  <c r="D21" i="10" s="1"/>
  <c r="V21" i="10" a="1"/>
  <c r="V21" i="10" s="1"/>
  <c r="T20" i="10" a="1"/>
  <c r="T20" i="10" s="1"/>
  <c r="P21" i="10" a="1"/>
  <c r="P21" i="10" s="1"/>
  <c r="AE21" i="10" a="1"/>
  <c r="AE21" i="10" s="1"/>
  <c r="U21" i="10" a="1"/>
  <c r="U21" i="10" s="1"/>
  <c r="M20" i="10" a="1"/>
  <c r="M20" i="10" s="1"/>
  <c r="T23" i="10" a="1"/>
  <c r="T23" i="10" s="1"/>
  <c r="C20" i="10" a="1"/>
  <c r="C20" i="10" s="1"/>
  <c r="R21" i="10" a="1"/>
  <c r="R21" i="10" s="1"/>
  <c r="AC21" i="10" a="1"/>
  <c r="AC21" i="10" s="1"/>
  <c r="Q21" i="10" a="1"/>
  <c r="Q21" i="10" s="1"/>
  <c r="E21" i="10" a="1"/>
  <c r="E21" i="10" s="1"/>
  <c r="Y21" i="10" a="1"/>
  <c r="Y21" i="10" s="1"/>
  <c r="N21" i="10" a="1"/>
  <c r="N21" i="10" s="1"/>
  <c r="C21" i="10" a="1"/>
  <c r="C21" i="10" s="1"/>
  <c r="Z21" i="10" a="1"/>
  <c r="Z21" i="10" s="1"/>
  <c r="AE20" i="10" a="1"/>
  <c r="AE20" i="10" s="1"/>
  <c r="O21" i="10" a="1"/>
  <c r="O21" i="10" s="1"/>
  <c r="AB21" i="10" a="1"/>
  <c r="AB21" i="10" s="1"/>
  <c r="S21" i="10" a="1"/>
  <c r="S21" i="10" s="1"/>
  <c r="W21" i="10" a="1"/>
  <c r="W21" i="10" s="1"/>
  <c r="AF21" i="10" a="1"/>
  <c r="AF21" i="10"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 r="BF23" i="10" l="1"/>
  <c r="BX23" i="10" s="1"/>
  <c r="BY23" i="10" s="1"/>
  <c r="BP23" i="10" l="1"/>
  <c r="BQ23" i="10" s="1"/>
  <c r="BL23" i="10"/>
  <c r="BM23" i="10" s="1"/>
  <c r="BN23" i="10" s="1" a="1"/>
  <c r="BN23" i="10" s="1"/>
  <c r="BT23" i="10"/>
  <c r="BU23" i="10" s="1"/>
  <c r="BV23" i="10" s="1" a="1"/>
  <c r="BV23" i="10" s="1"/>
  <c r="CA23" i="10" a="1"/>
  <c r="CA23" i="10" s="1"/>
  <c r="BR23" i="10" l="1" a="1"/>
  <c r="BR23" i="10" s="1"/>
  <c r="BZ23" i="10" a="1"/>
  <c r="BZ23" i="10" s="1"/>
  <c r="CB23" i="10" l="1"/>
  <c r="S23" i="10" s="1"/>
  <c r="AF23" i="10" s="1"/>
  <c r="D1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<sst xmlns="http://schemas.openxmlformats.org/spreadsheetml/2006/main" count="16435" uniqueCount="5093">
  <si>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</si>
  <si>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</si>
  <si>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</si>
  <si>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</si>
  <si>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</si>
  <si>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</si>
  <si>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</si>
  <si>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</si>
  <si>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</si>
  <si>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</si>
  <si>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</si>
  <si>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</si>
  <si>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</si>
  <si>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</si>
  <si>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</si>
  <si>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</si>
  <si>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</si>
  <si>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</si>
  <si>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</si>
  <si>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</si>
  <si>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</si>
  <si>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</si>
  <si>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</si>
  <si>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</si>
  <si>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</si>
  <si>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</si>
  <si>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</si>
  <si>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</si>
  <si>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</si>
  <si>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</si>
  <si>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</si>
  <si>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</si>
  <si>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</si>
  <si>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</si>
  <si>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</si>
  <si>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</si>
  <si>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</si>
  <si>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</si>
  <si>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</si>
  <si>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</si>
  <si>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</si>
  <si>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</si>
  <si>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</si>
  <si>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</si>
  <si>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</si>
  <si>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</si>
  <si>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</si>
  <si>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</si>
  <si>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</si>
  <si>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</si>
  <si>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</si>
  <si>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</si>
  <si>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</si>
  <si>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</si>
  <si>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</si>
  <si>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</si>
  <si>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</si>
  <si>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</si>
  <si>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</si>
  <si>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</si>
  <si>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</si>
  <si>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</si>
  <si>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</si>
  <si>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</si>
  <si>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</si>
  <si>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</si>
  <si>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</si>
  <si>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</si>
  <si>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</si>
  <si>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</si>
  <si>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</si>
  <si>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</si>
  <si>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</si>
  <si>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</si>
  <si>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</si>
  <si>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</si>
  <si>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</si>
  <si>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</si>
  <si>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</si>
  <si>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</si>
  <si>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</si>
  <si>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</si>
  <si>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</si>
  <si>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</si>
  <si>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</si>
  <si>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</si>
  <si>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</si>
  <si>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</si>
  <si>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</si>
  <si>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</si>
  <si>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</si>
  <si>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</si>
  <si>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</si>
  <si>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</si>
  <si>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</si>
  <si>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</si>
  <si>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</si>
  <si>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</si>
  <si>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</si>
  <si>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</si>
  <si>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</si>
  <si>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</si>
  <si>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</si>
  <si>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</si>
  <si>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</si>
  <si>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</si>
  <si>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</si>
  <si>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</si>
  <si>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</si>
  <si>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</si>
  <si>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</si>
  <si>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</si>
  <si>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</si>
  <si>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</si>
  <si>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</si>
  <si>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</si>
  <si>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</si>
  <si>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</si>
  <si>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</si>
  <si>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</si>
  <si>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</si>
  <si>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</si>
  <si>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</si>
  <si>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</si>
  <si>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</si>
  <si>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</si>
  <si>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</si>
  <si>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</si>
  <si>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</si>
  <si>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</si>
  <si>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</si>
  <si>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</si>
  <si>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</si>
  <si>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</si>
  <si>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</si>
  <si>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</si>
  <si>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</si>
  <si>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</si>
  <si>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</si>
  <si>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</si>
  <si>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</si>
  <si>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</si>
  <si>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</si>
  <si>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</si>
  <si>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</si>
  <si>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</si>
  <si>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</si>
  <si>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</si>
  <si>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</si>
  <si>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</si>
  <si>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</si>
  <si>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</si>
  <si>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</si>
  <si>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</si>
  <si>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</si>
  <si>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</si>
  <si>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</si>
  <si>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</si>
  <si>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</si>
  <si>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</si>
  <si>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</si>
  <si>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</si>
  <si>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</si>
  <si>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</si>
  <si>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</si>
  <si>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</si>
  <si>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</si>
  <si>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</si>
  <si>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</si>
  <si>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</si>
  <si>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</si>
  <si>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</si>
  <si>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</si>
  <si>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</si>
  <si>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</si>
  <si>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</si>
  <si>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</si>
  <si>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</si>
  <si>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</si>
  <si>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</si>
  <si>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</si>
  <si>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</si>
  <si>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</si>
  <si>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</si>
  <si>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</si>
  <si>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</si>
  <si>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</si>
  <si>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</si>
  <si>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</si>
  <si>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</si>
  <si>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</si>
  <si>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</si>
  <si>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</si>
  <si>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</si>
  <si>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</si>
  <si>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</si>
  <si>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</si>
  <si>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</si>
  <si>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</si>
  <si>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</si>
  <si>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</si>
  <si>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</si>
  <si>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</si>
  <si>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</si>
  <si>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</si>
  <si>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</si>
  <si>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</si>
  <si>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</si>
  <si>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</si>
  <si>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</si>
  <si>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</si>
  <si>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</si>
  <si>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</si>
  <si>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</si>
  <si>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</si>
  <si>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</si>
  <si>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</si>
  <si>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</si>
  <si>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</si>
  <si>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</si>
  <si>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</si>
  <si>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</si>
  <si>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</si>
  <si>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</si>
  <si>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</si>
  <si>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</si>
  <si>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</si>
  <si>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</si>
  <si>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</si>
  <si>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</si>
  <si>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</si>
  <si>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</si>
  <si>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</si>
  <si>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</si>
  <si>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</si>
  <si>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</si>
  <si>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</si>
  <si>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</si>
  <si>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</si>
  <si>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</si>
  <si>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</si>
  <si>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</si>
  <si>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</si>
  <si>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</si>
  <si>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</si>
  <si>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</si>
  <si>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</si>
  <si>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</si>
  <si>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</si>
  <si>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</si>
  <si>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</si>
  <si>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</si>
  <si>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</si>
  <si>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</si>
  <si>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</si>
  <si>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</si>
  <si>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</si>
  <si>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</si>
  <si>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</si>
  <si>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</si>
  <si>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</si>
  <si>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</si>
  <si>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</si>
  <si>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</si>
  <si>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</si>
  <si>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</si>
  <si>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</si>
  <si>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</si>
  <si>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</si>
  <si>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</si>
  <si>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</si>
  <si>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</si>
  <si>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</si>
  <si>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</si>
  <si>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</si>
  <si>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</si>
  <si>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</si>
  <si>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</si>
  <si>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</si>
  <si>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</si>
  <si>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</si>
  <si>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</si>
  <si>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</si>
  <si>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</si>
  <si>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</si>
  <si>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</si>
  <si>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</si>
  <si>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</si>
  <si>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</si>
  <si>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</si>
  <si>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</si>
  <si>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</si>
  <si>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</si>
  <si>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</si>
  <si>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</si>
  <si>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</si>
  <si>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</si>
  <si>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</si>
  <si>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</si>
  <si>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</si>
  <si>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</si>
  <si>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</si>
  <si>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</si>
  <si>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</si>
  <si>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</si>
  <si>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</si>
  <si>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</si>
  <si>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</si>
  <si>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</si>
  <si>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</si>
  <si>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</si>
  <si>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</si>
  <si>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</si>
  <si>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</si>
  <si>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</si>
  <si>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</si>
  <si>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</si>
  <si>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</si>
  <si>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</si>
  <si>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</si>
  <si>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</si>
  <si>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</si>
  <si>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</si>
  <si>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</si>
  <si>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</si>
  <si>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</si>
  <si>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</si>
  <si>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</si>
  <si>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</si>
  <si>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</si>
  <si>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</si>
  <si>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</si>
  <si>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</si>
  <si>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</si>
  <si>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</si>
  <si>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</si>
  <si>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</si>
  <si>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</si>
  <si>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</si>
  <si>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</si>
  <si>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</si>
  <si>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</si>
  <si>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</si>
  <si>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</si>
  <si>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</si>
  <si>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</si>
  <si>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</si>
  <si>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</si>
  <si>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</si>
  <si>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</si>
  <si>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</si>
  <si>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</si>
  <si>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</si>
  <si>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</si>
  <si>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</si>
  <si>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</si>
  <si>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</si>
  <si>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</si>
  <si>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</si>
  <si>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</si>
  <si>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</si>
  <si>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</si>
  <si>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</si>
  <si>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</si>
  <si>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</si>
  <si>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</si>
  <si>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</si>
  <si>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</si>
  <si>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</si>
  <si>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</si>
  <si>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</si>
  <si>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</si>
  <si>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</si>
  <si>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</si>
  <si>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</si>
  <si>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</si>
  <si>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</si>
  <si>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</si>
  <si>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</si>
  <si>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</si>
  <si>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</si>
  <si>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</si>
  <si>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</si>
  <si>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</si>
  <si>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</si>
  <si>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</si>
  <si>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</si>
  <si>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</si>
  <si>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</si>
  <si>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</si>
  <si>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</si>
  <si>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</si>
  <si>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</si>
  <si>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</si>
  <si>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</si>
  <si>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</si>
  <si>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</si>
  <si>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</si>
  <si>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</si>
  <si>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</si>
  <si>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</si>
  <si>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</si>
  <si>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</si>
  <si>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</si>
  <si>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</si>
  <si>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</si>
  <si>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</si>
  <si>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</si>
  <si>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</si>
  <si>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</si>
  <si>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</si>
  <si>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</si>
  <si>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</si>
  <si>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</si>
  <si>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</si>
  <si>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</si>
  <si>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</si>
  <si>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</si>
  <si>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</si>
  <si>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</si>
  <si>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</si>
  <si>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</si>
  <si>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</si>
  <si>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</si>
  <si>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</si>
  <si>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</si>
  <si>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</si>
  <si>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</si>
  <si>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</si>
  <si>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</si>
  <si>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</si>
  <si>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</si>
  <si>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</si>
  <si>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</si>
  <si>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</si>
  <si>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</si>
  <si>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</si>
  <si>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</si>
  <si>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</si>
  <si>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</si>
  <si>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</si>
  <si>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</si>
  <si>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</si>
  <si>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</si>
  <si>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</si>
  <si>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</si>
  <si>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</si>
  <si>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</si>
  <si>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</si>
  <si>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</si>
  <si>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</si>
  <si>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</si>
  <si>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</si>
  <si>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</si>
  <si>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</si>
  <si>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</si>
  <si>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</si>
  <si>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</si>
  <si>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</si>
  <si>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</si>
  <si>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</si>
  <si>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</si>
  <si>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</si>
  <si>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</si>
  <si>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</si>
  <si>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</si>
  <si>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</si>
  <si>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</si>
  <si>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</si>
  <si>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</si>
  <si>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</si>
  <si>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</si>
  <si>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</si>
  <si>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</si>
  <si>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</si>
  <si>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</si>
  <si>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</si>
  <si>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</si>
  <si>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</si>
  <si>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</si>
  <si>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</si>
  <si>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</si>
  <si>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</si>
  <si>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</si>
  <si>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</si>
  <si>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</si>
  <si>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</si>
  <si>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</si>
  <si>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</si>
  <si>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</si>
  <si>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</si>
  <si>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</si>
  <si>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</si>
  <si>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</si>
  <si>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</si>
  <si>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</si>
  <si>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</si>
  <si>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</si>
  <si>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</si>
  <si>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</si>
  <si>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</si>
  <si>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</si>
  <si>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</si>
  <si>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</si>
  <si>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</si>
  <si>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</si>
  <si>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</si>
  <si>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</si>
  <si>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</si>
  <si>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</si>
  <si>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</si>
  <si>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</si>
  <si>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</si>
  <si>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</si>
  <si>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</si>
  <si>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</si>
  <si>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</si>
  <si>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</si>
  <si>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</si>
  <si>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</si>
  <si>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</si>
  <si>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</si>
  <si>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</si>
  <si>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</si>
  <si>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</si>
  <si>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</si>
  <si>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</si>
  <si>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</si>
  <si>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</si>
  <si>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</si>
  <si>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</si>
  <si>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</si>
  <si>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</si>
  <si>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</si>
  <si>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</si>
  <si>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</si>
  <si>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</si>
  <si>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</si>
  <si>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</si>
  <si>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</si>
  <si>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</si>
  <si>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</si>
  <si>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</si>
  <si>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</si>
  <si>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</si>
  <si>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</si>
  <si>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</si>
  <si>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</si>
  <si>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</si>
  <si>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</si>
  <si>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</si>
  <si>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</si>
  <si>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</si>
  <si>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</si>
  <si>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</si>
  <si>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</si>
  <si>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</si>
  <si>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</si>
  <si>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</si>
  <si>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</si>
  <si>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</si>
  <si>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</si>
  <si>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</si>
  <si>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</si>
  <si>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</si>
  <si>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</si>
  <si>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</si>
  <si>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</si>
  <si>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</si>
  <si>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</si>
  <si>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</si>
  <si>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</si>
  <si>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</si>
  <si>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</si>
  <si>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</si>
  <si>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</si>
  <si>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</si>
  <si>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</si>
  <si>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</si>
  <si>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</si>
  <si>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</si>
  <si>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</si>
  <si>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</si>
  <si>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</si>
  <si>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</si>
  <si>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</si>
  <si>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</si>
  <si>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</si>
  <si>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</si>
  <si>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</si>
  <si>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</si>
  <si>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</si>
  <si>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</si>
  <si>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</si>
  <si>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</si>
  <si>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</si>
  <si>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</si>
  <si>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</si>
  <si>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</si>
  <si>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</si>
  <si>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</si>
  <si>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</si>
  <si>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</si>
  <si>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</si>
  <si>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</si>
  <si>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</si>
  <si>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</si>
  <si>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</si>
  <si>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</si>
  <si>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</si>
  <si>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</si>
  <si>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</si>
  <si>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</si>
  <si>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</si>
  <si>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</si>
  <si>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</si>
  <si>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</si>
  <si>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</si>
  <si>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</si>
  <si>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</si>
  <si>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</si>
  <si>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</si>
  <si>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</si>
  <si>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</si>
  <si>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</si>
  <si>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</si>
  <si>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</si>
  <si>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</si>
  <si>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</si>
  <si>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</si>
  <si>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</si>
  <si>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</si>
  <si>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</si>
  <si>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</si>
  <si>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</si>
  <si>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</si>
  <si>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</si>
  <si>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</si>
  <si>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</si>
  <si>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</si>
  <si>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</si>
  <si>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</si>
  <si>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</si>
  <si>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</si>
  <si>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</si>
  <si>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</si>
  <si>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</si>
  <si>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</si>
  <si>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</si>
  <si>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</si>
  <si>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</si>
  <si>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</si>
  <si>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</si>
  <si>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</si>
  <si>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</si>
  <si>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</si>
  <si>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</si>
  <si>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</si>
  <si>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</si>
  <si>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</si>
  <si>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</si>
  <si>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</si>
  <si>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</si>
  <si>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</si>
  <si>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</si>
  <si>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</si>
  <si>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</si>
  <si>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</si>
  <si>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</si>
  <si>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</si>
  <si>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</si>
  <si>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</si>
  <si>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</si>
  <si>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</si>
  <si>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</si>
  <si>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</si>
  <si>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</si>
  <si>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</si>
  <si>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</si>
  <si>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</si>
  <si>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</si>
  <si>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</si>
  <si>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</si>
  <si>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</si>
  <si>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</si>
  <si>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</si>
  <si>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</si>
  <si>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</si>
  <si>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</si>
  <si>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</si>
  <si>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</si>
  <si>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</si>
  <si>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</si>
  <si>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</si>
  <si>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</si>
  <si>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</si>
  <si>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</si>
  <si>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</si>
  <si>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</si>
  <si>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</si>
  <si>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</si>
  <si>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</si>
  <si>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</si>
  <si>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</si>
  <si>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</si>
  <si>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</si>
  <si>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</si>
  <si>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</si>
  <si>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</si>
  <si>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</si>
  <si>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</si>
  <si>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</si>
  <si>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</si>
  <si>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</si>
  <si>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</si>
  <si>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</si>
  <si>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</si>
  <si>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</si>
  <si>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</si>
  <si>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</si>
  <si>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</si>
  <si>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</si>
  <si>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</si>
  <si>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</si>
  <si>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</si>
  <si>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</si>
  <si>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</si>
  <si>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</si>
  <si>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</si>
  <si>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</si>
  <si>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</si>
  <si>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</si>
  <si>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</si>
  <si>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</si>
  <si>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</si>
  <si>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</si>
  <si>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</si>
  <si>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</si>
  <si>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</si>
  <si>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</si>
  <si>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</si>
  <si>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</si>
  <si>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</si>
  <si>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</si>
  <si>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</si>
  <si>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</si>
  <si>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</si>
  <si>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</si>
  <si>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</si>
  <si>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</si>
  <si>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</si>
  <si>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</si>
  <si>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</si>
  <si>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</si>
  <si>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</si>
  <si>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</si>
  <si>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</si>
  <si>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</si>
  <si>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</si>
  <si>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</si>
  <si>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</si>
  <si>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</si>
  <si>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</si>
  <si>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</si>
  <si>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</si>
  <si>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</si>
  <si>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</si>
  <si>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</si>
  <si>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</si>
  <si>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</si>
  <si>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</si>
  <si>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</si>
  <si>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</si>
  <si>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</si>
  <si>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</si>
  <si>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</si>
  <si>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</si>
  <si>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</si>
  <si>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</si>
  <si>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</si>
  <si>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</si>
  <si>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</si>
  <si>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</si>
  <si>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</si>
  <si>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</si>
  <si>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</si>
  <si>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</si>
  <si>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</si>
  <si>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</si>
  <si>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</si>
  <si>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</si>
  <si>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</si>
  <si>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</si>
  <si>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</si>
  <si>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</si>
  <si>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</si>
  <si>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</si>
  <si>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</si>
  <si>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</si>
  <si>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</si>
  <si>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</si>
  <si>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</si>
  <si>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</si>
  <si>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</si>
  <si>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</si>
  <si>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</si>
  <si>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</si>
  <si>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</si>
  <si>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</si>
  <si>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</si>
  <si>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</si>
  <si>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</si>
  <si>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</si>
  <si>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</si>
  <si>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</si>
  <si>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</si>
  <si>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</si>
  <si>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</si>
  <si>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</si>
  <si>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</si>
  <si>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</si>
  <si>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</si>
  <si>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</si>
  <si>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</si>
  <si>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</si>
  <si>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</si>
  <si>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</si>
  <si>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</si>
  <si>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</si>
  <si>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</si>
  <si>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</si>
  <si>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</si>
  <si>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</si>
  <si>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</si>
  <si>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</si>
  <si>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</si>
  <si>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</si>
  <si>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</si>
  <si>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</si>
  <si>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</si>
  <si>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</si>
  <si>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</si>
  <si>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</si>
  <si>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</si>
  <si>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</si>
  <si>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</si>
  <si>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</si>
  <si>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</si>
  <si>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</si>
  <si>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</si>
  <si>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</si>
  <si>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</si>
  <si>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</si>
  <si>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</si>
  <si>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</si>
  <si>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</si>
  <si>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</si>
  <si>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</si>
  <si>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</si>
  <si>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</si>
  <si>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</si>
  <si>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</si>
  <si>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</si>
  <si>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</si>
  <si>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</si>
  <si>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</si>
  <si>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</si>
  <si>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</si>
  <si>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</si>
  <si>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</si>
  <si>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</si>
  <si>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</si>
  <si>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</si>
  <si>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</si>
  <si>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</si>
  <si>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</si>
  <si>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</si>
  <si>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</si>
  <si>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</si>
  <si>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</si>
  <si>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</si>
  <si>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</si>
  <si>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</si>
  <si>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</si>
  <si>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</si>
  <si>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</si>
  <si>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</si>
  <si>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</si>
  <si>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</si>
  <si>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</si>
  <si>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</si>
  <si>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</si>
  <si>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</si>
  <si>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</si>
  <si>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</si>
  <si>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</si>
  <si>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</si>
  <si>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</si>
  <si>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</si>
  <si>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</si>
  <si>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</si>
  <si>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</si>
  <si>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</si>
  <si>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</si>
  <si>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</si>
  <si>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</si>
  <si>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</si>
  <si>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</si>
  <si>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</si>
  <si>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</si>
  <si>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</si>
  <si>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</si>
  <si>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</si>
  <si>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</si>
  <si>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</si>
  <si>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</si>
  <si>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</si>
  <si>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</si>
  <si>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</si>
  <si>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</si>
  <si>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</si>
  <si>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</si>
  <si>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</si>
  <si>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</si>
  <si>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</si>
  <si>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</si>
  <si>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</si>
  <si>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</si>
  <si>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</si>
  <si>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</si>
  <si>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</si>
  <si>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</si>
  <si>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</si>
  <si>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</si>
  <si>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</si>
  <si>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</si>
  <si>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</si>
  <si>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</si>
  <si>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</si>
  <si>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</si>
  <si>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</si>
  <si>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</si>
  <si>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</si>
  <si>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</si>
  <si>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</si>
  <si>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</si>
  <si>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</si>
  <si>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</si>
  <si>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</si>
  <si>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</si>
  <si>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</si>
  <si>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</si>
  <si>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</si>
  <si>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</si>
  <si>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</si>
  <si>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</si>
  <si>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</si>
  <si>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</si>
  <si>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</si>
  <si>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</si>
  <si>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</si>
  <si>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</si>
  <si>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</si>
  <si>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</si>
  <si>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</si>
  <si>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</si>
  <si>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</si>
  <si>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</si>
  <si>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</si>
  <si>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</si>
  <si>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</si>
  <si>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</si>
  <si>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</si>
  <si>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</si>
  <si>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</si>
  <si>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</si>
  <si>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</si>
  <si>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</si>
  <si>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</si>
  <si>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</si>
  <si>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</si>
  <si>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</si>
  <si>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</si>
  <si>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</si>
  <si>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</si>
  <si>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</si>
  <si>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</si>
  <si>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</si>
  <si>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</si>
  <si>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</si>
  <si>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</si>
  <si>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</si>
  <si>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</si>
  <si>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</si>
  <si>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</si>
  <si>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</si>
  <si>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</si>
  <si>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</si>
  <si>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</si>
  <si>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</si>
  <si>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</si>
  <si>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</si>
  <si>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</si>
  <si>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</si>
  <si>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</si>
  <si>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</si>
  <si>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</si>
  <si>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</si>
  <si>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</si>
  <si>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</si>
  <si>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</si>
  <si>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</si>
  <si>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</si>
  <si>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</si>
  <si>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</si>
  <si>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</si>
  <si>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</si>
  <si>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</si>
  <si>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</si>
  <si>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</si>
  <si>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</si>
  <si>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</si>
  <si>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</si>
  <si>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</si>
  <si>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</si>
  <si>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</si>
  <si>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</si>
  <si>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</si>
  <si>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</si>
  <si>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</si>
  <si>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</si>
  <si>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</si>
  <si>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</si>
  <si>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</si>
  <si>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</si>
  <si>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</si>
  <si>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</si>
  <si>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</si>
  <si>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</si>
  <si>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</si>
  <si>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</si>
  <si>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</si>
  <si>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</si>
  <si>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</si>
  <si>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</si>
  <si>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</si>
  <si>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</si>
  <si>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</si>
  <si>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</si>
  <si>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</si>
  <si>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</si>
  <si>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</si>
  <si>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</si>
  <si>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</si>
  <si>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</si>
  <si>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</si>
  <si>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</si>
  <si>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</si>
  <si>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</si>
  <si>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</si>
  <si>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</si>
  <si>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</si>
  <si>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</si>
  <si>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</si>
  <si>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</si>
  <si>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</si>
  <si>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</si>
  <si>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</si>
  <si>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</si>
  <si>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</si>
  <si>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</si>
  <si>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</si>
  <si>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</si>
  <si>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</si>
  <si>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</si>
  <si>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</si>
  <si>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</si>
  <si>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</si>
  <si>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</si>
  <si>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</si>
  <si>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</si>
  <si>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</si>
  <si>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</si>
  <si>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</si>
  <si>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</si>
  <si>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</si>
  <si>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</si>
  <si>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</si>
  <si>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</si>
  <si>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</si>
  <si>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</si>
  <si>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</si>
  <si>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</si>
  <si>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</si>
  <si>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</si>
  <si>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</si>
  <si>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</si>
  <si>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</si>
  <si>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</si>
  <si>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</si>
  <si>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</si>
  <si>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</si>
  <si>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</si>
  <si>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</si>
  <si>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</si>
  <si>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</si>
  <si>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</si>
  <si>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</si>
  <si>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</si>
  <si>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</si>
  <si>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</si>
  <si>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</si>
  <si>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</si>
  <si>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</si>
  <si>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</si>
  <si>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</si>
  <si>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</si>
  <si>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</si>
  <si>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</si>
  <si>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</si>
  <si>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</si>
  <si>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</si>
  <si>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</si>
  <si>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</si>
  <si>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</si>
  <si>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</si>
  <si>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</si>
  <si>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</si>
  <si>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</si>
  <si>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</si>
  <si>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</si>
  <si>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</si>
  <si>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</si>
  <si>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</si>
  <si>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</si>
  <si>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</si>
  <si>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</si>
  <si>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</si>
  <si>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</si>
  <si>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</si>
  <si>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</si>
  <si>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</si>
  <si>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</si>
  <si>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</si>
  <si>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</si>
  <si>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</si>
  <si>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</si>
  <si>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</si>
  <si>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</si>
  <si>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</si>
  <si>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</si>
  <si>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</si>
  <si>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</si>
  <si>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</si>
  <si>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</si>
  <si>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</si>
  <si>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</si>
  <si>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</si>
  <si>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</si>
  <si>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</si>
  <si>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</si>
  <si>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</si>
  <si>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</si>
  <si>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</si>
  <si>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</si>
  <si>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</si>
  <si>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</si>
  <si>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</si>
  <si>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</si>
  <si>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</si>
  <si>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</si>
  <si>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</si>
  <si>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</si>
  <si>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</si>
  <si>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</si>
  <si>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</si>
  <si>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</si>
  <si>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</si>
  <si>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</si>
  <si>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</si>
  <si>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</si>
  <si>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</si>
  <si>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</si>
  <si>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</si>
  <si>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</si>
  <si>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</si>
  <si>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</si>
  <si>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</si>
  <si>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</si>
  <si>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</si>
  <si>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</si>
  <si>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</si>
  <si>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</si>
  <si>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</si>
  <si>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</si>
  <si>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</si>
  <si>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</si>
  <si>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</si>
  <si>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</si>
  <si>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</si>
  <si>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</si>
  <si>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</si>
  <si>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</si>
  <si>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</si>
  <si>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</si>
  <si>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</si>
  <si>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</si>
  <si>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</si>
  <si>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</si>
  <si>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</si>
  <si>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</si>
  <si>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</si>
  <si>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</si>
  <si>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</si>
  <si>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</si>
  <si>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</si>
  <si>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</si>
  <si>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</si>
  <si>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</si>
  <si>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</si>
  <si>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</si>
  <si>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</si>
  <si>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</si>
  <si>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</si>
  <si>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</si>
  <si>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</si>
  <si>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</si>
  <si>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</si>
  <si>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</si>
  <si>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</si>
  <si>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</si>
  <si>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</si>
  <si>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</si>
  <si>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</si>
  <si>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</si>
  <si>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</si>
  <si>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</si>
  <si>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</si>
  <si>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</si>
  <si>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</si>
  <si>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</si>
  <si>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</si>
  <si>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</si>
  <si>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</si>
  <si>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</si>
  <si>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</si>
  <si>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</si>
  <si>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</si>
  <si>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</si>
  <si>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</si>
  <si>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</si>
  <si>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</si>
  <si>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</si>
  <si>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</si>
  <si>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</si>
  <si>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</si>
  <si>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</si>
  <si>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</si>
  <si>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</si>
  <si>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</si>
  <si>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</si>
  <si>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</si>
  <si>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</si>
  <si>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</si>
  <si>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</si>
  <si>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</si>
  <si>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</si>
  <si>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</si>
  <si>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</si>
  <si>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</si>
  <si>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</si>
  <si>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</si>
  <si>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</si>
  <si>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</si>
  <si>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</si>
  <si>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</si>
  <si>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</si>
  <si>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</si>
  <si>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</si>
  <si>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</si>
  <si>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</si>
  <si>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</si>
  <si>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</si>
  <si>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</si>
  <si>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</si>
  <si>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</si>
  <si>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</si>
  <si>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</si>
  <si>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</si>
  <si>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</si>
  <si>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</si>
  <si>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</si>
  <si>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</si>
  <si>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</si>
  <si>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</si>
  <si>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</si>
  <si>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</si>
  <si>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</si>
  <si>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</si>
  <si>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</si>
  <si>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</si>
  <si>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</si>
  <si>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</si>
  <si>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</si>
  <si>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</si>
  <si>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</si>
  <si>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</si>
  <si>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</si>
  <si>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</si>
  <si>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</si>
  <si>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</si>
  <si>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</si>
  <si>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</si>
  <si>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</si>
  <si>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</si>
  <si>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</si>
  <si>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</si>
  <si>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</si>
  <si>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</si>
  <si>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</si>
  <si>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</si>
  <si>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</si>
  <si>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</si>
  <si>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</si>
  <si>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</si>
  <si>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</si>
  <si>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</si>
  <si>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</si>
  <si>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</si>
  <si>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</si>
  <si>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</si>
  <si>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</si>
  <si>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</si>
  <si>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</si>
  <si>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</si>
  <si>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</si>
  <si>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</si>
  <si>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</si>
  <si>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</si>
  <si>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</si>
  <si>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</si>
  <si>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</si>
  <si>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</si>
  <si>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</si>
  <si>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</si>
  <si>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</si>
  <si>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</si>
  <si>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</si>
  <si>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</si>
  <si>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</si>
  <si>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</si>
  <si>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</si>
  <si>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</si>
  <si>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</si>
  <si>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</si>
  <si>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</si>
  <si>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</si>
  <si>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</si>
  <si>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</si>
  <si>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</si>
  <si>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</si>
  <si>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</si>
  <si>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</si>
  <si>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</si>
  <si>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</si>
  <si>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</si>
  <si>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</si>
  <si>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</si>
  <si>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</si>
  <si>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</si>
  <si>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</si>
  <si>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</si>
  <si>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</si>
  <si>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</si>
  <si>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</si>
  <si>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</si>
  <si>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</si>
  <si>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</si>
  <si>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</si>
  <si>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</si>
  <si>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</si>
  <si>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</si>
  <si>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</si>
  <si>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</si>
  <si>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</si>
  <si>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</si>
  <si>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</si>
  <si>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</si>
  <si>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</si>
  <si>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</si>
  <si>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</si>
  <si>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</si>
  <si>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</si>
  <si>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</si>
  <si>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</si>
  <si>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</si>
  <si>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</si>
  <si>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</si>
  <si>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</si>
  <si>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</si>
  <si>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</si>
  <si>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</si>
  <si>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</si>
  <si>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</si>
  <si>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</si>
  <si>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</si>
  <si>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</si>
  <si>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</si>
  <si>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</si>
  <si>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</si>
  <si>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</si>
  <si>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</si>
  <si>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</si>
  <si>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</si>
  <si>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</si>
  <si>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</si>
  <si>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</si>
  <si>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</si>
  <si>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</si>
  <si>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</si>
  <si>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</si>
  <si>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</si>
  <si>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</si>
  <si>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</si>
  <si>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</si>
  <si>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</si>
  <si>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</si>
  <si>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</si>
  <si>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</si>
  <si>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</si>
  <si>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</si>
  <si>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</si>
  <si>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</si>
  <si>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</si>
  <si>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</si>
  <si>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</si>
  <si>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</si>
  <si>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</si>
  <si>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</si>
  <si>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</si>
  <si>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</si>
  <si>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</si>
  <si>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</si>
  <si>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</si>
  <si>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</si>
  <si>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</si>
  <si>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</si>
  <si>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</si>
  <si>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</si>
  <si>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</si>
  <si>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</si>
  <si>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</si>
  <si>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</si>
  <si>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</si>
  <si>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</si>
  <si>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</si>
  <si>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</si>
  <si>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</si>
  <si>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</si>
  <si>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</si>
  <si>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</si>
  <si>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</si>
  <si>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</si>
  <si>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</si>
  <si>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</si>
  <si>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</si>
  <si>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</si>
  <si>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</si>
  <si>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</si>
  <si>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</si>
  <si>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</si>
  <si>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</si>
  <si>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</si>
  <si>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</si>
  <si>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</si>
  <si>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</si>
  <si>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</si>
  <si>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</si>
  <si>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</si>
  <si>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</si>
  <si>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</si>
  <si>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</si>
  <si>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</si>
  <si>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</si>
  <si>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</si>
  <si>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</si>
  <si>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</si>
  <si>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</si>
  <si>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</si>
  <si>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</si>
  <si>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</si>
  <si>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</si>
  <si>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</si>
  <si>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</si>
  <si>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</si>
  <si>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</si>
  <si>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</si>
  <si>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</si>
  <si>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</si>
  <si>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</si>
  <si>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</si>
  <si>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</si>
  <si>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</si>
  <si>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</si>
  <si>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</si>
  <si>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</si>
  <si>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</si>
  <si>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</si>
  <si>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</si>
  <si>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</si>
  <si>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</si>
  <si>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</si>
  <si>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</si>
  <si>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</si>
  <si>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</si>
  <si>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</si>
  <si>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</si>
  <si>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</si>
  <si>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</si>
  <si>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</si>
  <si>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</si>
  <si>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</si>
  <si>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</si>
  <si>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</si>
  <si>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</si>
  <si>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</si>
  <si>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</si>
  <si>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</si>
  <si>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</si>
  <si>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</si>
  <si>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</si>
  <si>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</si>
  <si>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</si>
  <si>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</si>
  <si>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</si>
  <si>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</si>
  <si>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</si>
  <si>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</si>
  <si>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</si>
  <si>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</si>
  <si>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</si>
  <si>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</si>
  <si>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</si>
  <si>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</si>
  <si>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</si>
  <si>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</si>
  <si>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</si>
  <si>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</si>
  <si>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</si>
  <si>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</si>
  <si>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</si>
  <si>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</si>
  <si>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</si>
  <si>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</si>
  <si>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</si>
  <si>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</si>
  <si>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</si>
  <si>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</si>
  <si>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</si>
  <si>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</si>
  <si>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</si>
  <si>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</si>
  <si>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</si>
  <si>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</si>
  <si>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</si>
  <si>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</si>
  <si>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</si>
  <si>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</si>
  <si>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</si>
  <si>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</si>
  <si>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</si>
  <si>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</si>
  <si>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</si>
  <si>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</si>
  <si>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</si>
  <si>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</si>
  <si>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</si>
  <si>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</si>
  <si>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</si>
  <si>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</si>
  <si>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</si>
  <si>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</si>
  <si>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</si>
  <si>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</si>
  <si>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</si>
  <si>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</si>
  <si>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</si>
  <si>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</si>
  <si>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</si>
  <si>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</si>
  <si>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</si>
  <si>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</si>
  <si>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</si>
  <si>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</si>
  <si>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</si>
  <si>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</si>
  <si>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</si>
  <si>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</si>
  <si>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</si>
  <si>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</si>
  <si>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</si>
  <si>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</si>
  <si>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</si>
  <si>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</si>
  <si>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</si>
  <si>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</si>
  <si>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</si>
  <si>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</si>
  <si>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</si>
  <si>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</si>
  <si>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</si>
  <si>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</si>
  <si>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</si>
  <si>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</si>
  <si>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</si>
  <si>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</si>
  <si>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</si>
  <si>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</si>
  <si>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</si>
  <si>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</si>
  <si>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</si>
  <si>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</si>
  <si>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</si>
  <si>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</si>
  <si>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</si>
  <si>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</si>
  <si>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</si>
  <si>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</si>
  <si>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</si>
  <si>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</si>
  <si>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</si>
  <si>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</si>
  <si>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</si>
  <si>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</si>
  <si>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</si>
  <si>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</si>
  <si>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</si>
  <si>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</si>
  <si>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</si>
  <si>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</si>
  <si>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</si>
  <si>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</si>
  <si>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</si>
  <si>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</si>
  <si>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</si>
  <si>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</si>
  <si>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</si>
  <si>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</si>
  <si>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</si>
  <si>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</si>
  <si>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</si>
  <si>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</si>
  <si>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</si>
  <si>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</si>
  <si>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</si>
  <si>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</si>
  <si>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</si>
  <si>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</si>
  <si>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</si>
  <si>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</si>
  <si>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</si>
  <si>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</si>
  <si>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</si>
  <si>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</si>
  <si>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</si>
  <si>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</si>
  <si>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</si>
  <si>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</si>
  <si>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</si>
  <si>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</si>
  <si>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</si>
  <si>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</si>
  <si>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</si>
  <si>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</si>
  <si>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</si>
  <si>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</si>
  <si>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</si>
  <si>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</si>
  <si>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</si>
  <si>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</si>
  <si>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</si>
  <si>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</si>
  <si>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</si>
  <si>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</si>
  <si>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</si>
  <si>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</si>
  <si>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</si>
  <si>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</si>
  <si>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</si>
  <si>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</si>
  <si>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</si>
  <si>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</si>
  <si>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</si>
  <si>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</si>
  <si>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</si>
  <si>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</si>
  <si>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</si>
  <si>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</si>
  <si>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</si>
  <si>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</si>
  <si>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</si>
  <si>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</si>
  <si>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</si>
  <si>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</si>
  <si>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</si>
  <si>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</si>
  <si>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</si>
  <si>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</si>
  <si>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</si>
  <si>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</si>
  <si>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</si>
  <si>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</si>
  <si>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</si>
  <si>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</si>
  <si>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</si>
  <si>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</si>
  <si>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</si>
  <si>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</si>
  <si>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</si>
  <si>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</si>
  <si>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</si>
  <si>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</si>
  <si>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</si>
  <si>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</si>
  <si>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</si>
  <si>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</si>
  <si>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</si>
  <si>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</si>
  <si>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</si>
  <si>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</si>
  <si>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</si>
  <si>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</si>
  <si>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</si>
  <si>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</si>
  <si>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</si>
  <si>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</si>
  <si>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</si>
  <si>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</si>
  <si>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</si>
  <si>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</si>
  <si>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</si>
  <si>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</si>
  <si>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</si>
  <si>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</si>
  <si>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</si>
  <si>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</si>
  <si>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</si>
  <si>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</si>
  <si>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</si>
  <si>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</si>
  <si>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</si>
  <si>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</si>
  <si>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</si>
  <si>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</si>
  <si>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</si>
  <si>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</si>
  <si>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</si>
  <si>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</si>
  <si>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</si>
  <si>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</si>
  <si>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</si>
  <si>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</si>
  <si>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</si>
  <si>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</si>
  <si>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</si>
  <si>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</si>
  <si>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</si>
  <si>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</si>
  <si>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</si>
  <si>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</si>
  <si>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</si>
  <si>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</si>
  <si>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</si>
  <si>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</si>
  <si>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</si>
  <si>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</si>
  <si>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</si>
  <si>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</si>
  <si>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</si>
  <si>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</si>
  <si>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</si>
  <si>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</si>
  <si>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</si>
  <si>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</si>
  <si>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</si>
  <si>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</si>
  <si>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</si>
  <si>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</si>
  <si>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</si>
  <si>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</si>
  <si>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</si>
  <si>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</si>
  <si>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</si>
  <si>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</si>
  <si>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</si>
  <si>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</si>
  <si>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</si>
  <si>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</si>
  <si>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</si>
  <si>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</si>
  <si>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</si>
  <si>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</si>
  <si>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</si>
  <si>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</si>
  <si>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</si>
  <si>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</si>
  <si>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</si>
  <si>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</si>
  <si>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</si>
  <si>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</si>
  <si>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</si>
  <si>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</si>
  <si>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</si>
  <si>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</si>
  <si>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</si>
  <si>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</si>
  <si>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</si>
  <si>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</si>
  <si>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</si>
  <si>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</si>
  <si>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</si>
  <si>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</si>
  <si>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</si>
  <si>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</si>
  <si>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</si>
  <si>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</si>
  <si>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</si>
  <si>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</si>
  <si>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</si>
  <si>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</si>
  <si>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</si>
  <si>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</si>
  <si>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</si>
  <si>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</si>
  <si>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</si>
  <si>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</si>
  <si>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</si>
  <si>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</si>
  <si>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</si>
  <si>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</si>
  <si>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</si>
  <si>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</si>
  <si>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</si>
  <si>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</si>
  <si>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</si>
  <si>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</si>
  <si>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</si>
  <si>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</si>
  <si>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</si>
  <si>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</si>
  <si>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</si>
  <si>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</si>
  <si>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</si>
  <si>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</si>
  <si>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</si>
  <si>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</si>
  <si>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</si>
  <si>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</si>
  <si>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</si>
  <si>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</si>
  <si>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</si>
  <si>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</si>
  <si>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</si>
  <si>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</si>
  <si>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</si>
  <si>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</si>
  <si>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</si>
  <si>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</si>
  <si>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</si>
  <si>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</si>
  <si>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</si>
  <si>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</si>
  <si>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</si>
  <si>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</si>
  <si>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</si>
  <si>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</si>
  <si>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</si>
  <si>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</si>
  <si>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</si>
  <si>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</si>
  <si>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</si>
  <si>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</si>
  <si>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</si>
  <si>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</si>
  <si>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</si>
  <si>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</si>
  <si>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</si>
  <si>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</si>
  <si>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</si>
  <si>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</si>
  <si>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</si>
  <si>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</si>
  <si>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</si>
  <si>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</si>
  <si>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</si>
  <si>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</si>
  <si>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</si>
  <si>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</si>
  <si>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</si>
  <si>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</si>
  <si>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</si>
  <si>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</si>
  <si>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</si>
  <si>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</si>
  <si>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</si>
  <si>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</si>
  <si>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</si>
  <si>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</si>
  <si>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</si>
  <si>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</si>
  <si>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</si>
  <si>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</si>
  <si>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</si>
  <si>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</si>
  <si>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</si>
  <si>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</si>
  <si>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</si>
  <si>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</si>
  <si>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</si>
  <si>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</si>
  <si>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</si>
  <si>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</si>
  <si>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</si>
  <si>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</si>
  <si>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</si>
  <si>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</si>
  <si>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</si>
  <si>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</si>
  <si>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</si>
  <si>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</si>
  <si>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</si>
  <si>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</si>
  <si>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</si>
  <si>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</si>
  <si>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</si>
  <si>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</si>
  <si>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</si>
  <si>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</si>
  <si>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</si>
  <si>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</si>
  <si>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</si>
  <si>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</si>
  <si>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</si>
  <si>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</si>
  <si>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</si>
  <si>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</si>
  <si>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</si>
  <si>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</si>
  <si>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</si>
  <si>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</si>
  <si>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</si>
  <si>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</si>
  <si>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</si>
  <si>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</si>
  <si>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</si>
  <si>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</si>
  <si>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</si>
  <si>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</si>
  <si>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</si>
  <si>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</si>
  <si>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</si>
  <si>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</si>
  <si>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</si>
  <si>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</si>
  <si>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</si>
  <si>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</si>
  <si>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</si>
  <si>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</si>
  <si>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</si>
  <si>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</si>
  <si>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</si>
  <si>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</si>
  <si>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</si>
  <si>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</si>
  <si>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</si>
  <si>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</si>
  <si>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</si>
  <si>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</si>
  <si>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</si>
  <si>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</si>
  <si>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</si>
  <si>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</si>
  <si>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</si>
  <si>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</si>
  <si>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</si>
  <si>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</si>
  <si>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</si>
  <si>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</si>
  <si>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</si>
  <si>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</si>
  <si>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</si>
  <si>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</si>
  <si>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</si>
  <si>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</si>
  <si>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</si>
  <si>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</si>
  <si>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</si>
  <si>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</si>
  <si>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</si>
  <si>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</si>
  <si>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</si>
  <si>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</si>
  <si>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</si>
  <si>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</si>
  <si>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</si>
  <si>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</si>
  <si>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</si>
  <si>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</si>
  <si>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</si>
  <si>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</si>
  <si>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</si>
  <si>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</si>
  <si>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</si>
  <si>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</si>
  <si>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</si>
  <si>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</si>
  <si>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</si>
  <si>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</si>
  <si>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</si>
  <si>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</si>
  <si>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</si>
  <si>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</si>
  <si>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</si>
  <si>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</si>
  <si>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</si>
  <si>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</si>
  <si>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</si>
  <si>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</si>
  <si>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</si>
  <si>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</si>
  <si>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</si>
  <si>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</si>
  <si>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</si>
  <si>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</si>
  <si>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</si>
  <si>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</si>
  <si>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</si>
  <si>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</si>
  <si>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</si>
  <si>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</si>
  <si>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</si>
  <si>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</si>
  <si>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</si>
  <si>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</si>
  <si>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</si>
  <si>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</si>
  <si>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</si>
  <si>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</si>
  <si>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</si>
  <si>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</si>
  <si>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</si>
  <si>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</si>
  <si>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</si>
  <si>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</si>
  <si>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</si>
  <si>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</si>
  <si>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</si>
  <si>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</si>
  <si>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</si>
  <si>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</si>
  <si>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</si>
  <si>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</si>
  <si>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</si>
  <si>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</si>
  <si>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</si>
  <si>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</si>
  <si>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</si>
  <si>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</si>
  <si>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</si>
  <si>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</si>
  <si>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</si>
  <si>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</si>
  <si>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</si>
  <si>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</si>
  <si>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</si>
  <si>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</si>
  <si>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</si>
  <si>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</si>
  <si>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</si>
  <si>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</si>
  <si>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</si>
  <si>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</si>
  <si>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</si>
  <si>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</si>
  <si>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</si>
  <si>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</si>
  <si>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</si>
  <si>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</si>
  <si>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</si>
  <si>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</si>
  <si>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</si>
  <si>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</si>
  <si>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</si>
  <si>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</si>
  <si>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</si>
  <si>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</si>
  <si>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</si>
  <si>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</si>
  <si>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</si>
  <si>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</si>
  <si>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</si>
  <si>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</si>
  <si>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</si>
  <si>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</si>
  <si>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</si>
  <si>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</si>
  <si>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</si>
  <si>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</si>
  <si>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</si>
  <si>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</si>
  <si>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</si>
  <si>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</si>
  <si>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</si>
  <si>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</si>
  <si>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</si>
  <si>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</si>
  <si>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</si>
  <si>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</si>
  <si>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</si>
  <si>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</si>
  <si>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</si>
  <si>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</si>
  <si>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</si>
  <si>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</si>
  <si>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</si>
  <si>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</si>
  <si>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</si>
  <si>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</si>
  <si>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</si>
  <si>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</si>
  <si>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</si>
  <si>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</si>
  <si>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</si>
  <si>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</si>
  <si>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</si>
  <si>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</si>
  <si>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</si>
  <si>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</si>
  <si>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</si>
  <si>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</si>
  <si>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</si>
  <si>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</si>
  <si>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</si>
  <si>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</si>
  <si>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</si>
  <si>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</si>
  <si>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</si>
  <si>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</si>
  <si>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</si>
  <si>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</si>
  <si>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</si>
  <si>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</si>
  <si>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</si>
  <si>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</si>
  <si>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</si>
  <si>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</si>
  <si>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</si>
  <si>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</si>
  <si>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</si>
  <si>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</si>
  <si>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</si>
  <si>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</si>
  <si>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</si>
  <si>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</si>
  <si>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</si>
  <si>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</si>
  <si>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</si>
  <si>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</si>
  <si>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</si>
  <si>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</si>
  <si>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</si>
  <si>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</si>
  <si>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</si>
  <si>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</si>
  <si>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</si>
  <si>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</si>
  <si>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</si>
  <si>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</si>
  <si>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</si>
  <si>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</si>
  <si>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</si>
  <si>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</si>
  <si>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</si>
  <si>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</si>
  <si>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</si>
  <si>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</si>
  <si>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</si>
  <si>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</si>
  <si>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</si>
  <si>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</si>
  <si>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</si>
  <si>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</si>
  <si>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</si>
  <si>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</si>
  <si>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</si>
  <si>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</si>
  <si>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</si>
  <si>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</si>
  <si>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</si>
  <si>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</si>
  <si>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</si>
  <si>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</si>
  <si>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</si>
  <si>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</si>
  <si>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</si>
  <si>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</si>
  <si>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</si>
  <si>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</si>
  <si>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</si>
  <si>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</si>
  <si>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</si>
  <si>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</si>
  <si>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</si>
  <si>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</si>
  <si>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</si>
  <si>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</si>
  <si>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</si>
  <si>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</si>
  <si>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</si>
  <si>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</si>
  <si>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</si>
  <si>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</si>
  <si>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</si>
  <si>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</si>
  <si>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</si>
  <si>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</si>
  <si>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</si>
  <si>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</si>
  <si>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</si>
  <si>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</si>
  <si>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</si>
  <si>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</si>
  <si>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</si>
  <si>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</si>
  <si>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</si>
  <si>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</si>
  <si>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</si>
  <si>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</si>
  <si>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</si>
  <si>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</si>
  <si>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</si>
  <si>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</si>
  <si>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</si>
  <si>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</si>
  <si>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</si>
  <si>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</si>
  <si>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</si>
  <si>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</si>
  <si>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</si>
  <si>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</si>
  <si>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</si>
  <si>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</si>
  <si>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</si>
  <si>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</si>
  <si>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</si>
  <si>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</si>
  <si>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</si>
  <si>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</si>
  <si>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</si>
  <si>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</si>
  <si>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</si>
  <si>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</si>
  <si>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</si>
  <si>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</si>
  <si>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</si>
  <si>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</si>
  <si>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</si>
  <si>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</si>
  <si>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</si>
  <si>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</si>
  <si>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</si>
  <si>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</si>
  <si>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</si>
  <si>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</si>
  <si>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</si>
  <si>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</si>
  <si>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</si>
  <si>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</si>
  <si>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</si>
  <si>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</si>
  <si>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</si>
  <si>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</si>
  <si>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</si>
  <si>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</si>
  <si>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</si>
  <si>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</si>
  <si>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</si>
  <si>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</si>
  <si>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</si>
  <si>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</si>
  <si>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</si>
  <si>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</si>
  <si>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</si>
  <si>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</si>
  <si>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</si>
  <si>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</si>
  <si>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</si>
  <si>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</si>
  <si>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</si>
  <si>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</si>
  <si>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</si>
  <si>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</si>
  <si>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</si>
  <si>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</si>
  <si>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</si>
  <si>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</si>
  <si>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</si>
  <si>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</si>
  <si>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</si>
  <si>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</si>
  <si>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</si>
  <si>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</si>
  <si>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</si>
  <si>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</si>
  <si>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</si>
  <si>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</si>
  <si>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</si>
  <si>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</si>
  <si>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</si>
  <si>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</si>
  <si>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</si>
  <si>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</si>
  <si>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</si>
  <si>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</si>
  <si>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</si>
  <si>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</si>
  <si>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</si>
  <si>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</si>
  <si>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</si>
  <si>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</si>
  <si>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</si>
  <si>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</si>
  <si>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</si>
  <si>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</si>
  <si>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</si>
  <si>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</si>
  <si>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</si>
  <si>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</si>
  <si>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</si>
  <si>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</si>
  <si>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</si>
  <si>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</si>
  <si>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</si>
  <si>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</si>
  <si>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</si>
  <si>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</si>
  <si>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</si>
  <si>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</si>
  <si>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</si>
  <si>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</si>
  <si>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</si>
  <si>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</si>
  <si>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</si>
  <si>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</si>
  <si>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</si>
  <si>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</si>
  <si>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</si>
  <si>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</si>
  <si>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</si>
  <si>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</si>
  <si>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</si>
  <si>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</si>
  <si>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</si>
  <si>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</si>
  <si>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</si>
  <si>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</si>
  <si>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</si>
  <si>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</si>
  <si>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</si>
  <si>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</si>
  <si>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</si>
  <si>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</si>
  <si>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</si>
  <si>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</si>
  <si>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</si>
  <si>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</si>
  <si>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</si>
  <si>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</si>
  <si>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</si>
  <si>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</si>
  <si>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</si>
  <si>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</si>
  <si>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</si>
  <si>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</si>
  <si>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</si>
  <si>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</si>
  <si>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</si>
  <si>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</si>
  <si>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</si>
  <si>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</si>
  <si>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</si>
  <si>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</si>
  <si>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</si>
  <si>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</si>
  <si>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</si>
  <si>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</si>
  <si>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</si>
  <si>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</si>
  <si>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</si>
  <si>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</si>
  <si>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</si>
  <si>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</si>
  <si>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</si>
  <si>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</si>
  <si>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</si>
  <si>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</si>
  <si>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</si>
  <si>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</si>
  <si>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</si>
  <si>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</si>
  <si>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</si>
  <si>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</si>
  <si>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</si>
  <si>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</si>
  <si>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</si>
  <si>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</si>
  <si>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</si>
  <si>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</si>
  <si>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</si>
  <si>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</si>
  <si>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</si>
  <si>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</si>
  <si>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</si>
  <si>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</si>
  <si>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</si>
  <si>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</si>
  <si>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</si>
  <si>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</si>
  <si>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</si>
  <si>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</si>
  <si>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</si>
  <si>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</si>
  <si>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</si>
  <si>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</si>
  <si>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</si>
  <si>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</si>
  <si>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</si>
  <si>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</si>
  <si>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</si>
  <si>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</si>
  <si>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</si>
  <si>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</si>
  <si>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</si>
  <si>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</si>
  <si>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</si>
  <si>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</si>
  <si>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</si>
  <si>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</si>
  <si>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</si>
  <si>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</si>
  <si>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</si>
  <si>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</si>
  <si>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</si>
  <si>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</si>
  <si>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</si>
  <si>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</si>
  <si>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</si>
  <si>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</si>
  <si>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</si>
  <si>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</si>
  <si>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</si>
  <si>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</si>
  <si>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</si>
  <si>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</si>
  <si>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</si>
  <si>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</si>
  <si>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</si>
  <si>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</si>
  <si>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</si>
  <si>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</si>
  <si>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</si>
  <si>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</si>
  <si>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</si>
  <si>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</si>
  <si>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</si>
  <si>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</si>
  <si>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</si>
  <si>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</si>
  <si>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</si>
  <si>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</si>
  <si>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</si>
  <si>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</si>
  <si>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</si>
  <si>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</si>
  <si>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</si>
  <si>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</si>
  <si>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</si>
  <si>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</si>
  <si>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</si>
  <si>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</si>
  <si>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</si>
  <si>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</si>
  <si>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</si>
  <si>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</si>
  <si>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</si>
  <si>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</si>
  <si>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</si>
  <si>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</si>
  <si>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</si>
  <si>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</si>
  <si>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</si>
  <si>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</si>
  <si>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</si>
  <si>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</si>
  <si>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</si>
  <si>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</si>
  <si>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</si>
  <si>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</si>
  <si>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</si>
  <si>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</si>
  <si>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</si>
  <si>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</si>
  <si>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</si>
  <si>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</si>
  <si>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</si>
  <si>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</si>
  <si>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</si>
  <si>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</si>
  <si>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</si>
  <si>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</si>
  <si>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</si>
  <si>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</si>
  <si>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</si>
  <si>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</si>
  <si>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</si>
  <si>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</si>
  <si>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</si>
  <si>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</si>
  <si>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</si>
  <si>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</si>
  <si>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</si>
  <si>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</si>
  <si>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</si>
  <si>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</si>
  <si>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</si>
  <si>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</si>
  <si>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</si>
  <si>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</si>
  <si>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</si>
  <si>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</si>
  <si>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</si>
  <si>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</si>
  <si>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</si>
  <si>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</si>
  <si>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</si>
  <si>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</si>
  <si>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</si>
  <si>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</si>
  <si>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</si>
  <si>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</si>
  <si>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</si>
  <si>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</si>
  <si>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</si>
  <si>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</si>
  <si>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</si>
  <si>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</si>
  <si>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</si>
  <si>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</si>
  <si>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</si>
  <si>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</si>
  <si>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</si>
  <si>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</si>
  <si>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</si>
  <si>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</si>
  <si>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</si>
  <si>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</si>
  <si>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</si>
  <si>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</si>
  <si>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</si>
  <si>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</si>
  <si>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</si>
  <si>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</si>
  <si>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</si>
  <si>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</si>
  <si>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</si>
  <si>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</si>
  <si>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</si>
  <si>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</si>
  <si>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</si>
  <si>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</si>
  <si>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</si>
  <si>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</si>
  <si>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</si>
  <si>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</si>
  <si>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</si>
  <si>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</si>
  <si>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</si>
  <si>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</si>
  <si>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</si>
  <si>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</si>
  <si>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</si>
  <si>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</si>
  <si>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</si>
  <si>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</si>
  <si>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</si>
  <si>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</si>
  <si>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</si>
  <si>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</si>
  <si>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</si>
  <si>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</si>
  <si>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</si>
  <si>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</si>
  <si>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</si>
  <si>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</si>
  <si>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</si>
  <si>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</si>
  <si>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</si>
  <si>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</si>
  <si>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</si>
  <si>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</si>
  <si>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</si>
  <si>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</si>
  <si>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</si>
  <si>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</si>
  <si>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</si>
  <si>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</si>
  <si>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</si>
  <si>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</si>
  <si>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</si>
  <si>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</si>
  <si>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</si>
  <si>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</si>
  <si>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</si>
  <si>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</si>
  <si>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</si>
  <si>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</si>
  <si>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</si>
  <si>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</si>
  <si>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</si>
  <si>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</si>
  <si>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</si>
  <si>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</si>
  <si>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</si>
  <si>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</si>
  <si>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</si>
  <si>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</si>
  <si>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</si>
  <si>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</si>
  <si>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</si>
  <si>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</si>
  <si>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</si>
  <si>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</si>
  <si>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</si>
  <si>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</si>
  <si>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</si>
  <si>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</si>
  <si>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</si>
  <si>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</si>
  <si>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</si>
  <si>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</si>
  <si>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</si>
  <si>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</si>
  <si>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</si>
  <si>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</si>
  <si>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</si>
  <si>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</si>
  <si>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</si>
  <si>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</si>
  <si>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</si>
  <si>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</si>
  <si>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</si>
  <si>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</si>
  <si>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</si>
  <si>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</si>
  <si>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</si>
  <si>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</si>
  <si>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</si>
  <si>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</si>
  <si>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</si>
  <si>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</si>
  <si>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</si>
  <si>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</si>
  <si>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</si>
  <si>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</si>
  <si>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</si>
  <si>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</si>
  <si>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</si>
  <si>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</si>
  <si>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</si>
  <si>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</si>
  <si>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</si>
  <si>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</si>
  <si>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</si>
  <si>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</si>
  <si>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</si>
  <si>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</si>
  <si>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</si>
  <si>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</si>
  <si>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</si>
  <si>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</si>
  <si>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</si>
  <si>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</si>
  <si>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</si>
  <si>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</si>
  <si>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</si>
  <si>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</si>
  <si>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</si>
  <si>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</si>
  <si>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</si>
  <si>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</si>
  <si>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</si>
  <si>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</si>
  <si>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</si>
  <si>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</si>
  <si>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</si>
  <si>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</si>
  <si>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</si>
  <si>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</si>
  <si>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</si>
  <si>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</si>
  <si>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</si>
  <si>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</si>
  <si>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</si>
  <si>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</si>
  <si>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</si>
  <si>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</si>
  <si>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</si>
  <si>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</si>
  <si>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</si>
  <si>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</si>
  <si>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</si>
  <si>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</si>
  <si>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</si>
  <si>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</si>
  <si>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</si>
  <si>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</si>
  <si>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</si>
  <si>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</si>
  <si>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</si>
  <si>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</si>
  <si>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</si>
  <si>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</si>
  <si>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</si>
  <si>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</si>
  <si>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</si>
  <si>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</si>
  <si>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</si>
  <si>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</si>
  <si>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</si>
  <si>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</si>
  <si>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</si>
  <si>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</si>
  <si>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</si>
  <si>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</si>
  <si>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</si>
  <si>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</si>
  <si>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</si>
  <si>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</si>
  <si>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</si>
  <si>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</si>
  <si>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</si>
  <si>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</si>
  <si>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</si>
  <si>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</si>
  <si>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</si>
  <si>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</si>
  <si>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</si>
  <si>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</si>
  <si>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</si>
  <si>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</si>
  <si>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</si>
  <si>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</si>
  <si>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</si>
  <si>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</si>
  <si>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</si>
  <si>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</si>
  <si>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</si>
  <si>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</si>
  <si>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</si>
  <si>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</si>
  <si>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</si>
  <si>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</si>
  <si>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</si>
  <si>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</si>
  <si>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</si>
  <si>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</si>
  <si>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</si>
  <si>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</si>
  <si>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</si>
  <si>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</si>
  <si>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</si>
  <si>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</si>
  <si>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</si>
  <si>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</si>
  <si>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</si>
  <si>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</si>
  <si>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</si>
  <si>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</si>
  <si>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</si>
  <si>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</si>
  <si>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</si>
  <si>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</si>
  <si>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</si>
  <si>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</si>
  <si>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</si>
  <si>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</si>
  <si>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</si>
  <si>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</si>
  <si>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</si>
  <si>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</si>
  <si>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</si>
  <si>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</si>
  <si>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</si>
  <si>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</si>
  <si>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</si>
  <si>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</si>
  <si>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</si>
  <si>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</si>
  <si>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</si>
  <si>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</si>
  <si>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</si>
  <si>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</si>
  <si>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</si>
  <si>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</si>
  <si>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</si>
  <si>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</si>
  <si>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</si>
  <si>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</si>
  <si>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</si>
  <si>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</si>
  <si>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</si>
  <si>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</si>
  <si>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</si>
  <si>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</si>
  <si>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</si>
  <si>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</si>
  <si>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</si>
  <si>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</si>
  <si>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</si>
  <si>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</si>
  <si>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</si>
  <si>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</si>
  <si>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</si>
  <si>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</si>
  <si>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</si>
  <si>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</si>
  <si>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</si>
  <si>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</si>
  <si>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</si>
  <si>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</si>
  <si>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</si>
  <si>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</si>
  <si>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</si>
  <si>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</si>
  <si>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</si>
  <si>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</si>
  <si>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</si>
  <si>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</si>
  <si>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</si>
  <si>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</si>
  <si>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</si>
  <si>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</si>
  <si>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</si>
  <si>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</si>
  <si>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</si>
  <si>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</si>
  <si>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</si>
  <si>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</si>
  <si>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</si>
  <si>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</si>
  <si>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</si>
  <si>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</si>
  <si>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</si>
  <si>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</si>
  <si>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</si>
  <si>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</si>
  <si>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</si>
  <si>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</si>
  <si>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</si>
  <si>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</si>
  <si>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</si>
  <si>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</si>
  <si>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</si>
  <si>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</si>
  <si>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</si>
  <si>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</si>
  <si>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</si>
  <si>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</si>
  <si>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</si>
  <si>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</si>
  <si>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</si>
  <si>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</si>
  <si>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</si>
  <si>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</si>
  <si>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</si>
  <si>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</si>
  <si>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</si>
  <si>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</si>
  <si>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</si>
  <si>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</si>
  <si>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</si>
  <si>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</si>
  <si>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</si>
  <si>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</si>
  <si>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</si>
  <si>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</si>
  <si>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</si>
  <si>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</si>
  <si>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</si>
  <si>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</si>
  <si>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</si>
  <si>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</si>
  <si>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</si>
  <si>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</si>
  <si>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</si>
  <si>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</si>
  <si>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</si>
  <si>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</si>
  <si>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</si>
  <si>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</si>
  <si>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</si>
  <si>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</si>
  <si>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</si>
  <si>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</si>
  <si>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</si>
  <si>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</si>
  <si>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</si>
  <si>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</si>
  <si>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</si>
  <si>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</si>
  <si>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</si>
  <si>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</si>
  <si>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</si>
  <si>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</si>
  <si>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</si>
  <si>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</si>
  <si>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</si>
  <si>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</si>
  <si>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</si>
  <si>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</si>
  <si>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</si>
  <si>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</si>
  <si>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</si>
  <si>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</si>
  <si>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</si>
  <si>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</si>
  <si>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</si>
  <si>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</si>
  <si>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</si>
  <si>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</si>
  <si>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</si>
  <si>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</si>
  <si>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</si>
  <si>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</si>
  <si>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</si>
  <si>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</si>
  <si>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</si>
  <si>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</si>
  <si>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</si>
  <si>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</si>
  <si>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</si>
  <si>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</si>
  <si>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</si>
  <si>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</si>
  <si>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</si>
  <si>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</si>
  <si>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</si>
  <si>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</si>
  <si>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</si>
  <si>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</si>
  <si>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</si>
  <si>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</si>
  <si>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</si>
  <si>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</si>
  <si>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</si>
  <si>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</si>
  <si>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</si>
  <si>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</si>
  <si>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</si>
  <si>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</si>
  <si>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</si>
  <si>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</si>
  <si>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</si>
  <si>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</si>
  <si>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</si>
  <si>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</si>
  <si>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</si>
  <si>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</si>
  <si>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</si>
  <si>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</si>
  <si>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</si>
  <si>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</si>
  <si>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</si>
  <si>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</si>
  <si>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</si>
  <si>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</si>
  <si>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</si>
  <si>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</si>
  <si>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</si>
  <si>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</si>
  <si>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</si>
  <si>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</si>
  <si>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</si>
  <si>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</si>
  <si>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</si>
  <si>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</si>
  <si>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</si>
  <si>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</si>
  <si>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</si>
  <si>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</si>
  <si>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</si>
  <si>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</si>
  <si>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</si>
  <si>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</si>
  <si>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</si>
  <si>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</si>
  <si>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</si>
  <si>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</si>
  <si>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</si>
  <si>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</si>
  <si>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</si>
  <si>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</si>
  <si>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</si>
  <si>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</si>
  <si>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</si>
  <si>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</si>
  <si>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</si>
  <si>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</si>
  <si>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</si>
  <si>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</si>
  <si>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</si>
  <si>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</si>
  <si>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</si>
  <si>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</si>
  <si>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</si>
  <si>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</si>
  <si>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</si>
  <si>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</si>
  <si>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</si>
  <si>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</si>
  <si>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</si>
  <si>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</si>
  <si>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</si>
  <si>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</si>
  <si>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</si>
  <si>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</si>
  <si>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</si>
  <si>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</si>
  <si>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</si>
  <si>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</si>
  <si>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</si>
  <si>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</si>
  <si>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</si>
  <si>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</si>
  <si>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</si>
  <si>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</si>
  <si>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</si>
  <si>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</si>
  <si>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</si>
  <si>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</si>
  <si>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</si>
  <si>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</si>
  <si>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</si>
  <si>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</si>
  <si>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</si>
  <si>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</si>
  <si>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</si>
  <si>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</si>
  <si>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</si>
  <si>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</si>
  <si>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</si>
  <si>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</si>
  <si>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</si>
  <si>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</si>
  <si>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</si>
  <si>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</si>
  <si>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</si>
  <si>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</si>
  <si>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</si>
  <si>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</si>
  <si>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</si>
  <si>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</si>
  <si>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</si>
  <si>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</si>
  <si>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</si>
  <si>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</si>
  <si>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</si>
  <si>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</si>
  <si>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</si>
  <si>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</si>
  <si>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</si>
  <si>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</si>
  <si>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</si>
  <si>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</si>
  <si>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</si>
  <si>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</si>
  <si>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</si>
  <si>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</si>
  <si>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</si>
  <si>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</si>
  <si>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</si>
  <si>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</si>
  <si>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</si>
  <si>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</si>
  <si>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</si>
  <si>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</si>
  <si>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</si>
  <si>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</si>
  <si>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</si>
  <si>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</si>
  <si>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</si>
  <si>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</si>
  <si>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</si>
  <si>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</si>
  <si>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</si>
  <si>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</si>
  <si>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</si>
  <si>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</si>
  <si>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</si>
  <si>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</si>
  <si>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</si>
  <si>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</si>
  <si>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</si>
  <si>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</si>
  <si>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</si>
  <si>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</si>
  <si>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</si>
  <si>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</si>
  <si>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</si>
  <si>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</si>
  <si>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</si>
  <si>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</si>
  <si>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</si>
  <si>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</si>
  <si>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</si>
  <si>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</si>
  <si>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</si>
  <si>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</si>
  <si>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</si>
  <si>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</si>
  <si>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</si>
  <si>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</si>
  <si>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</si>
  <si>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</si>
  <si>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</si>
  <si>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</si>
  <si>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</si>
  <si>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</si>
  <si>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</si>
  <si>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</si>
  <si>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</si>
  <si>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</si>
  <si>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</si>
  <si>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</si>
  <si>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</si>
  <si>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</si>
  <si>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</si>
  <si>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</si>
  <si>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</si>
  <si>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</si>
  <si>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</si>
  <si>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</si>
  <si>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</si>
  <si>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</si>
  <si>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</si>
  <si>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</si>
  <si>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</si>
  <si>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</si>
  <si>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</si>
  <si>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</si>
  <si>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</si>
  <si>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</si>
  <si>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</si>
  <si>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</si>
  <si>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</si>
  <si>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</si>
  <si>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</si>
  <si>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</si>
  <si>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</si>
  <si>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</si>
  <si>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</si>
  <si>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</si>
  <si>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</si>
  <si>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</si>
  <si>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</si>
  <si>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</si>
  <si>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</si>
  <si>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</si>
  <si>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</si>
  <si>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</si>
  <si>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</si>
  <si>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</si>
  <si>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</si>
  <si>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</si>
  <si>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</si>
  <si>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</si>
  <si>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</si>
  <si>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</si>
  <si>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</si>
  <si>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</si>
  <si>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</si>
  <si>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</si>
  <si>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</si>
  <si>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</si>
  <si>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</si>
  <si>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</si>
  <si>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</si>
  <si>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</si>
  <si>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</si>
  <si>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</si>
  <si>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</si>
  <si>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</si>
  <si>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</si>
  <si>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</si>
  <si>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</si>
  <si>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</si>
  <si>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</si>
  <si>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</si>
  <si>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</si>
  <si>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</si>
  <si>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</si>
  <si>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</si>
  <si>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</si>
  <si>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</si>
  <si>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</si>
  <si>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</si>
  <si>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</si>
  <si>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</si>
  <si>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</si>
  <si>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</si>
  <si>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</si>
  <si>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</si>
  <si>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</si>
  <si>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</si>
  <si>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</si>
  <si>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</si>
  <si>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</si>
  <si>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</si>
  <si>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</si>
  <si>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</si>
  <si>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</si>
  <si>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</si>
  <si>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</si>
  <si>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</si>
  <si>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</si>
  <si>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</si>
  <si>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</si>
  <si>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</si>
  <si>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</si>
  <si>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</si>
  <si>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</si>
  <si>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</si>
  <si>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</si>
  <si>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</si>
  <si>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</si>
  <si>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</si>
  <si>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</si>
  <si>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</si>
  <si>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</si>
  <si>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</si>
  <si>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</si>
  <si>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</si>
  <si>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</si>
  <si>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</si>
  <si>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</si>
  <si>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</si>
  <si>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</si>
  <si>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</si>
  <si>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</si>
  <si>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</si>
  <si>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</si>
  <si>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</si>
  <si>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</si>
  <si>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</si>
  <si>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</si>
  <si>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</si>
  <si>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</si>
  <si>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</si>
  <si>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</si>
  <si>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</si>
  <si>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</si>
  <si>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</si>
  <si>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</si>
  <si>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</si>
  <si>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</si>
  <si>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</si>
  <si>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</si>
  <si>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</si>
  <si>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</si>
  <si>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</si>
  <si>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</si>
  <si>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</si>
  <si>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</si>
  <si>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</si>
  <si>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</si>
  <si>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</si>
  <si>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</si>
  <si>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</si>
  <si>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</si>
  <si>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</si>
  <si>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</si>
  <si>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</si>
  <si>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</si>
  <si>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</si>
  <si>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</si>
  <si>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</si>
  <si>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</si>
  <si>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</si>
  <si>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</si>
  <si>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</si>
  <si>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</si>
  <si>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</si>
  <si>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</si>
  <si>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</si>
  <si>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</si>
  <si>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</si>
  <si>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</si>
  <si>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</si>
  <si>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</si>
  <si>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</si>
  <si>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</si>
  <si>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</si>
  <si>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</si>
  <si>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</si>
  <si>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</si>
  <si>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</si>
  <si>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</si>
  <si>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</si>
  <si>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</si>
  <si>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</si>
  <si>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</si>
  <si>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</si>
  <si>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</si>
  <si>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</si>
  <si>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</si>
  <si>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</si>
  <si>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</si>
  <si>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</si>
  <si>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</si>
  <si>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</si>
  <si>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</si>
  <si>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</si>
  <si>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</si>
  <si>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</si>
  <si>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</si>
  <si>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</si>
  <si>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</si>
  <si>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</si>
  <si>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</si>
  <si>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</si>
  <si>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</si>
  <si>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</si>
  <si>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</si>
  <si>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</si>
  <si>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</si>
  <si>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</si>
  <si>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</si>
  <si>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</si>
  <si>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</si>
  <si>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</si>
  <si>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</si>
  <si>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</si>
  <si>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</si>
  <si>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</si>
  <si>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</si>
  <si>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</si>
  <si>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</si>
  <si>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</si>
  <si>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</si>
  <si>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</si>
  <si>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</si>
  <si>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</si>
  <si>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</si>
  <si>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</si>
  <si>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</si>
  <si>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</si>
  <si>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</si>
  <si>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</si>
  <si>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</si>
  <si>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</si>
  <si>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</si>
  <si>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</si>
  <si>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</si>
  <si>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</si>
  <si>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</si>
  <si>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</si>
  <si>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</si>
  <si>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</si>
  <si>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</si>
  <si>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</si>
  <si>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</si>
  <si>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</si>
  <si>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</si>
  <si>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</si>
  <si>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</si>
  <si>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</si>
  <si>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</si>
  <si>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</si>
  <si>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</si>
  <si>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</si>
  <si>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</si>
  <si>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</si>
  <si>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</si>
  <si>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</si>
  <si>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</si>
  <si>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</si>
  <si>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</si>
  <si>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</si>
  <si>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</si>
  <si>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</si>
  <si>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</si>
  <si>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</si>
  <si>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</si>
  <si>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</si>
  <si>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</si>
  <si>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</si>
  <si>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</si>
  <si>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</si>
  <si>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</si>
  <si>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</si>
  <si>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</si>
  <si>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</si>
  <si>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</si>
  <si>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</si>
  <si>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</si>
  <si>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</si>
  <si>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</si>
  <si>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</si>
  <si>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</si>
  <si>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</si>
  <si>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</si>
  <si>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</si>
  <si>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</si>
  <si>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</si>
  <si>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</si>
  <si>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</si>
  <si>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</si>
  <si>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</si>
  <si>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</si>
  <si>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</si>
  <si>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</si>
  <si>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</si>
  <si>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</si>
  <si>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</si>
  <si>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</si>
  <si>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</si>
  <si>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</si>
  <si>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</si>
  <si>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</si>
  <si>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</si>
  <si>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</si>
  <si>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</si>
  <si>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</si>
  <si>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</si>
  <si>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</si>
  <si>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</si>
  <si>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</si>
  <si>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</si>
  <si>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</si>
  <si>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</si>
  <si>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</si>
  <si>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</si>
  <si>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</si>
  <si>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</si>
  <si>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</si>
  <si>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</si>
  <si>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</si>
  <si>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</si>
  <si>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</si>
  <si>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</si>
  <si>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</si>
  <si>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</si>
  <si>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</si>
  <si>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</si>
  <si>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</si>
  <si>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</si>
  <si>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</si>
  <si>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</si>
  <si>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</si>
  <si>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</si>
  <si>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</si>
  <si>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</si>
  <si>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</si>
  <si>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</si>
  <si>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</si>
  <si>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</si>
  <si>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</si>
  <si>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</si>
  <si>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</si>
  <si>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</si>
  <si>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</si>
  <si>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</si>
  <si>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</si>
  <si>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</si>
  <si>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</si>
  <si>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</si>
  <si>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</si>
  <si>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</si>
  <si>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</si>
  <si>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</si>
  <si>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</si>
  <si>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</si>
  <si>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</si>
  <si>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</si>
  <si>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</si>
  <si>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</si>
  <si>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</si>
  <si>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</si>
  <si>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</si>
  <si>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</si>
  <si>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</si>
  <si>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</si>
  <si>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</si>
  <si>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</si>
  <si>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</si>
  <si>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</si>
  <si>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</si>
  <si>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</si>
  <si>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</si>
  <si>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</si>
  <si>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</si>
  <si>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</si>
  <si>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</si>
  <si>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</si>
  <si>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</si>
  <si>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</si>
  <si>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</si>
  <si>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</si>
  <si>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</si>
  <si>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</si>
  <si>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</si>
  <si>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</si>
  <si>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</si>
  <si>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</si>
  <si>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</si>
  <si>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</si>
  <si>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</si>
  <si>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</si>
  <si>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</si>
  <si>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</si>
  <si>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</si>
  <si>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</si>
  <si>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</si>
  <si>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</si>
  <si>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</si>
  <si>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</si>
  <si>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</si>
  <si>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</si>
  <si>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</si>
  <si>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</si>
  <si>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</si>
  <si>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</si>
  <si>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</si>
  <si>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</si>
  <si>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</si>
  <si>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</si>
  <si>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</si>
  <si>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</si>
  <si>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</si>
  <si>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</si>
  <si>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</si>
  <si>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</si>
  <si>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</si>
  <si>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</si>
  <si>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</si>
  <si>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</si>
  <si>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</si>
  <si>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</si>
  <si>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</si>
  <si>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</si>
  <si>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</si>
  <si>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</si>
  <si>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</si>
  <si>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</si>
  <si>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</si>
  <si>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</si>
  <si>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</si>
  <si>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</si>
  <si>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</si>
  <si>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</si>
  <si>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</si>
  <si>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</si>
  <si>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</si>
  <si>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</si>
  <si>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</si>
  <si>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</si>
  <si>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</si>
  <si>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</si>
  <si>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</si>
  <si>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</si>
  <si>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</si>
  <si>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</si>
  <si>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</si>
  <si>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</si>
  <si>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</si>
  <si>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</si>
  <si>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</si>
  <si>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</si>
  <si>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</si>
  <si>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</si>
  <si>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</si>
  <si>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</si>
  <si>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</si>
  <si>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</si>
  <si>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</si>
  <si>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</si>
  <si>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</si>
  <si>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</si>
  <si>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</si>
  <si>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</si>
  <si>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</si>
  <si>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</si>
  <si>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</si>
  <si>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</si>
  <si>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</si>
  <si>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</si>
  <si>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</si>
  <si>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</si>
  <si>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</si>
  <si>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</si>
  <si>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</si>
  <si>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</si>
  <si>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</si>
  <si>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</si>
  <si>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</si>
  <si>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</si>
  <si>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</si>
  <si>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</si>
  <si>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</si>
  <si>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</si>
  <si>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</si>
  <si>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</si>
  <si>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</si>
  <si>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</si>
  <si>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</si>
  <si>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</si>
  <si>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</si>
  <si>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</si>
  <si>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</si>
  <si>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</si>
  <si>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</si>
  <si>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</si>
  <si>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</si>
  <si>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</si>
  <si>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</si>
  <si>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</si>
  <si>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</si>
  <si>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</si>
  <si>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</si>
  <si>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</si>
  <si>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</si>
  <si>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</si>
  <si>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</si>
  <si>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</si>
  <si>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</si>
  <si>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</si>
  <si>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</si>
  <si>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</si>
  <si>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</si>
  <si>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</si>
  <si>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</si>
  <si>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</si>
  <si>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</si>
  <si>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</si>
  <si>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</si>
  <si>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</si>
  <si>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</si>
  <si>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</si>
  <si>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</si>
  <si>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</si>
  <si>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</si>
  <si>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</si>
  <si>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</si>
  <si>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</si>
  <si>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</si>
  <si>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</si>
  <si>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</si>
  <si>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</si>
  <si>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</si>
  <si>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</si>
  <si>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</si>
  <si>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</si>
  <si>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</si>
  <si>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</si>
  <si>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</si>
  <si>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</si>
  <si>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</si>
  <si>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</si>
  <si>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</si>
  <si>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</si>
  <si>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</si>
  <si>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</si>
  <si>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</si>
  <si>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</si>
  <si>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</si>
  <si>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</si>
  <si>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</si>
  <si>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</si>
  <si>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</si>
  <si>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</si>
  <si>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</si>
  <si>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</si>
  <si>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</si>
  <si>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</si>
  <si>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</si>
  <si>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</si>
  <si>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</si>
  <si>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</si>
  <si>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</si>
  <si>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</si>
  <si>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</si>
  <si>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</si>
  <si>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</si>
  <si>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</si>
  <si>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</si>
  <si>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</si>
  <si>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</si>
  <si>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</si>
  <si>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</si>
  <si>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</si>
  <si>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</si>
  <si>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</si>
  <si>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</si>
  <si>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</si>
  <si>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</si>
  <si>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</si>
  <si>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</si>
  <si>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</si>
  <si>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</si>
  <si>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</si>
  <si>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</si>
  <si>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</si>
  <si>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</si>
  <si>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</si>
  <si>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</si>
  <si>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</si>
  <si>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</si>
  <si>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</si>
  <si>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</si>
  <si>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</si>
  <si>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</si>
  <si>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</si>
  <si>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</si>
  <si>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</si>
  <si>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</si>
  <si>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</si>
  <si>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</si>
  <si>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</si>
  <si>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</si>
  <si>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</si>
  <si>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</si>
  <si>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</si>
  <si>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</si>
  <si>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</si>
  <si>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</si>
  <si>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</si>
  <si>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</si>
  <si>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</si>
  <si>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</si>
  <si>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</si>
  <si>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</si>
  <si>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</si>
  <si>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</si>
  <si>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</si>
  <si>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</si>
  <si>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</si>
  <si>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</si>
  <si>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</si>
  <si>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</si>
  <si>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</si>
  <si>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</si>
  <si>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</si>
  <si>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</si>
  <si>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</si>
  <si>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</si>
  <si>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</si>
  <si>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</si>
  <si>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</si>
  <si>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</si>
  <si>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</si>
  <si>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</si>
  <si>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</si>
  <si>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</si>
  <si>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</si>
  <si>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</si>
  <si>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</si>
  <si>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</si>
  <si>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</si>
  <si>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</si>
  <si>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</si>
  <si>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</si>
  <si>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</si>
  <si>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</si>
  <si>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</si>
  <si>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</si>
  <si>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</si>
  <si>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</si>
  <si>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</si>
  <si>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</si>
  <si>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</si>
  <si>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</si>
  <si>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</si>
  <si>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</si>
  <si>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</si>
  <si>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</si>
  <si>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</si>
  <si>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</si>
  <si>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</si>
  <si>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</si>
  <si>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</si>
  <si>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</si>
  <si>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</si>
  <si>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</si>
  <si>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</si>
  <si>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</si>
  <si>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</si>
  <si>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</si>
  <si>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</si>
  <si>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</si>
  <si>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</si>
  <si>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</si>
  <si>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</si>
  <si>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</si>
  <si>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</si>
  <si>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</si>
  <si>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</si>
  <si>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</si>
  <si>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</si>
  <si>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</si>
  <si>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</si>
  <si>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</si>
  <si>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</si>
  <si>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</si>
  <si>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</si>
  <si>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</si>
  <si>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</si>
  <si>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</si>
  <si>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</si>
  <si>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</si>
  <si>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</si>
  <si>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</si>
  <si>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</si>
  <si>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</si>
  <si>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</si>
  <si>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</si>
  <si>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</si>
  <si>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</si>
  <si>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</si>
  <si>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</si>
  <si>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</si>
  <si>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</si>
  <si>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</si>
  <si>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</si>
  <si>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</si>
  <si>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</si>
  <si>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</si>
  <si>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</si>
  <si>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</si>
  <si>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</si>
  <si>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</si>
  <si>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</si>
  <si>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</si>
  <si>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</si>
  <si>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</si>
  <si>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</si>
  <si>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</si>
  <si>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</si>
  <si>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</si>
  <si>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</si>
  <si>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</si>
  <si>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</si>
  <si>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</si>
  <si>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</si>
  <si>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</si>
  <si>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</si>
  <si>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</si>
  <si>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</si>
  <si>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</si>
  <si>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</si>
  <si>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</si>
  <si>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</si>
  <si>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</si>
  <si>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</si>
  <si>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</si>
  <si>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</si>
  <si>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</si>
  <si>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</si>
  <si>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</si>
  <si>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</si>
  <si>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</si>
  <si>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</si>
  <si>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</si>
  <si>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</si>
  <si>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</si>
  <si>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</si>
  <si>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</si>
  <si>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</si>
  <si>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</si>
  <si>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</si>
  <si>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</si>
  <si>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</si>
  <si>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</si>
  <si>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</si>
  <si>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</si>
  <si>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</si>
  <si>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</si>
  <si>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</si>
  <si>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</si>
  <si>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</si>
  <si>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</si>
  <si>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</si>
  <si>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</si>
  <si>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</si>
  <si>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</si>
  <si>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</si>
  <si>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</si>
  <si>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</si>
  <si>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</si>
  <si>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</si>
  <si>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</si>
  <si>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</si>
  <si>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</si>
  <si>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</si>
  <si>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</si>
  <si>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</si>
  <si>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</si>
  <si>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</si>
  <si>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</si>
  <si>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</si>
  <si>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</si>
  <si>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</si>
  <si>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</si>
  <si>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</si>
  <si>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</si>
  <si>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</si>
  <si>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</si>
  <si>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</si>
  <si>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</si>
  <si>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</si>
  <si>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</si>
  <si>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</si>
  <si>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</si>
  <si>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</si>
  <si>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</si>
  <si>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</si>
  <si>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</si>
  <si>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</si>
  <si>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</si>
  <si>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</si>
  <si>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</si>
  <si>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</si>
  <si>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</si>
  <si>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</si>
  <si>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</si>
  <si>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</si>
  <si>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</si>
  <si>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</si>
  <si>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</si>
  <si>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</si>
  <si>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</si>
  <si>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</si>
  <si>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</si>
  <si>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</si>
  <si>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</si>
  <si>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</si>
  <si>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</si>
  <si>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</si>
  <si>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</si>
  <si>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</si>
  <si>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</si>
  <si>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</si>
  <si>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</si>
  <si>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</si>
  <si>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</si>
  <si>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</si>
  <si>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</si>
  <si>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</si>
  <si>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</si>
  <si>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</si>
  <si>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</si>
  <si>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</si>
  <si>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</si>
  <si>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</si>
  <si>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</si>
  <si>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</si>
  <si>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</si>
  <si>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</si>
  <si>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</si>
  <si>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</si>
  <si>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</si>
  <si>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</si>
  <si>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</si>
  <si>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</si>
  <si>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</si>
  <si>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</si>
  <si>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</si>
  <si>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</si>
  <si>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</si>
  <si>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</si>
  <si>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</si>
  <si>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</si>
  <si>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</si>
  <si>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</si>
  <si>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</si>
  <si>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</si>
  <si>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</si>
  <si>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</si>
  <si>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</si>
  <si>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</si>
  <si>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</si>
  <si>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</si>
  <si>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</si>
  <si>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</si>
  <si>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</si>
  <si>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</si>
  <si>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</si>
  <si>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</si>
  <si>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</si>
  <si>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</si>
  <si>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</si>
  <si>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</si>
  <si>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</si>
  <si>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</si>
  <si>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</si>
  <si>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</si>
  <si>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</si>
  <si>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</si>
  <si>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</si>
  <si>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</si>
  <si>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</si>
  <si>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</si>
  <si>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</si>
  <si>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</si>
  <si>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</si>
  <si>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</si>
  <si>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</si>
  <si>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</si>
  <si>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</si>
  <si>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</si>
  <si>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</si>
  <si>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</si>
  <si>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</si>
  <si>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</si>
  <si>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</si>
  <si>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</si>
  <si>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</si>
  <si>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</si>
  <si>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</si>
  <si>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</si>
  <si>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</si>
  <si>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</si>
  <si>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</si>
  <si>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</si>
  <si>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</si>
  <si>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</si>
  <si>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</si>
  <si>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</si>
  <si>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</si>
  <si>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</si>
  <si>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</si>
  <si>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</si>
  <si>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</si>
  <si>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</si>
  <si>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</si>
  <si>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</si>
  <si>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</si>
  <si>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</si>
  <si>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</si>
  <si>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</si>
  <si>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</si>
  <si>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</si>
  <si>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</si>
  <si>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</si>
  <si>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</si>
  <si>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</si>
  <si>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</si>
  <si>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</si>
  <si>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</si>
  <si>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</si>
  <si>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</si>
  <si>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</si>
  <si>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</si>
  <si>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</si>
  <si>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</si>
  <si>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</si>
  <si>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</si>
  <si>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</si>
  <si>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</si>
  <si>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</si>
  <si>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</si>
  <si>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</si>
  <si>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</si>
  <si>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</si>
  <si>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</si>
  <si>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</si>
  <si>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</si>
  <si>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</si>
  <si>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</si>
  <si>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</si>
  <si>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</si>
  <si>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</si>
  <si>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</si>
  <si>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</si>
  <si>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</si>
  <si>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</si>
  <si>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</si>
  <si>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</si>
  <si>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</si>
  <si>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</si>
  <si>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</si>
  <si>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</si>
  <si>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</si>
  <si>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</si>
  <si>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</si>
  <si>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</si>
  <si>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</si>
  <si>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</si>
  <si>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</si>
  <si>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</si>
  <si>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</si>
  <si>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</si>
  <si>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</si>
  <si>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</si>
  <si>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</si>
  <si>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</si>
  <si>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</si>
  <si>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</si>
  <si>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</si>
  <si>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</si>
  <si>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</si>
  <si>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</si>
  <si>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</si>
  <si>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</si>
  <si>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</si>
  <si>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</si>
  <si>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</si>
  <si>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</si>
  <si>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</si>
  <si>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</si>
  <si>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</si>
  <si>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</si>
  <si>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</si>
  <si>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</si>
  <si>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</si>
  <si>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</si>
  <si>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</si>
  <si>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</si>
  <si>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</si>
  <si>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</si>
  <si>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</si>
  <si>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</si>
  <si>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</si>
  <si>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</si>
  <si>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</si>
  <si>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</si>
  <si>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</si>
  <si>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</si>
  <si>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</si>
  <si>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</si>
  <si>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</si>
  <si>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</si>
  <si>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</si>
  <si>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</si>
  <si>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</si>
  <si>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</si>
  <si>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</si>
  <si>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</si>
  <si>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</si>
  <si>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</si>
  <si>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</si>
  <si>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</si>
  <si>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</si>
  <si>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</si>
  <si>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</si>
  <si>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</si>
  <si>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</si>
  <si>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</si>
  <si>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</si>
  <si>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</si>
  <si>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</si>
  <si>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</si>
  <si>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</si>
  <si>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</si>
  <si>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</si>
  <si>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</si>
  <si>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</si>
  <si>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</si>
  <si>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</si>
  <si>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</si>
  <si>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</si>
  <si>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</si>
  <si>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</si>
  <si>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</si>
  <si>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</si>
  <si>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</si>
  <si>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</si>
  <si>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</si>
  <si>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</si>
  <si>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</si>
  <si>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</si>
  <si>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</si>
  <si>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</si>
  <si>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</si>
  <si>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</si>
  <si>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</si>
  <si>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</si>
  <si>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</si>
  <si>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</si>
  <si>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</si>
  <si>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</si>
  <si>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</si>
  <si>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</si>
  <si>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</si>
  <si>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</si>
  <si>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</si>
  <si>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</si>
  <si>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</si>
  <si>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</si>
  <si>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</si>
  <si>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</si>
  <si>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</si>
  <si>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</si>
  <si>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</si>
  <si>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</si>
  <si>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</si>
  <si>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</si>
  <si>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</si>
  <si>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</si>
  <si>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</si>
  <si>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</si>
  <si>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</si>
  <si>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</si>
  <si>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</si>
  <si>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</si>
  <si>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</si>
  <si>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</si>
  <si>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</si>
  <si>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</si>
  <si>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</si>
  <si>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</si>
  <si>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</si>
  <si>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</si>
  <si>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</si>
  <si>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</si>
  <si>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</si>
  <si>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</si>
  <si>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</si>
  <si>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</si>
  <si>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</si>
  <si>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</si>
  <si>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</si>
  <si>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</si>
  <si>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</si>
  <si>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</si>
  <si>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</si>
  <si>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</si>
  <si>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</si>
  <si>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</si>
  <si>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</si>
  <si>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</si>
  <si>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</si>
  <si>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</si>
  <si>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</si>
  <si>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</si>
  <si>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</si>
  <si>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</si>
  <si>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</si>
  <si>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</si>
  <si>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</si>
  <si>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</si>
  <si>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</si>
  <si>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</si>
  <si>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</si>
  <si>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</si>
  <si>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</si>
  <si>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</si>
  <si>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</si>
  <si>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</si>
  <si>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</si>
  <si>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</si>
  <si>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</si>
  <si>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</si>
  <si>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</si>
  <si>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</si>
  <si>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</si>
  <si>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</si>
  <si>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</si>
  <si>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</si>
  <si>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</si>
  <si>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</si>
  <si>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</si>
  <si>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</si>
  <si>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</si>
  <si>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</si>
  <si>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</si>
  <si>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</si>
  <si>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</si>
  <si>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</si>
  <si>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</si>
  <si>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</si>
  <si>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</si>
  <si>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</si>
  <si>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</si>
  <si>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</si>
  <si>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</si>
  <si>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</si>
  <si>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</si>
  <si>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</si>
  <si>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</si>
  <si>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</si>
  <si>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</si>
  <si>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</si>
  <si>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</si>
  <si>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</si>
  <si>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</si>
  <si>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</si>
  <si>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</si>
  <si>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</si>
  <si>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</si>
  <si>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</si>
  <si>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</si>
  <si>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</si>
  <si>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</si>
  <si>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</si>
  <si>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</si>
  <si>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</si>
  <si>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</si>
  <si>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</si>
  <si>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</si>
  <si>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</si>
  <si>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</si>
  <si>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</si>
  <si>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</si>
  <si>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</si>
  <si>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</si>
  <si>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</si>
  <si>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</si>
  <si>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</si>
  <si>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</si>
  <si>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</si>
  <si>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</si>
  <si>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</si>
  <si>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</si>
  <si>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</si>
  <si>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</si>
  <si>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</si>
  <si>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</si>
  <si>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</si>
  <si>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</si>
  <si>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</si>
  <si>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</si>
  <si>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</si>
  <si>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</si>
  <si>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</si>
  <si>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</si>
  <si>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</si>
  <si>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</si>
  <si>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</si>
  <si>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</si>
  <si>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</si>
  <si>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</si>
  <si>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</si>
  <si>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</si>
  <si>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</si>
  <si>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</si>
  <si>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</si>
  <si>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</si>
  <si>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</si>
  <si>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</si>
  <si>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</si>
  <si>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</si>
  <si>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</si>
  <si>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</si>
  <si>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</si>
  <si>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</si>
  <si>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</si>
  <si>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</si>
  <si>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</si>
  <si>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</si>
  <si>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</si>
  <si>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</si>
  <si>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</si>
  <si>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</si>
  <si>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</si>
  <si>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</si>
  <si>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</si>
  <si>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</si>
  <si>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</si>
  <si>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</si>
  <si>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</si>
  <si>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</si>
  <si>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</si>
  <si>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</si>
  <si>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</si>
  <si>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</si>
  <si>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</si>
  <si>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</si>
  <si>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</si>
  <si>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</si>
  <si>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</si>
  <si>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</si>
  <si>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</si>
  <si>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</si>
  <si>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</si>
  <si>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</si>
  <si>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</si>
  <si>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</si>
  <si>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</si>
  <si>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</si>
  <si>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</si>
  <si>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</si>
  <si>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</si>
  <si>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</si>
  <si>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</si>
  <si>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</si>
  <si>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</si>
  <si>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</si>
  <si>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</si>
  <si>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</si>
  <si>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</si>
  <si>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</si>
  <si>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</si>
  <si>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</si>
  <si>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</si>
  <si>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</si>
  <si>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</si>
  <si>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</si>
  <si>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</si>
  <si>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</si>
  <si>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</si>
  <si>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</si>
  <si>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</si>
  <si>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</si>
  <si>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</si>
  <si>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</si>
  <si>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</si>
  <si>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</si>
  <si>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</si>
  <si>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</si>
  <si>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</si>
  <si>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</si>
  <si>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</si>
  <si>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</si>
  <si>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</si>
  <si>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</si>
  <si>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</si>
  <si>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</si>
  <si>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</si>
  <si>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</si>
  <si>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</si>
  <si>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</si>
  <si>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</si>
  <si>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</si>
  <si>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</si>
  <si>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</si>
  <si>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</si>
  <si>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</si>
  <si>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</si>
  <si>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</si>
  <si>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</si>
  <si>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</si>
  <si>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</si>
  <si>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</si>
  <si>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</si>
  <si>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</si>
  <si>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</si>
  <si>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</si>
  <si>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</si>
  <si>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</si>
  <si>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</si>
  <si>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</si>
  <si>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</si>
  <si>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</si>
  <si>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</si>
  <si>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</si>
  <si>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</si>
  <si>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</si>
  <si>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</si>
  <si>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</si>
  <si>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</si>
  <si>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</si>
  <si>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</si>
  <si>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</si>
  <si>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</si>
  <si>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</si>
  <si>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</si>
  <si>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</si>
  <si>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</si>
  <si>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</si>
  <si>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</si>
  <si>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</si>
  <si>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</si>
  <si>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</si>
  <si>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</si>
  <si>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</si>
  <si>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</si>
  <si>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</si>
  <si>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</si>
  <si>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</si>
  <si>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</si>
  <si>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</si>
  <si>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</si>
  <si>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</si>
  <si>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</si>
  <si>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</si>
  <si>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</si>
  <si>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</si>
  <si>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</si>
  <si>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</si>
  <si>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</si>
  <si>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</si>
  <si>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</si>
  <si>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</si>
  <si>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</si>
  <si>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</si>
  <si>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</si>
  <si>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</si>
  <si>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</si>
  <si>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</si>
  <si>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</si>
  <si>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</si>
  <si>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</si>
  <si>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</si>
  <si>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</si>
  <si>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</si>
  <si>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</si>
  <si>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</si>
  <si>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</si>
  <si>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</si>
  <si>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</si>
  <si>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</si>
  <si>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</si>
  <si>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</si>
  <si>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</si>
  <si>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</si>
  <si>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</si>
  <si>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</si>
  <si>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</si>
  <si>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</si>
  <si>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</si>
  <si>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</si>
  <si>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</si>
  <si>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</si>
  <si>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</si>
  <si>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</si>
  <si>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</si>
  <si>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</si>
  <si>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</si>
  <si>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</si>
  <si>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</si>
  <si>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</si>
  <si>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</si>
  <si>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</si>
  <si>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</si>
  <si>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</si>
  <si>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</si>
  <si>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</si>
  <si>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</si>
  <si>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</si>
  <si>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</si>
  <si>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</si>
  <si>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</si>
  <si>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</si>
  <si>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</si>
  <si>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</si>
  <si>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</si>
  <si>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</si>
  <si>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</si>
  <si>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</si>
  <si>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</si>
  <si>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</si>
  <si>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</si>
  <si>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</si>
  <si>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</si>
  <si>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</si>
  <si>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</si>
  <si>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</si>
  <si>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</si>
  <si>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</si>
  <si>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</si>
  <si>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</si>
  <si>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</si>
  <si>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</si>
  <si>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</si>
  <si>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</si>
  <si>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</si>
  <si>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</si>
  <si>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</si>
  <si>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</si>
  <si>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</si>
  <si>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</si>
  <si>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</si>
  <si>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</si>
  <si>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</si>
  <si>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</si>
  <si>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</si>
  <si>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</si>
  <si>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</si>
  <si>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</si>
  <si>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</si>
  <si>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</si>
  <si>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</si>
  <si>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</si>
  <si>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</si>
  <si>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</si>
  <si>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</si>
  <si>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</si>
  <si>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</si>
  <si>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</si>
  <si>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</si>
  <si>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</si>
  <si>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</si>
  <si>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</si>
  <si>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</si>
  <si>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</si>
  <si>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</si>
  <si>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</si>
  <si>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</si>
  <si>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</si>
  <si>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</si>
  <si>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</si>
  <si>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</si>
  <si>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</si>
  <si>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</si>
  <si>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</si>
  <si>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</si>
  <si>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</si>
  <si>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</si>
  <si>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</si>
  <si>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</si>
  <si>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</si>
  <si>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</si>
  <si>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</si>
  <si>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</si>
  <si>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</si>
  <si>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</si>
  <si>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</si>
  <si>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</si>
  <si>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</si>
  <si>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</si>
  <si>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</si>
  <si>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</si>
  <si>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</si>
  <si>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</si>
  <si>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</si>
  <si>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</si>
  <si>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</si>
  <si>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</si>
  <si>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</si>
  <si>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</si>
  <si>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</si>
  <si>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</si>
  <si>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</si>
  <si>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</si>
  <si>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</si>
  <si>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</si>
  <si>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</si>
  <si>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</si>
  <si>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</si>
  <si>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</si>
  <si>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</si>
  <si>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</si>
  <si>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</si>
  <si>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</si>
  <si>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</si>
  <si>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</si>
  <si>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</si>
  <si>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</si>
  <si>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</si>
  <si>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</si>
  <si>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</si>
  <si>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</si>
  <si>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</si>
  <si>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</si>
  <si>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</si>
  <si>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</si>
  <si>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</si>
  <si>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</si>
  <si>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</si>
  <si>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</si>
  <si>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</si>
  <si>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</si>
  <si>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</si>
  <si>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</si>
  <si>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</si>
  <si>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</si>
  <si>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</si>
  <si>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</si>
  <si>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</si>
  <si>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</si>
  <si>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</si>
  <si>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</si>
  <si>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</si>
  <si>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</si>
  <si>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</si>
  <si>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</si>
  <si>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</si>
  <si>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</si>
  <si>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</si>
  <si>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</si>
  <si>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</si>
  <si>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</si>
  <si>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</si>
  <si>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</si>
  <si>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</si>
  <si>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</si>
  <si>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</si>
  <si>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</si>
  <si>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</si>
  <si>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</si>
  <si>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</si>
  <si>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</si>
  <si>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</si>
  <si>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</si>
  <si>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</si>
  <si>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</si>
  <si>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</si>
  <si>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</si>
  <si>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</si>
  <si>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</si>
  <si>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</si>
  <si>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</si>
  <si>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</si>
  <si>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</si>
  <si>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</si>
  <si>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</si>
  <si>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</si>
  <si>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</si>
  <si>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</si>
  <si>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</si>
  <si>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</si>
  <si>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</si>
  <si>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</si>
  <si>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</si>
  <si>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</si>
  <si>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</si>
  <si>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</si>
  <si>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</si>
  <si>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</si>
  <si>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</si>
  <si>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</si>
  <si>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</si>
  <si>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</si>
  <si>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</si>
  <si>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</si>
  <si>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</si>
  <si>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</si>
  <si>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</si>
  <si>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</si>
  <si>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</si>
  <si>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</si>
  <si>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</si>
  <si>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</si>
  <si>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</si>
  <si>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</si>
  <si>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</si>
  <si>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</si>
  <si>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</si>
  <si>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</si>
  <si>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</si>
  <si>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</si>
  <si>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</si>
  <si>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</si>
  <si>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</si>
  <si>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</si>
  <si>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</si>
  <si>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</si>
  <si>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</si>
  <si>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</si>
  <si>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</si>
  <si>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</si>
  <si>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</si>
  <si>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</si>
  <si>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</si>
  <si>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</si>
  <si>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</si>
  <si>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</si>
  <si>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</si>
  <si>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</si>
  <si>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</si>
  <si>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</si>
  <si>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</si>
  <si>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</si>
  <si>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</si>
  <si>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</si>
  <si>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</si>
  <si>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</si>
  <si>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</si>
  <si>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</si>
  <si>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</si>
  <si>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</si>
  <si>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</si>
  <si>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</si>
  <si>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</si>
  <si>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</si>
  <si>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</si>
  <si>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</si>
  <si>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</si>
  <si>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</si>
  <si>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</si>
  <si>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</si>
  <si>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</si>
  <si>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</si>
  <si>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</si>
  <si>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</si>
  <si>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</si>
  <si>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</si>
  <si>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</si>
  <si>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</si>
  <si>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</si>
  <si>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</si>
  <si>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</si>
  <si>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</si>
  <si>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</si>
  <si>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</si>
  <si>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</si>
  <si>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</si>
  <si>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</si>
  <si>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</si>
  <si>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</si>
  <si>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</si>
  <si>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</si>
  <si>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</si>
  <si>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</si>
  <si>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</si>
  <si>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</si>
  <si>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</si>
  <si>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</si>
  <si>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</si>
  <si>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</si>
  <si>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</si>
  <si>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</si>
  <si>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</si>
  <si>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</si>
  <si>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</si>
  <si>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</si>
  <si>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</si>
  <si>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</si>
  <si>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</si>
  <si>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</si>
  <si>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</si>
  <si>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</si>
  <si>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</si>
  <si>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</si>
  <si>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</si>
  <si>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</si>
  <si>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</si>
  <si>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</si>
  <si>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</si>
  <si>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</si>
  <si>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</si>
  <si>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</si>
  <si>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</si>
  <si>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</si>
  <si>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</si>
  <si>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</si>
  <si>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</si>
  <si>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</si>
  <si>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</si>
  <si>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</si>
  <si>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</si>
  <si>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</si>
  <si>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</si>
  <si>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</si>
  <si>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</si>
  <si>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</si>
  <si>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</si>
  <si>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</si>
  <si>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</si>
  <si>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</si>
  <si>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</si>
  <si>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</si>
  <si>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</si>
  <si>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</si>
  <si>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</si>
  <si>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</si>
  <si>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</si>
  <si>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</si>
  <si>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</si>
  <si>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</si>
  <si>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</si>
  <si>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</si>
  <si>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</si>
  <si>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</si>
  <si>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</si>
  <si>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</si>
  <si>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</si>
  <si>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</si>
  <si>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</si>
  <si>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</si>
  <si>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</si>
  <si>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</si>
  <si>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</si>
  <si>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</si>
  <si>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</si>
  <si>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</si>
  <si>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</si>
  <si>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</si>
  <si>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</si>
  <si>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</si>
  <si>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</si>
  <si>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</si>
  <si>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</si>
  <si>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</si>
  <si>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</si>
  <si>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</si>
  <si>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</si>
  <si>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</si>
  <si>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</si>
  <si>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</si>
  <si>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</si>
  <si>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</si>
  <si>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</si>
  <si>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</si>
  <si>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</si>
  <si>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</si>
  <si>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</si>
  <si>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</si>
  <si>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</si>
  <si>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</si>
  <si>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</si>
  <si>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</si>
  <si>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</si>
  <si>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</si>
  <si>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</si>
  <si>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</si>
  <si>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</si>
  <si>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</si>
  <si>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</si>
  <si>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</si>
  <si>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</si>
  <si>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</si>
  <si>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</si>
  <si>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</si>
  <si>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</si>
  <si>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</si>
  <si>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</si>
  <si>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</si>
  <si>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</si>
  <si>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</si>
  <si>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</si>
  <si>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</si>
  <si>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</si>
  <si>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</si>
  <si>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</si>
  <si>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</si>
  <si>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</si>
  <si>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</si>
  <si>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</si>
  <si>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</si>
  <si>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</si>
  <si>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</si>
  <si>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</si>
  <si>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</si>
  <si>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</si>
  <si>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</si>
  <si>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</si>
  <si>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</si>
  <si>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</si>
  <si>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</si>
  <si>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</si>
  <si>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</si>
  <si>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</si>
  <si>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</si>
  <si>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</si>
  <si>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</si>
  <si>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</si>
  <si>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</si>
  <si>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</si>
  <si>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</si>
  <si>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</si>
  <si>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</si>
  <si>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</si>
  <si>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</si>
  <si>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</si>
  <si>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</si>
  <si>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</si>
  <si>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</si>
  <si>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</si>
  <si>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</si>
  <si>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</si>
  <si>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</si>
  <si>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</si>
  <si>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</si>
  <si>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</si>
  <si>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</si>
  <si>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</si>
  <si>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</si>
  <si>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</si>
  <si>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</si>
  <si>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</si>
  <si>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</si>
  <si>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</si>
  <si>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</si>
  <si>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</si>
  <si>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</si>
  <si>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</si>
  <si>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</si>
  <si>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</si>
  <si>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</si>
  <si>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</si>
  <si>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</si>
  <si>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</si>
  <si>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</si>
  <si>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</si>
  <si>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</si>
  <si>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</si>
  <si>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</si>
  <si>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</si>
  <si>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</si>
  <si>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</si>
  <si>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</si>
  <si>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</si>
  <si>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</si>
  <si>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</si>
  <si>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</si>
  <si>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</si>
  <si>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</si>
  <si>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</si>
  <si>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</si>
  <si>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</si>
  <si>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</si>
  <si>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</si>
  <si>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</si>
  <si>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</si>
  <si>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</si>
  <si>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</si>
  <si>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</si>
  <si>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</si>
  <si>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</si>
  <si>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Beispielwerke AG</t>
  </si>
  <si>
    <t>Testweg 4</t>
  </si>
  <si>
    <t>x</t>
  </si>
  <si>
    <t>NS</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</si>
  <si>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</si>
  <si>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</si>
  <si>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</si>
  <si>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</si>
  <si>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</si>
  <si>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</si>
  <si>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</si>
  <si>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</si>
  <si>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</si>
  <si>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</si>
  <si>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</si>
  <si>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</si>
  <si>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</si>
  <si>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</si>
  <si>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</si>
  <si>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</si>
  <si>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</si>
  <si>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</si>
  <si>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</si>
  <si>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</si>
  <si>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</si>
  <si>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Betriebsoptimierung von Kälteanlagen durch Senkung der Verflüssigungstemperatur durch die Reinigung von Verflüssiger und Rückkühler. Die Massnahme kann mit den anderen Massnahmen KA-03 kombiniert werden.</t>
  </si>
  <si>
    <t>Optimisation du fonctionnement d’installations frigorifiques par l’abaissement de la température de condensation grâce au nettoyage des condenseurs et aérorefroidisseurs. La mesure peut être combinée avec les autres mesures KA-03.</t>
  </si>
  <si>
    <t>Ottimizzazioni dell’esercizio di impianti di refrigerazione mediante riduzione della temperatura di condensazione tramite pulizia di condensatori e raffreddatori. Questa misura può essere abbinata alle altre misure KA-03.</t>
  </si>
  <si>
    <t>Wichtig</t>
  </si>
  <si>
    <t xml:space="preserve">Important </t>
  </si>
  <si>
    <t>Importante</t>
  </si>
  <si>
    <t>Die Massnahme muss durch eine qualifizierte Fachperson / Unternehmen durchgeführt werden.</t>
  </si>
  <si>
    <t>La mesure doit être effectuée par une personne/entreprise qualifiée.</t>
  </si>
  <si>
    <t>La misura deve essere attuata da una persona specializzata o un’azienda qualificata.</t>
  </si>
  <si>
    <t>COND</t>
  </si>
  <si>
    <t>EVAP</t>
  </si>
  <si>
    <t>Cleaning</t>
  </si>
  <si>
    <t>KA-04a</t>
  </si>
  <si>
    <t>Reinigung von Luftkühler</t>
  </si>
  <si>
    <t xml:space="preserve">Nettoyage du refroidisseur d’air </t>
  </si>
  <si>
    <t>Pulizia di raffreddatori ad aria</t>
  </si>
  <si>
    <t>Diese Massnahme ist für Prozesskälte nicht geeignet.</t>
  </si>
  <si>
    <t>La mesure ne convient pas pour le refroidissement du processus.</t>
  </si>
  <si>
    <t xml:space="preserve">la presente misura non è adatta al freddo di processo. </t>
  </si>
  <si>
    <t>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Anlagen für Prozesskälte sind ausgeschlossen.</t>
  </si>
  <si>
    <t>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Les installations destinées au refroidissement du processus sont exclues.</t>
  </si>
  <si>
    <t>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Sono esclusi gli impianti per freddo di processo.</t>
  </si>
  <si>
    <t>Gesperrtes Feld</t>
  </si>
  <si>
    <t>Hier können Sie den unternehmensinternen Dateinamen einfügen</t>
  </si>
  <si>
    <t>résume les mesures annoncées par le présent protocole. Tous les champs de saisie doivent être remplis pour chaque mesure.</t>
  </si>
  <si>
    <t>définit le champ d'application et les exigences relatifs à la mise en œuvre de la mesure et les justificatifs. Aucune saisie n'est requise.</t>
  </si>
  <si>
    <t>Ajout d'un tableau récapitulatif des modifications entre les versions antécédentes</t>
  </si>
  <si>
    <t>Versante meridionale delle Alpi</t>
  </si>
  <si>
    <t>Suisse romande et Valais</t>
  </si>
  <si>
    <t>Champ d'application</t>
  </si>
  <si>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</si>
  <si>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</si>
  <si>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</si>
  <si>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r>
      <t>Svizzera romanda e Vallese, fino a 50 m</t>
    </r>
    <r>
      <rPr>
        <vertAlign val="superscript"/>
        <sz val="9"/>
        <color theme="1"/>
        <rFont val="Arial"/>
        <family val="2"/>
      </rPr>
      <t>²</t>
    </r>
  </si>
  <si>
    <r>
      <t>Svizzera romanda e Vallese, 50–100 m</t>
    </r>
    <r>
      <rPr>
        <vertAlign val="superscript"/>
        <sz val="9"/>
        <color theme="1"/>
        <rFont val="Arial"/>
        <family val="2"/>
      </rPr>
      <t>2</t>
    </r>
  </si>
  <si>
    <r>
      <t>Svizzera romanda e Vallese, 100–150 m</t>
    </r>
    <r>
      <rPr>
        <vertAlign val="superscript"/>
        <sz val="9"/>
        <color theme="1"/>
        <rFont val="Arial"/>
        <family val="2"/>
      </rPr>
      <t>2</t>
    </r>
  </si>
  <si>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</si>
  <si>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</si>
  <si>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</si>
  <si>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</si>
  <si>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</si>
  <si>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</si>
  <si>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</si>
  <si>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</si>
  <si>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t>Hôpitaux</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</si>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</sst>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i/>
      <sz val="11"/>
      <color theme="1"/>
      <name val="Arial"/>
      <family val="2"/>
    </font>
    <font>
      <sz val="10"/>
      <color theme="0" tint="-0.14999847407452621"/>
      <name val="Arial"/>
      <family val="2"/>
    </font>
    <font>
      <sz val="9"/>
      <color theme="0" tint="-0.14999847407452621"/>
      <name val="Arial"/>
      <family val="2"/>
    </font>
    <font>
      <b/>
      <sz val="10"/>
      <color rgb="FFCC3399"/>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5" fillId="0" borderId="0" applyNumberFormat="0" applyFill="0" applyBorder="0" applyAlignment="0" applyProtection="0"/>
    <xf numFmtId="0" fontId="17" fillId="0" borderId="0"/>
    <xf numFmtId="0" fontId="13" fillId="0" borderId="0"/>
    <xf numFmtId="9" fontId="63" fillId="0" borderId="0" applyFont="0" applyFill="0" applyBorder="0" applyAlignment="0" applyProtection="0"/>
  </cellStyleXfs>
  <cellXfs count="341">
    <xf numFmtId="0" fontId="0" fillId="0" borderId="0" xfId="0"/>
    <xf numFmtId="0" fontId="6" fillId="0" borderId="1" xfId="0" applyFont="1" applyBorder="1" applyAlignment="1">
      <alignment vertical="center"/>
    </xf>
    <xf numFmtId="0" fontId="7" fillId="0" borderId="0" xfId="0" applyFont="1"/>
    <xf numFmtId="0" fontId="7" fillId="0" borderId="1" xfId="0" applyFont="1" applyBorder="1"/>
    <xf numFmtId="14" fontId="7" fillId="0" borderId="0" xfId="0" applyNumberFormat="1" applyFont="1"/>
    <xf numFmtId="0" fontId="8" fillId="0" borderId="0" xfId="1" applyFont="1"/>
    <xf numFmtId="0" fontId="12" fillId="2" borderId="0" xfId="0" applyFont="1" applyFill="1" applyAlignment="1" applyProtection="1">
      <alignment horizontal="center"/>
      <protection hidden="1"/>
    </xf>
    <xf numFmtId="0" fontId="4" fillId="2" borderId="0" xfId="0" applyFont="1" applyFill="1" applyProtection="1">
      <protection hidden="1"/>
    </xf>
    <xf numFmtId="0" fontId="13"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protection hidden="1"/>
    </xf>
    <xf numFmtId="0" fontId="12" fillId="2" borderId="0" xfId="0" applyFont="1" applyFill="1" applyProtection="1">
      <protection hidden="1"/>
    </xf>
    <xf numFmtId="0" fontId="10" fillId="2" borderId="0" xfId="0" applyFont="1" applyFill="1" applyProtection="1">
      <protection hidden="1"/>
    </xf>
    <xf numFmtId="0" fontId="12"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indent="1"/>
      <protection hidden="1"/>
    </xf>
    <xf numFmtId="0" fontId="20" fillId="2" borderId="0" xfId="0" applyFont="1" applyFill="1" applyAlignment="1" applyProtection="1">
      <alignment horizontal="left" vertical="center"/>
      <protection hidden="1"/>
    </xf>
    <xf numFmtId="0" fontId="12" fillId="2" borderId="0" xfId="0" applyFont="1" applyFill="1" applyAlignment="1" applyProtection="1">
      <alignment vertical="center"/>
      <protection hidden="1"/>
    </xf>
    <xf numFmtId="0" fontId="19"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protection hidden="1"/>
    </xf>
    <xf numFmtId="0" fontId="4" fillId="2" borderId="0" xfId="0" applyFont="1" applyFill="1" applyAlignment="1" applyProtection="1">
      <alignment vertical="center"/>
      <protection hidden="1"/>
    </xf>
    <xf numFmtId="0" fontId="13" fillId="0" borderId="1" xfId="3" applyBorder="1"/>
    <xf numFmtId="0" fontId="21" fillId="6" borderId="1" xfId="3" applyFont="1" applyFill="1" applyBorder="1"/>
    <xf numFmtId="164" fontId="6" fillId="0" borderId="1" xfId="0" applyNumberFormat="1" applyFont="1" applyBorder="1"/>
    <xf numFmtId="0" fontId="7" fillId="0" borderId="1" xfId="0" applyFont="1" applyBorder="1" applyAlignment="1">
      <alignment vertical="top" wrapText="1"/>
    </xf>
    <xf numFmtId="0" fontId="7" fillId="0" borderId="0" xfId="0" applyFont="1" applyAlignment="1">
      <alignment vertical="top" wrapText="1"/>
    </xf>
    <xf numFmtId="0" fontId="27"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0" fontId="6" fillId="6" borderId="1" xfId="0" applyFont="1" applyFill="1" applyBorder="1" applyAlignment="1">
      <alignment horizontal="center" vertical="top" wrapText="1"/>
    </xf>
    <xf numFmtId="0" fontId="10"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28" fillId="2" borderId="0" xfId="0" applyFont="1" applyFill="1" applyAlignment="1" applyProtection="1">
      <alignment horizontal="center" vertical="center" wrapText="1"/>
      <protection hidden="1"/>
    </xf>
    <xf numFmtId="0" fontId="17" fillId="2" borderId="0" xfId="0" applyFont="1" applyFill="1" applyAlignment="1" applyProtection="1">
      <alignment horizontal="left" vertical="center" indent="1"/>
      <protection hidden="1"/>
    </xf>
    <xf numFmtId="14" fontId="17" fillId="2" borderId="0" xfId="0" applyNumberFormat="1" applyFont="1" applyFill="1" applyAlignment="1" applyProtection="1">
      <alignment horizontal="right" vertical="center" indent="1"/>
      <protection hidden="1"/>
    </xf>
    <xf numFmtId="0" fontId="34" fillId="2" borderId="0" xfId="0" applyFont="1" applyFill="1" applyAlignment="1" applyProtection="1">
      <alignment vertical="center"/>
      <protection hidden="1"/>
    </xf>
    <xf numFmtId="0" fontId="34" fillId="2" borderId="0" xfId="0" applyFont="1" applyFill="1" applyProtection="1">
      <protection hidden="1"/>
    </xf>
    <xf numFmtId="0" fontId="32" fillId="2" borderId="0" xfId="0" applyFont="1" applyFill="1" applyAlignment="1" applyProtection="1">
      <alignment horizontal="left" vertical="top" wrapText="1"/>
      <protection hidden="1"/>
    </xf>
    <xf numFmtId="0" fontId="20" fillId="2" borderId="0" xfId="0" applyFont="1" applyFill="1" applyAlignment="1" applyProtection="1">
      <alignment vertical="center"/>
      <protection hidden="1"/>
    </xf>
    <xf numFmtId="0" fontId="20" fillId="2" borderId="0" xfId="0" applyFont="1" applyFill="1" applyAlignment="1" applyProtection="1">
      <alignment horizontal="right" vertical="center"/>
      <protection hidden="1"/>
    </xf>
    <xf numFmtId="0" fontId="38" fillId="2" borderId="0" xfId="0" applyFont="1" applyFill="1" applyProtection="1">
      <protection hidden="1"/>
    </xf>
    <xf numFmtId="0" fontId="38" fillId="2" borderId="0" xfId="0" applyFont="1" applyFill="1" applyAlignment="1" applyProtection="1">
      <alignment horizontal="left"/>
      <protection hidden="1"/>
    </xf>
    <xf numFmtId="49" fontId="20" fillId="2" borderId="0" xfId="0" applyNumberFormat="1" applyFont="1" applyFill="1" applyAlignment="1" applyProtection="1">
      <alignment horizontal="right" vertical="center"/>
      <protection hidden="1"/>
    </xf>
    <xf numFmtId="14" fontId="20" fillId="2" borderId="0" xfId="0" applyNumberFormat="1" applyFont="1" applyFill="1" applyAlignment="1" applyProtection="1">
      <alignment horizontal="right" vertical="center"/>
      <protection hidden="1"/>
    </xf>
    <xf numFmtId="0" fontId="30" fillId="2" borderId="0" xfId="0" applyFont="1" applyFill="1" applyAlignment="1" applyProtection="1">
      <alignment horizontal="center"/>
      <protection hidden="1"/>
    </xf>
    <xf numFmtId="0" fontId="37" fillId="2" borderId="0" xfId="0" applyFont="1" applyFill="1" applyAlignment="1" applyProtection="1">
      <alignment vertical="center" wrapText="1"/>
      <protection hidden="1"/>
    </xf>
    <xf numFmtId="0" fontId="29" fillId="2" borderId="0" xfId="0" applyFont="1" applyFill="1" applyAlignment="1" applyProtection="1">
      <alignment horizontal="left" vertical="center" wrapText="1" indent="1"/>
      <protection hidden="1"/>
    </xf>
    <xf numFmtId="0" fontId="24" fillId="8" borderId="0" xfId="0" applyFont="1" applyFill="1" applyAlignment="1" applyProtection="1">
      <alignment horizontal="left" vertical="center" indent="1"/>
      <protection hidden="1"/>
    </xf>
    <xf numFmtId="0" fontId="24" fillId="3" borderId="0" xfId="0" applyFont="1" applyFill="1" applyAlignment="1" applyProtection="1">
      <alignment horizontal="center" vertical="center"/>
      <protection hidden="1"/>
    </xf>
    <xf numFmtId="0" fontId="3" fillId="0" borderId="0" xfId="0" applyFont="1" applyProtection="1">
      <protection hidden="1"/>
    </xf>
    <xf numFmtId="0" fontId="3"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3" fillId="2" borderId="0" xfId="0" applyFont="1" applyFill="1" applyProtection="1">
      <protection hidden="1"/>
    </xf>
    <xf numFmtId="0" fontId="25" fillId="8" borderId="0" xfId="0" applyFont="1" applyFill="1" applyAlignment="1" applyProtection="1">
      <alignment horizontal="left" vertical="center" indent="1"/>
      <protection hidden="1"/>
    </xf>
    <xf numFmtId="0" fontId="25" fillId="8" borderId="0" xfId="0" applyFont="1" applyFill="1" applyAlignment="1" applyProtection="1">
      <alignment horizontal="left" vertical="center"/>
      <protection hidden="1"/>
    </xf>
    <xf numFmtId="0" fontId="25" fillId="9" borderId="0" xfId="0" applyFont="1" applyFill="1" applyAlignment="1" applyProtection="1">
      <alignment horizontal="center" vertical="center"/>
      <protection hidden="1"/>
    </xf>
    <xf numFmtId="0" fontId="25" fillId="3" borderId="0" xfId="0" applyFont="1" applyFill="1" applyAlignment="1" applyProtection="1">
      <alignment horizontal="center" vertical="center"/>
      <protection hidden="1"/>
    </xf>
    <xf numFmtId="0" fontId="3" fillId="0" borderId="0" xfId="0" applyFont="1" applyAlignment="1" applyProtection="1">
      <alignment vertical="center"/>
      <protection hidden="1"/>
    </xf>
    <xf numFmtId="0" fontId="35" fillId="2" borderId="0" xfId="0" applyFont="1" applyFill="1" applyProtection="1">
      <protection hidden="1"/>
    </xf>
    <xf numFmtId="0" fontId="33" fillId="2" borderId="0" xfId="0" applyFont="1" applyFill="1" applyProtection="1">
      <protection hidden="1"/>
    </xf>
    <xf numFmtId="0" fontId="31" fillId="3" borderId="0" xfId="0" applyFont="1" applyFill="1" applyAlignment="1" applyProtection="1">
      <alignment horizontal="center" vertical="center"/>
      <protection hidden="1"/>
    </xf>
    <xf numFmtId="0" fontId="25" fillId="8" borderId="0" xfId="0" applyFont="1" applyFill="1" applyAlignment="1" applyProtection="1">
      <alignment horizontal="left" vertical="center" wrapText="1" indent="1"/>
      <protection hidden="1"/>
    </xf>
    <xf numFmtId="0" fontId="25" fillId="9" borderId="0" xfId="0" applyFont="1" applyFill="1" applyAlignment="1" applyProtection="1">
      <alignment horizontal="center" vertical="center" wrapText="1"/>
      <protection hidden="1"/>
    </xf>
    <xf numFmtId="0" fontId="3" fillId="0" borderId="0" xfId="0" applyFont="1" applyAlignment="1" applyProtection="1">
      <alignment wrapText="1"/>
      <protection hidden="1"/>
    </xf>
    <xf numFmtId="0" fontId="23" fillId="4" borderId="16" xfId="0" applyFont="1" applyFill="1" applyBorder="1" applyAlignment="1" applyProtection="1">
      <alignment horizontal="center" vertical="center"/>
      <protection locked="0" hidden="1"/>
    </xf>
    <xf numFmtId="0" fontId="40" fillId="2" borderId="0" xfId="0" applyFont="1" applyFill="1" applyProtection="1">
      <protection hidden="1"/>
    </xf>
    <xf numFmtId="0" fontId="40" fillId="2" borderId="0" xfId="0" applyFont="1" applyFill="1" applyAlignment="1" applyProtection="1">
      <alignment horizontal="center"/>
      <protection hidden="1"/>
    </xf>
    <xf numFmtId="0" fontId="13" fillId="2" borderId="0" xfId="0" applyFont="1" applyFill="1" applyProtection="1">
      <protection hidden="1"/>
    </xf>
    <xf numFmtId="0" fontId="41" fillId="2" borderId="0" xfId="0" applyFont="1" applyFill="1" applyAlignment="1" applyProtection="1">
      <alignment horizontal="center" vertical="center"/>
      <protection hidden="1"/>
    </xf>
    <xf numFmtId="0" fontId="13" fillId="2" borderId="0" xfId="0" applyFont="1" applyFill="1" applyAlignment="1" applyProtection="1">
      <alignment horizontal="center"/>
      <protection hidden="1"/>
    </xf>
    <xf numFmtId="0" fontId="40" fillId="2" borderId="0" xfId="0" applyFont="1" applyFill="1" applyAlignment="1" applyProtection="1">
      <alignment vertical="center"/>
      <protection hidden="1"/>
    </xf>
    <xf numFmtId="0" fontId="9"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13" fillId="2" borderId="0" xfId="0" applyFont="1" applyFill="1" applyAlignment="1" applyProtection="1">
      <alignment horizontal="center" vertical="center"/>
      <protection hidden="1"/>
    </xf>
    <xf numFmtId="0" fontId="40" fillId="2" borderId="0" xfId="0" applyFont="1" applyFill="1" applyAlignment="1" applyProtection="1">
      <alignment horizontal="center" vertical="center"/>
      <protection hidden="1"/>
    </xf>
    <xf numFmtId="0" fontId="26" fillId="2" borderId="0" xfId="0" applyFont="1" applyFill="1" applyAlignment="1" applyProtection="1">
      <alignment horizontal="left" vertical="center"/>
      <protection hidden="1"/>
    </xf>
    <xf numFmtId="0" fontId="27" fillId="2" borderId="0" xfId="0" applyFont="1" applyFill="1" applyAlignment="1" applyProtection="1">
      <alignment horizontal="center" vertical="top" wrapText="1"/>
      <protection hidden="1"/>
    </xf>
    <xf numFmtId="0" fontId="29" fillId="2" borderId="26" xfId="0" applyFont="1" applyFill="1" applyBorder="1" applyAlignment="1" applyProtection="1">
      <alignment horizontal="left" vertical="center" wrapText="1" indent="1"/>
      <protection hidden="1"/>
    </xf>
    <xf numFmtId="0" fontId="4" fillId="0" borderId="0" xfId="0" applyFont="1" applyProtection="1">
      <protection hidden="1"/>
    </xf>
    <xf numFmtId="0" fontId="4" fillId="0" borderId="0" xfId="0" applyFont="1" applyAlignment="1" applyProtection="1">
      <alignment vertical="center"/>
      <protection hidden="1"/>
    </xf>
    <xf numFmtId="0" fontId="44" fillId="2" borderId="0" xfId="1" applyFont="1" applyFill="1" applyAlignment="1" applyProtection="1">
      <alignment horizontal="left" vertical="center" indent="1"/>
      <protection hidden="1"/>
    </xf>
    <xf numFmtId="0" fontId="45" fillId="2" borderId="0" xfId="0" applyFont="1" applyFill="1" applyProtection="1">
      <protection hidden="1"/>
    </xf>
    <xf numFmtId="0" fontId="46" fillId="2" borderId="0" xfId="0" applyFont="1" applyFill="1" applyProtection="1">
      <protection hidden="1"/>
    </xf>
    <xf numFmtId="0" fontId="45" fillId="2" borderId="0" xfId="0" applyFont="1" applyFill="1" applyAlignment="1" applyProtection="1">
      <alignment horizontal="center" vertical="center"/>
      <protection hidden="1"/>
    </xf>
    <xf numFmtId="0" fontId="46" fillId="0" borderId="0" xfId="0" applyFont="1" applyProtection="1">
      <protection hidden="1"/>
    </xf>
    <xf numFmtId="0" fontId="47" fillId="2" borderId="0" xfId="0" applyFont="1" applyFill="1" applyAlignment="1" applyProtection="1">
      <alignment horizontal="left" vertical="center" indent="1"/>
      <protection hidden="1"/>
    </xf>
    <xf numFmtId="0" fontId="7" fillId="9" borderId="0" xfId="0" applyFont="1" applyFill="1"/>
    <xf numFmtId="0" fontId="7" fillId="0" borderId="0" xfId="0" applyFont="1" applyAlignment="1">
      <alignment horizontal="center" vertical="top"/>
    </xf>
    <xf numFmtId="0" fontId="7" fillId="9" borderId="0" xfId="0" applyFont="1" applyFill="1" applyAlignment="1">
      <alignment horizontal="center" vertical="top"/>
    </xf>
    <xf numFmtId="0" fontId="7" fillId="12" borderId="1" xfId="0" applyFont="1" applyFill="1" applyBorder="1" applyAlignment="1">
      <alignment vertical="top" wrapText="1"/>
    </xf>
    <xf numFmtId="0" fontId="7" fillId="11" borderId="0" xfId="0" applyFont="1" applyFill="1"/>
    <xf numFmtId="0" fontId="7" fillId="11" borderId="0" xfId="0" applyFont="1" applyFill="1" applyAlignment="1">
      <alignment horizontal="center" vertical="top"/>
    </xf>
    <xf numFmtId="0" fontId="49" fillId="11" borderId="0" xfId="0" applyFont="1" applyFill="1" applyAlignment="1">
      <alignment horizontal="left" indent="1"/>
    </xf>
    <xf numFmtId="0" fontId="49" fillId="9" borderId="0" xfId="0" applyFont="1" applyFill="1" applyAlignment="1">
      <alignment horizontal="left" indent="1"/>
    </xf>
    <xf numFmtId="0" fontId="49" fillId="0" borderId="0" xfId="0" applyFont="1" applyAlignment="1">
      <alignment horizontal="left" indent="1"/>
    </xf>
    <xf numFmtId="0" fontId="49" fillId="5" borderId="0" xfId="0" applyFont="1" applyFill="1" applyAlignment="1">
      <alignment horizontal="left" indent="1"/>
    </xf>
    <xf numFmtId="0" fontId="7" fillId="5" borderId="0" xfId="0" applyFont="1" applyFill="1"/>
    <xf numFmtId="0" fontId="7" fillId="5" borderId="0" xfId="0" applyFont="1" applyFill="1" applyAlignment="1">
      <alignment horizontal="center" vertical="top"/>
    </xf>
    <xf numFmtId="0" fontId="48" fillId="11" borderId="0" xfId="0" applyFont="1" applyFill="1" applyAlignment="1">
      <alignment horizontal="left" vertical="top" indent="1"/>
    </xf>
    <xf numFmtId="0" fontId="6" fillId="0" borderId="1" xfId="0" applyFont="1" applyBorder="1" applyAlignment="1">
      <alignment vertical="top" wrapText="1"/>
    </xf>
    <xf numFmtId="0" fontId="48" fillId="0" borderId="1" xfId="0" applyFont="1" applyBorder="1" applyAlignment="1">
      <alignment vertical="top" wrapText="1"/>
    </xf>
    <xf numFmtId="0" fontId="42" fillId="2" borderId="0" xfId="0" applyFont="1" applyFill="1" applyAlignment="1" applyProtection="1">
      <alignment vertical="center"/>
      <protection hidden="1"/>
    </xf>
    <xf numFmtId="0" fontId="16" fillId="2" borderId="3" xfId="0" applyFont="1" applyFill="1" applyBorder="1" applyAlignment="1" applyProtection="1">
      <alignment vertical="center"/>
      <protection hidden="1"/>
    </xf>
    <xf numFmtId="0" fontId="10" fillId="2" borderId="3" xfId="0" applyFont="1" applyFill="1" applyBorder="1" applyProtection="1">
      <protection hidden="1"/>
    </xf>
    <xf numFmtId="0" fontId="3" fillId="2" borderId="3" xfId="0" applyFont="1" applyFill="1" applyBorder="1" applyProtection="1">
      <protection hidden="1"/>
    </xf>
    <xf numFmtId="0" fontId="35" fillId="2" borderId="0" xfId="0" applyFont="1" applyFill="1" applyAlignment="1" applyProtection="1">
      <alignment vertical="center"/>
      <protection hidden="1"/>
    </xf>
    <xf numFmtId="0" fontId="27" fillId="2" borderId="28" xfId="0" applyFont="1" applyFill="1" applyBorder="1" applyAlignment="1" applyProtection="1">
      <alignment horizontal="center" vertical="top" wrapText="1"/>
      <protection hidden="1"/>
    </xf>
    <xf numFmtId="0" fontId="27" fillId="2" borderId="12" xfId="0" applyFont="1" applyFill="1" applyBorder="1" applyAlignment="1" applyProtection="1">
      <alignment horizontal="center" vertical="top" wrapText="1"/>
      <protection hidden="1"/>
    </xf>
    <xf numFmtId="0" fontId="27" fillId="2" borderId="31" xfId="0" applyFont="1" applyFill="1" applyBorder="1" applyAlignment="1" applyProtection="1">
      <alignment horizontal="center" vertical="top" wrapText="1"/>
      <protection hidden="1"/>
    </xf>
    <xf numFmtId="0" fontId="27" fillId="2" borderId="25" xfId="0" applyFont="1" applyFill="1" applyBorder="1" applyAlignment="1" applyProtection="1">
      <alignment horizontal="center" vertical="top" wrapText="1"/>
      <protection hidden="1"/>
    </xf>
    <xf numFmtId="0" fontId="27" fillId="2" borderId="30" xfId="0" applyFont="1" applyFill="1" applyBorder="1" applyAlignment="1" applyProtection="1">
      <alignment horizontal="center" vertical="top" wrapText="1"/>
      <protection hidden="1"/>
    </xf>
    <xf numFmtId="0" fontId="27" fillId="2" borderId="11" xfId="0" applyFont="1" applyFill="1" applyBorder="1" applyAlignment="1" applyProtection="1">
      <alignment horizontal="center" vertical="top" wrapText="1"/>
      <protection hidden="1"/>
    </xf>
    <xf numFmtId="0" fontId="27" fillId="2" borderId="26" xfId="0" applyFont="1" applyFill="1" applyBorder="1" applyAlignment="1" applyProtection="1">
      <alignment horizontal="center" vertical="top" wrapText="1"/>
      <protection hidden="1"/>
    </xf>
    <xf numFmtId="0" fontId="27" fillId="2" borderId="32" xfId="0" applyFont="1" applyFill="1" applyBorder="1" applyAlignment="1" applyProtection="1">
      <alignment horizontal="center" vertical="top" wrapText="1"/>
      <protection hidden="1"/>
    </xf>
    <xf numFmtId="0" fontId="13" fillId="2" borderId="12" xfId="0" applyFont="1" applyFill="1" applyBorder="1" applyAlignment="1" applyProtection="1">
      <alignment horizontal="left" vertical="top" indent="1"/>
      <protection hidden="1"/>
    </xf>
    <xf numFmtId="0" fontId="52" fillId="2" borderId="2" xfId="0" applyFont="1" applyFill="1" applyBorder="1" applyAlignment="1" applyProtection="1">
      <alignment horizontal="left" vertical="top" wrapText="1" indent="1"/>
      <protection hidden="1"/>
    </xf>
    <xf numFmtId="0" fontId="52" fillId="2" borderId="3" xfId="0" applyFont="1" applyFill="1" applyBorder="1" applyAlignment="1" applyProtection="1">
      <alignment horizontal="center" vertical="top" wrapText="1"/>
      <protection hidden="1"/>
    </xf>
    <xf numFmtId="0" fontId="52" fillId="2" borderId="4" xfId="0" applyFont="1" applyFill="1" applyBorder="1" applyAlignment="1" applyProtection="1">
      <alignment horizontal="center" vertical="top" wrapText="1"/>
      <protection hidden="1"/>
    </xf>
    <xf numFmtId="0" fontId="52" fillId="2" borderId="12" xfId="0" applyFont="1" applyFill="1" applyBorder="1" applyAlignment="1" applyProtection="1">
      <alignment horizontal="left" vertical="top" wrapText="1" indent="1"/>
      <protection hidden="1"/>
    </xf>
    <xf numFmtId="0" fontId="52" fillId="2" borderId="0" xfId="0" applyFont="1" applyFill="1" applyAlignment="1" applyProtection="1">
      <alignment horizontal="center" vertical="top" wrapText="1"/>
      <protection hidden="1"/>
    </xf>
    <xf numFmtId="0" fontId="52" fillId="2" borderId="31" xfId="0" applyFont="1" applyFill="1" applyBorder="1" applyAlignment="1" applyProtection="1">
      <alignment horizontal="center" vertical="top" wrapText="1"/>
      <protection hidden="1"/>
    </xf>
    <xf numFmtId="0" fontId="52" fillId="2" borderId="25" xfId="0" applyFont="1" applyFill="1" applyBorder="1" applyAlignment="1" applyProtection="1">
      <alignment horizontal="left" vertical="top" wrapText="1" indent="1"/>
      <protection hidden="1"/>
    </xf>
    <xf numFmtId="0" fontId="52" fillId="2" borderId="28" xfId="0" applyFont="1" applyFill="1" applyBorder="1" applyAlignment="1" applyProtection="1">
      <alignment horizontal="center" vertical="top" wrapText="1"/>
      <protection hidden="1"/>
    </xf>
    <xf numFmtId="0" fontId="52" fillId="2" borderId="30" xfId="0" applyFont="1" applyFill="1" applyBorder="1" applyAlignment="1" applyProtection="1">
      <alignment horizontal="center" vertical="top" wrapText="1"/>
      <protection hidden="1"/>
    </xf>
    <xf numFmtId="0" fontId="50" fillId="3" borderId="0" xfId="0" applyFont="1" applyFill="1" applyAlignment="1" applyProtection="1">
      <alignment horizontal="center" vertical="center"/>
      <protection hidden="1"/>
    </xf>
    <xf numFmtId="0" fontId="6" fillId="12" borderId="1" xfId="0" applyFont="1" applyFill="1" applyBorder="1" applyAlignment="1">
      <alignment vertical="top" wrapText="1"/>
    </xf>
    <xf numFmtId="0" fontId="21" fillId="4" borderId="36" xfId="0" applyFont="1" applyFill="1" applyBorder="1" applyAlignment="1" applyProtection="1">
      <alignment horizontal="center" vertical="center"/>
      <protection hidden="1"/>
    </xf>
    <xf numFmtId="0" fontId="21" fillId="2" borderId="36" xfId="0" applyFont="1" applyFill="1" applyBorder="1" applyAlignment="1" applyProtection="1">
      <alignment horizontal="center" vertical="center"/>
      <protection hidden="1"/>
    </xf>
    <xf numFmtId="0" fontId="13" fillId="3" borderId="36" xfId="0" applyFont="1" applyFill="1" applyBorder="1" applyAlignment="1" applyProtection="1">
      <alignment horizontal="right" vertical="center" indent="1"/>
      <protection hidden="1"/>
    </xf>
    <xf numFmtId="0" fontId="21" fillId="7" borderId="37" xfId="0" applyFon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13" fillId="2" borderId="0" xfId="0" applyFont="1" applyFill="1" applyAlignment="1" applyProtection="1">
      <alignment horizontal="left" vertical="center" indent="1"/>
      <protection hidden="1"/>
    </xf>
    <xf numFmtId="49" fontId="13" fillId="2" borderId="0" xfId="0" applyNumberFormat="1" applyFont="1" applyFill="1" applyAlignment="1" applyProtection="1">
      <alignment horizontal="left" vertical="center" indent="1"/>
      <protection hidden="1"/>
    </xf>
    <xf numFmtId="0" fontId="13" fillId="2"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0" fontId="23" fillId="2" borderId="0" xfId="0" applyFont="1" applyFill="1" applyAlignment="1" applyProtection="1">
      <alignment horizontal="left"/>
      <protection hidden="1"/>
    </xf>
    <xf numFmtId="0" fontId="23" fillId="2" borderId="0" xfId="0" applyFont="1" applyFill="1" applyAlignment="1" applyProtection="1">
      <alignment horizontal="right" vertical="center" indent="1"/>
      <protection hidden="1"/>
    </xf>
    <xf numFmtId="0" fontId="13" fillId="6" borderId="9" xfId="0" applyFont="1" applyFill="1" applyBorder="1" applyAlignment="1" applyProtection="1">
      <alignment horizontal="center" vertical="center"/>
      <protection hidden="1"/>
    </xf>
    <xf numFmtId="0" fontId="13" fillId="6" borderId="1" xfId="0" applyFont="1" applyFill="1" applyBorder="1" applyAlignment="1" applyProtection="1">
      <alignment horizontal="left" vertical="center" indent="1"/>
      <protection hidden="1"/>
    </xf>
    <xf numFmtId="0" fontId="23" fillId="2" borderId="0" xfId="0" applyFont="1" applyFill="1" applyAlignment="1" applyProtection="1">
      <alignment horizontal="left" indent="1"/>
      <protection hidden="1"/>
    </xf>
    <xf numFmtId="0" fontId="23" fillId="2" borderId="0" xfId="0" applyFont="1" applyFill="1" applyAlignment="1" applyProtection="1">
      <alignment horizontal="right" vertical="center"/>
      <protection hidden="1"/>
    </xf>
    <xf numFmtId="0" fontId="13" fillId="2" borderId="13" xfId="0" applyFont="1" applyFill="1" applyBorder="1" applyAlignment="1" applyProtection="1">
      <alignment horizontal="left" vertical="center" indent="1"/>
      <protection hidden="1"/>
    </xf>
    <xf numFmtId="0" fontId="13" fillId="2" borderId="14" xfId="0" applyFont="1" applyFill="1" applyBorder="1" applyAlignment="1" applyProtection="1">
      <alignment vertical="center"/>
      <protection hidden="1"/>
    </xf>
    <xf numFmtId="0" fontId="13" fillId="2" borderId="18" xfId="0" applyFont="1" applyFill="1" applyBorder="1" applyAlignment="1" applyProtection="1">
      <alignment horizontal="left" vertical="center" indent="1"/>
      <protection hidden="1"/>
    </xf>
    <xf numFmtId="0" fontId="13" fillId="2" borderId="19" xfId="0" applyFont="1" applyFill="1" applyBorder="1" applyAlignment="1" applyProtection="1">
      <alignment vertical="center"/>
      <protection hidden="1"/>
    </xf>
    <xf numFmtId="0" fontId="53" fillId="2" borderId="0" xfId="0" applyFont="1" applyFill="1" applyAlignment="1" applyProtection="1">
      <alignment horizontal="center" vertical="center"/>
      <protection hidden="1"/>
    </xf>
    <xf numFmtId="0" fontId="18" fillId="2" borderId="0" xfId="0" applyFont="1" applyFill="1" applyAlignment="1" applyProtection="1">
      <alignment horizontal="left" indent="1"/>
      <protection hidden="1"/>
    </xf>
    <xf numFmtId="0" fontId="50" fillId="2" borderId="0" xfId="0" applyFont="1" applyFill="1" applyAlignment="1" applyProtection="1">
      <alignment horizontal="left" indent="1"/>
      <protection hidden="1"/>
    </xf>
    <xf numFmtId="165" fontId="25" fillId="9" borderId="0" xfId="0" applyNumberFormat="1" applyFont="1" applyFill="1" applyAlignment="1" applyProtection="1">
      <alignment horizontal="left" vertical="center" indent="1"/>
      <protection hidden="1"/>
    </xf>
    <xf numFmtId="0" fontId="13" fillId="2" borderId="12" xfId="0" applyFont="1" applyFill="1" applyBorder="1" applyAlignment="1" applyProtection="1">
      <alignment horizontal="left" vertical="center" indent="1"/>
      <protection hidden="1"/>
    </xf>
    <xf numFmtId="0" fontId="13" fillId="2" borderId="24" xfId="0" applyFont="1" applyFill="1" applyBorder="1" applyAlignment="1" applyProtection="1">
      <alignment vertical="center"/>
      <protection hidden="1"/>
    </xf>
    <xf numFmtId="165" fontId="13" fillId="2" borderId="14" xfId="0" applyNumberFormat="1" applyFont="1" applyFill="1" applyBorder="1" applyAlignment="1" applyProtection="1">
      <alignment horizontal="center" vertical="center" wrapText="1"/>
      <protection hidden="1"/>
    </xf>
    <xf numFmtId="165" fontId="13" fillId="2" borderId="16" xfId="0" applyNumberFormat="1" applyFont="1" applyFill="1" applyBorder="1" applyAlignment="1" applyProtection="1">
      <alignment horizontal="center" vertical="center" wrapText="1"/>
      <protection hidden="1"/>
    </xf>
    <xf numFmtId="165" fontId="13" fillId="2" borderId="19" xfId="0" applyNumberFormat="1" applyFont="1" applyFill="1" applyBorder="1" applyAlignment="1" applyProtection="1">
      <alignment horizontal="center" vertical="center" wrapText="1"/>
      <protection hidden="1"/>
    </xf>
    <xf numFmtId="0" fontId="32" fillId="2" borderId="0" xfId="0" applyFont="1" applyFill="1" applyAlignment="1" applyProtection="1">
      <alignment horizontal="left" vertical="center" wrapText="1"/>
      <protection hidden="1"/>
    </xf>
    <xf numFmtId="3" fontId="13" fillId="2" borderId="0" xfId="0" applyNumberFormat="1" applyFont="1" applyFill="1" applyAlignment="1" applyProtection="1">
      <alignment horizontal="left" vertical="center" indent="1"/>
      <protection hidden="1"/>
    </xf>
    <xf numFmtId="0" fontId="18" fillId="2" borderId="3" xfId="0" applyFont="1" applyFill="1" applyBorder="1" applyAlignment="1" applyProtection="1">
      <alignment horizontal="left" vertical="center"/>
      <protection hidden="1"/>
    </xf>
    <xf numFmtId="0" fontId="36" fillId="2" borderId="0" xfId="0" applyFont="1" applyFill="1" applyAlignment="1" applyProtection="1">
      <alignment horizontal="left" vertical="center" indent="1"/>
      <protection hidden="1"/>
    </xf>
    <xf numFmtId="0" fontId="21" fillId="12" borderId="43" xfId="0" applyFont="1" applyFill="1" applyBorder="1" applyAlignment="1" applyProtection="1">
      <alignment horizontal="center" vertical="center"/>
      <protection hidden="1"/>
    </xf>
    <xf numFmtId="0" fontId="21" fillId="13" borderId="35" xfId="0" applyFont="1" applyFill="1" applyBorder="1" applyAlignment="1" applyProtection="1">
      <alignment horizontal="center" vertical="center"/>
      <protection hidden="1"/>
    </xf>
    <xf numFmtId="0" fontId="55" fillId="2" borderId="0" xfId="0" applyFont="1" applyFill="1" applyAlignment="1" applyProtection="1">
      <alignment horizontal="left" vertical="center"/>
      <protection hidden="1"/>
    </xf>
    <xf numFmtId="0" fontId="24" fillId="8" borderId="0" xfId="0" applyFont="1" applyFill="1" applyAlignment="1" applyProtection="1">
      <alignment horizontal="center" vertical="center"/>
      <protection hidden="1"/>
    </xf>
    <xf numFmtId="0" fontId="56" fillId="8" borderId="0" xfId="0" applyFont="1" applyFill="1" applyProtection="1">
      <protection hidden="1"/>
    </xf>
    <xf numFmtId="0" fontId="56" fillId="8" borderId="0" xfId="0" applyFont="1" applyFill="1" applyAlignment="1" applyProtection="1">
      <alignment vertical="center"/>
      <protection hidden="1"/>
    </xf>
    <xf numFmtId="0" fontId="57" fillId="8" borderId="0" xfId="0" applyFont="1" applyFill="1" applyProtection="1">
      <protection hidden="1"/>
    </xf>
    <xf numFmtId="0" fontId="21" fillId="2" borderId="0" xfId="0" applyFont="1" applyFill="1" applyAlignment="1" applyProtection="1">
      <alignment horizontal="left" indent="2"/>
      <protection hidden="1"/>
    </xf>
    <xf numFmtId="0" fontId="4" fillId="2" borderId="0" xfId="0" applyFont="1" applyFill="1" applyAlignment="1" applyProtection="1">
      <alignment horizontal="left" indent="1"/>
      <protection hidden="1"/>
    </xf>
    <xf numFmtId="0" fontId="24" fillId="9" borderId="0" xfId="0" applyFont="1" applyFill="1" applyAlignment="1" applyProtection="1">
      <alignment horizontal="left" vertical="center" indent="1"/>
      <protection hidden="1"/>
    </xf>
    <xf numFmtId="0" fontId="4" fillId="9" borderId="0" xfId="0" applyFont="1" applyFill="1" applyProtection="1">
      <protection hidden="1"/>
    </xf>
    <xf numFmtId="0" fontId="3" fillId="9" borderId="0" xfId="0" applyFont="1" applyFill="1" applyProtection="1">
      <protection hidden="1"/>
    </xf>
    <xf numFmtId="0" fontId="4" fillId="9" borderId="0" xfId="0" applyFont="1" applyFill="1" applyAlignment="1" applyProtection="1">
      <alignment vertical="center"/>
      <protection hidden="1"/>
    </xf>
    <xf numFmtId="0" fontId="46" fillId="9" borderId="0" xfId="0" applyFont="1" applyFill="1" applyProtection="1">
      <protection hidden="1"/>
    </xf>
    <xf numFmtId="0" fontId="24" fillId="7" borderId="0" xfId="0" applyFont="1" applyFill="1" applyAlignment="1" applyProtection="1">
      <alignment horizontal="left" vertical="center" indent="1"/>
      <protection hidden="1"/>
    </xf>
    <xf numFmtId="0" fontId="24" fillId="10" borderId="0" xfId="0" applyFont="1" applyFill="1" applyAlignment="1" applyProtection="1">
      <alignment horizontal="left" vertical="center" indent="1"/>
      <protection hidden="1"/>
    </xf>
    <xf numFmtId="164" fontId="13" fillId="2" borderId="13" xfId="0" applyNumberFormat="1" applyFont="1" applyFill="1" applyBorder="1" applyAlignment="1" applyProtection="1">
      <alignment horizontal="center" vertical="center" wrapText="1"/>
      <protection hidden="1"/>
    </xf>
    <xf numFmtId="164" fontId="13" fillId="2" borderId="15" xfId="0" applyNumberFormat="1" applyFont="1" applyFill="1" applyBorder="1" applyAlignment="1" applyProtection="1">
      <alignment horizontal="center" vertical="center" wrapText="1"/>
      <protection hidden="1"/>
    </xf>
    <xf numFmtId="164" fontId="13" fillId="2" borderId="18" xfId="0" applyNumberFormat="1" applyFont="1" applyFill="1" applyBorder="1" applyAlignment="1" applyProtection="1">
      <alignment horizontal="center" vertical="center" wrapText="1"/>
      <protection hidden="1"/>
    </xf>
    <xf numFmtId="0" fontId="24" fillId="9" borderId="0" xfId="0" applyFont="1" applyFill="1" applyAlignment="1" applyProtection="1">
      <alignment horizontal="left" vertical="center" wrapText="1" indent="1"/>
      <protection hidden="1"/>
    </xf>
    <xf numFmtId="164" fontId="24" fillId="9" borderId="0" xfId="0" applyNumberFormat="1" applyFont="1" applyFill="1" applyAlignment="1" applyProtection="1">
      <alignment horizontal="left" vertical="center" indent="1"/>
      <protection hidden="1"/>
    </xf>
    <xf numFmtId="165" fontId="24" fillId="7" borderId="0" xfId="0" applyNumberFormat="1" applyFont="1" applyFill="1" applyAlignment="1" applyProtection="1">
      <alignment horizontal="left" vertical="center" wrapText="1" indent="1"/>
      <protection hidden="1"/>
    </xf>
    <xf numFmtId="164" fontId="24" fillId="10" borderId="0" xfId="0" applyNumberFormat="1" applyFont="1" applyFill="1" applyAlignment="1" applyProtection="1">
      <alignment horizontal="left" vertical="center" indent="1"/>
      <protection hidden="1"/>
    </xf>
    <xf numFmtId="0" fontId="24" fillId="7" borderId="0" xfId="0" applyFont="1" applyFill="1" applyAlignment="1" applyProtection="1">
      <alignment horizontal="center" vertical="center"/>
      <protection hidden="1"/>
    </xf>
    <xf numFmtId="0" fontId="24" fillId="9" borderId="0" xfId="0" applyFont="1" applyFill="1" applyAlignment="1" applyProtection="1">
      <alignment horizontal="center" vertical="center" wrapText="1"/>
      <protection hidden="1"/>
    </xf>
    <xf numFmtId="0" fontId="29" fillId="2" borderId="0" xfId="0" applyFont="1" applyFill="1" applyAlignment="1" applyProtection="1">
      <alignment horizontal="left" vertical="top" indent="1"/>
      <protection hidden="1"/>
    </xf>
    <xf numFmtId="0" fontId="58" fillId="11" borderId="0" xfId="0" applyFont="1" applyFill="1" applyAlignment="1">
      <alignment horizontal="left" vertical="top" indent="1"/>
    </xf>
    <xf numFmtId="0" fontId="58" fillId="11" borderId="0" xfId="0" applyFont="1" applyFill="1" applyAlignment="1">
      <alignment horizontal="left" vertical="top" wrapText="1" indent="1"/>
    </xf>
    <xf numFmtId="0" fontId="6" fillId="11" borderId="0" xfId="0" applyFont="1" applyFill="1" applyAlignment="1">
      <alignment horizontal="center" vertical="top"/>
    </xf>
    <xf numFmtId="0" fontId="59" fillId="11" borderId="0" xfId="0" applyFont="1" applyFill="1" applyAlignment="1">
      <alignment horizontal="center" vertical="top"/>
    </xf>
    <xf numFmtId="0" fontId="58" fillId="9" borderId="0" xfId="0" applyFont="1" applyFill="1" applyAlignment="1">
      <alignment horizontal="left" wrapText="1" indent="1"/>
    </xf>
    <xf numFmtId="0" fontId="58" fillId="11" borderId="0" xfId="0" applyFont="1" applyFill="1" applyAlignment="1">
      <alignment horizontal="left" vertical="center" wrapText="1" indent="1"/>
    </xf>
    <xf numFmtId="0" fontId="31" fillId="7" borderId="0" xfId="0" applyFont="1" applyFill="1" applyAlignment="1" applyProtection="1">
      <alignment horizontal="center" vertical="center" wrapText="1"/>
      <protection hidden="1"/>
    </xf>
    <xf numFmtId="0" fontId="31" fillId="7" borderId="0" xfId="0" applyFont="1" applyFill="1" applyAlignment="1" applyProtection="1">
      <alignment horizontal="left" vertical="center" wrapText="1" indent="1"/>
      <protection hidden="1"/>
    </xf>
    <xf numFmtId="0" fontId="24" fillId="2" borderId="0" xfId="0" applyFont="1" applyFill="1" applyAlignment="1" applyProtection="1">
      <alignment horizontal="left" vertical="center" indent="1"/>
      <protection hidden="1"/>
    </xf>
    <xf numFmtId="0" fontId="58" fillId="5" borderId="0" xfId="0" applyFont="1" applyFill="1" applyAlignment="1">
      <alignment horizontal="left" wrapText="1" indent="1"/>
    </xf>
    <xf numFmtId="0" fontId="4" fillId="2" borderId="0" xfId="0" applyFont="1" applyFill="1" applyAlignment="1" applyProtection="1">
      <alignment horizontal="center"/>
      <protection hidden="1"/>
    </xf>
    <xf numFmtId="0" fontId="11" fillId="2" borderId="5" xfId="0" applyFont="1" applyFill="1" applyBorder="1" applyAlignment="1" applyProtection="1">
      <alignment horizontal="left" vertical="center" indent="1"/>
      <protection hidden="1"/>
    </xf>
    <xf numFmtId="0" fontId="11" fillId="2" borderId="9" xfId="0" applyFont="1" applyFill="1" applyBorder="1" applyAlignment="1" applyProtection="1">
      <alignment horizontal="left" vertical="center" indent="1"/>
      <protection hidden="1"/>
    </xf>
    <xf numFmtId="0" fontId="11" fillId="2" borderId="9" xfId="0" applyFont="1" applyFill="1" applyBorder="1" applyAlignment="1" applyProtection="1">
      <alignment vertical="center" wrapText="1"/>
      <protection hidden="1"/>
    </xf>
    <xf numFmtId="0" fontId="11" fillId="2" borderId="10" xfId="0" applyFont="1" applyFill="1" applyBorder="1" applyAlignment="1" applyProtection="1">
      <alignment vertical="center" wrapText="1"/>
      <protection hidden="1"/>
    </xf>
    <xf numFmtId="0" fontId="11" fillId="2" borderId="3" xfId="0" applyFont="1" applyFill="1" applyBorder="1" applyAlignment="1" applyProtection="1">
      <alignment vertical="center" wrapText="1"/>
      <protection hidden="1"/>
    </xf>
    <xf numFmtId="0" fontId="11" fillId="2" borderId="2" xfId="0" applyFont="1" applyFill="1" applyBorder="1" applyAlignment="1" applyProtection="1">
      <alignment horizontal="left" vertical="center" indent="1"/>
      <protection hidden="1"/>
    </xf>
    <xf numFmtId="0" fontId="61" fillId="0" borderId="0" xfId="0" applyFont="1" applyProtection="1">
      <protection hidden="1"/>
    </xf>
    <xf numFmtId="0" fontId="62" fillId="2" borderId="1" xfId="1" applyFont="1" applyFill="1" applyBorder="1" applyAlignment="1" applyProtection="1">
      <alignment horizontal="center" vertical="center" wrapText="1"/>
      <protection hidden="1"/>
    </xf>
    <xf numFmtId="0" fontId="9" fillId="0" borderId="0" xfId="0" applyFont="1" applyAlignment="1" applyProtection="1">
      <alignment vertical="center" wrapText="1"/>
      <protection hidden="1"/>
    </xf>
    <xf numFmtId="0" fontId="60" fillId="0" borderId="0" xfId="0" applyFont="1" applyAlignment="1" applyProtection="1">
      <alignment vertical="center"/>
      <protection hidden="1"/>
    </xf>
    <xf numFmtId="1" fontId="7" fillId="12" borderId="1" xfId="0" applyNumberFormat="1" applyFont="1" applyFill="1" applyBorder="1" applyAlignment="1">
      <alignment vertical="top" wrapText="1"/>
    </xf>
    <xf numFmtId="1" fontId="6" fillId="12" borderId="1" xfId="0" applyNumberFormat="1" applyFont="1" applyFill="1" applyBorder="1" applyAlignment="1">
      <alignment vertical="top" wrapText="1"/>
    </xf>
    <xf numFmtId="0" fontId="7" fillId="12" borderId="5" xfId="0" applyFont="1" applyFill="1" applyBorder="1" applyAlignment="1">
      <alignment vertical="top" wrapText="1"/>
    </xf>
    <xf numFmtId="0" fontId="7" fillId="12" borderId="6" xfId="0" applyFont="1" applyFill="1" applyBorder="1" applyAlignment="1">
      <alignment vertical="top" wrapText="1"/>
    </xf>
    <xf numFmtId="1" fontId="6" fillId="0" borderId="0" xfId="0" applyNumberFormat="1" applyFont="1" applyAlignment="1">
      <alignment vertical="top" wrapText="1"/>
    </xf>
    <xf numFmtId="0" fontId="11" fillId="2" borderId="5" xfId="0" applyFont="1" applyFill="1" applyBorder="1" applyAlignment="1" applyProtection="1">
      <alignment horizontal="left" vertical="center" wrapText="1" indent="1"/>
      <protection hidden="1"/>
    </xf>
    <xf numFmtId="9" fontId="7" fillId="12" borderId="1" xfId="4" applyFont="1" applyFill="1" applyBorder="1" applyAlignment="1">
      <alignment vertical="top" wrapText="1"/>
    </xf>
    <xf numFmtId="0" fontId="10" fillId="2" borderId="0" xfId="0" applyFont="1" applyFill="1" applyAlignment="1" applyProtection="1">
      <alignment horizontal="center"/>
      <protection hidden="1"/>
    </xf>
    <xf numFmtId="0" fontId="61" fillId="2" borderId="0" xfId="0" applyFont="1" applyFill="1" applyProtection="1">
      <protection hidden="1"/>
    </xf>
    <xf numFmtId="0" fontId="66" fillId="2" borderId="9" xfId="0" applyFont="1" applyFill="1" applyBorder="1" applyAlignment="1" applyProtection="1">
      <alignment vertical="center"/>
      <protection hidden="1"/>
    </xf>
    <xf numFmtId="0" fontId="61" fillId="2" borderId="9" xfId="0" applyFont="1" applyFill="1" applyBorder="1" applyProtection="1">
      <protection hidden="1"/>
    </xf>
    <xf numFmtId="0" fontId="11" fillId="3" borderId="0" xfId="0" applyFont="1" applyFill="1" applyAlignment="1" applyProtection="1">
      <alignment horizontal="left" indent="1"/>
      <protection hidden="1"/>
    </xf>
    <xf numFmtId="0" fontId="61" fillId="3" borderId="0" xfId="0" applyFont="1" applyFill="1" applyAlignment="1" applyProtection="1">
      <alignment horizontal="center"/>
      <protection hidden="1"/>
    </xf>
    <xf numFmtId="164" fontId="61" fillId="3" borderId="0" xfId="0" applyNumberFormat="1" applyFont="1" applyFill="1" applyAlignment="1" applyProtection="1">
      <alignment horizontal="center"/>
      <protection hidden="1"/>
    </xf>
    <xf numFmtId="1" fontId="67" fillId="15" borderId="0" xfId="0" applyNumberFormat="1" applyFont="1" applyFill="1" applyAlignment="1" applyProtection="1">
      <alignment horizontal="center" vertical="center"/>
      <protection hidden="1"/>
    </xf>
    <xf numFmtId="0" fontId="67" fillId="15" borderId="0" xfId="0" applyFont="1" applyFill="1" applyAlignment="1" applyProtection="1">
      <alignment horizontal="center" vertical="center"/>
      <protection hidden="1"/>
    </xf>
    <xf numFmtId="0" fontId="67" fillId="15" borderId="0" xfId="0" applyFont="1" applyFill="1" applyAlignment="1" applyProtection="1">
      <alignment vertical="center"/>
      <protection hidden="1"/>
    </xf>
    <xf numFmtId="0" fontId="9" fillId="2" borderId="0" xfId="0" applyFont="1" applyFill="1" applyAlignment="1" applyProtection="1">
      <alignment vertical="center" wrapText="1"/>
      <protection hidden="1"/>
    </xf>
    <xf numFmtId="0" fontId="9"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protection hidden="1"/>
    </xf>
    <xf numFmtId="0" fontId="60" fillId="3" borderId="0" xfId="0" applyFont="1" applyFill="1" applyAlignment="1" applyProtection="1">
      <alignment horizontal="center" vertical="center" wrapText="1"/>
      <protection hidden="1"/>
    </xf>
    <xf numFmtId="164" fontId="9" fillId="3" borderId="0" xfId="0" applyNumberFormat="1" applyFont="1" applyFill="1" applyAlignment="1" applyProtection="1">
      <alignment horizontal="center" vertical="center" wrapText="1"/>
      <protection hidden="1"/>
    </xf>
    <xf numFmtId="164" fontId="55" fillId="3" borderId="0" xfId="0" applyNumberFormat="1" applyFont="1" applyFill="1" applyAlignment="1" applyProtection="1">
      <alignment horizontal="center" vertical="center" wrapText="1"/>
      <protection hidden="1"/>
    </xf>
    <xf numFmtId="0" fontId="9" fillId="2" borderId="0" xfId="0" applyFont="1" applyFill="1" applyAlignment="1" applyProtection="1">
      <alignment vertical="center"/>
      <protection hidden="1"/>
    </xf>
    <xf numFmtId="0" fontId="60" fillId="2" borderId="0" xfId="0" applyFont="1" applyFill="1" applyAlignment="1" applyProtection="1">
      <alignment vertical="center"/>
      <protection hidden="1"/>
    </xf>
    <xf numFmtId="0" fontId="65" fillId="3"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164" fontId="32" fillId="3" borderId="0" xfId="0" applyNumberFormat="1" applyFont="1" applyFill="1" applyAlignment="1" applyProtection="1">
      <alignment horizontal="center" vertical="center"/>
      <protection hidden="1"/>
    </xf>
    <xf numFmtId="0" fontId="15" fillId="2" borderId="0" xfId="0" applyFont="1" applyFill="1" applyAlignment="1" applyProtection="1">
      <alignment vertical="center"/>
      <protection hidden="1"/>
    </xf>
    <xf numFmtId="1" fontId="32" fillId="3" borderId="0" xfId="0" applyNumberFormat="1" applyFont="1" applyFill="1" applyAlignment="1" applyProtection="1">
      <alignment horizontal="center" vertical="center"/>
      <protection hidden="1"/>
    </xf>
    <xf numFmtId="9" fontId="32" fillId="3" borderId="0" xfId="4" applyFont="1" applyFill="1" applyAlignment="1" applyProtection="1">
      <alignment horizontal="center" vertical="center"/>
      <protection hidden="1"/>
    </xf>
    <xf numFmtId="3" fontId="32" fillId="3" borderId="0" xfId="0" applyNumberFormat="1" applyFont="1" applyFill="1" applyAlignment="1" applyProtection="1">
      <alignment horizontal="center" vertical="center"/>
      <protection hidden="1"/>
    </xf>
    <xf numFmtId="2" fontId="32" fillId="3" borderId="0" xfId="0" applyNumberFormat="1" applyFont="1" applyFill="1" applyAlignment="1" applyProtection="1">
      <alignment horizontal="center" vertical="center"/>
      <protection hidden="1"/>
    </xf>
    <xf numFmtId="0" fontId="4" fillId="3" borderId="0" xfId="0" applyFont="1" applyFill="1" applyAlignment="1" applyProtection="1">
      <alignment horizontal="center"/>
      <protection hidden="1"/>
    </xf>
    <xf numFmtId="164" fontId="4" fillId="3" borderId="0" xfId="0" applyNumberFormat="1" applyFont="1" applyFill="1" applyAlignment="1" applyProtection="1">
      <alignment horizontal="center"/>
      <protection hidden="1"/>
    </xf>
    <xf numFmtId="0" fontId="2" fillId="2" borderId="0" xfId="0" applyFont="1" applyFill="1" applyProtection="1">
      <protection hidden="1"/>
    </xf>
    <xf numFmtId="0" fontId="69" fillId="3" borderId="0" xfId="0" applyFont="1" applyFill="1" applyAlignment="1" applyProtection="1">
      <alignment horizontal="left" indent="1"/>
      <protection hidden="1"/>
    </xf>
    <xf numFmtId="0" fontId="2" fillId="2"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70" fillId="2" borderId="1" xfId="0" applyFont="1" applyFill="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71" fillId="2"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166" fontId="2" fillId="1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3" fontId="2" fillId="14" borderId="1" xfId="0" applyNumberFormat="1" applyFont="1" applyFill="1" applyBorder="1" applyAlignment="1" applyProtection="1">
      <alignment horizontal="center" vertical="center"/>
      <protection hidden="1"/>
    </xf>
    <xf numFmtId="166" fontId="2" fillId="14" borderId="1" xfId="0" applyNumberFormat="1" applyFont="1" applyFill="1" applyBorder="1" applyAlignment="1" applyProtection="1">
      <alignment horizontal="center" vertical="center"/>
      <protection hidden="1"/>
    </xf>
    <xf numFmtId="0" fontId="2" fillId="3" borderId="0" xfId="0" applyFont="1" applyFill="1" applyProtection="1">
      <protection hidden="1"/>
    </xf>
    <xf numFmtId="164" fontId="2" fillId="3" borderId="0" xfId="0" applyNumberFormat="1" applyFont="1" applyFill="1" applyProtection="1">
      <protection hidden="1"/>
    </xf>
    <xf numFmtId="0" fontId="72" fillId="2" borderId="0" xfId="0" applyFont="1" applyFill="1" applyAlignment="1" applyProtection="1">
      <alignment horizontal="center" vertical="center"/>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3" fontId="2" fillId="0" borderId="1" xfId="0" applyNumberFormat="1" applyFont="1" applyBorder="1" applyAlignment="1" applyProtection="1">
      <alignment horizontal="right" vertical="center" indent="1"/>
      <protection hidden="1"/>
    </xf>
    <xf numFmtId="3" fontId="2" fillId="2" borderId="1" xfId="0" applyNumberFormat="1" applyFont="1" applyFill="1" applyBorder="1" applyAlignment="1" applyProtection="1">
      <alignment horizontal="center" vertical="center"/>
      <protection hidden="1"/>
    </xf>
    <xf numFmtId="0" fontId="13" fillId="2" borderId="16" xfId="0" applyFont="1" applyFill="1" applyBorder="1" applyAlignment="1" applyProtection="1">
      <alignment horizontal="left" vertical="center" wrapText="1" indent="1"/>
      <protection hidden="1"/>
    </xf>
    <xf numFmtId="0" fontId="13" fillId="2" borderId="17" xfId="0" applyFont="1" applyFill="1" applyBorder="1" applyAlignment="1" applyProtection="1">
      <alignment horizontal="left" vertical="center" wrapText="1" indent="1"/>
      <protection hidden="1"/>
    </xf>
    <xf numFmtId="0" fontId="20" fillId="2" borderId="0" xfId="0" applyFont="1" applyFill="1" applyAlignment="1" applyProtection="1">
      <alignment horizontal="left" vertical="top" wrapText="1"/>
      <protection hidden="1"/>
    </xf>
    <xf numFmtId="0" fontId="13" fillId="2" borderId="19" xfId="0" applyFont="1" applyFill="1" applyBorder="1" applyAlignment="1" applyProtection="1">
      <alignment horizontal="left" vertical="center" wrapText="1" indent="1"/>
      <protection hidden="1"/>
    </xf>
    <xf numFmtId="0" fontId="13" fillId="2" borderId="20" xfId="0" applyFont="1" applyFill="1" applyBorder="1" applyAlignment="1" applyProtection="1">
      <alignment horizontal="left" vertical="center" wrapText="1" indent="1"/>
      <protection hidden="1"/>
    </xf>
    <xf numFmtId="0" fontId="20" fillId="2" borderId="33" xfId="0" applyFont="1" applyFill="1" applyBorder="1" applyAlignment="1" applyProtection="1">
      <alignment horizontal="left" vertical="center" wrapText="1"/>
      <protection hidden="1"/>
    </xf>
    <xf numFmtId="0" fontId="20" fillId="2" borderId="34" xfId="0" applyFont="1" applyFill="1" applyBorder="1" applyAlignment="1" applyProtection="1">
      <alignment horizontal="left" vertical="center" wrapText="1"/>
      <protection hidden="1"/>
    </xf>
    <xf numFmtId="0" fontId="20" fillId="12" borderId="41" xfId="0" applyFont="1" applyFill="1" applyBorder="1" applyAlignment="1" applyProtection="1">
      <alignment horizontal="left" vertical="center" wrapText="1"/>
      <protection hidden="1"/>
    </xf>
    <xf numFmtId="0" fontId="20" fillId="12" borderId="42" xfId="0" applyFont="1" applyFill="1" applyBorder="1" applyAlignment="1" applyProtection="1">
      <alignment horizontal="left" vertical="center" wrapText="1"/>
      <protection hidden="1"/>
    </xf>
    <xf numFmtId="0" fontId="43" fillId="2" borderId="39" xfId="1" applyFont="1" applyFill="1" applyBorder="1" applyAlignment="1" applyProtection="1">
      <alignment horizontal="left" vertical="center" indent="1"/>
      <protection hidden="1"/>
    </xf>
    <xf numFmtId="0" fontId="43" fillId="2" borderId="33" xfId="1" applyFont="1" applyFill="1" applyBorder="1" applyAlignment="1" applyProtection="1">
      <alignment horizontal="left" vertical="center" indent="1"/>
      <protection hidden="1"/>
    </xf>
    <xf numFmtId="0" fontId="43" fillId="12" borderId="40" xfId="1" applyFont="1" applyFill="1" applyBorder="1" applyAlignment="1" applyProtection="1">
      <alignment horizontal="left" vertical="center" indent="1"/>
      <protection hidden="1"/>
    </xf>
    <xf numFmtId="0" fontId="43" fillId="12" borderId="41" xfId="1" applyFont="1" applyFill="1" applyBorder="1" applyAlignment="1" applyProtection="1">
      <alignment horizontal="left" vertical="center" indent="1"/>
      <protection hidden="1"/>
    </xf>
    <xf numFmtId="0" fontId="13" fillId="6" borderId="5" xfId="0" applyFont="1" applyFill="1" applyBorder="1" applyAlignment="1" applyProtection="1">
      <alignment horizontal="left" vertical="center" indent="1"/>
      <protection hidden="1"/>
    </xf>
    <xf numFmtId="0" fontId="13" fillId="6" borderId="9"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indent="1"/>
      <protection hidden="1"/>
    </xf>
    <xf numFmtId="0" fontId="13" fillId="2" borderId="14" xfId="0" applyFont="1" applyFill="1" applyBorder="1" applyAlignment="1" applyProtection="1">
      <alignment horizontal="left" vertical="center" wrapText="1" indent="1"/>
      <protection hidden="1"/>
    </xf>
    <xf numFmtId="0" fontId="13" fillId="2" borderId="38" xfId="0" applyFont="1" applyFill="1" applyBorder="1" applyAlignment="1" applyProtection="1">
      <alignment horizontal="left" vertical="center" wrapText="1" indent="1"/>
      <protection hidden="1"/>
    </xf>
    <xf numFmtId="0" fontId="13" fillId="6" borderId="0" xfId="0" applyFont="1" applyFill="1" applyAlignment="1" applyProtection="1">
      <alignment horizontal="center" vertical="center"/>
      <protection hidden="1"/>
    </xf>
    <xf numFmtId="0" fontId="13" fillId="6" borderId="31" xfId="0" applyFont="1" applyFill="1" applyBorder="1" applyAlignment="1" applyProtection="1">
      <alignment horizontal="center" vertical="center"/>
      <protection hidden="1"/>
    </xf>
    <xf numFmtId="0" fontId="13" fillId="0" borderId="15" xfId="0" applyFont="1" applyBorder="1" applyAlignment="1" applyProtection="1">
      <alignment horizontal="left" vertical="center" wrapText="1" indent="1"/>
      <protection hidden="1"/>
    </xf>
    <xf numFmtId="0" fontId="13" fillId="0" borderId="24" xfId="0" applyFont="1" applyBorder="1" applyAlignment="1" applyProtection="1">
      <alignment horizontal="left" vertical="center" wrapText="1" indent="1"/>
      <protection hidden="1"/>
    </xf>
    <xf numFmtId="0" fontId="13" fillId="0" borderId="17" xfId="0" applyFont="1" applyBorder="1" applyAlignment="1" applyProtection="1">
      <alignment horizontal="left" vertical="center" wrapText="1" indent="1"/>
      <protection hidden="1"/>
    </xf>
    <xf numFmtId="0" fontId="13" fillId="0" borderId="13" xfId="0" applyFont="1" applyBorder="1" applyAlignment="1" applyProtection="1">
      <alignment horizontal="left" vertical="center" wrapText="1" indent="1"/>
      <protection hidden="1"/>
    </xf>
    <xf numFmtId="0" fontId="13" fillId="0" borderId="27" xfId="0" applyFont="1" applyBorder="1" applyAlignment="1" applyProtection="1">
      <alignment horizontal="left" vertical="center" wrapText="1" indent="1"/>
      <protection hidden="1"/>
    </xf>
    <xf numFmtId="0" fontId="13" fillId="0" borderId="38" xfId="0" applyFont="1" applyBorder="1" applyAlignment="1" applyProtection="1">
      <alignment horizontal="left" vertical="center" wrapText="1" indent="1"/>
      <protection hidden="1"/>
    </xf>
    <xf numFmtId="0" fontId="13" fillId="0" borderId="16" xfId="0" applyFont="1" applyBorder="1" applyAlignment="1" applyProtection="1">
      <alignment horizontal="left" vertical="center" wrapText="1" indent="1"/>
      <protection hidden="1"/>
    </xf>
    <xf numFmtId="0" fontId="13" fillId="0" borderId="39" xfId="0" applyFont="1" applyBorder="1" applyAlignment="1" applyProtection="1">
      <alignment horizontal="left" vertical="center" wrapText="1" indent="1"/>
      <protection hidden="1"/>
    </xf>
    <xf numFmtId="0" fontId="13" fillId="0" borderId="33" xfId="0" applyFont="1" applyBorder="1" applyAlignment="1" applyProtection="1">
      <alignment horizontal="left" vertical="center" wrapText="1" indent="1"/>
      <protection hidden="1"/>
    </xf>
    <xf numFmtId="0" fontId="13" fillId="0" borderId="34" xfId="0" applyFont="1" applyBorder="1" applyAlignment="1" applyProtection="1">
      <alignment horizontal="left" vertical="center" wrapText="1" indent="1"/>
      <protection hidden="1"/>
    </xf>
    <xf numFmtId="0" fontId="20" fillId="2" borderId="0" xfId="0" applyFont="1" applyFill="1" applyAlignment="1" applyProtection="1">
      <alignment horizontal="left" vertical="center" wrapText="1"/>
      <protection hidden="1"/>
    </xf>
    <xf numFmtId="0" fontId="13" fillId="0" borderId="46" xfId="0" applyFont="1" applyBorder="1" applyAlignment="1" applyProtection="1">
      <alignment horizontal="left" vertical="center" wrapText="1" indent="1"/>
      <protection hidden="1"/>
    </xf>
    <xf numFmtId="0" fontId="13" fillId="0" borderId="48" xfId="0" applyFont="1" applyBorder="1" applyAlignment="1" applyProtection="1">
      <alignment horizontal="left" vertical="center" wrapText="1" indent="1"/>
      <protection hidden="1"/>
    </xf>
    <xf numFmtId="0" fontId="13" fillId="0" borderId="47" xfId="0" applyFont="1" applyBorder="1" applyAlignment="1" applyProtection="1">
      <alignment horizontal="left" vertical="center" wrapText="1" indent="1"/>
      <protection hidden="1"/>
    </xf>
    <xf numFmtId="0" fontId="13" fillId="0" borderId="45" xfId="0" applyFont="1" applyBorder="1" applyAlignment="1" applyProtection="1">
      <alignment horizontal="left" vertical="center" wrapText="1" indent="1"/>
      <protection hidden="1"/>
    </xf>
    <xf numFmtId="0" fontId="13" fillId="0" borderId="44"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wrapText="1" indent="1"/>
      <protection hidden="1"/>
    </xf>
    <xf numFmtId="0" fontId="13" fillId="0" borderId="23"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indent="1"/>
      <protection hidden="1"/>
    </xf>
    <xf numFmtId="0" fontId="13" fillId="0" borderId="23" xfId="0" applyFont="1" applyBorder="1" applyAlignment="1" applyProtection="1">
      <alignment horizontal="left" vertical="center" indent="1"/>
      <protection hidden="1"/>
    </xf>
    <xf numFmtId="0" fontId="32" fillId="2" borderId="0" xfId="0" applyFont="1" applyFill="1" applyAlignment="1" applyProtection="1">
      <alignment horizontal="justify" vertical="top" wrapText="1"/>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6" borderId="5" xfId="0" applyFont="1" applyFill="1" applyBorder="1" applyAlignment="1" applyProtection="1">
      <alignment horizontal="center" vertical="center"/>
      <protection hidden="1"/>
    </xf>
    <xf numFmtId="0" fontId="27" fillId="2" borderId="0" xfId="0" applyFont="1" applyFill="1" applyAlignment="1" applyProtection="1">
      <alignment horizontal="center" vertical="top" wrapText="1"/>
      <protection hidden="1"/>
    </xf>
    <xf numFmtId="0" fontId="32" fillId="2" borderId="0" xfId="0" applyFont="1" applyFill="1" applyAlignment="1" applyProtection="1">
      <alignment horizontal="left" vertical="top" wrapText="1"/>
      <protection hidden="1"/>
    </xf>
    <xf numFmtId="0" fontId="68" fillId="2" borderId="0" xfId="0" applyFont="1" applyFill="1" applyAlignment="1" applyProtection="1">
      <alignment horizontal="left"/>
      <protection hidden="1"/>
    </xf>
    <xf numFmtId="0" fontId="30" fillId="2" borderId="3" xfId="0" applyFont="1" applyFill="1" applyBorder="1" applyAlignment="1" applyProtection="1">
      <alignment horizontal="center"/>
      <protection hidden="1"/>
    </xf>
    <xf numFmtId="0" fontId="28" fillId="2" borderId="0" xfId="0" applyFont="1" applyFill="1" applyAlignment="1" applyProtection="1">
      <alignment horizontal="center" vertical="center" wrapText="1"/>
      <protection hidden="1"/>
    </xf>
    <xf numFmtId="0" fontId="39" fillId="2" borderId="0" xfId="0" applyFont="1" applyFill="1" applyAlignment="1" applyProtection="1">
      <alignment horizontal="justify" vertical="center" wrapText="1"/>
      <protection hidden="1"/>
    </xf>
    <xf numFmtId="14" fontId="20" fillId="2" borderId="0" xfId="0" applyNumberFormat="1" applyFont="1" applyFill="1" applyAlignment="1" applyProtection="1">
      <alignment horizontal="right" vertical="center"/>
      <protection hidden="1"/>
    </xf>
    <xf numFmtId="0" fontId="51" fillId="2" borderId="0" xfId="0" applyFont="1" applyFill="1" applyAlignment="1" applyProtection="1">
      <alignment horizontal="center" vertical="top"/>
      <protection hidden="1"/>
    </xf>
    <xf numFmtId="0" fontId="54" fillId="2" borderId="0" xfId="1" applyFont="1" applyFill="1" applyAlignment="1" applyProtection="1">
      <alignment horizontal="left"/>
      <protection hidden="1"/>
    </xf>
    <xf numFmtId="0" fontId="32" fillId="2" borderId="0" xfId="0" applyFont="1" applyFill="1" applyAlignment="1" applyProtection="1">
      <alignment horizontal="left" vertical="center" wrapText="1"/>
      <protection hidden="1"/>
    </xf>
    <xf numFmtId="0" fontId="42" fillId="2" borderId="0" xfId="0" applyFont="1" applyFill="1" applyAlignment="1" applyProtection="1">
      <alignment horizontal="left" vertical="center" wrapText="1"/>
      <protection hidden="1"/>
    </xf>
    <xf numFmtId="0" fontId="13" fillId="0" borderId="18" xfId="0" applyFont="1" applyBorder="1" applyAlignment="1" applyProtection="1">
      <alignment horizontal="left" vertical="center" wrapText="1" indent="1"/>
      <protection hidden="1"/>
    </xf>
    <xf numFmtId="0" fontId="13" fillId="0" borderId="29" xfId="0" applyFont="1" applyBorder="1" applyAlignment="1" applyProtection="1">
      <alignment horizontal="left" vertical="center" wrapText="1" indent="1"/>
      <protection hidden="1"/>
    </xf>
    <xf numFmtId="0" fontId="13" fillId="0" borderId="20" xfId="0" applyFont="1" applyBorder="1" applyAlignment="1" applyProtection="1">
      <alignment horizontal="left" vertical="center" wrapText="1" indent="1"/>
      <protection hidden="1"/>
    </xf>
    <xf numFmtId="0" fontId="13" fillId="0" borderId="19" xfId="0" applyFont="1" applyBorder="1" applyAlignment="1" applyProtection="1">
      <alignment horizontal="left" vertical="center" wrapText="1" indent="1"/>
      <protection hidden="1"/>
    </xf>
    <xf numFmtId="3" fontId="11" fillId="2" borderId="5" xfId="0" applyNumberFormat="1" applyFont="1" applyFill="1" applyBorder="1" applyAlignment="1" applyProtection="1">
      <alignment horizontal="center" vertical="center"/>
      <protection hidden="1"/>
    </xf>
    <xf numFmtId="3" fontId="11" fillId="2" borderId="9" xfId="0" applyNumberFormat="1" applyFont="1" applyFill="1" applyBorder="1" applyAlignment="1" applyProtection="1">
      <alignment horizontal="center" vertical="center"/>
      <protection hidden="1"/>
    </xf>
    <xf numFmtId="3" fontId="11" fillId="2" borderId="10" xfId="0" applyNumberFormat="1" applyFont="1" applyFill="1" applyBorder="1" applyAlignment="1" applyProtection="1">
      <alignment horizontal="center" vertical="center"/>
      <protection hidden="1"/>
    </xf>
    <xf numFmtId="0" fontId="32" fillId="0" borderId="0" xfId="0" applyFont="1" applyAlignment="1" applyProtection="1">
      <alignment horizontal="justify" vertical="top" wrapText="1"/>
      <protection hidden="1"/>
    </xf>
    <xf numFmtId="0" fontId="20" fillId="2" borderId="3" xfId="0" applyFont="1" applyFill="1" applyBorder="1" applyAlignment="1" applyProtection="1">
      <alignment horizontal="left" vertical="center" wrapText="1"/>
      <protection hidden="1"/>
    </xf>
    <xf numFmtId="0" fontId="32" fillId="2" borderId="31" xfId="0" applyFont="1" applyFill="1" applyBorder="1" applyAlignment="1" applyProtection="1">
      <alignment horizontal="left" vertical="top" wrapText="1"/>
      <protection hidden="1"/>
    </xf>
    <xf numFmtId="0" fontId="2" fillId="2" borderId="6" xfId="0" applyFont="1" applyFill="1" applyBorder="1" applyAlignment="1" applyProtection="1">
      <alignment horizontal="center" vertical="center"/>
      <protection hidden="1"/>
    </xf>
    <xf numFmtId="0" fontId="2" fillId="2" borderId="8" xfId="0" applyFont="1" applyFill="1" applyBorder="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11" fillId="2" borderId="5" xfId="0" applyFont="1" applyFill="1" applyBorder="1" applyAlignment="1" applyProtection="1">
      <alignment horizontal="left" vertical="center" wrapText="1" indent="1"/>
      <protection hidden="1"/>
    </xf>
    <xf numFmtId="0" fontId="11" fillId="2" borderId="9" xfId="0" applyFont="1" applyFill="1" applyBorder="1" applyAlignment="1" applyProtection="1">
      <alignment horizontal="left" vertical="center" wrapText="1" indent="1"/>
      <protection hidden="1"/>
    </xf>
    <xf numFmtId="0" fontId="13" fillId="13" borderId="14" xfId="0" applyFont="1" applyFill="1" applyBorder="1" applyAlignment="1" applyProtection="1">
      <alignment horizontal="left" vertical="center" indent="1"/>
      <protection locked="0"/>
    </xf>
    <xf numFmtId="0" fontId="13" fillId="13" borderId="38" xfId="0" applyFont="1" applyFill="1" applyBorder="1" applyAlignment="1" applyProtection="1">
      <alignment horizontal="left" vertical="center" indent="1"/>
      <protection locked="0"/>
    </xf>
    <xf numFmtId="0" fontId="13" fillId="12" borderId="21" xfId="0" applyFont="1" applyFill="1" applyBorder="1" applyAlignment="1" applyProtection="1">
      <alignment horizontal="left" vertical="center" indent="1"/>
      <protection locked="0"/>
    </xf>
    <xf numFmtId="0" fontId="13" fillId="12" borderId="23" xfId="0" applyFont="1" applyFill="1" applyBorder="1" applyAlignment="1" applyProtection="1">
      <alignment horizontal="left" vertical="center" indent="1"/>
      <protection locked="0"/>
    </xf>
    <xf numFmtId="3" fontId="13" fillId="2" borderId="19" xfId="0" applyNumberFormat="1" applyFont="1" applyFill="1" applyBorder="1" applyAlignment="1" applyProtection="1">
      <alignment horizontal="left" vertical="center" indent="1"/>
      <protection hidden="1"/>
    </xf>
    <xf numFmtId="3" fontId="13" fillId="2" borderId="20" xfId="0" applyNumberFormat="1" applyFont="1" applyFill="1" applyBorder="1" applyAlignment="1" applyProtection="1">
      <alignment horizontal="left" vertical="center"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5">
    <dxf>
      <font>
        <color rgb="FFFF0000"/>
      </font>
      <fill>
        <patternFill>
          <bgColor rgb="FFFFC000"/>
        </patternFill>
      </fill>
    </dxf>
    <dxf>
      <font>
        <color theme="0"/>
      </font>
    </dxf>
    <dxf>
      <font>
        <color theme="0"/>
      </font>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6" hidden="1" customWidth="1"/>
    <col min="20" max="20" width="10.7109375" style="54" hidden="1" customWidth="1"/>
    <col min="21" max="21" width="100.7109375" style="7" hidden="1" customWidth="1"/>
    <col min="22" max="16384" width="9.140625" style="76" hidden="1"/>
  </cols>
  <sheetData>
    <row r="1" spans="1:23" s="47" customFormat="1" ht="30" customHeight="1" x14ac:dyDescent="0.2">
      <c r="A1" s="11"/>
      <c r="B1" s="11"/>
      <c r="C1" s="11"/>
      <c r="D1" s="11"/>
      <c r="E1" s="11"/>
      <c r="F1" s="11"/>
      <c r="G1" s="11"/>
      <c r="H1" s="11"/>
      <c r="I1" s="11"/>
      <c r="J1" s="11"/>
      <c r="K1" s="11"/>
      <c r="L1" s="11"/>
      <c r="M1" s="11"/>
      <c r="N1" s="45" t="s">
        <v>4624</v>
      </c>
      <c r="O1" s="45" t="s">
        <v>4624</v>
      </c>
      <c r="P1" s="175" t="s">
        <v>4808</v>
      </c>
      <c r="Q1" s="175" t="s">
        <v>4808</v>
      </c>
      <c r="R1" s="170" t="s">
        <v>4812</v>
      </c>
      <c r="S1" s="170" t="s">
        <v>4812</v>
      </c>
      <c r="T1" s="46" t="s">
        <v>4625</v>
      </c>
      <c r="U1" s="179" t="s">
        <v>4869</v>
      </c>
      <c r="V1" s="76"/>
      <c r="W1" s="76"/>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60"/>
      <c r="P2" s="166"/>
      <c r="Q2" s="166"/>
      <c r="R2" s="7"/>
      <c r="S2" s="7"/>
      <c r="T2" s="54"/>
      <c r="U2" s="7"/>
      <c r="V2" s="76"/>
      <c r="W2" s="76"/>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60"/>
      <c r="P3" s="166"/>
      <c r="Q3" s="166"/>
      <c r="R3" s="7"/>
      <c r="S3" s="7"/>
      <c r="T3" s="54"/>
      <c r="U3" s="7"/>
      <c r="V3" s="76"/>
      <c r="W3" s="76"/>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60"/>
      <c r="P4" s="166"/>
      <c r="Q4" s="166"/>
      <c r="R4" s="7"/>
      <c r="S4" s="7"/>
      <c r="T4" s="54"/>
      <c r="U4" s="7"/>
      <c r="V4" s="76"/>
      <c r="W4" s="76"/>
    </row>
    <row r="5" spans="1:23" s="47" customFormat="1" ht="30" customHeight="1" x14ac:dyDescent="0.2">
      <c r="A5" s="11"/>
      <c r="B5" s="11"/>
      <c r="C5" s="11"/>
      <c r="D5" s="11"/>
      <c r="E5" s="11"/>
      <c r="F5" s="11"/>
      <c r="G5" s="11"/>
      <c r="H5" s="11"/>
      <c r="I5" s="11"/>
      <c r="J5" s="11"/>
      <c r="K5" s="11"/>
      <c r="L5" s="11"/>
      <c r="M5" s="11"/>
      <c r="N5" s="51"/>
      <c r="O5" s="160"/>
      <c r="P5" s="166"/>
      <c r="Q5" s="166"/>
      <c r="R5" s="7"/>
      <c r="S5" s="7"/>
      <c r="T5" s="54"/>
      <c r="U5" s="7"/>
      <c r="V5" s="76"/>
      <c r="W5" s="76"/>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60"/>
      <c r="P6" s="167"/>
      <c r="Q6" s="166"/>
      <c r="R6" s="190" cm="1">
        <f t="array" ref="R6">_xlfn.SWITCH(L6, "D", 1, "F", 2, "I", 3)</f>
        <v>1</v>
      </c>
      <c r="S6" s="163" t="s">
        <v>4626</v>
      </c>
      <c r="T6" s="54"/>
      <c r="U6" s="7"/>
      <c r="V6" s="76"/>
      <c r="W6" s="76"/>
    </row>
    <row r="7" spans="1:23" ht="5.0999999999999996" customHeight="1" x14ac:dyDescent="0.2">
      <c r="A7" s="10"/>
      <c r="B7" s="6">
        <f>IF(B12="D", 1, IF(B12="F", 2, 3))</f>
        <v>3</v>
      </c>
      <c r="F7" s="10"/>
      <c r="G7" s="12"/>
      <c r="H7" s="12"/>
      <c r="I7" s="12"/>
      <c r="J7" s="12"/>
      <c r="M7" s="10"/>
      <c r="N7" s="51"/>
      <c r="O7" s="160"/>
      <c r="P7" s="166"/>
      <c r="Q7" s="166"/>
      <c r="R7" s="164"/>
      <c r="S7" s="164"/>
    </row>
    <row r="8" spans="1:23" s="77" customFormat="1" ht="12.75" customHeight="1" x14ac:dyDescent="0.2">
      <c r="A8" s="15"/>
      <c r="B8" s="16"/>
      <c r="C8" s="17"/>
      <c r="D8" s="18"/>
      <c r="E8" s="18"/>
      <c r="F8" s="15"/>
      <c r="G8" s="12"/>
      <c r="H8" s="12"/>
      <c r="I8" s="137" t="str" cm="1">
        <f t="array" ref="I8">INDEX(Trad, N8, $R$6)</f>
        <v>Massnahme</v>
      </c>
      <c r="J8" s="12"/>
      <c r="K8" s="65"/>
      <c r="L8" s="138" t="str">
        <f>R8</f>
        <v>KA-04a</v>
      </c>
      <c r="M8" s="15"/>
      <c r="N8" s="51">
        <v>23</v>
      </c>
      <c r="O8" s="161"/>
      <c r="P8" s="168"/>
      <c r="Q8" s="166"/>
      <c r="R8" s="171" t="s">
        <v>5057</v>
      </c>
      <c r="S8" s="163" t="s">
        <v>4806</v>
      </c>
      <c r="T8" s="54"/>
      <c r="U8" s="189" t="s">
        <v>4873</v>
      </c>
    </row>
    <row r="9" spans="1:23" ht="12.75" customHeight="1" x14ac:dyDescent="0.2">
      <c r="A9" s="10"/>
      <c r="B9" s="14"/>
      <c r="C9" s="13"/>
      <c r="E9" s="13"/>
      <c r="F9" s="10"/>
      <c r="G9" s="12"/>
      <c r="H9" s="12"/>
      <c r="I9" s="137" t="str" cm="1">
        <f t="array" ref="I9">INDEX(Trad, N9, $R$6)</f>
        <v>Version</v>
      </c>
      <c r="J9" s="12"/>
      <c r="K9" s="65"/>
      <c r="L9" s="138" t="str">
        <f>R10</f>
        <v>2.0 (11.2025)</v>
      </c>
      <c r="M9" s="10"/>
      <c r="N9" s="51">
        <v>24</v>
      </c>
      <c r="O9" s="160"/>
      <c r="P9" s="166"/>
      <c r="Q9" s="166"/>
      <c r="R9" s="190">
        <v>1</v>
      </c>
      <c r="S9" s="163" t="s">
        <v>4810</v>
      </c>
    </row>
    <row r="10" spans="1:23" ht="12.75" customHeight="1" x14ac:dyDescent="0.2">
      <c r="A10" s="10"/>
      <c r="B10" s="14"/>
      <c r="C10" s="13"/>
      <c r="E10" s="13"/>
      <c r="F10" s="10"/>
      <c r="G10" s="12"/>
      <c r="H10" s="12"/>
      <c r="I10" s="12"/>
      <c r="J10" s="12"/>
      <c r="K10" s="65"/>
      <c r="L10" s="134"/>
      <c r="M10" s="10"/>
      <c r="N10" s="51"/>
      <c r="O10" s="160"/>
      <c r="P10" s="166"/>
      <c r="Q10" s="166"/>
      <c r="R10" s="190" t="str">
        <f>$Q$21&amp;" ("&amp;$Q$22&amp;")"</f>
        <v>2.0 (11.2025)</v>
      </c>
      <c r="S10" s="163" t="s">
        <v>4807</v>
      </c>
    </row>
    <row r="11" spans="1:23" ht="12.75" customHeight="1" x14ac:dyDescent="0.2">
      <c r="A11" s="10"/>
      <c r="B11" s="14"/>
      <c r="C11" s="13"/>
      <c r="E11" s="13"/>
      <c r="F11" s="10"/>
      <c r="G11" s="12"/>
      <c r="H11" s="12"/>
      <c r="I11" s="12"/>
      <c r="J11" s="12"/>
      <c r="K11" s="65"/>
      <c r="L11" s="134"/>
      <c r="M11" s="10"/>
      <c r="N11" s="51"/>
      <c r="O11" s="160"/>
      <c r="P11" s="166"/>
      <c r="Q11" s="166"/>
      <c r="R11" s="7"/>
      <c r="S11" s="7"/>
    </row>
    <row r="12" spans="1:23" ht="12.75" customHeight="1" x14ac:dyDescent="0.2">
      <c r="A12" s="10"/>
      <c r="B12" s="6">
        <f>IF(B21="D", 1, IF(B21="F", 2, 3))</f>
        <v>3</v>
      </c>
      <c r="F12" s="10"/>
      <c r="G12" s="12"/>
      <c r="H12" s="12"/>
      <c r="I12" s="12"/>
      <c r="J12" s="12"/>
      <c r="M12" s="10"/>
      <c r="N12" s="51"/>
      <c r="O12" s="160"/>
      <c r="P12" s="166"/>
      <c r="Q12" s="166"/>
      <c r="R12" s="190">
        <f>Lang + 3*(R9-1)</f>
        <v>1</v>
      </c>
      <c r="S12" s="163" t="s">
        <v>4809</v>
      </c>
    </row>
    <row r="13" spans="1:23" s="77" customFormat="1" ht="20.100000000000001" customHeight="1" x14ac:dyDescent="0.2">
      <c r="A13" s="15"/>
      <c r="B13" s="73" t="str" cm="1">
        <f t="array" ref="B13">INDEX(Trad, N13, Lang)</f>
        <v>Inhaltsverzeichnis</v>
      </c>
      <c r="C13" s="17"/>
      <c r="D13" s="18"/>
      <c r="E13" s="18"/>
      <c r="F13" s="15"/>
      <c r="G13" s="12"/>
      <c r="H13" s="12"/>
      <c r="I13" s="12"/>
      <c r="J13" s="12"/>
      <c r="K13" s="18"/>
      <c r="L13" s="18"/>
      <c r="M13" s="15"/>
      <c r="N13" s="51">
        <v>205</v>
      </c>
      <c r="O13" s="161"/>
      <c r="P13" s="168"/>
      <c r="Q13" s="166"/>
      <c r="R13" s="7"/>
      <c r="S13" s="7"/>
      <c r="T13" s="54"/>
      <c r="U13" s="7"/>
    </row>
    <row r="14" spans="1:23" ht="8.1" customHeight="1" x14ac:dyDescent="0.2">
      <c r="A14" s="10"/>
      <c r="B14" s="14"/>
      <c r="C14" s="13"/>
      <c r="E14" s="13"/>
      <c r="F14" s="10"/>
      <c r="G14" s="12"/>
      <c r="H14" s="12"/>
      <c r="I14" s="12"/>
      <c r="J14" s="12"/>
      <c r="M14" s="10"/>
      <c r="N14" s="51"/>
      <c r="O14" s="160"/>
      <c r="P14" s="166"/>
      <c r="Q14" s="166"/>
      <c r="R14" s="7"/>
      <c r="S14" s="7"/>
    </row>
    <row r="15" spans="1:23" ht="24.95" customHeight="1" x14ac:dyDescent="0.2">
      <c r="A15" s="11"/>
      <c r="B15" s="274" t="str" cm="1">
        <f t="array" ref="B15">INDEX(Trad, N15, Lang)</f>
        <v>A. Einsparprotokoll</v>
      </c>
      <c r="C15" s="275"/>
      <c r="D15" s="275"/>
      <c r="E15" s="275"/>
      <c r="F15" s="270" t="str" cm="1">
        <f t="array" ref="F15">INDEX(Trad, O15, $R$6)</f>
        <v>legt den Anwendungsbereich und die Anforderungen für die Umsetzung der Massnahme sowie an die Nachweise fest. Es ist keine Eingabe erforderlich.</v>
      </c>
      <c r="G15" s="270"/>
      <c r="H15" s="270"/>
      <c r="I15" s="270"/>
      <c r="J15" s="270"/>
      <c r="K15" s="270"/>
      <c r="L15" s="271"/>
      <c r="M15" s="10"/>
      <c r="N15" s="51">
        <v>206</v>
      </c>
      <c r="O15" s="51">
        <v>208</v>
      </c>
      <c r="P15" s="166"/>
      <c r="Q15" s="166"/>
      <c r="R15" s="7"/>
      <c r="S15" s="7"/>
    </row>
    <row r="16" spans="1:23" s="82" customFormat="1" ht="24.95" customHeight="1" x14ac:dyDescent="0.2">
      <c r="A16" s="11"/>
      <c r="B16" s="276" t="str" cm="1">
        <f t="array" ref="B16">INDEX(Trad, N16, Lang)</f>
        <v>B. Monitoringliste</v>
      </c>
      <c r="C16" s="277"/>
      <c r="D16" s="277"/>
      <c r="E16" s="277"/>
      <c r="F16" s="272" t="str" cm="1">
        <f t="array" ref="F16">INDEX(Trad, O16, $R$6)</f>
        <v>fasst die in diesem Protokoll gemeldeten Massnahmen zusammen. Alle Eingabefelder müssen für jede Massnahme ausgefüllt werden.</v>
      </c>
      <c r="G16" s="272"/>
      <c r="H16" s="272"/>
      <c r="I16" s="272"/>
      <c r="J16" s="272"/>
      <c r="K16" s="272"/>
      <c r="L16" s="273"/>
      <c r="M16" s="79"/>
      <c r="N16" s="51">
        <v>207</v>
      </c>
      <c r="O16" s="51">
        <v>209</v>
      </c>
      <c r="P16" s="169"/>
      <c r="Q16" s="166"/>
      <c r="R16" s="7"/>
      <c r="S16" s="7"/>
      <c r="T16" s="54"/>
      <c r="U16" s="7"/>
    </row>
    <row r="17" spans="1:21" s="82" customFormat="1" ht="20.100000000000001" customHeight="1" x14ac:dyDescent="0.2">
      <c r="A17" s="10"/>
      <c r="B17" s="78"/>
      <c r="C17" s="83"/>
      <c r="D17" s="7"/>
      <c r="E17" s="83"/>
      <c r="F17" s="79"/>
      <c r="G17" s="81"/>
      <c r="H17" s="81"/>
      <c r="I17" s="81"/>
      <c r="J17" s="81"/>
      <c r="K17" s="80"/>
      <c r="L17" s="80"/>
      <c r="M17" s="79"/>
      <c r="N17" s="51"/>
      <c r="O17" s="162"/>
      <c r="P17" s="169"/>
      <c r="Q17" s="166"/>
      <c r="R17" s="80"/>
      <c r="S17" s="80"/>
      <c r="T17" s="54"/>
      <c r="U17" s="7"/>
    </row>
    <row r="18" spans="1:21" ht="12.75" customHeight="1" x14ac:dyDescent="0.2">
      <c r="A18" s="10"/>
      <c r="B18" s="14"/>
      <c r="C18" s="13"/>
      <c r="E18" s="13"/>
      <c r="F18" s="10"/>
      <c r="G18" s="12"/>
      <c r="H18" s="12"/>
      <c r="I18" s="12"/>
      <c r="J18" s="12"/>
      <c r="M18" s="10"/>
      <c r="N18" s="51"/>
      <c r="O18" s="160"/>
      <c r="P18" s="166"/>
      <c r="Q18" s="166"/>
      <c r="R18" s="7"/>
      <c r="S18" s="7"/>
      <c r="T18" s="46"/>
    </row>
    <row r="19" spans="1:21" s="77" customFormat="1" ht="20.100000000000001" customHeight="1" x14ac:dyDescent="0.2">
      <c r="A19" s="15"/>
      <c r="B19" s="73" t="str" cm="1">
        <f t="array" ref="B19">INDEX(Trad, N19, Lang)</f>
        <v>Versionshistorie</v>
      </c>
      <c r="C19" s="17"/>
      <c r="D19" s="18"/>
      <c r="E19" s="18"/>
      <c r="F19" s="15"/>
      <c r="G19" s="12"/>
      <c r="H19" s="12"/>
      <c r="I19" s="12"/>
      <c r="J19" s="12"/>
      <c r="K19" s="18"/>
      <c r="L19" s="18"/>
      <c r="M19" s="15"/>
      <c r="N19" s="51">
        <v>210</v>
      </c>
      <c r="O19" s="161"/>
      <c r="P19" s="168"/>
      <c r="Q19" s="166"/>
      <c r="R19" s="18"/>
      <c r="S19" s="18"/>
      <c r="T19" s="54"/>
      <c r="U19" s="7"/>
    </row>
    <row r="20" spans="1:21" ht="8.1" customHeight="1" x14ac:dyDescent="0.2">
      <c r="A20" s="10"/>
      <c r="B20" s="14"/>
      <c r="C20" s="13"/>
      <c r="E20" s="13"/>
      <c r="F20" s="10"/>
      <c r="G20" s="12"/>
      <c r="H20" s="12"/>
      <c r="I20" s="12"/>
      <c r="J20" s="12"/>
      <c r="M20" s="10"/>
      <c r="N20" s="51"/>
      <c r="O20" s="160"/>
      <c r="P20" s="168"/>
      <c r="Q20" s="166"/>
      <c r="R20" s="7"/>
      <c r="S20" s="7"/>
    </row>
    <row r="21" spans="1:21" s="77" customFormat="1" ht="20.100000000000001" customHeight="1" x14ac:dyDescent="0.2">
      <c r="A21" s="18"/>
      <c r="B21" s="136" t="s">
        <v>4684</v>
      </c>
      <c r="C21" s="135" t="str" cm="1">
        <f t="array" ref="C21">INDEX(Trad, N21, Lang)</f>
        <v>Datum</v>
      </c>
      <c r="D21" s="278" t="str" cm="1">
        <f t="array" ref="D21">INDEX(Trad, O21, Lang)</f>
        <v>Änderung</v>
      </c>
      <c r="E21" s="279"/>
      <c r="F21" s="279"/>
      <c r="G21" s="279"/>
      <c r="H21" s="279"/>
      <c r="I21" s="279"/>
      <c r="J21" s="279"/>
      <c r="K21" s="279"/>
      <c r="L21" s="280"/>
      <c r="M21" s="18"/>
      <c r="N21" s="51">
        <v>211</v>
      </c>
      <c r="O21" s="51">
        <v>220</v>
      </c>
      <c r="P21" s="132" cm="1">
        <f t="array" ref="P21">_xlfn.XLOOKUP(TRUE, $R$22:$R$35&lt;&gt;"", $R$22:$R$35, , ,-1)</f>
        <v>2</v>
      </c>
      <c r="Q21" s="132" t="str">
        <f>TEXT(P21,"#.0")</f>
        <v>2.0</v>
      </c>
      <c r="R21" s="18"/>
      <c r="S21" s="18"/>
      <c r="T21" s="54"/>
      <c r="U21" s="7"/>
    </row>
    <row r="22" spans="1:21" ht="15" customHeight="1" x14ac:dyDescent="0.2">
      <c r="B22" s="172">
        <f>IF(OR(ISBLANK(R22), P22=R22),"",R22)</f>
        <v>1</v>
      </c>
      <c r="C22" s="149">
        <f>IF(OR(ISBLANK(S22), Q22=S22),"",S22)</f>
        <v>45597</v>
      </c>
      <c r="D22" s="281" t="str" cm="1">
        <f t="array" ref="D22">IF(ISBLANK(B22), "", INDEX(Trad, N22, Lang))</f>
        <v>Erste Fassung</v>
      </c>
      <c r="E22" s="281"/>
      <c r="F22" s="281"/>
      <c r="G22" s="281"/>
      <c r="H22" s="281"/>
      <c r="I22" s="281"/>
      <c r="J22" s="281"/>
      <c r="K22" s="281"/>
      <c r="L22" s="282"/>
      <c r="N22" s="51">
        <v>221</v>
      </c>
      <c r="O22" s="160"/>
      <c r="P22" s="146">
        <f>VLOOKUP(P21, $R$22:$S$35, 2, FALSE)</f>
        <v>45962</v>
      </c>
      <c r="Q22" s="146" t="str">
        <f>TEXT(Version!P22,"mm.aaaa")</f>
        <v>11.2025</v>
      </c>
      <c r="R22" s="178">
        <v>1</v>
      </c>
      <c r="S22" s="177">
        <v>45597</v>
      </c>
      <c r="T22" s="54">
        <f>1</f>
        <v>1</v>
      </c>
      <c r="U22" s="189" t="s">
        <v>4874</v>
      </c>
    </row>
    <row r="23" spans="1:21" ht="15" customHeight="1" x14ac:dyDescent="0.2">
      <c r="B23" s="173">
        <f t="shared" ref="B23:C35" si="0">IF(OR(ISBLANK(R23), R22=R23),"",R23)</f>
        <v>2</v>
      </c>
      <c r="C23" s="150">
        <f t="shared" si="0"/>
        <v>45962</v>
      </c>
      <c r="D23" s="265" t="str" cm="1">
        <f t="array" ref="D23">IF(ISBLANK(INDEX(Trad, N23, Lang_measure)), "", INDEX(Trad, N23, Lang_measure))</f>
        <v>Aufnahme einer Übersichtstabelle über die Änderungen zwischen den früheren Versionen</v>
      </c>
      <c r="E23" s="265"/>
      <c r="F23" s="265"/>
      <c r="G23" s="265"/>
      <c r="H23" s="265"/>
      <c r="I23" s="265"/>
      <c r="J23" s="265"/>
      <c r="K23" s="265"/>
      <c r="L23" s="266"/>
      <c r="N23" s="45">
        <v>222</v>
      </c>
      <c r="O23" s="160"/>
      <c r="P23" s="176"/>
      <c r="Q23" s="165"/>
      <c r="R23" s="178">
        <v>2</v>
      </c>
      <c r="S23" s="177">
        <v>45962</v>
      </c>
      <c r="T23" s="54">
        <f>IF(ISBLANK(R23), 1001, IF(R23&lt;&gt;R22, T22+1,T22))</f>
        <v>2</v>
      </c>
      <c r="U23" s="189"/>
    </row>
    <row r="24" spans="1:21" ht="15" customHeight="1" x14ac:dyDescent="0.2">
      <c r="B24" s="173" t="str">
        <f t="shared" si="0"/>
        <v/>
      </c>
      <c r="C24" s="150" t="str">
        <f t="shared" si="0"/>
        <v/>
      </c>
      <c r="D24" s="265" t="str" cm="1">
        <f t="array" ref="D24">IF(ISBLANK(INDEX(Trad, N24, Lang_measure)), "", INDEX(Trad, N24, Lang_measure))</f>
        <v>Einfügen des Einsparprotokolls (Tabelle A)</v>
      </c>
      <c r="E24" s="265"/>
      <c r="F24" s="265"/>
      <c r="G24" s="265"/>
      <c r="H24" s="265"/>
      <c r="I24" s="265"/>
      <c r="J24" s="265"/>
      <c r="K24" s="265"/>
      <c r="L24" s="266"/>
      <c r="N24" s="45">
        <v>223</v>
      </c>
      <c r="O24" s="160"/>
      <c r="P24" s="176"/>
      <c r="Q24" s="165"/>
      <c r="R24" s="178">
        <v>2</v>
      </c>
      <c r="S24" s="177">
        <v>45962</v>
      </c>
      <c r="T24" s="54">
        <f t="shared" ref="T24:T35" si="1">IF(ISBLANK(R24), 1001, IF(R24&lt;&gt;R23, T23+1,T23))</f>
        <v>2</v>
      </c>
      <c r="U24" s="189"/>
    </row>
    <row r="25" spans="1:21" ht="15" customHeight="1" x14ac:dyDescent="0.2">
      <c r="B25" s="173" t="str">
        <f t="shared" si="0"/>
        <v/>
      </c>
      <c r="C25" s="150" t="str">
        <f t="shared" si="0"/>
        <v/>
      </c>
      <c r="D25" s="265" t="str" cm="1">
        <f t="array" ref="D25">IF(ISBLANK(INDEX(Trad, N25, Lang_measure)), "", INDEX(Trad, N25, Lang_measure))</f>
        <v>Änderung und Aufnahme von Feldern in der Monitoringliste  (Tabelle B)</v>
      </c>
      <c r="E25" s="265"/>
      <c r="F25" s="265"/>
      <c r="G25" s="265"/>
      <c r="H25" s="265"/>
      <c r="I25" s="265"/>
      <c r="J25" s="265"/>
      <c r="K25" s="265"/>
      <c r="L25" s="266"/>
      <c r="N25" s="45">
        <v>224</v>
      </c>
      <c r="O25" s="160"/>
      <c r="P25" s="176"/>
      <c r="Q25" s="165"/>
      <c r="R25" s="178">
        <v>2</v>
      </c>
      <c r="S25" s="177">
        <v>45962</v>
      </c>
      <c r="T25" s="54">
        <f t="shared" si="1"/>
        <v>2</v>
      </c>
      <c r="U25" s="189"/>
    </row>
    <row r="26" spans="1:21" ht="15" customHeight="1" x14ac:dyDescent="0.2">
      <c r="B26" s="173" t="str">
        <f t="shared" si="0"/>
        <v/>
      </c>
      <c r="C26" s="150" t="str">
        <f t="shared" si="0"/>
        <v/>
      </c>
      <c r="D26" s="265" t="str" cm="1">
        <f t="array" ref="D26">IF(ISBLANK(INDEX(Trad, N26, Lang_measure)), "", INDEX(Trad, N26, Lang_measure))</f>
        <v>Diverse Layout Anpassungen</v>
      </c>
      <c r="E26" s="265"/>
      <c r="F26" s="265"/>
      <c r="G26" s="265"/>
      <c r="H26" s="265"/>
      <c r="I26" s="265"/>
      <c r="J26" s="265"/>
      <c r="K26" s="265"/>
      <c r="L26" s="266"/>
      <c r="N26" s="45">
        <v>225</v>
      </c>
      <c r="O26" s="160"/>
      <c r="P26" s="176"/>
      <c r="Q26" s="165"/>
      <c r="R26" s="178">
        <v>2</v>
      </c>
      <c r="S26" s="177">
        <v>45962</v>
      </c>
      <c r="T26" s="54">
        <f t="shared" si="1"/>
        <v>2</v>
      </c>
      <c r="U26" s="189"/>
    </row>
    <row r="27" spans="1:21" ht="15" customHeight="1" x14ac:dyDescent="0.2">
      <c r="B27" s="173" t="str">
        <f t="shared" si="0"/>
        <v/>
      </c>
      <c r="C27" s="150" t="str">
        <f t="shared" si="0"/>
        <v/>
      </c>
      <c r="D27" s="265" t="str" cm="1">
        <f t="array" ref="D27">IF(ISBLANK(INDEX(Trad, N27, Lang_measure)), "", INDEX(Trad, N27, Lang_measure))</f>
        <v/>
      </c>
      <c r="E27" s="265"/>
      <c r="F27" s="265"/>
      <c r="G27" s="265"/>
      <c r="H27" s="265"/>
      <c r="I27" s="265"/>
      <c r="J27" s="265"/>
      <c r="K27" s="265"/>
      <c r="L27" s="266"/>
      <c r="N27" s="45">
        <v>226</v>
      </c>
      <c r="O27" s="160"/>
      <c r="P27" s="176"/>
      <c r="Q27" s="165"/>
      <c r="R27" s="178"/>
      <c r="S27" s="177"/>
      <c r="T27" s="54">
        <f t="shared" si="1"/>
        <v>1001</v>
      </c>
      <c r="U27" s="189"/>
    </row>
    <row r="28" spans="1:21" ht="15" customHeight="1" x14ac:dyDescent="0.2">
      <c r="B28" s="173" t="str">
        <f t="shared" si="0"/>
        <v/>
      </c>
      <c r="C28" s="150" t="str">
        <f t="shared" si="0"/>
        <v/>
      </c>
      <c r="D28" s="265" t="str" cm="1">
        <f t="array" ref="D28">IF(ISBLANK(INDEX(Trad, N28, Lang_measure)), "", INDEX(Trad, N28, Lang_measure))</f>
        <v/>
      </c>
      <c r="E28" s="265"/>
      <c r="F28" s="265"/>
      <c r="G28" s="265"/>
      <c r="H28" s="265"/>
      <c r="I28" s="265"/>
      <c r="J28" s="265"/>
      <c r="K28" s="265"/>
      <c r="L28" s="266"/>
      <c r="N28" s="45">
        <v>227</v>
      </c>
      <c r="O28" s="160"/>
      <c r="P28" s="176"/>
      <c r="Q28" s="165"/>
      <c r="R28" s="178"/>
      <c r="S28" s="177"/>
      <c r="T28" s="54">
        <f t="shared" si="1"/>
        <v>1001</v>
      </c>
      <c r="U28" s="189"/>
    </row>
    <row r="29" spans="1:21" ht="15" customHeight="1" x14ac:dyDescent="0.2">
      <c r="B29" s="173" t="str">
        <f t="shared" si="0"/>
        <v/>
      </c>
      <c r="C29" s="150" t="str">
        <f t="shared" si="0"/>
        <v/>
      </c>
      <c r="D29" s="265" t="str" cm="1">
        <f t="array" ref="D29">IF(ISBLANK(INDEX(Trad, N29, Lang_measure)), "", INDEX(Trad, N29, Lang_measure))</f>
        <v/>
      </c>
      <c r="E29" s="265"/>
      <c r="F29" s="265"/>
      <c r="G29" s="265"/>
      <c r="H29" s="265"/>
      <c r="I29" s="265"/>
      <c r="J29" s="265"/>
      <c r="K29" s="265"/>
      <c r="L29" s="266"/>
      <c r="N29" s="45">
        <v>228</v>
      </c>
      <c r="O29" s="160"/>
      <c r="P29" s="176"/>
      <c r="Q29" s="165"/>
      <c r="R29" s="178"/>
      <c r="S29" s="177"/>
      <c r="T29" s="54">
        <f t="shared" si="1"/>
        <v>1001</v>
      </c>
      <c r="U29" s="189"/>
    </row>
    <row r="30" spans="1:21" ht="15" customHeight="1" x14ac:dyDescent="0.2">
      <c r="B30" s="173" t="str">
        <f t="shared" si="0"/>
        <v/>
      </c>
      <c r="C30" s="150" t="str">
        <f t="shared" si="0"/>
        <v/>
      </c>
      <c r="D30" s="265" t="str" cm="1">
        <f t="array" ref="D30">IF(ISBLANK(INDEX(Trad, N30, Lang_measure)), "", INDEX(Trad, N30, Lang_measure))</f>
        <v/>
      </c>
      <c r="E30" s="265"/>
      <c r="F30" s="265"/>
      <c r="G30" s="265"/>
      <c r="H30" s="265"/>
      <c r="I30" s="265"/>
      <c r="J30" s="265"/>
      <c r="K30" s="265"/>
      <c r="L30" s="266"/>
      <c r="N30" s="45">
        <v>229</v>
      </c>
      <c r="O30" s="160"/>
      <c r="P30" s="176"/>
      <c r="Q30" s="165"/>
      <c r="R30" s="178"/>
      <c r="S30" s="177"/>
      <c r="T30" s="54">
        <f t="shared" si="1"/>
        <v>1001</v>
      </c>
      <c r="U30" s="189"/>
    </row>
    <row r="31" spans="1:21" ht="15" customHeight="1" x14ac:dyDescent="0.2">
      <c r="B31" s="173" t="str">
        <f t="shared" si="0"/>
        <v/>
      </c>
      <c r="C31" s="150" t="str">
        <f t="shared" si="0"/>
        <v/>
      </c>
      <c r="D31" s="265" t="str" cm="1">
        <f t="array" ref="D31">IF(ISBLANK(INDEX(Trad, N31, Lang_measure)), "", INDEX(Trad, N31, Lang_measure))</f>
        <v/>
      </c>
      <c r="E31" s="265"/>
      <c r="F31" s="265"/>
      <c r="G31" s="265"/>
      <c r="H31" s="265"/>
      <c r="I31" s="265"/>
      <c r="J31" s="265"/>
      <c r="K31" s="265"/>
      <c r="L31" s="266"/>
      <c r="N31" s="45">
        <v>230</v>
      </c>
      <c r="O31" s="160"/>
      <c r="P31" s="176"/>
      <c r="Q31" s="165"/>
      <c r="R31" s="178"/>
      <c r="S31" s="177"/>
      <c r="T31" s="54">
        <f t="shared" si="1"/>
        <v>1001</v>
      </c>
      <c r="U31" s="189"/>
    </row>
    <row r="32" spans="1:21" ht="15" customHeight="1" x14ac:dyDescent="0.2">
      <c r="B32" s="173" t="str">
        <f t="shared" si="0"/>
        <v/>
      </c>
      <c r="C32" s="150" t="str">
        <f t="shared" si="0"/>
        <v/>
      </c>
      <c r="D32" s="265" t="str" cm="1">
        <f t="array" ref="D32">IF(ISBLANK(INDEX(Trad, N32, Lang_measure)), "", INDEX(Trad, N32, Lang_measure))</f>
        <v/>
      </c>
      <c r="E32" s="265"/>
      <c r="F32" s="265"/>
      <c r="G32" s="265"/>
      <c r="H32" s="265"/>
      <c r="I32" s="265"/>
      <c r="J32" s="265"/>
      <c r="K32" s="265"/>
      <c r="L32" s="266"/>
      <c r="N32" s="45">
        <v>227</v>
      </c>
      <c r="O32" s="160"/>
      <c r="P32" s="176"/>
      <c r="Q32" s="165"/>
      <c r="R32" s="178"/>
      <c r="S32" s="177"/>
      <c r="T32" s="54">
        <f t="shared" si="1"/>
        <v>1001</v>
      </c>
      <c r="U32" s="189"/>
    </row>
    <row r="33" spans="1:23" ht="15" customHeight="1" x14ac:dyDescent="0.2">
      <c r="B33" s="173" t="str">
        <f t="shared" si="0"/>
        <v/>
      </c>
      <c r="C33" s="150" t="str">
        <f t="shared" si="0"/>
        <v/>
      </c>
      <c r="D33" s="265" t="str" cm="1">
        <f t="array" ref="D33">IF(ISBLANK(INDEX(Trad, N33, Lang_measure)), "", INDEX(Trad, N33, Lang_measure))</f>
        <v/>
      </c>
      <c r="E33" s="265"/>
      <c r="F33" s="265"/>
      <c r="G33" s="265"/>
      <c r="H33" s="265"/>
      <c r="I33" s="265"/>
      <c r="J33" s="265"/>
      <c r="K33" s="265"/>
      <c r="L33" s="266"/>
      <c r="N33" s="45">
        <v>228</v>
      </c>
      <c r="O33" s="160"/>
      <c r="P33" s="176"/>
      <c r="Q33" s="165"/>
      <c r="R33" s="178"/>
      <c r="S33" s="177"/>
      <c r="T33" s="54">
        <f t="shared" si="1"/>
        <v>1001</v>
      </c>
      <c r="U33" s="189"/>
    </row>
    <row r="34" spans="1:23" ht="15" customHeight="1" x14ac:dyDescent="0.2">
      <c r="B34" s="173" t="str">
        <f t="shared" si="0"/>
        <v/>
      </c>
      <c r="C34" s="150" t="str">
        <f t="shared" si="0"/>
        <v/>
      </c>
      <c r="D34" s="265" t="str" cm="1">
        <f t="array" ref="D34">IF(ISBLANK(INDEX(Trad, N34, Lang_measure)), "", INDEX(Trad, N34, Lang_measure))</f>
        <v/>
      </c>
      <c r="E34" s="265"/>
      <c r="F34" s="265"/>
      <c r="G34" s="265"/>
      <c r="H34" s="265"/>
      <c r="I34" s="265"/>
      <c r="J34" s="265"/>
      <c r="K34" s="265"/>
      <c r="L34" s="266"/>
      <c r="N34" s="45">
        <v>229</v>
      </c>
      <c r="O34" s="160"/>
      <c r="P34" s="176"/>
      <c r="Q34" s="165"/>
      <c r="R34" s="178"/>
      <c r="S34" s="177"/>
      <c r="T34" s="54">
        <f t="shared" si="1"/>
        <v>1001</v>
      </c>
      <c r="U34" s="189"/>
    </row>
    <row r="35" spans="1:23" ht="15" customHeight="1" x14ac:dyDescent="0.2">
      <c r="B35" s="174" t="str">
        <f t="shared" si="0"/>
        <v/>
      </c>
      <c r="C35" s="151" t="str">
        <f t="shared" si="0"/>
        <v/>
      </c>
      <c r="D35" s="268" t="str" cm="1">
        <f t="array" ref="D35">IF(ISBLANK(INDEX(Trad, N35, Lang_measure)), "", INDEX(Trad, N35, Lang_measure))</f>
        <v/>
      </c>
      <c r="E35" s="268"/>
      <c r="F35" s="268"/>
      <c r="G35" s="268"/>
      <c r="H35" s="268"/>
      <c r="I35" s="268"/>
      <c r="J35" s="268"/>
      <c r="K35" s="268"/>
      <c r="L35" s="269"/>
      <c r="N35" s="45">
        <v>230</v>
      </c>
      <c r="O35" s="160"/>
      <c r="P35" s="176"/>
      <c r="Q35" s="165"/>
      <c r="R35" s="178"/>
      <c r="S35" s="177"/>
      <c r="T35" s="54">
        <f t="shared" si="1"/>
        <v>1001</v>
      </c>
      <c r="U35" s="189"/>
    </row>
    <row r="36" spans="1:23" ht="15" customHeight="1" x14ac:dyDescent="0.2">
      <c r="B36" s="130"/>
      <c r="C36" s="131"/>
      <c r="D36" s="131"/>
      <c r="E36" s="131"/>
      <c r="F36" s="131"/>
      <c r="G36" s="131"/>
      <c r="H36" s="131"/>
      <c r="I36" s="131"/>
      <c r="J36" s="131"/>
      <c r="K36" s="131"/>
      <c r="L36" s="131"/>
      <c r="N36" s="51"/>
      <c r="O36" s="160"/>
      <c r="P36" s="168"/>
      <c r="Q36" s="166"/>
      <c r="R36" s="7"/>
      <c r="S36" s="7"/>
    </row>
    <row r="37" spans="1:23" ht="15" customHeight="1" x14ac:dyDescent="0.2">
      <c r="N37" s="51"/>
      <c r="O37" s="160"/>
      <c r="P37" s="168"/>
      <c r="Q37" s="166"/>
      <c r="R37" s="7"/>
      <c r="S37" s="7"/>
    </row>
    <row r="38" spans="1:23" ht="15" customHeight="1" x14ac:dyDescent="0.2">
      <c r="N38" s="51"/>
      <c r="O38" s="160"/>
      <c r="P38" s="166"/>
      <c r="Q38" s="166"/>
      <c r="R38" s="7"/>
      <c r="S38" s="7"/>
    </row>
    <row r="39" spans="1:23" ht="15" customHeight="1" x14ac:dyDescent="0.2">
      <c r="N39" s="51"/>
      <c r="O39" s="160"/>
      <c r="P39" s="166"/>
      <c r="Q39" s="166"/>
      <c r="R39" s="7"/>
      <c r="S39" s="7"/>
    </row>
    <row r="40" spans="1:23" ht="15" customHeight="1" x14ac:dyDescent="0.2">
      <c r="N40" s="51"/>
      <c r="O40" s="160"/>
      <c r="P40" s="166"/>
      <c r="Q40" s="166"/>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60"/>
      <c r="P41" s="166"/>
      <c r="Q41" s="166"/>
      <c r="R41" s="7"/>
      <c r="S41" s="7"/>
      <c r="T41" s="122"/>
      <c r="U41" s="7"/>
      <c r="V41" s="76"/>
      <c r="W41" s="76"/>
    </row>
    <row r="42" spans="1:23" s="47" customFormat="1" ht="58.5" customHeight="1" x14ac:dyDescent="0.2">
      <c r="A42" s="35"/>
      <c r="B42" s="267"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67"/>
      <c r="D42" s="267"/>
      <c r="E42" s="267"/>
      <c r="F42" s="267"/>
      <c r="G42" s="267"/>
      <c r="H42" s="267"/>
      <c r="I42" s="267"/>
      <c r="J42" s="267"/>
      <c r="K42" s="267"/>
      <c r="L42" s="267"/>
      <c r="M42" s="50"/>
      <c r="N42" s="51">
        <v>241</v>
      </c>
      <c r="O42" s="160"/>
      <c r="P42" s="166"/>
      <c r="Q42" s="166"/>
      <c r="R42" s="7"/>
      <c r="S42" s="7"/>
      <c r="T42" s="54"/>
      <c r="U42" s="7"/>
      <c r="V42" s="76"/>
      <c r="W42" s="76"/>
    </row>
    <row r="43" spans="1:23" x14ac:dyDescent="0.2">
      <c r="N43" s="51"/>
      <c r="O43" s="160"/>
      <c r="P43" s="166"/>
      <c r="Q43" s="166"/>
      <c r="R43" s="7"/>
      <c r="S43" s="7"/>
      <c r="T43" s="46"/>
    </row>
    <row r="44" spans="1:23" x14ac:dyDescent="0.2">
      <c r="N44" s="51"/>
      <c r="O44" s="160"/>
      <c r="P44" s="166"/>
      <c r="Q44" s="166"/>
      <c r="R44" s="7"/>
      <c r="S44" s="7"/>
    </row>
    <row r="45" spans="1:23" x14ac:dyDescent="0.2">
      <c r="N45" s="51"/>
      <c r="O45" s="160"/>
      <c r="P45" s="166"/>
      <c r="Q45" s="166"/>
      <c r="R45" s="7"/>
      <c r="S45" s="7"/>
    </row>
    <row r="46" spans="1:23" x14ac:dyDescent="0.2">
      <c r="N46" s="51"/>
      <c r="O46" s="160"/>
      <c r="P46" s="166"/>
      <c r="Q46" s="166"/>
      <c r="R46" s="7"/>
      <c r="S46" s="7"/>
    </row>
    <row r="47" spans="1:23" x14ac:dyDescent="0.2">
      <c r="N47" s="51"/>
      <c r="O47" s="160"/>
      <c r="P47" s="166"/>
      <c r="Q47" s="166"/>
      <c r="R47" s="7"/>
      <c r="S47" s="7"/>
    </row>
    <row r="48" spans="1:23" x14ac:dyDescent="0.2">
      <c r="N48" s="51"/>
      <c r="O48" s="160"/>
      <c r="P48" s="166"/>
      <c r="Q48" s="166"/>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2">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5UyHQ0OP0oHExF3lYhzcIdsdXyMe6WHZD6vpJjrz0zQQg2Y4B8yCGx76KkyQlHmYmTM0nV1VyAciliN7b8+ENQ==" saltValue="LC4bmUfOT90yuyNipy1gbQ==" spinCount="100000" sheet="1" objects="1" scenarios="1"/>
  <mergeCells count="20">
    <mergeCell ref="D24:L24"/>
    <mergeCell ref="D25:L25"/>
    <mergeCell ref="D26:L26"/>
    <mergeCell ref="F15:L15"/>
    <mergeCell ref="F16:L16"/>
    <mergeCell ref="B15:E15"/>
    <mergeCell ref="B16:E16"/>
    <mergeCell ref="D21:L21"/>
    <mergeCell ref="D22:L22"/>
    <mergeCell ref="D23:L23"/>
    <mergeCell ref="D27:L27"/>
    <mergeCell ref="B42:L42"/>
    <mergeCell ref="D28:L28"/>
    <mergeCell ref="D29:L29"/>
    <mergeCell ref="D30:L30"/>
    <mergeCell ref="D32:L32"/>
    <mergeCell ref="D33:L33"/>
    <mergeCell ref="D34:L34"/>
    <mergeCell ref="D35:L35"/>
    <mergeCell ref="D31:L31"/>
  </mergeCells>
  <phoneticPr fontId="22" type="noConversion"/>
  <conditionalFormatting sqref="B22:L35">
    <cfRule type="expression" dxfId="4"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zoomScaleNormal="100" zoomScalePageLayoutView="115" workbookViewId="0">
      <selection activeCell="K17" sqref="K17"/>
    </sheetView>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6" hidden="1" customWidth="1"/>
    <col min="22" max="25" width="10.7109375" style="54" hidden="1" customWidth="1"/>
    <col min="26" max="26" width="100.7109375" style="76" hidden="1" customWidth="1"/>
    <col min="27" max="16384" width="9.140625" style="47" hidden="1"/>
  </cols>
  <sheetData>
    <row r="1" spans="1:51" ht="30" customHeight="1" x14ac:dyDescent="0.2">
      <c r="A1" s="11"/>
      <c r="B1" s="11"/>
      <c r="C1" s="11"/>
      <c r="D1" s="11"/>
      <c r="E1" s="11"/>
      <c r="F1" s="11"/>
      <c r="G1" s="11"/>
      <c r="H1" s="11"/>
      <c r="I1" s="11"/>
      <c r="J1" s="11"/>
      <c r="K1" s="11"/>
      <c r="L1" s="11"/>
      <c r="M1" s="11"/>
      <c r="N1" s="159" t="s">
        <v>4624</v>
      </c>
      <c r="O1" s="159" t="s">
        <v>4624</v>
      </c>
      <c r="P1" s="159" t="s">
        <v>4624</v>
      </c>
      <c r="Q1" s="159" t="s">
        <v>4624</v>
      </c>
      <c r="R1" s="159" t="s">
        <v>4624</v>
      </c>
      <c r="S1" s="180" t="s">
        <v>4808</v>
      </c>
      <c r="T1" s="179" t="s">
        <v>4812</v>
      </c>
      <c r="U1" s="179" t="s">
        <v>4812</v>
      </c>
      <c r="V1" s="46" t="s">
        <v>4625</v>
      </c>
      <c r="W1" s="46" t="s">
        <v>4625</v>
      </c>
      <c r="X1" s="46" t="s">
        <v>4625</v>
      </c>
      <c r="Y1" s="46" t="s">
        <v>4625</v>
      </c>
      <c r="Z1" s="179" t="s">
        <v>4869</v>
      </c>
    </row>
    <row r="2" spans="1:51" s="65" customFormat="1" ht="12" customHeight="1" x14ac:dyDescent="0.2">
      <c r="A2" s="63"/>
      <c r="B2" s="317" t="str" cm="1">
        <f t="array" ref="B2">INDEX(Trad, 204, Lang)</f>
        <v>Zurück zur Übersicht</v>
      </c>
      <c r="C2" s="317"/>
      <c r="D2" s="317"/>
      <c r="E2" s="317"/>
      <c r="F2" s="72"/>
      <c r="G2" s="72"/>
      <c r="H2" s="72"/>
      <c r="I2" s="72"/>
      <c r="J2" s="72"/>
      <c r="K2" s="72"/>
      <c r="L2" s="72"/>
      <c r="M2" s="72"/>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3"/>
      <c r="D3" s="134"/>
      <c r="F3" s="72"/>
      <c r="G3" s="72"/>
      <c r="H3" s="72"/>
      <c r="I3" s="72"/>
      <c r="J3" s="72"/>
      <c r="K3" s="72"/>
      <c r="L3" s="72"/>
      <c r="M3" s="72"/>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3"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12" t="str" cm="1">
        <f t="array" ref="B8">INDEX(Trad, N8, Lang)</f>
        <v>Standardisierte Massnahme</v>
      </c>
      <c r="C8" s="312"/>
      <c r="D8" s="312"/>
      <c r="E8" s="312"/>
      <c r="F8" s="312"/>
      <c r="G8" s="312"/>
      <c r="H8" s="312"/>
      <c r="I8" s="312"/>
      <c r="J8" s="312"/>
      <c r="K8" s="312"/>
      <c r="L8" s="312"/>
      <c r="N8" s="51">
        <v>101</v>
      </c>
      <c r="T8" s="7"/>
      <c r="U8" s="7"/>
      <c r="V8" s="54">
        <v>14</v>
      </c>
      <c r="Z8" s="7"/>
      <c r="AB8" s="55"/>
      <c r="AC8" s="55"/>
      <c r="AD8" s="55"/>
      <c r="AE8" s="55"/>
      <c r="AF8" s="55"/>
      <c r="AG8" s="55"/>
      <c r="AH8" s="55"/>
    </row>
    <row r="9" spans="1:51" ht="99.95" customHeight="1" x14ac:dyDescent="0.2">
      <c r="A9" s="30"/>
      <c r="B9" s="313" t="str" cm="1">
        <f t="array" ref="B9">INDEX(Trad, N9, Lang_measure)</f>
        <v>Reinigung von Luftkühler</v>
      </c>
      <c r="C9" s="313"/>
      <c r="D9" s="313"/>
      <c r="E9" s="313"/>
      <c r="F9" s="313"/>
      <c r="G9" s="313"/>
      <c r="H9" s="313"/>
      <c r="I9" s="313"/>
      <c r="J9" s="313"/>
      <c r="K9" s="313"/>
      <c r="L9" s="313"/>
      <c r="N9" s="45">
        <v>150</v>
      </c>
      <c r="T9" s="7"/>
      <c r="U9" s="7"/>
      <c r="V9" s="54">
        <v>16</v>
      </c>
      <c r="Z9" s="7"/>
      <c r="AB9" s="55"/>
      <c r="AC9" s="55"/>
      <c r="AD9" s="55"/>
      <c r="AE9" s="55"/>
      <c r="AF9" s="55"/>
      <c r="AG9" s="55"/>
      <c r="AH9" s="55"/>
    </row>
    <row r="10" spans="1:51" ht="36" customHeight="1" x14ac:dyDescent="0.25">
      <c r="A10" s="42"/>
      <c r="B10" s="316" t="str" cm="1">
        <f t="array" ref="B10">INDEX(Trad, N10, Lang)</f>
        <v>Einsparprotokoll</v>
      </c>
      <c r="C10" s="316"/>
      <c r="D10" s="316"/>
      <c r="E10" s="316"/>
      <c r="F10" s="316"/>
      <c r="G10" s="316"/>
      <c r="H10" s="316"/>
      <c r="I10" s="316"/>
      <c r="J10" s="316"/>
      <c r="K10" s="316"/>
      <c r="L10" s="316"/>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KA-04a</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15">
        <f>IF(MONTH(Version!P22)=11, DATE(YEAR(Version!P22)+1, 1, 1), Version!P22)</f>
        <v>46023</v>
      </c>
      <c r="L13" s="315"/>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14"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14"/>
      <c r="D15" s="314"/>
      <c r="E15" s="314"/>
      <c r="F15" s="314"/>
      <c r="G15" s="314"/>
      <c r="H15" s="314"/>
      <c r="I15" s="314"/>
      <c r="J15" s="314"/>
      <c r="K15" s="314"/>
      <c r="L15" s="314"/>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5"/>
      <c r="C16" s="75"/>
      <c r="D16" s="75"/>
      <c r="E16" s="75"/>
      <c r="F16" s="75"/>
      <c r="G16" s="75"/>
      <c r="H16" s="75"/>
      <c r="I16" s="75"/>
      <c r="J16" s="75"/>
      <c r="K16" s="75"/>
      <c r="L16" s="75"/>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100" t="str" cm="1">
        <f t="array" ref="B18">"1. " &amp; INDEX(Trad, N18, Lang)</f>
        <v>1. Gegenstand</v>
      </c>
      <c r="C18" s="100"/>
      <c r="D18" s="101"/>
      <c r="E18" s="101"/>
      <c r="F18" s="101"/>
      <c r="G18" s="101"/>
      <c r="H18" s="101"/>
      <c r="I18" s="101"/>
      <c r="J18" s="101"/>
      <c r="K18" s="101"/>
      <c r="L18" s="102"/>
      <c r="N18" s="51">
        <v>109</v>
      </c>
      <c r="T18" s="7"/>
      <c r="U18" s="7"/>
      <c r="V18" s="46">
        <v>11</v>
      </c>
      <c r="W18" s="46" t="s">
        <v>2</v>
      </c>
      <c r="X18" s="46">
        <v>20</v>
      </c>
      <c r="Y18" s="58" t="s">
        <v>4629</v>
      </c>
      <c r="Z18" s="7"/>
    </row>
    <row r="19" spans="1:26" ht="15" customHeight="1" x14ac:dyDescent="0.2">
      <c r="B19" s="99"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7.95" customHeight="1" x14ac:dyDescent="0.2">
      <c r="A20" s="35"/>
      <c r="B20" s="305" t="str" cm="1">
        <f t="array" ref="B20">INDEX(Trad, N20, Lang_measure)</f>
        <v xml:space="preserve">Betriebsoptimierungen von Kälteanlagen durch Senkung der Verflüssigungstemperatur im Gewerbe-, Gebäude- und Dienstleistungsbereich. </v>
      </c>
      <c r="C20" s="305"/>
      <c r="D20" s="305"/>
      <c r="E20" s="305"/>
      <c r="F20" s="305"/>
      <c r="G20" s="305"/>
      <c r="H20" s="305"/>
      <c r="I20" s="305"/>
      <c r="J20" s="305"/>
      <c r="K20" s="305"/>
      <c r="L20" s="305"/>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9" t="str" cm="1">
        <f t="array" ref="B22">INDEX(Trad, N22, Lang)</f>
        <v>Beschreibung</v>
      </c>
      <c r="C22" s="29"/>
      <c r="D22" s="11"/>
      <c r="E22" s="11"/>
      <c r="F22" s="11"/>
      <c r="G22" s="11"/>
      <c r="H22" s="11"/>
      <c r="I22" s="11"/>
      <c r="J22" s="11"/>
      <c r="K22" s="11"/>
      <c r="N22" s="51">
        <v>111</v>
      </c>
      <c r="T22" s="7"/>
      <c r="U22" s="7"/>
      <c r="Z22" s="7"/>
    </row>
    <row r="23" spans="1:26" ht="34.5" customHeight="1" x14ac:dyDescent="0.2">
      <c r="A23" s="35"/>
      <c r="B23" s="305" t="str" cm="1">
        <f t="array" ref="B23">INDEX(Trad, N23, Lang_measure)</f>
        <v>Betriebsoptimierung von Kälteanlagen durch Senkung der Verflüssigungstemperatur durch die Reinigung von Verflüssiger und Rückkühler. Die Massnahme kann mit den anderen Massnahmen KA-03 kombiniert werden.</v>
      </c>
      <c r="C23" s="305"/>
      <c r="D23" s="305"/>
      <c r="E23" s="305"/>
      <c r="F23" s="305"/>
      <c r="G23" s="305"/>
      <c r="H23" s="305"/>
      <c r="I23" s="305"/>
      <c r="J23" s="305"/>
      <c r="K23" s="305"/>
      <c r="L23" s="305"/>
      <c r="N23" s="45">
        <v>152</v>
      </c>
      <c r="T23" s="7"/>
      <c r="U23" s="7"/>
      <c r="V23" s="54">
        <v>10</v>
      </c>
      <c r="W23" s="54">
        <v>6</v>
      </c>
      <c r="X23" s="54">
        <f>12.75*W23 + 2.25</f>
        <v>78.75</v>
      </c>
      <c r="Z23" s="7"/>
    </row>
    <row r="24" spans="1:26" ht="19.5" customHeight="1" x14ac:dyDescent="0.2">
      <c r="A24" s="35"/>
      <c r="B24" s="311" t="str" cm="1">
        <f t="array" ref="B24">INDEX(Trad, N24, Lang)</f>
        <v>Wichtig</v>
      </c>
      <c r="C24" s="311"/>
      <c r="D24" s="311"/>
      <c r="E24" s="311"/>
      <c r="F24" s="311"/>
      <c r="G24" s="311"/>
      <c r="H24" s="311"/>
      <c r="I24" s="311"/>
      <c r="J24" s="311"/>
      <c r="K24" s="311"/>
      <c r="L24" s="311"/>
      <c r="N24" s="51">
        <v>153</v>
      </c>
      <c r="O24" s="51">
        <v>154</v>
      </c>
      <c r="T24" s="7"/>
      <c r="U24" s="7"/>
      <c r="V24" s="54">
        <v>10</v>
      </c>
      <c r="W24" s="54">
        <v>3</v>
      </c>
      <c r="X24" s="54">
        <f>12.75*W24 + 2.25</f>
        <v>40.5</v>
      </c>
      <c r="Z24" s="7"/>
    </row>
    <row r="25" spans="1:26" ht="32.25" customHeight="1" x14ac:dyDescent="0.2">
      <c r="A25" s="35"/>
      <c r="B25" s="310" t="str" cm="1">
        <f t="array" ref="B25">INDEX(Trad, O24, Lang)</f>
        <v>Diese Massnahme ist für Prozesskälte nicht geeignet.</v>
      </c>
      <c r="C25" s="310"/>
      <c r="D25" s="310"/>
      <c r="E25" s="310"/>
      <c r="F25" s="310"/>
      <c r="G25" s="310"/>
      <c r="H25" s="310"/>
      <c r="I25" s="310"/>
      <c r="J25" s="310"/>
      <c r="K25" s="310"/>
      <c r="L25" s="310"/>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100" t="str" cm="1">
        <f t="array" ref="B27">"2. " &amp; INDEX(Trad, N27, Lang)</f>
        <v>2. Anforderungen</v>
      </c>
      <c r="C27" s="100"/>
      <c r="D27" s="101"/>
      <c r="E27" s="101"/>
      <c r="F27" s="101"/>
      <c r="G27" s="101"/>
      <c r="H27" s="101"/>
      <c r="I27" s="101"/>
      <c r="J27" s="101"/>
      <c r="K27" s="101"/>
      <c r="L27" s="102"/>
      <c r="N27" s="51">
        <v>114</v>
      </c>
      <c r="T27" s="7"/>
      <c r="U27" s="7"/>
      <c r="V27" s="46">
        <v>11</v>
      </c>
      <c r="W27" s="46" t="s">
        <v>2</v>
      </c>
      <c r="X27" s="46">
        <v>20</v>
      </c>
      <c r="Y27" s="58" t="s">
        <v>4629</v>
      </c>
      <c r="Z27" s="7"/>
    </row>
    <row r="28" spans="1:26" s="61" customFormat="1" ht="40.5" customHeight="1" x14ac:dyDescent="0.2">
      <c r="A28" s="35"/>
      <c r="B28" s="305"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305"/>
      <c r="D28" s="305"/>
      <c r="E28" s="305"/>
      <c r="F28" s="305"/>
      <c r="G28" s="305"/>
      <c r="H28" s="305"/>
      <c r="I28" s="305"/>
      <c r="J28" s="305"/>
      <c r="K28" s="305"/>
      <c r="L28" s="305"/>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309" t="str" cm="1">
        <f t="array" ref="B30">INDEX(Trad, N30, Lang)</f>
        <v>Tabelle 1: Anforderungen</v>
      </c>
      <c r="C30" s="309"/>
      <c r="D30" s="309"/>
      <c r="E30" s="309"/>
      <c r="F30" s="309"/>
      <c r="G30" s="309"/>
      <c r="H30" s="309"/>
      <c r="I30" s="309"/>
      <c r="J30" s="309"/>
      <c r="K30" s="309"/>
      <c r="L30" s="309"/>
      <c r="N30" s="51">
        <v>116</v>
      </c>
      <c r="T30" s="7"/>
      <c r="U30" s="7"/>
      <c r="V30" s="54">
        <v>8</v>
      </c>
      <c r="W30" s="54" t="s">
        <v>2</v>
      </c>
      <c r="X30" s="54">
        <v>15</v>
      </c>
      <c r="Y30" s="122" t="s">
        <v>4720</v>
      </c>
      <c r="Z30" s="7"/>
    </row>
    <row r="31" spans="1:26" s="55" customFormat="1" ht="20.100000000000001" customHeight="1" x14ac:dyDescent="0.2">
      <c r="A31" s="35"/>
      <c r="B31" s="278"/>
      <c r="C31" s="279"/>
      <c r="D31" s="280"/>
      <c r="E31" s="306" t="str" cm="1">
        <f t="array" ref="E31">INDEX(Trad, O31, Lang)</f>
        <v>Altes System</v>
      </c>
      <c r="F31" s="306"/>
      <c r="G31" s="306"/>
      <c r="H31" s="307"/>
      <c r="I31" s="308" t="str" cm="1">
        <f t="array" ref="I31">INDEX(Trad, P31, Lang)</f>
        <v>Neues System</v>
      </c>
      <c r="J31" s="306"/>
      <c r="K31" s="306"/>
      <c r="L31" s="307"/>
      <c r="M31" s="50"/>
      <c r="N31" s="51"/>
      <c r="O31" s="51">
        <v>117</v>
      </c>
      <c r="P31" s="51">
        <v>118</v>
      </c>
      <c r="Q31" s="51"/>
      <c r="R31" s="51"/>
      <c r="S31" s="53"/>
      <c r="T31" s="7"/>
      <c r="U31" s="7"/>
      <c r="V31" s="46">
        <v>10</v>
      </c>
      <c r="W31" s="46" t="s">
        <v>2</v>
      </c>
      <c r="X31" s="46">
        <v>20</v>
      </c>
      <c r="Y31" s="58" t="s">
        <v>4629</v>
      </c>
      <c r="Z31" s="7"/>
    </row>
    <row r="32" spans="1:26" ht="139.5" customHeight="1" x14ac:dyDescent="0.2">
      <c r="A32" s="35"/>
      <c r="B32" s="288" t="str" cm="1">
        <f t="array" ref="B32">INDEX(Trad, N32, Lang_measure)</f>
        <v>Technologie</v>
      </c>
      <c r="C32" s="289"/>
      <c r="D32" s="290"/>
      <c r="E32" s="292" t="str" cm="1">
        <f t="array" ref="E32">INDEX(Trad, O32, Lang_measure)</f>
        <v>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Anlagen für Prozesskälte sind ausgeschlossen.</v>
      </c>
      <c r="F32" s="293"/>
      <c r="G32" s="293"/>
      <c r="H32" s="293"/>
      <c r="I32" s="293"/>
      <c r="J32" s="293"/>
      <c r="K32" s="293"/>
      <c r="L32" s="294"/>
      <c r="N32" s="45">
        <v>170</v>
      </c>
      <c r="O32" s="45">
        <v>171</v>
      </c>
      <c r="P32" s="45">
        <v>172</v>
      </c>
      <c r="T32" s="7"/>
      <c r="U32" s="7"/>
      <c r="V32" s="54">
        <v>10</v>
      </c>
      <c r="W32" s="54">
        <v>3</v>
      </c>
      <c r="X32" s="54">
        <f>12.75*W32 + 2.25</f>
        <v>40.5</v>
      </c>
      <c r="Z32" s="7"/>
    </row>
    <row r="33" spans="1:26" ht="66" hidden="1" customHeight="1" x14ac:dyDescent="0.2">
      <c r="A33" s="35"/>
      <c r="B33" s="285" t="str" cm="1">
        <f t="array" ref="B33">INDEX(Trad, N33, Lang_measure)</f>
        <v>Die gesamte installierte Nennkühlleistung des neuen Systems müssen kleiner oder gleich wie die gesamte installierte Nennkühlleistung des alten Systems sein.</v>
      </c>
      <c r="C33" s="286"/>
      <c r="D33" s="287"/>
      <c r="E33" s="285" cm="1">
        <f t="array" ref="E33">INDEX(Trad, O33, Lang_measure)</f>
        <v>0</v>
      </c>
      <c r="F33" s="291"/>
      <c r="G33" s="291"/>
      <c r="H33" s="287"/>
      <c r="I33" s="286" cm="1">
        <f t="array" ref="I33">INDEX(Trad, P33, Lang_measure)</f>
        <v>0</v>
      </c>
      <c r="J33" s="291"/>
      <c r="K33" s="291"/>
      <c r="L33" s="287"/>
      <c r="N33" s="45">
        <v>173</v>
      </c>
      <c r="O33" s="45">
        <v>174</v>
      </c>
      <c r="P33" s="45">
        <v>175</v>
      </c>
      <c r="T33" s="7"/>
      <c r="U33" s="7"/>
      <c r="V33" s="54">
        <v>10</v>
      </c>
      <c r="W33" s="54">
        <v>5</v>
      </c>
      <c r="X33" s="54">
        <f>12.75*W33 + 2.25</f>
        <v>66</v>
      </c>
      <c r="Z33" s="7"/>
    </row>
    <row r="34" spans="1:26" ht="39.75" hidden="1" customHeight="1" x14ac:dyDescent="0.2">
      <c r="A34" s="35"/>
      <c r="B34" s="285" t="str" cm="1">
        <f t="array" ref="B34">INDEX(Trad, N34, Lang_measure)</f>
        <v>Energieeffizienz</v>
      </c>
      <c r="C34" s="286"/>
      <c r="D34" s="287"/>
      <c r="E34" s="285" t="str" cm="1">
        <f t="array" ref="E34">INDEX(Trad, O34, Lang_measure)</f>
        <v>-</v>
      </c>
      <c r="F34" s="291"/>
      <c r="G34" s="291"/>
      <c r="H34" s="291"/>
      <c r="I34" s="291" t="str" cm="1">
        <f t="array" ref="I34">INDEX(Trad, P34, Lang_measure)</f>
        <v>Energieeffizienzklasse (Kühlen) von mindestens A+++</v>
      </c>
      <c r="J34" s="291"/>
      <c r="K34" s="291"/>
      <c r="L34" s="287"/>
      <c r="N34" s="45">
        <v>176</v>
      </c>
      <c r="O34" s="45">
        <v>177</v>
      </c>
      <c r="P34" s="45">
        <v>178</v>
      </c>
      <c r="T34" s="7"/>
      <c r="U34" s="7"/>
      <c r="V34" s="54">
        <v>10</v>
      </c>
      <c r="W34" s="54">
        <v>8</v>
      </c>
      <c r="X34" s="54">
        <f>12.75*W34 + 2.25</f>
        <v>104.25</v>
      </c>
      <c r="Z34" s="7"/>
    </row>
    <row r="35" spans="1:26" s="55" customFormat="1" ht="20.100000000000001" hidden="1" customHeight="1" x14ac:dyDescent="0.2">
      <c r="A35" s="35"/>
      <c r="B35" s="278"/>
      <c r="C35" s="279"/>
      <c r="D35" s="280"/>
      <c r="E35" s="283" t="str" cm="1">
        <f t="array" ref="E35">INDEX(Trad, O35, Lang)</f>
        <v>Altes / Neues System</v>
      </c>
      <c r="F35" s="283"/>
      <c r="G35" s="283"/>
      <c r="H35" s="283"/>
      <c r="I35" s="283"/>
      <c r="J35" s="283"/>
      <c r="K35" s="283"/>
      <c r="L35" s="284"/>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85" t="str" cm="1">
        <f t="array" ref="B36">INDEX(Trad, N36, Lang_measure)</f>
        <v>Aufstellungsort</v>
      </c>
      <c r="C36" s="286"/>
      <c r="D36" s="287"/>
      <c r="E36" s="300"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01"/>
      <c r="G36" s="301"/>
      <c r="H36" s="301"/>
      <c r="I36" s="301"/>
      <c r="J36" s="301"/>
      <c r="K36" s="301"/>
      <c r="L36" s="302"/>
      <c r="N36" s="45">
        <v>180</v>
      </c>
      <c r="O36" s="45">
        <v>181</v>
      </c>
      <c r="T36" s="7"/>
      <c r="U36" s="7"/>
      <c r="V36" s="54">
        <v>10</v>
      </c>
      <c r="W36" s="54">
        <v>2</v>
      </c>
      <c r="X36" s="54">
        <f>12.75*W36 + 2.25</f>
        <v>27.75</v>
      </c>
      <c r="Z36" s="189" t="s">
        <v>4868</v>
      </c>
    </row>
    <row r="37" spans="1:26" ht="38.25" hidden="1" customHeight="1" x14ac:dyDescent="0.2">
      <c r="A37" s="35"/>
      <c r="B37" s="285" t="str" cm="1">
        <f t="array" ref="B37">INDEX(Trad, N37, Lang_measure)</f>
        <v>Dimensionierung</v>
      </c>
      <c r="C37" s="286"/>
      <c r="D37" s="287"/>
      <c r="E37" s="301" t="str" cm="1">
        <f t="array" ref="E37">INDEX(Trad, O37, Lang_measure)</f>
        <v>Die gesamte installierte Nennkühlleistung des neuen Systems müssen kleiner oder gleich wie die gesamte installierte Nennkühlleistung des alten Systems sein.</v>
      </c>
      <c r="F37" s="301"/>
      <c r="G37" s="301"/>
      <c r="H37" s="301"/>
      <c r="I37" s="301"/>
      <c r="J37" s="301"/>
      <c r="K37" s="301"/>
      <c r="L37" s="302"/>
      <c r="N37" s="45">
        <v>172</v>
      </c>
      <c r="O37" s="45">
        <v>173</v>
      </c>
      <c r="T37" s="7"/>
      <c r="U37" s="7"/>
      <c r="V37" s="54">
        <v>10</v>
      </c>
      <c r="W37" s="54">
        <v>2</v>
      </c>
      <c r="X37" s="54">
        <f t="shared" ref="X37:X39" si="1">12.75*W37 + 2.25</f>
        <v>27.75</v>
      </c>
      <c r="Z37" s="7"/>
    </row>
    <row r="38" spans="1:26" ht="27.75" hidden="1" customHeight="1" x14ac:dyDescent="0.2">
      <c r="A38" s="35"/>
      <c r="B38" s="285" t="str" cm="1">
        <f t="array" ref="B38">INDEX(Trad, N38, Lang_measure)</f>
        <v>Anrechenbare Stromeinsparung** 
pro Energieeffizienzklasse
[kWh]</v>
      </c>
      <c r="C38" s="286"/>
      <c r="D38" s="287"/>
      <c r="E38" s="303" t="str" cm="1">
        <f t="array" ref="E38">INDEX(Trad, O38, Lang_measure)</f>
        <v>Alte Energieetikette***</v>
      </c>
      <c r="F38" s="303"/>
      <c r="G38" s="303"/>
      <c r="H38" s="303"/>
      <c r="I38" s="303"/>
      <c r="J38" s="303"/>
      <c r="K38" s="303"/>
      <c r="L38" s="304"/>
      <c r="N38" s="45">
        <v>184</v>
      </c>
      <c r="O38" s="45">
        <v>185</v>
      </c>
      <c r="T38" s="7"/>
      <c r="U38" s="7"/>
      <c r="V38" s="54">
        <v>10</v>
      </c>
      <c r="W38" s="54">
        <v>2</v>
      </c>
      <c r="X38" s="54">
        <f t="shared" si="1"/>
        <v>27.75</v>
      </c>
      <c r="Z38" s="7"/>
    </row>
    <row r="39" spans="1:26" ht="27.75" hidden="1" customHeight="1" x14ac:dyDescent="0.2">
      <c r="A39" s="35"/>
      <c r="B39" s="285" t="str" cm="1">
        <f t="array" ref="B39">INDEX(Trad, N39, Lang_measure)</f>
        <v>Alpensüdseite, bis 50 m2</v>
      </c>
      <c r="C39" s="286"/>
      <c r="D39" s="287"/>
      <c r="E39" s="286" t="str" cm="1">
        <f t="array" ref="E39">INDEX(Trad, O39, Lang_measure)</f>
        <v>Westschweiz und Wallis, bis 50 m2</v>
      </c>
      <c r="F39" s="291"/>
      <c r="G39" s="291"/>
      <c r="H39" s="291"/>
      <c r="I39" s="291"/>
      <c r="J39" s="291"/>
      <c r="K39" s="291"/>
      <c r="L39" s="287"/>
      <c r="N39" s="45">
        <v>186</v>
      </c>
      <c r="O39" s="45">
        <v>187</v>
      </c>
      <c r="T39" s="7"/>
      <c r="U39" s="7"/>
      <c r="V39" s="54">
        <v>10</v>
      </c>
      <c r="W39" s="54">
        <v>2</v>
      </c>
      <c r="X39" s="54">
        <f t="shared" si="1"/>
        <v>27.75</v>
      </c>
      <c r="Z39" s="7"/>
    </row>
    <row r="40" spans="1:26" ht="27.95" customHeight="1" x14ac:dyDescent="0.2">
      <c r="A40" s="35"/>
      <c r="B40" s="320" t="str" cm="1">
        <f t="array" ref="B40">INDEX(Trad, N40, Lang)</f>
        <v>Umsetzung</v>
      </c>
      <c r="C40" s="321"/>
      <c r="D40" s="322"/>
      <c r="E40" s="321" t="str" cm="1">
        <f t="array" ref="E40">INDEX(Trad, O40, Lang)</f>
        <v>Die Massnahme muss durch eine qualifizierte Fachperson / Unternehmen durchgeführt werden.</v>
      </c>
      <c r="F40" s="323"/>
      <c r="G40" s="323"/>
      <c r="H40" s="323"/>
      <c r="I40" s="323"/>
      <c r="J40" s="323"/>
      <c r="K40" s="323"/>
      <c r="L40" s="322"/>
      <c r="N40" s="51">
        <v>120</v>
      </c>
      <c r="O40" s="51">
        <v>121</v>
      </c>
      <c r="T40" s="7"/>
      <c r="U40" s="7"/>
      <c r="V40" s="54">
        <v>10</v>
      </c>
      <c r="W40" s="54">
        <v>2</v>
      </c>
      <c r="X40" s="54">
        <f>12.75*W40 + 2.25</f>
        <v>27.75</v>
      </c>
      <c r="Z40" s="7"/>
    </row>
    <row r="41" spans="1:26" ht="27.75" hidden="1" customHeight="1" x14ac:dyDescent="0.2">
      <c r="A41" s="35"/>
      <c r="B41" s="299" t="str" cm="1">
        <f t="array" ref="B41">INDEX(Trad, N41, Lang)</f>
        <v>Entsorgung</v>
      </c>
      <c r="C41" s="296"/>
      <c r="D41" s="298"/>
      <c r="E41" s="296" t="str" cm="1">
        <f t="array" ref="E41">INDEX(Trad, O41, Lang)</f>
        <v>Die verbrauchsrelevanten Komponenten der alten Geräte dürfen innerhalb der Schweiz nicht weiterbetrieben werden. Die fachgerechte Entsorgung oder die Ausfuhr muss auf Anfrage nachgewiesen werden können.</v>
      </c>
      <c r="F41" s="297"/>
      <c r="G41" s="297"/>
      <c r="H41" s="297"/>
      <c r="I41" s="297"/>
      <c r="J41" s="297"/>
      <c r="K41" s="297"/>
      <c r="L41" s="298"/>
      <c r="N41" s="51">
        <v>122</v>
      </c>
      <c r="O41" s="51">
        <v>123</v>
      </c>
      <c r="T41" s="7"/>
      <c r="U41" s="7"/>
      <c r="V41" s="54">
        <v>10</v>
      </c>
      <c r="W41" s="54">
        <v>2</v>
      </c>
      <c r="X41" s="54">
        <f>12.75*W41 + 2.25</f>
        <v>27.75</v>
      </c>
      <c r="Z41" s="7"/>
    </row>
    <row r="42" spans="1:26" ht="15" hidden="1" customHeight="1" x14ac:dyDescent="0.2">
      <c r="A42" s="35"/>
      <c r="B42" s="295"/>
      <c r="C42" s="295"/>
      <c r="D42" s="295"/>
      <c r="E42" s="295"/>
      <c r="F42" s="295"/>
      <c r="G42" s="295"/>
      <c r="H42" s="295"/>
      <c r="I42" s="295"/>
      <c r="J42" s="295"/>
      <c r="K42" s="295"/>
      <c r="L42" s="295"/>
      <c r="T42" s="7"/>
      <c r="U42" s="7"/>
      <c r="V42" s="122">
        <v>8</v>
      </c>
      <c r="W42" s="122" t="s">
        <v>2</v>
      </c>
      <c r="X42" s="122">
        <v>15</v>
      </c>
      <c r="Y42" s="122"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100" t="str" cm="1">
        <f t="array" ref="B44">"3. " &amp; INDEX(Trad, N44, Lang)</f>
        <v>3. Nachweis</v>
      </c>
      <c r="C44" s="100"/>
      <c r="D44" s="101"/>
      <c r="E44" s="101"/>
      <c r="F44" s="101"/>
      <c r="G44" s="101"/>
      <c r="H44" s="101"/>
      <c r="I44" s="101"/>
      <c r="J44" s="101"/>
      <c r="K44" s="101"/>
      <c r="L44" s="102"/>
      <c r="N44" s="51">
        <v>125</v>
      </c>
      <c r="T44" s="7"/>
      <c r="U44" s="7"/>
      <c r="V44" s="46">
        <v>11</v>
      </c>
      <c r="W44" s="46" t="s">
        <v>2</v>
      </c>
      <c r="X44" s="46">
        <v>20</v>
      </c>
      <c r="Y44" s="58" t="s">
        <v>4629</v>
      </c>
      <c r="Z44" s="7"/>
    </row>
    <row r="45" spans="1:26" ht="27.75" customHeight="1" x14ac:dyDescent="0.2">
      <c r="A45" s="35"/>
      <c r="B45" s="305" t="str" cm="1">
        <f t="array" ref="B45">INDEX(Trad, N45, Lang)</f>
        <v>Die Einhaltung der Anforderungen muss durch die folgenden Dokumente belegt werden. Die in der Tabelle 2 aufgeführten Unterlagen sind integraler Bestandteil des Nachweises der Massnahmenumsetzung.</v>
      </c>
      <c r="C45" s="305"/>
      <c r="D45" s="305"/>
      <c r="E45" s="305"/>
      <c r="F45" s="305"/>
      <c r="G45" s="305"/>
      <c r="H45" s="305"/>
      <c r="I45" s="305"/>
      <c r="J45" s="305"/>
      <c r="K45" s="305"/>
      <c r="L45" s="305"/>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309" t="str" cm="1">
        <f t="array" ref="B47">INDEX(Trad, N47, Lang)</f>
        <v>Tabelle 2: Nachweise</v>
      </c>
      <c r="C47" s="309"/>
      <c r="D47" s="309"/>
      <c r="E47" s="309"/>
      <c r="F47" s="309"/>
      <c r="G47" s="309"/>
      <c r="H47" s="309"/>
      <c r="I47" s="309"/>
      <c r="J47" s="309"/>
      <c r="K47" s="309"/>
      <c r="L47" s="309"/>
      <c r="N47" s="51">
        <v>127</v>
      </c>
      <c r="T47" s="7"/>
      <c r="U47" s="7"/>
      <c r="V47" s="54">
        <v>8</v>
      </c>
      <c r="W47" s="54" t="s">
        <v>2</v>
      </c>
      <c r="X47" s="54">
        <v>15</v>
      </c>
      <c r="Y47" s="122" t="s">
        <v>4720</v>
      </c>
      <c r="Z47" s="7"/>
    </row>
    <row r="48" spans="1:26" ht="5.0999999999999996" customHeight="1" x14ac:dyDescent="0.2">
      <c r="A48" s="35"/>
      <c r="B48" s="113"/>
      <c r="C48" s="114"/>
      <c r="D48" s="114"/>
      <c r="E48" s="114"/>
      <c r="F48" s="114"/>
      <c r="G48" s="114"/>
      <c r="H48" s="114"/>
      <c r="I48" s="114"/>
      <c r="J48" s="114"/>
      <c r="K48" s="114"/>
      <c r="L48" s="115"/>
      <c r="T48" s="7"/>
      <c r="U48" s="7"/>
      <c r="Z48" s="7"/>
    </row>
    <row r="49" spans="1:26" ht="18" customHeight="1" x14ac:dyDescent="0.2">
      <c r="A49" s="35"/>
      <c r="B49" s="112" t="str">
        <f>IF(ISNUMBER(N49), T49 &amp; ".", "")</f>
        <v>1.</v>
      </c>
      <c r="C49" s="310" t="str" cm="1">
        <f t="array" ref="C49">IF(ISNUMBER(N49), INDEX(Trad, N49, Lang), "")</f>
        <v>Rechnungsbelege (Format PDF, PNG oder JPEG)</v>
      </c>
      <c r="D49" s="310"/>
      <c r="E49" s="310"/>
      <c r="F49" s="310"/>
      <c r="G49" s="310"/>
      <c r="H49" s="310"/>
      <c r="I49" s="310"/>
      <c r="J49" s="310"/>
      <c r="K49" s="310"/>
      <c r="L49" s="329"/>
      <c r="N49" s="51">
        <v>130</v>
      </c>
      <c r="T49" s="179">
        <v>1</v>
      </c>
      <c r="U49" s="7"/>
      <c r="V49" s="54">
        <v>10</v>
      </c>
      <c r="W49" s="54">
        <v>3</v>
      </c>
      <c r="X49" s="54">
        <f t="shared" ref="X49:X64" si="2">12.75*W49 + 2.25</f>
        <v>40.5</v>
      </c>
      <c r="Z49" s="189" t="s">
        <v>4870</v>
      </c>
    </row>
    <row r="50" spans="1:26" ht="5.0999999999999996" hidden="1" customHeight="1" x14ac:dyDescent="0.2">
      <c r="A50" s="35"/>
      <c r="B50" s="116"/>
      <c r="C50" s="117"/>
      <c r="D50" s="117"/>
      <c r="E50" s="117"/>
      <c r="F50" s="117"/>
      <c r="G50" s="117"/>
      <c r="H50" s="117"/>
      <c r="I50" s="117"/>
      <c r="J50" s="117"/>
      <c r="K50" s="117"/>
      <c r="L50" s="118"/>
      <c r="T50" s="179"/>
      <c r="U50" s="7"/>
      <c r="Z50" s="7"/>
    </row>
    <row r="51" spans="1:26" ht="5.0999999999999996" hidden="1" customHeight="1" x14ac:dyDescent="0.2">
      <c r="A51" s="35"/>
      <c r="B51" s="119"/>
      <c r="C51" s="120"/>
      <c r="D51" s="120"/>
      <c r="E51" s="120"/>
      <c r="F51" s="120"/>
      <c r="G51" s="120"/>
      <c r="H51" s="120"/>
      <c r="I51" s="120"/>
      <c r="J51" s="120"/>
      <c r="K51" s="120"/>
      <c r="L51" s="121"/>
      <c r="T51" s="179"/>
      <c r="U51" s="7"/>
      <c r="Z51" s="7"/>
    </row>
    <row r="52" spans="1:26" ht="14.25" hidden="1" customHeight="1" x14ac:dyDescent="0.2">
      <c r="A52" s="35"/>
      <c r="B52" s="112" t="str">
        <f>IF(ISNUMBER(N52), T52 &amp; ".", "")</f>
        <v>2.</v>
      </c>
      <c r="C52" s="310" t="str" cm="1">
        <f t="array" ref="C52">IF(ISNUMBER(N52), INDEX(Trad, N52, Lang), "")</f>
        <v>Erläuterung (Format PDF, max. 2 A4-Seiten), wie sichergestellt wird, dass die ersetzten Geräte fachgerecht entsorgt wurden (z. B. mittels Deklarationen, Entsorgungspositionen auf Unternehmerrechnungen, usw.).</v>
      </c>
      <c r="D52" s="310"/>
      <c r="E52" s="310"/>
      <c r="F52" s="310"/>
      <c r="G52" s="310"/>
      <c r="H52" s="310"/>
      <c r="I52" s="310"/>
      <c r="J52" s="310"/>
      <c r="K52" s="310"/>
      <c r="L52" s="329"/>
      <c r="N52" s="51">
        <v>129</v>
      </c>
      <c r="T52" s="179">
        <v>2</v>
      </c>
      <c r="U52" s="7"/>
      <c r="V52" s="54">
        <v>10</v>
      </c>
      <c r="W52" s="54">
        <v>3</v>
      </c>
      <c r="X52" s="54">
        <f t="shared" si="2"/>
        <v>40.5</v>
      </c>
      <c r="Z52" s="7"/>
    </row>
    <row r="53" spans="1:26" ht="5.0999999999999996" hidden="1" customHeight="1" x14ac:dyDescent="0.2">
      <c r="A53" s="35"/>
      <c r="B53" s="116"/>
      <c r="C53" s="117"/>
      <c r="D53" s="117"/>
      <c r="E53" s="117"/>
      <c r="F53" s="117"/>
      <c r="G53" s="117"/>
      <c r="H53" s="117"/>
      <c r="I53" s="117"/>
      <c r="J53" s="117"/>
      <c r="K53" s="117"/>
      <c r="L53" s="118"/>
      <c r="N53" s="45"/>
      <c r="T53" s="179"/>
      <c r="U53" s="7"/>
      <c r="Z53" s="7"/>
    </row>
    <row r="54" spans="1:26" ht="5.0999999999999996" hidden="1" customHeight="1" x14ac:dyDescent="0.2">
      <c r="A54" s="35"/>
      <c r="B54" s="119"/>
      <c r="C54" s="120"/>
      <c r="D54" s="120"/>
      <c r="E54" s="120"/>
      <c r="F54" s="120"/>
      <c r="G54" s="120"/>
      <c r="H54" s="120"/>
      <c r="I54" s="120"/>
      <c r="J54" s="120"/>
      <c r="K54" s="120"/>
      <c r="L54" s="121"/>
      <c r="N54" s="45"/>
      <c r="T54" s="179"/>
      <c r="U54" s="7"/>
      <c r="Z54" s="7"/>
    </row>
    <row r="55" spans="1:26" ht="36" hidden="1" customHeight="1" x14ac:dyDescent="0.2">
      <c r="A55" s="35"/>
      <c r="B55" s="112" t="str">
        <f>IF(ISNUMBER(N55), T55 &amp; ".", "")</f>
        <v>3.</v>
      </c>
      <c r="C55" s="310" t="str" cm="1">
        <f t="array" ref="C55">IF(LEN(INDEX(Trad, N55, Lang))&gt;0, INDEX(Trad, N55, Lang_measure), "")</f>
        <v/>
      </c>
      <c r="D55" s="310"/>
      <c r="E55" s="310"/>
      <c r="F55" s="310"/>
      <c r="G55" s="310"/>
      <c r="H55" s="310"/>
      <c r="I55" s="310"/>
      <c r="J55" s="310"/>
      <c r="K55" s="310"/>
      <c r="L55" s="329"/>
      <c r="N55" s="45">
        <v>160</v>
      </c>
      <c r="T55" s="179">
        <v>3</v>
      </c>
      <c r="U55" s="7"/>
      <c r="V55" s="54">
        <v>10</v>
      </c>
      <c r="W55" s="54">
        <v>3</v>
      </c>
      <c r="X55" s="54">
        <f t="shared" si="2"/>
        <v>40.5</v>
      </c>
      <c r="Z55" s="7"/>
    </row>
    <row r="56" spans="1:26" ht="5.0999999999999996" hidden="1" customHeight="1" x14ac:dyDescent="0.2">
      <c r="A56" s="35"/>
      <c r="B56" s="116"/>
      <c r="C56" s="117"/>
      <c r="D56" s="117"/>
      <c r="E56" s="117"/>
      <c r="F56" s="117"/>
      <c r="G56" s="117"/>
      <c r="H56" s="117"/>
      <c r="I56" s="117"/>
      <c r="J56" s="117"/>
      <c r="K56" s="117"/>
      <c r="L56" s="118"/>
      <c r="T56" s="179"/>
      <c r="U56" s="7"/>
      <c r="Z56" s="7"/>
    </row>
    <row r="57" spans="1:26" ht="5.0999999999999996" hidden="1" customHeight="1" x14ac:dyDescent="0.2">
      <c r="A57" s="35"/>
      <c r="B57" s="107"/>
      <c r="C57" s="104"/>
      <c r="D57" s="104"/>
      <c r="E57" s="104"/>
      <c r="F57" s="104"/>
      <c r="G57" s="104"/>
      <c r="H57" s="104"/>
      <c r="I57" s="104"/>
      <c r="J57" s="104"/>
      <c r="K57" s="104"/>
      <c r="L57" s="108"/>
      <c r="T57" s="179"/>
      <c r="U57" s="7"/>
      <c r="Z57" s="7"/>
    </row>
    <row r="58" spans="1:26" ht="40.5" hidden="1" customHeight="1" x14ac:dyDescent="0.2">
      <c r="A58" s="35"/>
      <c r="B58" s="112" t="str">
        <f>IF(ISNUMBER(N58), T58 &amp; ".", "")</f>
        <v>4.</v>
      </c>
      <c r="C58" s="310" t="str" cm="1">
        <f t="array" ref="C58">IF(LEN(INDEX(Trad, N58, Lang))&gt;0, INDEX(Trad, N58, Lang), "")</f>
        <v/>
      </c>
      <c r="D58" s="310"/>
      <c r="E58" s="310"/>
      <c r="F58" s="310"/>
      <c r="G58" s="310"/>
      <c r="H58" s="310"/>
      <c r="I58" s="310"/>
      <c r="J58" s="310"/>
      <c r="K58" s="310"/>
      <c r="L58" s="329"/>
      <c r="N58" s="51">
        <v>161</v>
      </c>
      <c r="T58" s="179">
        <v>4</v>
      </c>
      <c r="U58" s="7"/>
      <c r="V58" s="54">
        <v>10</v>
      </c>
      <c r="W58" s="54">
        <v>3</v>
      </c>
      <c r="X58" s="54">
        <f t="shared" si="2"/>
        <v>40.5</v>
      </c>
      <c r="Z58" s="7"/>
    </row>
    <row r="59" spans="1:26" ht="5.0999999999999996" hidden="1" customHeight="1" x14ac:dyDescent="0.2">
      <c r="A59" s="35"/>
      <c r="B59" s="105"/>
      <c r="C59" s="74"/>
      <c r="D59" s="74"/>
      <c r="E59" s="74"/>
      <c r="F59" s="74"/>
      <c r="G59" s="74"/>
      <c r="H59" s="74"/>
      <c r="I59" s="74"/>
      <c r="J59" s="74"/>
      <c r="K59" s="74"/>
      <c r="L59" s="106"/>
      <c r="T59" s="179"/>
      <c r="U59" s="7"/>
      <c r="Z59" s="7"/>
    </row>
    <row r="60" spans="1:26" ht="5.0999999999999996" hidden="1" customHeight="1" x14ac:dyDescent="0.2">
      <c r="A60" s="35"/>
      <c r="B60" s="107"/>
      <c r="C60" s="104"/>
      <c r="D60" s="104"/>
      <c r="E60" s="104"/>
      <c r="F60" s="104"/>
      <c r="G60" s="104"/>
      <c r="H60" s="104"/>
      <c r="I60" s="104"/>
      <c r="J60" s="104"/>
      <c r="K60" s="104"/>
      <c r="L60" s="108"/>
      <c r="T60" s="179"/>
      <c r="U60" s="7"/>
      <c r="Z60" s="7"/>
    </row>
    <row r="61" spans="1:26" ht="40.5" hidden="1" customHeight="1" x14ac:dyDescent="0.2">
      <c r="A61" s="35"/>
      <c r="B61" s="112" t="str">
        <f>IF(ISNUMBER(N61), T61 &amp; ".", "")</f>
        <v>5.</v>
      </c>
      <c r="C61" s="310" t="str" cm="1">
        <f t="array" ref="C61">IF(LEN(INDEX(Trad, N61, Lang))&gt;0, INDEX(Trad, N61, Lang), "")</f>
        <v/>
      </c>
      <c r="D61" s="310"/>
      <c r="E61" s="310"/>
      <c r="F61" s="310"/>
      <c r="G61" s="310"/>
      <c r="H61" s="310"/>
      <c r="I61" s="310"/>
      <c r="J61" s="310"/>
      <c r="K61" s="310"/>
      <c r="L61" s="329"/>
      <c r="N61" s="51">
        <v>162</v>
      </c>
      <c r="T61" s="179">
        <v>5</v>
      </c>
      <c r="U61" s="7"/>
      <c r="V61" s="54">
        <v>10</v>
      </c>
      <c r="W61" s="54">
        <v>3</v>
      </c>
      <c r="X61" s="54">
        <f t="shared" si="2"/>
        <v>40.5</v>
      </c>
      <c r="Z61" s="7"/>
    </row>
    <row r="62" spans="1:26" ht="5.0999999999999996" hidden="1" customHeight="1" x14ac:dyDescent="0.2">
      <c r="A62" s="35"/>
      <c r="B62" s="105"/>
      <c r="C62" s="74"/>
      <c r="D62" s="74"/>
      <c r="E62" s="74"/>
      <c r="F62" s="74"/>
      <c r="G62" s="74"/>
      <c r="H62" s="74"/>
      <c r="I62" s="74"/>
      <c r="J62" s="74"/>
      <c r="K62" s="74"/>
      <c r="L62" s="106"/>
      <c r="T62" s="179"/>
      <c r="U62" s="7"/>
      <c r="Z62" s="7"/>
    </row>
    <row r="63" spans="1:26" ht="5.0999999999999996" hidden="1" customHeight="1" x14ac:dyDescent="0.2">
      <c r="A63" s="35"/>
      <c r="B63" s="107"/>
      <c r="C63" s="104"/>
      <c r="D63" s="104"/>
      <c r="E63" s="104"/>
      <c r="F63" s="104"/>
      <c r="G63" s="104"/>
      <c r="H63" s="104"/>
      <c r="I63" s="104"/>
      <c r="J63" s="104"/>
      <c r="K63" s="104"/>
      <c r="L63" s="108"/>
      <c r="T63" s="179"/>
      <c r="U63" s="7"/>
      <c r="Z63" s="7"/>
    </row>
    <row r="64" spans="1:26" ht="40.5" hidden="1" customHeight="1" x14ac:dyDescent="0.2">
      <c r="A64" s="35"/>
      <c r="B64" s="112" t="str">
        <f>IF(ISNUMBER(N64), T64 &amp; ".", "")</f>
        <v>6.</v>
      </c>
      <c r="C64" s="310" t="str" cm="1">
        <f t="array" ref="C64">IF(LEN(INDEX(Trad, N64, Lang))&gt;0, INDEX(Trad, N64, Lang), "")</f>
        <v/>
      </c>
      <c r="D64" s="310"/>
      <c r="E64" s="310"/>
      <c r="F64" s="310"/>
      <c r="G64" s="310"/>
      <c r="H64" s="310"/>
      <c r="I64" s="310"/>
      <c r="J64" s="310"/>
      <c r="K64" s="310"/>
      <c r="L64" s="329"/>
      <c r="N64" s="51">
        <v>163</v>
      </c>
      <c r="T64" s="179">
        <v>6</v>
      </c>
      <c r="U64" s="7"/>
      <c r="V64" s="54">
        <v>10</v>
      </c>
      <c r="W64" s="54">
        <v>3</v>
      </c>
      <c r="X64" s="54">
        <f t="shared" si="2"/>
        <v>40.5</v>
      </c>
      <c r="Z64" s="7"/>
    </row>
    <row r="65" spans="1:26" ht="5.0999999999999996" customHeight="1" x14ac:dyDescent="0.2">
      <c r="A65" s="35"/>
      <c r="B65" s="109"/>
      <c r="C65" s="110"/>
      <c r="D65" s="110"/>
      <c r="E65" s="110"/>
      <c r="F65" s="110"/>
      <c r="G65" s="110"/>
      <c r="H65" s="110"/>
      <c r="I65" s="110"/>
      <c r="J65" s="110"/>
      <c r="K65" s="110"/>
      <c r="L65" s="111"/>
      <c r="T65" s="179"/>
      <c r="U65" s="7"/>
      <c r="Z65" s="7"/>
    </row>
    <row r="66" spans="1:26" ht="15" customHeight="1" x14ac:dyDescent="0.2">
      <c r="A66" s="35"/>
      <c r="B66" s="328"/>
      <c r="C66" s="328"/>
      <c r="D66" s="328"/>
      <c r="E66" s="328"/>
      <c r="F66" s="328"/>
      <c r="G66" s="328"/>
      <c r="H66" s="328"/>
      <c r="I66" s="328"/>
      <c r="J66" s="328"/>
      <c r="K66" s="328"/>
      <c r="L66" s="328"/>
      <c r="N66" s="51">
        <v>131</v>
      </c>
      <c r="T66" s="7"/>
      <c r="U66" s="7"/>
      <c r="V66" s="122">
        <v>8</v>
      </c>
      <c r="W66" s="122" t="s">
        <v>2</v>
      </c>
      <c r="X66" s="122">
        <v>15</v>
      </c>
      <c r="Y66" s="122" t="s">
        <v>4716</v>
      </c>
      <c r="Z66" s="7"/>
    </row>
    <row r="67" spans="1:26" ht="9.9499999999999993" customHeight="1" x14ac:dyDescent="0.2">
      <c r="A67" s="35"/>
      <c r="B67" s="11"/>
      <c r="C67" s="11"/>
      <c r="D67" s="11"/>
      <c r="E67" s="11"/>
      <c r="F67" s="11"/>
      <c r="G67" s="11"/>
      <c r="H67" s="11"/>
      <c r="I67" s="11"/>
      <c r="J67" s="11"/>
      <c r="K67" s="11"/>
      <c r="T67" s="7"/>
      <c r="Z67" s="7"/>
    </row>
    <row r="68" spans="1:26" ht="15" customHeight="1" x14ac:dyDescent="0.2">
      <c r="B68" s="99" t="str" cm="1">
        <f t="array" ref="B68">INDEX(Trad, N68, Lang)</f>
        <v>Meldung der Massnahme</v>
      </c>
      <c r="C68" s="29"/>
      <c r="D68" s="11"/>
      <c r="E68" s="11"/>
      <c r="F68" s="11"/>
      <c r="G68" s="11"/>
      <c r="H68" s="11"/>
      <c r="I68" s="11"/>
      <c r="J68" s="11"/>
      <c r="K68" s="11"/>
      <c r="N68" s="51">
        <v>135</v>
      </c>
      <c r="T68" s="179" t="b">
        <v>0</v>
      </c>
      <c r="U68" s="188"/>
      <c r="V68" s="54">
        <v>10</v>
      </c>
      <c r="W68" s="54">
        <v>1</v>
      </c>
      <c r="X68" s="54">
        <f>12.75*W68 + 2.25</f>
        <v>15</v>
      </c>
      <c r="Z68" s="189" t="s">
        <v>4871</v>
      </c>
    </row>
    <row r="69" spans="1:26" ht="36" customHeight="1" x14ac:dyDescent="0.2">
      <c r="A69" s="35"/>
      <c r="B69" s="327"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27"/>
      <c r="D69" s="327"/>
      <c r="E69" s="327"/>
      <c r="F69" s="327"/>
      <c r="G69" s="327"/>
      <c r="H69" s="327"/>
      <c r="I69" s="327"/>
      <c r="J69" s="327"/>
      <c r="K69" s="327"/>
      <c r="L69" s="327"/>
      <c r="N69" s="51">
        <v>136</v>
      </c>
      <c r="O69" s="51">
        <v>137</v>
      </c>
      <c r="P69" s="51">
        <v>138</v>
      </c>
      <c r="Q69" s="51">
        <v>139</v>
      </c>
      <c r="T69" s="179">
        <v>1</v>
      </c>
      <c r="U69" s="179"/>
      <c r="V69" s="54">
        <v>10</v>
      </c>
      <c r="W69" s="54">
        <v>3</v>
      </c>
      <c r="X69" s="54">
        <f t="shared" ref="X69" si="3">12.75*W69 + 2.25</f>
        <v>40.5</v>
      </c>
      <c r="Z69" s="189"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100" t="str" cm="1">
        <f t="array" ref="B71">"4. " &amp; INDEX(Trad, N71, Lang)</f>
        <v>4. Berechnungen</v>
      </c>
      <c r="C71" s="100"/>
      <c r="D71" s="101"/>
      <c r="E71" s="101"/>
      <c r="F71" s="101"/>
      <c r="G71" s="101"/>
      <c r="H71" s="101"/>
      <c r="I71" s="101"/>
      <c r="J71" s="101"/>
      <c r="K71" s="101"/>
      <c r="L71" s="102"/>
      <c r="N71" s="51">
        <v>140</v>
      </c>
      <c r="T71" s="7"/>
      <c r="U71" s="7"/>
      <c r="V71" s="46">
        <v>11</v>
      </c>
      <c r="W71" s="46" t="s">
        <v>2</v>
      </c>
      <c r="X71" s="46">
        <v>20</v>
      </c>
      <c r="Y71" s="58" t="s">
        <v>4629</v>
      </c>
      <c r="Z71" s="7"/>
    </row>
    <row r="72" spans="1:26" s="61" customFormat="1" ht="43.5" customHeight="1" x14ac:dyDescent="0.2">
      <c r="A72" s="35"/>
      <c r="B72" s="305"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KA-04 zu finden.</v>
      </c>
      <c r="C72" s="305"/>
      <c r="D72" s="305"/>
      <c r="E72" s="305"/>
      <c r="F72" s="305"/>
      <c r="G72" s="305"/>
      <c r="H72" s="305"/>
      <c r="I72" s="305"/>
      <c r="J72" s="305"/>
      <c r="K72" s="305"/>
      <c r="L72" s="305"/>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100" t="str" cm="1">
        <f t="array" ref="B74">"5. "&amp;INDEX(Trad,N74,Lang)</f>
        <v>5. Einsparungen</v>
      </c>
      <c r="C74" s="100"/>
      <c r="D74" s="101"/>
      <c r="E74" s="101"/>
      <c r="F74" s="101"/>
      <c r="G74" s="101"/>
      <c r="H74" s="101"/>
      <c r="I74" s="101"/>
      <c r="J74" s="101"/>
      <c r="K74" s="101"/>
      <c r="L74" s="102"/>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8" t="str" cm="1">
        <f t="array" ref="B76">INDEX(Trad, N76, Lang)</f>
        <v>Anrechenbare Stromeinsparungen* [kWh]</v>
      </c>
      <c r="C76" s="279"/>
      <c r="D76" s="279"/>
      <c r="E76" s="279"/>
      <c r="F76" s="279"/>
      <c r="G76" s="280"/>
      <c r="H76" s="324">
        <f>ROUND(B!D17, 1)</f>
        <v>264.10000000000002</v>
      </c>
      <c r="I76" s="325"/>
      <c r="J76" s="325"/>
      <c r="K76" s="325"/>
      <c r="L76" s="326"/>
      <c r="N76" s="51">
        <v>144</v>
      </c>
      <c r="T76" s="7"/>
      <c r="U76" s="7"/>
      <c r="Z76" s="7"/>
    </row>
    <row r="77" spans="1:26" ht="15" customHeight="1" x14ac:dyDescent="0.2">
      <c r="A77" s="35"/>
      <c r="B77" s="295" t="str" cm="1">
        <f t="array" ref="B77">INDEX(Trad, N77, Lang) &amp; " " &amp; LEFT(L11, LEN(L11) - 1) &amp; INDEX(Trad, O77, Lang)</f>
        <v>* automatisch nach der in der Dokumentation KA-04 beschriebenen Berechnungsmethode berechnet</v>
      </c>
      <c r="C77" s="295"/>
      <c r="D77" s="295"/>
      <c r="E77" s="295"/>
      <c r="F77" s="295"/>
      <c r="G77" s="295"/>
      <c r="H77" s="295"/>
      <c r="I77" s="295"/>
      <c r="J77" s="295"/>
      <c r="K77" s="295"/>
      <c r="L77" s="295"/>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100" t="str" cm="1">
        <f t="array" ref="B79">"6. " &amp; INDEX(Trad, N79, Lang)</f>
        <v>6. Referenz</v>
      </c>
      <c r="C79" s="100"/>
      <c r="D79" s="101"/>
      <c r="E79" s="101"/>
      <c r="F79" s="101"/>
      <c r="G79" s="101"/>
      <c r="H79" s="101"/>
      <c r="I79" s="101"/>
      <c r="J79" s="101"/>
      <c r="K79" s="101"/>
      <c r="L79" s="102"/>
      <c r="N79" s="51">
        <v>147</v>
      </c>
      <c r="T79" s="7"/>
      <c r="U79" s="7"/>
      <c r="V79" s="46">
        <v>11</v>
      </c>
      <c r="W79" s="46" t="s">
        <v>2</v>
      </c>
      <c r="X79" s="46">
        <v>20</v>
      </c>
      <c r="Y79" s="58" t="s">
        <v>4629</v>
      </c>
      <c r="Z79" s="7"/>
    </row>
    <row r="80" spans="1:26" s="55" customFormat="1" ht="15" customHeight="1" x14ac:dyDescent="0.2">
      <c r="A80" s="152"/>
      <c r="B80" s="318" t="str" cm="1">
        <f t="array" ref="B80">INDEX(Trad,N80,Lang)</f>
        <v>Elektrizitätslieferant</v>
      </c>
      <c r="C80" s="318"/>
      <c r="D80" s="318"/>
      <c r="E80" s="318"/>
      <c r="F80" s="318"/>
      <c r="G80" s="318"/>
      <c r="H80" s="319" t="str">
        <f>IF(ISBLANK(B!D15), "!", B!D15)</f>
        <v>Energia Beispiel AG</v>
      </c>
      <c r="I80" s="319"/>
      <c r="J80" s="319"/>
      <c r="K80" s="319"/>
      <c r="L80" s="319"/>
      <c r="M80" s="48"/>
      <c r="N80" s="51">
        <v>148</v>
      </c>
      <c r="O80" s="52"/>
      <c r="P80" s="52"/>
      <c r="Q80" s="52"/>
      <c r="R80" s="52"/>
      <c r="S80" s="53"/>
      <c r="T80" s="7"/>
      <c r="U80" s="7"/>
      <c r="V80" s="54"/>
      <c r="W80" s="54"/>
      <c r="X80" s="54"/>
      <c r="Y80" s="54"/>
      <c r="Z80" s="7"/>
    </row>
    <row r="81" spans="1:26" s="55" customFormat="1" ht="15" customHeight="1" x14ac:dyDescent="0.2">
      <c r="A81" s="152"/>
      <c r="B81" s="318" t="str" cm="1">
        <f t="array" ref="B81">INDEX(Trad,N81,Lang)</f>
        <v>Dateibezeichnung</v>
      </c>
      <c r="C81" s="318"/>
      <c r="D81" s="318"/>
      <c r="E81" s="318"/>
      <c r="F81" s="318"/>
      <c r="G81" s="318"/>
      <c r="H81" s="319" t="str">
        <f>IF(ISBLANK(B!D16), "-", B!D16)</f>
        <v>-</v>
      </c>
      <c r="I81" s="319"/>
      <c r="J81" s="319"/>
      <c r="K81" s="319"/>
      <c r="L81" s="319"/>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eSm2a0l5wPcWgo8u21AIovYBQGY/dI0dp43L+XlOYLCHeb/t2N8nG1o9O0Dv4vgV6zzcjUYYmTvvFzSPdyhAwg==" saltValue="U9OeF7yhexLv+z8mOuVX6Q==" spinCount="100000" sheet="1" objects="1" scenarios="1"/>
  <mergeCells count="56">
    <mergeCell ref="C55:L55"/>
    <mergeCell ref="C58:L58"/>
    <mergeCell ref="C61:L61"/>
    <mergeCell ref="C64:L64"/>
    <mergeCell ref="B47:L47"/>
    <mergeCell ref="C52:L52"/>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B8:L8"/>
    <mergeCell ref="B9:L9"/>
    <mergeCell ref="B15:L15"/>
    <mergeCell ref="B20:L20"/>
    <mergeCell ref="K13:L13"/>
    <mergeCell ref="B10:L10"/>
    <mergeCell ref="B23:L23"/>
    <mergeCell ref="B28:L28"/>
    <mergeCell ref="E31:H31"/>
    <mergeCell ref="I31:L31"/>
    <mergeCell ref="B31:D31"/>
    <mergeCell ref="B30:L30"/>
    <mergeCell ref="B25:L25"/>
    <mergeCell ref="B24:L24"/>
    <mergeCell ref="B42:L42"/>
    <mergeCell ref="E41:L41"/>
    <mergeCell ref="B41:D41"/>
    <mergeCell ref="E36:L36"/>
    <mergeCell ref="E37:L37"/>
    <mergeCell ref="E38:L38"/>
    <mergeCell ref="E39:L39"/>
    <mergeCell ref="E35:L35"/>
    <mergeCell ref="B36:D36"/>
    <mergeCell ref="B37:D37"/>
    <mergeCell ref="B38:D38"/>
    <mergeCell ref="B32:D32"/>
    <mergeCell ref="B34:D34"/>
    <mergeCell ref="E34:H34"/>
    <mergeCell ref="E32:L32"/>
    <mergeCell ref="I34:L34"/>
    <mergeCell ref="B33:D33"/>
    <mergeCell ref="E33:H33"/>
    <mergeCell ref="I33:L33"/>
    <mergeCell ref="B35:D35"/>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2"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1488-EEB5-46AD-B7E8-DE0CAC80EB8A}">
  <sheetPr>
    <tabColor rgb="FFFFFF66"/>
  </sheetPr>
  <dimension ref="A1:CY1023"/>
  <sheetViews>
    <sheetView workbookViewId="0">
      <pane xSplit="1" ySplit="22" topLeftCell="B23" activePane="bottomRight" state="frozen"/>
      <selection pane="topRight" activeCell="B1" sqref="B1"/>
      <selection pane="bottomLeft" activeCell="A23" sqref="A23"/>
      <selection pane="bottomRight" activeCell="G21" sqref="G21"/>
    </sheetView>
  </sheetViews>
  <sheetFormatPr baseColWidth="10" defaultColWidth="9.140625" defaultRowHeight="14.25" zeroHeight="1" outlineLevelRow="1" x14ac:dyDescent="0.2"/>
  <cols>
    <col min="1" max="1" width="5.7109375" style="7" customWidth="1"/>
    <col min="2" max="2" width="5.7109375" style="192" customWidth="1"/>
    <col min="3" max="4" width="25.7109375" style="7" customWidth="1"/>
    <col min="5" max="5" width="8.28515625" style="7" customWidth="1"/>
    <col min="6" max="7" width="25.7109375" style="7" customWidth="1"/>
    <col min="8" max="9" width="30.7109375" style="7" customWidth="1"/>
    <col min="10" max="12" width="13.28515625" style="7" customWidth="1"/>
    <col min="13" max="13" width="15.7109375" style="7" customWidth="1"/>
    <col min="14" max="16" width="15.7109375" style="7" hidden="1" customWidth="1"/>
    <col min="17" max="18" width="13.28515625" style="7" hidden="1" customWidth="1"/>
    <col min="19" max="19" width="17.140625" style="7" customWidth="1"/>
    <col min="20" max="20" width="15.7109375" style="7" customWidth="1"/>
    <col min="21" max="23" width="15.7109375" style="7" hidden="1" customWidth="1"/>
    <col min="24" max="25" width="13.28515625" style="7" hidden="1" customWidth="1"/>
    <col min="26" max="26" width="18.28515625" style="7" customWidth="1"/>
    <col min="27" max="27" width="20.7109375" style="7" customWidth="1"/>
    <col min="28" max="28" width="25.7109375" style="7" customWidth="1"/>
    <col min="29" max="29" width="8.28515625" style="7" customWidth="1"/>
    <col min="30" max="30" width="25.7109375" style="7" customWidth="1"/>
    <col min="31" max="31" width="15.7109375" style="192" customWidth="1"/>
    <col min="32" max="32" width="18.7109375" style="7" customWidth="1"/>
    <col min="33" max="33" width="9.5703125" style="7" customWidth="1"/>
    <col min="34" max="41" width="5.7109375" style="236" customWidth="1"/>
    <col min="42" max="42" width="5.7109375" style="7" customWidth="1"/>
    <col min="43" max="44" width="5.7109375" style="236" customWidth="1"/>
    <col min="45" max="55" width="5.7109375" style="237" customWidth="1"/>
    <col min="56" max="56" width="5.7109375" style="7" customWidth="1"/>
    <col min="57" max="63" width="5.7109375" style="236" customWidth="1"/>
    <col min="64" max="64" width="5.7109375" style="237" customWidth="1"/>
    <col min="65" max="67" width="5.7109375" style="236" customWidth="1"/>
    <col min="68" max="68" width="5.7109375" style="237" customWidth="1"/>
    <col min="69" max="71" width="5.7109375" style="236" customWidth="1"/>
    <col min="72" max="72" width="5.7109375" style="237" customWidth="1"/>
    <col min="73" max="75" width="5.7109375" style="236" customWidth="1"/>
    <col min="76" max="76" width="5.7109375" style="237" customWidth="1"/>
    <col min="77" max="79" width="5.7109375" style="236" customWidth="1"/>
    <col min="80" max="80" width="5.7109375" style="237" customWidth="1"/>
    <col min="81" max="81" width="5.7109375" style="7" customWidth="1"/>
    <col min="82" max="85" width="5.7109375" style="236" customWidth="1"/>
    <col min="86" max="86" width="5.7109375" style="237" customWidth="1"/>
    <col min="87" max="89" width="5.7109375" style="236" customWidth="1"/>
    <col min="90" max="90" width="5.7109375" style="237" customWidth="1"/>
    <col min="91" max="93" width="5.7109375" style="236" customWidth="1"/>
    <col min="94" max="94" width="5.7109375" style="237" customWidth="1"/>
    <col min="95" max="97" width="5.7109375" style="236" customWidth="1"/>
    <col min="98" max="98" width="5.7109375" style="237" customWidth="1"/>
    <col min="99" max="101" width="5.7109375" style="236" customWidth="1"/>
    <col min="102" max="102" width="5.7109375" style="237" customWidth="1"/>
    <col min="103" max="103" width="5.7109375" style="7" customWidth="1"/>
    <col min="104" max="16383" width="9.140625" style="7"/>
    <col min="16384" max="16384" width="9.7109375" style="7" customWidth="1"/>
  </cols>
  <sheetData>
    <row r="1" spans="1:24" s="65" customFormat="1" ht="12.75" customHeight="1" x14ac:dyDescent="0.2">
      <c r="A1" s="63"/>
      <c r="B1" s="64">
        <f>Lang</f>
        <v>1</v>
      </c>
      <c r="C1" s="210">
        <f>Lang</f>
        <v>1</v>
      </c>
      <c r="F1" s="66"/>
      <c r="G1" s="66"/>
      <c r="H1" s="66"/>
      <c r="I1" s="66"/>
      <c r="L1" s="67"/>
      <c r="S1" s="63"/>
      <c r="X1" s="63"/>
    </row>
    <row r="2" spans="1:24" s="65" customFormat="1" ht="12" customHeight="1" x14ac:dyDescent="0.2">
      <c r="A2" s="63"/>
      <c r="B2" s="317" t="str" cm="1">
        <f t="array" ref="B2">INDEX(Trad, 204, $B$1)</f>
        <v>Zurück zur Übersicht</v>
      </c>
      <c r="C2" s="317"/>
      <c r="D2" s="134"/>
      <c r="F2" s="72"/>
      <c r="G2" s="72"/>
      <c r="H2" s="72"/>
      <c r="I2" s="72"/>
      <c r="J2" s="64"/>
      <c r="K2" s="64"/>
      <c r="L2" s="64"/>
      <c r="S2" s="63"/>
      <c r="X2" s="63"/>
    </row>
    <row r="3" spans="1:24" s="65" customFormat="1" ht="12" customHeight="1" x14ac:dyDescent="0.2">
      <c r="A3" s="63"/>
      <c r="B3" s="133"/>
      <c r="D3" s="134"/>
      <c r="F3" s="72"/>
      <c r="G3" s="72"/>
      <c r="H3" s="72"/>
      <c r="I3" s="72"/>
      <c r="J3" s="64"/>
      <c r="K3" s="64"/>
      <c r="L3" s="64"/>
      <c r="S3" s="63"/>
      <c r="X3" s="63"/>
    </row>
    <row r="4" spans="1:24" s="70" customFormat="1" ht="20.100000000000001" customHeight="1" x14ac:dyDescent="0.2">
      <c r="A4" s="68"/>
      <c r="B4" s="16" t="str" cm="1">
        <f t="array" ref="B4">INDEX(Trad, 1, $B$1)</f>
        <v>Monitoringliste</v>
      </c>
      <c r="C4" s="69"/>
      <c r="D4" s="128"/>
      <c r="F4" s="66"/>
      <c r="G4" s="66"/>
      <c r="H4" s="66"/>
      <c r="I4" s="66"/>
      <c r="L4" s="71"/>
      <c r="S4" s="68"/>
      <c r="T4" s="65"/>
      <c r="U4" s="65"/>
      <c r="X4" s="68"/>
    </row>
    <row r="5" spans="1:24" s="65" customFormat="1" ht="12" customHeight="1" x14ac:dyDescent="0.2">
      <c r="A5" s="63"/>
      <c r="B5" s="133" t="str" cm="1">
        <f t="array" ref="B5">INDEX(Trad, 23, $B$1)</f>
        <v>Massnahme</v>
      </c>
      <c r="D5" s="134" t="str">
        <f>measure_id</f>
        <v>KA-04a</v>
      </c>
      <c r="F5" s="72"/>
      <c r="G5" s="72"/>
      <c r="H5" s="72"/>
      <c r="I5" s="72"/>
      <c r="J5" s="64"/>
      <c r="K5" s="64"/>
      <c r="L5" s="64"/>
      <c r="S5" s="63"/>
      <c r="X5" s="63"/>
    </row>
    <row r="6" spans="1:24" s="65" customFormat="1" ht="12" customHeight="1" x14ac:dyDescent="0.2">
      <c r="A6" s="63" t="s">
        <v>4758</v>
      </c>
      <c r="B6" s="133" t="str" cm="1">
        <f t="array" ref="B6">INDEX(Trad, 24, $B$1)</f>
        <v>Version</v>
      </c>
      <c r="D6" s="134" t="str">
        <f>measure_version</f>
        <v>2.0 (11.2025)</v>
      </c>
      <c r="F6" s="72"/>
      <c r="G6" s="72"/>
      <c r="H6" s="72"/>
      <c r="I6" s="72"/>
      <c r="J6" s="64"/>
      <c r="K6" s="64"/>
      <c r="L6" s="64"/>
      <c r="S6" s="63"/>
      <c r="X6" s="63"/>
    </row>
    <row r="7" spans="1:24" s="70" customFormat="1" ht="24.95" customHeight="1" x14ac:dyDescent="0.25">
      <c r="A7" s="68"/>
      <c r="B7" s="158" t="str" cm="1">
        <f t="array" ref="B7">INDEX(Trad, 34, $B$1)</f>
        <v>Jede Massnahme muss mit den gesamten Angaben vollständig erfasst werden (Pflichtfelder).</v>
      </c>
      <c r="D7" s="138"/>
      <c r="F7" s="72"/>
      <c r="G7" s="72"/>
      <c r="H7" s="72"/>
      <c r="I7" s="72"/>
      <c r="J7" s="72"/>
      <c r="K7" s="72"/>
      <c r="L7" s="72"/>
      <c r="S7" s="68"/>
      <c r="X7" s="68"/>
    </row>
    <row r="8" spans="1:24" s="65" customFormat="1" ht="12" customHeight="1" outlineLevel="1" x14ac:dyDescent="0.2">
      <c r="A8" s="63"/>
      <c r="B8" s="157"/>
      <c r="C8" s="144" t="str" cm="1">
        <f t="array" ref="C8">INDEX(Trad, 7, $B$1)</f>
        <v>Eingabefeld (obligatorisch)</v>
      </c>
      <c r="F8" s="71"/>
      <c r="G8" s="71"/>
      <c r="H8" s="71"/>
      <c r="I8" s="71"/>
      <c r="J8" s="64"/>
      <c r="K8" s="64"/>
      <c r="L8" s="64"/>
      <c r="S8" s="63"/>
      <c r="X8" s="63"/>
    </row>
    <row r="9" spans="1:24" s="65" customFormat="1" ht="12" customHeight="1" outlineLevel="1" x14ac:dyDescent="0.2">
      <c r="A9" s="63"/>
      <c r="B9" s="156"/>
      <c r="C9" s="144" t="str" cm="1">
        <f t="array" ref="C9">INDEX(Trad, 18, $B$1)</f>
        <v>Eingabefeld (optional)</v>
      </c>
      <c r="F9" s="71"/>
      <c r="G9" s="71"/>
      <c r="H9" s="71"/>
      <c r="I9" s="71"/>
      <c r="J9" s="64"/>
      <c r="K9" s="64"/>
      <c r="L9" s="64"/>
      <c r="S9" s="63"/>
      <c r="X9" s="63"/>
    </row>
    <row r="10" spans="1:24" s="65" customFormat="1" ht="12" customHeight="1" outlineLevel="1" x14ac:dyDescent="0.2">
      <c r="A10" s="63"/>
      <c r="B10" s="124"/>
      <c r="C10" s="144" t="str" cm="1">
        <f t="array" ref="C10">INDEX(Trad, 17, $B$1)</f>
        <v>Mehrfachauswahlfeld (obligatorisch)</v>
      </c>
      <c r="F10" s="71"/>
      <c r="G10" s="71"/>
      <c r="H10" s="71"/>
      <c r="I10" s="71"/>
      <c r="J10" s="64"/>
      <c r="K10" s="64"/>
      <c r="L10" s="64"/>
      <c r="S10" s="63"/>
      <c r="X10" s="63"/>
    </row>
    <row r="11" spans="1:24" s="65" customFormat="1" ht="12" customHeight="1" outlineLevel="1" x14ac:dyDescent="0.2">
      <c r="A11" s="63"/>
      <c r="B11" s="125"/>
      <c r="C11" s="144" t="str" cm="1">
        <f t="array" ref="C11">INDEX(Trad, 8, $B$1)</f>
        <v>Berechnetetes Feld</v>
      </c>
      <c r="F11" s="71"/>
      <c r="G11" s="71"/>
      <c r="H11" s="71"/>
      <c r="I11" s="71"/>
      <c r="J11" s="64"/>
      <c r="K11" s="64"/>
      <c r="L11" s="64"/>
      <c r="S11" s="63"/>
      <c r="X11" s="63"/>
    </row>
    <row r="12" spans="1:24" s="65" customFormat="1" ht="12" customHeight="1" outlineLevel="1" x14ac:dyDescent="0.2">
      <c r="A12" s="63"/>
      <c r="B12" s="126"/>
      <c r="C12" s="144" t="str" cm="1">
        <f t="array" ref="C12">INDEX(Trad, 9, $B$1)</f>
        <v>Gesperrtes Feld</v>
      </c>
      <c r="F12" s="71"/>
      <c r="G12" s="71"/>
      <c r="H12" s="71"/>
      <c r="I12" s="71"/>
      <c r="J12" s="64"/>
      <c r="K12" s="64"/>
      <c r="L12" s="64"/>
      <c r="S12" s="63"/>
      <c r="X12" s="63"/>
    </row>
    <row r="13" spans="1:24" s="65" customFormat="1" ht="12" customHeight="1" outlineLevel="1" x14ac:dyDescent="0.2">
      <c r="A13" s="63"/>
      <c r="B13" s="127"/>
      <c r="C13" s="145" t="str" cm="1">
        <f t="array" ref="C13">INDEX(Trad, 19, $B$1)</f>
        <v>Eingabefehler</v>
      </c>
      <c r="F13" s="129"/>
      <c r="G13" s="71"/>
      <c r="H13" s="71"/>
      <c r="I13" s="71"/>
      <c r="J13" s="64"/>
      <c r="K13" s="64"/>
      <c r="L13" s="64"/>
      <c r="S13" s="63"/>
      <c r="X13" s="63"/>
    </row>
    <row r="14" spans="1:24" s="65" customFormat="1" ht="12" customHeight="1" outlineLevel="1" x14ac:dyDescent="0.2">
      <c r="A14" s="63"/>
      <c r="B14" s="133"/>
      <c r="D14" s="134"/>
      <c r="F14" s="72"/>
      <c r="G14" s="72"/>
      <c r="H14" s="72"/>
      <c r="I14" s="72"/>
      <c r="J14" s="64"/>
      <c r="K14" s="64"/>
      <c r="L14" s="64"/>
      <c r="S14" s="63"/>
      <c r="X14" s="63"/>
    </row>
    <row r="15" spans="1:24" s="70" customFormat="1" ht="12.75" customHeight="1" x14ac:dyDescent="0.25">
      <c r="A15" s="68"/>
      <c r="B15" s="139" t="str" cm="1">
        <f t="array" ref="B15">INDEX(Trad, 27, $B$1)</f>
        <v>Elektrizitätslieferant</v>
      </c>
      <c r="C15" s="140"/>
      <c r="D15" s="335" t="s">
        <v>4772</v>
      </c>
      <c r="E15" s="336"/>
      <c r="F15" s="155" t="str" cm="1">
        <f t="array" ref="F15">IF(ISBLANK(D15), INDEX(Trad, 30, $B$1),"")</f>
        <v/>
      </c>
      <c r="G15" s="72"/>
      <c r="H15" s="72"/>
      <c r="I15" s="143"/>
      <c r="J15" s="72"/>
      <c r="K15" s="72"/>
      <c r="L15" s="72"/>
      <c r="S15" s="68"/>
      <c r="X15" s="68"/>
    </row>
    <row r="16" spans="1:24" s="70" customFormat="1" ht="12.75" customHeight="1" x14ac:dyDescent="0.25">
      <c r="A16" s="68"/>
      <c r="B16" s="147" t="str" cm="1">
        <f t="array" ref="B16">INDEX(Trad, 28, $B$1) &amp; "*"</f>
        <v>Dateibezeichnung*</v>
      </c>
      <c r="C16" s="148"/>
      <c r="D16" s="337"/>
      <c r="E16" s="338"/>
      <c r="F16" s="155"/>
      <c r="G16" s="72"/>
      <c r="H16" s="72"/>
      <c r="I16" s="143"/>
      <c r="J16" s="72"/>
      <c r="K16" s="72"/>
      <c r="L16" s="72"/>
      <c r="S16" s="68"/>
      <c r="X16" s="68"/>
    </row>
    <row r="17" spans="1:103" s="70" customFormat="1" ht="12.75" customHeight="1" x14ac:dyDescent="0.25">
      <c r="A17" s="68"/>
      <c r="B17" s="141" t="str" cm="1">
        <f t="array" ref="B17">INDEX(Trad, 26, $B$1)</f>
        <v>Einsparungen (gesamte) [kWh]</v>
      </c>
      <c r="C17" s="142"/>
      <c r="D17" s="339">
        <f>SUM(AF23:AF1022)</f>
        <v>264.14210291172367</v>
      </c>
      <c r="E17" s="340"/>
      <c r="F17" s="72"/>
      <c r="G17" s="72"/>
      <c r="H17" s="72"/>
      <c r="I17" s="72"/>
      <c r="J17" s="72"/>
      <c r="K17" s="72"/>
      <c r="L17" s="72"/>
      <c r="S17" s="68"/>
      <c r="X17" s="68"/>
    </row>
    <row r="18" spans="1:103" s="70" customFormat="1" ht="12.75" customHeight="1" x14ac:dyDescent="0.25">
      <c r="A18" s="68"/>
      <c r="B18" s="154" t="str" cm="1">
        <f t="array" ref="B18">"* " &amp; INDEX(Trad, 29, $B$1)</f>
        <v>* Hier können Sie den unternehmensinternen Dateinamen einfügen</v>
      </c>
      <c r="D18" s="153"/>
      <c r="E18" s="153"/>
      <c r="F18" s="72"/>
      <c r="G18" s="72"/>
      <c r="H18" s="72"/>
      <c r="I18" s="72"/>
      <c r="K18" s="72"/>
      <c r="L18" s="72"/>
      <c r="M18" s="181"/>
      <c r="S18" s="68"/>
      <c r="X18" s="68"/>
    </row>
    <row r="19" spans="1:103" s="65" customFormat="1" ht="12" customHeight="1" x14ac:dyDescent="0.2">
      <c r="A19" s="63"/>
      <c r="B19" s="133"/>
      <c r="D19" s="134"/>
      <c r="F19" s="72"/>
      <c r="G19" s="72"/>
      <c r="H19" s="72"/>
      <c r="I19" s="72"/>
      <c r="K19" s="64"/>
      <c r="L19" s="64"/>
      <c r="S19" s="63"/>
      <c r="X19" s="63"/>
    </row>
    <row r="20" spans="1:103" s="199" customFormat="1" ht="35.1" customHeight="1" x14ac:dyDescent="0.25">
      <c r="A20" s="210">
        <f>Lang</f>
        <v>1</v>
      </c>
      <c r="B20" s="330" t="s">
        <v>4463</v>
      </c>
      <c r="C20" s="208" t="str" cm="1">
        <f t="array" ref="C20">INDEX(Trad, 2, $A$20)</f>
        <v>Standort</v>
      </c>
      <c r="D20" s="212"/>
      <c r="E20" s="195"/>
      <c r="F20" s="196"/>
      <c r="G20" s="193" t="str" cm="1">
        <f t="array" ref="G20">INDEX(Trad, 49, $C$1)</f>
        <v>Anlage</v>
      </c>
      <c r="H20" s="213"/>
      <c r="I20" s="213"/>
      <c r="J20" s="213"/>
      <c r="K20" s="195"/>
      <c r="L20" s="195"/>
      <c r="M20" s="193" t="str" cm="1">
        <f t="array" ref="M20">INDEX(Trad, 3, $A$20)</f>
        <v>Alte Anlage/Gerät</v>
      </c>
      <c r="N20" s="194"/>
      <c r="O20" s="194"/>
      <c r="P20" s="194"/>
      <c r="Q20" s="195"/>
      <c r="R20" s="195"/>
      <c r="S20" s="196"/>
      <c r="T20" s="193" t="str" cm="1">
        <f t="array" ref="T20">INDEX(Trad, 4, $A$20)</f>
        <v>Neue Anlage/Gerät</v>
      </c>
      <c r="U20" s="194"/>
      <c r="V20" s="194"/>
      <c r="W20" s="194"/>
      <c r="X20" s="195"/>
      <c r="Y20" s="195"/>
      <c r="Z20" s="196"/>
      <c r="AA20" s="333" t="str" cm="1">
        <f t="array" ref="AA20">INDEX(Trad, 5, $A$20)</f>
        <v>Firma, welche den Ersatz durchgeführt hat</v>
      </c>
      <c r="AB20" s="334"/>
      <c r="AC20" s="197"/>
      <c r="AD20" s="196"/>
      <c r="AE20" s="198" t="str" cm="1">
        <f t="array" ref="AE20">INDEX(Trad, 26, $A$20)</f>
        <v>Einsparungen (gesamte) [kWh]</v>
      </c>
      <c r="AF20" s="196"/>
      <c r="AG20" s="211"/>
      <c r="AH20" s="214" t="s">
        <v>4990</v>
      </c>
      <c r="AI20" s="215"/>
      <c r="AJ20" s="215"/>
      <c r="AK20" s="239" t="s">
        <v>5054</v>
      </c>
      <c r="AL20" s="215"/>
      <c r="AM20" s="239" t="s">
        <v>5055</v>
      </c>
      <c r="AN20" s="215"/>
      <c r="AO20" s="215"/>
      <c r="AP20" s="211"/>
      <c r="AQ20" s="214" t="s">
        <v>4991</v>
      </c>
      <c r="AR20" s="215"/>
      <c r="AS20" s="216"/>
      <c r="AT20" s="216"/>
      <c r="AU20" s="216"/>
      <c r="AV20" s="216"/>
      <c r="AW20" s="216"/>
      <c r="AX20" s="216"/>
      <c r="AY20" s="216"/>
      <c r="AZ20" s="216"/>
      <c r="BA20" s="216"/>
      <c r="BB20" s="216"/>
      <c r="BC20" s="216"/>
      <c r="BD20" s="211"/>
      <c r="BE20" s="214"/>
      <c r="BF20" s="215"/>
      <c r="BG20" s="215"/>
      <c r="BH20" s="215"/>
      <c r="BI20" s="215"/>
      <c r="BJ20" s="215"/>
      <c r="BK20" s="217" t="s">
        <v>4992</v>
      </c>
      <c r="BL20" s="218"/>
      <c r="BM20" s="218"/>
      <c r="BN20" s="218"/>
      <c r="BO20" s="218" t="s">
        <v>4993</v>
      </c>
      <c r="BP20" s="217"/>
      <c r="BQ20" s="218"/>
      <c r="BR20" s="218"/>
      <c r="BS20" s="218" t="s">
        <v>4994</v>
      </c>
      <c r="BT20" s="217"/>
      <c r="BU20" s="219"/>
      <c r="BV20" s="219"/>
      <c r="BW20" s="218" t="s">
        <v>4465</v>
      </c>
      <c r="BX20" s="217"/>
      <c r="BY20" s="219"/>
      <c r="BZ20" s="219"/>
      <c r="CA20" s="219" t="s">
        <v>4995</v>
      </c>
      <c r="CB20" s="216"/>
      <c r="CC20" s="211"/>
      <c r="CD20" s="214"/>
      <c r="CE20" s="214"/>
      <c r="CF20" s="215"/>
      <c r="CG20" s="217" t="s">
        <v>4992</v>
      </c>
      <c r="CH20" s="218"/>
      <c r="CI20" s="218"/>
      <c r="CJ20" s="218"/>
      <c r="CK20" s="218" t="s">
        <v>4993</v>
      </c>
      <c r="CL20" s="217"/>
      <c r="CM20" s="218"/>
      <c r="CN20" s="218"/>
      <c r="CO20" s="218" t="s">
        <v>4994</v>
      </c>
      <c r="CP20" s="217"/>
      <c r="CQ20" s="219"/>
      <c r="CR20" s="219"/>
      <c r="CS20" s="218" t="s">
        <v>4465</v>
      </c>
      <c r="CT20" s="217"/>
      <c r="CU20" s="219"/>
      <c r="CV20" s="219"/>
      <c r="CW20" s="219" t="s">
        <v>4995</v>
      </c>
      <c r="CX20" s="216"/>
      <c r="CY20" s="211"/>
    </row>
    <row r="21" spans="1:103" s="201" customFormat="1" ht="50.1" customHeight="1" x14ac:dyDescent="0.25">
      <c r="A21" s="220"/>
      <c r="B21" s="331"/>
      <c r="C21" s="240" t="str" cm="1">
        <f t="array" ref="C21">INDEX(Trad, 14, $A$20)</f>
        <v>Name</v>
      </c>
      <c r="D21" s="240" t="str" cm="1">
        <f t="array" ref="D21">INDEX(Trad, 12, $A$20)</f>
        <v>Adresse</v>
      </c>
      <c r="E21" s="240" t="str" cm="1">
        <f t="array" ref="E21">INDEX(Trad, 15, $A$20)</f>
        <v>PLZ</v>
      </c>
      <c r="F21" s="240" t="str" cm="1">
        <f t="array" ref="F21">INDEX(Trad, 10, $C$1)</f>
        <v>Gemeinde</v>
      </c>
      <c r="G21" s="240" t="str" cm="1">
        <f t="array" ref="G21">INDEX(Trad, 86, $C$1)</f>
        <v>Geografische Region (≥ 800 m)</v>
      </c>
      <c r="H21" s="240" t="str" cm="1">
        <f t="array" ref="H21">INDEX(Trad, 72, $C$1)</f>
        <v>Anwendung</v>
      </c>
      <c r="I21" s="240" t="str" cm="1">
        <f t="array" ref="I21">INDEX(Trad, 73, $C$1)</f>
        <v>Wärmeträger</v>
      </c>
      <c r="J21" s="240" t="s">
        <v>4996</v>
      </c>
      <c r="K21" s="241" t="str" cm="1">
        <f t="array" ref="K21">INDEX(Trad, 91, $C$1)</f>
        <v>Auslegung: Kälteleistung</v>
      </c>
      <c r="L21" s="240" t="str" cm="1">
        <f t="array" ref="L21">INDEX(Trad, 93, $C$1)</f>
        <v>Auslegung: Aussen-temperatur</v>
      </c>
      <c r="M21" s="240" t="str" cm="1">
        <f t="array" ref="M21">INDEX(Trad, 92, $C$1)</f>
        <v>Reinigung Rückkühler / Verflüssiger</v>
      </c>
      <c r="N21" s="242" t="str" cm="1">
        <f t="array" ref="N21">INDEX(Trad, 53, $A$20)</f>
        <v>Verschmutzt</v>
      </c>
      <c r="O21" s="242" cm="1">
        <f t="array" ref="O21">INDEX(Trad, 54, $A$20)</f>
        <v>0</v>
      </c>
      <c r="P21" s="242" t="str" cm="1">
        <f t="array" ref="P21">INDEX(Trad, 55, $A$20)</f>
        <v>Alpensüdseite</v>
      </c>
      <c r="Q21" s="240" t="str" cm="1">
        <f t="array" ref="Q21">INDEX(Trad, 60, $A$20)</f>
        <v>Wohnen MFH</v>
      </c>
      <c r="R21" s="240" t="str" cm="1">
        <f t="array" ref="R21">INDEX(Trad, 61, $A$20)</f>
        <v>Verwaltung</v>
      </c>
      <c r="S21" s="240" t="str" cm="1">
        <f t="array" ref="S21">INDEX(Trad, 20, $A$20)</f>
        <v>Strombedarf</v>
      </c>
      <c r="T21" s="240" t="str" cm="1">
        <f t="array" ref="T21">INDEX(Trad, 92, $C$1)</f>
        <v>Reinigung Rückkühler / Verflüssiger</v>
      </c>
      <c r="U21" s="242" t="str" cm="1">
        <f t="array" ref="U21">INDEX(Trad, 53, $A$20)</f>
        <v>Verschmutzt</v>
      </c>
      <c r="V21" s="242" cm="1">
        <f t="array" ref="V21">INDEX(Trad, 54, $A$20)</f>
        <v>0</v>
      </c>
      <c r="W21" s="242" t="str" cm="1">
        <f t="array" ref="W21">INDEX(Trad, 55, $A$20)</f>
        <v>Alpensüdseite</v>
      </c>
      <c r="X21" s="240" t="str" cm="1">
        <f t="array" ref="X21">INDEX(Trad, 60, $A$20)</f>
        <v>Wohnen MFH</v>
      </c>
      <c r="Y21" s="240" t="str" cm="1">
        <f t="array" ref="Y21">INDEX(Trad, 61, $A$20)</f>
        <v>Verwaltung</v>
      </c>
      <c r="Z21" s="240" t="str" cm="1">
        <f t="array" ref="Z21">INDEX(Trad, 20, $A$20)</f>
        <v>Strombedarf</v>
      </c>
      <c r="AA21" s="200" t="s">
        <v>4522</v>
      </c>
      <c r="AB21" s="240" t="str" cm="1">
        <f t="array" ref="AB21">INDEX(Trad, 14, $A$20)</f>
        <v>Name</v>
      </c>
      <c r="AC21" s="240" t="str" cm="1">
        <f t="array" ref="AC21">INDEX(Trad, 15, $A$20)</f>
        <v>PLZ</v>
      </c>
      <c r="AD21" s="240" t="str" cm="1">
        <f t="array" ref="AD21">INDEX(Trad, 10, $C$1)</f>
        <v>Gemeinde</v>
      </c>
      <c r="AE21" s="240" t="str" cm="1">
        <f t="array" ref="AE21">INDEX(Trad, 16, $A$20)</f>
        <v>Datum Inbetriebnahme</v>
      </c>
      <c r="AF21" s="240" t="str" cm="1">
        <f t="array" ref="AF21">INDEX(Trad, 26, $A$20)</f>
        <v>Einsparungen (gesamte) [kWh]</v>
      </c>
      <c r="AG21" s="220"/>
      <c r="AH21" s="221" t="s">
        <v>4997</v>
      </c>
      <c r="AI21" s="221" t="s">
        <v>4998</v>
      </c>
      <c r="AJ21" s="221" t="s">
        <v>4999</v>
      </c>
      <c r="AK21" s="221" t="s">
        <v>5000</v>
      </c>
      <c r="AL21" s="221" t="s">
        <v>5000</v>
      </c>
      <c r="AM21" s="221" t="s">
        <v>5000</v>
      </c>
      <c r="AN21" s="221" t="s">
        <v>5000</v>
      </c>
      <c r="AO21" s="221" t="s">
        <v>5001</v>
      </c>
      <c r="AP21" s="220"/>
      <c r="AQ21" s="222" t="s">
        <v>5002</v>
      </c>
      <c r="AR21" s="243" t="s">
        <v>5003</v>
      </c>
      <c r="AS21" s="243" t="s">
        <v>4274</v>
      </c>
      <c r="AT21" s="243" t="s">
        <v>7</v>
      </c>
      <c r="AU21" s="222">
        <v>1</v>
      </c>
      <c r="AV21" s="222">
        <v>2</v>
      </c>
      <c r="AW21" s="222">
        <v>3</v>
      </c>
      <c r="AX21" s="222">
        <v>4</v>
      </c>
      <c r="AY21" s="222">
        <v>5</v>
      </c>
      <c r="AZ21" s="222">
        <v>6</v>
      </c>
      <c r="BA21" s="222">
        <v>7</v>
      </c>
      <c r="BB21" s="223" t="s">
        <v>5004</v>
      </c>
      <c r="BC21" s="223" t="s">
        <v>5005</v>
      </c>
      <c r="BD21" s="211"/>
      <c r="BE21" s="221" t="s">
        <v>5006</v>
      </c>
      <c r="BF21" s="221" t="s">
        <v>5007</v>
      </c>
      <c r="BG21" s="221" t="s">
        <v>5008</v>
      </c>
      <c r="BH21" s="221" t="s">
        <v>5009</v>
      </c>
      <c r="BI21" s="221" t="s">
        <v>5010</v>
      </c>
      <c r="BJ21" s="221" t="s">
        <v>5011</v>
      </c>
      <c r="BK21" s="221" t="s">
        <v>5012</v>
      </c>
      <c r="BL21" s="224" t="s">
        <v>5013</v>
      </c>
      <c r="BM21" s="221" t="s">
        <v>5014</v>
      </c>
      <c r="BN21" s="221" t="s">
        <v>4532</v>
      </c>
      <c r="BO21" s="221" t="s">
        <v>5012</v>
      </c>
      <c r="BP21" s="224" t="s">
        <v>5013</v>
      </c>
      <c r="BQ21" s="221" t="s">
        <v>5014</v>
      </c>
      <c r="BR21" s="221" t="s">
        <v>4532</v>
      </c>
      <c r="BS21" s="221" t="s">
        <v>5012</v>
      </c>
      <c r="BT21" s="224" t="s">
        <v>5013</v>
      </c>
      <c r="BU21" s="221" t="s">
        <v>5014</v>
      </c>
      <c r="BV21" s="221" t="s">
        <v>4532</v>
      </c>
      <c r="BW21" s="221" t="s">
        <v>5012</v>
      </c>
      <c r="BX21" s="224" t="s">
        <v>5013</v>
      </c>
      <c r="BY21" s="221" t="s">
        <v>5014</v>
      </c>
      <c r="BZ21" s="221" t="s">
        <v>4532</v>
      </c>
      <c r="CA21" s="221" t="s">
        <v>4532</v>
      </c>
      <c r="CB21" s="222" t="s">
        <v>5015</v>
      </c>
      <c r="CC21" s="220"/>
      <c r="CD21" s="221" t="s">
        <v>5006</v>
      </c>
      <c r="CE21" s="221" t="s">
        <v>5007</v>
      </c>
      <c r="CF21" s="221" t="s">
        <v>5011</v>
      </c>
      <c r="CG21" s="221" t="s">
        <v>5012</v>
      </c>
      <c r="CH21" s="225" t="s">
        <v>5013</v>
      </c>
      <c r="CI21" s="221" t="s">
        <v>5014</v>
      </c>
      <c r="CJ21" s="221" t="s">
        <v>4532</v>
      </c>
      <c r="CK21" s="221" t="s">
        <v>5012</v>
      </c>
      <c r="CL21" s="225" t="s">
        <v>5013</v>
      </c>
      <c r="CM21" s="221" t="s">
        <v>5014</v>
      </c>
      <c r="CN21" s="221" t="s">
        <v>4532</v>
      </c>
      <c r="CO21" s="221" t="s">
        <v>5012</v>
      </c>
      <c r="CP21" s="225" t="s">
        <v>5013</v>
      </c>
      <c r="CQ21" s="221" t="s">
        <v>5014</v>
      </c>
      <c r="CR21" s="221" t="s">
        <v>4532</v>
      </c>
      <c r="CS21" s="221" t="s">
        <v>5012</v>
      </c>
      <c r="CT21" s="225" t="s">
        <v>5013</v>
      </c>
      <c r="CU21" s="221" t="s">
        <v>5014</v>
      </c>
      <c r="CV21" s="221" t="s">
        <v>4532</v>
      </c>
      <c r="CW21" s="221" t="s">
        <v>4532</v>
      </c>
      <c r="CX21" s="222" t="s">
        <v>5015</v>
      </c>
      <c r="CY21" s="220"/>
    </row>
    <row r="22" spans="1:103" s="202" customFormat="1" ht="15" customHeight="1" x14ac:dyDescent="0.25">
      <c r="A22" s="226"/>
      <c r="B22" s="332"/>
      <c r="C22" s="8" t="s">
        <v>2</v>
      </c>
      <c r="D22" s="8" t="s">
        <v>2</v>
      </c>
      <c r="E22" s="9" t="s">
        <v>2</v>
      </c>
      <c r="F22" s="9" t="s">
        <v>2</v>
      </c>
      <c r="G22" s="8" t="s">
        <v>2</v>
      </c>
      <c r="H22" s="8" t="s">
        <v>2</v>
      </c>
      <c r="I22" s="8" t="s">
        <v>2</v>
      </c>
      <c r="J22" s="8" t="s">
        <v>2</v>
      </c>
      <c r="K22" s="8" t="s">
        <v>4878</v>
      </c>
      <c r="L22" s="8" t="s">
        <v>5016</v>
      </c>
      <c r="M22" s="8" t="s">
        <v>2</v>
      </c>
      <c r="N22" s="244" t="s">
        <v>5016</v>
      </c>
      <c r="O22" s="244" t="s">
        <v>5016</v>
      </c>
      <c r="P22" s="244" t="s">
        <v>5017</v>
      </c>
      <c r="Q22" s="8" t="s">
        <v>5016</v>
      </c>
      <c r="R22" s="8" t="s">
        <v>5016</v>
      </c>
      <c r="S22" s="8" t="s">
        <v>4879</v>
      </c>
      <c r="T22" s="8" t="s">
        <v>2</v>
      </c>
      <c r="U22" s="244" t="s">
        <v>5016</v>
      </c>
      <c r="V22" s="244" t="s">
        <v>5016</v>
      </c>
      <c r="W22" s="244" t="s">
        <v>5017</v>
      </c>
      <c r="X22" s="8" t="s">
        <v>5016</v>
      </c>
      <c r="Y22" s="8" t="s">
        <v>5016</v>
      </c>
      <c r="Z22" s="8" t="s">
        <v>4879</v>
      </c>
      <c r="AA22" s="9" t="s">
        <v>2</v>
      </c>
      <c r="AB22" s="9" t="s">
        <v>2</v>
      </c>
      <c r="AC22" s="9" t="s">
        <v>2</v>
      </c>
      <c r="AD22" s="9" t="s">
        <v>2</v>
      </c>
      <c r="AE22" s="9" t="s">
        <v>2</v>
      </c>
      <c r="AF22" s="9" t="s">
        <v>4765</v>
      </c>
      <c r="AG22" s="227"/>
      <c r="AH22" s="228" t="s">
        <v>4990</v>
      </c>
      <c r="AI22" s="228" t="s">
        <v>4990</v>
      </c>
      <c r="AJ22" s="228" t="s">
        <v>4990</v>
      </c>
      <c r="AK22" s="228" t="s">
        <v>4881</v>
      </c>
      <c r="AL22" s="228" t="s">
        <v>4882</v>
      </c>
      <c r="AM22" s="228" t="s">
        <v>4881</v>
      </c>
      <c r="AN22" s="228" t="s">
        <v>4882</v>
      </c>
      <c r="AO22" s="228" t="s">
        <v>5016</v>
      </c>
      <c r="AP22" s="227" t="s">
        <v>5023</v>
      </c>
      <c r="AQ22" s="229" t="s">
        <v>5016</v>
      </c>
      <c r="AR22" s="229" t="s">
        <v>5019</v>
      </c>
      <c r="AS22" s="230" t="s">
        <v>5019</v>
      </c>
      <c r="AT22" s="230" t="s">
        <v>5019</v>
      </c>
      <c r="AU22" s="230"/>
      <c r="AV22" s="230"/>
      <c r="AW22" s="230"/>
      <c r="AX22" s="230"/>
      <c r="AY22" s="230"/>
      <c r="AZ22" s="230"/>
      <c r="BA22" s="230"/>
      <c r="BB22" s="230"/>
      <c r="BC22" s="230"/>
      <c r="BD22" s="211"/>
      <c r="BE22" s="229" t="s">
        <v>5016</v>
      </c>
      <c r="BF22" s="229" t="s">
        <v>5016</v>
      </c>
      <c r="BG22" s="229" t="s">
        <v>5016</v>
      </c>
      <c r="BH22" s="229" t="s">
        <v>5016</v>
      </c>
      <c r="BI22" s="229" t="s">
        <v>4878</v>
      </c>
      <c r="BJ22" s="230" t="s">
        <v>5016</v>
      </c>
      <c r="BK22" s="230" t="s">
        <v>5016</v>
      </c>
      <c r="BL22" s="230" t="s">
        <v>5016</v>
      </c>
      <c r="BM22" s="229" t="s">
        <v>2</v>
      </c>
      <c r="BN22" s="229" t="s">
        <v>5018</v>
      </c>
      <c r="BO22" s="230" t="s">
        <v>5016</v>
      </c>
      <c r="BP22" s="230" t="s">
        <v>5016</v>
      </c>
      <c r="BQ22" s="229" t="s">
        <v>2</v>
      </c>
      <c r="BR22" s="229" t="s">
        <v>5018</v>
      </c>
      <c r="BS22" s="230" t="s">
        <v>5016</v>
      </c>
      <c r="BT22" s="230" t="s">
        <v>5016</v>
      </c>
      <c r="BU22" s="229" t="s">
        <v>2</v>
      </c>
      <c r="BV22" s="229" t="s">
        <v>5018</v>
      </c>
      <c r="BW22" s="230" t="s">
        <v>5016</v>
      </c>
      <c r="BX22" s="230" t="s">
        <v>5016</v>
      </c>
      <c r="BY22" s="229" t="s">
        <v>2</v>
      </c>
      <c r="BZ22" s="229" t="s">
        <v>5018</v>
      </c>
      <c r="CA22" s="229" t="s">
        <v>5018</v>
      </c>
      <c r="CB22" s="229" t="s">
        <v>5018</v>
      </c>
      <c r="CC22" s="227"/>
      <c r="CD22" s="229" t="s">
        <v>5016</v>
      </c>
      <c r="CE22" s="229" t="s">
        <v>5016</v>
      </c>
      <c r="CF22" s="230" t="s">
        <v>5016</v>
      </c>
      <c r="CG22" s="230" t="s">
        <v>5016</v>
      </c>
      <c r="CH22" s="230" t="s">
        <v>5016</v>
      </c>
      <c r="CI22" s="229" t="s">
        <v>2</v>
      </c>
      <c r="CJ22" s="229" t="s">
        <v>5018</v>
      </c>
      <c r="CK22" s="230" t="s">
        <v>5016</v>
      </c>
      <c r="CL22" s="230" t="s">
        <v>5016</v>
      </c>
      <c r="CM22" s="229" t="s">
        <v>2</v>
      </c>
      <c r="CN22" s="229" t="s">
        <v>5018</v>
      </c>
      <c r="CO22" s="230" t="s">
        <v>5016</v>
      </c>
      <c r="CP22" s="230" t="s">
        <v>5016</v>
      </c>
      <c r="CQ22" s="229" t="s">
        <v>2</v>
      </c>
      <c r="CR22" s="229" t="s">
        <v>5018</v>
      </c>
      <c r="CS22" s="230" t="s">
        <v>5016</v>
      </c>
      <c r="CT22" s="230" t="s">
        <v>5016</v>
      </c>
      <c r="CU22" s="229" t="s">
        <v>2</v>
      </c>
      <c r="CV22" s="229" t="s">
        <v>5018</v>
      </c>
      <c r="CW22" s="229" t="s">
        <v>5018</v>
      </c>
      <c r="CX22" s="229" t="s">
        <v>5018</v>
      </c>
      <c r="CY22" s="227"/>
    </row>
    <row r="23" spans="1:103" s="76" customFormat="1" ht="14.25" customHeight="1" x14ac:dyDescent="0.25">
      <c r="A23" s="231" t="b">
        <f t="shared" ref="A23:A86" si="0">IF(OR(AND($K23&gt;80, $AH23=1), AND($K23&gt;40, $AH23=3), AND($K23&gt;30, $AH23=4),), TRUE, FALSE)</f>
        <v>0</v>
      </c>
      <c r="B23" s="245">
        <v>1</v>
      </c>
      <c r="C23" s="258" t="s">
        <v>5020</v>
      </c>
      <c r="D23" s="258" t="s">
        <v>5021</v>
      </c>
      <c r="E23" s="246">
        <v>8004</v>
      </c>
      <c r="F23" s="247" t="str">
        <f>IF(ISBLANK(E23), "", VLOOKUP(E23, Z!$A$2:$C$4127, 3, FALSE))</f>
        <v>Zürich</v>
      </c>
      <c r="G23" s="248" t="s">
        <v>4889</v>
      </c>
      <c r="H23" s="248" t="s">
        <v>4959</v>
      </c>
      <c r="I23" s="249" t="s">
        <v>4981</v>
      </c>
      <c r="J23" s="250"/>
      <c r="K23" s="259">
        <v>20</v>
      </c>
      <c r="L23" s="260">
        <v>35</v>
      </c>
      <c r="M23" s="252" t="str" cm="1">
        <f t="array" ref="M23">INDEX(Trad, 53, $A$20)</f>
        <v>Verschmutzt</v>
      </c>
      <c r="N23" s="253"/>
      <c r="O23" s="253"/>
      <c r="P23" s="254"/>
      <c r="Q23" s="251"/>
      <c r="R23" s="251"/>
      <c r="S23" s="264">
        <f>CB23*1000</f>
        <v>30271.087287580263</v>
      </c>
      <c r="T23" s="252" t="str" cm="1">
        <f t="array" ref="T23">INDEX(Trad, 52, $A$20)</f>
        <v>Sauber</v>
      </c>
      <c r="U23" s="253"/>
      <c r="V23" s="253"/>
      <c r="W23" s="254"/>
      <c r="X23" s="251"/>
      <c r="Y23" s="251"/>
      <c r="Z23" s="264">
        <f>CX23*1000</f>
        <v>29918.897817031298</v>
      </c>
      <c r="AA23" s="261" t="s">
        <v>4462</v>
      </c>
      <c r="AB23" s="258" t="s">
        <v>4880</v>
      </c>
      <c r="AC23" s="246">
        <v>8004</v>
      </c>
      <c r="AD23" s="247" t="str">
        <f>IF(ISBLANK(AC23), "", VLOOKUP(AC23, Z!$A$2:$C$4127, 3, FALSE))</f>
        <v>Zürich</v>
      </c>
      <c r="AE23" s="262">
        <v>45575</v>
      </c>
      <c r="AF23" s="263">
        <f t="shared" ref="AF23:AF54" si="1">0.75*AP$23*(S23-Z23)</f>
        <v>264.14210291172367</v>
      </c>
      <c r="AG23" s="238"/>
      <c r="AH23" s="229">
        <f t="shared" ref="AH23" si="2">IF(ISBLANK(H23), 1, IFERROR(MATCH(H23, INDEX(Use,,1), 0), IFERROR(MATCH(H23, INDEX(Use,,2), 0), MATCH(H23, INDEX(Use,,3), 0))))</f>
        <v>3</v>
      </c>
      <c r="AI23" s="229">
        <f t="shared" ref="AI23" si="3">IF(ISBLANK(G23), 1, IFERROR(MATCH(G23, INDEX(Loc,,1), 0), IFERROR(MATCH(G23, INDEX(Loc,,2), 0), MATCH(G23, INDEX(Loc,,3), 0))))</f>
        <v>3</v>
      </c>
      <c r="AJ23" s="229">
        <f t="shared" ref="AJ23" si="4">_xlfn.IFNA(IF(IFERROR(MATCH(I23, INDEX(Medium,,1), 0), IFERROR(MATCH(I23, INDEX(Medium,,2), 0), MATCH(I23, INDEX(Medium,,3), 0))) = 2, 1, 0), 0)</f>
        <v>1</v>
      </c>
      <c r="AK23" s="229">
        <v>0</v>
      </c>
      <c r="AL23" s="229">
        <v>0</v>
      </c>
      <c r="AM23" s="229">
        <v>1</v>
      </c>
      <c r="AN23" s="229">
        <v>0</v>
      </c>
      <c r="AO23" s="229">
        <f t="shared" ref="AO23:AO86" si="5">IF(AND(J23="x", AH23=5), 11, IF(AND(J23="x", AH23=6), 19, -100))</f>
        <v>-100</v>
      </c>
      <c r="AP23" s="257">
        <v>1</v>
      </c>
      <c r="AQ23" s="229">
        <v>-19</v>
      </c>
      <c r="AR23" s="232">
        <v>0</v>
      </c>
      <c r="AS23" s="232">
        <v>0</v>
      </c>
      <c r="AT23" s="232">
        <v>0</v>
      </c>
      <c r="AU23" s="233">
        <f t="shared" ref="AU23:AV81" si="6">MAX(0, ($AQ23-19)/(35-19))</f>
        <v>0</v>
      </c>
      <c r="AV23" s="233">
        <f t="shared" si="6"/>
        <v>0</v>
      </c>
      <c r="AW23" s="233" cm="1">
        <f t="array" ref="AW23">MIN(INDEX(Use,AW$21,5) + MAX(0, (1-INDEX(Use,AW$21,5))*($AQ23-5)/(35-5)), 1)</f>
        <v>0.4</v>
      </c>
      <c r="AX23" s="233" cm="1">
        <f t="array" ref="AX23">MIN(INDEX(Use,AX$21,5) + MAX(0, (1-INDEX(Use,AX$21,5))*($AQ23-5)/(35-5)), 1)</f>
        <v>0.6</v>
      </c>
      <c r="AY23" s="233" cm="1">
        <f t="array" ref="AY23">MIN(INDEX(Use,AY$21,5) + MAX(0, (1-INDEX(Use,AY$21,5))*($AQ23-5)/(35-5)), 1)</f>
        <v>0.8</v>
      </c>
      <c r="AZ23" s="233" cm="1">
        <f t="array" ref="AZ23">MIN(INDEX(Use,AZ$21,5) + MAX(0, (1-INDEX(Use,AZ$21,5))*($AQ23-5)/(35-5)), 1)</f>
        <v>0.8</v>
      </c>
      <c r="BA23" s="233" cm="1">
        <f t="array" ref="BA23">MIN(INDEX(Use,BA$21,5) + MAX(0, (1-INDEX(Use,BA$21,5))*($AQ23-5)/(35-5)), 1)</f>
        <v>0.8</v>
      </c>
      <c r="BB23" s="233">
        <v>1</v>
      </c>
      <c r="BC23" s="233">
        <v>1</v>
      </c>
      <c r="BD23" s="211"/>
      <c r="BE23" s="229" cm="1">
        <f t="array" ref="BE23">IF(ISBLANK(R23), INDEX(Use, $AH23, 4) - AM23*INDEX(Use, $AH23, 6), R23)</f>
        <v>-10.4</v>
      </c>
      <c r="BF23" s="229">
        <f>MAX(25, BE23+25)</f>
        <v>25</v>
      </c>
      <c r="BG23" s="229">
        <f>IF($AJ23=1, 6, IF($AH23=4, 10, 13))</f>
        <v>6</v>
      </c>
      <c r="BH23" s="229">
        <f>IF($AJ23=1, 9, 0)</f>
        <v>9</v>
      </c>
      <c r="BI23" s="234" cm="1">
        <f t="array" ref="BI23">K23/IF($L23&gt;0, INDEX($AU$23:$BA$77, $L23+20, $AH23), 1)</f>
        <v>20</v>
      </c>
      <c r="BJ23" s="230">
        <f>P23 /  IF(AH23&lt;=2, 0.7 + 0.3 * (O23-20)/(35-20), 0.4 + 0.6 * (O23-5)/(35-5))</f>
        <v>0</v>
      </c>
      <c r="BK23" s="229">
        <v>35</v>
      </c>
      <c r="BL23" s="230">
        <f>MAX($N23, MAX($BF23, $BK23 + $BG23 + $BH23 + 0.35*$AK23*$BG23 + BJ23))</f>
        <v>50</v>
      </c>
      <c r="BM23" s="235">
        <f>0.45*($BE23+273.15)/(BL23-$BE23)</f>
        <v>1.9575745033112584</v>
      </c>
      <c r="BN23" s="235" cm="1">
        <f t="array" ref="BN23">$BI23 * SUMPRODUCT(INDEX($AR$77:$AT$82,,$AI23),INDEX($AU$77:$BA$82,,$AH23), N($AQ$77:$AQ$82&gt;$AO23)) / BM23 / 1000</f>
        <v>0</v>
      </c>
      <c r="BO23" s="232">
        <f>IF($AH23&lt;=2, 30, 25)</f>
        <v>25</v>
      </c>
      <c r="BP23" s="230">
        <f>MAX($N23, MAX($BF23, BO23 + $BG23 + $BH23 + IF($AH23&lt;=2, (BO23-20)/(35-20), 0.6+0.4*(BO23-5)/(35-5))*0.35*$AK23*$BG23) + IF($AH23&lt;=2,0.9,0.8)*$BJ23)</f>
        <v>40</v>
      </c>
      <c r="BQ23" s="235">
        <f>0.45*($BE23+273.15)/(BP23-$BE23)</f>
        <v>2.3459821428571428</v>
      </c>
      <c r="BR23" s="235" cm="1">
        <f t="array" ref="BR23">$BI23 * IF($AH23&lt;=2,
SUMPRODUCT(INDEX($AR$72:$AT$76,,$AI23), INDEX($AU$72:$BA$76,,$AH23), 1 / ($BB$72:$BB$76*BQ23 + (1-$BB$72:$BB$76)*BM23), N($AQ$72:$AQ$76&gt;$AO23)),
SUMPRODUCT(INDEX($AR$67:$AT$76,,$AI23), INDEX($AU$67:$BA$76,,$AH23), 1 / ($BC$67:$BC$76*BQ23 + (1-$BC$67:$BC$76)*BM23), N($AQ$67:$AQ$76&gt;$AO23))
) / 1000</f>
        <v>1.392765688810236</v>
      </c>
      <c r="BS23" s="232">
        <f>IF($AH23&lt;=2, 25, 15)</f>
        <v>15</v>
      </c>
      <c r="BT23" s="230">
        <f>MAX($N23, MAX($BF23, BS23 + $BG23 + $BH23 + IF($AH23&lt;=2, (BS23-20)/(35-20), 0.6+0.4*(BS23-5)/(35-5))*0.35*$AK23*$BG23) + IF($AH23&lt;=2,0.8,0.6)*$BJ23)</f>
        <v>30</v>
      </c>
      <c r="BU23" s="235">
        <f>0.45*($BE23+273.15)/(BT23-$BE23)</f>
        <v>2.9266707920792081</v>
      </c>
      <c r="BV23" s="235" cm="1">
        <f t="array" ref="BV23">$BI23 * IF($AH23&lt;=2,
SUMPRODUCT(INDEX($AR$67:$AT$71,,$AI23), INDEX($AU$67:$BA$71,,$AH23), 1 / ($BB$67:$BB$71*BU23 + (1-$BB$67:$BB$71)*BQ23), N($AQ$67:$AQ$71&gt;$AO23)),
SUMPRODUCT(INDEX($AR$57:$AT$66,,$AI23), INDEX($AU$57:$BA$66,,$AH23), 1 / ($BC$57:$BC$66*BU23 + (1-$BC$57:$BC$66)*BQ23), N($AQ$57:$AQ$66&gt;$AO23))
) / 1000</f>
        <v>11.290144937989627</v>
      </c>
      <c r="BW23" s="232">
        <f>IF($AH23&lt;=2, 20, 5)</f>
        <v>5</v>
      </c>
      <c r="BX23" s="230">
        <f>MAX($N23, MAX($BF23, BW23 + $BG23 + $BH23 + IF($AH23&lt;=2, (BW23-20)/(35-20), 0.6+0.4*(BW23-5)/(35-5))*0.35*$AK23*$BG23) + IF($AH23&lt;=2,0.7,0.4)*$BJ23)</f>
        <v>25</v>
      </c>
      <c r="BY23" s="235">
        <f>0.45*($BE23+273.15)/(BX23-$BE23)</f>
        <v>3.340042372881356</v>
      </c>
      <c r="BZ23" s="235" cm="1">
        <f t="array" ref="BZ23">$BI23 * IF($AH23&lt;=2,
SUMPRODUCT(INDEX($AR$62:$AT$66,,$AI23), INDEX($AU$62:$BA$66,,$AH23), 1 / ($BB$62:$BB$66*BY23 + (1-$BB$62:$BB$66)*BU23), N($AQ$62:$AQ$66&gt;$AO23)),
SUMPRODUCT(INDEX($AR$47:$AT$56,,$AI23), INDEX($AU$47:$BA$56,,$AH23), 1 / ($BC$47:$BC$56*BY23 + (1-$BC$47:$BC$56)*BU23), N($AQ$47:$AQ$56&gt;$AO23))
) / 1000</f>
        <v>11.116402477462927</v>
      </c>
      <c r="CA23" s="235" cm="1">
        <f t="array" ref="CA23">$BI23 * IF($AH23&lt;=2,
SUMPRODUCT(INDEX($AR$23:$AT$61,,$AI23), INDEX($AU$23:$BA$61,,$AH23), 1 / ($BB$23:$BB$61*BY23), N($AQ$23:$AQ$61&gt;$AO23)),
SUMPRODUCT(INDEX($AR$23:$AT$46,,$AI23), INDEX($AU$23:$BA$46,,$AH23), 1 / ($BC$23:$BC$46*BY23), N($AQ$23:$AQ$46&gt;$AO23))
) / 1000</f>
        <v>6.4717741833174758</v>
      </c>
      <c r="CB23" s="230">
        <f>BN23+BR23+BV23+BZ23+CA23</f>
        <v>30.271087287580265</v>
      </c>
      <c r="CC23" s="238"/>
      <c r="CD23" s="229" cm="1">
        <f t="array" ref="CD23">IF(ISBLANK(Y23), INDEX(Use, $AH23, 4) - AN23*INDEX(Use, $AH23, 6) - (Q23-X23), Y23)</f>
        <v>-10</v>
      </c>
      <c r="CE23" s="229">
        <f>MAX(25, CD23+25)</f>
        <v>25</v>
      </c>
      <c r="CF23" s="230">
        <f>W23 /  IF(AH23&lt;=2, 0.7 + 0.3 * (V23-20)/(35-20), 0.4 + 0.6 * (V23-5)/(35-5))</f>
        <v>0</v>
      </c>
      <c r="CG23" s="229">
        <v>35</v>
      </c>
      <c r="CH23" s="230">
        <f>MAX($U23, MAX($CE23, $BK23 + $BG23 + $BH23 + 0.35*$AL23*$BG23 + CF23))</f>
        <v>50</v>
      </c>
      <c r="CI23" s="235">
        <f>0.45*($CD23+273.15)/(CH23-$CD23)</f>
        <v>1.9736249999999997</v>
      </c>
      <c r="CJ23" s="235" cm="1">
        <f t="array" ref="CJ23">$BI23 * SUMPRODUCT(INDEX($AR$77:$AT$82,,$AI23),INDEX($AU$77:$BA$82,,$AH23), N($AQ$77:$AQ$82&gt;$AO23)) / CI23 / 1000</f>
        <v>0</v>
      </c>
      <c r="CK23" s="232">
        <f>IF($AH23&lt;=2, 30, 25)</f>
        <v>25</v>
      </c>
      <c r="CL23" s="230">
        <f>MAX($U23, MAX($CE23, CK23 + $BG23 + $BH23 + IF($AH23&lt;=2, (CK23-20)/(35-20), 0.6+0.4*(CK23-5)/(35-5))*0.35*$AL23*$BG23) + IF($AH23&lt;=2,0.9,0.8)*$CF23)</f>
        <v>40</v>
      </c>
      <c r="CM23" s="235">
        <f>0.45*($CD23+273.15)/(CL23-$CD23)</f>
        <v>2.36835</v>
      </c>
      <c r="CN23" s="235" cm="1">
        <f t="array" ref="CN23">$BI23 * IF($AH23&lt;=2,
SUMPRODUCT(INDEX($AR$72:$AT$76,,$AI23), INDEX($AU$72:$BA$76,,$AH23), 1 / ($BB$72:$BB$76*CM23 + (1-$BB$72:$BB$76)*CI23), N($AQ$72:$AQ$76&gt;$AO23)),
SUMPRODUCT(INDEX($AR$67:$AT$76,,$AI23), INDEX($AU$67:$BA$76,,$AH23), 1 / ($BC$67:$BC$76*CM23 + (1-$BC$67:$BC$76)*CI23), N($AQ$67:$AQ$76&gt;$AO23))
) / 1000</f>
        <v>1.3799762634809076</v>
      </c>
      <c r="CO23" s="232">
        <f>IF($AH23&lt;=2, 25, 15)</f>
        <v>15</v>
      </c>
      <c r="CP23" s="230">
        <f>MAX($U23, MAX($CE23, CO23 + $BG23 + $BH23 + IF($AH23&lt;=2, (CO23-20)/(35-20), 0.6+0.4*(CO23-5)/(35-5))*0.35*$AL23*$BG23) + IF($AH23&lt;=2,0.8,0.6)*$CF23)</f>
        <v>30</v>
      </c>
      <c r="CQ23" s="235">
        <f>0.45*($CD23+273.15)/(CP23-$CD23)</f>
        <v>2.9604374999999998</v>
      </c>
      <c r="CR23" s="235" cm="1">
        <f t="array" ref="CR23">$BI23 * IF($AH23&lt;=2,
SUMPRODUCT(INDEX($AR$67:$AT$71,,$AI23), INDEX($AU$67:$BA$71,,$AH23), 1 / ($BB$67:$BB$71*CQ23 + (1-$BB$67:$BB$71)*CM23), N($AQ$67:$AQ$71&gt;$AO23)),
SUMPRODUCT(INDEX($AR$57:$AT$66,,$AI23), INDEX($AU$57:$BA$66,,$AH23), 1 / ($BC$57:$BC$66*CQ23 + (1-$BC$57:$BC$66)*CM23), N($AQ$57:$AQ$66&gt;$AO23))
) / 1000</f>
        <v>11.168661999591148</v>
      </c>
      <c r="CS23" s="232">
        <f>IF($AH23&lt;=2, 20, 5)</f>
        <v>5</v>
      </c>
      <c r="CT23" s="230">
        <f>MAX($U23, MAX($CE23, CS23 + $BG23 + $BH23 + IF($AH23&lt;=2, (CS23-20)/(35-20), 0.6+0.4*(CS23-5)/(35-5))*0.35*$AL23*$BG23) + IF($AH23&lt;=2,0.7,0.4)*$CF23)</f>
        <v>25</v>
      </c>
      <c r="CU23" s="235">
        <f>0.45*($CD23+273.15)/(CT23-$CD23)</f>
        <v>3.3833571428571427</v>
      </c>
      <c r="CV23" s="235" cm="1">
        <f t="array" ref="CV23">$BI23 * IF($AH23&lt;=2,
SUMPRODUCT(INDEX($AR$62:$AT$66,,$AI23), INDEX($AU$62:$BA$66,,$AH23), 1 / ($BB$62:$BB$66*CU23 + (1-$BB$62:$BB$66)*CQ23), N($AQ$62:$AQ$66&gt;$AO23)),
SUMPRODUCT(INDEX($AR$47:$AT$56,,$AI23), INDEX($AU$47:$BA$56,,$AH23), 1 / ($BC$47:$BC$56*CU23 + (1-$BC$47:$BC$56)*CQ23), N($AQ$47:$AQ$56&gt;$AO23))
) / 1000</f>
        <v>10.981338997453657</v>
      </c>
      <c r="CW23" s="235" cm="1">
        <f t="array" ref="CW23">$BI23 * IF($AH23&lt;=2,
SUMPRODUCT(INDEX($AR$23:$AT$61,,$AI23), INDEX($AU$23:$BA$61,,$AH23), 1 / ($BB$23:$BB$61*CU23), N($AQ$23:$AQ$61&gt;$AO23)),
SUMPRODUCT(INDEX($AR$23:$AT$46,,$AI23), INDEX($AU$23:$BA$46,,$AH23), 1 / ($BC$23:$BC$46*CU23), N($AQ$23:$AQ$46&gt;$AO23))
) / 1000</f>
        <v>6.3889205565055853</v>
      </c>
      <c r="CX23" s="230">
        <f>CJ23+CN23+CR23+CV23+CW23</f>
        <v>29.918897817031297</v>
      </c>
      <c r="CY23" s="238"/>
    </row>
    <row r="24" spans="1:103" s="76" customFormat="1" ht="14.25" customHeight="1" x14ac:dyDescent="0.25">
      <c r="A24" s="231" t="b">
        <f t="shared" si="0"/>
        <v>0</v>
      </c>
      <c r="B24" s="245">
        <v>2</v>
      </c>
      <c r="C24" s="258"/>
      <c r="D24" s="258"/>
      <c r="E24" s="246"/>
      <c r="F24" s="247" t="str">
        <f>IF(ISBLANK(E24), "", VLOOKUP(E24, Z!$A$2:$C$4127, 3, FALSE))</f>
        <v/>
      </c>
      <c r="G24" s="248"/>
      <c r="H24" s="248"/>
      <c r="I24" s="249"/>
      <c r="J24" s="250" t="s">
        <v>5022</v>
      </c>
      <c r="K24" s="259"/>
      <c r="L24" s="260"/>
      <c r="M24" s="252" t="str" cm="1">
        <f t="array" ref="M24">INDEX(Trad, 53, $A$20)</f>
        <v>Verschmutzt</v>
      </c>
      <c r="N24" s="253"/>
      <c r="O24" s="253"/>
      <c r="P24" s="254"/>
      <c r="Q24" s="251"/>
      <c r="R24" s="251"/>
      <c r="S24" s="264">
        <f t="shared" ref="S24:S87" si="7">CB24*1000</f>
        <v>0</v>
      </c>
      <c r="T24" s="252" t="str" cm="1">
        <f t="array" ref="T24">INDEX(Trad, 52, $A$20)</f>
        <v>Sauber</v>
      </c>
      <c r="U24" s="253"/>
      <c r="V24" s="253"/>
      <c r="W24" s="254"/>
      <c r="X24" s="251"/>
      <c r="Y24" s="251"/>
      <c r="Z24" s="264">
        <f t="shared" ref="Z24:Z87" si="8">CX24*1000</f>
        <v>0</v>
      </c>
      <c r="AA24" s="261"/>
      <c r="AB24" s="258"/>
      <c r="AC24" s="246"/>
      <c r="AD24" s="247" t="str">
        <f>IF(ISBLANK(AC24), "", VLOOKUP(AC24, Z!$A$2:$C$4127, 3, FALSE))</f>
        <v/>
      </c>
      <c r="AE24" s="262"/>
      <c r="AF24" s="263">
        <f t="shared" si="1"/>
        <v>0</v>
      </c>
      <c r="AG24" s="238"/>
      <c r="AH24" s="229">
        <f t="shared" ref="AH24" si="9">IF(ISBLANK(H24), 1, IFERROR(MATCH(H24, INDEX(Use,,1), 0), IFERROR(MATCH(H24, INDEX(Use,,2), 0), MATCH(H24, INDEX(Use,,3), 0))))</f>
        <v>1</v>
      </c>
      <c r="AI24" s="229">
        <f t="shared" ref="AI24" si="10">IF(ISBLANK(G24), 1, IFERROR(MATCH(G24, INDEX(Loc,,1), 0), IFERROR(MATCH(G24, INDEX(Loc,,2), 0), MATCH(G24, INDEX(Loc,,3), 0))))</f>
        <v>1</v>
      </c>
      <c r="AJ24" s="229">
        <f t="shared" ref="AJ24" si="11">_xlfn.IFNA(IF(IFERROR(MATCH(I24, INDEX(Medium,,1), 0), IFERROR(MATCH(I24, INDEX(Medium,,2), 0), MATCH(I24, INDEX(Medium,,3), 0))) = 2, 1, 0), 0)</f>
        <v>0</v>
      </c>
      <c r="AK24" s="229">
        <v>0</v>
      </c>
      <c r="AL24" s="229">
        <v>0</v>
      </c>
      <c r="AM24" s="229">
        <v>1</v>
      </c>
      <c r="AN24" s="229">
        <v>0</v>
      </c>
      <c r="AO24" s="229">
        <f t="shared" si="5"/>
        <v>-100</v>
      </c>
      <c r="AP24" s="238"/>
      <c r="AQ24" s="229">
        <v>-18</v>
      </c>
      <c r="AR24" s="232">
        <v>0</v>
      </c>
      <c r="AS24" s="232">
        <v>0</v>
      </c>
      <c r="AT24" s="232">
        <v>0</v>
      </c>
      <c r="AU24" s="233">
        <f t="shared" si="6"/>
        <v>0</v>
      </c>
      <c r="AV24" s="233">
        <f t="shared" si="6"/>
        <v>0</v>
      </c>
      <c r="AW24" s="233" cm="1">
        <f t="array" ref="AW24">MIN(INDEX(Use,AW$21,5) + MAX(0, (1-INDEX(Use,AW$21,5))*($AQ24-5)/(35-5)), 1)</f>
        <v>0.4</v>
      </c>
      <c r="AX24" s="233" cm="1">
        <f t="array" ref="AX24">MIN(INDEX(Use,AX$21,5) + MAX(0, (1-INDEX(Use,AX$21,5))*($AQ24-5)/(35-5)), 1)</f>
        <v>0.6</v>
      </c>
      <c r="AY24" s="233" cm="1">
        <f t="array" ref="AY24">MIN(INDEX(Use,AY$21,5) + MAX(0, (1-INDEX(Use,AY$21,5))*($AQ24-5)/(35-5)), 1)</f>
        <v>0.8</v>
      </c>
      <c r="AZ24" s="233" cm="1">
        <f t="array" ref="AZ24">MIN(INDEX(Use,AZ$21,5) + MAX(0, (1-INDEX(Use,AZ$21,5))*($AQ24-5)/(35-5)), 1)</f>
        <v>0.8</v>
      </c>
      <c r="BA24" s="233" cm="1">
        <f t="array" ref="BA24">MIN(INDEX(Use,BA$21,5) + MAX(0, (1-INDEX(Use,BA$21,5))*($AQ24-5)/(35-5)), 1)</f>
        <v>0.8</v>
      </c>
      <c r="BB24" s="233">
        <v>1</v>
      </c>
      <c r="BC24" s="233">
        <v>1</v>
      </c>
      <c r="BD24" s="211"/>
      <c r="BE24" s="229" cm="1">
        <f t="array" ref="BE24">IF(ISBLANK(R24), INDEX(Use, $AH24, 4) - AM24*INDEX(Use, $AH24, 6), R24)</f>
        <v>5</v>
      </c>
      <c r="BF24" s="229">
        <f t="shared" ref="BF24:BF87" si="12">MAX(25, BE24+25)</f>
        <v>30</v>
      </c>
      <c r="BG24" s="229">
        <f t="shared" ref="BG24:BG87" si="13">IF($AJ24=1, 6, IF($AH24=4, 10, 13))</f>
        <v>13</v>
      </c>
      <c r="BH24" s="229">
        <f t="shared" ref="BH24:BH87" si="14">IF($AJ24=1, 9, 0)</f>
        <v>0</v>
      </c>
      <c r="BI24" s="234" cm="1">
        <f t="array" ref="BI24">K24/IF($L24&gt;0, INDEX($AU$23:$BA$77, $L24+20, $AH24), 1)</f>
        <v>0</v>
      </c>
      <c r="BJ24" s="230">
        <f t="shared" ref="BJ24:BJ87" si="15">P24 /  IF(AH24&lt;=2, 0.7 + 0.3 * (O24-20)/(35-20), 0.4 + 0.6 * (O24-5)/(35-5))</f>
        <v>0</v>
      </c>
      <c r="BK24" s="229">
        <v>35</v>
      </c>
      <c r="BL24" s="230">
        <f t="shared" ref="BL24:BL87" si="16">MAX($N24, MAX($BF24, $BK24 + $BG24 + $BH24 + 0.35*$AK24*$BG24 + BJ24))</f>
        <v>48</v>
      </c>
      <c r="BM24" s="235">
        <f t="shared" ref="BM24:BM87" si="17">0.45*($BE24+273.15)/(BL24-$BE24)</f>
        <v>2.9108720930232557</v>
      </c>
      <c r="BN24" s="235" cm="1">
        <f t="array" ref="BN24">$BI24 * SUMPRODUCT(INDEX($AR$77:$AT$82,,$AI24),INDEX($AU$77:$BA$82,,$AH24), N($AQ$77:$AQ$82&gt;$AO24)) / BM24 / 1000</f>
        <v>0</v>
      </c>
      <c r="BO24" s="232">
        <f t="shared" ref="BO24:BO87" si="18">IF($AH24&lt;=2, 30, 25)</f>
        <v>30</v>
      </c>
      <c r="BP24" s="230">
        <f t="shared" ref="BP24:BP87" si="19">MAX($N24, MAX($BF24, BO24 + $BG24 + $BH24 + IF($AH24&lt;=2, (BO24-20)/(35-20), 0.6+0.4*(BO24-5)/(35-5))*0.35*$AK24*$BG24) + IF($AH24&lt;=2,0.9,0.8)*$BJ24)</f>
        <v>43</v>
      </c>
      <c r="BQ24" s="235">
        <f t="shared" ref="BQ24:BQ87" si="20">0.45*($BE24+273.15)/(BP24-$BE24)</f>
        <v>3.2938815789473681</v>
      </c>
      <c r="BR24" s="235" cm="1">
        <f t="array" ref="BR24">$BI24 * IF($AH24&lt;=2,
SUMPRODUCT(INDEX($AR$72:$AT$76,,$AI24), INDEX($AU$72:$BA$76,,$AH24), 1 / ($BB$72:$BB$76*BQ24 + (1-$BB$72:$BB$76)*BM24), N($AQ$72:$AQ$76&gt;$AO24)),
SUMPRODUCT(INDEX($AR$67:$AT$76,,$AI24), INDEX($AU$67:$BA$76,,$AH24), 1 / ($BC$67:$BC$76*BQ24 + (1-$BC$67:$BC$76)*BM24), N($AQ$67:$AQ$76&gt;$AO24))
) / 1000</f>
        <v>0</v>
      </c>
      <c r="BS24" s="232">
        <f t="shared" ref="BS24:BS87" si="21">IF($AH24&lt;=2, 25, 15)</f>
        <v>25</v>
      </c>
      <c r="BT24" s="230">
        <f t="shared" ref="BT24:BT87" si="22">MAX($N24, MAX($BF24, BS24 + $BG24 + $BH24 + IF($AH24&lt;=2, (BS24-20)/(35-20), 0.6+0.4*(BS24-5)/(35-5))*0.35*$AK24*$BG24) + IF($AH24&lt;=2,0.8,0.6)*$BJ24)</f>
        <v>38</v>
      </c>
      <c r="BU24" s="235">
        <f t="shared" ref="BU24:BU87" si="23">0.45*($BE24+273.15)/(BT24-$BE24)</f>
        <v>3.792954545454545</v>
      </c>
      <c r="BV24" s="235" cm="1">
        <f t="array" ref="BV24">$BI24 * IF($AH24&lt;=2,
SUMPRODUCT(INDEX($AR$67:$AT$71,,$AI24), INDEX($AU$67:$BA$71,,$AH24), 1 / ($BB$67:$BB$71*BU24 + (1-$BB$67:$BB$71)*BQ24), N($AQ$67:$AQ$71&gt;$AO24)),
SUMPRODUCT(INDEX($AR$57:$AT$66,,$AI24), INDEX($AU$57:$BA$66,,$AH24), 1 / ($BC$57:$BC$66*BU24 + (1-$BC$57:$BC$66)*BQ24), N($AQ$57:$AQ$66&gt;$AO24))
) / 1000</f>
        <v>0</v>
      </c>
      <c r="BW24" s="232">
        <f t="shared" ref="BW24:BW87" si="24">IF($AH24&lt;=2, 20, 5)</f>
        <v>20</v>
      </c>
      <c r="BX24" s="230">
        <f t="shared" ref="BX24:BX87" si="25">MAX($N24, MAX($BF24, BW24 + $BG24 + $BH24 + IF($AH24&lt;=2, (BW24-20)/(35-20), 0.6+0.4*(BW24-5)/(35-5))*0.35*$AK24*$BG24) + IF($AH24&lt;=2,0.7,0.4)*$BJ24)</f>
        <v>33</v>
      </c>
      <c r="BY24" s="235">
        <f t="shared" ref="BY24:BY87" si="26">0.45*($BE24+273.15)/(BX24-$BE24)</f>
        <v>4.4702678571428569</v>
      </c>
      <c r="BZ24" s="235" cm="1">
        <f t="array" ref="BZ24">$BI24 * IF($AH24&lt;=2,
SUMPRODUCT(INDEX($AR$62:$AT$66,,$AI24), INDEX($AU$62:$BA$66,,$AH24), 1 / ($BB$62:$BB$66*BY24 + (1-$BB$62:$BB$66)*BU24), N($AQ$62:$AQ$66&gt;$AO24)),
SUMPRODUCT(INDEX($AR$47:$AT$56,,$AI24), INDEX($AU$47:$BA$56,,$AH24), 1 / ($BC$47:$BC$56*BY24 + (1-$BC$47:$BC$56)*BU24), N($AQ$47:$AQ$56&gt;$AO24))
) / 1000</f>
        <v>0</v>
      </c>
      <c r="CA24" s="235" cm="1">
        <f t="array" ref="CA24">$BI24 * IF($AH24&lt;=2,
SUMPRODUCT(INDEX($AR$23:$AT$61,,$AI24), INDEX($AU$23:$BA$61,,$AH24), 1 / ($BB$23:$BB$61*BY24), N($AQ$23:$AQ$61&gt;$AO24)),
SUMPRODUCT(INDEX($AR$23:$AT$46,,$AI24), INDEX($AU$23:$BA$46,,$AH24), 1 / ($BC$23:$BC$46*BY24), N($AQ$23:$AQ$46&gt;$AO24))
) / 1000</f>
        <v>0</v>
      </c>
      <c r="CB24" s="230">
        <f t="shared" ref="CB24:CB87" si="27">BN24+BR24+BV24+BZ24+CA24</f>
        <v>0</v>
      </c>
      <c r="CC24" s="238"/>
      <c r="CD24" s="229" cm="1">
        <f t="array" ref="CD24">IF(ISBLANK(Y24), INDEX(Use, $AH24, 4) - AN24*INDEX(Use, $AH24, 6) - (Q24-X24), Y24)</f>
        <v>7</v>
      </c>
      <c r="CE24" s="229">
        <f t="shared" ref="CE24:CE87" si="28">MAX(25, CD24+25)</f>
        <v>32</v>
      </c>
      <c r="CF24" s="230">
        <f t="shared" ref="CF24:CF87" si="29">W24 /  IF(AH24&lt;=2, 0.7 + 0.3 * (V24-20)/(35-20), 0.4 + 0.6 * (V24-5)/(35-5))</f>
        <v>0</v>
      </c>
      <c r="CG24" s="229">
        <v>35</v>
      </c>
      <c r="CH24" s="230">
        <f t="shared" ref="CH24:CH87" si="30">MAX($U24, MAX($CE24, $BK24 + $BG24 + $BH24 + 0.35*$AL24*$BG24 + CF24))</f>
        <v>48</v>
      </c>
      <c r="CI24" s="235">
        <f t="shared" ref="CI24:CI87" si="31">0.45*($CD24+273.15)/(CH24-$CD24)</f>
        <v>3.0748170731707316</v>
      </c>
      <c r="CJ24" s="235" cm="1">
        <f t="array" ref="CJ24">$BI24 * SUMPRODUCT(INDEX($AR$77:$AT$82,,$AI24),INDEX($AU$77:$BA$82,,$AH24), N($AQ$77:$AQ$82&gt;$AO24)) / CI24 / 1000</f>
        <v>0</v>
      </c>
      <c r="CK24" s="232">
        <f t="shared" ref="CK24:CK87" si="32">IF($AH24&lt;=2, 30, 25)</f>
        <v>30</v>
      </c>
      <c r="CL24" s="230">
        <f t="shared" ref="CL24:CL87" si="33">MAX($U24, MAX($CE24, CK24 + $BG24 + $BH24 + IF($AH24&lt;=2, (CK24-20)/(35-20), 0.6+0.4*(CK24-5)/(35-5))*0.35*$AL24*$BG24) + IF($AH24&lt;=2,0.9,0.8)*$CF24)</f>
        <v>43</v>
      </c>
      <c r="CM24" s="235">
        <f t="shared" ref="CM24:CM87" si="34">0.45*($CD24+273.15)/(CL24-$CD24)</f>
        <v>3.5018750000000001</v>
      </c>
      <c r="CN24" s="235" cm="1">
        <f t="array" ref="CN24">$BI24 * IF($AH24&lt;=2,
SUMPRODUCT(INDEX($AR$72:$AT$76,,$AI24), INDEX($AU$72:$BA$76,,$AH24), 1 / ($BB$72:$BB$76*CM24 + (1-$BB$72:$BB$76)*CI24), N($AQ$72:$AQ$76&gt;$AO24)),
SUMPRODUCT(INDEX($AR$67:$AT$76,,$AI24), INDEX($AU$67:$BA$76,,$AH24), 1 / ($BC$67:$BC$76*CM24 + (1-$BC$67:$BC$76)*CI24), N($AQ$67:$AQ$76&gt;$AO24))
) / 1000</f>
        <v>0</v>
      </c>
      <c r="CO24" s="232">
        <f t="shared" ref="CO24:CO87" si="35">IF($AH24&lt;=2, 25, 15)</f>
        <v>25</v>
      </c>
      <c r="CP24" s="230">
        <f t="shared" ref="CP24:CP87" si="36">MAX($U24, MAX($CE24, CO24 + $BG24 + $BH24 + IF($AH24&lt;=2, (CO24-20)/(35-20), 0.6+0.4*(CO24-5)/(35-5))*0.35*$AL24*$BG24) + IF($AH24&lt;=2,0.8,0.6)*$CF24)</f>
        <v>38</v>
      </c>
      <c r="CQ24" s="235">
        <f t="shared" ref="CQ24:CQ87" si="37">0.45*($CD24+273.15)/(CP24-$CD24)</f>
        <v>4.0666935483870965</v>
      </c>
      <c r="CR24" s="235" cm="1">
        <f t="array" ref="CR24">$BI24 * IF($AH24&lt;=2,
SUMPRODUCT(INDEX($AR$67:$AT$71,,$AI24), INDEX($AU$67:$BA$71,,$AH24), 1 / ($BB$67:$BB$71*CQ24 + (1-$BB$67:$BB$71)*CM24), N($AQ$67:$AQ$71&gt;$AO24)),
SUMPRODUCT(INDEX($AR$57:$AT$66,,$AI24), INDEX($AU$57:$BA$66,,$AH24), 1 / ($BC$57:$BC$66*CQ24 + (1-$BC$57:$BC$66)*CM24), N($AQ$57:$AQ$66&gt;$AO24))
) / 1000</f>
        <v>0</v>
      </c>
      <c r="CS24" s="232">
        <f t="shared" ref="CS24:CS87" si="38">IF($AH24&lt;=2, 20, 5)</f>
        <v>20</v>
      </c>
      <c r="CT24" s="230">
        <f t="shared" ref="CT24:CT87" si="39">MAX($U24, MAX($CE24, CS24 + $BG24 + $BH24 + IF($AH24&lt;=2, (CS24-20)/(35-20), 0.6+0.4*(CS24-5)/(35-5))*0.35*$AL24*$BG24) + IF($AH24&lt;=2,0.7,0.4)*$CF24)</f>
        <v>33</v>
      </c>
      <c r="CU24" s="235">
        <f t="shared" ref="CU24:CU87" si="40">0.45*($CD24+273.15)/(CT24-$CD24)</f>
        <v>4.8487499999999999</v>
      </c>
      <c r="CV24" s="235" cm="1">
        <f t="array" ref="CV24">$BI24 * IF($AH24&lt;=2,
SUMPRODUCT(INDEX($AR$62:$AT$66,,$AI24), INDEX($AU$62:$BA$66,,$AH24), 1 / ($BB$62:$BB$66*CU24 + (1-$BB$62:$BB$66)*CQ24), N($AQ$62:$AQ$66&gt;$AO24)),
SUMPRODUCT(INDEX($AR$47:$AT$56,,$AI24), INDEX($AU$47:$BA$56,,$AH24), 1 / ($BC$47:$BC$56*CU24 + (1-$BC$47:$BC$56)*CQ24), N($AQ$47:$AQ$56&gt;$AO24))
) / 1000</f>
        <v>0</v>
      </c>
      <c r="CW24" s="235" cm="1">
        <f t="array" ref="CW24">$BI24 * IF($AH24&lt;=2,
SUMPRODUCT(INDEX($AR$23:$AT$61,,$AI24), INDEX($AU$23:$BA$61,,$AH24), 1 / ($BB$23:$BB$61*CU24), N($AQ$23:$AQ$61&gt;$AO24)),
SUMPRODUCT(INDEX($AR$23:$AT$46,,$AI24), INDEX($AU$23:$BA$46,,$AH24), 1 / ($BC$23:$BC$46*CU24), N($AQ$23:$AQ$46&gt;$AO24))
) / 1000</f>
        <v>0</v>
      </c>
      <c r="CX24" s="230">
        <f t="shared" ref="CX24:CX87" si="41">CJ24+CN24+CR24+CV24+CW24</f>
        <v>0</v>
      </c>
      <c r="CY24" s="238"/>
    </row>
    <row r="25" spans="1:103" s="76" customFormat="1" ht="14.25" customHeight="1" x14ac:dyDescent="0.25">
      <c r="A25" s="231" t="b">
        <f t="shared" si="0"/>
        <v>0</v>
      </c>
      <c r="B25" s="245">
        <v>3</v>
      </c>
      <c r="C25" s="258"/>
      <c r="D25" s="258"/>
      <c r="E25" s="246"/>
      <c r="F25" s="247" t="str">
        <f>IF(ISBLANK(E25), "", VLOOKUP(E25, Z!$A$2:$C$4127, 3, FALSE))</f>
        <v/>
      </c>
      <c r="G25" s="248"/>
      <c r="H25" s="248"/>
      <c r="I25" s="249"/>
      <c r="J25" s="250"/>
      <c r="K25" s="259"/>
      <c r="L25" s="260"/>
      <c r="M25" s="252" t="str" cm="1">
        <f t="array" ref="M25">INDEX(Trad, 53, $A$20)</f>
        <v>Verschmutzt</v>
      </c>
      <c r="N25" s="253"/>
      <c r="O25" s="253"/>
      <c r="P25" s="254"/>
      <c r="Q25" s="251"/>
      <c r="R25" s="251"/>
      <c r="S25" s="264">
        <f t="shared" si="7"/>
        <v>0</v>
      </c>
      <c r="T25" s="252" t="str" cm="1">
        <f t="array" ref="T25">INDEX(Trad, 52, $A$20)</f>
        <v>Sauber</v>
      </c>
      <c r="U25" s="253"/>
      <c r="V25" s="253"/>
      <c r="W25" s="254"/>
      <c r="X25" s="251"/>
      <c r="Y25" s="251"/>
      <c r="Z25" s="264">
        <f t="shared" si="8"/>
        <v>0</v>
      </c>
      <c r="AA25" s="261"/>
      <c r="AB25" s="258"/>
      <c r="AC25" s="246"/>
      <c r="AD25" s="247" t="str">
        <f>IF(ISBLANK(AC25), "", VLOOKUP(AC25, Z!$A$2:$C$4127, 3, FALSE))</f>
        <v/>
      </c>
      <c r="AE25" s="262"/>
      <c r="AF25" s="263">
        <f t="shared" si="1"/>
        <v>0</v>
      </c>
      <c r="AG25" s="238"/>
      <c r="AH25" s="229">
        <f t="shared" ref="AH25" si="42">IF(ISBLANK(H25), 1, IFERROR(MATCH(H25, INDEX(Use,,1), 0), IFERROR(MATCH(H25, INDEX(Use,,2), 0), MATCH(H25, INDEX(Use,,3), 0))))</f>
        <v>1</v>
      </c>
      <c r="AI25" s="229">
        <f t="shared" ref="AI25" si="43">IF(ISBLANK(G25), 1, IFERROR(MATCH(G25, INDEX(Loc,,1), 0), IFERROR(MATCH(G25, INDEX(Loc,,2), 0), MATCH(G25, INDEX(Loc,,3), 0))))</f>
        <v>1</v>
      </c>
      <c r="AJ25" s="229">
        <f t="shared" ref="AJ25" si="44">_xlfn.IFNA(IF(IFERROR(MATCH(I25, INDEX(Medium,,1), 0), IFERROR(MATCH(I25, INDEX(Medium,,2), 0), MATCH(I25, INDEX(Medium,,3), 0))) = 2, 1, 0), 0)</f>
        <v>0</v>
      </c>
      <c r="AK25" s="229">
        <v>0</v>
      </c>
      <c r="AL25" s="229">
        <v>0</v>
      </c>
      <c r="AM25" s="229">
        <v>1</v>
      </c>
      <c r="AN25" s="229">
        <v>0</v>
      </c>
      <c r="AO25" s="229">
        <f t="shared" si="5"/>
        <v>-100</v>
      </c>
      <c r="AP25" s="238"/>
      <c r="AQ25" s="229">
        <v>-17</v>
      </c>
      <c r="AR25" s="232">
        <v>0</v>
      </c>
      <c r="AS25" s="232">
        <v>0</v>
      </c>
      <c r="AT25" s="232">
        <v>0</v>
      </c>
      <c r="AU25" s="233">
        <f t="shared" si="6"/>
        <v>0</v>
      </c>
      <c r="AV25" s="233">
        <f t="shared" si="6"/>
        <v>0</v>
      </c>
      <c r="AW25" s="233" cm="1">
        <f t="array" ref="AW25">MIN(INDEX(Use,AW$21,5) + MAX(0, (1-INDEX(Use,AW$21,5))*($AQ25-5)/(35-5)), 1)</f>
        <v>0.4</v>
      </c>
      <c r="AX25" s="233" cm="1">
        <f t="array" ref="AX25">MIN(INDEX(Use,AX$21,5) + MAX(0, (1-INDEX(Use,AX$21,5))*($AQ25-5)/(35-5)), 1)</f>
        <v>0.6</v>
      </c>
      <c r="AY25" s="233" cm="1">
        <f t="array" ref="AY25">MIN(INDEX(Use,AY$21,5) + MAX(0, (1-INDEX(Use,AY$21,5))*($AQ25-5)/(35-5)), 1)</f>
        <v>0.8</v>
      </c>
      <c r="AZ25" s="233" cm="1">
        <f t="array" ref="AZ25">MIN(INDEX(Use,AZ$21,5) + MAX(0, (1-INDEX(Use,AZ$21,5))*($AQ25-5)/(35-5)), 1)</f>
        <v>0.8</v>
      </c>
      <c r="BA25" s="233" cm="1">
        <f t="array" ref="BA25">MIN(INDEX(Use,BA$21,5) + MAX(0, (1-INDEX(Use,BA$21,5))*($AQ25-5)/(35-5)), 1)</f>
        <v>0.8</v>
      </c>
      <c r="BB25" s="233">
        <v>1</v>
      </c>
      <c r="BC25" s="233">
        <v>1</v>
      </c>
      <c r="BD25" s="211"/>
      <c r="BE25" s="229" cm="1">
        <f t="array" ref="BE25">IF(ISBLANK(R25), INDEX(Use, $AH25, 4) - AM25*INDEX(Use, $AH25, 6), R25)</f>
        <v>5</v>
      </c>
      <c r="BF25" s="229">
        <f t="shared" si="12"/>
        <v>30</v>
      </c>
      <c r="BG25" s="229">
        <f t="shared" si="13"/>
        <v>13</v>
      </c>
      <c r="BH25" s="229">
        <f t="shared" si="14"/>
        <v>0</v>
      </c>
      <c r="BI25" s="234" cm="1">
        <f t="array" ref="BI25">K25/IF($L25&gt;0, INDEX($AU$23:$BA$77, $L25+20, $AH25), 1)</f>
        <v>0</v>
      </c>
      <c r="BJ25" s="230">
        <f t="shared" si="15"/>
        <v>0</v>
      </c>
      <c r="BK25" s="229">
        <v>35</v>
      </c>
      <c r="BL25" s="230">
        <f t="shared" si="16"/>
        <v>48</v>
      </c>
      <c r="BM25" s="235">
        <f t="shared" si="17"/>
        <v>2.9108720930232557</v>
      </c>
      <c r="BN25" s="235" cm="1">
        <f t="array" ref="BN25">$BI25 * SUMPRODUCT(INDEX($AR$77:$AT$82,,$AI25),INDEX($AU$77:$BA$82,,$AH25), N($AQ$77:$AQ$82&gt;$AO25)) / BM25 / 1000</f>
        <v>0</v>
      </c>
      <c r="BO25" s="232">
        <f t="shared" si="18"/>
        <v>30</v>
      </c>
      <c r="BP25" s="230">
        <f t="shared" si="19"/>
        <v>43</v>
      </c>
      <c r="BQ25" s="235">
        <f t="shared" si="20"/>
        <v>3.2938815789473681</v>
      </c>
      <c r="BR25" s="235" cm="1">
        <f t="array" ref="BR25">$BI25 * IF($AH25&lt;=2,
SUMPRODUCT(INDEX($AR$72:$AT$76,,$AI25), INDEX($AU$72:$BA$76,,$AH25), 1 / ($BB$72:$BB$76*BQ25 + (1-$BB$72:$BB$76)*BM25), N($AQ$72:$AQ$76&gt;$AO25)),
SUMPRODUCT(INDEX($AR$67:$AT$76,,$AI25), INDEX($AU$67:$BA$76,,$AH25), 1 / ($BC$67:$BC$76*BQ25 + (1-$BC$67:$BC$76)*BM25), N($AQ$67:$AQ$76&gt;$AO25))
) / 1000</f>
        <v>0</v>
      </c>
      <c r="BS25" s="232">
        <f t="shared" si="21"/>
        <v>25</v>
      </c>
      <c r="BT25" s="230">
        <f t="shared" si="22"/>
        <v>38</v>
      </c>
      <c r="BU25" s="235">
        <f t="shared" si="23"/>
        <v>3.792954545454545</v>
      </c>
      <c r="BV25" s="235" cm="1">
        <f t="array" ref="BV25">$BI25 * IF($AH25&lt;=2,
SUMPRODUCT(INDEX($AR$67:$AT$71,,$AI25), INDEX($AU$67:$BA$71,,$AH25), 1 / ($BB$67:$BB$71*BU25 + (1-$BB$67:$BB$71)*BQ25), N($AQ$67:$AQ$71&gt;$AO25)),
SUMPRODUCT(INDEX($AR$57:$AT$66,,$AI25), INDEX($AU$57:$BA$66,,$AH25), 1 / ($BC$57:$BC$66*BU25 + (1-$BC$57:$BC$66)*BQ25), N($AQ$57:$AQ$66&gt;$AO25))
) / 1000</f>
        <v>0</v>
      </c>
      <c r="BW25" s="232">
        <f t="shared" si="24"/>
        <v>20</v>
      </c>
      <c r="BX25" s="230">
        <f t="shared" si="25"/>
        <v>33</v>
      </c>
      <c r="BY25" s="235">
        <f t="shared" si="26"/>
        <v>4.4702678571428569</v>
      </c>
      <c r="BZ25" s="235" cm="1">
        <f t="array" ref="BZ25">$BI25 * IF($AH25&lt;=2,
SUMPRODUCT(INDEX($AR$62:$AT$66,,$AI25), INDEX($AU$62:$BA$66,,$AH25), 1 / ($BB$62:$BB$66*BY25 + (1-$BB$62:$BB$66)*BU25), N($AQ$62:$AQ$66&gt;$AO25)),
SUMPRODUCT(INDEX($AR$47:$AT$56,,$AI25), INDEX($AU$47:$BA$56,,$AH25), 1 / ($BC$47:$BC$56*BY25 + (1-$BC$47:$BC$56)*BU25), N($AQ$47:$AQ$56&gt;$AO25))
) / 1000</f>
        <v>0</v>
      </c>
      <c r="CA25" s="235" cm="1">
        <f t="array" ref="CA25">$BI25 * IF($AH25&lt;=2,
SUMPRODUCT(INDEX($AR$23:$AT$61,,$AI25), INDEX($AU$23:$BA$61,,$AH25), 1 / ($BB$23:$BB$61*BY25), N($AQ$23:$AQ$61&gt;$AO25)),
SUMPRODUCT(INDEX($AR$23:$AT$46,,$AI25), INDEX($AU$23:$BA$46,,$AH25), 1 / ($BC$23:$BC$46*BY25), N($AQ$23:$AQ$46&gt;$AO25))
) / 1000</f>
        <v>0</v>
      </c>
      <c r="CB25" s="230">
        <f t="shared" si="27"/>
        <v>0</v>
      </c>
      <c r="CC25" s="238"/>
      <c r="CD25" s="229" cm="1">
        <f t="array" ref="CD25">IF(ISBLANK(Y25), INDEX(Use, $AH25, 4) - AN25*INDEX(Use, $AH25, 6) - (Q25-X25), Y25)</f>
        <v>7</v>
      </c>
      <c r="CE25" s="229">
        <f t="shared" si="28"/>
        <v>32</v>
      </c>
      <c r="CF25" s="230">
        <f t="shared" si="29"/>
        <v>0</v>
      </c>
      <c r="CG25" s="229">
        <v>35</v>
      </c>
      <c r="CH25" s="230">
        <f t="shared" si="30"/>
        <v>48</v>
      </c>
      <c r="CI25" s="235">
        <f t="shared" si="31"/>
        <v>3.0748170731707316</v>
      </c>
      <c r="CJ25" s="235" cm="1">
        <f t="array" ref="CJ25">$BI25 * SUMPRODUCT(INDEX($AR$77:$AT$82,,$AI25),INDEX($AU$77:$BA$82,,$AH25), N($AQ$77:$AQ$82&gt;$AO25)) / CI25 / 1000</f>
        <v>0</v>
      </c>
      <c r="CK25" s="232">
        <f t="shared" si="32"/>
        <v>30</v>
      </c>
      <c r="CL25" s="230">
        <f t="shared" si="33"/>
        <v>43</v>
      </c>
      <c r="CM25" s="235">
        <f t="shared" si="34"/>
        <v>3.5018750000000001</v>
      </c>
      <c r="CN25" s="235" cm="1">
        <f t="array" ref="CN25">$BI25 * IF($AH25&lt;=2,
SUMPRODUCT(INDEX($AR$72:$AT$76,,$AI25), INDEX($AU$72:$BA$76,,$AH25), 1 / ($BB$72:$BB$76*CM25 + (1-$BB$72:$BB$76)*CI25), N($AQ$72:$AQ$76&gt;$AO25)),
SUMPRODUCT(INDEX($AR$67:$AT$76,,$AI25), INDEX($AU$67:$BA$76,,$AH25), 1 / ($BC$67:$BC$76*CM25 + (1-$BC$67:$BC$76)*CI25), N($AQ$67:$AQ$76&gt;$AO25))
) / 1000</f>
        <v>0</v>
      </c>
      <c r="CO25" s="232">
        <f t="shared" si="35"/>
        <v>25</v>
      </c>
      <c r="CP25" s="230">
        <f t="shared" si="36"/>
        <v>38</v>
      </c>
      <c r="CQ25" s="235">
        <f t="shared" si="37"/>
        <v>4.0666935483870965</v>
      </c>
      <c r="CR25" s="235" cm="1">
        <f t="array" ref="CR25">$BI25 * IF($AH25&lt;=2,
SUMPRODUCT(INDEX($AR$67:$AT$71,,$AI25), INDEX($AU$67:$BA$71,,$AH25), 1 / ($BB$67:$BB$71*CQ25 + (1-$BB$67:$BB$71)*CM25), N($AQ$67:$AQ$71&gt;$AO25)),
SUMPRODUCT(INDEX($AR$57:$AT$66,,$AI25), INDEX($AU$57:$BA$66,,$AH25), 1 / ($BC$57:$BC$66*CQ25 + (1-$BC$57:$BC$66)*CM25), N($AQ$57:$AQ$66&gt;$AO25))
) / 1000</f>
        <v>0</v>
      </c>
      <c r="CS25" s="232">
        <f t="shared" si="38"/>
        <v>20</v>
      </c>
      <c r="CT25" s="230">
        <f t="shared" si="39"/>
        <v>33</v>
      </c>
      <c r="CU25" s="235">
        <f t="shared" si="40"/>
        <v>4.8487499999999999</v>
      </c>
      <c r="CV25" s="235" cm="1">
        <f t="array" ref="CV25">$BI25 * IF($AH25&lt;=2,
SUMPRODUCT(INDEX($AR$62:$AT$66,,$AI25), INDEX($AU$62:$BA$66,,$AH25), 1 / ($BB$62:$BB$66*CU25 + (1-$BB$62:$BB$66)*CQ25), N($AQ$62:$AQ$66&gt;$AO25)),
SUMPRODUCT(INDEX($AR$47:$AT$56,,$AI25), INDEX($AU$47:$BA$56,,$AH25), 1 / ($BC$47:$BC$56*CU25 + (1-$BC$47:$BC$56)*CQ25), N($AQ$47:$AQ$56&gt;$AO25))
) / 1000</f>
        <v>0</v>
      </c>
      <c r="CW25" s="235" cm="1">
        <f t="array" ref="CW25">$BI25 * IF($AH25&lt;=2,
SUMPRODUCT(INDEX($AR$23:$AT$61,,$AI25), INDEX($AU$23:$BA$61,,$AH25), 1 / ($BB$23:$BB$61*CU25), N($AQ$23:$AQ$61&gt;$AO25)),
SUMPRODUCT(INDEX($AR$23:$AT$46,,$AI25), INDEX($AU$23:$BA$46,,$AH25), 1 / ($BC$23:$BC$46*CU25), N($AQ$23:$AQ$46&gt;$AO25))
) / 1000</f>
        <v>0</v>
      </c>
      <c r="CX25" s="230">
        <f t="shared" si="41"/>
        <v>0</v>
      </c>
      <c r="CY25" s="238"/>
    </row>
    <row r="26" spans="1:103" s="76" customFormat="1" ht="14.25" customHeight="1" x14ac:dyDescent="0.25">
      <c r="A26" s="231" t="b">
        <f t="shared" si="0"/>
        <v>0</v>
      </c>
      <c r="B26" s="245">
        <v>4</v>
      </c>
      <c r="C26" s="258"/>
      <c r="D26" s="258"/>
      <c r="E26" s="246"/>
      <c r="F26" s="247" t="str">
        <f>IF(ISBLANK(E26), "", VLOOKUP(E26, Z!$A$2:$C$4127, 3, FALSE))</f>
        <v/>
      </c>
      <c r="G26" s="248"/>
      <c r="H26" s="248"/>
      <c r="I26" s="249"/>
      <c r="J26" s="250"/>
      <c r="K26" s="259"/>
      <c r="L26" s="260"/>
      <c r="M26" s="252" t="str" cm="1">
        <f t="array" ref="M26">INDEX(Trad, 53, $A$20)</f>
        <v>Verschmutzt</v>
      </c>
      <c r="N26" s="253"/>
      <c r="O26" s="253"/>
      <c r="P26" s="254"/>
      <c r="Q26" s="251"/>
      <c r="R26" s="251"/>
      <c r="S26" s="264">
        <f t="shared" si="7"/>
        <v>0</v>
      </c>
      <c r="T26" s="252" t="str" cm="1">
        <f t="array" ref="T26">INDEX(Trad, 52, $A$20)</f>
        <v>Sauber</v>
      </c>
      <c r="U26" s="253"/>
      <c r="V26" s="253"/>
      <c r="W26" s="254"/>
      <c r="X26" s="251"/>
      <c r="Y26" s="251"/>
      <c r="Z26" s="264">
        <f t="shared" si="8"/>
        <v>0</v>
      </c>
      <c r="AA26" s="261"/>
      <c r="AB26" s="258"/>
      <c r="AC26" s="246"/>
      <c r="AD26" s="247" t="str">
        <f>IF(ISBLANK(AC26), "", VLOOKUP(AC26, Z!$A$2:$C$4127, 3, FALSE))</f>
        <v/>
      </c>
      <c r="AE26" s="262"/>
      <c r="AF26" s="263">
        <f t="shared" si="1"/>
        <v>0</v>
      </c>
      <c r="AG26" s="238"/>
      <c r="AH26" s="229">
        <f t="shared" ref="AH26" si="45">IF(ISBLANK(H26), 1, IFERROR(MATCH(H26, INDEX(Use,,1), 0), IFERROR(MATCH(H26, INDEX(Use,,2), 0), MATCH(H26, INDEX(Use,,3), 0))))</f>
        <v>1</v>
      </c>
      <c r="AI26" s="229">
        <f t="shared" ref="AI26" si="46">IF(ISBLANK(G26), 1, IFERROR(MATCH(G26, INDEX(Loc,,1), 0), IFERROR(MATCH(G26, INDEX(Loc,,2), 0), MATCH(G26, INDEX(Loc,,3), 0))))</f>
        <v>1</v>
      </c>
      <c r="AJ26" s="229">
        <f t="shared" ref="AJ26" si="47">_xlfn.IFNA(IF(IFERROR(MATCH(I26, INDEX(Medium,,1), 0), IFERROR(MATCH(I26, INDEX(Medium,,2), 0), MATCH(I26, INDEX(Medium,,3), 0))) = 2, 1, 0), 0)</f>
        <v>0</v>
      </c>
      <c r="AK26" s="229">
        <v>0</v>
      </c>
      <c r="AL26" s="229">
        <v>0</v>
      </c>
      <c r="AM26" s="229">
        <v>1</v>
      </c>
      <c r="AN26" s="229">
        <v>0</v>
      </c>
      <c r="AO26" s="229">
        <f t="shared" si="5"/>
        <v>-100</v>
      </c>
      <c r="AP26" s="238"/>
      <c r="AQ26" s="229">
        <v>-16</v>
      </c>
      <c r="AR26" s="232">
        <v>0</v>
      </c>
      <c r="AS26" s="232">
        <v>0</v>
      </c>
      <c r="AT26" s="232">
        <v>0</v>
      </c>
      <c r="AU26" s="233">
        <f t="shared" si="6"/>
        <v>0</v>
      </c>
      <c r="AV26" s="233">
        <f t="shared" si="6"/>
        <v>0</v>
      </c>
      <c r="AW26" s="233" cm="1">
        <f t="array" ref="AW26">MIN(INDEX(Use,AW$21,5) + MAX(0, (1-INDEX(Use,AW$21,5))*($AQ26-5)/(35-5)), 1)</f>
        <v>0.4</v>
      </c>
      <c r="AX26" s="233" cm="1">
        <f t="array" ref="AX26">MIN(INDEX(Use,AX$21,5) + MAX(0, (1-INDEX(Use,AX$21,5))*($AQ26-5)/(35-5)), 1)</f>
        <v>0.6</v>
      </c>
      <c r="AY26" s="233" cm="1">
        <f t="array" ref="AY26">MIN(INDEX(Use,AY$21,5) + MAX(0, (1-INDEX(Use,AY$21,5))*($AQ26-5)/(35-5)), 1)</f>
        <v>0.8</v>
      </c>
      <c r="AZ26" s="233" cm="1">
        <f t="array" ref="AZ26">MIN(INDEX(Use,AZ$21,5) + MAX(0, (1-INDEX(Use,AZ$21,5))*($AQ26-5)/(35-5)), 1)</f>
        <v>0.8</v>
      </c>
      <c r="BA26" s="233" cm="1">
        <f t="array" ref="BA26">MIN(INDEX(Use,BA$21,5) + MAX(0, (1-INDEX(Use,BA$21,5))*($AQ26-5)/(35-5)), 1)</f>
        <v>0.8</v>
      </c>
      <c r="BB26" s="233">
        <v>1</v>
      </c>
      <c r="BC26" s="233">
        <v>1</v>
      </c>
      <c r="BD26" s="211"/>
      <c r="BE26" s="229" cm="1">
        <f t="array" ref="BE26">IF(ISBLANK(R26), INDEX(Use, $AH26, 4) - AM26*INDEX(Use, $AH26, 6), R26)</f>
        <v>5</v>
      </c>
      <c r="BF26" s="229">
        <f t="shared" si="12"/>
        <v>30</v>
      </c>
      <c r="BG26" s="229">
        <f t="shared" si="13"/>
        <v>13</v>
      </c>
      <c r="BH26" s="229">
        <f t="shared" si="14"/>
        <v>0</v>
      </c>
      <c r="BI26" s="234" cm="1">
        <f t="array" ref="BI26">K26/IF($L26&gt;0, INDEX($AU$23:$BA$77, $L26+20, $AH26), 1)</f>
        <v>0</v>
      </c>
      <c r="BJ26" s="230">
        <f t="shared" si="15"/>
        <v>0</v>
      </c>
      <c r="BK26" s="229">
        <v>35</v>
      </c>
      <c r="BL26" s="230">
        <f t="shared" si="16"/>
        <v>48</v>
      </c>
      <c r="BM26" s="235">
        <f t="shared" si="17"/>
        <v>2.9108720930232557</v>
      </c>
      <c r="BN26" s="235" cm="1">
        <f t="array" ref="BN26">$BI26 * SUMPRODUCT(INDEX($AR$77:$AT$82,,$AI26),INDEX($AU$77:$BA$82,,$AH26), N($AQ$77:$AQ$82&gt;$AO26)) / BM26 / 1000</f>
        <v>0</v>
      </c>
      <c r="BO26" s="232">
        <f t="shared" si="18"/>
        <v>30</v>
      </c>
      <c r="BP26" s="230">
        <f t="shared" si="19"/>
        <v>43</v>
      </c>
      <c r="BQ26" s="235">
        <f t="shared" si="20"/>
        <v>3.2938815789473681</v>
      </c>
      <c r="BR26" s="235" cm="1">
        <f t="array" ref="BR26">$BI26 * IF($AH26&lt;=2,
SUMPRODUCT(INDEX($AR$72:$AT$76,,$AI26), INDEX($AU$72:$BA$76,,$AH26), 1 / ($BB$72:$BB$76*BQ26 + (1-$BB$72:$BB$76)*BM26), N($AQ$72:$AQ$76&gt;$AO26)),
SUMPRODUCT(INDEX($AR$67:$AT$76,,$AI26), INDEX($AU$67:$BA$76,,$AH26), 1 / ($BC$67:$BC$76*BQ26 + (1-$BC$67:$BC$76)*BM26), N($AQ$67:$AQ$76&gt;$AO26))
) / 1000</f>
        <v>0</v>
      </c>
      <c r="BS26" s="232">
        <f t="shared" si="21"/>
        <v>25</v>
      </c>
      <c r="BT26" s="230">
        <f t="shared" si="22"/>
        <v>38</v>
      </c>
      <c r="BU26" s="235">
        <f t="shared" si="23"/>
        <v>3.792954545454545</v>
      </c>
      <c r="BV26" s="235" cm="1">
        <f t="array" ref="BV26">$BI26 * IF($AH26&lt;=2,
SUMPRODUCT(INDEX($AR$67:$AT$71,,$AI26), INDEX($AU$67:$BA$71,,$AH26), 1 / ($BB$67:$BB$71*BU26 + (1-$BB$67:$BB$71)*BQ26), N($AQ$67:$AQ$71&gt;$AO26)),
SUMPRODUCT(INDEX($AR$57:$AT$66,,$AI26), INDEX($AU$57:$BA$66,,$AH26), 1 / ($BC$57:$BC$66*BU26 + (1-$BC$57:$BC$66)*BQ26), N($AQ$57:$AQ$66&gt;$AO26))
) / 1000</f>
        <v>0</v>
      </c>
      <c r="BW26" s="232">
        <f t="shared" si="24"/>
        <v>20</v>
      </c>
      <c r="BX26" s="230">
        <f t="shared" si="25"/>
        <v>33</v>
      </c>
      <c r="BY26" s="235">
        <f t="shared" si="26"/>
        <v>4.4702678571428569</v>
      </c>
      <c r="BZ26" s="235" cm="1">
        <f t="array" ref="BZ26">$BI26 * IF($AH26&lt;=2,
SUMPRODUCT(INDEX($AR$62:$AT$66,,$AI26), INDEX($AU$62:$BA$66,,$AH26), 1 / ($BB$62:$BB$66*BY26 + (1-$BB$62:$BB$66)*BU26), N($AQ$62:$AQ$66&gt;$AO26)),
SUMPRODUCT(INDEX($AR$47:$AT$56,,$AI26), INDEX($AU$47:$BA$56,,$AH26), 1 / ($BC$47:$BC$56*BY26 + (1-$BC$47:$BC$56)*BU26), N($AQ$47:$AQ$56&gt;$AO26))
) / 1000</f>
        <v>0</v>
      </c>
      <c r="CA26" s="235" cm="1">
        <f t="array" ref="CA26">$BI26 * IF($AH26&lt;=2,
SUMPRODUCT(INDEX($AR$23:$AT$61,,$AI26), INDEX($AU$23:$BA$61,,$AH26), 1 / ($BB$23:$BB$61*BY26), N($AQ$23:$AQ$61&gt;$AO26)),
SUMPRODUCT(INDEX($AR$23:$AT$46,,$AI26), INDEX($AU$23:$BA$46,,$AH26), 1 / ($BC$23:$BC$46*BY26), N($AQ$23:$AQ$46&gt;$AO26))
) / 1000</f>
        <v>0</v>
      </c>
      <c r="CB26" s="230">
        <f t="shared" si="27"/>
        <v>0</v>
      </c>
      <c r="CC26" s="238"/>
      <c r="CD26" s="229" cm="1">
        <f t="array" ref="CD26">IF(ISBLANK(Y26), INDEX(Use, $AH26, 4) - AN26*INDEX(Use, $AH26, 6) - (Q26-X26), Y26)</f>
        <v>7</v>
      </c>
      <c r="CE26" s="229">
        <f t="shared" si="28"/>
        <v>32</v>
      </c>
      <c r="CF26" s="230">
        <f t="shared" si="29"/>
        <v>0</v>
      </c>
      <c r="CG26" s="229">
        <v>35</v>
      </c>
      <c r="CH26" s="230">
        <f t="shared" si="30"/>
        <v>48</v>
      </c>
      <c r="CI26" s="235">
        <f t="shared" si="31"/>
        <v>3.0748170731707316</v>
      </c>
      <c r="CJ26" s="235" cm="1">
        <f t="array" ref="CJ26">$BI26 * SUMPRODUCT(INDEX($AR$77:$AT$82,,$AI26),INDEX($AU$77:$BA$82,,$AH26), N($AQ$77:$AQ$82&gt;$AO26)) / CI26 / 1000</f>
        <v>0</v>
      </c>
      <c r="CK26" s="232">
        <f t="shared" si="32"/>
        <v>30</v>
      </c>
      <c r="CL26" s="230">
        <f t="shared" si="33"/>
        <v>43</v>
      </c>
      <c r="CM26" s="235">
        <f t="shared" si="34"/>
        <v>3.5018750000000001</v>
      </c>
      <c r="CN26" s="235" cm="1">
        <f t="array" ref="CN26">$BI26 * IF($AH26&lt;=2,
SUMPRODUCT(INDEX($AR$72:$AT$76,,$AI26), INDEX($AU$72:$BA$76,,$AH26), 1 / ($BB$72:$BB$76*CM26 + (1-$BB$72:$BB$76)*CI26), N($AQ$72:$AQ$76&gt;$AO26)),
SUMPRODUCT(INDEX($AR$67:$AT$76,,$AI26), INDEX($AU$67:$BA$76,,$AH26), 1 / ($BC$67:$BC$76*CM26 + (1-$BC$67:$BC$76)*CI26), N($AQ$67:$AQ$76&gt;$AO26))
) / 1000</f>
        <v>0</v>
      </c>
      <c r="CO26" s="232">
        <f t="shared" si="35"/>
        <v>25</v>
      </c>
      <c r="CP26" s="230">
        <f t="shared" si="36"/>
        <v>38</v>
      </c>
      <c r="CQ26" s="235">
        <f t="shared" si="37"/>
        <v>4.0666935483870965</v>
      </c>
      <c r="CR26" s="235" cm="1">
        <f t="array" ref="CR26">$BI26 * IF($AH26&lt;=2,
SUMPRODUCT(INDEX($AR$67:$AT$71,,$AI26), INDEX($AU$67:$BA$71,,$AH26), 1 / ($BB$67:$BB$71*CQ26 + (1-$BB$67:$BB$71)*CM26), N($AQ$67:$AQ$71&gt;$AO26)),
SUMPRODUCT(INDEX($AR$57:$AT$66,,$AI26), INDEX($AU$57:$BA$66,,$AH26), 1 / ($BC$57:$BC$66*CQ26 + (1-$BC$57:$BC$66)*CM26), N($AQ$57:$AQ$66&gt;$AO26))
) / 1000</f>
        <v>0</v>
      </c>
      <c r="CS26" s="232">
        <f t="shared" si="38"/>
        <v>20</v>
      </c>
      <c r="CT26" s="230">
        <f t="shared" si="39"/>
        <v>33</v>
      </c>
      <c r="CU26" s="235">
        <f t="shared" si="40"/>
        <v>4.8487499999999999</v>
      </c>
      <c r="CV26" s="235" cm="1">
        <f t="array" ref="CV26">$BI26 * IF($AH26&lt;=2,
SUMPRODUCT(INDEX($AR$62:$AT$66,,$AI26), INDEX($AU$62:$BA$66,,$AH26), 1 / ($BB$62:$BB$66*CU26 + (1-$BB$62:$BB$66)*CQ26), N($AQ$62:$AQ$66&gt;$AO26)),
SUMPRODUCT(INDEX($AR$47:$AT$56,,$AI26), INDEX($AU$47:$BA$56,,$AH26), 1 / ($BC$47:$BC$56*CU26 + (1-$BC$47:$BC$56)*CQ26), N($AQ$47:$AQ$56&gt;$AO26))
) / 1000</f>
        <v>0</v>
      </c>
      <c r="CW26" s="235" cm="1">
        <f t="array" ref="CW26">$BI26 * IF($AH26&lt;=2,
SUMPRODUCT(INDEX($AR$23:$AT$61,,$AI26), INDEX($AU$23:$BA$61,,$AH26), 1 / ($BB$23:$BB$61*CU26), N($AQ$23:$AQ$61&gt;$AO26)),
SUMPRODUCT(INDEX($AR$23:$AT$46,,$AI26), INDEX($AU$23:$BA$46,,$AH26), 1 / ($BC$23:$BC$46*CU26), N($AQ$23:$AQ$46&gt;$AO26))
) / 1000</f>
        <v>0</v>
      </c>
      <c r="CX26" s="230">
        <f t="shared" si="41"/>
        <v>0</v>
      </c>
      <c r="CY26" s="238"/>
    </row>
    <row r="27" spans="1:103" s="76" customFormat="1" ht="14.25" customHeight="1" x14ac:dyDescent="0.25">
      <c r="A27" s="231" t="b">
        <f t="shared" si="0"/>
        <v>0</v>
      </c>
      <c r="B27" s="245">
        <v>5</v>
      </c>
      <c r="C27" s="258"/>
      <c r="D27" s="258"/>
      <c r="E27" s="246"/>
      <c r="F27" s="247" t="str">
        <f>IF(ISBLANK(E27), "", VLOOKUP(E27, Z!$A$2:$C$4127, 3, FALSE))</f>
        <v/>
      </c>
      <c r="G27" s="248"/>
      <c r="H27" s="248"/>
      <c r="I27" s="249"/>
      <c r="J27" s="250"/>
      <c r="K27" s="259"/>
      <c r="L27" s="260"/>
      <c r="M27" s="252" t="str" cm="1">
        <f t="array" ref="M27">INDEX(Trad, 53, $A$20)</f>
        <v>Verschmutzt</v>
      </c>
      <c r="N27" s="253"/>
      <c r="O27" s="253"/>
      <c r="P27" s="254"/>
      <c r="Q27" s="251"/>
      <c r="R27" s="251"/>
      <c r="S27" s="264">
        <f t="shared" si="7"/>
        <v>0</v>
      </c>
      <c r="T27" s="252" t="str" cm="1">
        <f t="array" ref="T27">INDEX(Trad, 52, $A$20)</f>
        <v>Sauber</v>
      </c>
      <c r="U27" s="253"/>
      <c r="V27" s="253"/>
      <c r="W27" s="254"/>
      <c r="X27" s="251"/>
      <c r="Y27" s="251"/>
      <c r="Z27" s="264">
        <f t="shared" si="8"/>
        <v>0</v>
      </c>
      <c r="AA27" s="261"/>
      <c r="AB27" s="258"/>
      <c r="AC27" s="246"/>
      <c r="AD27" s="247" t="str">
        <f>IF(ISBLANK(AC27), "", VLOOKUP(AC27, Z!$A$2:$C$4127, 3, FALSE))</f>
        <v/>
      </c>
      <c r="AE27" s="262"/>
      <c r="AF27" s="263">
        <f t="shared" si="1"/>
        <v>0</v>
      </c>
      <c r="AG27" s="238"/>
      <c r="AH27" s="229">
        <f t="shared" ref="AH27" si="48">IF(ISBLANK(H27), 1, IFERROR(MATCH(H27, INDEX(Use,,1), 0), IFERROR(MATCH(H27, INDEX(Use,,2), 0), MATCH(H27, INDEX(Use,,3), 0))))</f>
        <v>1</v>
      </c>
      <c r="AI27" s="229">
        <f t="shared" ref="AI27" si="49">IF(ISBLANK(G27), 1, IFERROR(MATCH(G27, INDEX(Loc,,1), 0), IFERROR(MATCH(G27, INDEX(Loc,,2), 0), MATCH(G27, INDEX(Loc,,3), 0))))</f>
        <v>1</v>
      </c>
      <c r="AJ27" s="229">
        <f t="shared" ref="AJ27" si="50">_xlfn.IFNA(IF(IFERROR(MATCH(I27, INDEX(Medium,,1), 0), IFERROR(MATCH(I27, INDEX(Medium,,2), 0), MATCH(I27, INDEX(Medium,,3), 0))) = 2, 1, 0), 0)</f>
        <v>0</v>
      </c>
      <c r="AK27" s="229">
        <v>0</v>
      </c>
      <c r="AL27" s="229">
        <v>0</v>
      </c>
      <c r="AM27" s="229">
        <v>1</v>
      </c>
      <c r="AN27" s="229">
        <v>0</v>
      </c>
      <c r="AO27" s="229">
        <f t="shared" si="5"/>
        <v>-100</v>
      </c>
      <c r="AP27" s="238"/>
      <c r="AQ27" s="229">
        <v>-15</v>
      </c>
      <c r="AR27" s="232">
        <v>0</v>
      </c>
      <c r="AS27" s="232">
        <v>0</v>
      </c>
      <c r="AT27" s="232">
        <v>0</v>
      </c>
      <c r="AU27" s="233">
        <f t="shared" si="6"/>
        <v>0</v>
      </c>
      <c r="AV27" s="233">
        <f t="shared" si="6"/>
        <v>0</v>
      </c>
      <c r="AW27" s="233" cm="1">
        <f t="array" ref="AW27">MIN(INDEX(Use,AW$21,5) + MAX(0, (1-INDEX(Use,AW$21,5))*($AQ27-5)/(35-5)), 1)</f>
        <v>0.4</v>
      </c>
      <c r="AX27" s="233" cm="1">
        <f t="array" ref="AX27">MIN(INDEX(Use,AX$21,5) + MAX(0, (1-INDEX(Use,AX$21,5))*($AQ27-5)/(35-5)), 1)</f>
        <v>0.6</v>
      </c>
      <c r="AY27" s="233" cm="1">
        <f t="array" ref="AY27">MIN(INDEX(Use,AY$21,5) + MAX(0, (1-INDEX(Use,AY$21,5))*($AQ27-5)/(35-5)), 1)</f>
        <v>0.8</v>
      </c>
      <c r="AZ27" s="233" cm="1">
        <f t="array" ref="AZ27">MIN(INDEX(Use,AZ$21,5) + MAX(0, (1-INDEX(Use,AZ$21,5))*($AQ27-5)/(35-5)), 1)</f>
        <v>0.8</v>
      </c>
      <c r="BA27" s="233" cm="1">
        <f t="array" ref="BA27">MIN(INDEX(Use,BA$21,5) + MAX(0, (1-INDEX(Use,BA$21,5))*($AQ27-5)/(35-5)), 1)</f>
        <v>0.8</v>
      </c>
      <c r="BB27" s="233">
        <v>1</v>
      </c>
      <c r="BC27" s="233">
        <v>1</v>
      </c>
      <c r="BD27" s="211"/>
      <c r="BE27" s="229" cm="1">
        <f t="array" ref="BE27">IF(ISBLANK(R27), INDEX(Use, $AH27, 4) - AM27*INDEX(Use, $AH27, 6), R27)</f>
        <v>5</v>
      </c>
      <c r="BF27" s="229">
        <f t="shared" si="12"/>
        <v>30</v>
      </c>
      <c r="BG27" s="229">
        <f t="shared" si="13"/>
        <v>13</v>
      </c>
      <c r="BH27" s="229">
        <f t="shared" si="14"/>
        <v>0</v>
      </c>
      <c r="BI27" s="234" cm="1">
        <f t="array" ref="BI27">K27/IF($L27&gt;0, INDEX($AU$23:$BA$77, $L27+20, $AH27), 1)</f>
        <v>0</v>
      </c>
      <c r="BJ27" s="230">
        <f t="shared" si="15"/>
        <v>0</v>
      </c>
      <c r="BK27" s="229">
        <v>35</v>
      </c>
      <c r="BL27" s="230">
        <f t="shared" si="16"/>
        <v>48</v>
      </c>
      <c r="BM27" s="235">
        <f t="shared" si="17"/>
        <v>2.9108720930232557</v>
      </c>
      <c r="BN27" s="235" cm="1">
        <f t="array" ref="BN27">$BI27 * SUMPRODUCT(INDEX($AR$77:$AT$82,,$AI27),INDEX($AU$77:$BA$82,,$AH27), N($AQ$77:$AQ$82&gt;$AO27)) / BM27 / 1000</f>
        <v>0</v>
      </c>
      <c r="BO27" s="232">
        <f t="shared" si="18"/>
        <v>30</v>
      </c>
      <c r="BP27" s="230">
        <f t="shared" si="19"/>
        <v>43</v>
      </c>
      <c r="BQ27" s="235">
        <f t="shared" si="20"/>
        <v>3.2938815789473681</v>
      </c>
      <c r="BR27" s="235" cm="1">
        <f t="array" ref="BR27">$BI27 * IF($AH27&lt;=2,
SUMPRODUCT(INDEX($AR$72:$AT$76,,$AI27), INDEX($AU$72:$BA$76,,$AH27), 1 / ($BB$72:$BB$76*BQ27 + (1-$BB$72:$BB$76)*BM27), N($AQ$72:$AQ$76&gt;$AO27)),
SUMPRODUCT(INDEX($AR$67:$AT$76,,$AI27), INDEX($AU$67:$BA$76,,$AH27), 1 / ($BC$67:$BC$76*BQ27 + (1-$BC$67:$BC$76)*BM27), N($AQ$67:$AQ$76&gt;$AO27))
) / 1000</f>
        <v>0</v>
      </c>
      <c r="BS27" s="232">
        <f t="shared" si="21"/>
        <v>25</v>
      </c>
      <c r="BT27" s="230">
        <f t="shared" si="22"/>
        <v>38</v>
      </c>
      <c r="BU27" s="235">
        <f t="shared" si="23"/>
        <v>3.792954545454545</v>
      </c>
      <c r="BV27" s="235" cm="1">
        <f t="array" ref="BV27">$BI27 * IF($AH27&lt;=2,
SUMPRODUCT(INDEX($AR$67:$AT$71,,$AI27), INDEX($AU$67:$BA$71,,$AH27), 1 / ($BB$67:$BB$71*BU27 + (1-$BB$67:$BB$71)*BQ27), N($AQ$67:$AQ$71&gt;$AO27)),
SUMPRODUCT(INDEX($AR$57:$AT$66,,$AI27), INDEX($AU$57:$BA$66,,$AH27), 1 / ($BC$57:$BC$66*BU27 + (1-$BC$57:$BC$66)*BQ27), N($AQ$57:$AQ$66&gt;$AO27))
) / 1000</f>
        <v>0</v>
      </c>
      <c r="BW27" s="232">
        <f t="shared" si="24"/>
        <v>20</v>
      </c>
      <c r="BX27" s="230">
        <f t="shared" si="25"/>
        <v>33</v>
      </c>
      <c r="BY27" s="235">
        <f t="shared" si="26"/>
        <v>4.4702678571428569</v>
      </c>
      <c r="BZ27" s="235" cm="1">
        <f t="array" ref="BZ27">$BI27 * IF($AH27&lt;=2,
SUMPRODUCT(INDEX($AR$62:$AT$66,,$AI27), INDEX($AU$62:$BA$66,,$AH27), 1 / ($BB$62:$BB$66*BY27 + (1-$BB$62:$BB$66)*BU27), N($AQ$62:$AQ$66&gt;$AO27)),
SUMPRODUCT(INDEX($AR$47:$AT$56,,$AI27), INDEX($AU$47:$BA$56,,$AH27), 1 / ($BC$47:$BC$56*BY27 + (1-$BC$47:$BC$56)*BU27), N($AQ$47:$AQ$56&gt;$AO27))
) / 1000</f>
        <v>0</v>
      </c>
      <c r="CA27" s="235" cm="1">
        <f t="array" ref="CA27">$BI27 * IF($AH27&lt;=2,
SUMPRODUCT(INDEX($AR$23:$AT$61,,$AI27), INDEX($AU$23:$BA$61,,$AH27), 1 / ($BB$23:$BB$61*BY27), N($AQ$23:$AQ$61&gt;$AO27)),
SUMPRODUCT(INDEX($AR$23:$AT$46,,$AI27), INDEX($AU$23:$BA$46,,$AH27), 1 / ($BC$23:$BC$46*BY27), N($AQ$23:$AQ$46&gt;$AO27))
) / 1000</f>
        <v>0</v>
      </c>
      <c r="CB27" s="230">
        <f t="shared" si="27"/>
        <v>0</v>
      </c>
      <c r="CC27" s="238"/>
      <c r="CD27" s="229" cm="1">
        <f t="array" ref="CD27">IF(ISBLANK(Y27), INDEX(Use, $AH27, 4) - AN27*INDEX(Use, $AH27, 6) - (Q27-X27), Y27)</f>
        <v>7</v>
      </c>
      <c r="CE27" s="229">
        <f t="shared" si="28"/>
        <v>32</v>
      </c>
      <c r="CF27" s="230">
        <f t="shared" si="29"/>
        <v>0</v>
      </c>
      <c r="CG27" s="229">
        <v>35</v>
      </c>
      <c r="CH27" s="230">
        <f t="shared" si="30"/>
        <v>48</v>
      </c>
      <c r="CI27" s="235">
        <f t="shared" si="31"/>
        <v>3.0748170731707316</v>
      </c>
      <c r="CJ27" s="235" cm="1">
        <f t="array" ref="CJ27">$BI27 * SUMPRODUCT(INDEX($AR$77:$AT$82,,$AI27),INDEX($AU$77:$BA$82,,$AH27), N($AQ$77:$AQ$82&gt;$AO27)) / CI27 / 1000</f>
        <v>0</v>
      </c>
      <c r="CK27" s="232">
        <f t="shared" si="32"/>
        <v>30</v>
      </c>
      <c r="CL27" s="230">
        <f t="shared" si="33"/>
        <v>43</v>
      </c>
      <c r="CM27" s="235">
        <f t="shared" si="34"/>
        <v>3.5018750000000001</v>
      </c>
      <c r="CN27" s="235" cm="1">
        <f t="array" ref="CN27">$BI27 * IF($AH27&lt;=2,
SUMPRODUCT(INDEX($AR$72:$AT$76,,$AI27), INDEX($AU$72:$BA$76,,$AH27), 1 / ($BB$72:$BB$76*CM27 + (1-$BB$72:$BB$76)*CI27), N($AQ$72:$AQ$76&gt;$AO27)),
SUMPRODUCT(INDEX($AR$67:$AT$76,,$AI27), INDEX($AU$67:$BA$76,,$AH27), 1 / ($BC$67:$BC$76*CM27 + (1-$BC$67:$BC$76)*CI27), N($AQ$67:$AQ$76&gt;$AO27))
) / 1000</f>
        <v>0</v>
      </c>
      <c r="CO27" s="232">
        <f t="shared" si="35"/>
        <v>25</v>
      </c>
      <c r="CP27" s="230">
        <f t="shared" si="36"/>
        <v>38</v>
      </c>
      <c r="CQ27" s="235">
        <f t="shared" si="37"/>
        <v>4.0666935483870965</v>
      </c>
      <c r="CR27" s="235" cm="1">
        <f t="array" ref="CR27">$BI27 * IF($AH27&lt;=2,
SUMPRODUCT(INDEX($AR$67:$AT$71,,$AI27), INDEX($AU$67:$BA$71,,$AH27), 1 / ($BB$67:$BB$71*CQ27 + (1-$BB$67:$BB$71)*CM27), N($AQ$67:$AQ$71&gt;$AO27)),
SUMPRODUCT(INDEX($AR$57:$AT$66,,$AI27), INDEX($AU$57:$BA$66,,$AH27), 1 / ($BC$57:$BC$66*CQ27 + (1-$BC$57:$BC$66)*CM27), N($AQ$57:$AQ$66&gt;$AO27))
) / 1000</f>
        <v>0</v>
      </c>
      <c r="CS27" s="232">
        <f t="shared" si="38"/>
        <v>20</v>
      </c>
      <c r="CT27" s="230">
        <f t="shared" si="39"/>
        <v>33</v>
      </c>
      <c r="CU27" s="235">
        <f t="shared" si="40"/>
        <v>4.8487499999999999</v>
      </c>
      <c r="CV27" s="235" cm="1">
        <f t="array" ref="CV27">$BI27 * IF($AH27&lt;=2,
SUMPRODUCT(INDEX($AR$62:$AT$66,,$AI27), INDEX($AU$62:$BA$66,,$AH27), 1 / ($BB$62:$BB$66*CU27 + (1-$BB$62:$BB$66)*CQ27), N($AQ$62:$AQ$66&gt;$AO27)),
SUMPRODUCT(INDEX($AR$47:$AT$56,,$AI27), INDEX($AU$47:$BA$56,,$AH27), 1 / ($BC$47:$BC$56*CU27 + (1-$BC$47:$BC$56)*CQ27), N($AQ$47:$AQ$56&gt;$AO27))
) / 1000</f>
        <v>0</v>
      </c>
      <c r="CW27" s="235" cm="1">
        <f t="array" ref="CW27">$BI27 * IF($AH27&lt;=2,
SUMPRODUCT(INDEX($AR$23:$AT$61,,$AI27), INDEX($AU$23:$BA$61,,$AH27), 1 / ($BB$23:$BB$61*CU27), N($AQ$23:$AQ$61&gt;$AO27)),
SUMPRODUCT(INDEX($AR$23:$AT$46,,$AI27), INDEX($AU$23:$BA$46,,$AH27), 1 / ($BC$23:$BC$46*CU27), N($AQ$23:$AQ$46&gt;$AO27))
) / 1000</f>
        <v>0</v>
      </c>
      <c r="CX27" s="230">
        <f t="shared" si="41"/>
        <v>0</v>
      </c>
      <c r="CY27" s="238"/>
    </row>
    <row r="28" spans="1:103" s="76" customFormat="1" ht="14.25" customHeight="1" x14ac:dyDescent="0.25">
      <c r="A28" s="231" t="b">
        <f t="shared" si="0"/>
        <v>0</v>
      </c>
      <c r="B28" s="245">
        <v>6</v>
      </c>
      <c r="C28" s="258"/>
      <c r="D28" s="258"/>
      <c r="E28" s="246"/>
      <c r="F28" s="247" t="str">
        <f>IF(ISBLANK(E28), "", VLOOKUP(E28, Z!$A$2:$C$4127, 3, FALSE))</f>
        <v/>
      </c>
      <c r="G28" s="248"/>
      <c r="H28" s="248"/>
      <c r="I28" s="249"/>
      <c r="J28" s="250"/>
      <c r="K28" s="259"/>
      <c r="L28" s="260"/>
      <c r="M28" s="252" t="str" cm="1">
        <f t="array" ref="M28">INDEX(Trad, 53, $A$20)</f>
        <v>Verschmutzt</v>
      </c>
      <c r="N28" s="253"/>
      <c r="O28" s="253"/>
      <c r="P28" s="254"/>
      <c r="Q28" s="251"/>
      <c r="R28" s="251"/>
      <c r="S28" s="264">
        <f t="shared" si="7"/>
        <v>0</v>
      </c>
      <c r="T28" s="252" t="str" cm="1">
        <f t="array" ref="T28">INDEX(Trad, 52, $A$20)</f>
        <v>Sauber</v>
      </c>
      <c r="U28" s="253"/>
      <c r="V28" s="253"/>
      <c r="W28" s="254"/>
      <c r="X28" s="251"/>
      <c r="Y28" s="251"/>
      <c r="Z28" s="264">
        <f t="shared" si="8"/>
        <v>0</v>
      </c>
      <c r="AA28" s="261"/>
      <c r="AB28" s="258"/>
      <c r="AC28" s="246"/>
      <c r="AD28" s="247" t="str">
        <f>IF(ISBLANK(AC28), "", VLOOKUP(AC28, Z!$A$2:$C$4127, 3, FALSE))</f>
        <v/>
      </c>
      <c r="AE28" s="262"/>
      <c r="AF28" s="263">
        <f t="shared" si="1"/>
        <v>0</v>
      </c>
      <c r="AG28" s="238"/>
      <c r="AH28" s="229">
        <f t="shared" ref="AH28" si="51">IF(ISBLANK(H28), 1, IFERROR(MATCH(H28, INDEX(Use,,1), 0), IFERROR(MATCH(H28, INDEX(Use,,2), 0), MATCH(H28, INDEX(Use,,3), 0))))</f>
        <v>1</v>
      </c>
      <c r="AI28" s="229">
        <f t="shared" ref="AI28" si="52">IF(ISBLANK(G28), 1, IFERROR(MATCH(G28, INDEX(Loc,,1), 0), IFERROR(MATCH(G28, INDEX(Loc,,2), 0), MATCH(G28, INDEX(Loc,,3), 0))))</f>
        <v>1</v>
      </c>
      <c r="AJ28" s="229">
        <f t="shared" ref="AJ28" si="53">_xlfn.IFNA(IF(IFERROR(MATCH(I28, INDEX(Medium,,1), 0), IFERROR(MATCH(I28, INDEX(Medium,,2), 0), MATCH(I28, INDEX(Medium,,3), 0))) = 2, 1, 0), 0)</f>
        <v>0</v>
      </c>
      <c r="AK28" s="229">
        <v>0</v>
      </c>
      <c r="AL28" s="229">
        <v>0</v>
      </c>
      <c r="AM28" s="229">
        <v>1</v>
      </c>
      <c r="AN28" s="229">
        <v>0</v>
      </c>
      <c r="AO28" s="229">
        <f t="shared" si="5"/>
        <v>-100</v>
      </c>
      <c r="AP28" s="238"/>
      <c r="AQ28" s="229">
        <v>-14</v>
      </c>
      <c r="AR28" s="232">
        <v>0</v>
      </c>
      <c r="AS28" s="232">
        <v>0</v>
      </c>
      <c r="AT28" s="232">
        <v>0</v>
      </c>
      <c r="AU28" s="233">
        <f t="shared" si="6"/>
        <v>0</v>
      </c>
      <c r="AV28" s="233">
        <f t="shared" si="6"/>
        <v>0</v>
      </c>
      <c r="AW28" s="233" cm="1">
        <f t="array" ref="AW28">MIN(INDEX(Use,AW$21,5) + MAX(0, (1-INDEX(Use,AW$21,5))*($AQ28-5)/(35-5)), 1)</f>
        <v>0.4</v>
      </c>
      <c r="AX28" s="233" cm="1">
        <f t="array" ref="AX28">MIN(INDEX(Use,AX$21,5) + MAX(0, (1-INDEX(Use,AX$21,5))*($AQ28-5)/(35-5)), 1)</f>
        <v>0.6</v>
      </c>
      <c r="AY28" s="233" cm="1">
        <f t="array" ref="AY28">MIN(INDEX(Use,AY$21,5) + MAX(0, (1-INDEX(Use,AY$21,5))*($AQ28-5)/(35-5)), 1)</f>
        <v>0.8</v>
      </c>
      <c r="AZ28" s="233" cm="1">
        <f t="array" ref="AZ28">MIN(INDEX(Use,AZ$21,5) + MAX(0, (1-INDEX(Use,AZ$21,5))*($AQ28-5)/(35-5)), 1)</f>
        <v>0.8</v>
      </c>
      <c r="BA28" s="233" cm="1">
        <f t="array" ref="BA28">MIN(INDEX(Use,BA$21,5) + MAX(0, (1-INDEX(Use,BA$21,5))*($AQ28-5)/(35-5)), 1)</f>
        <v>0.8</v>
      </c>
      <c r="BB28" s="233">
        <v>1</v>
      </c>
      <c r="BC28" s="233">
        <v>1</v>
      </c>
      <c r="BD28" s="211"/>
      <c r="BE28" s="229" cm="1">
        <f t="array" ref="BE28">IF(ISBLANK(R28), INDEX(Use, $AH28, 4) - AM28*INDEX(Use, $AH28, 6), R28)</f>
        <v>5</v>
      </c>
      <c r="BF28" s="229">
        <f t="shared" si="12"/>
        <v>30</v>
      </c>
      <c r="BG28" s="229">
        <f t="shared" si="13"/>
        <v>13</v>
      </c>
      <c r="BH28" s="229">
        <f t="shared" si="14"/>
        <v>0</v>
      </c>
      <c r="BI28" s="234" cm="1">
        <f t="array" ref="BI28">K28/IF($L28&gt;0, INDEX($AU$23:$BA$77, $L28+20, $AH28), 1)</f>
        <v>0</v>
      </c>
      <c r="BJ28" s="230">
        <f t="shared" si="15"/>
        <v>0</v>
      </c>
      <c r="BK28" s="229">
        <v>35</v>
      </c>
      <c r="BL28" s="230">
        <f t="shared" si="16"/>
        <v>48</v>
      </c>
      <c r="BM28" s="235">
        <f t="shared" si="17"/>
        <v>2.9108720930232557</v>
      </c>
      <c r="BN28" s="235" cm="1">
        <f t="array" ref="BN28">$BI28 * SUMPRODUCT(INDEX($AR$77:$AT$82,,$AI28),INDEX($AU$77:$BA$82,,$AH28), N($AQ$77:$AQ$82&gt;$AO28)) / BM28 / 1000</f>
        <v>0</v>
      </c>
      <c r="BO28" s="232">
        <f t="shared" si="18"/>
        <v>30</v>
      </c>
      <c r="BP28" s="230">
        <f t="shared" si="19"/>
        <v>43</v>
      </c>
      <c r="BQ28" s="235">
        <f t="shared" si="20"/>
        <v>3.2938815789473681</v>
      </c>
      <c r="BR28" s="235" cm="1">
        <f t="array" ref="BR28">$BI28 * IF($AH28&lt;=2,
SUMPRODUCT(INDEX($AR$72:$AT$76,,$AI28), INDEX($AU$72:$BA$76,,$AH28), 1 / ($BB$72:$BB$76*BQ28 + (1-$BB$72:$BB$76)*BM28), N($AQ$72:$AQ$76&gt;$AO28)),
SUMPRODUCT(INDEX($AR$67:$AT$76,,$AI28), INDEX($AU$67:$BA$76,,$AH28), 1 / ($BC$67:$BC$76*BQ28 + (1-$BC$67:$BC$76)*BM28), N($AQ$67:$AQ$76&gt;$AO28))
) / 1000</f>
        <v>0</v>
      </c>
      <c r="BS28" s="232">
        <f t="shared" si="21"/>
        <v>25</v>
      </c>
      <c r="BT28" s="230">
        <f t="shared" si="22"/>
        <v>38</v>
      </c>
      <c r="BU28" s="235">
        <f t="shared" si="23"/>
        <v>3.792954545454545</v>
      </c>
      <c r="BV28" s="235" cm="1">
        <f t="array" ref="BV28">$BI28 * IF($AH28&lt;=2,
SUMPRODUCT(INDEX($AR$67:$AT$71,,$AI28), INDEX($AU$67:$BA$71,,$AH28), 1 / ($BB$67:$BB$71*BU28 + (1-$BB$67:$BB$71)*BQ28), N($AQ$67:$AQ$71&gt;$AO28)),
SUMPRODUCT(INDEX($AR$57:$AT$66,,$AI28), INDEX($AU$57:$BA$66,,$AH28), 1 / ($BC$57:$BC$66*BU28 + (1-$BC$57:$BC$66)*BQ28), N($AQ$57:$AQ$66&gt;$AO28))
) / 1000</f>
        <v>0</v>
      </c>
      <c r="BW28" s="232">
        <f t="shared" si="24"/>
        <v>20</v>
      </c>
      <c r="BX28" s="230">
        <f t="shared" si="25"/>
        <v>33</v>
      </c>
      <c r="BY28" s="235">
        <f t="shared" si="26"/>
        <v>4.4702678571428569</v>
      </c>
      <c r="BZ28" s="235" cm="1">
        <f t="array" ref="BZ28">$BI28 * IF($AH28&lt;=2,
SUMPRODUCT(INDEX($AR$62:$AT$66,,$AI28), INDEX($AU$62:$BA$66,,$AH28), 1 / ($BB$62:$BB$66*BY28 + (1-$BB$62:$BB$66)*BU28), N($AQ$62:$AQ$66&gt;$AO28)),
SUMPRODUCT(INDEX($AR$47:$AT$56,,$AI28), INDEX($AU$47:$BA$56,,$AH28), 1 / ($BC$47:$BC$56*BY28 + (1-$BC$47:$BC$56)*BU28), N($AQ$47:$AQ$56&gt;$AO28))
) / 1000</f>
        <v>0</v>
      </c>
      <c r="CA28" s="235" cm="1">
        <f t="array" ref="CA28">$BI28 * IF($AH28&lt;=2,
SUMPRODUCT(INDEX($AR$23:$AT$61,,$AI28), INDEX($AU$23:$BA$61,,$AH28), 1 / ($BB$23:$BB$61*BY28), N($AQ$23:$AQ$61&gt;$AO28)),
SUMPRODUCT(INDEX($AR$23:$AT$46,,$AI28), INDEX($AU$23:$BA$46,,$AH28), 1 / ($BC$23:$BC$46*BY28), N($AQ$23:$AQ$46&gt;$AO28))
) / 1000</f>
        <v>0</v>
      </c>
      <c r="CB28" s="230">
        <f t="shared" si="27"/>
        <v>0</v>
      </c>
      <c r="CC28" s="238"/>
      <c r="CD28" s="229" cm="1">
        <f t="array" ref="CD28">IF(ISBLANK(Y28), INDEX(Use, $AH28, 4) - AN28*INDEX(Use, $AH28, 6) - (Q28-X28), Y28)</f>
        <v>7</v>
      </c>
      <c r="CE28" s="229">
        <f t="shared" si="28"/>
        <v>32</v>
      </c>
      <c r="CF28" s="230">
        <f t="shared" si="29"/>
        <v>0</v>
      </c>
      <c r="CG28" s="229">
        <v>35</v>
      </c>
      <c r="CH28" s="230">
        <f t="shared" si="30"/>
        <v>48</v>
      </c>
      <c r="CI28" s="235">
        <f t="shared" si="31"/>
        <v>3.0748170731707316</v>
      </c>
      <c r="CJ28" s="235" cm="1">
        <f t="array" ref="CJ28">$BI28 * SUMPRODUCT(INDEX($AR$77:$AT$82,,$AI28),INDEX($AU$77:$BA$82,,$AH28), N($AQ$77:$AQ$82&gt;$AO28)) / CI28 / 1000</f>
        <v>0</v>
      </c>
      <c r="CK28" s="232">
        <f t="shared" si="32"/>
        <v>30</v>
      </c>
      <c r="CL28" s="230">
        <f t="shared" si="33"/>
        <v>43</v>
      </c>
      <c r="CM28" s="235">
        <f t="shared" si="34"/>
        <v>3.5018750000000001</v>
      </c>
      <c r="CN28" s="235" cm="1">
        <f t="array" ref="CN28">$BI28 * IF($AH28&lt;=2,
SUMPRODUCT(INDEX($AR$72:$AT$76,,$AI28), INDEX($AU$72:$BA$76,,$AH28), 1 / ($BB$72:$BB$76*CM28 + (1-$BB$72:$BB$76)*CI28), N($AQ$72:$AQ$76&gt;$AO28)),
SUMPRODUCT(INDEX($AR$67:$AT$76,,$AI28), INDEX($AU$67:$BA$76,,$AH28), 1 / ($BC$67:$BC$76*CM28 + (1-$BC$67:$BC$76)*CI28), N($AQ$67:$AQ$76&gt;$AO28))
) / 1000</f>
        <v>0</v>
      </c>
      <c r="CO28" s="232">
        <f t="shared" si="35"/>
        <v>25</v>
      </c>
      <c r="CP28" s="230">
        <f t="shared" si="36"/>
        <v>38</v>
      </c>
      <c r="CQ28" s="235">
        <f t="shared" si="37"/>
        <v>4.0666935483870965</v>
      </c>
      <c r="CR28" s="235" cm="1">
        <f t="array" ref="CR28">$BI28 * IF($AH28&lt;=2,
SUMPRODUCT(INDEX($AR$67:$AT$71,,$AI28), INDEX($AU$67:$BA$71,,$AH28), 1 / ($BB$67:$BB$71*CQ28 + (1-$BB$67:$BB$71)*CM28), N($AQ$67:$AQ$71&gt;$AO28)),
SUMPRODUCT(INDEX($AR$57:$AT$66,,$AI28), INDEX($AU$57:$BA$66,,$AH28), 1 / ($BC$57:$BC$66*CQ28 + (1-$BC$57:$BC$66)*CM28), N($AQ$57:$AQ$66&gt;$AO28))
) / 1000</f>
        <v>0</v>
      </c>
      <c r="CS28" s="232">
        <f t="shared" si="38"/>
        <v>20</v>
      </c>
      <c r="CT28" s="230">
        <f t="shared" si="39"/>
        <v>33</v>
      </c>
      <c r="CU28" s="235">
        <f t="shared" si="40"/>
        <v>4.8487499999999999</v>
      </c>
      <c r="CV28" s="235" cm="1">
        <f t="array" ref="CV28">$BI28 * IF($AH28&lt;=2,
SUMPRODUCT(INDEX($AR$62:$AT$66,,$AI28), INDEX($AU$62:$BA$66,,$AH28), 1 / ($BB$62:$BB$66*CU28 + (1-$BB$62:$BB$66)*CQ28), N($AQ$62:$AQ$66&gt;$AO28)),
SUMPRODUCT(INDEX($AR$47:$AT$56,,$AI28), INDEX($AU$47:$BA$56,,$AH28), 1 / ($BC$47:$BC$56*CU28 + (1-$BC$47:$BC$56)*CQ28), N($AQ$47:$AQ$56&gt;$AO28))
) / 1000</f>
        <v>0</v>
      </c>
      <c r="CW28" s="235" cm="1">
        <f t="array" ref="CW28">$BI28 * IF($AH28&lt;=2,
SUMPRODUCT(INDEX($AR$23:$AT$61,,$AI28), INDEX($AU$23:$BA$61,,$AH28), 1 / ($BB$23:$BB$61*CU28), N($AQ$23:$AQ$61&gt;$AO28)),
SUMPRODUCT(INDEX($AR$23:$AT$46,,$AI28), INDEX($AU$23:$BA$46,,$AH28), 1 / ($BC$23:$BC$46*CU28), N($AQ$23:$AQ$46&gt;$AO28))
) / 1000</f>
        <v>0</v>
      </c>
      <c r="CX28" s="230">
        <f t="shared" si="41"/>
        <v>0</v>
      </c>
      <c r="CY28" s="238"/>
    </row>
    <row r="29" spans="1:103" s="76" customFormat="1" ht="14.25" customHeight="1" x14ac:dyDescent="0.25">
      <c r="A29" s="231" t="b">
        <f t="shared" si="0"/>
        <v>0</v>
      </c>
      <c r="B29" s="245">
        <v>7</v>
      </c>
      <c r="C29" s="258"/>
      <c r="D29" s="258"/>
      <c r="E29" s="246"/>
      <c r="F29" s="247" t="str">
        <f>IF(ISBLANK(E29), "", VLOOKUP(E29, Z!$A$2:$C$4127, 3, FALSE))</f>
        <v/>
      </c>
      <c r="G29" s="248"/>
      <c r="H29" s="248"/>
      <c r="I29" s="249"/>
      <c r="J29" s="250"/>
      <c r="K29" s="259"/>
      <c r="L29" s="260"/>
      <c r="M29" s="252" t="str" cm="1">
        <f t="array" ref="M29">INDEX(Trad, 53, $A$20)</f>
        <v>Verschmutzt</v>
      </c>
      <c r="N29" s="253"/>
      <c r="O29" s="253"/>
      <c r="P29" s="254"/>
      <c r="Q29" s="251"/>
      <c r="R29" s="251"/>
      <c r="S29" s="264">
        <f t="shared" si="7"/>
        <v>0</v>
      </c>
      <c r="T29" s="252" t="str" cm="1">
        <f t="array" ref="T29">INDEX(Trad, 52, $A$20)</f>
        <v>Sauber</v>
      </c>
      <c r="U29" s="253"/>
      <c r="V29" s="253"/>
      <c r="W29" s="254"/>
      <c r="X29" s="251"/>
      <c r="Y29" s="251"/>
      <c r="Z29" s="264">
        <f t="shared" si="8"/>
        <v>0</v>
      </c>
      <c r="AA29" s="261"/>
      <c r="AB29" s="258"/>
      <c r="AC29" s="246"/>
      <c r="AD29" s="247" t="str">
        <f>IF(ISBLANK(AC29), "", VLOOKUP(AC29, Z!$A$2:$C$4127, 3, FALSE))</f>
        <v/>
      </c>
      <c r="AE29" s="262"/>
      <c r="AF29" s="263">
        <f t="shared" si="1"/>
        <v>0</v>
      </c>
      <c r="AG29" s="238"/>
      <c r="AH29" s="229">
        <f t="shared" ref="AH29" si="54">IF(ISBLANK(H29), 1, IFERROR(MATCH(H29, INDEX(Use,,1), 0), IFERROR(MATCH(H29, INDEX(Use,,2), 0), MATCH(H29, INDEX(Use,,3), 0))))</f>
        <v>1</v>
      </c>
      <c r="AI29" s="229">
        <f t="shared" ref="AI29" si="55">IF(ISBLANK(G29), 1, IFERROR(MATCH(G29, INDEX(Loc,,1), 0), IFERROR(MATCH(G29, INDEX(Loc,,2), 0), MATCH(G29, INDEX(Loc,,3), 0))))</f>
        <v>1</v>
      </c>
      <c r="AJ29" s="229">
        <f t="shared" ref="AJ29" si="56">_xlfn.IFNA(IF(IFERROR(MATCH(I29, INDEX(Medium,,1), 0), IFERROR(MATCH(I29, INDEX(Medium,,2), 0), MATCH(I29, INDEX(Medium,,3), 0))) = 2, 1, 0), 0)</f>
        <v>0</v>
      </c>
      <c r="AK29" s="229">
        <v>0</v>
      </c>
      <c r="AL29" s="229">
        <v>0</v>
      </c>
      <c r="AM29" s="229">
        <v>1</v>
      </c>
      <c r="AN29" s="229">
        <v>0</v>
      </c>
      <c r="AO29" s="229">
        <f t="shared" si="5"/>
        <v>-100</v>
      </c>
      <c r="AP29" s="238"/>
      <c r="AQ29" s="229">
        <v>-13</v>
      </c>
      <c r="AR29" s="232">
        <v>0</v>
      </c>
      <c r="AS29" s="232">
        <v>0</v>
      </c>
      <c r="AT29" s="232">
        <v>0</v>
      </c>
      <c r="AU29" s="233">
        <f t="shared" si="6"/>
        <v>0</v>
      </c>
      <c r="AV29" s="233">
        <f t="shared" si="6"/>
        <v>0</v>
      </c>
      <c r="AW29" s="233" cm="1">
        <f t="array" ref="AW29">MIN(INDEX(Use,AW$21,5) + MAX(0, (1-INDEX(Use,AW$21,5))*($AQ29-5)/(35-5)), 1)</f>
        <v>0.4</v>
      </c>
      <c r="AX29" s="233" cm="1">
        <f t="array" ref="AX29">MIN(INDEX(Use,AX$21,5) + MAX(0, (1-INDEX(Use,AX$21,5))*($AQ29-5)/(35-5)), 1)</f>
        <v>0.6</v>
      </c>
      <c r="AY29" s="233" cm="1">
        <f t="array" ref="AY29">MIN(INDEX(Use,AY$21,5) + MAX(0, (1-INDEX(Use,AY$21,5))*($AQ29-5)/(35-5)), 1)</f>
        <v>0.8</v>
      </c>
      <c r="AZ29" s="233" cm="1">
        <f t="array" ref="AZ29">MIN(INDEX(Use,AZ$21,5) + MAX(0, (1-INDEX(Use,AZ$21,5))*($AQ29-5)/(35-5)), 1)</f>
        <v>0.8</v>
      </c>
      <c r="BA29" s="233" cm="1">
        <f t="array" ref="BA29">MIN(INDEX(Use,BA$21,5) + MAX(0, (1-INDEX(Use,BA$21,5))*($AQ29-5)/(35-5)), 1)</f>
        <v>0.8</v>
      </c>
      <c r="BB29" s="233">
        <v>1</v>
      </c>
      <c r="BC29" s="233">
        <v>1</v>
      </c>
      <c r="BD29" s="211"/>
      <c r="BE29" s="229" cm="1">
        <f t="array" ref="BE29">IF(ISBLANK(R29), INDEX(Use, $AH29, 4) - AM29*INDEX(Use, $AH29, 6), R29)</f>
        <v>5</v>
      </c>
      <c r="BF29" s="229">
        <f t="shared" si="12"/>
        <v>30</v>
      </c>
      <c r="BG29" s="229">
        <f t="shared" si="13"/>
        <v>13</v>
      </c>
      <c r="BH29" s="229">
        <f t="shared" si="14"/>
        <v>0</v>
      </c>
      <c r="BI29" s="234" cm="1">
        <f t="array" ref="BI29">K29/IF($L29&gt;0, INDEX($AU$23:$BA$77, $L29+20, $AH29), 1)</f>
        <v>0</v>
      </c>
      <c r="BJ29" s="230">
        <f t="shared" si="15"/>
        <v>0</v>
      </c>
      <c r="BK29" s="229">
        <v>35</v>
      </c>
      <c r="BL29" s="230">
        <f t="shared" si="16"/>
        <v>48</v>
      </c>
      <c r="BM29" s="235">
        <f t="shared" si="17"/>
        <v>2.9108720930232557</v>
      </c>
      <c r="BN29" s="235" cm="1">
        <f t="array" ref="BN29">$BI29 * SUMPRODUCT(INDEX($AR$77:$AT$82,,$AI29),INDEX($AU$77:$BA$82,,$AH29), N($AQ$77:$AQ$82&gt;$AO29)) / BM29 / 1000</f>
        <v>0</v>
      </c>
      <c r="BO29" s="232">
        <f t="shared" si="18"/>
        <v>30</v>
      </c>
      <c r="BP29" s="230">
        <f t="shared" si="19"/>
        <v>43</v>
      </c>
      <c r="BQ29" s="235">
        <f t="shared" si="20"/>
        <v>3.2938815789473681</v>
      </c>
      <c r="BR29" s="235" cm="1">
        <f t="array" ref="BR29">$BI29 * IF($AH29&lt;=2,
SUMPRODUCT(INDEX($AR$72:$AT$76,,$AI29), INDEX($AU$72:$BA$76,,$AH29), 1 / ($BB$72:$BB$76*BQ29 + (1-$BB$72:$BB$76)*BM29), N($AQ$72:$AQ$76&gt;$AO29)),
SUMPRODUCT(INDEX($AR$67:$AT$76,,$AI29), INDEX($AU$67:$BA$76,,$AH29), 1 / ($BC$67:$BC$76*BQ29 + (1-$BC$67:$BC$76)*BM29), N($AQ$67:$AQ$76&gt;$AO29))
) / 1000</f>
        <v>0</v>
      </c>
      <c r="BS29" s="232">
        <f t="shared" si="21"/>
        <v>25</v>
      </c>
      <c r="BT29" s="230">
        <f t="shared" si="22"/>
        <v>38</v>
      </c>
      <c r="BU29" s="235">
        <f t="shared" si="23"/>
        <v>3.792954545454545</v>
      </c>
      <c r="BV29" s="235" cm="1">
        <f t="array" ref="BV29">$BI29 * IF($AH29&lt;=2,
SUMPRODUCT(INDEX($AR$67:$AT$71,,$AI29), INDEX($AU$67:$BA$71,,$AH29), 1 / ($BB$67:$BB$71*BU29 + (1-$BB$67:$BB$71)*BQ29), N($AQ$67:$AQ$71&gt;$AO29)),
SUMPRODUCT(INDEX($AR$57:$AT$66,,$AI29), INDEX($AU$57:$BA$66,,$AH29), 1 / ($BC$57:$BC$66*BU29 + (1-$BC$57:$BC$66)*BQ29), N($AQ$57:$AQ$66&gt;$AO29))
) / 1000</f>
        <v>0</v>
      </c>
      <c r="BW29" s="232">
        <f t="shared" si="24"/>
        <v>20</v>
      </c>
      <c r="BX29" s="230">
        <f t="shared" si="25"/>
        <v>33</v>
      </c>
      <c r="BY29" s="235">
        <f t="shared" si="26"/>
        <v>4.4702678571428569</v>
      </c>
      <c r="BZ29" s="235" cm="1">
        <f t="array" ref="BZ29">$BI29 * IF($AH29&lt;=2,
SUMPRODUCT(INDEX($AR$62:$AT$66,,$AI29), INDEX($AU$62:$BA$66,,$AH29), 1 / ($BB$62:$BB$66*BY29 + (1-$BB$62:$BB$66)*BU29), N($AQ$62:$AQ$66&gt;$AO29)),
SUMPRODUCT(INDEX($AR$47:$AT$56,,$AI29), INDEX($AU$47:$BA$56,,$AH29), 1 / ($BC$47:$BC$56*BY29 + (1-$BC$47:$BC$56)*BU29), N($AQ$47:$AQ$56&gt;$AO29))
) / 1000</f>
        <v>0</v>
      </c>
      <c r="CA29" s="235" cm="1">
        <f t="array" ref="CA29">$BI29 * IF($AH29&lt;=2,
SUMPRODUCT(INDEX($AR$23:$AT$61,,$AI29), INDEX($AU$23:$BA$61,,$AH29), 1 / ($BB$23:$BB$61*BY29), N($AQ$23:$AQ$61&gt;$AO29)),
SUMPRODUCT(INDEX($AR$23:$AT$46,,$AI29), INDEX($AU$23:$BA$46,,$AH29), 1 / ($BC$23:$BC$46*BY29), N($AQ$23:$AQ$46&gt;$AO29))
) / 1000</f>
        <v>0</v>
      </c>
      <c r="CB29" s="230">
        <f t="shared" si="27"/>
        <v>0</v>
      </c>
      <c r="CC29" s="238"/>
      <c r="CD29" s="229" cm="1">
        <f t="array" ref="CD29">IF(ISBLANK(Y29), INDEX(Use, $AH29, 4) - AN29*INDEX(Use, $AH29, 6) - (Q29-X29), Y29)</f>
        <v>7</v>
      </c>
      <c r="CE29" s="229">
        <f t="shared" si="28"/>
        <v>32</v>
      </c>
      <c r="CF29" s="230">
        <f t="shared" si="29"/>
        <v>0</v>
      </c>
      <c r="CG29" s="229">
        <v>35</v>
      </c>
      <c r="CH29" s="230">
        <f t="shared" si="30"/>
        <v>48</v>
      </c>
      <c r="CI29" s="235">
        <f t="shared" si="31"/>
        <v>3.0748170731707316</v>
      </c>
      <c r="CJ29" s="235" cm="1">
        <f t="array" ref="CJ29">$BI29 * SUMPRODUCT(INDEX($AR$77:$AT$82,,$AI29),INDEX($AU$77:$BA$82,,$AH29), N($AQ$77:$AQ$82&gt;$AO29)) / CI29 / 1000</f>
        <v>0</v>
      </c>
      <c r="CK29" s="232">
        <f t="shared" si="32"/>
        <v>30</v>
      </c>
      <c r="CL29" s="230">
        <f t="shared" si="33"/>
        <v>43</v>
      </c>
      <c r="CM29" s="235">
        <f t="shared" si="34"/>
        <v>3.5018750000000001</v>
      </c>
      <c r="CN29" s="235" cm="1">
        <f t="array" ref="CN29">$BI29 * IF($AH29&lt;=2,
SUMPRODUCT(INDEX($AR$72:$AT$76,,$AI29), INDEX($AU$72:$BA$76,,$AH29), 1 / ($BB$72:$BB$76*CM29 + (1-$BB$72:$BB$76)*CI29), N($AQ$72:$AQ$76&gt;$AO29)),
SUMPRODUCT(INDEX($AR$67:$AT$76,,$AI29), INDEX($AU$67:$BA$76,,$AH29), 1 / ($BC$67:$BC$76*CM29 + (1-$BC$67:$BC$76)*CI29), N($AQ$67:$AQ$76&gt;$AO29))
) / 1000</f>
        <v>0</v>
      </c>
      <c r="CO29" s="232">
        <f t="shared" si="35"/>
        <v>25</v>
      </c>
      <c r="CP29" s="230">
        <f t="shared" si="36"/>
        <v>38</v>
      </c>
      <c r="CQ29" s="235">
        <f t="shared" si="37"/>
        <v>4.0666935483870965</v>
      </c>
      <c r="CR29" s="235" cm="1">
        <f t="array" ref="CR29">$BI29 * IF($AH29&lt;=2,
SUMPRODUCT(INDEX($AR$67:$AT$71,,$AI29), INDEX($AU$67:$BA$71,,$AH29), 1 / ($BB$67:$BB$71*CQ29 + (1-$BB$67:$BB$71)*CM29), N($AQ$67:$AQ$71&gt;$AO29)),
SUMPRODUCT(INDEX($AR$57:$AT$66,,$AI29), INDEX($AU$57:$BA$66,,$AH29), 1 / ($BC$57:$BC$66*CQ29 + (1-$BC$57:$BC$66)*CM29), N($AQ$57:$AQ$66&gt;$AO29))
) / 1000</f>
        <v>0</v>
      </c>
      <c r="CS29" s="232">
        <f t="shared" si="38"/>
        <v>20</v>
      </c>
      <c r="CT29" s="230">
        <f t="shared" si="39"/>
        <v>33</v>
      </c>
      <c r="CU29" s="235">
        <f t="shared" si="40"/>
        <v>4.8487499999999999</v>
      </c>
      <c r="CV29" s="235" cm="1">
        <f t="array" ref="CV29">$BI29 * IF($AH29&lt;=2,
SUMPRODUCT(INDEX($AR$62:$AT$66,,$AI29), INDEX($AU$62:$BA$66,,$AH29), 1 / ($BB$62:$BB$66*CU29 + (1-$BB$62:$BB$66)*CQ29), N($AQ$62:$AQ$66&gt;$AO29)),
SUMPRODUCT(INDEX($AR$47:$AT$56,,$AI29), INDEX($AU$47:$BA$56,,$AH29), 1 / ($BC$47:$BC$56*CU29 + (1-$BC$47:$BC$56)*CQ29), N($AQ$47:$AQ$56&gt;$AO29))
) / 1000</f>
        <v>0</v>
      </c>
      <c r="CW29" s="235" cm="1">
        <f t="array" ref="CW29">$BI29 * IF($AH29&lt;=2,
SUMPRODUCT(INDEX($AR$23:$AT$61,,$AI29), INDEX($AU$23:$BA$61,,$AH29), 1 / ($BB$23:$BB$61*CU29), N($AQ$23:$AQ$61&gt;$AO29)),
SUMPRODUCT(INDEX($AR$23:$AT$46,,$AI29), INDEX($AU$23:$BA$46,,$AH29), 1 / ($BC$23:$BC$46*CU29), N($AQ$23:$AQ$46&gt;$AO29))
) / 1000</f>
        <v>0</v>
      </c>
      <c r="CX29" s="230">
        <f t="shared" si="41"/>
        <v>0</v>
      </c>
      <c r="CY29" s="238"/>
    </row>
    <row r="30" spans="1:103" s="76" customFormat="1" ht="14.25" customHeight="1" x14ac:dyDescent="0.25">
      <c r="A30" s="231" t="b">
        <f t="shared" si="0"/>
        <v>0</v>
      </c>
      <c r="B30" s="245">
        <v>8</v>
      </c>
      <c r="C30" s="258"/>
      <c r="D30" s="258"/>
      <c r="E30" s="246"/>
      <c r="F30" s="247" t="str">
        <f>IF(ISBLANK(E30), "", VLOOKUP(E30, Z!$A$2:$C$4127, 3, FALSE))</f>
        <v/>
      </c>
      <c r="G30" s="248"/>
      <c r="H30" s="248"/>
      <c r="I30" s="249"/>
      <c r="J30" s="250"/>
      <c r="K30" s="259"/>
      <c r="L30" s="260"/>
      <c r="M30" s="252" t="str" cm="1">
        <f t="array" ref="M30">INDEX(Trad, 53, $A$20)</f>
        <v>Verschmutzt</v>
      </c>
      <c r="N30" s="253"/>
      <c r="O30" s="253"/>
      <c r="P30" s="254"/>
      <c r="Q30" s="251"/>
      <c r="R30" s="251"/>
      <c r="S30" s="264">
        <f t="shared" si="7"/>
        <v>0</v>
      </c>
      <c r="T30" s="252" t="str" cm="1">
        <f t="array" ref="T30">INDEX(Trad, 52, $A$20)</f>
        <v>Sauber</v>
      </c>
      <c r="U30" s="253"/>
      <c r="V30" s="253"/>
      <c r="W30" s="254"/>
      <c r="X30" s="251"/>
      <c r="Y30" s="251"/>
      <c r="Z30" s="264">
        <f t="shared" si="8"/>
        <v>0</v>
      </c>
      <c r="AA30" s="261"/>
      <c r="AB30" s="258"/>
      <c r="AC30" s="246"/>
      <c r="AD30" s="247" t="str">
        <f>IF(ISBLANK(AC30), "", VLOOKUP(AC30, Z!$A$2:$C$4127, 3, FALSE))</f>
        <v/>
      </c>
      <c r="AE30" s="262"/>
      <c r="AF30" s="263">
        <f t="shared" si="1"/>
        <v>0</v>
      </c>
      <c r="AG30" s="238"/>
      <c r="AH30" s="229">
        <f t="shared" ref="AH30" si="57">IF(ISBLANK(H30), 1, IFERROR(MATCH(H30, INDEX(Use,,1), 0), IFERROR(MATCH(H30, INDEX(Use,,2), 0), MATCH(H30, INDEX(Use,,3), 0))))</f>
        <v>1</v>
      </c>
      <c r="AI30" s="229">
        <f t="shared" ref="AI30" si="58">IF(ISBLANK(G30), 1, IFERROR(MATCH(G30, INDEX(Loc,,1), 0), IFERROR(MATCH(G30, INDEX(Loc,,2), 0), MATCH(G30, INDEX(Loc,,3), 0))))</f>
        <v>1</v>
      </c>
      <c r="AJ30" s="229">
        <f t="shared" ref="AJ30" si="59">_xlfn.IFNA(IF(IFERROR(MATCH(I30, INDEX(Medium,,1), 0), IFERROR(MATCH(I30, INDEX(Medium,,2), 0), MATCH(I30, INDEX(Medium,,3), 0))) = 2, 1, 0), 0)</f>
        <v>0</v>
      </c>
      <c r="AK30" s="229">
        <v>0</v>
      </c>
      <c r="AL30" s="229">
        <v>0</v>
      </c>
      <c r="AM30" s="229">
        <v>1</v>
      </c>
      <c r="AN30" s="229">
        <v>0</v>
      </c>
      <c r="AO30" s="229">
        <f t="shared" si="5"/>
        <v>-100</v>
      </c>
      <c r="AP30" s="238"/>
      <c r="AQ30" s="229">
        <v>-12</v>
      </c>
      <c r="AR30" s="232">
        <v>0</v>
      </c>
      <c r="AS30" s="232">
        <v>0</v>
      </c>
      <c r="AT30" s="232">
        <v>0</v>
      </c>
      <c r="AU30" s="233">
        <f t="shared" si="6"/>
        <v>0</v>
      </c>
      <c r="AV30" s="233">
        <f t="shared" si="6"/>
        <v>0</v>
      </c>
      <c r="AW30" s="233" cm="1">
        <f t="array" ref="AW30">MIN(INDEX(Use,AW$21,5) + MAX(0, (1-INDEX(Use,AW$21,5))*($AQ30-5)/(35-5)), 1)</f>
        <v>0.4</v>
      </c>
      <c r="AX30" s="233" cm="1">
        <f t="array" ref="AX30">MIN(INDEX(Use,AX$21,5) + MAX(0, (1-INDEX(Use,AX$21,5))*($AQ30-5)/(35-5)), 1)</f>
        <v>0.6</v>
      </c>
      <c r="AY30" s="233" cm="1">
        <f t="array" ref="AY30">MIN(INDEX(Use,AY$21,5) + MAX(0, (1-INDEX(Use,AY$21,5))*($AQ30-5)/(35-5)), 1)</f>
        <v>0.8</v>
      </c>
      <c r="AZ30" s="233" cm="1">
        <f t="array" ref="AZ30">MIN(INDEX(Use,AZ$21,5) + MAX(0, (1-INDEX(Use,AZ$21,5))*($AQ30-5)/(35-5)), 1)</f>
        <v>0.8</v>
      </c>
      <c r="BA30" s="233" cm="1">
        <f t="array" ref="BA30">MIN(INDEX(Use,BA$21,5) + MAX(0, (1-INDEX(Use,BA$21,5))*($AQ30-5)/(35-5)), 1)</f>
        <v>0.8</v>
      </c>
      <c r="BB30" s="233">
        <v>1</v>
      </c>
      <c r="BC30" s="233">
        <v>1</v>
      </c>
      <c r="BD30" s="211"/>
      <c r="BE30" s="229" cm="1">
        <f t="array" ref="BE30">IF(ISBLANK(R30), INDEX(Use, $AH30, 4) - AM30*INDEX(Use, $AH30, 6), R30)</f>
        <v>5</v>
      </c>
      <c r="BF30" s="229">
        <f t="shared" si="12"/>
        <v>30</v>
      </c>
      <c r="BG30" s="229">
        <f t="shared" si="13"/>
        <v>13</v>
      </c>
      <c r="BH30" s="229">
        <f t="shared" si="14"/>
        <v>0</v>
      </c>
      <c r="BI30" s="234" cm="1">
        <f t="array" ref="BI30">K30/IF($L30&gt;0, INDEX($AU$23:$BA$77, $L30+20, $AH30), 1)</f>
        <v>0</v>
      </c>
      <c r="BJ30" s="230">
        <f t="shared" si="15"/>
        <v>0</v>
      </c>
      <c r="BK30" s="229">
        <v>35</v>
      </c>
      <c r="BL30" s="230">
        <f t="shared" si="16"/>
        <v>48</v>
      </c>
      <c r="BM30" s="235">
        <f t="shared" si="17"/>
        <v>2.9108720930232557</v>
      </c>
      <c r="BN30" s="235" cm="1">
        <f t="array" ref="BN30">$BI30 * SUMPRODUCT(INDEX($AR$77:$AT$82,,$AI30),INDEX($AU$77:$BA$82,,$AH30), N($AQ$77:$AQ$82&gt;$AO30)) / BM30 / 1000</f>
        <v>0</v>
      </c>
      <c r="BO30" s="232">
        <f t="shared" si="18"/>
        <v>30</v>
      </c>
      <c r="BP30" s="230">
        <f t="shared" si="19"/>
        <v>43</v>
      </c>
      <c r="BQ30" s="235">
        <f t="shared" si="20"/>
        <v>3.2938815789473681</v>
      </c>
      <c r="BR30" s="235" cm="1">
        <f t="array" ref="BR30">$BI30 * IF($AH30&lt;=2,
SUMPRODUCT(INDEX($AR$72:$AT$76,,$AI30), INDEX($AU$72:$BA$76,,$AH30), 1 / ($BB$72:$BB$76*BQ30 + (1-$BB$72:$BB$76)*BM30), N($AQ$72:$AQ$76&gt;$AO30)),
SUMPRODUCT(INDEX($AR$67:$AT$76,,$AI30), INDEX($AU$67:$BA$76,,$AH30), 1 / ($BC$67:$BC$76*BQ30 + (1-$BC$67:$BC$76)*BM30), N($AQ$67:$AQ$76&gt;$AO30))
) / 1000</f>
        <v>0</v>
      </c>
      <c r="BS30" s="232">
        <f t="shared" si="21"/>
        <v>25</v>
      </c>
      <c r="BT30" s="230">
        <f t="shared" si="22"/>
        <v>38</v>
      </c>
      <c r="BU30" s="235">
        <f t="shared" si="23"/>
        <v>3.792954545454545</v>
      </c>
      <c r="BV30" s="235" cm="1">
        <f t="array" ref="BV30">$BI30 * IF($AH30&lt;=2,
SUMPRODUCT(INDEX($AR$67:$AT$71,,$AI30), INDEX($AU$67:$BA$71,,$AH30), 1 / ($BB$67:$BB$71*BU30 + (1-$BB$67:$BB$71)*BQ30), N($AQ$67:$AQ$71&gt;$AO30)),
SUMPRODUCT(INDEX($AR$57:$AT$66,,$AI30), INDEX($AU$57:$BA$66,,$AH30), 1 / ($BC$57:$BC$66*BU30 + (1-$BC$57:$BC$66)*BQ30), N($AQ$57:$AQ$66&gt;$AO30))
) / 1000</f>
        <v>0</v>
      </c>
      <c r="BW30" s="232">
        <f t="shared" si="24"/>
        <v>20</v>
      </c>
      <c r="BX30" s="230">
        <f t="shared" si="25"/>
        <v>33</v>
      </c>
      <c r="BY30" s="235">
        <f t="shared" si="26"/>
        <v>4.4702678571428569</v>
      </c>
      <c r="BZ30" s="235" cm="1">
        <f t="array" ref="BZ30">$BI30 * IF($AH30&lt;=2,
SUMPRODUCT(INDEX($AR$62:$AT$66,,$AI30), INDEX($AU$62:$BA$66,,$AH30), 1 / ($BB$62:$BB$66*BY30 + (1-$BB$62:$BB$66)*BU30), N($AQ$62:$AQ$66&gt;$AO30)),
SUMPRODUCT(INDEX($AR$47:$AT$56,,$AI30), INDEX($AU$47:$BA$56,,$AH30), 1 / ($BC$47:$BC$56*BY30 + (1-$BC$47:$BC$56)*BU30), N($AQ$47:$AQ$56&gt;$AO30))
) / 1000</f>
        <v>0</v>
      </c>
      <c r="CA30" s="235" cm="1">
        <f t="array" ref="CA30">$BI30 * IF($AH30&lt;=2,
SUMPRODUCT(INDEX($AR$23:$AT$61,,$AI30), INDEX($AU$23:$BA$61,,$AH30), 1 / ($BB$23:$BB$61*BY30), N($AQ$23:$AQ$61&gt;$AO30)),
SUMPRODUCT(INDEX($AR$23:$AT$46,,$AI30), INDEX($AU$23:$BA$46,,$AH30), 1 / ($BC$23:$BC$46*BY30), N($AQ$23:$AQ$46&gt;$AO30))
) / 1000</f>
        <v>0</v>
      </c>
      <c r="CB30" s="230">
        <f t="shared" si="27"/>
        <v>0</v>
      </c>
      <c r="CC30" s="238"/>
      <c r="CD30" s="229" cm="1">
        <f t="array" ref="CD30">IF(ISBLANK(Y30), INDEX(Use, $AH30, 4) - AN30*INDEX(Use, $AH30, 6) - (Q30-X30), Y30)</f>
        <v>7</v>
      </c>
      <c r="CE30" s="229">
        <f t="shared" si="28"/>
        <v>32</v>
      </c>
      <c r="CF30" s="230">
        <f t="shared" si="29"/>
        <v>0</v>
      </c>
      <c r="CG30" s="229">
        <v>35</v>
      </c>
      <c r="CH30" s="230">
        <f t="shared" si="30"/>
        <v>48</v>
      </c>
      <c r="CI30" s="235">
        <f t="shared" si="31"/>
        <v>3.0748170731707316</v>
      </c>
      <c r="CJ30" s="235" cm="1">
        <f t="array" ref="CJ30">$BI30 * SUMPRODUCT(INDEX($AR$77:$AT$82,,$AI30),INDEX($AU$77:$BA$82,,$AH30), N($AQ$77:$AQ$82&gt;$AO30)) / CI30 / 1000</f>
        <v>0</v>
      </c>
      <c r="CK30" s="232">
        <f t="shared" si="32"/>
        <v>30</v>
      </c>
      <c r="CL30" s="230">
        <f t="shared" si="33"/>
        <v>43</v>
      </c>
      <c r="CM30" s="235">
        <f t="shared" si="34"/>
        <v>3.5018750000000001</v>
      </c>
      <c r="CN30" s="235" cm="1">
        <f t="array" ref="CN30">$BI30 * IF($AH30&lt;=2,
SUMPRODUCT(INDEX($AR$72:$AT$76,,$AI30), INDEX($AU$72:$BA$76,,$AH30), 1 / ($BB$72:$BB$76*CM30 + (1-$BB$72:$BB$76)*CI30), N($AQ$72:$AQ$76&gt;$AO30)),
SUMPRODUCT(INDEX($AR$67:$AT$76,,$AI30), INDEX($AU$67:$BA$76,,$AH30), 1 / ($BC$67:$BC$76*CM30 + (1-$BC$67:$BC$76)*CI30), N($AQ$67:$AQ$76&gt;$AO30))
) / 1000</f>
        <v>0</v>
      </c>
      <c r="CO30" s="232">
        <f t="shared" si="35"/>
        <v>25</v>
      </c>
      <c r="CP30" s="230">
        <f t="shared" si="36"/>
        <v>38</v>
      </c>
      <c r="CQ30" s="235">
        <f t="shared" si="37"/>
        <v>4.0666935483870965</v>
      </c>
      <c r="CR30" s="235" cm="1">
        <f t="array" ref="CR30">$BI30 * IF($AH30&lt;=2,
SUMPRODUCT(INDEX($AR$67:$AT$71,,$AI30), INDEX($AU$67:$BA$71,,$AH30), 1 / ($BB$67:$BB$71*CQ30 + (1-$BB$67:$BB$71)*CM30), N($AQ$67:$AQ$71&gt;$AO30)),
SUMPRODUCT(INDEX($AR$57:$AT$66,,$AI30), INDEX($AU$57:$BA$66,,$AH30), 1 / ($BC$57:$BC$66*CQ30 + (1-$BC$57:$BC$66)*CM30), N($AQ$57:$AQ$66&gt;$AO30))
) / 1000</f>
        <v>0</v>
      </c>
      <c r="CS30" s="232">
        <f t="shared" si="38"/>
        <v>20</v>
      </c>
      <c r="CT30" s="230">
        <f t="shared" si="39"/>
        <v>33</v>
      </c>
      <c r="CU30" s="235">
        <f t="shared" si="40"/>
        <v>4.8487499999999999</v>
      </c>
      <c r="CV30" s="235" cm="1">
        <f t="array" ref="CV30">$BI30 * IF($AH30&lt;=2,
SUMPRODUCT(INDEX($AR$62:$AT$66,,$AI30), INDEX($AU$62:$BA$66,,$AH30), 1 / ($BB$62:$BB$66*CU30 + (1-$BB$62:$BB$66)*CQ30), N($AQ$62:$AQ$66&gt;$AO30)),
SUMPRODUCT(INDEX($AR$47:$AT$56,,$AI30), INDEX($AU$47:$BA$56,,$AH30), 1 / ($BC$47:$BC$56*CU30 + (1-$BC$47:$BC$56)*CQ30), N($AQ$47:$AQ$56&gt;$AO30))
) / 1000</f>
        <v>0</v>
      </c>
      <c r="CW30" s="235" cm="1">
        <f t="array" ref="CW30">$BI30 * IF($AH30&lt;=2,
SUMPRODUCT(INDEX($AR$23:$AT$61,,$AI30), INDEX($AU$23:$BA$61,,$AH30), 1 / ($BB$23:$BB$61*CU30), N($AQ$23:$AQ$61&gt;$AO30)),
SUMPRODUCT(INDEX($AR$23:$AT$46,,$AI30), INDEX($AU$23:$BA$46,,$AH30), 1 / ($BC$23:$BC$46*CU30), N($AQ$23:$AQ$46&gt;$AO30))
) / 1000</f>
        <v>0</v>
      </c>
      <c r="CX30" s="230">
        <f t="shared" si="41"/>
        <v>0</v>
      </c>
      <c r="CY30" s="238"/>
    </row>
    <row r="31" spans="1:103" s="76" customFormat="1" ht="14.25" customHeight="1" x14ac:dyDescent="0.25">
      <c r="A31" s="231" t="b">
        <f t="shared" si="0"/>
        <v>0</v>
      </c>
      <c r="B31" s="245">
        <v>9</v>
      </c>
      <c r="C31" s="258"/>
      <c r="D31" s="258"/>
      <c r="E31" s="246"/>
      <c r="F31" s="247" t="str">
        <f>IF(ISBLANK(E31), "", VLOOKUP(E31, Z!$A$2:$C$4127, 3, FALSE))</f>
        <v/>
      </c>
      <c r="G31" s="248"/>
      <c r="H31" s="248"/>
      <c r="I31" s="249"/>
      <c r="J31" s="250"/>
      <c r="K31" s="259"/>
      <c r="L31" s="260"/>
      <c r="M31" s="252" t="str" cm="1">
        <f t="array" ref="M31">INDEX(Trad, 53, $A$20)</f>
        <v>Verschmutzt</v>
      </c>
      <c r="N31" s="253"/>
      <c r="O31" s="253"/>
      <c r="P31" s="254"/>
      <c r="Q31" s="251"/>
      <c r="R31" s="251"/>
      <c r="S31" s="264">
        <f t="shared" si="7"/>
        <v>0</v>
      </c>
      <c r="T31" s="252" t="str" cm="1">
        <f t="array" ref="T31">INDEX(Trad, 52, $A$20)</f>
        <v>Sauber</v>
      </c>
      <c r="U31" s="253"/>
      <c r="V31" s="253"/>
      <c r="W31" s="254"/>
      <c r="X31" s="251"/>
      <c r="Y31" s="251"/>
      <c r="Z31" s="264">
        <f t="shared" si="8"/>
        <v>0</v>
      </c>
      <c r="AA31" s="261"/>
      <c r="AB31" s="258"/>
      <c r="AC31" s="246"/>
      <c r="AD31" s="247" t="str">
        <f>IF(ISBLANK(AC31), "", VLOOKUP(AC31, Z!$A$2:$C$4127, 3, FALSE))</f>
        <v/>
      </c>
      <c r="AE31" s="262"/>
      <c r="AF31" s="263">
        <f t="shared" si="1"/>
        <v>0</v>
      </c>
      <c r="AG31" s="238"/>
      <c r="AH31" s="229">
        <f t="shared" ref="AH31" si="60">IF(ISBLANK(H31), 1, IFERROR(MATCH(H31, INDEX(Use,,1), 0), IFERROR(MATCH(H31, INDEX(Use,,2), 0), MATCH(H31, INDEX(Use,,3), 0))))</f>
        <v>1</v>
      </c>
      <c r="AI31" s="229">
        <f t="shared" ref="AI31" si="61">IF(ISBLANK(G31), 1, IFERROR(MATCH(G31, INDEX(Loc,,1), 0), IFERROR(MATCH(G31, INDEX(Loc,,2), 0), MATCH(G31, INDEX(Loc,,3), 0))))</f>
        <v>1</v>
      </c>
      <c r="AJ31" s="229">
        <f t="shared" ref="AJ31" si="62">_xlfn.IFNA(IF(IFERROR(MATCH(I31, INDEX(Medium,,1), 0), IFERROR(MATCH(I31, INDEX(Medium,,2), 0), MATCH(I31, INDEX(Medium,,3), 0))) = 2, 1, 0), 0)</f>
        <v>0</v>
      </c>
      <c r="AK31" s="229">
        <v>0</v>
      </c>
      <c r="AL31" s="229">
        <v>0</v>
      </c>
      <c r="AM31" s="229">
        <v>1</v>
      </c>
      <c r="AN31" s="229">
        <v>0</v>
      </c>
      <c r="AO31" s="229">
        <f t="shared" si="5"/>
        <v>-100</v>
      </c>
      <c r="AP31" s="238"/>
      <c r="AQ31" s="229">
        <v>-11</v>
      </c>
      <c r="AR31" s="232">
        <v>0</v>
      </c>
      <c r="AS31" s="232">
        <v>0</v>
      </c>
      <c r="AT31" s="232">
        <v>0</v>
      </c>
      <c r="AU31" s="233">
        <f t="shared" si="6"/>
        <v>0</v>
      </c>
      <c r="AV31" s="233">
        <f t="shared" si="6"/>
        <v>0</v>
      </c>
      <c r="AW31" s="233" cm="1">
        <f t="array" ref="AW31">MIN(INDEX(Use,AW$21,5) + MAX(0, (1-INDEX(Use,AW$21,5))*($AQ31-5)/(35-5)), 1)</f>
        <v>0.4</v>
      </c>
      <c r="AX31" s="233" cm="1">
        <f t="array" ref="AX31">MIN(INDEX(Use,AX$21,5) + MAX(0, (1-INDEX(Use,AX$21,5))*($AQ31-5)/(35-5)), 1)</f>
        <v>0.6</v>
      </c>
      <c r="AY31" s="233" cm="1">
        <f t="array" ref="AY31">MIN(INDEX(Use,AY$21,5) + MAX(0, (1-INDEX(Use,AY$21,5))*($AQ31-5)/(35-5)), 1)</f>
        <v>0.8</v>
      </c>
      <c r="AZ31" s="233" cm="1">
        <f t="array" ref="AZ31">MIN(INDEX(Use,AZ$21,5) + MAX(0, (1-INDEX(Use,AZ$21,5))*($AQ31-5)/(35-5)), 1)</f>
        <v>0.8</v>
      </c>
      <c r="BA31" s="233" cm="1">
        <f t="array" ref="BA31">MIN(INDEX(Use,BA$21,5) + MAX(0, (1-INDEX(Use,BA$21,5))*($AQ31-5)/(35-5)), 1)</f>
        <v>0.8</v>
      </c>
      <c r="BB31" s="233">
        <v>1</v>
      </c>
      <c r="BC31" s="233">
        <v>1</v>
      </c>
      <c r="BD31" s="211"/>
      <c r="BE31" s="229" cm="1">
        <f t="array" ref="BE31">IF(ISBLANK(R31), INDEX(Use, $AH31, 4) - AM31*INDEX(Use, $AH31, 6), R31)</f>
        <v>5</v>
      </c>
      <c r="BF31" s="229">
        <f t="shared" si="12"/>
        <v>30</v>
      </c>
      <c r="BG31" s="229">
        <f t="shared" si="13"/>
        <v>13</v>
      </c>
      <c r="BH31" s="229">
        <f t="shared" si="14"/>
        <v>0</v>
      </c>
      <c r="BI31" s="234" cm="1">
        <f t="array" ref="BI31">K31/IF($L31&gt;0, INDEX($AU$23:$BA$77, $L31+20, $AH31), 1)</f>
        <v>0</v>
      </c>
      <c r="BJ31" s="230">
        <f t="shared" si="15"/>
        <v>0</v>
      </c>
      <c r="BK31" s="229">
        <v>35</v>
      </c>
      <c r="BL31" s="230">
        <f t="shared" si="16"/>
        <v>48</v>
      </c>
      <c r="BM31" s="235">
        <f t="shared" si="17"/>
        <v>2.9108720930232557</v>
      </c>
      <c r="BN31" s="235" cm="1">
        <f t="array" ref="BN31">$BI31 * SUMPRODUCT(INDEX($AR$77:$AT$82,,$AI31),INDEX($AU$77:$BA$82,,$AH31), N($AQ$77:$AQ$82&gt;$AO31)) / BM31 / 1000</f>
        <v>0</v>
      </c>
      <c r="BO31" s="232">
        <f t="shared" si="18"/>
        <v>30</v>
      </c>
      <c r="BP31" s="230">
        <f t="shared" si="19"/>
        <v>43</v>
      </c>
      <c r="BQ31" s="235">
        <f t="shared" si="20"/>
        <v>3.2938815789473681</v>
      </c>
      <c r="BR31" s="235" cm="1">
        <f t="array" ref="BR31">$BI31 * IF($AH31&lt;=2,
SUMPRODUCT(INDEX($AR$72:$AT$76,,$AI31), INDEX($AU$72:$BA$76,,$AH31), 1 / ($BB$72:$BB$76*BQ31 + (1-$BB$72:$BB$76)*BM31), N($AQ$72:$AQ$76&gt;$AO31)),
SUMPRODUCT(INDEX($AR$67:$AT$76,,$AI31), INDEX($AU$67:$BA$76,,$AH31), 1 / ($BC$67:$BC$76*BQ31 + (1-$BC$67:$BC$76)*BM31), N($AQ$67:$AQ$76&gt;$AO31))
) / 1000</f>
        <v>0</v>
      </c>
      <c r="BS31" s="232">
        <f t="shared" si="21"/>
        <v>25</v>
      </c>
      <c r="BT31" s="230">
        <f t="shared" si="22"/>
        <v>38</v>
      </c>
      <c r="BU31" s="235">
        <f t="shared" si="23"/>
        <v>3.792954545454545</v>
      </c>
      <c r="BV31" s="235" cm="1">
        <f t="array" ref="BV31">$BI31 * IF($AH31&lt;=2,
SUMPRODUCT(INDEX($AR$67:$AT$71,,$AI31), INDEX($AU$67:$BA$71,,$AH31), 1 / ($BB$67:$BB$71*BU31 + (1-$BB$67:$BB$71)*BQ31), N($AQ$67:$AQ$71&gt;$AO31)),
SUMPRODUCT(INDEX($AR$57:$AT$66,,$AI31), INDEX($AU$57:$BA$66,,$AH31), 1 / ($BC$57:$BC$66*BU31 + (1-$BC$57:$BC$66)*BQ31), N($AQ$57:$AQ$66&gt;$AO31))
) / 1000</f>
        <v>0</v>
      </c>
      <c r="BW31" s="232">
        <f t="shared" si="24"/>
        <v>20</v>
      </c>
      <c r="BX31" s="230">
        <f t="shared" si="25"/>
        <v>33</v>
      </c>
      <c r="BY31" s="235">
        <f t="shared" si="26"/>
        <v>4.4702678571428569</v>
      </c>
      <c r="BZ31" s="235" cm="1">
        <f t="array" ref="BZ31">$BI31 * IF($AH31&lt;=2,
SUMPRODUCT(INDEX($AR$62:$AT$66,,$AI31), INDEX($AU$62:$BA$66,,$AH31), 1 / ($BB$62:$BB$66*BY31 + (1-$BB$62:$BB$66)*BU31), N($AQ$62:$AQ$66&gt;$AO31)),
SUMPRODUCT(INDEX($AR$47:$AT$56,,$AI31), INDEX($AU$47:$BA$56,,$AH31), 1 / ($BC$47:$BC$56*BY31 + (1-$BC$47:$BC$56)*BU31), N($AQ$47:$AQ$56&gt;$AO31))
) / 1000</f>
        <v>0</v>
      </c>
      <c r="CA31" s="235" cm="1">
        <f t="array" ref="CA31">$BI31 * IF($AH31&lt;=2,
SUMPRODUCT(INDEX($AR$23:$AT$61,,$AI31), INDEX($AU$23:$BA$61,,$AH31), 1 / ($BB$23:$BB$61*BY31), N($AQ$23:$AQ$61&gt;$AO31)),
SUMPRODUCT(INDEX($AR$23:$AT$46,,$AI31), INDEX($AU$23:$BA$46,,$AH31), 1 / ($BC$23:$BC$46*BY31), N($AQ$23:$AQ$46&gt;$AO31))
) / 1000</f>
        <v>0</v>
      </c>
      <c r="CB31" s="230">
        <f t="shared" si="27"/>
        <v>0</v>
      </c>
      <c r="CC31" s="238"/>
      <c r="CD31" s="229" cm="1">
        <f t="array" ref="CD31">IF(ISBLANK(Y31), INDEX(Use, $AH31, 4) - AN31*INDEX(Use, $AH31, 6) - (Q31-X31), Y31)</f>
        <v>7</v>
      </c>
      <c r="CE31" s="229">
        <f t="shared" si="28"/>
        <v>32</v>
      </c>
      <c r="CF31" s="230">
        <f t="shared" si="29"/>
        <v>0</v>
      </c>
      <c r="CG31" s="229">
        <v>35</v>
      </c>
      <c r="CH31" s="230">
        <f t="shared" si="30"/>
        <v>48</v>
      </c>
      <c r="CI31" s="235">
        <f t="shared" si="31"/>
        <v>3.0748170731707316</v>
      </c>
      <c r="CJ31" s="235" cm="1">
        <f t="array" ref="CJ31">$BI31 * SUMPRODUCT(INDEX($AR$77:$AT$82,,$AI31),INDEX($AU$77:$BA$82,,$AH31), N($AQ$77:$AQ$82&gt;$AO31)) / CI31 / 1000</f>
        <v>0</v>
      </c>
      <c r="CK31" s="232">
        <f t="shared" si="32"/>
        <v>30</v>
      </c>
      <c r="CL31" s="230">
        <f t="shared" si="33"/>
        <v>43</v>
      </c>
      <c r="CM31" s="235">
        <f t="shared" si="34"/>
        <v>3.5018750000000001</v>
      </c>
      <c r="CN31" s="235" cm="1">
        <f t="array" ref="CN31">$BI31 * IF($AH31&lt;=2,
SUMPRODUCT(INDEX($AR$72:$AT$76,,$AI31), INDEX($AU$72:$BA$76,,$AH31), 1 / ($BB$72:$BB$76*CM31 + (1-$BB$72:$BB$76)*CI31), N($AQ$72:$AQ$76&gt;$AO31)),
SUMPRODUCT(INDEX($AR$67:$AT$76,,$AI31), INDEX($AU$67:$BA$76,,$AH31), 1 / ($BC$67:$BC$76*CM31 + (1-$BC$67:$BC$76)*CI31), N($AQ$67:$AQ$76&gt;$AO31))
) / 1000</f>
        <v>0</v>
      </c>
      <c r="CO31" s="232">
        <f t="shared" si="35"/>
        <v>25</v>
      </c>
      <c r="CP31" s="230">
        <f t="shared" si="36"/>
        <v>38</v>
      </c>
      <c r="CQ31" s="235">
        <f t="shared" si="37"/>
        <v>4.0666935483870965</v>
      </c>
      <c r="CR31" s="235" cm="1">
        <f t="array" ref="CR31">$BI31 * IF($AH31&lt;=2,
SUMPRODUCT(INDEX($AR$67:$AT$71,,$AI31), INDEX($AU$67:$BA$71,,$AH31), 1 / ($BB$67:$BB$71*CQ31 + (1-$BB$67:$BB$71)*CM31), N($AQ$67:$AQ$71&gt;$AO31)),
SUMPRODUCT(INDEX($AR$57:$AT$66,,$AI31), INDEX($AU$57:$BA$66,,$AH31), 1 / ($BC$57:$BC$66*CQ31 + (1-$BC$57:$BC$66)*CM31), N($AQ$57:$AQ$66&gt;$AO31))
) / 1000</f>
        <v>0</v>
      </c>
      <c r="CS31" s="232">
        <f t="shared" si="38"/>
        <v>20</v>
      </c>
      <c r="CT31" s="230">
        <f t="shared" si="39"/>
        <v>33</v>
      </c>
      <c r="CU31" s="235">
        <f t="shared" si="40"/>
        <v>4.8487499999999999</v>
      </c>
      <c r="CV31" s="235" cm="1">
        <f t="array" ref="CV31">$BI31 * IF($AH31&lt;=2,
SUMPRODUCT(INDEX($AR$62:$AT$66,,$AI31), INDEX($AU$62:$BA$66,,$AH31), 1 / ($BB$62:$BB$66*CU31 + (1-$BB$62:$BB$66)*CQ31), N($AQ$62:$AQ$66&gt;$AO31)),
SUMPRODUCT(INDEX($AR$47:$AT$56,,$AI31), INDEX($AU$47:$BA$56,,$AH31), 1 / ($BC$47:$BC$56*CU31 + (1-$BC$47:$BC$56)*CQ31), N($AQ$47:$AQ$56&gt;$AO31))
) / 1000</f>
        <v>0</v>
      </c>
      <c r="CW31" s="235" cm="1">
        <f t="array" ref="CW31">$BI31 * IF($AH31&lt;=2,
SUMPRODUCT(INDEX($AR$23:$AT$61,,$AI31), INDEX($AU$23:$BA$61,,$AH31), 1 / ($BB$23:$BB$61*CU31), N($AQ$23:$AQ$61&gt;$AO31)),
SUMPRODUCT(INDEX($AR$23:$AT$46,,$AI31), INDEX($AU$23:$BA$46,,$AH31), 1 / ($BC$23:$BC$46*CU31), N($AQ$23:$AQ$46&gt;$AO31))
) / 1000</f>
        <v>0</v>
      </c>
      <c r="CX31" s="230">
        <f t="shared" si="41"/>
        <v>0</v>
      </c>
      <c r="CY31" s="238"/>
    </row>
    <row r="32" spans="1:103" s="76" customFormat="1" ht="14.25" customHeight="1" x14ac:dyDescent="0.25">
      <c r="A32" s="231" t="b">
        <f t="shared" si="0"/>
        <v>0</v>
      </c>
      <c r="B32" s="245">
        <v>10</v>
      </c>
      <c r="C32" s="258"/>
      <c r="D32" s="258"/>
      <c r="E32" s="246"/>
      <c r="F32" s="247" t="str">
        <f>IF(ISBLANK(E32), "", VLOOKUP(E32, Z!$A$2:$C$4127, 3, FALSE))</f>
        <v/>
      </c>
      <c r="G32" s="248"/>
      <c r="H32" s="248"/>
      <c r="I32" s="249"/>
      <c r="J32" s="250"/>
      <c r="K32" s="259"/>
      <c r="L32" s="260"/>
      <c r="M32" s="252" t="str" cm="1">
        <f t="array" ref="M32">INDEX(Trad, 53, $A$20)</f>
        <v>Verschmutzt</v>
      </c>
      <c r="N32" s="253"/>
      <c r="O32" s="253"/>
      <c r="P32" s="254"/>
      <c r="Q32" s="251"/>
      <c r="R32" s="251"/>
      <c r="S32" s="264">
        <f t="shared" si="7"/>
        <v>0</v>
      </c>
      <c r="T32" s="252" t="str" cm="1">
        <f t="array" ref="T32">INDEX(Trad, 52, $A$20)</f>
        <v>Sauber</v>
      </c>
      <c r="U32" s="253"/>
      <c r="V32" s="253"/>
      <c r="W32" s="254"/>
      <c r="X32" s="251"/>
      <c r="Y32" s="251"/>
      <c r="Z32" s="264">
        <f t="shared" si="8"/>
        <v>0</v>
      </c>
      <c r="AA32" s="261"/>
      <c r="AB32" s="258"/>
      <c r="AC32" s="246"/>
      <c r="AD32" s="247" t="str">
        <f>IF(ISBLANK(AC32), "", VLOOKUP(AC32, Z!$A$2:$C$4127, 3, FALSE))</f>
        <v/>
      </c>
      <c r="AE32" s="262"/>
      <c r="AF32" s="263">
        <f t="shared" si="1"/>
        <v>0</v>
      </c>
      <c r="AG32" s="238"/>
      <c r="AH32" s="229">
        <f t="shared" ref="AH32" si="63">IF(ISBLANK(H32), 1, IFERROR(MATCH(H32, INDEX(Use,,1), 0), IFERROR(MATCH(H32, INDEX(Use,,2), 0), MATCH(H32, INDEX(Use,,3), 0))))</f>
        <v>1</v>
      </c>
      <c r="AI32" s="229">
        <f t="shared" ref="AI32" si="64">IF(ISBLANK(G32), 1, IFERROR(MATCH(G32, INDEX(Loc,,1), 0), IFERROR(MATCH(G32, INDEX(Loc,,2), 0), MATCH(G32, INDEX(Loc,,3), 0))))</f>
        <v>1</v>
      </c>
      <c r="AJ32" s="229">
        <f t="shared" ref="AJ32" si="65">_xlfn.IFNA(IF(IFERROR(MATCH(I32, INDEX(Medium,,1), 0), IFERROR(MATCH(I32, INDEX(Medium,,2), 0), MATCH(I32, INDEX(Medium,,3), 0))) = 2, 1, 0), 0)</f>
        <v>0</v>
      </c>
      <c r="AK32" s="229">
        <v>0</v>
      </c>
      <c r="AL32" s="229">
        <v>0</v>
      </c>
      <c r="AM32" s="229">
        <v>1</v>
      </c>
      <c r="AN32" s="229">
        <v>0</v>
      </c>
      <c r="AO32" s="229">
        <f t="shared" si="5"/>
        <v>-100</v>
      </c>
      <c r="AP32" s="238"/>
      <c r="AQ32" s="229">
        <v>-10</v>
      </c>
      <c r="AR32" s="232">
        <v>0</v>
      </c>
      <c r="AS32" s="232">
        <v>2</v>
      </c>
      <c r="AT32" s="232">
        <v>6</v>
      </c>
      <c r="AU32" s="233">
        <f t="shared" si="6"/>
        <v>0</v>
      </c>
      <c r="AV32" s="233">
        <f t="shared" si="6"/>
        <v>0</v>
      </c>
      <c r="AW32" s="233" cm="1">
        <f t="array" ref="AW32">MIN(INDEX(Use,AW$21,5) + MAX(0, (1-INDEX(Use,AW$21,5))*($AQ32-5)/(35-5)), 1)</f>
        <v>0.4</v>
      </c>
      <c r="AX32" s="233" cm="1">
        <f t="array" ref="AX32">MIN(INDEX(Use,AX$21,5) + MAX(0, (1-INDEX(Use,AX$21,5))*($AQ32-5)/(35-5)), 1)</f>
        <v>0.6</v>
      </c>
      <c r="AY32" s="233" cm="1">
        <f t="array" ref="AY32">MIN(INDEX(Use,AY$21,5) + MAX(0, (1-INDEX(Use,AY$21,5))*($AQ32-5)/(35-5)), 1)</f>
        <v>0.8</v>
      </c>
      <c r="AZ32" s="233" cm="1">
        <f t="array" ref="AZ32">MIN(INDEX(Use,AZ$21,5) + MAX(0, (1-INDEX(Use,AZ$21,5))*($AQ32-5)/(35-5)), 1)</f>
        <v>0.8</v>
      </c>
      <c r="BA32" s="233" cm="1">
        <f t="array" ref="BA32">MIN(INDEX(Use,BA$21,5) + MAX(0, (1-INDEX(Use,BA$21,5))*($AQ32-5)/(35-5)), 1)</f>
        <v>0.8</v>
      </c>
      <c r="BB32" s="233">
        <v>1</v>
      </c>
      <c r="BC32" s="233">
        <v>1</v>
      </c>
      <c r="BD32" s="211"/>
      <c r="BE32" s="229" cm="1">
        <f t="array" ref="BE32">IF(ISBLANK(R32), INDEX(Use, $AH32, 4) - AM32*INDEX(Use, $AH32, 6), R32)</f>
        <v>5</v>
      </c>
      <c r="BF32" s="229">
        <f t="shared" si="12"/>
        <v>30</v>
      </c>
      <c r="BG32" s="229">
        <f t="shared" si="13"/>
        <v>13</v>
      </c>
      <c r="BH32" s="229">
        <f t="shared" si="14"/>
        <v>0</v>
      </c>
      <c r="BI32" s="234" cm="1">
        <f t="array" ref="BI32">K32/IF($L32&gt;0, INDEX($AU$23:$BA$77, $L32+20, $AH32), 1)</f>
        <v>0</v>
      </c>
      <c r="BJ32" s="230">
        <f t="shared" si="15"/>
        <v>0</v>
      </c>
      <c r="BK32" s="229">
        <v>35</v>
      </c>
      <c r="BL32" s="230">
        <f t="shared" si="16"/>
        <v>48</v>
      </c>
      <c r="BM32" s="235">
        <f t="shared" si="17"/>
        <v>2.9108720930232557</v>
      </c>
      <c r="BN32" s="235" cm="1">
        <f t="array" ref="BN32">$BI32 * SUMPRODUCT(INDEX($AR$77:$AT$82,,$AI32),INDEX($AU$77:$BA$82,,$AH32), N($AQ$77:$AQ$82&gt;$AO32)) / BM32 / 1000</f>
        <v>0</v>
      </c>
      <c r="BO32" s="232">
        <f t="shared" si="18"/>
        <v>30</v>
      </c>
      <c r="BP32" s="230">
        <f t="shared" si="19"/>
        <v>43</v>
      </c>
      <c r="BQ32" s="235">
        <f t="shared" si="20"/>
        <v>3.2938815789473681</v>
      </c>
      <c r="BR32" s="235" cm="1">
        <f t="array" ref="BR32">$BI32 * IF($AH32&lt;=2,
SUMPRODUCT(INDEX($AR$72:$AT$76,,$AI32), INDEX($AU$72:$BA$76,,$AH32), 1 / ($BB$72:$BB$76*BQ32 + (1-$BB$72:$BB$76)*BM32), N($AQ$72:$AQ$76&gt;$AO32)),
SUMPRODUCT(INDEX($AR$67:$AT$76,,$AI32), INDEX($AU$67:$BA$76,,$AH32), 1 / ($BC$67:$BC$76*BQ32 + (1-$BC$67:$BC$76)*BM32), N($AQ$67:$AQ$76&gt;$AO32))
) / 1000</f>
        <v>0</v>
      </c>
      <c r="BS32" s="232">
        <f t="shared" si="21"/>
        <v>25</v>
      </c>
      <c r="BT32" s="230">
        <f t="shared" si="22"/>
        <v>38</v>
      </c>
      <c r="BU32" s="235">
        <f t="shared" si="23"/>
        <v>3.792954545454545</v>
      </c>
      <c r="BV32" s="235" cm="1">
        <f t="array" ref="BV32">$BI32 * IF($AH32&lt;=2,
SUMPRODUCT(INDEX($AR$67:$AT$71,,$AI32), INDEX($AU$67:$BA$71,,$AH32), 1 / ($BB$67:$BB$71*BU32 + (1-$BB$67:$BB$71)*BQ32), N($AQ$67:$AQ$71&gt;$AO32)),
SUMPRODUCT(INDEX($AR$57:$AT$66,,$AI32), INDEX($AU$57:$BA$66,,$AH32), 1 / ($BC$57:$BC$66*BU32 + (1-$BC$57:$BC$66)*BQ32), N($AQ$57:$AQ$66&gt;$AO32))
) / 1000</f>
        <v>0</v>
      </c>
      <c r="BW32" s="232">
        <f t="shared" si="24"/>
        <v>20</v>
      </c>
      <c r="BX32" s="230">
        <f t="shared" si="25"/>
        <v>33</v>
      </c>
      <c r="BY32" s="235">
        <f t="shared" si="26"/>
        <v>4.4702678571428569</v>
      </c>
      <c r="BZ32" s="235" cm="1">
        <f t="array" ref="BZ32">$BI32 * IF($AH32&lt;=2,
SUMPRODUCT(INDEX($AR$62:$AT$66,,$AI32), INDEX($AU$62:$BA$66,,$AH32), 1 / ($BB$62:$BB$66*BY32 + (1-$BB$62:$BB$66)*BU32), N($AQ$62:$AQ$66&gt;$AO32)),
SUMPRODUCT(INDEX($AR$47:$AT$56,,$AI32), INDEX($AU$47:$BA$56,,$AH32), 1 / ($BC$47:$BC$56*BY32 + (1-$BC$47:$BC$56)*BU32), N($AQ$47:$AQ$56&gt;$AO32))
) / 1000</f>
        <v>0</v>
      </c>
      <c r="CA32" s="235" cm="1">
        <f t="array" ref="CA32">$BI32 * IF($AH32&lt;=2,
SUMPRODUCT(INDEX($AR$23:$AT$61,,$AI32), INDEX($AU$23:$BA$61,,$AH32), 1 / ($BB$23:$BB$61*BY32), N($AQ$23:$AQ$61&gt;$AO32)),
SUMPRODUCT(INDEX($AR$23:$AT$46,,$AI32), INDEX($AU$23:$BA$46,,$AH32), 1 / ($BC$23:$BC$46*BY32), N($AQ$23:$AQ$46&gt;$AO32))
) / 1000</f>
        <v>0</v>
      </c>
      <c r="CB32" s="230">
        <f t="shared" si="27"/>
        <v>0</v>
      </c>
      <c r="CC32" s="238"/>
      <c r="CD32" s="229" cm="1">
        <f t="array" ref="CD32">IF(ISBLANK(Y32), INDEX(Use, $AH32, 4) - AN32*INDEX(Use, $AH32, 6) - (Q32-X32), Y32)</f>
        <v>7</v>
      </c>
      <c r="CE32" s="229">
        <f t="shared" si="28"/>
        <v>32</v>
      </c>
      <c r="CF32" s="230">
        <f t="shared" si="29"/>
        <v>0</v>
      </c>
      <c r="CG32" s="229">
        <v>35</v>
      </c>
      <c r="CH32" s="230">
        <f t="shared" si="30"/>
        <v>48</v>
      </c>
      <c r="CI32" s="235">
        <f t="shared" si="31"/>
        <v>3.0748170731707316</v>
      </c>
      <c r="CJ32" s="235" cm="1">
        <f t="array" ref="CJ32">$BI32 * SUMPRODUCT(INDEX($AR$77:$AT$82,,$AI32),INDEX($AU$77:$BA$82,,$AH32), N($AQ$77:$AQ$82&gt;$AO32)) / CI32 / 1000</f>
        <v>0</v>
      </c>
      <c r="CK32" s="232">
        <f t="shared" si="32"/>
        <v>30</v>
      </c>
      <c r="CL32" s="230">
        <f t="shared" si="33"/>
        <v>43</v>
      </c>
      <c r="CM32" s="235">
        <f t="shared" si="34"/>
        <v>3.5018750000000001</v>
      </c>
      <c r="CN32" s="235" cm="1">
        <f t="array" ref="CN32">$BI32 * IF($AH32&lt;=2,
SUMPRODUCT(INDEX($AR$72:$AT$76,,$AI32), INDEX($AU$72:$BA$76,,$AH32), 1 / ($BB$72:$BB$76*CM32 + (1-$BB$72:$BB$76)*CI32), N($AQ$72:$AQ$76&gt;$AO32)),
SUMPRODUCT(INDEX($AR$67:$AT$76,,$AI32), INDEX($AU$67:$BA$76,,$AH32), 1 / ($BC$67:$BC$76*CM32 + (1-$BC$67:$BC$76)*CI32), N($AQ$67:$AQ$76&gt;$AO32))
) / 1000</f>
        <v>0</v>
      </c>
      <c r="CO32" s="232">
        <f t="shared" si="35"/>
        <v>25</v>
      </c>
      <c r="CP32" s="230">
        <f t="shared" si="36"/>
        <v>38</v>
      </c>
      <c r="CQ32" s="235">
        <f t="shared" si="37"/>
        <v>4.0666935483870965</v>
      </c>
      <c r="CR32" s="235" cm="1">
        <f t="array" ref="CR32">$BI32 * IF($AH32&lt;=2,
SUMPRODUCT(INDEX($AR$67:$AT$71,,$AI32), INDEX($AU$67:$BA$71,,$AH32), 1 / ($BB$67:$BB$71*CQ32 + (1-$BB$67:$BB$71)*CM32), N($AQ$67:$AQ$71&gt;$AO32)),
SUMPRODUCT(INDEX($AR$57:$AT$66,,$AI32), INDEX($AU$57:$BA$66,,$AH32), 1 / ($BC$57:$BC$66*CQ32 + (1-$BC$57:$BC$66)*CM32), N($AQ$57:$AQ$66&gt;$AO32))
) / 1000</f>
        <v>0</v>
      </c>
      <c r="CS32" s="232">
        <f t="shared" si="38"/>
        <v>20</v>
      </c>
      <c r="CT32" s="230">
        <f t="shared" si="39"/>
        <v>33</v>
      </c>
      <c r="CU32" s="235">
        <f t="shared" si="40"/>
        <v>4.8487499999999999</v>
      </c>
      <c r="CV32" s="235" cm="1">
        <f t="array" ref="CV32">$BI32 * IF($AH32&lt;=2,
SUMPRODUCT(INDEX($AR$62:$AT$66,,$AI32), INDEX($AU$62:$BA$66,,$AH32), 1 / ($BB$62:$BB$66*CU32 + (1-$BB$62:$BB$66)*CQ32), N($AQ$62:$AQ$66&gt;$AO32)),
SUMPRODUCT(INDEX($AR$47:$AT$56,,$AI32), INDEX($AU$47:$BA$56,,$AH32), 1 / ($BC$47:$BC$56*CU32 + (1-$BC$47:$BC$56)*CQ32), N($AQ$47:$AQ$56&gt;$AO32))
) / 1000</f>
        <v>0</v>
      </c>
      <c r="CW32" s="235" cm="1">
        <f t="array" ref="CW32">$BI32 * IF($AH32&lt;=2,
SUMPRODUCT(INDEX($AR$23:$AT$61,,$AI32), INDEX($AU$23:$BA$61,,$AH32), 1 / ($BB$23:$BB$61*CU32), N($AQ$23:$AQ$61&gt;$AO32)),
SUMPRODUCT(INDEX($AR$23:$AT$46,,$AI32), INDEX($AU$23:$BA$46,,$AH32), 1 / ($BC$23:$BC$46*CU32), N($AQ$23:$AQ$46&gt;$AO32))
) / 1000</f>
        <v>0</v>
      </c>
      <c r="CX32" s="230">
        <f t="shared" si="41"/>
        <v>0</v>
      </c>
      <c r="CY32" s="238"/>
    </row>
    <row r="33" spans="1:103" s="76" customFormat="1" ht="14.25" customHeight="1" x14ac:dyDescent="0.25">
      <c r="A33" s="231" t="b">
        <f t="shared" si="0"/>
        <v>0</v>
      </c>
      <c r="B33" s="245">
        <v>11</v>
      </c>
      <c r="C33" s="258"/>
      <c r="D33" s="258"/>
      <c r="E33" s="246"/>
      <c r="F33" s="247" t="str">
        <f>IF(ISBLANK(E33), "", VLOOKUP(E33, Z!$A$2:$C$4127, 3, FALSE))</f>
        <v/>
      </c>
      <c r="G33" s="248"/>
      <c r="H33" s="248"/>
      <c r="I33" s="249"/>
      <c r="J33" s="250"/>
      <c r="K33" s="259"/>
      <c r="L33" s="260"/>
      <c r="M33" s="252" t="str" cm="1">
        <f t="array" ref="M33">INDEX(Trad, 53, $A$20)</f>
        <v>Verschmutzt</v>
      </c>
      <c r="N33" s="253"/>
      <c r="O33" s="253"/>
      <c r="P33" s="254"/>
      <c r="Q33" s="251"/>
      <c r="R33" s="251"/>
      <c r="S33" s="264">
        <f t="shared" si="7"/>
        <v>0</v>
      </c>
      <c r="T33" s="252" t="str" cm="1">
        <f t="array" ref="T33">INDEX(Trad, 52, $A$20)</f>
        <v>Sauber</v>
      </c>
      <c r="U33" s="253"/>
      <c r="V33" s="253"/>
      <c r="W33" s="254"/>
      <c r="X33" s="251"/>
      <c r="Y33" s="251"/>
      <c r="Z33" s="264">
        <f t="shared" si="8"/>
        <v>0</v>
      </c>
      <c r="AA33" s="261"/>
      <c r="AB33" s="258"/>
      <c r="AC33" s="246"/>
      <c r="AD33" s="247" t="str">
        <f>IF(ISBLANK(AC33), "", VLOOKUP(AC33, Z!$A$2:$C$4127, 3, FALSE))</f>
        <v/>
      </c>
      <c r="AE33" s="262"/>
      <c r="AF33" s="263">
        <f t="shared" si="1"/>
        <v>0</v>
      </c>
      <c r="AG33" s="238"/>
      <c r="AH33" s="229">
        <f t="shared" ref="AH33" si="66">IF(ISBLANK(H33), 1, IFERROR(MATCH(H33, INDEX(Use,,1), 0), IFERROR(MATCH(H33, INDEX(Use,,2), 0), MATCH(H33, INDEX(Use,,3), 0))))</f>
        <v>1</v>
      </c>
      <c r="AI33" s="229">
        <f t="shared" ref="AI33" si="67">IF(ISBLANK(G33), 1, IFERROR(MATCH(G33, INDEX(Loc,,1), 0), IFERROR(MATCH(G33, INDEX(Loc,,2), 0), MATCH(G33, INDEX(Loc,,3), 0))))</f>
        <v>1</v>
      </c>
      <c r="AJ33" s="229">
        <f t="shared" ref="AJ33" si="68">_xlfn.IFNA(IF(IFERROR(MATCH(I33, INDEX(Medium,,1), 0), IFERROR(MATCH(I33, INDEX(Medium,,2), 0), MATCH(I33, INDEX(Medium,,3), 0))) = 2, 1, 0), 0)</f>
        <v>0</v>
      </c>
      <c r="AK33" s="229">
        <v>0</v>
      </c>
      <c r="AL33" s="229">
        <v>0</v>
      </c>
      <c r="AM33" s="229">
        <v>1</v>
      </c>
      <c r="AN33" s="229">
        <v>0</v>
      </c>
      <c r="AO33" s="229">
        <f t="shared" si="5"/>
        <v>-100</v>
      </c>
      <c r="AP33" s="238"/>
      <c r="AQ33" s="229">
        <v>-9</v>
      </c>
      <c r="AR33" s="232">
        <v>0</v>
      </c>
      <c r="AS33" s="232">
        <v>4</v>
      </c>
      <c r="AT33" s="232">
        <v>45</v>
      </c>
      <c r="AU33" s="233">
        <f t="shared" si="6"/>
        <v>0</v>
      </c>
      <c r="AV33" s="233">
        <f t="shared" si="6"/>
        <v>0</v>
      </c>
      <c r="AW33" s="233" cm="1">
        <f t="array" ref="AW33">MIN(INDEX(Use,AW$21,5) + MAX(0, (1-INDEX(Use,AW$21,5))*($AQ33-5)/(35-5)), 1)</f>
        <v>0.4</v>
      </c>
      <c r="AX33" s="233" cm="1">
        <f t="array" ref="AX33">MIN(INDEX(Use,AX$21,5) + MAX(0, (1-INDEX(Use,AX$21,5))*($AQ33-5)/(35-5)), 1)</f>
        <v>0.6</v>
      </c>
      <c r="AY33" s="233" cm="1">
        <f t="array" ref="AY33">MIN(INDEX(Use,AY$21,5) + MAX(0, (1-INDEX(Use,AY$21,5))*($AQ33-5)/(35-5)), 1)</f>
        <v>0.8</v>
      </c>
      <c r="AZ33" s="233" cm="1">
        <f t="array" ref="AZ33">MIN(INDEX(Use,AZ$21,5) + MAX(0, (1-INDEX(Use,AZ$21,5))*($AQ33-5)/(35-5)), 1)</f>
        <v>0.8</v>
      </c>
      <c r="BA33" s="233" cm="1">
        <f t="array" ref="BA33">MIN(INDEX(Use,BA$21,5) + MAX(0, (1-INDEX(Use,BA$21,5))*($AQ33-5)/(35-5)), 1)</f>
        <v>0.8</v>
      </c>
      <c r="BB33" s="233">
        <v>1</v>
      </c>
      <c r="BC33" s="233">
        <v>1</v>
      </c>
      <c r="BD33" s="211"/>
      <c r="BE33" s="229" cm="1">
        <f t="array" ref="BE33">IF(ISBLANK(R33), INDEX(Use, $AH33, 4) - AM33*INDEX(Use, $AH33, 6), R33)</f>
        <v>5</v>
      </c>
      <c r="BF33" s="229">
        <f t="shared" si="12"/>
        <v>30</v>
      </c>
      <c r="BG33" s="229">
        <f t="shared" si="13"/>
        <v>13</v>
      </c>
      <c r="BH33" s="229">
        <f t="shared" si="14"/>
        <v>0</v>
      </c>
      <c r="BI33" s="234" cm="1">
        <f t="array" ref="BI33">K33/IF($L33&gt;0, INDEX($AU$23:$BA$77, $L33+20, $AH33), 1)</f>
        <v>0</v>
      </c>
      <c r="BJ33" s="230">
        <f t="shared" si="15"/>
        <v>0</v>
      </c>
      <c r="BK33" s="229">
        <v>35</v>
      </c>
      <c r="BL33" s="230">
        <f t="shared" si="16"/>
        <v>48</v>
      </c>
      <c r="BM33" s="235">
        <f t="shared" si="17"/>
        <v>2.9108720930232557</v>
      </c>
      <c r="BN33" s="235" cm="1">
        <f t="array" ref="BN33">$BI33 * SUMPRODUCT(INDEX($AR$77:$AT$82,,$AI33),INDEX($AU$77:$BA$82,,$AH33), N($AQ$77:$AQ$82&gt;$AO33)) / BM33 / 1000</f>
        <v>0</v>
      </c>
      <c r="BO33" s="232">
        <f t="shared" si="18"/>
        <v>30</v>
      </c>
      <c r="BP33" s="230">
        <f t="shared" si="19"/>
        <v>43</v>
      </c>
      <c r="BQ33" s="235">
        <f t="shared" si="20"/>
        <v>3.2938815789473681</v>
      </c>
      <c r="BR33" s="235" cm="1">
        <f t="array" ref="BR33">$BI33 * IF($AH33&lt;=2,
SUMPRODUCT(INDEX($AR$72:$AT$76,,$AI33), INDEX($AU$72:$BA$76,,$AH33), 1 / ($BB$72:$BB$76*BQ33 + (1-$BB$72:$BB$76)*BM33), N($AQ$72:$AQ$76&gt;$AO33)),
SUMPRODUCT(INDEX($AR$67:$AT$76,,$AI33), INDEX($AU$67:$BA$76,,$AH33), 1 / ($BC$67:$BC$76*BQ33 + (1-$BC$67:$BC$76)*BM33), N($AQ$67:$AQ$76&gt;$AO33))
) / 1000</f>
        <v>0</v>
      </c>
      <c r="BS33" s="232">
        <f t="shared" si="21"/>
        <v>25</v>
      </c>
      <c r="BT33" s="230">
        <f t="shared" si="22"/>
        <v>38</v>
      </c>
      <c r="BU33" s="235">
        <f t="shared" si="23"/>
        <v>3.792954545454545</v>
      </c>
      <c r="BV33" s="235" cm="1">
        <f t="array" ref="BV33">$BI33 * IF($AH33&lt;=2,
SUMPRODUCT(INDEX($AR$67:$AT$71,,$AI33), INDEX($AU$67:$BA$71,,$AH33), 1 / ($BB$67:$BB$71*BU33 + (1-$BB$67:$BB$71)*BQ33), N($AQ$67:$AQ$71&gt;$AO33)),
SUMPRODUCT(INDEX($AR$57:$AT$66,,$AI33), INDEX($AU$57:$BA$66,,$AH33), 1 / ($BC$57:$BC$66*BU33 + (1-$BC$57:$BC$66)*BQ33), N($AQ$57:$AQ$66&gt;$AO33))
) / 1000</f>
        <v>0</v>
      </c>
      <c r="BW33" s="232">
        <f t="shared" si="24"/>
        <v>20</v>
      </c>
      <c r="BX33" s="230">
        <f t="shared" si="25"/>
        <v>33</v>
      </c>
      <c r="BY33" s="235">
        <f t="shared" si="26"/>
        <v>4.4702678571428569</v>
      </c>
      <c r="BZ33" s="235" cm="1">
        <f t="array" ref="BZ33">$BI33 * IF($AH33&lt;=2,
SUMPRODUCT(INDEX($AR$62:$AT$66,,$AI33), INDEX($AU$62:$BA$66,,$AH33), 1 / ($BB$62:$BB$66*BY33 + (1-$BB$62:$BB$66)*BU33), N($AQ$62:$AQ$66&gt;$AO33)),
SUMPRODUCT(INDEX($AR$47:$AT$56,,$AI33), INDEX($AU$47:$BA$56,,$AH33), 1 / ($BC$47:$BC$56*BY33 + (1-$BC$47:$BC$56)*BU33), N($AQ$47:$AQ$56&gt;$AO33))
) / 1000</f>
        <v>0</v>
      </c>
      <c r="CA33" s="235" cm="1">
        <f t="array" ref="CA33">$BI33 * IF($AH33&lt;=2,
SUMPRODUCT(INDEX($AR$23:$AT$61,,$AI33), INDEX($AU$23:$BA$61,,$AH33), 1 / ($BB$23:$BB$61*BY33), N($AQ$23:$AQ$61&gt;$AO33)),
SUMPRODUCT(INDEX($AR$23:$AT$46,,$AI33), INDEX($AU$23:$BA$46,,$AH33), 1 / ($BC$23:$BC$46*BY33), N($AQ$23:$AQ$46&gt;$AO33))
) / 1000</f>
        <v>0</v>
      </c>
      <c r="CB33" s="230">
        <f t="shared" si="27"/>
        <v>0</v>
      </c>
      <c r="CC33" s="238"/>
      <c r="CD33" s="229" cm="1">
        <f t="array" ref="CD33">IF(ISBLANK(Y33), INDEX(Use, $AH33, 4) - AN33*INDEX(Use, $AH33, 6) - (Q33-X33), Y33)</f>
        <v>7</v>
      </c>
      <c r="CE33" s="229">
        <f t="shared" si="28"/>
        <v>32</v>
      </c>
      <c r="CF33" s="230">
        <f t="shared" si="29"/>
        <v>0</v>
      </c>
      <c r="CG33" s="229">
        <v>35</v>
      </c>
      <c r="CH33" s="230">
        <f t="shared" si="30"/>
        <v>48</v>
      </c>
      <c r="CI33" s="235">
        <f t="shared" si="31"/>
        <v>3.0748170731707316</v>
      </c>
      <c r="CJ33" s="235" cm="1">
        <f t="array" ref="CJ33">$BI33 * SUMPRODUCT(INDEX($AR$77:$AT$82,,$AI33),INDEX($AU$77:$BA$82,,$AH33), N($AQ$77:$AQ$82&gt;$AO33)) / CI33 / 1000</f>
        <v>0</v>
      </c>
      <c r="CK33" s="232">
        <f t="shared" si="32"/>
        <v>30</v>
      </c>
      <c r="CL33" s="230">
        <f t="shared" si="33"/>
        <v>43</v>
      </c>
      <c r="CM33" s="235">
        <f t="shared" si="34"/>
        <v>3.5018750000000001</v>
      </c>
      <c r="CN33" s="235" cm="1">
        <f t="array" ref="CN33">$BI33 * IF($AH33&lt;=2,
SUMPRODUCT(INDEX($AR$72:$AT$76,,$AI33), INDEX($AU$72:$BA$76,,$AH33), 1 / ($BB$72:$BB$76*CM33 + (1-$BB$72:$BB$76)*CI33), N($AQ$72:$AQ$76&gt;$AO33)),
SUMPRODUCT(INDEX($AR$67:$AT$76,,$AI33), INDEX($AU$67:$BA$76,,$AH33), 1 / ($BC$67:$BC$76*CM33 + (1-$BC$67:$BC$76)*CI33), N($AQ$67:$AQ$76&gt;$AO33))
) / 1000</f>
        <v>0</v>
      </c>
      <c r="CO33" s="232">
        <f t="shared" si="35"/>
        <v>25</v>
      </c>
      <c r="CP33" s="230">
        <f t="shared" si="36"/>
        <v>38</v>
      </c>
      <c r="CQ33" s="235">
        <f t="shared" si="37"/>
        <v>4.0666935483870965</v>
      </c>
      <c r="CR33" s="235" cm="1">
        <f t="array" ref="CR33">$BI33 * IF($AH33&lt;=2,
SUMPRODUCT(INDEX($AR$67:$AT$71,,$AI33), INDEX($AU$67:$BA$71,,$AH33), 1 / ($BB$67:$BB$71*CQ33 + (1-$BB$67:$BB$71)*CM33), N($AQ$67:$AQ$71&gt;$AO33)),
SUMPRODUCT(INDEX($AR$57:$AT$66,,$AI33), INDEX($AU$57:$BA$66,,$AH33), 1 / ($BC$57:$BC$66*CQ33 + (1-$BC$57:$BC$66)*CM33), N($AQ$57:$AQ$66&gt;$AO33))
) / 1000</f>
        <v>0</v>
      </c>
      <c r="CS33" s="232">
        <f t="shared" si="38"/>
        <v>20</v>
      </c>
      <c r="CT33" s="230">
        <f t="shared" si="39"/>
        <v>33</v>
      </c>
      <c r="CU33" s="235">
        <f t="shared" si="40"/>
        <v>4.8487499999999999</v>
      </c>
      <c r="CV33" s="235" cm="1">
        <f t="array" ref="CV33">$BI33 * IF($AH33&lt;=2,
SUMPRODUCT(INDEX($AR$62:$AT$66,,$AI33), INDEX($AU$62:$BA$66,,$AH33), 1 / ($BB$62:$BB$66*CU33 + (1-$BB$62:$BB$66)*CQ33), N($AQ$62:$AQ$66&gt;$AO33)),
SUMPRODUCT(INDEX($AR$47:$AT$56,,$AI33), INDEX($AU$47:$BA$56,,$AH33), 1 / ($BC$47:$BC$56*CU33 + (1-$BC$47:$BC$56)*CQ33), N($AQ$47:$AQ$56&gt;$AO33))
) / 1000</f>
        <v>0</v>
      </c>
      <c r="CW33" s="235" cm="1">
        <f t="array" ref="CW33">$BI33 * IF($AH33&lt;=2,
SUMPRODUCT(INDEX($AR$23:$AT$61,,$AI33), INDEX($AU$23:$BA$61,,$AH33), 1 / ($BB$23:$BB$61*CU33), N($AQ$23:$AQ$61&gt;$AO33)),
SUMPRODUCT(INDEX($AR$23:$AT$46,,$AI33), INDEX($AU$23:$BA$46,,$AH33), 1 / ($BC$23:$BC$46*CU33), N($AQ$23:$AQ$46&gt;$AO33))
) / 1000</f>
        <v>0</v>
      </c>
      <c r="CX33" s="230">
        <f t="shared" si="41"/>
        <v>0</v>
      </c>
      <c r="CY33" s="238"/>
    </row>
    <row r="34" spans="1:103" s="76" customFormat="1" ht="14.25" customHeight="1" x14ac:dyDescent="0.25">
      <c r="A34" s="231" t="b">
        <f t="shared" si="0"/>
        <v>0</v>
      </c>
      <c r="B34" s="245">
        <v>12</v>
      </c>
      <c r="C34" s="258"/>
      <c r="D34" s="258"/>
      <c r="E34" s="246"/>
      <c r="F34" s="247" t="str">
        <f>IF(ISBLANK(E34), "", VLOOKUP(E34, Z!$A$2:$C$4127, 3, FALSE))</f>
        <v/>
      </c>
      <c r="G34" s="248"/>
      <c r="H34" s="248"/>
      <c r="I34" s="249"/>
      <c r="J34" s="250"/>
      <c r="K34" s="259"/>
      <c r="L34" s="260"/>
      <c r="M34" s="252" t="str" cm="1">
        <f t="array" ref="M34">INDEX(Trad, 53, $A$20)</f>
        <v>Verschmutzt</v>
      </c>
      <c r="N34" s="253"/>
      <c r="O34" s="253"/>
      <c r="P34" s="254"/>
      <c r="Q34" s="251"/>
      <c r="R34" s="251"/>
      <c r="S34" s="264">
        <f t="shared" si="7"/>
        <v>0</v>
      </c>
      <c r="T34" s="252" t="str" cm="1">
        <f t="array" ref="T34">INDEX(Trad, 52, $A$20)</f>
        <v>Sauber</v>
      </c>
      <c r="U34" s="253"/>
      <c r="V34" s="253"/>
      <c r="W34" s="254"/>
      <c r="X34" s="251"/>
      <c r="Y34" s="251"/>
      <c r="Z34" s="264">
        <f t="shared" si="8"/>
        <v>0</v>
      </c>
      <c r="AA34" s="261"/>
      <c r="AB34" s="258"/>
      <c r="AC34" s="246"/>
      <c r="AD34" s="247" t="str">
        <f>IF(ISBLANK(AC34), "", VLOOKUP(AC34, Z!$A$2:$C$4127, 3, FALSE))</f>
        <v/>
      </c>
      <c r="AE34" s="262"/>
      <c r="AF34" s="263">
        <f t="shared" si="1"/>
        <v>0</v>
      </c>
      <c r="AG34" s="238"/>
      <c r="AH34" s="229">
        <f t="shared" ref="AH34" si="69">IF(ISBLANK(H34), 1, IFERROR(MATCH(H34, INDEX(Use,,1), 0), IFERROR(MATCH(H34, INDEX(Use,,2), 0), MATCH(H34, INDEX(Use,,3), 0))))</f>
        <v>1</v>
      </c>
      <c r="AI34" s="229">
        <f t="shared" ref="AI34" si="70">IF(ISBLANK(G34), 1, IFERROR(MATCH(G34, INDEX(Loc,,1), 0), IFERROR(MATCH(G34, INDEX(Loc,,2), 0), MATCH(G34, INDEX(Loc,,3), 0))))</f>
        <v>1</v>
      </c>
      <c r="AJ34" s="229">
        <f t="shared" ref="AJ34" si="71">_xlfn.IFNA(IF(IFERROR(MATCH(I34, INDEX(Medium,,1), 0), IFERROR(MATCH(I34, INDEX(Medium,,2), 0), MATCH(I34, INDEX(Medium,,3), 0))) = 2, 1, 0), 0)</f>
        <v>0</v>
      </c>
      <c r="AK34" s="229">
        <v>0</v>
      </c>
      <c r="AL34" s="229">
        <v>0</v>
      </c>
      <c r="AM34" s="229">
        <v>1</v>
      </c>
      <c r="AN34" s="229">
        <v>0</v>
      </c>
      <c r="AO34" s="229">
        <f t="shared" si="5"/>
        <v>-100</v>
      </c>
      <c r="AP34" s="238"/>
      <c r="AQ34" s="229">
        <v>-8</v>
      </c>
      <c r="AR34" s="232">
        <v>0</v>
      </c>
      <c r="AS34" s="232">
        <v>3</v>
      </c>
      <c r="AT34" s="232">
        <v>48</v>
      </c>
      <c r="AU34" s="233">
        <f t="shared" si="6"/>
        <v>0</v>
      </c>
      <c r="AV34" s="233">
        <f t="shared" si="6"/>
        <v>0</v>
      </c>
      <c r="AW34" s="233" cm="1">
        <f t="array" ref="AW34">MIN(INDEX(Use,AW$21,5) + MAX(0, (1-INDEX(Use,AW$21,5))*($AQ34-5)/(35-5)), 1)</f>
        <v>0.4</v>
      </c>
      <c r="AX34" s="233" cm="1">
        <f t="array" ref="AX34">MIN(INDEX(Use,AX$21,5) + MAX(0, (1-INDEX(Use,AX$21,5))*($AQ34-5)/(35-5)), 1)</f>
        <v>0.6</v>
      </c>
      <c r="AY34" s="233" cm="1">
        <f t="array" ref="AY34">MIN(INDEX(Use,AY$21,5) + MAX(0, (1-INDEX(Use,AY$21,5))*($AQ34-5)/(35-5)), 1)</f>
        <v>0.8</v>
      </c>
      <c r="AZ34" s="233" cm="1">
        <f t="array" ref="AZ34">MIN(INDEX(Use,AZ$21,5) + MAX(0, (1-INDEX(Use,AZ$21,5))*($AQ34-5)/(35-5)), 1)</f>
        <v>0.8</v>
      </c>
      <c r="BA34" s="233" cm="1">
        <f t="array" ref="BA34">MIN(INDEX(Use,BA$21,5) + MAX(0, (1-INDEX(Use,BA$21,5))*($AQ34-5)/(35-5)), 1)</f>
        <v>0.8</v>
      </c>
      <c r="BB34" s="233">
        <v>1</v>
      </c>
      <c r="BC34" s="233">
        <v>1</v>
      </c>
      <c r="BD34" s="211"/>
      <c r="BE34" s="229" cm="1">
        <f t="array" ref="BE34">IF(ISBLANK(R34), INDEX(Use, $AH34, 4) - AM34*INDEX(Use, $AH34, 6), R34)</f>
        <v>5</v>
      </c>
      <c r="BF34" s="229">
        <f t="shared" si="12"/>
        <v>30</v>
      </c>
      <c r="BG34" s="229">
        <f t="shared" si="13"/>
        <v>13</v>
      </c>
      <c r="BH34" s="229">
        <f t="shared" si="14"/>
        <v>0</v>
      </c>
      <c r="BI34" s="234" cm="1">
        <f t="array" ref="BI34">K34/IF($L34&gt;0, INDEX($AU$23:$BA$77, $L34+20, $AH34), 1)</f>
        <v>0</v>
      </c>
      <c r="BJ34" s="230">
        <f t="shared" si="15"/>
        <v>0</v>
      </c>
      <c r="BK34" s="229">
        <v>35</v>
      </c>
      <c r="BL34" s="230">
        <f t="shared" si="16"/>
        <v>48</v>
      </c>
      <c r="BM34" s="235">
        <f t="shared" si="17"/>
        <v>2.9108720930232557</v>
      </c>
      <c r="BN34" s="235" cm="1">
        <f t="array" ref="BN34">$BI34 * SUMPRODUCT(INDEX($AR$77:$AT$82,,$AI34),INDEX($AU$77:$BA$82,,$AH34), N($AQ$77:$AQ$82&gt;$AO34)) / BM34 / 1000</f>
        <v>0</v>
      </c>
      <c r="BO34" s="232">
        <f t="shared" si="18"/>
        <v>30</v>
      </c>
      <c r="BP34" s="230">
        <f t="shared" si="19"/>
        <v>43</v>
      </c>
      <c r="BQ34" s="235">
        <f t="shared" si="20"/>
        <v>3.2938815789473681</v>
      </c>
      <c r="BR34" s="235" cm="1">
        <f t="array" ref="BR34">$BI34 * IF($AH34&lt;=2,
SUMPRODUCT(INDEX($AR$72:$AT$76,,$AI34), INDEX($AU$72:$BA$76,,$AH34), 1 / ($BB$72:$BB$76*BQ34 + (1-$BB$72:$BB$76)*BM34), N($AQ$72:$AQ$76&gt;$AO34)),
SUMPRODUCT(INDEX($AR$67:$AT$76,,$AI34), INDEX($AU$67:$BA$76,,$AH34), 1 / ($BC$67:$BC$76*BQ34 + (1-$BC$67:$BC$76)*BM34), N($AQ$67:$AQ$76&gt;$AO34))
) / 1000</f>
        <v>0</v>
      </c>
      <c r="BS34" s="232">
        <f t="shared" si="21"/>
        <v>25</v>
      </c>
      <c r="BT34" s="230">
        <f t="shared" si="22"/>
        <v>38</v>
      </c>
      <c r="BU34" s="235">
        <f t="shared" si="23"/>
        <v>3.792954545454545</v>
      </c>
      <c r="BV34" s="235" cm="1">
        <f t="array" ref="BV34">$BI34 * IF($AH34&lt;=2,
SUMPRODUCT(INDEX($AR$67:$AT$71,,$AI34), INDEX($AU$67:$BA$71,,$AH34), 1 / ($BB$67:$BB$71*BU34 + (1-$BB$67:$BB$71)*BQ34), N($AQ$67:$AQ$71&gt;$AO34)),
SUMPRODUCT(INDEX($AR$57:$AT$66,,$AI34), INDEX($AU$57:$BA$66,,$AH34), 1 / ($BC$57:$BC$66*BU34 + (1-$BC$57:$BC$66)*BQ34), N($AQ$57:$AQ$66&gt;$AO34))
) / 1000</f>
        <v>0</v>
      </c>
      <c r="BW34" s="232">
        <f t="shared" si="24"/>
        <v>20</v>
      </c>
      <c r="BX34" s="230">
        <f t="shared" si="25"/>
        <v>33</v>
      </c>
      <c r="BY34" s="235">
        <f t="shared" si="26"/>
        <v>4.4702678571428569</v>
      </c>
      <c r="BZ34" s="235" cm="1">
        <f t="array" ref="BZ34">$BI34 * IF($AH34&lt;=2,
SUMPRODUCT(INDEX($AR$62:$AT$66,,$AI34), INDEX($AU$62:$BA$66,,$AH34), 1 / ($BB$62:$BB$66*BY34 + (1-$BB$62:$BB$66)*BU34), N($AQ$62:$AQ$66&gt;$AO34)),
SUMPRODUCT(INDEX($AR$47:$AT$56,,$AI34), INDEX($AU$47:$BA$56,,$AH34), 1 / ($BC$47:$BC$56*BY34 + (1-$BC$47:$BC$56)*BU34), N($AQ$47:$AQ$56&gt;$AO34))
) / 1000</f>
        <v>0</v>
      </c>
      <c r="CA34" s="235" cm="1">
        <f t="array" ref="CA34">$BI34 * IF($AH34&lt;=2,
SUMPRODUCT(INDEX($AR$23:$AT$61,,$AI34), INDEX($AU$23:$BA$61,,$AH34), 1 / ($BB$23:$BB$61*BY34), N($AQ$23:$AQ$61&gt;$AO34)),
SUMPRODUCT(INDEX($AR$23:$AT$46,,$AI34), INDEX($AU$23:$BA$46,,$AH34), 1 / ($BC$23:$BC$46*BY34), N($AQ$23:$AQ$46&gt;$AO34))
) / 1000</f>
        <v>0</v>
      </c>
      <c r="CB34" s="230">
        <f t="shared" si="27"/>
        <v>0</v>
      </c>
      <c r="CC34" s="238"/>
      <c r="CD34" s="229" cm="1">
        <f t="array" ref="CD34">IF(ISBLANK(Y34), INDEX(Use, $AH34, 4) - AN34*INDEX(Use, $AH34, 6) - (Q34-X34), Y34)</f>
        <v>7</v>
      </c>
      <c r="CE34" s="229">
        <f t="shared" si="28"/>
        <v>32</v>
      </c>
      <c r="CF34" s="230">
        <f t="shared" si="29"/>
        <v>0</v>
      </c>
      <c r="CG34" s="229">
        <v>35</v>
      </c>
      <c r="CH34" s="230">
        <f t="shared" si="30"/>
        <v>48</v>
      </c>
      <c r="CI34" s="235">
        <f t="shared" si="31"/>
        <v>3.0748170731707316</v>
      </c>
      <c r="CJ34" s="235" cm="1">
        <f t="array" ref="CJ34">$BI34 * SUMPRODUCT(INDEX($AR$77:$AT$82,,$AI34),INDEX($AU$77:$BA$82,,$AH34), N($AQ$77:$AQ$82&gt;$AO34)) / CI34 / 1000</f>
        <v>0</v>
      </c>
      <c r="CK34" s="232">
        <f t="shared" si="32"/>
        <v>30</v>
      </c>
      <c r="CL34" s="230">
        <f t="shared" si="33"/>
        <v>43</v>
      </c>
      <c r="CM34" s="235">
        <f t="shared" si="34"/>
        <v>3.5018750000000001</v>
      </c>
      <c r="CN34" s="235" cm="1">
        <f t="array" ref="CN34">$BI34 * IF($AH34&lt;=2,
SUMPRODUCT(INDEX($AR$72:$AT$76,,$AI34), INDEX($AU$72:$BA$76,,$AH34), 1 / ($BB$72:$BB$76*CM34 + (1-$BB$72:$BB$76)*CI34), N($AQ$72:$AQ$76&gt;$AO34)),
SUMPRODUCT(INDEX($AR$67:$AT$76,,$AI34), INDEX($AU$67:$BA$76,,$AH34), 1 / ($BC$67:$BC$76*CM34 + (1-$BC$67:$BC$76)*CI34), N($AQ$67:$AQ$76&gt;$AO34))
) / 1000</f>
        <v>0</v>
      </c>
      <c r="CO34" s="232">
        <f t="shared" si="35"/>
        <v>25</v>
      </c>
      <c r="CP34" s="230">
        <f t="shared" si="36"/>
        <v>38</v>
      </c>
      <c r="CQ34" s="235">
        <f t="shared" si="37"/>
        <v>4.0666935483870965</v>
      </c>
      <c r="CR34" s="235" cm="1">
        <f t="array" ref="CR34">$BI34 * IF($AH34&lt;=2,
SUMPRODUCT(INDEX($AR$67:$AT$71,,$AI34), INDEX($AU$67:$BA$71,,$AH34), 1 / ($BB$67:$BB$71*CQ34 + (1-$BB$67:$BB$71)*CM34), N($AQ$67:$AQ$71&gt;$AO34)),
SUMPRODUCT(INDEX($AR$57:$AT$66,,$AI34), INDEX($AU$57:$BA$66,,$AH34), 1 / ($BC$57:$BC$66*CQ34 + (1-$BC$57:$BC$66)*CM34), N($AQ$57:$AQ$66&gt;$AO34))
) / 1000</f>
        <v>0</v>
      </c>
      <c r="CS34" s="232">
        <f t="shared" si="38"/>
        <v>20</v>
      </c>
      <c r="CT34" s="230">
        <f t="shared" si="39"/>
        <v>33</v>
      </c>
      <c r="CU34" s="235">
        <f t="shared" si="40"/>
        <v>4.8487499999999999</v>
      </c>
      <c r="CV34" s="235" cm="1">
        <f t="array" ref="CV34">$BI34 * IF($AH34&lt;=2,
SUMPRODUCT(INDEX($AR$62:$AT$66,,$AI34), INDEX($AU$62:$BA$66,,$AH34), 1 / ($BB$62:$BB$66*CU34 + (1-$BB$62:$BB$66)*CQ34), N($AQ$62:$AQ$66&gt;$AO34)),
SUMPRODUCT(INDEX($AR$47:$AT$56,,$AI34), INDEX($AU$47:$BA$56,,$AH34), 1 / ($BC$47:$BC$56*CU34 + (1-$BC$47:$BC$56)*CQ34), N($AQ$47:$AQ$56&gt;$AO34))
) / 1000</f>
        <v>0</v>
      </c>
      <c r="CW34" s="235" cm="1">
        <f t="array" ref="CW34">$BI34 * IF($AH34&lt;=2,
SUMPRODUCT(INDEX($AR$23:$AT$61,,$AI34), INDEX($AU$23:$BA$61,,$AH34), 1 / ($BB$23:$BB$61*CU34), N($AQ$23:$AQ$61&gt;$AO34)),
SUMPRODUCT(INDEX($AR$23:$AT$46,,$AI34), INDEX($AU$23:$BA$46,,$AH34), 1 / ($BC$23:$BC$46*CU34), N($AQ$23:$AQ$46&gt;$AO34))
) / 1000</f>
        <v>0</v>
      </c>
      <c r="CX34" s="230">
        <f t="shared" si="41"/>
        <v>0</v>
      </c>
      <c r="CY34" s="238"/>
    </row>
    <row r="35" spans="1:103" s="76" customFormat="1" ht="14.25" customHeight="1" x14ac:dyDescent="0.25">
      <c r="A35" s="231" t="b">
        <f t="shared" si="0"/>
        <v>0</v>
      </c>
      <c r="B35" s="245">
        <v>13</v>
      </c>
      <c r="C35" s="258"/>
      <c r="D35" s="258"/>
      <c r="E35" s="246"/>
      <c r="F35" s="247" t="str">
        <f>IF(ISBLANK(E35), "", VLOOKUP(E35, Z!$A$2:$C$4127, 3, FALSE))</f>
        <v/>
      </c>
      <c r="G35" s="248"/>
      <c r="H35" s="248"/>
      <c r="I35" s="249"/>
      <c r="J35" s="250"/>
      <c r="K35" s="259"/>
      <c r="L35" s="260"/>
      <c r="M35" s="252" t="str" cm="1">
        <f t="array" ref="M35">INDEX(Trad, 53, $A$20)</f>
        <v>Verschmutzt</v>
      </c>
      <c r="N35" s="253"/>
      <c r="O35" s="253"/>
      <c r="P35" s="254"/>
      <c r="Q35" s="251"/>
      <c r="R35" s="251"/>
      <c r="S35" s="264">
        <f t="shared" si="7"/>
        <v>0</v>
      </c>
      <c r="T35" s="252" t="str" cm="1">
        <f t="array" ref="T35">INDEX(Trad, 52, $A$20)</f>
        <v>Sauber</v>
      </c>
      <c r="U35" s="253"/>
      <c r="V35" s="253"/>
      <c r="W35" s="254"/>
      <c r="X35" s="251"/>
      <c r="Y35" s="251"/>
      <c r="Z35" s="264">
        <f t="shared" si="8"/>
        <v>0</v>
      </c>
      <c r="AA35" s="261"/>
      <c r="AB35" s="258"/>
      <c r="AC35" s="246"/>
      <c r="AD35" s="247" t="str">
        <f>IF(ISBLANK(AC35), "", VLOOKUP(AC35, Z!$A$2:$C$4127, 3, FALSE))</f>
        <v/>
      </c>
      <c r="AE35" s="262"/>
      <c r="AF35" s="263">
        <f t="shared" si="1"/>
        <v>0</v>
      </c>
      <c r="AG35" s="238"/>
      <c r="AH35" s="229">
        <f t="shared" ref="AH35" si="72">IF(ISBLANK(H35), 1, IFERROR(MATCH(H35, INDEX(Use,,1), 0), IFERROR(MATCH(H35, INDEX(Use,,2), 0), MATCH(H35, INDEX(Use,,3), 0))))</f>
        <v>1</v>
      </c>
      <c r="AI35" s="229">
        <f t="shared" ref="AI35" si="73">IF(ISBLANK(G35), 1, IFERROR(MATCH(G35, INDEX(Loc,,1), 0), IFERROR(MATCH(G35, INDEX(Loc,,2), 0), MATCH(G35, INDEX(Loc,,3), 0))))</f>
        <v>1</v>
      </c>
      <c r="AJ35" s="229">
        <f t="shared" ref="AJ35" si="74">_xlfn.IFNA(IF(IFERROR(MATCH(I35, INDEX(Medium,,1), 0), IFERROR(MATCH(I35, INDEX(Medium,,2), 0), MATCH(I35, INDEX(Medium,,3), 0))) = 2, 1, 0), 0)</f>
        <v>0</v>
      </c>
      <c r="AK35" s="229">
        <v>0</v>
      </c>
      <c r="AL35" s="229">
        <v>0</v>
      </c>
      <c r="AM35" s="229">
        <v>1</v>
      </c>
      <c r="AN35" s="229">
        <v>0</v>
      </c>
      <c r="AO35" s="229">
        <f t="shared" si="5"/>
        <v>-100</v>
      </c>
      <c r="AP35" s="238"/>
      <c r="AQ35" s="229">
        <v>-7</v>
      </c>
      <c r="AR35" s="232">
        <v>0</v>
      </c>
      <c r="AS35" s="232">
        <v>3</v>
      </c>
      <c r="AT35" s="232">
        <v>68</v>
      </c>
      <c r="AU35" s="233">
        <f t="shared" si="6"/>
        <v>0</v>
      </c>
      <c r="AV35" s="233">
        <f t="shared" si="6"/>
        <v>0</v>
      </c>
      <c r="AW35" s="233" cm="1">
        <f t="array" ref="AW35">MIN(INDEX(Use,AW$21,5) + MAX(0, (1-INDEX(Use,AW$21,5))*($AQ35-5)/(35-5)), 1)</f>
        <v>0.4</v>
      </c>
      <c r="AX35" s="233" cm="1">
        <f t="array" ref="AX35">MIN(INDEX(Use,AX$21,5) + MAX(0, (1-INDEX(Use,AX$21,5))*($AQ35-5)/(35-5)), 1)</f>
        <v>0.6</v>
      </c>
      <c r="AY35" s="233" cm="1">
        <f t="array" ref="AY35">MIN(INDEX(Use,AY$21,5) + MAX(0, (1-INDEX(Use,AY$21,5))*($AQ35-5)/(35-5)), 1)</f>
        <v>0.8</v>
      </c>
      <c r="AZ35" s="233" cm="1">
        <f t="array" ref="AZ35">MIN(INDEX(Use,AZ$21,5) + MAX(0, (1-INDEX(Use,AZ$21,5))*($AQ35-5)/(35-5)), 1)</f>
        <v>0.8</v>
      </c>
      <c r="BA35" s="233" cm="1">
        <f t="array" ref="BA35">MIN(INDEX(Use,BA$21,5) + MAX(0, (1-INDEX(Use,BA$21,5))*($AQ35-5)/(35-5)), 1)</f>
        <v>0.8</v>
      </c>
      <c r="BB35" s="233">
        <v>1</v>
      </c>
      <c r="BC35" s="233">
        <v>1</v>
      </c>
      <c r="BD35" s="211"/>
      <c r="BE35" s="229" cm="1">
        <f t="array" ref="BE35">IF(ISBLANK(R35), INDEX(Use, $AH35, 4) - AM35*INDEX(Use, $AH35, 6), R35)</f>
        <v>5</v>
      </c>
      <c r="BF35" s="229">
        <f t="shared" si="12"/>
        <v>30</v>
      </c>
      <c r="BG35" s="229">
        <f t="shared" si="13"/>
        <v>13</v>
      </c>
      <c r="BH35" s="229">
        <f t="shared" si="14"/>
        <v>0</v>
      </c>
      <c r="BI35" s="234" cm="1">
        <f t="array" ref="BI35">K35/IF($L35&gt;0, INDEX($AU$23:$BA$77, $L35+20, $AH35), 1)</f>
        <v>0</v>
      </c>
      <c r="BJ35" s="230">
        <f t="shared" si="15"/>
        <v>0</v>
      </c>
      <c r="BK35" s="229">
        <v>35</v>
      </c>
      <c r="BL35" s="230">
        <f t="shared" si="16"/>
        <v>48</v>
      </c>
      <c r="BM35" s="235">
        <f t="shared" si="17"/>
        <v>2.9108720930232557</v>
      </c>
      <c r="BN35" s="235" cm="1">
        <f t="array" ref="BN35">$BI35 * SUMPRODUCT(INDEX($AR$77:$AT$82,,$AI35),INDEX($AU$77:$BA$82,,$AH35), N($AQ$77:$AQ$82&gt;$AO35)) / BM35 / 1000</f>
        <v>0</v>
      </c>
      <c r="BO35" s="232">
        <f t="shared" si="18"/>
        <v>30</v>
      </c>
      <c r="BP35" s="230">
        <f t="shared" si="19"/>
        <v>43</v>
      </c>
      <c r="BQ35" s="235">
        <f t="shared" si="20"/>
        <v>3.2938815789473681</v>
      </c>
      <c r="BR35" s="235" cm="1">
        <f t="array" ref="BR35">$BI35 * IF($AH35&lt;=2,
SUMPRODUCT(INDEX($AR$72:$AT$76,,$AI35), INDEX($AU$72:$BA$76,,$AH35), 1 / ($BB$72:$BB$76*BQ35 + (1-$BB$72:$BB$76)*BM35), N($AQ$72:$AQ$76&gt;$AO35)),
SUMPRODUCT(INDEX($AR$67:$AT$76,,$AI35), INDEX($AU$67:$BA$76,,$AH35), 1 / ($BC$67:$BC$76*BQ35 + (1-$BC$67:$BC$76)*BM35), N($AQ$67:$AQ$76&gt;$AO35))
) / 1000</f>
        <v>0</v>
      </c>
      <c r="BS35" s="232">
        <f t="shared" si="21"/>
        <v>25</v>
      </c>
      <c r="BT35" s="230">
        <f t="shared" si="22"/>
        <v>38</v>
      </c>
      <c r="BU35" s="235">
        <f t="shared" si="23"/>
        <v>3.792954545454545</v>
      </c>
      <c r="BV35" s="235" cm="1">
        <f t="array" ref="BV35">$BI35 * IF($AH35&lt;=2,
SUMPRODUCT(INDEX($AR$67:$AT$71,,$AI35), INDEX($AU$67:$BA$71,,$AH35), 1 / ($BB$67:$BB$71*BU35 + (1-$BB$67:$BB$71)*BQ35), N($AQ$67:$AQ$71&gt;$AO35)),
SUMPRODUCT(INDEX($AR$57:$AT$66,,$AI35), INDEX($AU$57:$BA$66,,$AH35), 1 / ($BC$57:$BC$66*BU35 + (1-$BC$57:$BC$66)*BQ35), N($AQ$57:$AQ$66&gt;$AO35))
) / 1000</f>
        <v>0</v>
      </c>
      <c r="BW35" s="232">
        <f t="shared" si="24"/>
        <v>20</v>
      </c>
      <c r="BX35" s="230">
        <f t="shared" si="25"/>
        <v>33</v>
      </c>
      <c r="BY35" s="235">
        <f t="shared" si="26"/>
        <v>4.4702678571428569</v>
      </c>
      <c r="BZ35" s="235" cm="1">
        <f t="array" ref="BZ35">$BI35 * IF($AH35&lt;=2,
SUMPRODUCT(INDEX($AR$62:$AT$66,,$AI35), INDEX($AU$62:$BA$66,,$AH35), 1 / ($BB$62:$BB$66*BY35 + (1-$BB$62:$BB$66)*BU35), N($AQ$62:$AQ$66&gt;$AO35)),
SUMPRODUCT(INDEX($AR$47:$AT$56,,$AI35), INDEX($AU$47:$BA$56,,$AH35), 1 / ($BC$47:$BC$56*BY35 + (1-$BC$47:$BC$56)*BU35), N($AQ$47:$AQ$56&gt;$AO35))
) / 1000</f>
        <v>0</v>
      </c>
      <c r="CA35" s="235" cm="1">
        <f t="array" ref="CA35">$BI35 * IF($AH35&lt;=2,
SUMPRODUCT(INDEX($AR$23:$AT$61,,$AI35), INDEX($AU$23:$BA$61,,$AH35), 1 / ($BB$23:$BB$61*BY35), N($AQ$23:$AQ$61&gt;$AO35)),
SUMPRODUCT(INDEX($AR$23:$AT$46,,$AI35), INDEX($AU$23:$BA$46,,$AH35), 1 / ($BC$23:$BC$46*BY35), N($AQ$23:$AQ$46&gt;$AO35))
) / 1000</f>
        <v>0</v>
      </c>
      <c r="CB35" s="230">
        <f t="shared" si="27"/>
        <v>0</v>
      </c>
      <c r="CC35" s="238"/>
      <c r="CD35" s="229" cm="1">
        <f t="array" ref="CD35">IF(ISBLANK(Y35), INDEX(Use, $AH35, 4) - AN35*INDEX(Use, $AH35, 6) - (Q35-X35), Y35)</f>
        <v>7</v>
      </c>
      <c r="CE35" s="229">
        <f t="shared" si="28"/>
        <v>32</v>
      </c>
      <c r="CF35" s="230">
        <f t="shared" si="29"/>
        <v>0</v>
      </c>
      <c r="CG35" s="229">
        <v>35</v>
      </c>
      <c r="CH35" s="230">
        <f t="shared" si="30"/>
        <v>48</v>
      </c>
      <c r="CI35" s="235">
        <f t="shared" si="31"/>
        <v>3.0748170731707316</v>
      </c>
      <c r="CJ35" s="235" cm="1">
        <f t="array" ref="CJ35">$BI35 * SUMPRODUCT(INDEX($AR$77:$AT$82,,$AI35),INDEX($AU$77:$BA$82,,$AH35), N($AQ$77:$AQ$82&gt;$AO35)) / CI35 / 1000</f>
        <v>0</v>
      </c>
      <c r="CK35" s="232">
        <f t="shared" si="32"/>
        <v>30</v>
      </c>
      <c r="CL35" s="230">
        <f t="shared" si="33"/>
        <v>43</v>
      </c>
      <c r="CM35" s="235">
        <f t="shared" si="34"/>
        <v>3.5018750000000001</v>
      </c>
      <c r="CN35" s="235" cm="1">
        <f t="array" ref="CN35">$BI35 * IF($AH35&lt;=2,
SUMPRODUCT(INDEX($AR$72:$AT$76,,$AI35), INDEX($AU$72:$BA$76,,$AH35), 1 / ($BB$72:$BB$76*CM35 + (1-$BB$72:$BB$76)*CI35), N($AQ$72:$AQ$76&gt;$AO35)),
SUMPRODUCT(INDEX($AR$67:$AT$76,,$AI35), INDEX($AU$67:$BA$76,,$AH35), 1 / ($BC$67:$BC$76*CM35 + (1-$BC$67:$BC$76)*CI35), N($AQ$67:$AQ$76&gt;$AO35))
) / 1000</f>
        <v>0</v>
      </c>
      <c r="CO35" s="232">
        <f t="shared" si="35"/>
        <v>25</v>
      </c>
      <c r="CP35" s="230">
        <f t="shared" si="36"/>
        <v>38</v>
      </c>
      <c r="CQ35" s="235">
        <f t="shared" si="37"/>
        <v>4.0666935483870965</v>
      </c>
      <c r="CR35" s="235" cm="1">
        <f t="array" ref="CR35">$BI35 * IF($AH35&lt;=2,
SUMPRODUCT(INDEX($AR$67:$AT$71,,$AI35), INDEX($AU$67:$BA$71,,$AH35), 1 / ($BB$67:$BB$71*CQ35 + (1-$BB$67:$BB$71)*CM35), N($AQ$67:$AQ$71&gt;$AO35)),
SUMPRODUCT(INDEX($AR$57:$AT$66,,$AI35), INDEX($AU$57:$BA$66,,$AH35), 1 / ($BC$57:$BC$66*CQ35 + (1-$BC$57:$BC$66)*CM35), N($AQ$57:$AQ$66&gt;$AO35))
) / 1000</f>
        <v>0</v>
      </c>
      <c r="CS35" s="232">
        <f t="shared" si="38"/>
        <v>20</v>
      </c>
      <c r="CT35" s="230">
        <f t="shared" si="39"/>
        <v>33</v>
      </c>
      <c r="CU35" s="235">
        <f t="shared" si="40"/>
        <v>4.8487499999999999</v>
      </c>
      <c r="CV35" s="235" cm="1">
        <f t="array" ref="CV35">$BI35 * IF($AH35&lt;=2,
SUMPRODUCT(INDEX($AR$62:$AT$66,,$AI35), INDEX($AU$62:$BA$66,,$AH35), 1 / ($BB$62:$BB$66*CU35 + (1-$BB$62:$BB$66)*CQ35), N($AQ$62:$AQ$66&gt;$AO35)),
SUMPRODUCT(INDEX($AR$47:$AT$56,,$AI35), INDEX($AU$47:$BA$56,,$AH35), 1 / ($BC$47:$BC$56*CU35 + (1-$BC$47:$BC$56)*CQ35), N($AQ$47:$AQ$56&gt;$AO35))
) / 1000</f>
        <v>0</v>
      </c>
      <c r="CW35" s="235" cm="1">
        <f t="array" ref="CW35">$BI35 * IF($AH35&lt;=2,
SUMPRODUCT(INDEX($AR$23:$AT$61,,$AI35), INDEX($AU$23:$BA$61,,$AH35), 1 / ($BB$23:$BB$61*CU35), N($AQ$23:$AQ$61&gt;$AO35)),
SUMPRODUCT(INDEX($AR$23:$AT$46,,$AI35), INDEX($AU$23:$BA$46,,$AH35), 1 / ($BC$23:$BC$46*CU35), N($AQ$23:$AQ$46&gt;$AO35))
) / 1000</f>
        <v>0</v>
      </c>
      <c r="CX35" s="230">
        <f t="shared" si="41"/>
        <v>0</v>
      </c>
      <c r="CY35" s="238"/>
    </row>
    <row r="36" spans="1:103" s="76" customFormat="1" ht="14.25" customHeight="1" x14ac:dyDescent="0.25">
      <c r="A36" s="231" t="b">
        <f t="shared" si="0"/>
        <v>0</v>
      </c>
      <c r="B36" s="245">
        <v>14</v>
      </c>
      <c r="C36" s="258"/>
      <c r="D36" s="258"/>
      <c r="E36" s="246"/>
      <c r="F36" s="247" t="str">
        <f>IF(ISBLANK(E36), "", VLOOKUP(E36, Z!$A$2:$C$4127, 3, FALSE))</f>
        <v/>
      </c>
      <c r="G36" s="248"/>
      <c r="H36" s="248"/>
      <c r="I36" s="249"/>
      <c r="J36" s="250"/>
      <c r="K36" s="259"/>
      <c r="L36" s="260"/>
      <c r="M36" s="252" t="str" cm="1">
        <f t="array" ref="M36">INDEX(Trad, 53, $A$20)</f>
        <v>Verschmutzt</v>
      </c>
      <c r="N36" s="253"/>
      <c r="O36" s="253"/>
      <c r="P36" s="254"/>
      <c r="Q36" s="251"/>
      <c r="R36" s="251"/>
      <c r="S36" s="264">
        <f t="shared" si="7"/>
        <v>0</v>
      </c>
      <c r="T36" s="252" t="str" cm="1">
        <f t="array" ref="T36">INDEX(Trad, 52, $A$20)</f>
        <v>Sauber</v>
      </c>
      <c r="U36" s="253"/>
      <c r="V36" s="253"/>
      <c r="W36" s="254"/>
      <c r="X36" s="251"/>
      <c r="Y36" s="251"/>
      <c r="Z36" s="264">
        <f t="shared" si="8"/>
        <v>0</v>
      </c>
      <c r="AA36" s="261"/>
      <c r="AB36" s="258"/>
      <c r="AC36" s="246"/>
      <c r="AD36" s="247" t="str">
        <f>IF(ISBLANK(AC36), "", VLOOKUP(AC36, Z!$A$2:$C$4127, 3, FALSE))</f>
        <v/>
      </c>
      <c r="AE36" s="262"/>
      <c r="AF36" s="263">
        <f t="shared" si="1"/>
        <v>0</v>
      </c>
      <c r="AG36" s="238"/>
      <c r="AH36" s="229">
        <f t="shared" ref="AH36" si="75">IF(ISBLANK(H36), 1, IFERROR(MATCH(H36, INDEX(Use,,1), 0), IFERROR(MATCH(H36, INDEX(Use,,2), 0), MATCH(H36, INDEX(Use,,3), 0))))</f>
        <v>1</v>
      </c>
      <c r="AI36" s="229">
        <f t="shared" ref="AI36" si="76">IF(ISBLANK(G36), 1, IFERROR(MATCH(G36, INDEX(Loc,,1), 0), IFERROR(MATCH(G36, INDEX(Loc,,2), 0), MATCH(G36, INDEX(Loc,,3), 0))))</f>
        <v>1</v>
      </c>
      <c r="AJ36" s="229">
        <f t="shared" ref="AJ36" si="77">_xlfn.IFNA(IF(IFERROR(MATCH(I36, INDEX(Medium,,1), 0), IFERROR(MATCH(I36, INDEX(Medium,,2), 0), MATCH(I36, INDEX(Medium,,3), 0))) = 2, 1, 0), 0)</f>
        <v>0</v>
      </c>
      <c r="AK36" s="229">
        <v>0</v>
      </c>
      <c r="AL36" s="229">
        <v>0</v>
      </c>
      <c r="AM36" s="229">
        <v>1</v>
      </c>
      <c r="AN36" s="229">
        <v>0</v>
      </c>
      <c r="AO36" s="229">
        <f t="shared" si="5"/>
        <v>-100</v>
      </c>
      <c r="AP36" s="238"/>
      <c r="AQ36" s="229">
        <v>-6</v>
      </c>
      <c r="AR36" s="232">
        <v>0</v>
      </c>
      <c r="AS36" s="232">
        <v>13</v>
      </c>
      <c r="AT36" s="232">
        <v>45</v>
      </c>
      <c r="AU36" s="233">
        <f t="shared" si="6"/>
        <v>0</v>
      </c>
      <c r="AV36" s="233">
        <f t="shared" si="6"/>
        <v>0</v>
      </c>
      <c r="AW36" s="233" cm="1">
        <f t="array" ref="AW36">MIN(INDEX(Use,AW$21,5) + MAX(0, (1-INDEX(Use,AW$21,5))*($AQ36-5)/(35-5)), 1)</f>
        <v>0.4</v>
      </c>
      <c r="AX36" s="233" cm="1">
        <f t="array" ref="AX36">MIN(INDEX(Use,AX$21,5) + MAX(0, (1-INDEX(Use,AX$21,5))*($AQ36-5)/(35-5)), 1)</f>
        <v>0.6</v>
      </c>
      <c r="AY36" s="233" cm="1">
        <f t="array" ref="AY36">MIN(INDEX(Use,AY$21,5) + MAX(0, (1-INDEX(Use,AY$21,5))*($AQ36-5)/(35-5)), 1)</f>
        <v>0.8</v>
      </c>
      <c r="AZ36" s="233" cm="1">
        <f t="array" ref="AZ36">MIN(INDEX(Use,AZ$21,5) + MAX(0, (1-INDEX(Use,AZ$21,5))*($AQ36-5)/(35-5)), 1)</f>
        <v>0.8</v>
      </c>
      <c r="BA36" s="233" cm="1">
        <f t="array" ref="BA36">MIN(INDEX(Use,BA$21,5) + MAX(0, (1-INDEX(Use,BA$21,5))*($AQ36-5)/(35-5)), 1)</f>
        <v>0.8</v>
      </c>
      <c r="BB36" s="233">
        <v>1</v>
      </c>
      <c r="BC36" s="233">
        <v>1</v>
      </c>
      <c r="BD36" s="211"/>
      <c r="BE36" s="229" cm="1">
        <f t="array" ref="BE36">IF(ISBLANK(R36), INDEX(Use, $AH36, 4) - AM36*INDEX(Use, $AH36, 6), R36)</f>
        <v>5</v>
      </c>
      <c r="BF36" s="229">
        <f t="shared" si="12"/>
        <v>30</v>
      </c>
      <c r="BG36" s="229">
        <f t="shared" si="13"/>
        <v>13</v>
      </c>
      <c r="BH36" s="229">
        <f t="shared" si="14"/>
        <v>0</v>
      </c>
      <c r="BI36" s="234" cm="1">
        <f t="array" ref="BI36">K36/IF($L36&gt;0, INDEX($AU$23:$BA$77, $L36+20, $AH36), 1)</f>
        <v>0</v>
      </c>
      <c r="BJ36" s="230">
        <f t="shared" si="15"/>
        <v>0</v>
      </c>
      <c r="BK36" s="229">
        <v>35</v>
      </c>
      <c r="BL36" s="230">
        <f t="shared" si="16"/>
        <v>48</v>
      </c>
      <c r="BM36" s="235">
        <f t="shared" si="17"/>
        <v>2.9108720930232557</v>
      </c>
      <c r="BN36" s="235" cm="1">
        <f t="array" ref="BN36">$BI36 * SUMPRODUCT(INDEX($AR$77:$AT$82,,$AI36),INDEX($AU$77:$BA$82,,$AH36), N($AQ$77:$AQ$82&gt;$AO36)) / BM36 / 1000</f>
        <v>0</v>
      </c>
      <c r="BO36" s="232">
        <f t="shared" si="18"/>
        <v>30</v>
      </c>
      <c r="BP36" s="230">
        <f t="shared" si="19"/>
        <v>43</v>
      </c>
      <c r="BQ36" s="235">
        <f t="shared" si="20"/>
        <v>3.2938815789473681</v>
      </c>
      <c r="BR36" s="235" cm="1">
        <f t="array" ref="BR36">$BI36 * IF($AH36&lt;=2,
SUMPRODUCT(INDEX($AR$72:$AT$76,,$AI36), INDEX($AU$72:$BA$76,,$AH36), 1 / ($BB$72:$BB$76*BQ36 + (1-$BB$72:$BB$76)*BM36), N($AQ$72:$AQ$76&gt;$AO36)),
SUMPRODUCT(INDEX($AR$67:$AT$76,,$AI36), INDEX($AU$67:$BA$76,,$AH36), 1 / ($BC$67:$BC$76*BQ36 + (1-$BC$67:$BC$76)*BM36), N($AQ$67:$AQ$76&gt;$AO36))
) / 1000</f>
        <v>0</v>
      </c>
      <c r="BS36" s="232">
        <f t="shared" si="21"/>
        <v>25</v>
      </c>
      <c r="BT36" s="230">
        <f t="shared" si="22"/>
        <v>38</v>
      </c>
      <c r="BU36" s="235">
        <f t="shared" si="23"/>
        <v>3.792954545454545</v>
      </c>
      <c r="BV36" s="235" cm="1">
        <f t="array" ref="BV36">$BI36 * IF($AH36&lt;=2,
SUMPRODUCT(INDEX($AR$67:$AT$71,,$AI36), INDEX($AU$67:$BA$71,,$AH36), 1 / ($BB$67:$BB$71*BU36 + (1-$BB$67:$BB$71)*BQ36), N($AQ$67:$AQ$71&gt;$AO36)),
SUMPRODUCT(INDEX($AR$57:$AT$66,,$AI36), INDEX($AU$57:$BA$66,,$AH36), 1 / ($BC$57:$BC$66*BU36 + (1-$BC$57:$BC$66)*BQ36), N($AQ$57:$AQ$66&gt;$AO36))
) / 1000</f>
        <v>0</v>
      </c>
      <c r="BW36" s="232">
        <f t="shared" si="24"/>
        <v>20</v>
      </c>
      <c r="BX36" s="230">
        <f t="shared" si="25"/>
        <v>33</v>
      </c>
      <c r="BY36" s="235">
        <f t="shared" si="26"/>
        <v>4.4702678571428569</v>
      </c>
      <c r="BZ36" s="235" cm="1">
        <f t="array" ref="BZ36">$BI36 * IF($AH36&lt;=2,
SUMPRODUCT(INDEX($AR$62:$AT$66,,$AI36), INDEX($AU$62:$BA$66,,$AH36), 1 / ($BB$62:$BB$66*BY36 + (1-$BB$62:$BB$66)*BU36), N($AQ$62:$AQ$66&gt;$AO36)),
SUMPRODUCT(INDEX($AR$47:$AT$56,,$AI36), INDEX($AU$47:$BA$56,,$AH36), 1 / ($BC$47:$BC$56*BY36 + (1-$BC$47:$BC$56)*BU36), N($AQ$47:$AQ$56&gt;$AO36))
) / 1000</f>
        <v>0</v>
      </c>
      <c r="CA36" s="235" cm="1">
        <f t="array" ref="CA36">$BI36 * IF($AH36&lt;=2,
SUMPRODUCT(INDEX($AR$23:$AT$61,,$AI36), INDEX($AU$23:$BA$61,,$AH36), 1 / ($BB$23:$BB$61*BY36), N($AQ$23:$AQ$61&gt;$AO36)),
SUMPRODUCT(INDEX($AR$23:$AT$46,,$AI36), INDEX($AU$23:$BA$46,,$AH36), 1 / ($BC$23:$BC$46*BY36), N($AQ$23:$AQ$46&gt;$AO36))
) / 1000</f>
        <v>0</v>
      </c>
      <c r="CB36" s="230">
        <f t="shared" si="27"/>
        <v>0</v>
      </c>
      <c r="CC36" s="238"/>
      <c r="CD36" s="229" cm="1">
        <f t="array" ref="CD36">IF(ISBLANK(Y36), INDEX(Use, $AH36, 4) - AN36*INDEX(Use, $AH36, 6) - (Q36-X36), Y36)</f>
        <v>7</v>
      </c>
      <c r="CE36" s="229">
        <f t="shared" si="28"/>
        <v>32</v>
      </c>
      <c r="CF36" s="230">
        <f t="shared" si="29"/>
        <v>0</v>
      </c>
      <c r="CG36" s="229">
        <v>35</v>
      </c>
      <c r="CH36" s="230">
        <f t="shared" si="30"/>
        <v>48</v>
      </c>
      <c r="CI36" s="235">
        <f t="shared" si="31"/>
        <v>3.0748170731707316</v>
      </c>
      <c r="CJ36" s="235" cm="1">
        <f t="array" ref="CJ36">$BI36 * SUMPRODUCT(INDEX($AR$77:$AT$82,,$AI36),INDEX($AU$77:$BA$82,,$AH36), N($AQ$77:$AQ$82&gt;$AO36)) / CI36 / 1000</f>
        <v>0</v>
      </c>
      <c r="CK36" s="232">
        <f t="shared" si="32"/>
        <v>30</v>
      </c>
      <c r="CL36" s="230">
        <f t="shared" si="33"/>
        <v>43</v>
      </c>
      <c r="CM36" s="235">
        <f t="shared" si="34"/>
        <v>3.5018750000000001</v>
      </c>
      <c r="CN36" s="235" cm="1">
        <f t="array" ref="CN36">$BI36 * IF($AH36&lt;=2,
SUMPRODUCT(INDEX($AR$72:$AT$76,,$AI36), INDEX($AU$72:$BA$76,,$AH36), 1 / ($BB$72:$BB$76*CM36 + (1-$BB$72:$BB$76)*CI36), N($AQ$72:$AQ$76&gt;$AO36)),
SUMPRODUCT(INDEX($AR$67:$AT$76,,$AI36), INDEX($AU$67:$BA$76,,$AH36), 1 / ($BC$67:$BC$76*CM36 + (1-$BC$67:$BC$76)*CI36), N($AQ$67:$AQ$76&gt;$AO36))
) / 1000</f>
        <v>0</v>
      </c>
      <c r="CO36" s="232">
        <f t="shared" si="35"/>
        <v>25</v>
      </c>
      <c r="CP36" s="230">
        <f t="shared" si="36"/>
        <v>38</v>
      </c>
      <c r="CQ36" s="235">
        <f t="shared" si="37"/>
        <v>4.0666935483870965</v>
      </c>
      <c r="CR36" s="235" cm="1">
        <f t="array" ref="CR36">$BI36 * IF($AH36&lt;=2,
SUMPRODUCT(INDEX($AR$67:$AT$71,,$AI36), INDEX($AU$67:$BA$71,,$AH36), 1 / ($BB$67:$BB$71*CQ36 + (1-$BB$67:$BB$71)*CM36), N($AQ$67:$AQ$71&gt;$AO36)),
SUMPRODUCT(INDEX($AR$57:$AT$66,,$AI36), INDEX($AU$57:$BA$66,,$AH36), 1 / ($BC$57:$BC$66*CQ36 + (1-$BC$57:$BC$66)*CM36), N($AQ$57:$AQ$66&gt;$AO36))
) / 1000</f>
        <v>0</v>
      </c>
      <c r="CS36" s="232">
        <f t="shared" si="38"/>
        <v>20</v>
      </c>
      <c r="CT36" s="230">
        <f t="shared" si="39"/>
        <v>33</v>
      </c>
      <c r="CU36" s="235">
        <f t="shared" si="40"/>
        <v>4.8487499999999999</v>
      </c>
      <c r="CV36" s="235" cm="1">
        <f t="array" ref="CV36">$BI36 * IF($AH36&lt;=2,
SUMPRODUCT(INDEX($AR$62:$AT$66,,$AI36), INDEX($AU$62:$BA$66,,$AH36), 1 / ($BB$62:$BB$66*CU36 + (1-$BB$62:$BB$66)*CQ36), N($AQ$62:$AQ$66&gt;$AO36)),
SUMPRODUCT(INDEX($AR$47:$AT$56,,$AI36), INDEX($AU$47:$BA$56,,$AH36), 1 / ($BC$47:$BC$56*CU36 + (1-$BC$47:$BC$56)*CQ36), N($AQ$47:$AQ$56&gt;$AO36))
) / 1000</f>
        <v>0</v>
      </c>
      <c r="CW36" s="235" cm="1">
        <f t="array" ref="CW36">$BI36 * IF($AH36&lt;=2,
SUMPRODUCT(INDEX($AR$23:$AT$61,,$AI36), INDEX($AU$23:$BA$61,,$AH36), 1 / ($BB$23:$BB$61*CU36), N($AQ$23:$AQ$61&gt;$AO36)),
SUMPRODUCT(INDEX($AR$23:$AT$46,,$AI36), INDEX($AU$23:$BA$46,,$AH36), 1 / ($BC$23:$BC$46*CU36), N($AQ$23:$AQ$46&gt;$AO36))
) / 1000</f>
        <v>0</v>
      </c>
      <c r="CX36" s="230">
        <f t="shared" si="41"/>
        <v>0</v>
      </c>
      <c r="CY36" s="238"/>
    </row>
    <row r="37" spans="1:103" s="76" customFormat="1" ht="14.25" customHeight="1" x14ac:dyDescent="0.25">
      <c r="A37" s="231" t="b">
        <f t="shared" si="0"/>
        <v>0</v>
      </c>
      <c r="B37" s="245">
        <v>15</v>
      </c>
      <c r="C37" s="258"/>
      <c r="D37" s="258"/>
      <c r="E37" s="246"/>
      <c r="F37" s="247" t="str">
        <f>IF(ISBLANK(E37), "", VLOOKUP(E37, Z!$A$2:$C$4127, 3, FALSE))</f>
        <v/>
      </c>
      <c r="G37" s="248"/>
      <c r="H37" s="248"/>
      <c r="I37" s="249"/>
      <c r="J37" s="250"/>
      <c r="K37" s="259"/>
      <c r="L37" s="260"/>
      <c r="M37" s="252" t="str" cm="1">
        <f t="array" ref="M37">INDEX(Trad, 53, $A$20)</f>
        <v>Verschmutzt</v>
      </c>
      <c r="N37" s="253"/>
      <c r="O37" s="253"/>
      <c r="P37" s="254"/>
      <c r="Q37" s="251"/>
      <c r="R37" s="251"/>
      <c r="S37" s="264">
        <f t="shared" si="7"/>
        <v>0</v>
      </c>
      <c r="T37" s="252" t="str" cm="1">
        <f t="array" ref="T37">INDEX(Trad, 52, $A$20)</f>
        <v>Sauber</v>
      </c>
      <c r="U37" s="253"/>
      <c r="V37" s="253"/>
      <c r="W37" s="254"/>
      <c r="X37" s="251"/>
      <c r="Y37" s="251"/>
      <c r="Z37" s="264">
        <f t="shared" si="8"/>
        <v>0</v>
      </c>
      <c r="AA37" s="261"/>
      <c r="AB37" s="258"/>
      <c r="AC37" s="246"/>
      <c r="AD37" s="247" t="str">
        <f>IF(ISBLANK(AC37), "", VLOOKUP(AC37, Z!$A$2:$C$4127, 3, FALSE))</f>
        <v/>
      </c>
      <c r="AE37" s="262"/>
      <c r="AF37" s="263">
        <f t="shared" si="1"/>
        <v>0</v>
      </c>
      <c r="AG37" s="238"/>
      <c r="AH37" s="229">
        <f t="shared" ref="AH37" si="78">IF(ISBLANK(H37), 1, IFERROR(MATCH(H37, INDEX(Use,,1), 0), IFERROR(MATCH(H37, INDEX(Use,,2), 0), MATCH(H37, INDEX(Use,,3), 0))))</f>
        <v>1</v>
      </c>
      <c r="AI37" s="229">
        <f t="shared" ref="AI37" si="79">IF(ISBLANK(G37), 1, IFERROR(MATCH(G37, INDEX(Loc,,1), 0), IFERROR(MATCH(G37, INDEX(Loc,,2), 0), MATCH(G37, INDEX(Loc,,3), 0))))</f>
        <v>1</v>
      </c>
      <c r="AJ37" s="229">
        <f t="shared" ref="AJ37" si="80">_xlfn.IFNA(IF(IFERROR(MATCH(I37, INDEX(Medium,,1), 0), IFERROR(MATCH(I37, INDEX(Medium,,2), 0), MATCH(I37, INDEX(Medium,,3), 0))) = 2, 1, 0), 0)</f>
        <v>0</v>
      </c>
      <c r="AK37" s="229">
        <v>0</v>
      </c>
      <c r="AL37" s="229">
        <v>0</v>
      </c>
      <c r="AM37" s="229">
        <v>1</v>
      </c>
      <c r="AN37" s="229">
        <v>0</v>
      </c>
      <c r="AO37" s="229">
        <f t="shared" si="5"/>
        <v>-100</v>
      </c>
      <c r="AP37" s="238"/>
      <c r="AQ37" s="229">
        <v>-5</v>
      </c>
      <c r="AR37" s="232">
        <v>0</v>
      </c>
      <c r="AS37" s="232">
        <v>49</v>
      </c>
      <c r="AT37" s="232">
        <v>57</v>
      </c>
      <c r="AU37" s="233">
        <f t="shared" si="6"/>
        <v>0</v>
      </c>
      <c r="AV37" s="233">
        <f t="shared" si="6"/>
        <v>0</v>
      </c>
      <c r="AW37" s="233" cm="1">
        <f t="array" ref="AW37">MIN(INDEX(Use,AW$21,5) + MAX(0, (1-INDEX(Use,AW$21,5))*($AQ37-5)/(35-5)), 1)</f>
        <v>0.4</v>
      </c>
      <c r="AX37" s="233" cm="1">
        <f t="array" ref="AX37">MIN(INDEX(Use,AX$21,5) + MAX(0, (1-INDEX(Use,AX$21,5))*($AQ37-5)/(35-5)), 1)</f>
        <v>0.6</v>
      </c>
      <c r="AY37" s="233" cm="1">
        <f t="array" ref="AY37">MIN(INDEX(Use,AY$21,5) + MAX(0, (1-INDEX(Use,AY$21,5))*($AQ37-5)/(35-5)), 1)</f>
        <v>0.8</v>
      </c>
      <c r="AZ37" s="233" cm="1">
        <f t="array" ref="AZ37">MIN(INDEX(Use,AZ$21,5) + MAX(0, (1-INDEX(Use,AZ$21,5))*($AQ37-5)/(35-5)), 1)</f>
        <v>0.8</v>
      </c>
      <c r="BA37" s="233" cm="1">
        <f t="array" ref="BA37">MIN(INDEX(Use,BA$21,5) + MAX(0, (1-INDEX(Use,BA$21,5))*($AQ37-5)/(35-5)), 1)</f>
        <v>0.8</v>
      </c>
      <c r="BB37" s="233">
        <v>1</v>
      </c>
      <c r="BC37" s="233">
        <v>1</v>
      </c>
      <c r="BD37" s="211"/>
      <c r="BE37" s="229" cm="1">
        <f t="array" ref="BE37">IF(ISBLANK(R37), INDEX(Use, $AH37, 4) - AM37*INDEX(Use, $AH37, 6), R37)</f>
        <v>5</v>
      </c>
      <c r="BF37" s="229">
        <f t="shared" si="12"/>
        <v>30</v>
      </c>
      <c r="BG37" s="229">
        <f t="shared" si="13"/>
        <v>13</v>
      </c>
      <c r="BH37" s="229">
        <f t="shared" si="14"/>
        <v>0</v>
      </c>
      <c r="BI37" s="234" cm="1">
        <f t="array" ref="BI37">K37/IF($L37&gt;0, INDEX($AU$23:$BA$77, $L37+20, $AH37), 1)</f>
        <v>0</v>
      </c>
      <c r="BJ37" s="230">
        <f t="shared" si="15"/>
        <v>0</v>
      </c>
      <c r="BK37" s="229">
        <v>35</v>
      </c>
      <c r="BL37" s="230">
        <f t="shared" si="16"/>
        <v>48</v>
      </c>
      <c r="BM37" s="235">
        <f t="shared" si="17"/>
        <v>2.9108720930232557</v>
      </c>
      <c r="BN37" s="235" cm="1">
        <f t="array" ref="BN37">$BI37 * SUMPRODUCT(INDEX($AR$77:$AT$82,,$AI37),INDEX($AU$77:$BA$82,,$AH37), N($AQ$77:$AQ$82&gt;$AO37)) / BM37 / 1000</f>
        <v>0</v>
      </c>
      <c r="BO37" s="232">
        <f t="shared" si="18"/>
        <v>30</v>
      </c>
      <c r="BP37" s="230">
        <f t="shared" si="19"/>
        <v>43</v>
      </c>
      <c r="BQ37" s="235">
        <f t="shared" si="20"/>
        <v>3.2938815789473681</v>
      </c>
      <c r="BR37" s="235" cm="1">
        <f t="array" ref="BR37">$BI37 * IF($AH37&lt;=2,
SUMPRODUCT(INDEX($AR$72:$AT$76,,$AI37), INDEX($AU$72:$BA$76,,$AH37), 1 / ($BB$72:$BB$76*BQ37 + (1-$BB$72:$BB$76)*BM37), N($AQ$72:$AQ$76&gt;$AO37)),
SUMPRODUCT(INDEX($AR$67:$AT$76,,$AI37), INDEX($AU$67:$BA$76,,$AH37), 1 / ($BC$67:$BC$76*BQ37 + (1-$BC$67:$BC$76)*BM37), N($AQ$67:$AQ$76&gt;$AO37))
) / 1000</f>
        <v>0</v>
      </c>
      <c r="BS37" s="232">
        <f t="shared" si="21"/>
        <v>25</v>
      </c>
      <c r="BT37" s="230">
        <f t="shared" si="22"/>
        <v>38</v>
      </c>
      <c r="BU37" s="235">
        <f t="shared" si="23"/>
        <v>3.792954545454545</v>
      </c>
      <c r="BV37" s="235" cm="1">
        <f t="array" ref="BV37">$BI37 * IF($AH37&lt;=2,
SUMPRODUCT(INDEX($AR$67:$AT$71,,$AI37), INDEX($AU$67:$BA$71,,$AH37), 1 / ($BB$67:$BB$71*BU37 + (1-$BB$67:$BB$71)*BQ37), N($AQ$67:$AQ$71&gt;$AO37)),
SUMPRODUCT(INDEX($AR$57:$AT$66,,$AI37), INDEX($AU$57:$BA$66,,$AH37), 1 / ($BC$57:$BC$66*BU37 + (1-$BC$57:$BC$66)*BQ37), N($AQ$57:$AQ$66&gt;$AO37))
) / 1000</f>
        <v>0</v>
      </c>
      <c r="BW37" s="232">
        <f t="shared" si="24"/>
        <v>20</v>
      </c>
      <c r="BX37" s="230">
        <f t="shared" si="25"/>
        <v>33</v>
      </c>
      <c r="BY37" s="235">
        <f t="shared" si="26"/>
        <v>4.4702678571428569</v>
      </c>
      <c r="BZ37" s="235" cm="1">
        <f t="array" ref="BZ37">$BI37 * IF($AH37&lt;=2,
SUMPRODUCT(INDEX($AR$62:$AT$66,,$AI37), INDEX($AU$62:$BA$66,,$AH37), 1 / ($BB$62:$BB$66*BY37 + (1-$BB$62:$BB$66)*BU37), N($AQ$62:$AQ$66&gt;$AO37)),
SUMPRODUCT(INDEX($AR$47:$AT$56,,$AI37), INDEX($AU$47:$BA$56,,$AH37), 1 / ($BC$47:$BC$56*BY37 + (1-$BC$47:$BC$56)*BU37), N($AQ$47:$AQ$56&gt;$AO37))
) / 1000</f>
        <v>0</v>
      </c>
      <c r="CA37" s="235" cm="1">
        <f t="array" ref="CA37">$BI37 * IF($AH37&lt;=2,
SUMPRODUCT(INDEX($AR$23:$AT$61,,$AI37), INDEX($AU$23:$BA$61,,$AH37), 1 / ($BB$23:$BB$61*BY37), N($AQ$23:$AQ$61&gt;$AO37)),
SUMPRODUCT(INDEX($AR$23:$AT$46,,$AI37), INDEX($AU$23:$BA$46,,$AH37), 1 / ($BC$23:$BC$46*BY37), N($AQ$23:$AQ$46&gt;$AO37))
) / 1000</f>
        <v>0</v>
      </c>
      <c r="CB37" s="230">
        <f t="shared" si="27"/>
        <v>0</v>
      </c>
      <c r="CC37" s="238"/>
      <c r="CD37" s="229" cm="1">
        <f t="array" ref="CD37">IF(ISBLANK(Y37), INDEX(Use, $AH37, 4) - AN37*INDEX(Use, $AH37, 6) - (Q37-X37), Y37)</f>
        <v>7</v>
      </c>
      <c r="CE37" s="229">
        <f t="shared" si="28"/>
        <v>32</v>
      </c>
      <c r="CF37" s="230">
        <f t="shared" si="29"/>
        <v>0</v>
      </c>
      <c r="CG37" s="229">
        <v>35</v>
      </c>
      <c r="CH37" s="230">
        <f t="shared" si="30"/>
        <v>48</v>
      </c>
      <c r="CI37" s="235">
        <f t="shared" si="31"/>
        <v>3.0748170731707316</v>
      </c>
      <c r="CJ37" s="235" cm="1">
        <f t="array" ref="CJ37">$BI37 * SUMPRODUCT(INDEX($AR$77:$AT$82,,$AI37),INDEX($AU$77:$BA$82,,$AH37), N($AQ$77:$AQ$82&gt;$AO37)) / CI37 / 1000</f>
        <v>0</v>
      </c>
      <c r="CK37" s="232">
        <f t="shared" si="32"/>
        <v>30</v>
      </c>
      <c r="CL37" s="230">
        <f t="shared" si="33"/>
        <v>43</v>
      </c>
      <c r="CM37" s="235">
        <f t="shared" si="34"/>
        <v>3.5018750000000001</v>
      </c>
      <c r="CN37" s="235" cm="1">
        <f t="array" ref="CN37">$BI37 * IF($AH37&lt;=2,
SUMPRODUCT(INDEX($AR$72:$AT$76,,$AI37), INDEX($AU$72:$BA$76,,$AH37), 1 / ($BB$72:$BB$76*CM37 + (1-$BB$72:$BB$76)*CI37), N($AQ$72:$AQ$76&gt;$AO37)),
SUMPRODUCT(INDEX($AR$67:$AT$76,,$AI37), INDEX($AU$67:$BA$76,,$AH37), 1 / ($BC$67:$BC$76*CM37 + (1-$BC$67:$BC$76)*CI37), N($AQ$67:$AQ$76&gt;$AO37))
) / 1000</f>
        <v>0</v>
      </c>
      <c r="CO37" s="232">
        <f t="shared" si="35"/>
        <v>25</v>
      </c>
      <c r="CP37" s="230">
        <f t="shared" si="36"/>
        <v>38</v>
      </c>
      <c r="CQ37" s="235">
        <f t="shared" si="37"/>
        <v>4.0666935483870965</v>
      </c>
      <c r="CR37" s="235" cm="1">
        <f t="array" ref="CR37">$BI37 * IF($AH37&lt;=2,
SUMPRODUCT(INDEX($AR$67:$AT$71,,$AI37), INDEX($AU$67:$BA$71,,$AH37), 1 / ($BB$67:$BB$71*CQ37 + (1-$BB$67:$BB$71)*CM37), N($AQ$67:$AQ$71&gt;$AO37)),
SUMPRODUCT(INDEX($AR$57:$AT$66,,$AI37), INDEX($AU$57:$BA$66,,$AH37), 1 / ($BC$57:$BC$66*CQ37 + (1-$BC$57:$BC$66)*CM37), N($AQ$57:$AQ$66&gt;$AO37))
) / 1000</f>
        <v>0</v>
      </c>
      <c r="CS37" s="232">
        <f t="shared" si="38"/>
        <v>20</v>
      </c>
      <c r="CT37" s="230">
        <f t="shared" si="39"/>
        <v>33</v>
      </c>
      <c r="CU37" s="235">
        <f t="shared" si="40"/>
        <v>4.8487499999999999</v>
      </c>
      <c r="CV37" s="235" cm="1">
        <f t="array" ref="CV37">$BI37 * IF($AH37&lt;=2,
SUMPRODUCT(INDEX($AR$62:$AT$66,,$AI37), INDEX($AU$62:$BA$66,,$AH37), 1 / ($BB$62:$BB$66*CU37 + (1-$BB$62:$BB$66)*CQ37), N($AQ$62:$AQ$66&gt;$AO37)),
SUMPRODUCT(INDEX($AR$47:$AT$56,,$AI37), INDEX($AU$47:$BA$56,,$AH37), 1 / ($BC$47:$BC$56*CU37 + (1-$BC$47:$BC$56)*CQ37), N($AQ$47:$AQ$56&gt;$AO37))
) / 1000</f>
        <v>0</v>
      </c>
      <c r="CW37" s="235" cm="1">
        <f t="array" ref="CW37">$BI37 * IF($AH37&lt;=2,
SUMPRODUCT(INDEX($AR$23:$AT$61,,$AI37), INDEX($AU$23:$BA$61,,$AH37), 1 / ($BB$23:$BB$61*CU37), N($AQ$23:$AQ$61&gt;$AO37)),
SUMPRODUCT(INDEX($AR$23:$AT$46,,$AI37), INDEX($AU$23:$BA$46,,$AH37), 1 / ($BC$23:$BC$46*CU37), N($AQ$23:$AQ$46&gt;$AO37))
) / 1000</f>
        <v>0</v>
      </c>
      <c r="CX37" s="230">
        <f t="shared" si="41"/>
        <v>0</v>
      </c>
      <c r="CY37" s="238"/>
    </row>
    <row r="38" spans="1:103" s="76" customFormat="1" ht="14.25" customHeight="1" x14ac:dyDescent="0.25">
      <c r="A38" s="231" t="b">
        <f t="shared" si="0"/>
        <v>0</v>
      </c>
      <c r="B38" s="245">
        <v>16</v>
      </c>
      <c r="C38" s="258"/>
      <c r="D38" s="258"/>
      <c r="E38" s="246"/>
      <c r="F38" s="247" t="str">
        <f>IF(ISBLANK(E38), "", VLOOKUP(E38, Z!$A$2:$C$4127, 3, FALSE))</f>
        <v/>
      </c>
      <c r="G38" s="248"/>
      <c r="H38" s="248"/>
      <c r="I38" s="249"/>
      <c r="J38" s="250"/>
      <c r="K38" s="259"/>
      <c r="L38" s="260"/>
      <c r="M38" s="252" t="str" cm="1">
        <f t="array" ref="M38">INDEX(Trad, 53, $A$20)</f>
        <v>Verschmutzt</v>
      </c>
      <c r="N38" s="253"/>
      <c r="O38" s="253"/>
      <c r="P38" s="254"/>
      <c r="Q38" s="251"/>
      <c r="R38" s="251"/>
      <c r="S38" s="264">
        <f t="shared" si="7"/>
        <v>0</v>
      </c>
      <c r="T38" s="252" t="str" cm="1">
        <f t="array" ref="T38">INDEX(Trad, 52, $A$20)</f>
        <v>Sauber</v>
      </c>
      <c r="U38" s="253"/>
      <c r="V38" s="253"/>
      <c r="W38" s="254"/>
      <c r="X38" s="251"/>
      <c r="Y38" s="251"/>
      <c r="Z38" s="264">
        <f t="shared" si="8"/>
        <v>0</v>
      </c>
      <c r="AA38" s="261"/>
      <c r="AB38" s="258"/>
      <c r="AC38" s="246"/>
      <c r="AD38" s="247" t="str">
        <f>IF(ISBLANK(AC38), "", VLOOKUP(AC38, Z!$A$2:$C$4127, 3, FALSE))</f>
        <v/>
      </c>
      <c r="AE38" s="262"/>
      <c r="AF38" s="263">
        <f t="shared" si="1"/>
        <v>0</v>
      </c>
      <c r="AG38" s="238"/>
      <c r="AH38" s="229">
        <f t="shared" ref="AH38" si="81">IF(ISBLANK(H38), 1, IFERROR(MATCH(H38, INDEX(Use,,1), 0), IFERROR(MATCH(H38, INDEX(Use,,2), 0), MATCH(H38, INDEX(Use,,3), 0))))</f>
        <v>1</v>
      </c>
      <c r="AI38" s="229">
        <f t="shared" ref="AI38" si="82">IF(ISBLANK(G38), 1, IFERROR(MATCH(G38, INDEX(Loc,,1), 0), IFERROR(MATCH(G38, INDEX(Loc,,2), 0), MATCH(G38, INDEX(Loc,,3), 0))))</f>
        <v>1</v>
      </c>
      <c r="AJ38" s="229">
        <f t="shared" ref="AJ38" si="83">_xlfn.IFNA(IF(IFERROR(MATCH(I38, INDEX(Medium,,1), 0), IFERROR(MATCH(I38, INDEX(Medium,,2), 0), MATCH(I38, INDEX(Medium,,3), 0))) = 2, 1, 0), 0)</f>
        <v>0</v>
      </c>
      <c r="AK38" s="229">
        <v>0</v>
      </c>
      <c r="AL38" s="229">
        <v>0</v>
      </c>
      <c r="AM38" s="229">
        <v>1</v>
      </c>
      <c r="AN38" s="229">
        <v>0</v>
      </c>
      <c r="AO38" s="229">
        <f t="shared" si="5"/>
        <v>-100</v>
      </c>
      <c r="AP38" s="238"/>
      <c r="AQ38" s="229">
        <v>-4</v>
      </c>
      <c r="AR38" s="232">
        <v>2</v>
      </c>
      <c r="AS38" s="232">
        <v>105</v>
      </c>
      <c r="AT38" s="232">
        <v>56</v>
      </c>
      <c r="AU38" s="233">
        <f t="shared" si="6"/>
        <v>0</v>
      </c>
      <c r="AV38" s="233">
        <f t="shared" si="6"/>
        <v>0</v>
      </c>
      <c r="AW38" s="233" cm="1">
        <f t="array" ref="AW38">MIN(INDEX(Use,AW$21,5) + MAX(0, (1-INDEX(Use,AW$21,5))*($AQ38-5)/(35-5)), 1)</f>
        <v>0.4</v>
      </c>
      <c r="AX38" s="233" cm="1">
        <f t="array" ref="AX38">MIN(INDEX(Use,AX$21,5) + MAX(0, (1-INDEX(Use,AX$21,5))*($AQ38-5)/(35-5)), 1)</f>
        <v>0.6</v>
      </c>
      <c r="AY38" s="233" cm="1">
        <f t="array" ref="AY38">MIN(INDEX(Use,AY$21,5) + MAX(0, (1-INDEX(Use,AY$21,5))*($AQ38-5)/(35-5)), 1)</f>
        <v>0.8</v>
      </c>
      <c r="AZ38" s="233" cm="1">
        <f t="array" ref="AZ38">MIN(INDEX(Use,AZ$21,5) + MAX(0, (1-INDEX(Use,AZ$21,5))*($AQ38-5)/(35-5)), 1)</f>
        <v>0.8</v>
      </c>
      <c r="BA38" s="233" cm="1">
        <f t="array" ref="BA38">MIN(INDEX(Use,BA$21,5) + MAX(0, (1-INDEX(Use,BA$21,5))*($AQ38-5)/(35-5)), 1)</f>
        <v>0.8</v>
      </c>
      <c r="BB38" s="233">
        <v>1</v>
      </c>
      <c r="BC38" s="233">
        <v>1</v>
      </c>
      <c r="BD38" s="211"/>
      <c r="BE38" s="229" cm="1">
        <f t="array" ref="BE38">IF(ISBLANK(R38), INDEX(Use, $AH38, 4) - AM38*INDEX(Use, $AH38, 6), R38)</f>
        <v>5</v>
      </c>
      <c r="BF38" s="229">
        <f t="shared" si="12"/>
        <v>30</v>
      </c>
      <c r="BG38" s="229">
        <f t="shared" si="13"/>
        <v>13</v>
      </c>
      <c r="BH38" s="229">
        <f t="shared" si="14"/>
        <v>0</v>
      </c>
      <c r="BI38" s="234" cm="1">
        <f t="array" ref="BI38">K38/IF($L38&gt;0, INDEX($AU$23:$BA$77, $L38+20, $AH38), 1)</f>
        <v>0</v>
      </c>
      <c r="BJ38" s="230">
        <f t="shared" si="15"/>
        <v>0</v>
      </c>
      <c r="BK38" s="229">
        <v>35</v>
      </c>
      <c r="BL38" s="230">
        <f t="shared" si="16"/>
        <v>48</v>
      </c>
      <c r="BM38" s="235">
        <f t="shared" si="17"/>
        <v>2.9108720930232557</v>
      </c>
      <c r="BN38" s="235" cm="1">
        <f t="array" ref="BN38">$BI38 * SUMPRODUCT(INDEX($AR$77:$AT$82,,$AI38),INDEX($AU$77:$BA$82,,$AH38), N($AQ$77:$AQ$82&gt;$AO38)) / BM38 / 1000</f>
        <v>0</v>
      </c>
      <c r="BO38" s="232">
        <f t="shared" si="18"/>
        <v>30</v>
      </c>
      <c r="BP38" s="230">
        <f t="shared" si="19"/>
        <v>43</v>
      </c>
      <c r="BQ38" s="235">
        <f t="shared" si="20"/>
        <v>3.2938815789473681</v>
      </c>
      <c r="BR38" s="235" cm="1">
        <f t="array" ref="BR38">$BI38 * IF($AH38&lt;=2,
SUMPRODUCT(INDEX($AR$72:$AT$76,,$AI38), INDEX($AU$72:$BA$76,,$AH38), 1 / ($BB$72:$BB$76*BQ38 + (1-$BB$72:$BB$76)*BM38), N($AQ$72:$AQ$76&gt;$AO38)),
SUMPRODUCT(INDEX($AR$67:$AT$76,,$AI38), INDEX($AU$67:$BA$76,,$AH38), 1 / ($BC$67:$BC$76*BQ38 + (1-$BC$67:$BC$76)*BM38), N($AQ$67:$AQ$76&gt;$AO38))
) / 1000</f>
        <v>0</v>
      </c>
      <c r="BS38" s="232">
        <f t="shared" si="21"/>
        <v>25</v>
      </c>
      <c r="BT38" s="230">
        <f t="shared" si="22"/>
        <v>38</v>
      </c>
      <c r="BU38" s="235">
        <f t="shared" si="23"/>
        <v>3.792954545454545</v>
      </c>
      <c r="BV38" s="235" cm="1">
        <f t="array" ref="BV38">$BI38 * IF($AH38&lt;=2,
SUMPRODUCT(INDEX($AR$67:$AT$71,,$AI38), INDEX($AU$67:$BA$71,,$AH38), 1 / ($BB$67:$BB$71*BU38 + (1-$BB$67:$BB$71)*BQ38), N($AQ$67:$AQ$71&gt;$AO38)),
SUMPRODUCT(INDEX($AR$57:$AT$66,,$AI38), INDEX($AU$57:$BA$66,,$AH38), 1 / ($BC$57:$BC$66*BU38 + (1-$BC$57:$BC$66)*BQ38), N($AQ$57:$AQ$66&gt;$AO38))
) / 1000</f>
        <v>0</v>
      </c>
      <c r="BW38" s="232">
        <f t="shared" si="24"/>
        <v>20</v>
      </c>
      <c r="BX38" s="230">
        <f t="shared" si="25"/>
        <v>33</v>
      </c>
      <c r="BY38" s="235">
        <f t="shared" si="26"/>
        <v>4.4702678571428569</v>
      </c>
      <c r="BZ38" s="235" cm="1">
        <f t="array" ref="BZ38">$BI38 * IF($AH38&lt;=2,
SUMPRODUCT(INDEX($AR$62:$AT$66,,$AI38), INDEX($AU$62:$BA$66,,$AH38), 1 / ($BB$62:$BB$66*BY38 + (1-$BB$62:$BB$66)*BU38), N($AQ$62:$AQ$66&gt;$AO38)),
SUMPRODUCT(INDEX($AR$47:$AT$56,,$AI38), INDEX($AU$47:$BA$56,,$AH38), 1 / ($BC$47:$BC$56*BY38 + (1-$BC$47:$BC$56)*BU38), N($AQ$47:$AQ$56&gt;$AO38))
) / 1000</f>
        <v>0</v>
      </c>
      <c r="CA38" s="235" cm="1">
        <f t="array" ref="CA38">$BI38 * IF($AH38&lt;=2,
SUMPRODUCT(INDEX($AR$23:$AT$61,,$AI38), INDEX($AU$23:$BA$61,,$AH38), 1 / ($BB$23:$BB$61*BY38), N($AQ$23:$AQ$61&gt;$AO38)),
SUMPRODUCT(INDEX($AR$23:$AT$46,,$AI38), INDEX($AU$23:$BA$46,,$AH38), 1 / ($BC$23:$BC$46*BY38), N($AQ$23:$AQ$46&gt;$AO38))
) / 1000</f>
        <v>0</v>
      </c>
      <c r="CB38" s="230">
        <f t="shared" si="27"/>
        <v>0</v>
      </c>
      <c r="CC38" s="238"/>
      <c r="CD38" s="229" cm="1">
        <f t="array" ref="CD38">IF(ISBLANK(Y38), INDEX(Use, $AH38, 4) - AN38*INDEX(Use, $AH38, 6) - (Q38-X38), Y38)</f>
        <v>7</v>
      </c>
      <c r="CE38" s="229">
        <f t="shared" si="28"/>
        <v>32</v>
      </c>
      <c r="CF38" s="230">
        <f t="shared" si="29"/>
        <v>0</v>
      </c>
      <c r="CG38" s="229">
        <v>35</v>
      </c>
      <c r="CH38" s="230">
        <f t="shared" si="30"/>
        <v>48</v>
      </c>
      <c r="CI38" s="235">
        <f t="shared" si="31"/>
        <v>3.0748170731707316</v>
      </c>
      <c r="CJ38" s="235" cm="1">
        <f t="array" ref="CJ38">$BI38 * SUMPRODUCT(INDEX($AR$77:$AT$82,,$AI38),INDEX($AU$77:$BA$82,,$AH38), N($AQ$77:$AQ$82&gt;$AO38)) / CI38 / 1000</f>
        <v>0</v>
      </c>
      <c r="CK38" s="232">
        <f t="shared" si="32"/>
        <v>30</v>
      </c>
      <c r="CL38" s="230">
        <f t="shared" si="33"/>
        <v>43</v>
      </c>
      <c r="CM38" s="235">
        <f t="shared" si="34"/>
        <v>3.5018750000000001</v>
      </c>
      <c r="CN38" s="235" cm="1">
        <f t="array" ref="CN38">$BI38 * IF($AH38&lt;=2,
SUMPRODUCT(INDEX($AR$72:$AT$76,,$AI38), INDEX($AU$72:$BA$76,,$AH38), 1 / ($BB$72:$BB$76*CM38 + (1-$BB$72:$BB$76)*CI38), N($AQ$72:$AQ$76&gt;$AO38)),
SUMPRODUCT(INDEX($AR$67:$AT$76,,$AI38), INDEX($AU$67:$BA$76,,$AH38), 1 / ($BC$67:$BC$76*CM38 + (1-$BC$67:$BC$76)*CI38), N($AQ$67:$AQ$76&gt;$AO38))
) / 1000</f>
        <v>0</v>
      </c>
      <c r="CO38" s="232">
        <f t="shared" si="35"/>
        <v>25</v>
      </c>
      <c r="CP38" s="230">
        <f t="shared" si="36"/>
        <v>38</v>
      </c>
      <c r="CQ38" s="235">
        <f t="shared" si="37"/>
        <v>4.0666935483870965</v>
      </c>
      <c r="CR38" s="235" cm="1">
        <f t="array" ref="CR38">$BI38 * IF($AH38&lt;=2,
SUMPRODUCT(INDEX($AR$67:$AT$71,,$AI38), INDEX($AU$67:$BA$71,,$AH38), 1 / ($BB$67:$BB$71*CQ38 + (1-$BB$67:$BB$71)*CM38), N($AQ$67:$AQ$71&gt;$AO38)),
SUMPRODUCT(INDEX($AR$57:$AT$66,,$AI38), INDEX($AU$57:$BA$66,,$AH38), 1 / ($BC$57:$BC$66*CQ38 + (1-$BC$57:$BC$66)*CM38), N($AQ$57:$AQ$66&gt;$AO38))
) / 1000</f>
        <v>0</v>
      </c>
      <c r="CS38" s="232">
        <f t="shared" si="38"/>
        <v>20</v>
      </c>
      <c r="CT38" s="230">
        <f t="shared" si="39"/>
        <v>33</v>
      </c>
      <c r="CU38" s="235">
        <f t="shared" si="40"/>
        <v>4.8487499999999999</v>
      </c>
      <c r="CV38" s="235" cm="1">
        <f t="array" ref="CV38">$BI38 * IF($AH38&lt;=2,
SUMPRODUCT(INDEX($AR$62:$AT$66,,$AI38), INDEX($AU$62:$BA$66,,$AH38), 1 / ($BB$62:$BB$66*CU38 + (1-$BB$62:$BB$66)*CQ38), N($AQ$62:$AQ$66&gt;$AO38)),
SUMPRODUCT(INDEX($AR$47:$AT$56,,$AI38), INDEX($AU$47:$BA$56,,$AH38), 1 / ($BC$47:$BC$56*CU38 + (1-$BC$47:$BC$56)*CQ38), N($AQ$47:$AQ$56&gt;$AO38))
) / 1000</f>
        <v>0</v>
      </c>
      <c r="CW38" s="235" cm="1">
        <f t="array" ref="CW38">$BI38 * IF($AH38&lt;=2,
SUMPRODUCT(INDEX($AR$23:$AT$61,,$AI38), INDEX($AU$23:$BA$61,,$AH38), 1 / ($BB$23:$BB$61*CU38), N($AQ$23:$AQ$61&gt;$AO38)),
SUMPRODUCT(INDEX($AR$23:$AT$46,,$AI38), INDEX($AU$23:$BA$46,,$AH38), 1 / ($BC$23:$BC$46*CU38), N($AQ$23:$AQ$46&gt;$AO38))
) / 1000</f>
        <v>0</v>
      </c>
      <c r="CX38" s="230">
        <f t="shared" si="41"/>
        <v>0</v>
      </c>
      <c r="CY38" s="238"/>
    </row>
    <row r="39" spans="1:103" s="76" customFormat="1" ht="14.25" customHeight="1" x14ac:dyDescent="0.25">
      <c r="A39" s="231" t="b">
        <f t="shared" si="0"/>
        <v>0</v>
      </c>
      <c r="B39" s="245">
        <v>17</v>
      </c>
      <c r="C39" s="258"/>
      <c r="D39" s="258"/>
      <c r="E39" s="246"/>
      <c r="F39" s="247" t="str">
        <f>IF(ISBLANK(E39), "", VLOOKUP(E39, Z!$A$2:$C$4127, 3, FALSE))</f>
        <v/>
      </c>
      <c r="G39" s="248"/>
      <c r="H39" s="248"/>
      <c r="I39" s="249"/>
      <c r="J39" s="250"/>
      <c r="K39" s="259"/>
      <c r="L39" s="260"/>
      <c r="M39" s="252" t="str" cm="1">
        <f t="array" ref="M39">INDEX(Trad, 53, $A$20)</f>
        <v>Verschmutzt</v>
      </c>
      <c r="N39" s="253"/>
      <c r="O39" s="253"/>
      <c r="P39" s="254"/>
      <c r="Q39" s="251"/>
      <c r="R39" s="251"/>
      <c r="S39" s="264">
        <f t="shared" si="7"/>
        <v>0</v>
      </c>
      <c r="T39" s="252" t="str" cm="1">
        <f t="array" ref="T39">INDEX(Trad, 52, $A$20)</f>
        <v>Sauber</v>
      </c>
      <c r="U39" s="253"/>
      <c r="V39" s="253"/>
      <c r="W39" s="254"/>
      <c r="X39" s="251"/>
      <c r="Y39" s="251"/>
      <c r="Z39" s="264">
        <f t="shared" si="8"/>
        <v>0</v>
      </c>
      <c r="AA39" s="261"/>
      <c r="AB39" s="258"/>
      <c r="AC39" s="246"/>
      <c r="AD39" s="247" t="str">
        <f>IF(ISBLANK(AC39), "", VLOOKUP(AC39, Z!$A$2:$C$4127, 3, FALSE))</f>
        <v/>
      </c>
      <c r="AE39" s="262"/>
      <c r="AF39" s="263">
        <f t="shared" si="1"/>
        <v>0</v>
      </c>
      <c r="AG39" s="238"/>
      <c r="AH39" s="229">
        <f t="shared" ref="AH39" si="84">IF(ISBLANK(H39), 1, IFERROR(MATCH(H39, INDEX(Use,,1), 0), IFERROR(MATCH(H39, INDEX(Use,,2), 0), MATCH(H39, INDEX(Use,,3), 0))))</f>
        <v>1</v>
      </c>
      <c r="AI39" s="229">
        <f t="shared" ref="AI39" si="85">IF(ISBLANK(G39), 1, IFERROR(MATCH(G39, INDEX(Loc,,1), 0), IFERROR(MATCH(G39, INDEX(Loc,,2), 0), MATCH(G39, INDEX(Loc,,3), 0))))</f>
        <v>1</v>
      </c>
      <c r="AJ39" s="229">
        <f t="shared" ref="AJ39" si="86">_xlfn.IFNA(IF(IFERROR(MATCH(I39, INDEX(Medium,,1), 0), IFERROR(MATCH(I39, INDEX(Medium,,2), 0), MATCH(I39, INDEX(Medium,,3), 0))) = 2, 1, 0), 0)</f>
        <v>0</v>
      </c>
      <c r="AK39" s="229">
        <v>0</v>
      </c>
      <c r="AL39" s="229">
        <v>0</v>
      </c>
      <c r="AM39" s="229">
        <v>1</v>
      </c>
      <c r="AN39" s="229">
        <v>0</v>
      </c>
      <c r="AO39" s="229">
        <f t="shared" si="5"/>
        <v>-100</v>
      </c>
      <c r="AP39" s="238"/>
      <c r="AQ39" s="229">
        <v>-3</v>
      </c>
      <c r="AR39" s="232">
        <v>13</v>
      </c>
      <c r="AS39" s="232">
        <v>115</v>
      </c>
      <c r="AT39" s="232">
        <v>128</v>
      </c>
      <c r="AU39" s="233">
        <f t="shared" si="6"/>
        <v>0</v>
      </c>
      <c r="AV39" s="233">
        <f t="shared" si="6"/>
        <v>0</v>
      </c>
      <c r="AW39" s="233" cm="1">
        <f t="array" ref="AW39">MIN(INDEX(Use,AW$21,5) + MAX(0, (1-INDEX(Use,AW$21,5))*($AQ39-5)/(35-5)), 1)</f>
        <v>0.4</v>
      </c>
      <c r="AX39" s="233" cm="1">
        <f t="array" ref="AX39">MIN(INDEX(Use,AX$21,5) + MAX(0, (1-INDEX(Use,AX$21,5))*($AQ39-5)/(35-5)), 1)</f>
        <v>0.6</v>
      </c>
      <c r="AY39" s="233" cm="1">
        <f t="array" ref="AY39">MIN(INDEX(Use,AY$21,5) + MAX(0, (1-INDEX(Use,AY$21,5))*($AQ39-5)/(35-5)), 1)</f>
        <v>0.8</v>
      </c>
      <c r="AZ39" s="233" cm="1">
        <f t="array" ref="AZ39">MIN(INDEX(Use,AZ$21,5) + MAX(0, (1-INDEX(Use,AZ$21,5))*($AQ39-5)/(35-5)), 1)</f>
        <v>0.8</v>
      </c>
      <c r="BA39" s="233" cm="1">
        <f t="array" ref="BA39">MIN(INDEX(Use,BA$21,5) + MAX(0, (1-INDEX(Use,BA$21,5))*($AQ39-5)/(35-5)), 1)</f>
        <v>0.8</v>
      </c>
      <c r="BB39" s="233">
        <v>1</v>
      </c>
      <c r="BC39" s="233">
        <v>1</v>
      </c>
      <c r="BD39" s="211"/>
      <c r="BE39" s="229" cm="1">
        <f t="array" ref="BE39">IF(ISBLANK(R39), INDEX(Use, $AH39, 4) - AM39*INDEX(Use, $AH39, 6), R39)</f>
        <v>5</v>
      </c>
      <c r="BF39" s="229">
        <f t="shared" si="12"/>
        <v>30</v>
      </c>
      <c r="BG39" s="229">
        <f t="shared" si="13"/>
        <v>13</v>
      </c>
      <c r="BH39" s="229">
        <f t="shared" si="14"/>
        <v>0</v>
      </c>
      <c r="BI39" s="234" cm="1">
        <f t="array" ref="BI39">K39/IF($L39&gt;0, INDEX($AU$23:$BA$77, $L39+20, $AH39), 1)</f>
        <v>0</v>
      </c>
      <c r="BJ39" s="230">
        <f t="shared" si="15"/>
        <v>0</v>
      </c>
      <c r="BK39" s="229">
        <v>35</v>
      </c>
      <c r="BL39" s="230">
        <f t="shared" si="16"/>
        <v>48</v>
      </c>
      <c r="BM39" s="235">
        <f t="shared" si="17"/>
        <v>2.9108720930232557</v>
      </c>
      <c r="BN39" s="235" cm="1">
        <f t="array" ref="BN39">$BI39 * SUMPRODUCT(INDEX($AR$77:$AT$82,,$AI39),INDEX($AU$77:$BA$82,,$AH39), N($AQ$77:$AQ$82&gt;$AO39)) / BM39 / 1000</f>
        <v>0</v>
      </c>
      <c r="BO39" s="232">
        <f t="shared" si="18"/>
        <v>30</v>
      </c>
      <c r="BP39" s="230">
        <f t="shared" si="19"/>
        <v>43</v>
      </c>
      <c r="BQ39" s="235">
        <f t="shared" si="20"/>
        <v>3.2938815789473681</v>
      </c>
      <c r="BR39" s="235" cm="1">
        <f t="array" ref="BR39">$BI39 * IF($AH39&lt;=2,
SUMPRODUCT(INDEX($AR$72:$AT$76,,$AI39), INDEX($AU$72:$BA$76,,$AH39), 1 / ($BB$72:$BB$76*BQ39 + (1-$BB$72:$BB$76)*BM39), N($AQ$72:$AQ$76&gt;$AO39)),
SUMPRODUCT(INDEX($AR$67:$AT$76,,$AI39), INDEX($AU$67:$BA$76,,$AH39), 1 / ($BC$67:$BC$76*BQ39 + (1-$BC$67:$BC$76)*BM39), N($AQ$67:$AQ$76&gt;$AO39))
) / 1000</f>
        <v>0</v>
      </c>
      <c r="BS39" s="232">
        <f t="shared" si="21"/>
        <v>25</v>
      </c>
      <c r="BT39" s="230">
        <f t="shared" si="22"/>
        <v>38</v>
      </c>
      <c r="BU39" s="235">
        <f t="shared" si="23"/>
        <v>3.792954545454545</v>
      </c>
      <c r="BV39" s="235" cm="1">
        <f t="array" ref="BV39">$BI39 * IF($AH39&lt;=2,
SUMPRODUCT(INDEX($AR$67:$AT$71,,$AI39), INDEX($AU$67:$BA$71,,$AH39), 1 / ($BB$67:$BB$71*BU39 + (1-$BB$67:$BB$71)*BQ39), N($AQ$67:$AQ$71&gt;$AO39)),
SUMPRODUCT(INDEX($AR$57:$AT$66,,$AI39), INDEX($AU$57:$BA$66,,$AH39), 1 / ($BC$57:$BC$66*BU39 + (1-$BC$57:$BC$66)*BQ39), N($AQ$57:$AQ$66&gt;$AO39))
) / 1000</f>
        <v>0</v>
      </c>
      <c r="BW39" s="232">
        <f t="shared" si="24"/>
        <v>20</v>
      </c>
      <c r="BX39" s="230">
        <f t="shared" si="25"/>
        <v>33</v>
      </c>
      <c r="BY39" s="235">
        <f t="shared" si="26"/>
        <v>4.4702678571428569</v>
      </c>
      <c r="BZ39" s="235" cm="1">
        <f t="array" ref="BZ39">$BI39 * IF($AH39&lt;=2,
SUMPRODUCT(INDEX($AR$62:$AT$66,,$AI39), INDEX($AU$62:$BA$66,,$AH39), 1 / ($BB$62:$BB$66*BY39 + (1-$BB$62:$BB$66)*BU39), N($AQ$62:$AQ$66&gt;$AO39)),
SUMPRODUCT(INDEX($AR$47:$AT$56,,$AI39), INDEX($AU$47:$BA$56,,$AH39), 1 / ($BC$47:$BC$56*BY39 + (1-$BC$47:$BC$56)*BU39), N($AQ$47:$AQ$56&gt;$AO39))
) / 1000</f>
        <v>0</v>
      </c>
      <c r="CA39" s="235" cm="1">
        <f t="array" ref="CA39">$BI39 * IF($AH39&lt;=2,
SUMPRODUCT(INDEX($AR$23:$AT$61,,$AI39), INDEX($AU$23:$BA$61,,$AH39), 1 / ($BB$23:$BB$61*BY39), N($AQ$23:$AQ$61&gt;$AO39)),
SUMPRODUCT(INDEX($AR$23:$AT$46,,$AI39), INDEX($AU$23:$BA$46,,$AH39), 1 / ($BC$23:$BC$46*BY39), N($AQ$23:$AQ$46&gt;$AO39))
) / 1000</f>
        <v>0</v>
      </c>
      <c r="CB39" s="230">
        <f t="shared" si="27"/>
        <v>0</v>
      </c>
      <c r="CC39" s="238"/>
      <c r="CD39" s="229" cm="1">
        <f t="array" ref="CD39">IF(ISBLANK(Y39), INDEX(Use, $AH39, 4) - AN39*INDEX(Use, $AH39, 6) - (Q39-X39), Y39)</f>
        <v>7</v>
      </c>
      <c r="CE39" s="229">
        <f t="shared" si="28"/>
        <v>32</v>
      </c>
      <c r="CF39" s="230">
        <f t="shared" si="29"/>
        <v>0</v>
      </c>
      <c r="CG39" s="229">
        <v>35</v>
      </c>
      <c r="CH39" s="230">
        <f t="shared" si="30"/>
        <v>48</v>
      </c>
      <c r="CI39" s="235">
        <f t="shared" si="31"/>
        <v>3.0748170731707316</v>
      </c>
      <c r="CJ39" s="235" cm="1">
        <f t="array" ref="CJ39">$BI39 * SUMPRODUCT(INDEX($AR$77:$AT$82,,$AI39),INDEX($AU$77:$BA$82,,$AH39), N($AQ$77:$AQ$82&gt;$AO39)) / CI39 / 1000</f>
        <v>0</v>
      </c>
      <c r="CK39" s="232">
        <f t="shared" si="32"/>
        <v>30</v>
      </c>
      <c r="CL39" s="230">
        <f t="shared" si="33"/>
        <v>43</v>
      </c>
      <c r="CM39" s="235">
        <f t="shared" si="34"/>
        <v>3.5018750000000001</v>
      </c>
      <c r="CN39" s="235" cm="1">
        <f t="array" ref="CN39">$BI39 * IF($AH39&lt;=2,
SUMPRODUCT(INDEX($AR$72:$AT$76,,$AI39), INDEX($AU$72:$BA$76,,$AH39), 1 / ($BB$72:$BB$76*CM39 + (1-$BB$72:$BB$76)*CI39), N($AQ$72:$AQ$76&gt;$AO39)),
SUMPRODUCT(INDEX($AR$67:$AT$76,,$AI39), INDEX($AU$67:$BA$76,,$AH39), 1 / ($BC$67:$BC$76*CM39 + (1-$BC$67:$BC$76)*CI39), N($AQ$67:$AQ$76&gt;$AO39))
) / 1000</f>
        <v>0</v>
      </c>
      <c r="CO39" s="232">
        <f t="shared" si="35"/>
        <v>25</v>
      </c>
      <c r="CP39" s="230">
        <f t="shared" si="36"/>
        <v>38</v>
      </c>
      <c r="CQ39" s="235">
        <f t="shared" si="37"/>
        <v>4.0666935483870965</v>
      </c>
      <c r="CR39" s="235" cm="1">
        <f t="array" ref="CR39">$BI39 * IF($AH39&lt;=2,
SUMPRODUCT(INDEX($AR$67:$AT$71,,$AI39), INDEX($AU$67:$BA$71,,$AH39), 1 / ($BB$67:$BB$71*CQ39 + (1-$BB$67:$BB$71)*CM39), N($AQ$67:$AQ$71&gt;$AO39)),
SUMPRODUCT(INDEX($AR$57:$AT$66,,$AI39), INDEX($AU$57:$BA$66,,$AH39), 1 / ($BC$57:$BC$66*CQ39 + (1-$BC$57:$BC$66)*CM39), N($AQ$57:$AQ$66&gt;$AO39))
) / 1000</f>
        <v>0</v>
      </c>
      <c r="CS39" s="232">
        <f t="shared" si="38"/>
        <v>20</v>
      </c>
      <c r="CT39" s="230">
        <f t="shared" si="39"/>
        <v>33</v>
      </c>
      <c r="CU39" s="235">
        <f t="shared" si="40"/>
        <v>4.8487499999999999</v>
      </c>
      <c r="CV39" s="235" cm="1">
        <f t="array" ref="CV39">$BI39 * IF($AH39&lt;=2,
SUMPRODUCT(INDEX($AR$62:$AT$66,,$AI39), INDEX($AU$62:$BA$66,,$AH39), 1 / ($BB$62:$BB$66*CU39 + (1-$BB$62:$BB$66)*CQ39), N($AQ$62:$AQ$66&gt;$AO39)),
SUMPRODUCT(INDEX($AR$47:$AT$56,,$AI39), INDEX($AU$47:$BA$56,,$AH39), 1 / ($BC$47:$BC$56*CU39 + (1-$BC$47:$BC$56)*CQ39), N($AQ$47:$AQ$56&gt;$AO39))
) / 1000</f>
        <v>0</v>
      </c>
      <c r="CW39" s="235" cm="1">
        <f t="array" ref="CW39">$BI39 * IF($AH39&lt;=2,
SUMPRODUCT(INDEX($AR$23:$AT$61,,$AI39), INDEX($AU$23:$BA$61,,$AH39), 1 / ($BB$23:$BB$61*CU39), N($AQ$23:$AQ$61&gt;$AO39)),
SUMPRODUCT(INDEX($AR$23:$AT$46,,$AI39), INDEX($AU$23:$BA$46,,$AH39), 1 / ($BC$23:$BC$46*CU39), N($AQ$23:$AQ$46&gt;$AO39))
) / 1000</f>
        <v>0</v>
      </c>
      <c r="CX39" s="230">
        <f t="shared" si="41"/>
        <v>0</v>
      </c>
      <c r="CY39" s="238"/>
    </row>
    <row r="40" spans="1:103" s="76" customFormat="1" ht="14.25" customHeight="1" x14ac:dyDescent="0.25">
      <c r="A40" s="231" t="b">
        <f t="shared" si="0"/>
        <v>0</v>
      </c>
      <c r="B40" s="245">
        <v>18</v>
      </c>
      <c r="C40" s="258"/>
      <c r="D40" s="258"/>
      <c r="E40" s="246"/>
      <c r="F40" s="247" t="str">
        <f>IF(ISBLANK(E40), "", VLOOKUP(E40, Z!$A$2:$C$4127, 3, FALSE))</f>
        <v/>
      </c>
      <c r="G40" s="248"/>
      <c r="H40" s="248"/>
      <c r="I40" s="249"/>
      <c r="J40" s="250"/>
      <c r="K40" s="259"/>
      <c r="L40" s="260"/>
      <c r="M40" s="252" t="str" cm="1">
        <f t="array" ref="M40">INDEX(Trad, 53, $A$20)</f>
        <v>Verschmutzt</v>
      </c>
      <c r="N40" s="253"/>
      <c r="O40" s="253"/>
      <c r="P40" s="254"/>
      <c r="Q40" s="251"/>
      <c r="R40" s="251"/>
      <c r="S40" s="264">
        <f t="shared" si="7"/>
        <v>0</v>
      </c>
      <c r="T40" s="252" t="str" cm="1">
        <f t="array" ref="T40">INDEX(Trad, 52, $A$20)</f>
        <v>Sauber</v>
      </c>
      <c r="U40" s="253"/>
      <c r="V40" s="253"/>
      <c r="W40" s="254"/>
      <c r="X40" s="251"/>
      <c r="Y40" s="251"/>
      <c r="Z40" s="264">
        <f t="shared" si="8"/>
        <v>0</v>
      </c>
      <c r="AA40" s="261"/>
      <c r="AB40" s="258"/>
      <c r="AC40" s="246"/>
      <c r="AD40" s="247" t="str">
        <f>IF(ISBLANK(AC40), "", VLOOKUP(AC40, Z!$A$2:$C$4127, 3, FALSE))</f>
        <v/>
      </c>
      <c r="AE40" s="262"/>
      <c r="AF40" s="263">
        <f t="shared" si="1"/>
        <v>0</v>
      </c>
      <c r="AG40" s="238"/>
      <c r="AH40" s="229">
        <f t="shared" ref="AH40" si="87">IF(ISBLANK(H40), 1, IFERROR(MATCH(H40, INDEX(Use,,1), 0), IFERROR(MATCH(H40, INDEX(Use,,2), 0), MATCH(H40, INDEX(Use,,3), 0))))</f>
        <v>1</v>
      </c>
      <c r="AI40" s="229">
        <f t="shared" ref="AI40" si="88">IF(ISBLANK(G40), 1, IFERROR(MATCH(G40, INDEX(Loc,,1), 0), IFERROR(MATCH(G40, INDEX(Loc,,2), 0), MATCH(G40, INDEX(Loc,,3), 0))))</f>
        <v>1</v>
      </c>
      <c r="AJ40" s="229">
        <f t="shared" ref="AJ40" si="89">_xlfn.IFNA(IF(IFERROR(MATCH(I40, INDEX(Medium,,1), 0), IFERROR(MATCH(I40, INDEX(Medium,,2), 0), MATCH(I40, INDEX(Medium,,3), 0))) = 2, 1, 0), 0)</f>
        <v>0</v>
      </c>
      <c r="AK40" s="229">
        <v>0</v>
      </c>
      <c r="AL40" s="229">
        <v>0</v>
      </c>
      <c r="AM40" s="229">
        <v>1</v>
      </c>
      <c r="AN40" s="229">
        <v>0</v>
      </c>
      <c r="AO40" s="229">
        <f t="shared" si="5"/>
        <v>-100</v>
      </c>
      <c r="AP40" s="238"/>
      <c r="AQ40" s="229">
        <v>-2</v>
      </c>
      <c r="AR40" s="232">
        <v>47</v>
      </c>
      <c r="AS40" s="232">
        <v>181</v>
      </c>
      <c r="AT40" s="232">
        <v>180</v>
      </c>
      <c r="AU40" s="233">
        <f t="shared" si="6"/>
        <v>0</v>
      </c>
      <c r="AV40" s="233">
        <f t="shared" si="6"/>
        <v>0</v>
      </c>
      <c r="AW40" s="233" cm="1">
        <f t="array" ref="AW40">MIN(INDEX(Use,AW$21,5) + MAX(0, (1-INDEX(Use,AW$21,5))*($AQ40-5)/(35-5)), 1)</f>
        <v>0.4</v>
      </c>
      <c r="AX40" s="233" cm="1">
        <f t="array" ref="AX40">MIN(INDEX(Use,AX$21,5) + MAX(0, (1-INDEX(Use,AX$21,5))*($AQ40-5)/(35-5)), 1)</f>
        <v>0.6</v>
      </c>
      <c r="AY40" s="233" cm="1">
        <f t="array" ref="AY40">MIN(INDEX(Use,AY$21,5) + MAX(0, (1-INDEX(Use,AY$21,5))*($AQ40-5)/(35-5)), 1)</f>
        <v>0.8</v>
      </c>
      <c r="AZ40" s="233" cm="1">
        <f t="array" ref="AZ40">MIN(INDEX(Use,AZ$21,5) + MAX(0, (1-INDEX(Use,AZ$21,5))*($AQ40-5)/(35-5)), 1)</f>
        <v>0.8</v>
      </c>
      <c r="BA40" s="233" cm="1">
        <f t="array" ref="BA40">MIN(INDEX(Use,BA$21,5) + MAX(0, (1-INDEX(Use,BA$21,5))*($AQ40-5)/(35-5)), 1)</f>
        <v>0.8</v>
      </c>
      <c r="BB40" s="233">
        <v>1</v>
      </c>
      <c r="BC40" s="233">
        <v>1</v>
      </c>
      <c r="BD40" s="211"/>
      <c r="BE40" s="229" cm="1">
        <f t="array" ref="BE40">IF(ISBLANK(R40), INDEX(Use, $AH40, 4) - AM40*INDEX(Use, $AH40, 6), R40)</f>
        <v>5</v>
      </c>
      <c r="BF40" s="229">
        <f t="shared" si="12"/>
        <v>30</v>
      </c>
      <c r="BG40" s="229">
        <f t="shared" si="13"/>
        <v>13</v>
      </c>
      <c r="BH40" s="229">
        <f t="shared" si="14"/>
        <v>0</v>
      </c>
      <c r="BI40" s="234" cm="1">
        <f t="array" ref="BI40">K40/IF($L40&gt;0, INDEX($AU$23:$BA$77, $L40+20, $AH40), 1)</f>
        <v>0</v>
      </c>
      <c r="BJ40" s="230">
        <f t="shared" si="15"/>
        <v>0</v>
      </c>
      <c r="BK40" s="229">
        <v>35</v>
      </c>
      <c r="BL40" s="230">
        <f t="shared" si="16"/>
        <v>48</v>
      </c>
      <c r="BM40" s="235">
        <f t="shared" si="17"/>
        <v>2.9108720930232557</v>
      </c>
      <c r="BN40" s="235" cm="1">
        <f t="array" ref="BN40">$BI40 * SUMPRODUCT(INDEX($AR$77:$AT$82,,$AI40),INDEX($AU$77:$BA$82,,$AH40), N($AQ$77:$AQ$82&gt;$AO40)) / BM40 / 1000</f>
        <v>0</v>
      </c>
      <c r="BO40" s="232">
        <f t="shared" si="18"/>
        <v>30</v>
      </c>
      <c r="BP40" s="230">
        <f t="shared" si="19"/>
        <v>43</v>
      </c>
      <c r="BQ40" s="235">
        <f t="shared" si="20"/>
        <v>3.2938815789473681</v>
      </c>
      <c r="BR40" s="235" cm="1">
        <f t="array" ref="BR40">$BI40 * IF($AH40&lt;=2,
SUMPRODUCT(INDEX($AR$72:$AT$76,,$AI40), INDEX($AU$72:$BA$76,,$AH40), 1 / ($BB$72:$BB$76*BQ40 + (1-$BB$72:$BB$76)*BM40), N($AQ$72:$AQ$76&gt;$AO40)),
SUMPRODUCT(INDEX($AR$67:$AT$76,,$AI40), INDEX($AU$67:$BA$76,,$AH40), 1 / ($BC$67:$BC$76*BQ40 + (1-$BC$67:$BC$76)*BM40), N($AQ$67:$AQ$76&gt;$AO40))
) / 1000</f>
        <v>0</v>
      </c>
      <c r="BS40" s="232">
        <f t="shared" si="21"/>
        <v>25</v>
      </c>
      <c r="BT40" s="230">
        <f t="shared" si="22"/>
        <v>38</v>
      </c>
      <c r="BU40" s="235">
        <f t="shared" si="23"/>
        <v>3.792954545454545</v>
      </c>
      <c r="BV40" s="235" cm="1">
        <f t="array" ref="BV40">$BI40 * IF($AH40&lt;=2,
SUMPRODUCT(INDEX($AR$67:$AT$71,,$AI40), INDEX($AU$67:$BA$71,,$AH40), 1 / ($BB$67:$BB$71*BU40 + (1-$BB$67:$BB$71)*BQ40), N($AQ$67:$AQ$71&gt;$AO40)),
SUMPRODUCT(INDEX($AR$57:$AT$66,,$AI40), INDEX($AU$57:$BA$66,,$AH40), 1 / ($BC$57:$BC$66*BU40 + (1-$BC$57:$BC$66)*BQ40), N($AQ$57:$AQ$66&gt;$AO40))
) / 1000</f>
        <v>0</v>
      </c>
      <c r="BW40" s="232">
        <f t="shared" si="24"/>
        <v>20</v>
      </c>
      <c r="BX40" s="230">
        <f t="shared" si="25"/>
        <v>33</v>
      </c>
      <c r="BY40" s="235">
        <f t="shared" si="26"/>
        <v>4.4702678571428569</v>
      </c>
      <c r="BZ40" s="235" cm="1">
        <f t="array" ref="BZ40">$BI40 * IF($AH40&lt;=2,
SUMPRODUCT(INDEX($AR$62:$AT$66,,$AI40), INDEX($AU$62:$BA$66,,$AH40), 1 / ($BB$62:$BB$66*BY40 + (1-$BB$62:$BB$66)*BU40), N($AQ$62:$AQ$66&gt;$AO40)),
SUMPRODUCT(INDEX($AR$47:$AT$56,,$AI40), INDEX($AU$47:$BA$56,,$AH40), 1 / ($BC$47:$BC$56*BY40 + (1-$BC$47:$BC$56)*BU40), N($AQ$47:$AQ$56&gt;$AO40))
) / 1000</f>
        <v>0</v>
      </c>
      <c r="CA40" s="235" cm="1">
        <f t="array" ref="CA40">$BI40 * IF($AH40&lt;=2,
SUMPRODUCT(INDEX($AR$23:$AT$61,,$AI40), INDEX($AU$23:$BA$61,,$AH40), 1 / ($BB$23:$BB$61*BY40), N($AQ$23:$AQ$61&gt;$AO40)),
SUMPRODUCT(INDEX($AR$23:$AT$46,,$AI40), INDEX($AU$23:$BA$46,,$AH40), 1 / ($BC$23:$BC$46*BY40), N($AQ$23:$AQ$46&gt;$AO40))
) / 1000</f>
        <v>0</v>
      </c>
      <c r="CB40" s="230">
        <f t="shared" si="27"/>
        <v>0</v>
      </c>
      <c r="CC40" s="238"/>
      <c r="CD40" s="229" cm="1">
        <f t="array" ref="CD40">IF(ISBLANK(Y40), INDEX(Use, $AH40, 4) - AN40*INDEX(Use, $AH40, 6) - (Q40-X40), Y40)</f>
        <v>7</v>
      </c>
      <c r="CE40" s="229">
        <f t="shared" si="28"/>
        <v>32</v>
      </c>
      <c r="CF40" s="230">
        <f t="shared" si="29"/>
        <v>0</v>
      </c>
      <c r="CG40" s="229">
        <v>35</v>
      </c>
      <c r="CH40" s="230">
        <f t="shared" si="30"/>
        <v>48</v>
      </c>
      <c r="CI40" s="235">
        <f t="shared" si="31"/>
        <v>3.0748170731707316</v>
      </c>
      <c r="CJ40" s="235" cm="1">
        <f t="array" ref="CJ40">$BI40 * SUMPRODUCT(INDEX($AR$77:$AT$82,,$AI40),INDEX($AU$77:$BA$82,,$AH40), N($AQ$77:$AQ$82&gt;$AO40)) / CI40 / 1000</f>
        <v>0</v>
      </c>
      <c r="CK40" s="232">
        <f t="shared" si="32"/>
        <v>30</v>
      </c>
      <c r="CL40" s="230">
        <f t="shared" si="33"/>
        <v>43</v>
      </c>
      <c r="CM40" s="235">
        <f t="shared" si="34"/>
        <v>3.5018750000000001</v>
      </c>
      <c r="CN40" s="235" cm="1">
        <f t="array" ref="CN40">$BI40 * IF($AH40&lt;=2,
SUMPRODUCT(INDEX($AR$72:$AT$76,,$AI40), INDEX($AU$72:$BA$76,,$AH40), 1 / ($BB$72:$BB$76*CM40 + (1-$BB$72:$BB$76)*CI40), N($AQ$72:$AQ$76&gt;$AO40)),
SUMPRODUCT(INDEX($AR$67:$AT$76,,$AI40), INDEX($AU$67:$BA$76,,$AH40), 1 / ($BC$67:$BC$76*CM40 + (1-$BC$67:$BC$76)*CI40), N($AQ$67:$AQ$76&gt;$AO40))
) / 1000</f>
        <v>0</v>
      </c>
      <c r="CO40" s="232">
        <f t="shared" si="35"/>
        <v>25</v>
      </c>
      <c r="CP40" s="230">
        <f t="shared" si="36"/>
        <v>38</v>
      </c>
      <c r="CQ40" s="235">
        <f t="shared" si="37"/>
        <v>4.0666935483870965</v>
      </c>
      <c r="CR40" s="235" cm="1">
        <f t="array" ref="CR40">$BI40 * IF($AH40&lt;=2,
SUMPRODUCT(INDEX($AR$67:$AT$71,,$AI40), INDEX($AU$67:$BA$71,,$AH40), 1 / ($BB$67:$BB$71*CQ40 + (1-$BB$67:$BB$71)*CM40), N($AQ$67:$AQ$71&gt;$AO40)),
SUMPRODUCT(INDEX($AR$57:$AT$66,,$AI40), INDEX($AU$57:$BA$66,,$AH40), 1 / ($BC$57:$BC$66*CQ40 + (1-$BC$57:$BC$66)*CM40), N($AQ$57:$AQ$66&gt;$AO40))
) / 1000</f>
        <v>0</v>
      </c>
      <c r="CS40" s="232">
        <f t="shared" si="38"/>
        <v>20</v>
      </c>
      <c r="CT40" s="230">
        <f t="shared" si="39"/>
        <v>33</v>
      </c>
      <c r="CU40" s="235">
        <f t="shared" si="40"/>
        <v>4.8487499999999999</v>
      </c>
      <c r="CV40" s="235" cm="1">
        <f t="array" ref="CV40">$BI40 * IF($AH40&lt;=2,
SUMPRODUCT(INDEX($AR$62:$AT$66,,$AI40), INDEX($AU$62:$BA$66,,$AH40), 1 / ($BB$62:$BB$66*CU40 + (1-$BB$62:$BB$66)*CQ40), N($AQ$62:$AQ$66&gt;$AO40)),
SUMPRODUCT(INDEX($AR$47:$AT$56,,$AI40), INDEX($AU$47:$BA$56,,$AH40), 1 / ($BC$47:$BC$56*CU40 + (1-$BC$47:$BC$56)*CQ40), N($AQ$47:$AQ$56&gt;$AO40))
) / 1000</f>
        <v>0</v>
      </c>
      <c r="CW40" s="235" cm="1">
        <f t="array" ref="CW40">$BI40 * IF($AH40&lt;=2,
SUMPRODUCT(INDEX($AR$23:$AT$61,,$AI40), INDEX($AU$23:$BA$61,,$AH40), 1 / ($BB$23:$BB$61*CU40), N($AQ$23:$AQ$61&gt;$AO40)),
SUMPRODUCT(INDEX($AR$23:$AT$46,,$AI40), INDEX($AU$23:$BA$46,,$AH40), 1 / ($BC$23:$BC$46*CU40), N($AQ$23:$AQ$46&gt;$AO40))
) / 1000</f>
        <v>0</v>
      </c>
      <c r="CX40" s="230">
        <f t="shared" si="41"/>
        <v>0</v>
      </c>
      <c r="CY40" s="238"/>
    </row>
    <row r="41" spans="1:103" s="76" customFormat="1" ht="14.25" customHeight="1" x14ac:dyDescent="0.25">
      <c r="A41" s="231" t="b">
        <f t="shared" si="0"/>
        <v>0</v>
      </c>
      <c r="B41" s="245">
        <v>19</v>
      </c>
      <c r="C41" s="258"/>
      <c r="D41" s="258"/>
      <c r="E41" s="246"/>
      <c r="F41" s="247" t="str">
        <f>IF(ISBLANK(E41), "", VLOOKUP(E41, Z!$A$2:$C$4127, 3, FALSE))</f>
        <v/>
      </c>
      <c r="G41" s="248"/>
      <c r="H41" s="248"/>
      <c r="I41" s="249"/>
      <c r="J41" s="250"/>
      <c r="K41" s="259"/>
      <c r="L41" s="260"/>
      <c r="M41" s="252" t="str" cm="1">
        <f t="array" ref="M41">INDEX(Trad, 53, $A$20)</f>
        <v>Verschmutzt</v>
      </c>
      <c r="N41" s="253"/>
      <c r="O41" s="253"/>
      <c r="P41" s="254"/>
      <c r="Q41" s="251"/>
      <c r="R41" s="251"/>
      <c r="S41" s="264">
        <f t="shared" si="7"/>
        <v>0</v>
      </c>
      <c r="T41" s="252" t="str" cm="1">
        <f t="array" ref="T41">INDEX(Trad, 52, $A$20)</f>
        <v>Sauber</v>
      </c>
      <c r="U41" s="253"/>
      <c r="V41" s="253"/>
      <c r="W41" s="254"/>
      <c r="X41" s="251"/>
      <c r="Y41" s="251"/>
      <c r="Z41" s="264">
        <f t="shared" si="8"/>
        <v>0</v>
      </c>
      <c r="AA41" s="261"/>
      <c r="AB41" s="258"/>
      <c r="AC41" s="246"/>
      <c r="AD41" s="247" t="str">
        <f>IF(ISBLANK(AC41), "", VLOOKUP(AC41, Z!$A$2:$C$4127, 3, FALSE))</f>
        <v/>
      </c>
      <c r="AE41" s="262"/>
      <c r="AF41" s="263">
        <f t="shared" si="1"/>
        <v>0</v>
      </c>
      <c r="AG41" s="238"/>
      <c r="AH41" s="229">
        <f t="shared" ref="AH41" si="90">IF(ISBLANK(H41), 1, IFERROR(MATCH(H41, INDEX(Use,,1), 0), IFERROR(MATCH(H41, INDEX(Use,,2), 0), MATCH(H41, INDEX(Use,,3), 0))))</f>
        <v>1</v>
      </c>
      <c r="AI41" s="229">
        <f t="shared" ref="AI41" si="91">IF(ISBLANK(G41), 1, IFERROR(MATCH(G41, INDEX(Loc,,1), 0), IFERROR(MATCH(G41, INDEX(Loc,,2), 0), MATCH(G41, INDEX(Loc,,3), 0))))</f>
        <v>1</v>
      </c>
      <c r="AJ41" s="229">
        <f t="shared" ref="AJ41" si="92">_xlfn.IFNA(IF(IFERROR(MATCH(I41, INDEX(Medium,,1), 0), IFERROR(MATCH(I41, INDEX(Medium,,2), 0), MATCH(I41, INDEX(Medium,,3), 0))) = 2, 1, 0), 0)</f>
        <v>0</v>
      </c>
      <c r="AK41" s="229">
        <v>0</v>
      </c>
      <c r="AL41" s="229">
        <v>0</v>
      </c>
      <c r="AM41" s="229">
        <v>1</v>
      </c>
      <c r="AN41" s="229">
        <v>0</v>
      </c>
      <c r="AO41" s="229">
        <f t="shared" si="5"/>
        <v>-100</v>
      </c>
      <c r="AP41" s="238"/>
      <c r="AQ41" s="229">
        <v>-1</v>
      </c>
      <c r="AR41" s="232">
        <v>75</v>
      </c>
      <c r="AS41" s="232">
        <v>178</v>
      </c>
      <c r="AT41" s="232">
        <v>197</v>
      </c>
      <c r="AU41" s="233">
        <f t="shared" si="6"/>
        <v>0</v>
      </c>
      <c r="AV41" s="233">
        <f t="shared" si="6"/>
        <v>0</v>
      </c>
      <c r="AW41" s="233" cm="1">
        <f t="array" ref="AW41">MIN(INDEX(Use,AW$21,5) + MAX(0, (1-INDEX(Use,AW$21,5))*($AQ41-5)/(35-5)), 1)</f>
        <v>0.4</v>
      </c>
      <c r="AX41" s="233" cm="1">
        <f t="array" ref="AX41">MIN(INDEX(Use,AX$21,5) + MAX(0, (1-INDEX(Use,AX$21,5))*($AQ41-5)/(35-5)), 1)</f>
        <v>0.6</v>
      </c>
      <c r="AY41" s="233" cm="1">
        <f t="array" ref="AY41">MIN(INDEX(Use,AY$21,5) + MAX(0, (1-INDEX(Use,AY$21,5))*($AQ41-5)/(35-5)), 1)</f>
        <v>0.8</v>
      </c>
      <c r="AZ41" s="233" cm="1">
        <f t="array" ref="AZ41">MIN(INDEX(Use,AZ$21,5) + MAX(0, (1-INDEX(Use,AZ$21,5))*($AQ41-5)/(35-5)), 1)</f>
        <v>0.8</v>
      </c>
      <c r="BA41" s="233" cm="1">
        <f t="array" ref="BA41">MIN(INDEX(Use,BA$21,5) + MAX(0, (1-INDEX(Use,BA$21,5))*($AQ41-5)/(35-5)), 1)</f>
        <v>0.8</v>
      </c>
      <c r="BB41" s="233">
        <v>1</v>
      </c>
      <c r="BC41" s="233">
        <v>1</v>
      </c>
      <c r="BD41" s="211"/>
      <c r="BE41" s="229" cm="1">
        <f t="array" ref="BE41">IF(ISBLANK(R41), INDEX(Use, $AH41, 4) - AM41*INDEX(Use, $AH41, 6), R41)</f>
        <v>5</v>
      </c>
      <c r="BF41" s="229">
        <f t="shared" si="12"/>
        <v>30</v>
      </c>
      <c r="BG41" s="229">
        <f t="shared" si="13"/>
        <v>13</v>
      </c>
      <c r="BH41" s="229">
        <f t="shared" si="14"/>
        <v>0</v>
      </c>
      <c r="BI41" s="234" cm="1">
        <f t="array" ref="BI41">K41/IF($L41&gt;0, INDEX($AU$23:$BA$77, $L41+20, $AH41), 1)</f>
        <v>0</v>
      </c>
      <c r="BJ41" s="230">
        <f t="shared" si="15"/>
        <v>0</v>
      </c>
      <c r="BK41" s="229">
        <v>35</v>
      </c>
      <c r="BL41" s="230">
        <f t="shared" si="16"/>
        <v>48</v>
      </c>
      <c r="BM41" s="235">
        <f t="shared" si="17"/>
        <v>2.9108720930232557</v>
      </c>
      <c r="BN41" s="235" cm="1">
        <f t="array" ref="BN41">$BI41 * SUMPRODUCT(INDEX($AR$77:$AT$82,,$AI41),INDEX($AU$77:$BA$82,,$AH41), N($AQ$77:$AQ$82&gt;$AO41)) / BM41 / 1000</f>
        <v>0</v>
      </c>
      <c r="BO41" s="232">
        <f t="shared" si="18"/>
        <v>30</v>
      </c>
      <c r="BP41" s="230">
        <f t="shared" si="19"/>
        <v>43</v>
      </c>
      <c r="BQ41" s="235">
        <f t="shared" si="20"/>
        <v>3.2938815789473681</v>
      </c>
      <c r="BR41" s="235" cm="1">
        <f t="array" ref="BR41">$BI41 * IF($AH41&lt;=2,
SUMPRODUCT(INDEX($AR$72:$AT$76,,$AI41), INDEX($AU$72:$BA$76,,$AH41), 1 / ($BB$72:$BB$76*BQ41 + (1-$BB$72:$BB$76)*BM41), N($AQ$72:$AQ$76&gt;$AO41)),
SUMPRODUCT(INDEX($AR$67:$AT$76,,$AI41), INDEX($AU$67:$BA$76,,$AH41), 1 / ($BC$67:$BC$76*BQ41 + (1-$BC$67:$BC$76)*BM41), N($AQ$67:$AQ$76&gt;$AO41))
) / 1000</f>
        <v>0</v>
      </c>
      <c r="BS41" s="232">
        <f t="shared" si="21"/>
        <v>25</v>
      </c>
      <c r="BT41" s="230">
        <f t="shared" si="22"/>
        <v>38</v>
      </c>
      <c r="BU41" s="235">
        <f t="shared" si="23"/>
        <v>3.792954545454545</v>
      </c>
      <c r="BV41" s="235" cm="1">
        <f t="array" ref="BV41">$BI41 * IF($AH41&lt;=2,
SUMPRODUCT(INDEX($AR$67:$AT$71,,$AI41), INDEX($AU$67:$BA$71,,$AH41), 1 / ($BB$67:$BB$71*BU41 + (1-$BB$67:$BB$71)*BQ41), N($AQ$67:$AQ$71&gt;$AO41)),
SUMPRODUCT(INDEX($AR$57:$AT$66,,$AI41), INDEX($AU$57:$BA$66,,$AH41), 1 / ($BC$57:$BC$66*BU41 + (1-$BC$57:$BC$66)*BQ41), N($AQ$57:$AQ$66&gt;$AO41))
) / 1000</f>
        <v>0</v>
      </c>
      <c r="BW41" s="232">
        <f t="shared" si="24"/>
        <v>20</v>
      </c>
      <c r="BX41" s="230">
        <f t="shared" si="25"/>
        <v>33</v>
      </c>
      <c r="BY41" s="235">
        <f t="shared" si="26"/>
        <v>4.4702678571428569</v>
      </c>
      <c r="BZ41" s="235" cm="1">
        <f t="array" ref="BZ41">$BI41 * IF($AH41&lt;=2,
SUMPRODUCT(INDEX($AR$62:$AT$66,,$AI41), INDEX($AU$62:$BA$66,,$AH41), 1 / ($BB$62:$BB$66*BY41 + (1-$BB$62:$BB$66)*BU41), N($AQ$62:$AQ$66&gt;$AO41)),
SUMPRODUCT(INDEX($AR$47:$AT$56,,$AI41), INDEX($AU$47:$BA$56,,$AH41), 1 / ($BC$47:$BC$56*BY41 + (1-$BC$47:$BC$56)*BU41), N($AQ$47:$AQ$56&gt;$AO41))
) / 1000</f>
        <v>0</v>
      </c>
      <c r="CA41" s="235" cm="1">
        <f t="array" ref="CA41">$BI41 * IF($AH41&lt;=2,
SUMPRODUCT(INDEX($AR$23:$AT$61,,$AI41), INDEX($AU$23:$BA$61,,$AH41), 1 / ($BB$23:$BB$61*BY41), N($AQ$23:$AQ$61&gt;$AO41)),
SUMPRODUCT(INDEX($AR$23:$AT$46,,$AI41), INDEX($AU$23:$BA$46,,$AH41), 1 / ($BC$23:$BC$46*BY41), N($AQ$23:$AQ$46&gt;$AO41))
) / 1000</f>
        <v>0</v>
      </c>
      <c r="CB41" s="230">
        <f t="shared" si="27"/>
        <v>0</v>
      </c>
      <c r="CC41" s="238"/>
      <c r="CD41" s="229" cm="1">
        <f t="array" ref="CD41">IF(ISBLANK(Y41), INDEX(Use, $AH41, 4) - AN41*INDEX(Use, $AH41, 6) - (Q41-X41), Y41)</f>
        <v>7</v>
      </c>
      <c r="CE41" s="229">
        <f t="shared" si="28"/>
        <v>32</v>
      </c>
      <c r="CF41" s="230">
        <f t="shared" si="29"/>
        <v>0</v>
      </c>
      <c r="CG41" s="229">
        <v>35</v>
      </c>
      <c r="CH41" s="230">
        <f t="shared" si="30"/>
        <v>48</v>
      </c>
      <c r="CI41" s="235">
        <f t="shared" si="31"/>
        <v>3.0748170731707316</v>
      </c>
      <c r="CJ41" s="235" cm="1">
        <f t="array" ref="CJ41">$BI41 * SUMPRODUCT(INDEX($AR$77:$AT$82,,$AI41),INDEX($AU$77:$BA$82,,$AH41), N($AQ$77:$AQ$82&gt;$AO41)) / CI41 / 1000</f>
        <v>0</v>
      </c>
      <c r="CK41" s="232">
        <f t="shared" si="32"/>
        <v>30</v>
      </c>
      <c r="CL41" s="230">
        <f t="shared" si="33"/>
        <v>43</v>
      </c>
      <c r="CM41" s="235">
        <f t="shared" si="34"/>
        <v>3.5018750000000001</v>
      </c>
      <c r="CN41" s="235" cm="1">
        <f t="array" ref="CN41">$BI41 * IF($AH41&lt;=2,
SUMPRODUCT(INDEX($AR$72:$AT$76,,$AI41), INDEX($AU$72:$BA$76,,$AH41), 1 / ($BB$72:$BB$76*CM41 + (1-$BB$72:$BB$76)*CI41), N($AQ$72:$AQ$76&gt;$AO41)),
SUMPRODUCT(INDEX($AR$67:$AT$76,,$AI41), INDEX($AU$67:$BA$76,,$AH41), 1 / ($BC$67:$BC$76*CM41 + (1-$BC$67:$BC$76)*CI41), N($AQ$67:$AQ$76&gt;$AO41))
) / 1000</f>
        <v>0</v>
      </c>
      <c r="CO41" s="232">
        <f t="shared" si="35"/>
        <v>25</v>
      </c>
      <c r="CP41" s="230">
        <f t="shared" si="36"/>
        <v>38</v>
      </c>
      <c r="CQ41" s="235">
        <f t="shared" si="37"/>
        <v>4.0666935483870965</v>
      </c>
      <c r="CR41" s="235" cm="1">
        <f t="array" ref="CR41">$BI41 * IF($AH41&lt;=2,
SUMPRODUCT(INDEX($AR$67:$AT$71,,$AI41), INDEX($AU$67:$BA$71,,$AH41), 1 / ($BB$67:$BB$71*CQ41 + (1-$BB$67:$BB$71)*CM41), N($AQ$67:$AQ$71&gt;$AO41)),
SUMPRODUCT(INDEX($AR$57:$AT$66,,$AI41), INDEX($AU$57:$BA$66,,$AH41), 1 / ($BC$57:$BC$66*CQ41 + (1-$BC$57:$BC$66)*CM41), N($AQ$57:$AQ$66&gt;$AO41))
) / 1000</f>
        <v>0</v>
      </c>
      <c r="CS41" s="232">
        <f t="shared" si="38"/>
        <v>20</v>
      </c>
      <c r="CT41" s="230">
        <f t="shared" si="39"/>
        <v>33</v>
      </c>
      <c r="CU41" s="235">
        <f t="shared" si="40"/>
        <v>4.8487499999999999</v>
      </c>
      <c r="CV41" s="235" cm="1">
        <f t="array" ref="CV41">$BI41 * IF($AH41&lt;=2,
SUMPRODUCT(INDEX($AR$62:$AT$66,,$AI41), INDEX($AU$62:$BA$66,,$AH41), 1 / ($BB$62:$BB$66*CU41 + (1-$BB$62:$BB$66)*CQ41), N($AQ$62:$AQ$66&gt;$AO41)),
SUMPRODUCT(INDEX($AR$47:$AT$56,,$AI41), INDEX($AU$47:$BA$56,,$AH41), 1 / ($BC$47:$BC$56*CU41 + (1-$BC$47:$BC$56)*CQ41), N($AQ$47:$AQ$56&gt;$AO41))
) / 1000</f>
        <v>0</v>
      </c>
      <c r="CW41" s="235" cm="1">
        <f t="array" ref="CW41">$BI41 * IF($AH41&lt;=2,
SUMPRODUCT(INDEX($AR$23:$AT$61,,$AI41), INDEX($AU$23:$BA$61,,$AH41), 1 / ($BB$23:$BB$61*CU41), N($AQ$23:$AQ$61&gt;$AO41)),
SUMPRODUCT(INDEX($AR$23:$AT$46,,$AI41), INDEX($AU$23:$BA$46,,$AH41), 1 / ($BC$23:$BC$46*CU41), N($AQ$23:$AQ$46&gt;$AO41))
) / 1000</f>
        <v>0</v>
      </c>
      <c r="CX41" s="230">
        <f t="shared" si="41"/>
        <v>0</v>
      </c>
      <c r="CY41" s="238"/>
    </row>
    <row r="42" spans="1:103" s="76" customFormat="1" ht="14.25" customHeight="1" x14ac:dyDescent="0.25">
      <c r="A42" s="231" t="b">
        <f t="shared" si="0"/>
        <v>0</v>
      </c>
      <c r="B42" s="245">
        <v>20</v>
      </c>
      <c r="C42" s="258"/>
      <c r="D42" s="258"/>
      <c r="E42" s="246"/>
      <c r="F42" s="247" t="str">
        <f>IF(ISBLANK(E42), "", VLOOKUP(E42, Z!$A$2:$C$4127, 3, FALSE))</f>
        <v/>
      </c>
      <c r="G42" s="248"/>
      <c r="H42" s="248"/>
      <c r="I42" s="249"/>
      <c r="J42" s="250"/>
      <c r="K42" s="259"/>
      <c r="L42" s="260"/>
      <c r="M42" s="252" t="str" cm="1">
        <f t="array" ref="M42">INDEX(Trad, 53, $A$20)</f>
        <v>Verschmutzt</v>
      </c>
      <c r="N42" s="253"/>
      <c r="O42" s="253"/>
      <c r="P42" s="254"/>
      <c r="Q42" s="251"/>
      <c r="R42" s="251"/>
      <c r="S42" s="264">
        <f t="shared" si="7"/>
        <v>0</v>
      </c>
      <c r="T42" s="252" t="str" cm="1">
        <f t="array" ref="T42">INDEX(Trad, 52, $A$20)</f>
        <v>Sauber</v>
      </c>
      <c r="U42" s="253"/>
      <c r="V42" s="253"/>
      <c r="W42" s="254"/>
      <c r="X42" s="251"/>
      <c r="Y42" s="251"/>
      <c r="Z42" s="264">
        <f t="shared" si="8"/>
        <v>0</v>
      </c>
      <c r="AA42" s="261"/>
      <c r="AB42" s="258"/>
      <c r="AC42" s="246"/>
      <c r="AD42" s="247" t="str">
        <f>IF(ISBLANK(AC42), "", VLOOKUP(AC42, Z!$A$2:$C$4127, 3, FALSE))</f>
        <v/>
      </c>
      <c r="AE42" s="262"/>
      <c r="AF42" s="263">
        <f t="shared" si="1"/>
        <v>0</v>
      </c>
      <c r="AG42" s="238"/>
      <c r="AH42" s="229">
        <f t="shared" ref="AH42" si="93">IF(ISBLANK(H42), 1, IFERROR(MATCH(H42, INDEX(Use,,1), 0), IFERROR(MATCH(H42, INDEX(Use,,2), 0), MATCH(H42, INDEX(Use,,3), 0))))</f>
        <v>1</v>
      </c>
      <c r="AI42" s="229">
        <f t="shared" ref="AI42" si="94">IF(ISBLANK(G42), 1, IFERROR(MATCH(G42, INDEX(Loc,,1), 0), IFERROR(MATCH(G42, INDEX(Loc,,2), 0), MATCH(G42, INDEX(Loc,,3), 0))))</f>
        <v>1</v>
      </c>
      <c r="AJ42" s="229">
        <f t="shared" ref="AJ42" si="95">_xlfn.IFNA(IF(IFERROR(MATCH(I42, INDEX(Medium,,1), 0), IFERROR(MATCH(I42, INDEX(Medium,,2), 0), MATCH(I42, INDEX(Medium,,3), 0))) = 2, 1, 0), 0)</f>
        <v>0</v>
      </c>
      <c r="AK42" s="229">
        <v>0</v>
      </c>
      <c r="AL42" s="229">
        <v>0</v>
      </c>
      <c r="AM42" s="229">
        <v>1</v>
      </c>
      <c r="AN42" s="229">
        <v>0</v>
      </c>
      <c r="AO42" s="229">
        <f t="shared" si="5"/>
        <v>-100</v>
      </c>
      <c r="AP42" s="238"/>
      <c r="AQ42" s="229">
        <v>0</v>
      </c>
      <c r="AR42" s="232">
        <v>131</v>
      </c>
      <c r="AS42" s="232">
        <v>189</v>
      </c>
      <c r="AT42" s="232">
        <v>249</v>
      </c>
      <c r="AU42" s="233">
        <f t="shared" si="6"/>
        <v>0</v>
      </c>
      <c r="AV42" s="233">
        <f t="shared" si="6"/>
        <v>0</v>
      </c>
      <c r="AW42" s="233" cm="1">
        <f t="array" ref="AW42">MIN(INDEX(Use,AW$21,5) + MAX(0, (1-INDEX(Use,AW$21,5))*($AQ42-5)/(35-5)), 1)</f>
        <v>0.4</v>
      </c>
      <c r="AX42" s="233" cm="1">
        <f t="array" ref="AX42">MIN(INDEX(Use,AX$21,5) + MAX(0, (1-INDEX(Use,AX$21,5))*($AQ42-5)/(35-5)), 1)</f>
        <v>0.6</v>
      </c>
      <c r="AY42" s="233" cm="1">
        <f t="array" ref="AY42">MIN(INDEX(Use,AY$21,5) + MAX(0, (1-INDEX(Use,AY$21,5))*($AQ42-5)/(35-5)), 1)</f>
        <v>0.8</v>
      </c>
      <c r="AZ42" s="233" cm="1">
        <f t="array" ref="AZ42">MIN(INDEX(Use,AZ$21,5) + MAX(0, (1-INDEX(Use,AZ$21,5))*($AQ42-5)/(35-5)), 1)</f>
        <v>0.8</v>
      </c>
      <c r="BA42" s="233" cm="1">
        <f t="array" ref="BA42">MIN(INDEX(Use,BA$21,5) + MAX(0, (1-INDEX(Use,BA$21,5))*($AQ42-5)/(35-5)), 1)</f>
        <v>0.8</v>
      </c>
      <c r="BB42" s="233">
        <v>1</v>
      </c>
      <c r="BC42" s="233">
        <v>1</v>
      </c>
      <c r="BD42" s="211"/>
      <c r="BE42" s="229" cm="1">
        <f t="array" ref="BE42">IF(ISBLANK(R42), INDEX(Use, $AH42, 4) - AM42*INDEX(Use, $AH42, 6), R42)</f>
        <v>5</v>
      </c>
      <c r="BF42" s="229">
        <f t="shared" si="12"/>
        <v>30</v>
      </c>
      <c r="BG42" s="229">
        <f t="shared" si="13"/>
        <v>13</v>
      </c>
      <c r="BH42" s="229">
        <f t="shared" si="14"/>
        <v>0</v>
      </c>
      <c r="BI42" s="234" cm="1">
        <f t="array" ref="BI42">K42/IF($L42&gt;0, INDEX($AU$23:$BA$77, $L42+20, $AH42), 1)</f>
        <v>0</v>
      </c>
      <c r="BJ42" s="230">
        <f t="shared" si="15"/>
        <v>0</v>
      </c>
      <c r="BK42" s="229">
        <v>35</v>
      </c>
      <c r="BL42" s="230">
        <f t="shared" si="16"/>
        <v>48</v>
      </c>
      <c r="BM42" s="235">
        <f t="shared" si="17"/>
        <v>2.9108720930232557</v>
      </c>
      <c r="BN42" s="235" cm="1">
        <f t="array" ref="BN42">$BI42 * SUMPRODUCT(INDEX($AR$77:$AT$82,,$AI42),INDEX($AU$77:$BA$82,,$AH42), N($AQ$77:$AQ$82&gt;$AO42)) / BM42 / 1000</f>
        <v>0</v>
      </c>
      <c r="BO42" s="232">
        <f t="shared" si="18"/>
        <v>30</v>
      </c>
      <c r="BP42" s="230">
        <f t="shared" si="19"/>
        <v>43</v>
      </c>
      <c r="BQ42" s="235">
        <f t="shared" si="20"/>
        <v>3.2938815789473681</v>
      </c>
      <c r="BR42" s="235" cm="1">
        <f t="array" ref="BR42">$BI42 * IF($AH42&lt;=2,
SUMPRODUCT(INDEX($AR$72:$AT$76,,$AI42), INDEX($AU$72:$BA$76,,$AH42), 1 / ($BB$72:$BB$76*BQ42 + (1-$BB$72:$BB$76)*BM42), N($AQ$72:$AQ$76&gt;$AO42)),
SUMPRODUCT(INDEX($AR$67:$AT$76,,$AI42), INDEX($AU$67:$BA$76,,$AH42), 1 / ($BC$67:$BC$76*BQ42 + (1-$BC$67:$BC$76)*BM42), N($AQ$67:$AQ$76&gt;$AO42))
) / 1000</f>
        <v>0</v>
      </c>
      <c r="BS42" s="232">
        <f t="shared" si="21"/>
        <v>25</v>
      </c>
      <c r="BT42" s="230">
        <f t="shared" si="22"/>
        <v>38</v>
      </c>
      <c r="BU42" s="235">
        <f t="shared" si="23"/>
        <v>3.792954545454545</v>
      </c>
      <c r="BV42" s="235" cm="1">
        <f t="array" ref="BV42">$BI42 * IF($AH42&lt;=2,
SUMPRODUCT(INDEX($AR$67:$AT$71,,$AI42), INDEX($AU$67:$BA$71,,$AH42), 1 / ($BB$67:$BB$71*BU42 + (1-$BB$67:$BB$71)*BQ42), N($AQ$67:$AQ$71&gt;$AO42)),
SUMPRODUCT(INDEX($AR$57:$AT$66,,$AI42), INDEX($AU$57:$BA$66,,$AH42), 1 / ($BC$57:$BC$66*BU42 + (1-$BC$57:$BC$66)*BQ42), N($AQ$57:$AQ$66&gt;$AO42))
) / 1000</f>
        <v>0</v>
      </c>
      <c r="BW42" s="232">
        <f t="shared" si="24"/>
        <v>20</v>
      </c>
      <c r="BX42" s="230">
        <f t="shared" si="25"/>
        <v>33</v>
      </c>
      <c r="BY42" s="235">
        <f t="shared" si="26"/>
        <v>4.4702678571428569</v>
      </c>
      <c r="BZ42" s="235" cm="1">
        <f t="array" ref="BZ42">$BI42 * IF($AH42&lt;=2,
SUMPRODUCT(INDEX($AR$62:$AT$66,,$AI42), INDEX($AU$62:$BA$66,,$AH42), 1 / ($BB$62:$BB$66*BY42 + (1-$BB$62:$BB$66)*BU42), N($AQ$62:$AQ$66&gt;$AO42)),
SUMPRODUCT(INDEX($AR$47:$AT$56,,$AI42), INDEX($AU$47:$BA$56,,$AH42), 1 / ($BC$47:$BC$56*BY42 + (1-$BC$47:$BC$56)*BU42), N($AQ$47:$AQ$56&gt;$AO42))
) / 1000</f>
        <v>0</v>
      </c>
      <c r="CA42" s="235" cm="1">
        <f t="array" ref="CA42">$BI42 * IF($AH42&lt;=2,
SUMPRODUCT(INDEX($AR$23:$AT$61,,$AI42), INDEX($AU$23:$BA$61,,$AH42), 1 / ($BB$23:$BB$61*BY42), N($AQ$23:$AQ$61&gt;$AO42)),
SUMPRODUCT(INDEX($AR$23:$AT$46,,$AI42), INDEX($AU$23:$BA$46,,$AH42), 1 / ($BC$23:$BC$46*BY42), N($AQ$23:$AQ$46&gt;$AO42))
) / 1000</f>
        <v>0</v>
      </c>
      <c r="CB42" s="230">
        <f t="shared" si="27"/>
        <v>0</v>
      </c>
      <c r="CC42" s="238"/>
      <c r="CD42" s="229" cm="1">
        <f t="array" ref="CD42">IF(ISBLANK(Y42), INDEX(Use, $AH42, 4) - AN42*INDEX(Use, $AH42, 6) - (Q42-X42), Y42)</f>
        <v>7</v>
      </c>
      <c r="CE42" s="229">
        <f t="shared" si="28"/>
        <v>32</v>
      </c>
      <c r="CF42" s="230">
        <f t="shared" si="29"/>
        <v>0</v>
      </c>
      <c r="CG42" s="229">
        <v>35</v>
      </c>
      <c r="CH42" s="230">
        <f t="shared" si="30"/>
        <v>48</v>
      </c>
      <c r="CI42" s="235">
        <f t="shared" si="31"/>
        <v>3.0748170731707316</v>
      </c>
      <c r="CJ42" s="235" cm="1">
        <f t="array" ref="CJ42">$BI42 * SUMPRODUCT(INDEX($AR$77:$AT$82,,$AI42),INDEX($AU$77:$BA$82,,$AH42), N($AQ$77:$AQ$82&gt;$AO42)) / CI42 / 1000</f>
        <v>0</v>
      </c>
      <c r="CK42" s="232">
        <f t="shared" si="32"/>
        <v>30</v>
      </c>
      <c r="CL42" s="230">
        <f t="shared" si="33"/>
        <v>43</v>
      </c>
      <c r="CM42" s="235">
        <f t="shared" si="34"/>
        <v>3.5018750000000001</v>
      </c>
      <c r="CN42" s="235" cm="1">
        <f t="array" ref="CN42">$BI42 * IF($AH42&lt;=2,
SUMPRODUCT(INDEX($AR$72:$AT$76,,$AI42), INDEX($AU$72:$BA$76,,$AH42), 1 / ($BB$72:$BB$76*CM42 + (1-$BB$72:$BB$76)*CI42), N($AQ$72:$AQ$76&gt;$AO42)),
SUMPRODUCT(INDEX($AR$67:$AT$76,,$AI42), INDEX($AU$67:$BA$76,,$AH42), 1 / ($BC$67:$BC$76*CM42 + (1-$BC$67:$BC$76)*CI42), N($AQ$67:$AQ$76&gt;$AO42))
) / 1000</f>
        <v>0</v>
      </c>
      <c r="CO42" s="232">
        <f t="shared" si="35"/>
        <v>25</v>
      </c>
      <c r="CP42" s="230">
        <f t="shared" si="36"/>
        <v>38</v>
      </c>
      <c r="CQ42" s="235">
        <f t="shared" si="37"/>
        <v>4.0666935483870965</v>
      </c>
      <c r="CR42" s="235" cm="1">
        <f t="array" ref="CR42">$BI42 * IF($AH42&lt;=2,
SUMPRODUCT(INDEX($AR$67:$AT$71,,$AI42), INDEX($AU$67:$BA$71,,$AH42), 1 / ($BB$67:$BB$71*CQ42 + (1-$BB$67:$BB$71)*CM42), N($AQ$67:$AQ$71&gt;$AO42)),
SUMPRODUCT(INDEX($AR$57:$AT$66,,$AI42), INDEX($AU$57:$BA$66,,$AH42), 1 / ($BC$57:$BC$66*CQ42 + (1-$BC$57:$BC$66)*CM42), N($AQ$57:$AQ$66&gt;$AO42))
) / 1000</f>
        <v>0</v>
      </c>
      <c r="CS42" s="232">
        <f t="shared" si="38"/>
        <v>20</v>
      </c>
      <c r="CT42" s="230">
        <f t="shared" si="39"/>
        <v>33</v>
      </c>
      <c r="CU42" s="235">
        <f t="shared" si="40"/>
        <v>4.8487499999999999</v>
      </c>
      <c r="CV42" s="235" cm="1">
        <f t="array" ref="CV42">$BI42 * IF($AH42&lt;=2,
SUMPRODUCT(INDEX($AR$62:$AT$66,,$AI42), INDEX($AU$62:$BA$66,,$AH42), 1 / ($BB$62:$BB$66*CU42 + (1-$BB$62:$BB$66)*CQ42), N($AQ$62:$AQ$66&gt;$AO42)),
SUMPRODUCT(INDEX($AR$47:$AT$56,,$AI42), INDEX($AU$47:$BA$56,,$AH42), 1 / ($BC$47:$BC$56*CU42 + (1-$BC$47:$BC$56)*CQ42), N($AQ$47:$AQ$56&gt;$AO42))
) / 1000</f>
        <v>0</v>
      </c>
      <c r="CW42" s="235" cm="1">
        <f t="array" ref="CW42">$BI42 * IF($AH42&lt;=2,
SUMPRODUCT(INDEX($AR$23:$AT$61,,$AI42), INDEX($AU$23:$BA$61,,$AH42), 1 / ($BB$23:$BB$61*CU42), N($AQ$23:$AQ$61&gt;$AO42)),
SUMPRODUCT(INDEX($AR$23:$AT$46,,$AI42), INDEX($AU$23:$BA$46,,$AH42), 1 / ($BC$23:$BC$46*CU42), N($AQ$23:$AQ$46&gt;$AO42))
) / 1000</f>
        <v>0</v>
      </c>
      <c r="CX42" s="230">
        <f t="shared" si="41"/>
        <v>0</v>
      </c>
      <c r="CY42" s="238"/>
    </row>
    <row r="43" spans="1:103" s="76" customFormat="1" ht="14.25" customHeight="1" x14ac:dyDescent="0.25">
      <c r="A43" s="231" t="b">
        <f t="shared" si="0"/>
        <v>0</v>
      </c>
      <c r="B43" s="245">
        <v>21</v>
      </c>
      <c r="C43" s="258"/>
      <c r="D43" s="258"/>
      <c r="E43" s="246"/>
      <c r="F43" s="247" t="str">
        <f>IF(ISBLANK(E43), "", VLOOKUP(E43, Z!$A$2:$C$4127, 3, FALSE))</f>
        <v/>
      </c>
      <c r="G43" s="248"/>
      <c r="H43" s="248"/>
      <c r="I43" s="249"/>
      <c r="J43" s="250"/>
      <c r="K43" s="259"/>
      <c r="L43" s="260"/>
      <c r="M43" s="252" t="str" cm="1">
        <f t="array" ref="M43">INDEX(Trad, 53, $A$20)</f>
        <v>Verschmutzt</v>
      </c>
      <c r="N43" s="253"/>
      <c r="O43" s="253"/>
      <c r="P43" s="254"/>
      <c r="Q43" s="251"/>
      <c r="R43" s="251"/>
      <c r="S43" s="264">
        <f t="shared" si="7"/>
        <v>0</v>
      </c>
      <c r="T43" s="252" t="str" cm="1">
        <f t="array" ref="T43">INDEX(Trad, 52, $A$20)</f>
        <v>Sauber</v>
      </c>
      <c r="U43" s="253"/>
      <c r="V43" s="253"/>
      <c r="W43" s="254"/>
      <c r="X43" s="251"/>
      <c r="Y43" s="251"/>
      <c r="Z43" s="264">
        <f t="shared" si="8"/>
        <v>0</v>
      </c>
      <c r="AA43" s="261"/>
      <c r="AB43" s="258"/>
      <c r="AC43" s="246"/>
      <c r="AD43" s="247" t="str">
        <f>IF(ISBLANK(AC43), "", VLOOKUP(AC43, Z!$A$2:$C$4127, 3, FALSE))</f>
        <v/>
      </c>
      <c r="AE43" s="262"/>
      <c r="AF43" s="263">
        <f t="shared" si="1"/>
        <v>0</v>
      </c>
      <c r="AG43" s="238"/>
      <c r="AH43" s="229">
        <f t="shared" ref="AH43" si="96">IF(ISBLANK(H43), 1, IFERROR(MATCH(H43, INDEX(Use,,1), 0), IFERROR(MATCH(H43, INDEX(Use,,2), 0), MATCH(H43, INDEX(Use,,3), 0))))</f>
        <v>1</v>
      </c>
      <c r="AI43" s="229">
        <f t="shared" ref="AI43" si="97">IF(ISBLANK(G43), 1, IFERROR(MATCH(G43, INDEX(Loc,,1), 0), IFERROR(MATCH(G43, INDEX(Loc,,2), 0), MATCH(G43, INDEX(Loc,,3), 0))))</f>
        <v>1</v>
      </c>
      <c r="AJ43" s="229">
        <f t="shared" ref="AJ43" si="98">_xlfn.IFNA(IF(IFERROR(MATCH(I43, INDEX(Medium,,1), 0), IFERROR(MATCH(I43, INDEX(Medium,,2), 0), MATCH(I43, INDEX(Medium,,3), 0))) = 2, 1, 0), 0)</f>
        <v>0</v>
      </c>
      <c r="AK43" s="229">
        <v>0</v>
      </c>
      <c r="AL43" s="229">
        <v>0</v>
      </c>
      <c r="AM43" s="229">
        <v>1</v>
      </c>
      <c r="AN43" s="229">
        <v>0</v>
      </c>
      <c r="AO43" s="229">
        <f t="shared" si="5"/>
        <v>-100</v>
      </c>
      <c r="AP43" s="238"/>
      <c r="AQ43" s="229">
        <v>1</v>
      </c>
      <c r="AR43" s="232">
        <v>184</v>
      </c>
      <c r="AS43" s="232">
        <v>295</v>
      </c>
      <c r="AT43" s="232">
        <v>332</v>
      </c>
      <c r="AU43" s="233">
        <f t="shared" si="6"/>
        <v>0</v>
      </c>
      <c r="AV43" s="233">
        <f t="shared" si="6"/>
        <v>0</v>
      </c>
      <c r="AW43" s="233" cm="1">
        <f t="array" ref="AW43">MIN(INDEX(Use,AW$21,5) + MAX(0, (1-INDEX(Use,AW$21,5))*($AQ43-5)/(35-5)), 1)</f>
        <v>0.4</v>
      </c>
      <c r="AX43" s="233" cm="1">
        <f t="array" ref="AX43">MIN(INDEX(Use,AX$21,5) + MAX(0, (1-INDEX(Use,AX$21,5))*($AQ43-5)/(35-5)), 1)</f>
        <v>0.6</v>
      </c>
      <c r="AY43" s="233" cm="1">
        <f t="array" ref="AY43">MIN(INDEX(Use,AY$21,5) + MAX(0, (1-INDEX(Use,AY$21,5))*($AQ43-5)/(35-5)), 1)</f>
        <v>0.8</v>
      </c>
      <c r="AZ43" s="233" cm="1">
        <f t="array" ref="AZ43">MIN(INDEX(Use,AZ$21,5) + MAX(0, (1-INDEX(Use,AZ$21,5))*($AQ43-5)/(35-5)), 1)</f>
        <v>0.8</v>
      </c>
      <c r="BA43" s="233" cm="1">
        <f t="array" ref="BA43">MIN(INDEX(Use,BA$21,5) + MAX(0, (1-INDEX(Use,BA$21,5))*($AQ43-5)/(35-5)), 1)</f>
        <v>0.8</v>
      </c>
      <c r="BB43" s="233">
        <v>1</v>
      </c>
      <c r="BC43" s="233">
        <v>1</v>
      </c>
      <c r="BD43" s="211"/>
      <c r="BE43" s="229" cm="1">
        <f t="array" ref="BE43">IF(ISBLANK(R43), INDEX(Use, $AH43, 4) - AM43*INDEX(Use, $AH43, 6), R43)</f>
        <v>5</v>
      </c>
      <c r="BF43" s="229">
        <f t="shared" si="12"/>
        <v>30</v>
      </c>
      <c r="BG43" s="229">
        <f t="shared" si="13"/>
        <v>13</v>
      </c>
      <c r="BH43" s="229">
        <f t="shared" si="14"/>
        <v>0</v>
      </c>
      <c r="BI43" s="234" cm="1">
        <f t="array" ref="BI43">K43/IF($L43&gt;0, INDEX($AU$23:$BA$77, $L43+20, $AH43), 1)</f>
        <v>0</v>
      </c>
      <c r="BJ43" s="230">
        <f t="shared" si="15"/>
        <v>0</v>
      </c>
      <c r="BK43" s="229">
        <v>35</v>
      </c>
      <c r="BL43" s="230">
        <f t="shared" si="16"/>
        <v>48</v>
      </c>
      <c r="BM43" s="235">
        <f t="shared" si="17"/>
        <v>2.9108720930232557</v>
      </c>
      <c r="BN43" s="235" cm="1">
        <f t="array" ref="BN43">$BI43 * SUMPRODUCT(INDEX($AR$77:$AT$82,,$AI43),INDEX($AU$77:$BA$82,,$AH43), N($AQ$77:$AQ$82&gt;$AO43)) / BM43 / 1000</f>
        <v>0</v>
      </c>
      <c r="BO43" s="232">
        <f t="shared" si="18"/>
        <v>30</v>
      </c>
      <c r="BP43" s="230">
        <f t="shared" si="19"/>
        <v>43</v>
      </c>
      <c r="BQ43" s="235">
        <f t="shared" si="20"/>
        <v>3.2938815789473681</v>
      </c>
      <c r="BR43" s="235" cm="1">
        <f t="array" ref="BR43">$BI43 * IF($AH43&lt;=2,
SUMPRODUCT(INDEX($AR$72:$AT$76,,$AI43), INDEX($AU$72:$BA$76,,$AH43), 1 / ($BB$72:$BB$76*BQ43 + (1-$BB$72:$BB$76)*BM43), N($AQ$72:$AQ$76&gt;$AO43)),
SUMPRODUCT(INDEX($AR$67:$AT$76,,$AI43), INDEX($AU$67:$BA$76,,$AH43), 1 / ($BC$67:$BC$76*BQ43 + (1-$BC$67:$BC$76)*BM43), N($AQ$67:$AQ$76&gt;$AO43))
) / 1000</f>
        <v>0</v>
      </c>
      <c r="BS43" s="232">
        <f t="shared" si="21"/>
        <v>25</v>
      </c>
      <c r="BT43" s="230">
        <f t="shared" si="22"/>
        <v>38</v>
      </c>
      <c r="BU43" s="235">
        <f t="shared" si="23"/>
        <v>3.792954545454545</v>
      </c>
      <c r="BV43" s="235" cm="1">
        <f t="array" ref="BV43">$BI43 * IF($AH43&lt;=2,
SUMPRODUCT(INDEX($AR$67:$AT$71,,$AI43), INDEX($AU$67:$BA$71,,$AH43), 1 / ($BB$67:$BB$71*BU43 + (1-$BB$67:$BB$71)*BQ43), N($AQ$67:$AQ$71&gt;$AO43)),
SUMPRODUCT(INDEX($AR$57:$AT$66,,$AI43), INDEX($AU$57:$BA$66,,$AH43), 1 / ($BC$57:$BC$66*BU43 + (1-$BC$57:$BC$66)*BQ43), N($AQ$57:$AQ$66&gt;$AO43))
) / 1000</f>
        <v>0</v>
      </c>
      <c r="BW43" s="232">
        <f t="shared" si="24"/>
        <v>20</v>
      </c>
      <c r="BX43" s="230">
        <f t="shared" si="25"/>
        <v>33</v>
      </c>
      <c r="BY43" s="235">
        <f t="shared" si="26"/>
        <v>4.4702678571428569</v>
      </c>
      <c r="BZ43" s="235" cm="1">
        <f t="array" ref="BZ43">$BI43 * IF($AH43&lt;=2,
SUMPRODUCT(INDEX($AR$62:$AT$66,,$AI43), INDEX($AU$62:$BA$66,,$AH43), 1 / ($BB$62:$BB$66*BY43 + (1-$BB$62:$BB$66)*BU43), N($AQ$62:$AQ$66&gt;$AO43)),
SUMPRODUCT(INDEX($AR$47:$AT$56,,$AI43), INDEX($AU$47:$BA$56,,$AH43), 1 / ($BC$47:$BC$56*BY43 + (1-$BC$47:$BC$56)*BU43), N($AQ$47:$AQ$56&gt;$AO43))
) / 1000</f>
        <v>0</v>
      </c>
      <c r="CA43" s="235" cm="1">
        <f t="array" ref="CA43">$BI43 * IF($AH43&lt;=2,
SUMPRODUCT(INDEX($AR$23:$AT$61,,$AI43), INDEX($AU$23:$BA$61,,$AH43), 1 / ($BB$23:$BB$61*BY43), N($AQ$23:$AQ$61&gt;$AO43)),
SUMPRODUCT(INDEX($AR$23:$AT$46,,$AI43), INDEX($AU$23:$BA$46,,$AH43), 1 / ($BC$23:$BC$46*BY43), N($AQ$23:$AQ$46&gt;$AO43))
) / 1000</f>
        <v>0</v>
      </c>
      <c r="CB43" s="230">
        <f t="shared" si="27"/>
        <v>0</v>
      </c>
      <c r="CC43" s="238"/>
      <c r="CD43" s="229" cm="1">
        <f t="array" ref="CD43">IF(ISBLANK(Y43), INDEX(Use, $AH43, 4) - AN43*INDEX(Use, $AH43, 6) - (Q43-X43), Y43)</f>
        <v>7</v>
      </c>
      <c r="CE43" s="229">
        <f t="shared" si="28"/>
        <v>32</v>
      </c>
      <c r="CF43" s="230">
        <f t="shared" si="29"/>
        <v>0</v>
      </c>
      <c r="CG43" s="229">
        <v>35</v>
      </c>
      <c r="CH43" s="230">
        <f t="shared" si="30"/>
        <v>48</v>
      </c>
      <c r="CI43" s="235">
        <f t="shared" si="31"/>
        <v>3.0748170731707316</v>
      </c>
      <c r="CJ43" s="235" cm="1">
        <f t="array" ref="CJ43">$BI43 * SUMPRODUCT(INDEX($AR$77:$AT$82,,$AI43),INDEX($AU$77:$BA$82,,$AH43), N($AQ$77:$AQ$82&gt;$AO43)) / CI43 / 1000</f>
        <v>0</v>
      </c>
      <c r="CK43" s="232">
        <f t="shared" si="32"/>
        <v>30</v>
      </c>
      <c r="CL43" s="230">
        <f t="shared" si="33"/>
        <v>43</v>
      </c>
      <c r="CM43" s="235">
        <f t="shared" si="34"/>
        <v>3.5018750000000001</v>
      </c>
      <c r="CN43" s="235" cm="1">
        <f t="array" ref="CN43">$BI43 * IF($AH43&lt;=2,
SUMPRODUCT(INDEX($AR$72:$AT$76,,$AI43), INDEX($AU$72:$BA$76,,$AH43), 1 / ($BB$72:$BB$76*CM43 + (1-$BB$72:$BB$76)*CI43), N($AQ$72:$AQ$76&gt;$AO43)),
SUMPRODUCT(INDEX($AR$67:$AT$76,,$AI43), INDEX($AU$67:$BA$76,,$AH43), 1 / ($BC$67:$BC$76*CM43 + (1-$BC$67:$BC$76)*CI43), N($AQ$67:$AQ$76&gt;$AO43))
) / 1000</f>
        <v>0</v>
      </c>
      <c r="CO43" s="232">
        <f t="shared" si="35"/>
        <v>25</v>
      </c>
      <c r="CP43" s="230">
        <f t="shared" si="36"/>
        <v>38</v>
      </c>
      <c r="CQ43" s="235">
        <f t="shared" si="37"/>
        <v>4.0666935483870965</v>
      </c>
      <c r="CR43" s="235" cm="1">
        <f t="array" ref="CR43">$BI43 * IF($AH43&lt;=2,
SUMPRODUCT(INDEX($AR$67:$AT$71,,$AI43), INDEX($AU$67:$BA$71,,$AH43), 1 / ($BB$67:$BB$71*CQ43 + (1-$BB$67:$BB$71)*CM43), N($AQ$67:$AQ$71&gt;$AO43)),
SUMPRODUCT(INDEX($AR$57:$AT$66,,$AI43), INDEX($AU$57:$BA$66,,$AH43), 1 / ($BC$57:$BC$66*CQ43 + (1-$BC$57:$BC$66)*CM43), N($AQ$57:$AQ$66&gt;$AO43))
) / 1000</f>
        <v>0</v>
      </c>
      <c r="CS43" s="232">
        <f t="shared" si="38"/>
        <v>20</v>
      </c>
      <c r="CT43" s="230">
        <f t="shared" si="39"/>
        <v>33</v>
      </c>
      <c r="CU43" s="235">
        <f t="shared" si="40"/>
        <v>4.8487499999999999</v>
      </c>
      <c r="CV43" s="235" cm="1">
        <f t="array" ref="CV43">$BI43 * IF($AH43&lt;=2,
SUMPRODUCT(INDEX($AR$62:$AT$66,,$AI43), INDEX($AU$62:$BA$66,,$AH43), 1 / ($BB$62:$BB$66*CU43 + (1-$BB$62:$BB$66)*CQ43), N($AQ$62:$AQ$66&gt;$AO43)),
SUMPRODUCT(INDEX($AR$47:$AT$56,,$AI43), INDEX($AU$47:$BA$56,,$AH43), 1 / ($BC$47:$BC$56*CU43 + (1-$BC$47:$BC$56)*CQ43), N($AQ$47:$AQ$56&gt;$AO43))
) / 1000</f>
        <v>0</v>
      </c>
      <c r="CW43" s="235" cm="1">
        <f t="array" ref="CW43">$BI43 * IF($AH43&lt;=2,
SUMPRODUCT(INDEX($AR$23:$AT$61,,$AI43), INDEX($AU$23:$BA$61,,$AH43), 1 / ($BB$23:$BB$61*CU43), N($AQ$23:$AQ$61&gt;$AO43)),
SUMPRODUCT(INDEX($AR$23:$AT$46,,$AI43), INDEX($AU$23:$BA$46,,$AH43), 1 / ($BC$23:$BC$46*CU43), N($AQ$23:$AQ$46&gt;$AO43))
) / 1000</f>
        <v>0</v>
      </c>
      <c r="CX43" s="230">
        <f t="shared" si="41"/>
        <v>0</v>
      </c>
      <c r="CY43" s="238"/>
    </row>
    <row r="44" spans="1:103" s="76" customFormat="1" ht="14.25" customHeight="1" x14ac:dyDescent="0.25">
      <c r="A44" s="231" t="b">
        <f t="shared" si="0"/>
        <v>0</v>
      </c>
      <c r="B44" s="245">
        <v>22</v>
      </c>
      <c r="C44" s="258"/>
      <c r="D44" s="258"/>
      <c r="E44" s="246"/>
      <c r="F44" s="247" t="str">
        <f>IF(ISBLANK(E44), "", VLOOKUP(E44, Z!$A$2:$C$4127, 3, FALSE))</f>
        <v/>
      </c>
      <c r="G44" s="248"/>
      <c r="H44" s="248"/>
      <c r="I44" s="249"/>
      <c r="J44" s="250"/>
      <c r="K44" s="259"/>
      <c r="L44" s="260"/>
      <c r="M44" s="252" t="str" cm="1">
        <f t="array" ref="M44">INDEX(Trad, 53, $A$20)</f>
        <v>Verschmutzt</v>
      </c>
      <c r="N44" s="253"/>
      <c r="O44" s="253"/>
      <c r="P44" s="254"/>
      <c r="Q44" s="251"/>
      <c r="R44" s="251"/>
      <c r="S44" s="264">
        <f t="shared" si="7"/>
        <v>0</v>
      </c>
      <c r="T44" s="252" t="str" cm="1">
        <f t="array" ref="T44">INDEX(Trad, 52, $A$20)</f>
        <v>Sauber</v>
      </c>
      <c r="U44" s="253"/>
      <c r="V44" s="253"/>
      <c r="W44" s="254"/>
      <c r="X44" s="251"/>
      <c r="Y44" s="251"/>
      <c r="Z44" s="264">
        <f t="shared" si="8"/>
        <v>0</v>
      </c>
      <c r="AA44" s="261"/>
      <c r="AB44" s="258"/>
      <c r="AC44" s="246"/>
      <c r="AD44" s="247" t="str">
        <f>IF(ISBLANK(AC44), "", VLOOKUP(AC44, Z!$A$2:$C$4127, 3, FALSE))</f>
        <v/>
      </c>
      <c r="AE44" s="262"/>
      <c r="AF44" s="263">
        <f t="shared" si="1"/>
        <v>0</v>
      </c>
      <c r="AG44" s="238"/>
      <c r="AH44" s="229">
        <f t="shared" ref="AH44" si="99">IF(ISBLANK(H44), 1, IFERROR(MATCH(H44, INDEX(Use,,1), 0), IFERROR(MATCH(H44, INDEX(Use,,2), 0), MATCH(H44, INDEX(Use,,3), 0))))</f>
        <v>1</v>
      </c>
      <c r="AI44" s="229">
        <f t="shared" ref="AI44" si="100">IF(ISBLANK(G44), 1, IFERROR(MATCH(G44, INDEX(Loc,,1), 0), IFERROR(MATCH(G44, INDEX(Loc,,2), 0), MATCH(G44, INDEX(Loc,,3), 0))))</f>
        <v>1</v>
      </c>
      <c r="AJ44" s="229">
        <f t="shared" ref="AJ44" si="101">_xlfn.IFNA(IF(IFERROR(MATCH(I44, INDEX(Medium,,1), 0), IFERROR(MATCH(I44, INDEX(Medium,,2), 0), MATCH(I44, INDEX(Medium,,3), 0))) = 2, 1, 0), 0)</f>
        <v>0</v>
      </c>
      <c r="AK44" s="229">
        <v>0</v>
      </c>
      <c r="AL44" s="229">
        <v>0</v>
      </c>
      <c r="AM44" s="229">
        <v>1</v>
      </c>
      <c r="AN44" s="229">
        <v>0</v>
      </c>
      <c r="AO44" s="229">
        <f t="shared" si="5"/>
        <v>-100</v>
      </c>
      <c r="AP44" s="238"/>
      <c r="AQ44" s="229">
        <v>2</v>
      </c>
      <c r="AR44" s="232">
        <v>281</v>
      </c>
      <c r="AS44" s="232">
        <v>289</v>
      </c>
      <c r="AT44" s="232">
        <v>381</v>
      </c>
      <c r="AU44" s="233">
        <f t="shared" si="6"/>
        <v>0</v>
      </c>
      <c r="AV44" s="233">
        <f t="shared" si="6"/>
        <v>0</v>
      </c>
      <c r="AW44" s="233" cm="1">
        <f t="array" ref="AW44">MIN(INDEX(Use,AW$21,5) + MAX(0, (1-INDEX(Use,AW$21,5))*($AQ44-5)/(35-5)), 1)</f>
        <v>0.4</v>
      </c>
      <c r="AX44" s="233" cm="1">
        <f t="array" ref="AX44">MIN(INDEX(Use,AX$21,5) + MAX(0, (1-INDEX(Use,AX$21,5))*($AQ44-5)/(35-5)), 1)</f>
        <v>0.6</v>
      </c>
      <c r="AY44" s="233" cm="1">
        <f t="array" ref="AY44">MIN(INDEX(Use,AY$21,5) + MAX(0, (1-INDEX(Use,AY$21,5))*($AQ44-5)/(35-5)), 1)</f>
        <v>0.8</v>
      </c>
      <c r="AZ44" s="233" cm="1">
        <f t="array" ref="AZ44">MIN(INDEX(Use,AZ$21,5) + MAX(0, (1-INDEX(Use,AZ$21,5))*($AQ44-5)/(35-5)), 1)</f>
        <v>0.8</v>
      </c>
      <c r="BA44" s="233" cm="1">
        <f t="array" ref="BA44">MIN(INDEX(Use,BA$21,5) + MAX(0, (1-INDEX(Use,BA$21,5))*($AQ44-5)/(35-5)), 1)</f>
        <v>0.8</v>
      </c>
      <c r="BB44" s="233">
        <v>1</v>
      </c>
      <c r="BC44" s="233">
        <v>1</v>
      </c>
      <c r="BD44" s="211"/>
      <c r="BE44" s="229" cm="1">
        <f t="array" ref="BE44">IF(ISBLANK(R44), INDEX(Use, $AH44, 4) - AM44*INDEX(Use, $AH44, 6), R44)</f>
        <v>5</v>
      </c>
      <c r="BF44" s="229">
        <f t="shared" si="12"/>
        <v>30</v>
      </c>
      <c r="BG44" s="229">
        <f t="shared" si="13"/>
        <v>13</v>
      </c>
      <c r="BH44" s="229">
        <f t="shared" si="14"/>
        <v>0</v>
      </c>
      <c r="BI44" s="234" cm="1">
        <f t="array" ref="BI44">K44/IF($L44&gt;0, INDEX($AU$23:$BA$77, $L44+20, $AH44), 1)</f>
        <v>0</v>
      </c>
      <c r="BJ44" s="230">
        <f t="shared" si="15"/>
        <v>0</v>
      </c>
      <c r="BK44" s="229">
        <v>35</v>
      </c>
      <c r="BL44" s="230">
        <f t="shared" si="16"/>
        <v>48</v>
      </c>
      <c r="BM44" s="235">
        <f t="shared" si="17"/>
        <v>2.9108720930232557</v>
      </c>
      <c r="BN44" s="235" cm="1">
        <f t="array" ref="BN44">$BI44 * SUMPRODUCT(INDEX($AR$77:$AT$82,,$AI44),INDEX($AU$77:$BA$82,,$AH44), N($AQ$77:$AQ$82&gt;$AO44)) / BM44 / 1000</f>
        <v>0</v>
      </c>
      <c r="BO44" s="232">
        <f t="shared" si="18"/>
        <v>30</v>
      </c>
      <c r="BP44" s="230">
        <f t="shared" si="19"/>
        <v>43</v>
      </c>
      <c r="BQ44" s="235">
        <f t="shared" si="20"/>
        <v>3.2938815789473681</v>
      </c>
      <c r="BR44" s="235" cm="1">
        <f t="array" ref="BR44">$BI44 * IF($AH44&lt;=2,
SUMPRODUCT(INDEX($AR$72:$AT$76,,$AI44), INDEX($AU$72:$BA$76,,$AH44), 1 / ($BB$72:$BB$76*BQ44 + (1-$BB$72:$BB$76)*BM44), N($AQ$72:$AQ$76&gt;$AO44)),
SUMPRODUCT(INDEX($AR$67:$AT$76,,$AI44), INDEX($AU$67:$BA$76,,$AH44), 1 / ($BC$67:$BC$76*BQ44 + (1-$BC$67:$BC$76)*BM44), N($AQ$67:$AQ$76&gt;$AO44))
) / 1000</f>
        <v>0</v>
      </c>
      <c r="BS44" s="232">
        <f t="shared" si="21"/>
        <v>25</v>
      </c>
      <c r="BT44" s="230">
        <f t="shared" si="22"/>
        <v>38</v>
      </c>
      <c r="BU44" s="235">
        <f t="shared" si="23"/>
        <v>3.792954545454545</v>
      </c>
      <c r="BV44" s="235" cm="1">
        <f t="array" ref="BV44">$BI44 * IF($AH44&lt;=2,
SUMPRODUCT(INDEX($AR$67:$AT$71,,$AI44), INDEX($AU$67:$BA$71,,$AH44), 1 / ($BB$67:$BB$71*BU44 + (1-$BB$67:$BB$71)*BQ44), N($AQ$67:$AQ$71&gt;$AO44)),
SUMPRODUCT(INDEX($AR$57:$AT$66,,$AI44), INDEX($AU$57:$BA$66,,$AH44), 1 / ($BC$57:$BC$66*BU44 + (1-$BC$57:$BC$66)*BQ44), N($AQ$57:$AQ$66&gt;$AO44))
) / 1000</f>
        <v>0</v>
      </c>
      <c r="BW44" s="232">
        <f t="shared" si="24"/>
        <v>20</v>
      </c>
      <c r="BX44" s="230">
        <f t="shared" si="25"/>
        <v>33</v>
      </c>
      <c r="BY44" s="235">
        <f t="shared" si="26"/>
        <v>4.4702678571428569</v>
      </c>
      <c r="BZ44" s="235" cm="1">
        <f t="array" ref="BZ44">$BI44 * IF($AH44&lt;=2,
SUMPRODUCT(INDEX($AR$62:$AT$66,,$AI44), INDEX($AU$62:$BA$66,,$AH44), 1 / ($BB$62:$BB$66*BY44 + (1-$BB$62:$BB$66)*BU44), N($AQ$62:$AQ$66&gt;$AO44)),
SUMPRODUCT(INDEX($AR$47:$AT$56,,$AI44), INDEX($AU$47:$BA$56,,$AH44), 1 / ($BC$47:$BC$56*BY44 + (1-$BC$47:$BC$56)*BU44), N($AQ$47:$AQ$56&gt;$AO44))
) / 1000</f>
        <v>0</v>
      </c>
      <c r="CA44" s="235" cm="1">
        <f t="array" ref="CA44">$BI44 * IF($AH44&lt;=2,
SUMPRODUCT(INDEX($AR$23:$AT$61,,$AI44), INDEX($AU$23:$BA$61,,$AH44), 1 / ($BB$23:$BB$61*BY44), N($AQ$23:$AQ$61&gt;$AO44)),
SUMPRODUCT(INDEX($AR$23:$AT$46,,$AI44), INDEX($AU$23:$BA$46,,$AH44), 1 / ($BC$23:$BC$46*BY44), N($AQ$23:$AQ$46&gt;$AO44))
) / 1000</f>
        <v>0</v>
      </c>
      <c r="CB44" s="230">
        <f t="shared" si="27"/>
        <v>0</v>
      </c>
      <c r="CC44" s="238"/>
      <c r="CD44" s="229" cm="1">
        <f t="array" ref="CD44">IF(ISBLANK(Y44), INDEX(Use, $AH44, 4) - AN44*INDEX(Use, $AH44, 6) - (Q44-X44), Y44)</f>
        <v>7</v>
      </c>
      <c r="CE44" s="229">
        <f t="shared" si="28"/>
        <v>32</v>
      </c>
      <c r="CF44" s="230">
        <f t="shared" si="29"/>
        <v>0</v>
      </c>
      <c r="CG44" s="229">
        <v>35</v>
      </c>
      <c r="CH44" s="230">
        <f t="shared" si="30"/>
        <v>48</v>
      </c>
      <c r="CI44" s="235">
        <f t="shared" si="31"/>
        <v>3.0748170731707316</v>
      </c>
      <c r="CJ44" s="235" cm="1">
        <f t="array" ref="CJ44">$BI44 * SUMPRODUCT(INDEX($AR$77:$AT$82,,$AI44),INDEX($AU$77:$BA$82,,$AH44), N($AQ$77:$AQ$82&gt;$AO44)) / CI44 / 1000</f>
        <v>0</v>
      </c>
      <c r="CK44" s="232">
        <f t="shared" si="32"/>
        <v>30</v>
      </c>
      <c r="CL44" s="230">
        <f t="shared" si="33"/>
        <v>43</v>
      </c>
      <c r="CM44" s="235">
        <f t="shared" si="34"/>
        <v>3.5018750000000001</v>
      </c>
      <c r="CN44" s="235" cm="1">
        <f t="array" ref="CN44">$BI44 * IF($AH44&lt;=2,
SUMPRODUCT(INDEX($AR$72:$AT$76,,$AI44), INDEX($AU$72:$BA$76,,$AH44), 1 / ($BB$72:$BB$76*CM44 + (1-$BB$72:$BB$76)*CI44), N($AQ$72:$AQ$76&gt;$AO44)),
SUMPRODUCT(INDEX($AR$67:$AT$76,,$AI44), INDEX($AU$67:$BA$76,,$AH44), 1 / ($BC$67:$BC$76*CM44 + (1-$BC$67:$BC$76)*CI44), N($AQ$67:$AQ$76&gt;$AO44))
) / 1000</f>
        <v>0</v>
      </c>
      <c r="CO44" s="232">
        <f t="shared" si="35"/>
        <v>25</v>
      </c>
      <c r="CP44" s="230">
        <f t="shared" si="36"/>
        <v>38</v>
      </c>
      <c r="CQ44" s="235">
        <f t="shared" si="37"/>
        <v>4.0666935483870965</v>
      </c>
      <c r="CR44" s="235" cm="1">
        <f t="array" ref="CR44">$BI44 * IF($AH44&lt;=2,
SUMPRODUCT(INDEX($AR$67:$AT$71,,$AI44), INDEX($AU$67:$BA$71,,$AH44), 1 / ($BB$67:$BB$71*CQ44 + (1-$BB$67:$BB$71)*CM44), N($AQ$67:$AQ$71&gt;$AO44)),
SUMPRODUCT(INDEX($AR$57:$AT$66,,$AI44), INDEX($AU$57:$BA$66,,$AH44), 1 / ($BC$57:$BC$66*CQ44 + (1-$BC$57:$BC$66)*CM44), N($AQ$57:$AQ$66&gt;$AO44))
) / 1000</f>
        <v>0</v>
      </c>
      <c r="CS44" s="232">
        <f t="shared" si="38"/>
        <v>20</v>
      </c>
      <c r="CT44" s="230">
        <f t="shared" si="39"/>
        <v>33</v>
      </c>
      <c r="CU44" s="235">
        <f t="shared" si="40"/>
        <v>4.8487499999999999</v>
      </c>
      <c r="CV44" s="235" cm="1">
        <f t="array" ref="CV44">$BI44 * IF($AH44&lt;=2,
SUMPRODUCT(INDEX($AR$62:$AT$66,,$AI44), INDEX($AU$62:$BA$66,,$AH44), 1 / ($BB$62:$BB$66*CU44 + (1-$BB$62:$BB$66)*CQ44), N($AQ$62:$AQ$66&gt;$AO44)),
SUMPRODUCT(INDEX($AR$47:$AT$56,,$AI44), INDEX($AU$47:$BA$56,,$AH44), 1 / ($BC$47:$BC$56*CU44 + (1-$BC$47:$BC$56)*CQ44), N($AQ$47:$AQ$56&gt;$AO44))
) / 1000</f>
        <v>0</v>
      </c>
      <c r="CW44" s="235" cm="1">
        <f t="array" ref="CW44">$BI44 * IF($AH44&lt;=2,
SUMPRODUCT(INDEX($AR$23:$AT$61,,$AI44), INDEX($AU$23:$BA$61,,$AH44), 1 / ($BB$23:$BB$61*CU44), N($AQ$23:$AQ$61&gt;$AO44)),
SUMPRODUCT(INDEX($AR$23:$AT$46,,$AI44), INDEX($AU$23:$BA$46,,$AH44), 1 / ($BC$23:$BC$46*CU44), N($AQ$23:$AQ$46&gt;$AO44))
) / 1000</f>
        <v>0</v>
      </c>
      <c r="CX44" s="230">
        <f t="shared" si="41"/>
        <v>0</v>
      </c>
      <c r="CY44" s="238"/>
    </row>
    <row r="45" spans="1:103" s="76" customFormat="1" ht="14.25" customHeight="1" x14ac:dyDescent="0.25">
      <c r="A45" s="231" t="b">
        <f t="shared" si="0"/>
        <v>0</v>
      </c>
      <c r="B45" s="245">
        <v>23</v>
      </c>
      <c r="C45" s="258"/>
      <c r="D45" s="258"/>
      <c r="E45" s="246"/>
      <c r="F45" s="247" t="str">
        <f>IF(ISBLANK(E45), "", VLOOKUP(E45, Z!$A$2:$C$4127, 3, FALSE))</f>
        <v/>
      </c>
      <c r="G45" s="248"/>
      <c r="H45" s="248"/>
      <c r="I45" s="249"/>
      <c r="J45" s="250"/>
      <c r="K45" s="259"/>
      <c r="L45" s="260"/>
      <c r="M45" s="252" t="str" cm="1">
        <f t="array" ref="M45">INDEX(Trad, 53, $A$20)</f>
        <v>Verschmutzt</v>
      </c>
      <c r="N45" s="253"/>
      <c r="O45" s="253"/>
      <c r="P45" s="254"/>
      <c r="Q45" s="251"/>
      <c r="R45" s="251"/>
      <c r="S45" s="264">
        <f t="shared" si="7"/>
        <v>0</v>
      </c>
      <c r="T45" s="252" t="str" cm="1">
        <f t="array" ref="T45">INDEX(Trad, 52, $A$20)</f>
        <v>Sauber</v>
      </c>
      <c r="U45" s="253"/>
      <c r="V45" s="253"/>
      <c r="W45" s="254"/>
      <c r="X45" s="251"/>
      <c r="Y45" s="251"/>
      <c r="Z45" s="264">
        <f t="shared" si="8"/>
        <v>0</v>
      </c>
      <c r="AA45" s="261"/>
      <c r="AB45" s="258"/>
      <c r="AC45" s="246"/>
      <c r="AD45" s="247" t="str">
        <f>IF(ISBLANK(AC45), "", VLOOKUP(AC45, Z!$A$2:$C$4127, 3, FALSE))</f>
        <v/>
      </c>
      <c r="AE45" s="262"/>
      <c r="AF45" s="263">
        <f t="shared" si="1"/>
        <v>0</v>
      </c>
      <c r="AG45" s="238"/>
      <c r="AH45" s="229">
        <f t="shared" ref="AH45" si="102">IF(ISBLANK(H45), 1, IFERROR(MATCH(H45, INDEX(Use,,1), 0), IFERROR(MATCH(H45, INDEX(Use,,2), 0), MATCH(H45, INDEX(Use,,3), 0))))</f>
        <v>1</v>
      </c>
      <c r="AI45" s="229">
        <f t="shared" ref="AI45" si="103">IF(ISBLANK(G45), 1, IFERROR(MATCH(G45, INDEX(Loc,,1), 0), IFERROR(MATCH(G45, INDEX(Loc,,2), 0), MATCH(G45, INDEX(Loc,,3), 0))))</f>
        <v>1</v>
      </c>
      <c r="AJ45" s="229">
        <f t="shared" ref="AJ45" si="104">_xlfn.IFNA(IF(IFERROR(MATCH(I45, INDEX(Medium,,1), 0), IFERROR(MATCH(I45, INDEX(Medium,,2), 0), MATCH(I45, INDEX(Medium,,3), 0))) = 2, 1, 0), 0)</f>
        <v>0</v>
      </c>
      <c r="AK45" s="229">
        <v>0</v>
      </c>
      <c r="AL45" s="229">
        <v>0</v>
      </c>
      <c r="AM45" s="229">
        <v>1</v>
      </c>
      <c r="AN45" s="229">
        <v>0</v>
      </c>
      <c r="AO45" s="229">
        <f t="shared" si="5"/>
        <v>-100</v>
      </c>
      <c r="AP45" s="238"/>
      <c r="AQ45" s="229">
        <v>3</v>
      </c>
      <c r="AR45" s="232">
        <v>328</v>
      </c>
      <c r="AS45" s="232">
        <v>346</v>
      </c>
      <c r="AT45" s="232">
        <v>451</v>
      </c>
      <c r="AU45" s="233">
        <f t="shared" si="6"/>
        <v>0</v>
      </c>
      <c r="AV45" s="233">
        <f t="shared" si="6"/>
        <v>0</v>
      </c>
      <c r="AW45" s="233" cm="1">
        <f t="array" ref="AW45">MIN(INDEX(Use,AW$21,5) + MAX(0, (1-INDEX(Use,AW$21,5))*($AQ45-5)/(35-5)), 1)</f>
        <v>0.4</v>
      </c>
      <c r="AX45" s="233" cm="1">
        <f t="array" ref="AX45">MIN(INDEX(Use,AX$21,5) + MAX(0, (1-INDEX(Use,AX$21,5))*($AQ45-5)/(35-5)), 1)</f>
        <v>0.6</v>
      </c>
      <c r="AY45" s="233" cm="1">
        <f t="array" ref="AY45">MIN(INDEX(Use,AY$21,5) + MAX(0, (1-INDEX(Use,AY$21,5))*($AQ45-5)/(35-5)), 1)</f>
        <v>0.8</v>
      </c>
      <c r="AZ45" s="233" cm="1">
        <f t="array" ref="AZ45">MIN(INDEX(Use,AZ$21,5) + MAX(0, (1-INDEX(Use,AZ$21,5))*($AQ45-5)/(35-5)), 1)</f>
        <v>0.8</v>
      </c>
      <c r="BA45" s="233" cm="1">
        <f t="array" ref="BA45">MIN(INDEX(Use,BA$21,5) + MAX(0, (1-INDEX(Use,BA$21,5))*($AQ45-5)/(35-5)), 1)</f>
        <v>0.8</v>
      </c>
      <c r="BB45" s="233">
        <v>1</v>
      </c>
      <c r="BC45" s="233">
        <v>1</v>
      </c>
      <c r="BD45" s="211"/>
      <c r="BE45" s="229" cm="1">
        <f t="array" ref="BE45">IF(ISBLANK(R45), INDEX(Use, $AH45, 4) - AM45*INDEX(Use, $AH45, 6), R45)</f>
        <v>5</v>
      </c>
      <c r="BF45" s="229">
        <f t="shared" si="12"/>
        <v>30</v>
      </c>
      <c r="BG45" s="229">
        <f t="shared" si="13"/>
        <v>13</v>
      </c>
      <c r="BH45" s="229">
        <f t="shared" si="14"/>
        <v>0</v>
      </c>
      <c r="BI45" s="234" cm="1">
        <f t="array" ref="BI45">K45/IF($L45&gt;0, INDEX($AU$23:$BA$77, $L45+20, $AH45), 1)</f>
        <v>0</v>
      </c>
      <c r="BJ45" s="230">
        <f t="shared" si="15"/>
        <v>0</v>
      </c>
      <c r="BK45" s="229">
        <v>35</v>
      </c>
      <c r="BL45" s="230">
        <f t="shared" si="16"/>
        <v>48</v>
      </c>
      <c r="BM45" s="235">
        <f t="shared" si="17"/>
        <v>2.9108720930232557</v>
      </c>
      <c r="BN45" s="235" cm="1">
        <f t="array" ref="BN45">$BI45 * SUMPRODUCT(INDEX($AR$77:$AT$82,,$AI45),INDEX($AU$77:$BA$82,,$AH45), N($AQ$77:$AQ$82&gt;$AO45)) / BM45 / 1000</f>
        <v>0</v>
      </c>
      <c r="BO45" s="232">
        <f t="shared" si="18"/>
        <v>30</v>
      </c>
      <c r="BP45" s="230">
        <f t="shared" si="19"/>
        <v>43</v>
      </c>
      <c r="BQ45" s="235">
        <f t="shared" si="20"/>
        <v>3.2938815789473681</v>
      </c>
      <c r="BR45" s="235" cm="1">
        <f t="array" ref="BR45">$BI45 * IF($AH45&lt;=2,
SUMPRODUCT(INDEX($AR$72:$AT$76,,$AI45), INDEX($AU$72:$BA$76,,$AH45), 1 / ($BB$72:$BB$76*BQ45 + (1-$BB$72:$BB$76)*BM45), N($AQ$72:$AQ$76&gt;$AO45)),
SUMPRODUCT(INDEX($AR$67:$AT$76,,$AI45), INDEX($AU$67:$BA$76,,$AH45), 1 / ($BC$67:$BC$76*BQ45 + (1-$BC$67:$BC$76)*BM45), N($AQ$67:$AQ$76&gt;$AO45))
) / 1000</f>
        <v>0</v>
      </c>
      <c r="BS45" s="232">
        <f t="shared" si="21"/>
        <v>25</v>
      </c>
      <c r="BT45" s="230">
        <f t="shared" si="22"/>
        <v>38</v>
      </c>
      <c r="BU45" s="235">
        <f t="shared" si="23"/>
        <v>3.792954545454545</v>
      </c>
      <c r="BV45" s="235" cm="1">
        <f t="array" ref="BV45">$BI45 * IF($AH45&lt;=2,
SUMPRODUCT(INDEX($AR$67:$AT$71,,$AI45), INDEX($AU$67:$BA$71,,$AH45), 1 / ($BB$67:$BB$71*BU45 + (1-$BB$67:$BB$71)*BQ45), N($AQ$67:$AQ$71&gt;$AO45)),
SUMPRODUCT(INDEX($AR$57:$AT$66,,$AI45), INDEX($AU$57:$BA$66,,$AH45), 1 / ($BC$57:$BC$66*BU45 + (1-$BC$57:$BC$66)*BQ45), N($AQ$57:$AQ$66&gt;$AO45))
) / 1000</f>
        <v>0</v>
      </c>
      <c r="BW45" s="232">
        <f t="shared" si="24"/>
        <v>20</v>
      </c>
      <c r="BX45" s="230">
        <f t="shared" si="25"/>
        <v>33</v>
      </c>
      <c r="BY45" s="235">
        <f t="shared" si="26"/>
        <v>4.4702678571428569</v>
      </c>
      <c r="BZ45" s="235" cm="1">
        <f t="array" ref="BZ45">$BI45 * IF($AH45&lt;=2,
SUMPRODUCT(INDEX($AR$62:$AT$66,,$AI45), INDEX($AU$62:$BA$66,,$AH45), 1 / ($BB$62:$BB$66*BY45 + (1-$BB$62:$BB$66)*BU45), N($AQ$62:$AQ$66&gt;$AO45)),
SUMPRODUCT(INDEX($AR$47:$AT$56,,$AI45), INDEX($AU$47:$BA$56,,$AH45), 1 / ($BC$47:$BC$56*BY45 + (1-$BC$47:$BC$56)*BU45), N($AQ$47:$AQ$56&gt;$AO45))
) / 1000</f>
        <v>0</v>
      </c>
      <c r="CA45" s="235" cm="1">
        <f t="array" ref="CA45">$BI45 * IF($AH45&lt;=2,
SUMPRODUCT(INDEX($AR$23:$AT$61,,$AI45), INDEX($AU$23:$BA$61,,$AH45), 1 / ($BB$23:$BB$61*BY45), N($AQ$23:$AQ$61&gt;$AO45)),
SUMPRODUCT(INDEX($AR$23:$AT$46,,$AI45), INDEX($AU$23:$BA$46,,$AH45), 1 / ($BC$23:$BC$46*BY45), N($AQ$23:$AQ$46&gt;$AO45))
) / 1000</f>
        <v>0</v>
      </c>
      <c r="CB45" s="230">
        <f t="shared" si="27"/>
        <v>0</v>
      </c>
      <c r="CC45" s="238"/>
      <c r="CD45" s="229" cm="1">
        <f t="array" ref="CD45">IF(ISBLANK(Y45), INDEX(Use, $AH45, 4) - AN45*INDEX(Use, $AH45, 6) - (Q45-X45), Y45)</f>
        <v>7</v>
      </c>
      <c r="CE45" s="229">
        <f t="shared" si="28"/>
        <v>32</v>
      </c>
      <c r="CF45" s="230">
        <f t="shared" si="29"/>
        <v>0</v>
      </c>
      <c r="CG45" s="229">
        <v>35</v>
      </c>
      <c r="CH45" s="230">
        <f t="shared" si="30"/>
        <v>48</v>
      </c>
      <c r="CI45" s="235">
        <f t="shared" si="31"/>
        <v>3.0748170731707316</v>
      </c>
      <c r="CJ45" s="235" cm="1">
        <f t="array" ref="CJ45">$BI45 * SUMPRODUCT(INDEX($AR$77:$AT$82,,$AI45),INDEX($AU$77:$BA$82,,$AH45), N($AQ$77:$AQ$82&gt;$AO45)) / CI45 / 1000</f>
        <v>0</v>
      </c>
      <c r="CK45" s="232">
        <f t="shared" si="32"/>
        <v>30</v>
      </c>
      <c r="CL45" s="230">
        <f t="shared" si="33"/>
        <v>43</v>
      </c>
      <c r="CM45" s="235">
        <f t="shared" si="34"/>
        <v>3.5018750000000001</v>
      </c>
      <c r="CN45" s="235" cm="1">
        <f t="array" ref="CN45">$BI45 * IF($AH45&lt;=2,
SUMPRODUCT(INDEX($AR$72:$AT$76,,$AI45), INDEX($AU$72:$BA$76,,$AH45), 1 / ($BB$72:$BB$76*CM45 + (1-$BB$72:$BB$76)*CI45), N($AQ$72:$AQ$76&gt;$AO45)),
SUMPRODUCT(INDEX($AR$67:$AT$76,,$AI45), INDEX($AU$67:$BA$76,,$AH45), 1 / ($BC$67:$BC$76*CM45 + (1-$BC$67:$BC$76)*CI45), N($AQ$67:$AQ$76&gt;$AO45))
) / 1000</f>
        <v>0</v>
      </c>
      <c r="CO45" s="232">
        <f t="shared" si="35"/>
        <v>25</v>
      </c>
      <c r="CP45" s="230">
        <f t="shared" si="36"/>
        <v>38</v>
      </c>
      <c r="CQ45" s="235">
        <f t="shared" si="37"/>
        <v>4.0666935483870965</v>
      </c>
      <c r="CR45" s="235" cm="1">
        <f t="array" ref="CR45">$BI45 * IF($AH45&lt;=2,
SUMPRODUCT(INDEX($AR$67:$AT$71,,$AI45), INDEX($AU$67:$BA$71,,$AH45), 1 / ($BB$67:$BB$71*CQ45 + (1-$BB$67:$BB$71)*CM45), N($AQ$67:$AQ$71&gt;$AO45)),
SUMPRODUCT(INDEX($AR$57:$AT$66,,$AI45), INDEX($AU$57:$BA$66,,$AH45), 1 / ($BC$57:$BC$66*CQ45 + (1-$BC$57:$BC$66)*CM45), N($AQ$57:$AQ$66&gt;$AO45))
) / 1000</f>
        <v>0</v>
      </c>
      <c r="CS45" s="232">
        <f t="shared" si="38"/>
        <v>20</v>
      </c>
      <c r="CT45" s="230">
        <f t="shared" si="39"/>
        <v>33</v>
      </c>
      <c r="CU45" s="235">
        <f t="shared" si="40"/>
        <v>4.8487499999999999</v>
      </c>
      <c r="CV45" s="235" cm="1">
        <f t="array" ref="CV45">$BI45 * IF($AH45&lt;=2,
SUMPRODUCT(INDEX($AR$62:$AT$66,,$AI45), INDEX($AU$62:$BA$66,,$AH45), 1 / ($BB$62:$BB$66*CU45 + (1-$BB$62:$BB$66)*CQ45), N($AQ$62:$AQ$66&gt;$AO45)),
SUMPRODUCT(INDEX($AR$47:$AT$56,,$AI45), INDEX($AU$47:$BA$56,,$AH45), 1 / ($BC$47:$BC$56*CU45 + (1-$BC$47:$BC$56)*CQ45), N($AQ$47:$AQ$56&gt;$AO45))
) / 1000</f>
        <v>0</v>
      </c>
      <c r="CW45" s="235" cm="1">
        <f t="array" ref="CW45">$BI45 * IF($AH45&lt;=2,
SUMPRODUCT(INDEX($AR$23:$AT$61,,$AI45), INDEX($AU$23:$BA$61,,$AH45), 1 / ($BB$23:$BB$61*CU45), N($AQ$23:$AQ$61&gt;$AO45)),
SUMPRODUCT(INDEX($AR$23:$AT$46,,$AI45), INDEX($AU$23:$BA$46,,$AH45), 1 / ($BC$23:$BC$46*CU45), N($AQ$23:$AQ$46&gt;$AO45))
) / 1000</f>
        <v>0</v>
      </c>
      <c r="CX45" s="230">
        <f t="shared" si="41"/>
        <v>0</v>
      </c>
      <c r="CY45" s="238"/>
    </row>
    <row r="46" spans="1:103" s="76" customFormat="1" ht="14.25" customHeight="1" x14ac:dyDescent="0.25">
      <c r="A46" s="231" t="b">
        <f t="shared" si="0"/>
        <v>0</v>
      </c>
      <c r="B46" s="245">
        <v>24</v>
      </c>
      <c r="C46" s="258"/>
      <c r="D46" s="258"/>
      <c r="E46" s="246"/>
      <c r="F46" s="247" t="str">
        <f>IF(ISBLANK(E46), "", VLOOKUP(E46, Z!$A$2:$C$4127, 3, FALSE))</f>
        <v/>
      </c>
      <c r="G46" s="248"/>
      <c r="H46" s="248"/>
      <c r="I46" s="249"/>
      <c r="J46" s="250"/>
      <c r="K46" s="259"/>
      <c r="L46" s="260"/>
      <c r="M46" s="252" t="str" cm="1">
        <f t="array" ref="M46">INDEX(Trad, 53, $A$20)</f>
        <v>Verschmutzt</v>
      </c>
      <c r="N46" s="253"/>
      <c r="O46" s="253"/>
      <c r="P46" s="254"/>
      <c r="Q46" s="251"/>
      <c r="R46" s="251"/>
      <c r="S46" s="264">
        <f t="shared" si="7"/>
        <v>0</v>
      </c>
      <c r="T46" s="252" t="str" cm="1">
        <f t="array" ref="T46">INDEX(Trad, 52, $A$20)</f>
        <v>Sauber</v>
      </c>
      <c r="U46" s="253"/>
      <c r="V46" s="253"/>
      <c r="W46" s="254"/>
      <c r="X46" s="251"/>
      <c r="Y46" s="251"/>
      <c r="Z46" s="264">
        <f t="shared" si="8"/>
        <v>0</v>
      </c>
      <c r="AA46" s="261"/>
      <c r="AB46" s="258"/>
      <c r="AC46" s="246"/>
      <c r="AD46" s="247" t="str">
        <f>IF(ISBLANK(AC46), "", VLOOKUP(AC46, Z!$A$2:$C$4127, 3, FALSE))</f>
        <v/>
      </c>
      <c r="AE46" s="262"/>
      <c r="AF46" s="263">
        <f t="shared" si="1"/>
        <v>0</v>
      </c>
      <c r="AG46" s="238"/>
      <c r="AH46" s="229">
        <f t="shared" ref="AH46" si="105">IF(ISBLANK(H46), 1, IFERROR(MATCH(H46, INDEX(Use,,1), 0), IFERROR(MATCH(H46, INDEX(Use,,2), 0), MATCH(H46, INDEX(Use,,3), 0))))</f>
        <v>1</v>
      </c>
      <c r="AI46" s="229">
        <f t="shared" ref="AI46" si="106">IF(ISBLANK(G46), 1, IFERROR(MATCH(G46, INDEX(Loc,,1), 0), IFERROR(MATCH(G46, INDEX(Loc,,2), 0), MATCH(G46, INDEX(Loc,,3), 0))))</f>
        <v>1</v>
      </c>
      <c r="AJ46" s="229">
        <f t="shared" ref="AJ46" si="107">_xlfn.IFNA(IF(IFERROR(MATCH(I46, INDEX(Medium,,1), 0), IFERROR(MATCH(I46, INDEX(Medium,,2), 0), MATCH(I46, INDEX(Medium,,3), 0))) = 2, 1, 0), 0)</f>
        <v>0</v>
      </c>
      <c r="AK46" s="229">
        <v>0</v>
      </c>
      <c r="AL46" s="229">
        <v>0</v>
      </c>
      <c r="AM46" s="229">
        <v>1</v>
      </c>
      <c r="AN46" s="229">
        <v>0</v>
      </c>
      <c r="AO46" s="229">
        <f t="shared" si="5"/>
        <v>-100</v>
      </c>
      <c r="AP46" s="238"/>
      <c r="AQ46" s="229">
        <v>4</v>
      </c>
      <c r="AR46" s="232">
        <v>349</v>
      </c>
      <c r="AS46" s="232">
        <v>359</v>
      </c>
      <c r="AT46" s="232">
        <v>459</v>
      </c>
      <c r="AU46" s="233">
        <f t="shared" si="6"/>
        <v>0</v>
      </c>
      <c r="AV46" s="233">
        <f t="shared" si="6"/>
        <v>0</v>
      </c>
      <c r="AW46" s="233" cm="1">
        <f t="array" ref="AW46">MIN(INDEX(Use,AW$21,5) + MAX(0, (1-INDEX(Use,AW$21,5))*($AQ46-5)/(35-5)), 1)</f>
        <v>0.4</v>
      </c>
      <c r="AX46" s="233" cm="1">
        <f t="array" ref="AX46">MIN(INDEX(Use,AX$21,5) + MAX(0, (1-INDEX(Use,AX$21,5))*($AQ46-5)/(35-5)), 1)</f>
        <v>0.6</v>
      </c>
      <c r="AY46" s="233" cm="1">
        <f t="array" ref="AY46">MIN(INDEX(Use,AY$21,5) + MAX(0, (1-INDEX(Use,AY$21,5))*($AQ46-5)/(35-5)), 1)</f>
        <v>0.8</v>
      </c>
      <c r="AZ46" s="233" cm="1">
        <f t="array" ref="AZ46">MIN(INDEX(Use,AZ$21,5) + MAX(0, (1-INDEX(Use,AZ$21,5))*($AQ46-5)/(35-5)), 1)</f>
        <v>0.8</v>
      </c>
      <c r="BA46" s="233" cm="1">
        <f t="array" ref="BA46">MIN(INDEX(Use,BA$21,5) + MAX(0, (1-INDEX(Use,BA$21,5))*($AQ46-5)/(35-5)), 1)</f>
        <v>0.8</v>
      </c>
      <c r="BB46" s="233">
        <v>1</v>
      </c>
      <c r="BC46" s="233">
        <v>1</v>
      </c>
      <c r="BD46" s="211"/>
      <c r="BE46" s="229" cm="1">
        <f t="array" ref="BE46">IF(ISBLANK(R46), INDEX(Use, $AH46, 4) - AM46*INDEX(Use, $AH46, 6), R46)</f>
        <v>5</v>
      </c>
      <c r="BF46" s="229">
        <f t="shared" si="12"/>
        <v>30</v>
      </c>
      <c r="BG46" s="229">
        <f t="shared" si="13"/>
        <v>13</v>
      </c>
      <c r="BH46" s="229">
        <f t="shared" si="14"/>
        <v>0</v>
      </c>
      <c r="BI46" s="234" cm="1">
        <f t="array" ref="BI46">K46/IF($L46&gt;0, INDEX($AU$23:$BA$77, $L46+20, $AH46), 1)</f>
        <v>0</v>
      </c>
      <c r="BJ46" s="230">
        <f t="shared" si="15"/>
        <v>0</v>
      </c>
      <c r="BK46" s="229">
        <v>35</v>
      </c>
      <c r="BL46" s="230">
        <f t="shared" si="16"/>
        <v>48</v>
      </c>
      <c r="BM46" s="235">
        <f t="shared" si="17"/>
        <v>2.9108720930232557</v>
      </c>
      <c r="BN46" s="235" cm="1">
        <f t="array" ref="BN46">$BI46 * SUMPRODUCT(INDEX($AR$77:$AT$82,,$AI46),INDEX($AU$77:$BA$82,,$AH46), N($AQ$77:$AQ$82&gt;$AO46)) / BM46 / 1000</f>
        <v>0</v>
      </c>
      <c r="BO46" s="232">
        <f t="shared" si="18"/>
        <v>30</v>
      </c>
      <c r="BP46" s="230">
        <f t="shared" si="19"/>
        <v>43</v>
      </c>
      <c r="BQ46" s="235">
        <f t="shared" si="20"/>
        <v>3.2938815789473681</v>
      </c>
      <c r="BR46" s="235" cm="1">
        <f t="array" ref="BR46">$BI46 * IF($AH46&lt;=2,
SUMPRODUCT(INDEX($AR$72:$AT$76,,$AI46), INDEX($AU$72:$BA$76,,$AH46), 1 / ($BB$72:$BB$76*BQ46 + (1-$BB$72:$BB$76)*BM46), N($AQ$72:$AQ$76&gt;$AO46)),
SUMPRODUCT(INDEX($AR$67:$AT$76,,$AI46), INDEX($AU$67:$BA$76,,$AH46), 1 / ($BC$67:$BC$76*BQ46 + (1-$BC$67:$BC$76)*BM46), N($AQ$67:$AQ$76&gt;$AO46))
) / 1000</f>
        <v>0</v>
      </c>
      <c r="BS46" s="232">
        <f t="shared" si="21"/>
        <v>25</v>
      </c>
      <c r="BT46" s="230">
        <f t="shared" si="22"/>
        <v>38</v>
      </c>
      <c r="BU46" s="235">
        <f t="shared" si="23"/>
        <v>3.792954545454545</v>
      </c>
      <c r="BV46" s="235" cm="1">
        <f t="array" ref="BV46">$BI46 * IF($AH46&lt;=2,
SUMPRODUCT(INDEX($AR$67:$AT$71,,$AI46), INDEX($AU$67:$BA$71,,$AH46), 1 / ($BB$67:$BB$71*BU46 + (1-$BB$67:$BB$71)*BQ46), N($AQ$67:$AQ$71&gt;$AO46)),
SUMPRODUCT(INDEX($AR$57:$AT$66,,$AI46), INDEX($AU$57:$BA$66,,$AH46), 1 / ($BC$57:$BC$66*BU46 + (1-$BC$57:$BC$66)*BQ46), N($AQ$57:$AQ$66&gt;$AO46))
) / 1000</f>
        <v>0</v>
      </c>
      <c r="BW46" s="232">
        <f t="shared" si="24"/>
        <v>20</v>
      </c>
      <c r="BX46" s="230">
        <f t="shared" si="25"/>
        <v>33</v>
      </c>
      <c r="BY46" s="235">
        <f t="shared" si="26"/>
        <v>4.4702678571428569</v>
      </c>
      <c r="BZ46" s="235" cm="1">
        <f t="array" ref="BZ46">$BI46 * IF($AH46&lt;=2,
SUMPRODUCT(INDEX($AR$62:$AT$66,,$AI46), INDEX($AU$62:$BA$66,,$AH46), 1 / ($BB$62:$BB$66*BY46 + (1-$BB$62:$BB$66)*BU46), N($AQ$62:$AQ$66&gt;$AO46)),
SUMPRODUCT(INDEX($AR$47:$AT$56,,$AI46), INDEX($AU$47:$BA$56,,$AH46), 1 / ($BC$47:$BC$56*BY46 + (1-$BC$47:$BC$56)*BU46), N($AQ$47:$AQ$56&gt;$AO46))
) / 1000</f>
        <v>0</v>
      </c>
      <c r="CA46" s="235" cm="1">
        <f t="array" ref="CA46">$BI46 * IF($AH46&lt;=2,
SUMPRODUCT(INDEX($AR$23:$AT$61,,$AI46), INDEX($AU$23:$BA$61,,$AH46), 1 / ($BB$23:$BB$61*BY46), N($AQ$23:$AQ$61&gt;$AO46)),
SUMPRODUCT(INDEX($AR$23:$AT$46,,$AI46), INDEX($AU$23:$BA$46,,$AH46), 1 / ($BC$23:$BC$46*BY46), N($AQ$23:$AQ$46&gt;$AO46))
) / 1000</f>
        <v>0</v>
      </c>
      <c r="CB46" s="230">
        <f t="shared" si="27"/>
        <v>0</v>
      </c>
      <c r="CC46" s="238"/>
      <c r="CD46" s="229" cm="1">
        <f t="array" ref="CD46">IF(ISBLANK(Y46), INDEX(Use, $AH46, 4) - AN46*INDEX(Use, $AH46, 6) - (Q46-X46), Y46)</f>
        <v>7</v>
      </c>
      <c r="CE46" s="229">
        <f t="shared" si="28"/>
        <v>32</v>
      </c>
      <c r="CF46" s="230">
        <f t="shared" si="29"/>
        <v>0</v>
      </c>
      <c r="CG46" s="229">
        <v>35</v>
      </c>
      <c r="CH46" s="230">
        <f t="shared" si="30"/>
        <v>48</v>
      </c>
      <c r="CI46" s="235">
        <f t="shared" si="31"/>
        <v>3.0748170731707316</v>
      </c>
      <c r="CJ46" s="235" cm="1">
        <f t="array" ref="CJ46">$BI46 * SUMPRODUCT(INDEX($AR$77:$AT$82,,$AI46),INDEX($AU$77:$BA$82,,$AH46), N($AQ$77:$AQ$82&gt;$AO46)) / CI46 / 1000</f>
        <v>0</v>
      </c>
      <c r="CK46" s="232">
        <f t="shared" si="32"/>
        <v>30</v>
      </c>
      <c r="CL46" s="230">
        <f t="shared" si="33"/>
        <v>43</v>
      </c>
      <c r="CM46" s="235">
        <f t="shared" si="34"/>
        <v>3.5018750000000001</v>
      </c>
      <c r="CN46" s="235" cm="1">
        <f t="array" ref="CN46">$BI46 * IF($AH46&lt;=2,
SUMPRODUCT(INDEX($AR$72:$AT$76,,$AI46), INDEX($AU$72:$BA$76,,$AH46), 1 / ($BB$72:$BB$76*CM46 + (1-$BB$72:$BB$76)*CI46), N($AQ$72:$AQ$76&gt;$AO46)),
SUMPRODUCT(INDEX($AR$67:$AT$76,,$AI46), INDEX($AU$67:$BA$76,,$AH46), 1 / ($BC$67:$BC$76*CM46 + (1-$BC$67:$BC$76)*CI46), N($AQ$67:$AQ$76&gt;$AO46))
) / 1000</f>
        <v>0</v>
      </c>
      <c r="CO46" s="232">
        <f t="shared" si="35"/>
        <v>25</v>
      </c>
      <c r="CP46" s="230">
        <f t="shared" si="36"/>
        <v>38</v>
      </c>
      <c r="CQ46" s="235">
        <f t="shared" si="37"/>
        <v>4.0666935483870965</v>
      </c>
      <c r="CR46" s="235" cm="1">
        <f t="array" ref="CR46">$BI46 * IF($AH46&lt;=2,
SUMPRODUCT(INDEX($AR$67:$AT$71,,$AI46), INDEX($AU$67:$BA$71,,$AH46), 1 / ($BB$67:$BB$71*CQ46 + (1-$BB$67:$BB$71)*CM46), N($AQ$67:$AQ$71&gt;$AO46)),
SUMPRODUCT(INDEX($AR$57:$AT$66,,$AI46), INDEX($AU$57:$BA$66,,$AH46), 1 / ($BC$57:$BC$66*CQ46 + (1-$BC$57:$BC$66)*CM46), N($AQ$57:$AQ$66&gt;$AO46))
) / 1000</f>
        <v>0</v>
      </c>
      <c r="CS46" s="232">
        <f t="shared" si="38"/>
        <v>20</v>
      </c>
      <c r="CT46" s="230">
        <f t="shared" si="39"/>
        <v>33</v>
      </c>
      <c r="CU46" s="235">
        <f t="shared" si="40"/>
        <v>4.8487499999999999</v>
      </c>
      <c r="CV46" s="235" cm="1">
        <f t="array" ref="CV46">$BI46 * IF($AH46&lt;=2,
SUMPRODUCT(INDEX($AR$62:$AT$66,,$AI46), INDEX($AU$62:$BA$66,,$AH46), 1 / ($BB$62:$BB$66*CU46 + (1-$BB$62:$BB$66)*CQ46), N($AQ$62:$AQ$66&gt;$AO46)),
SUMPRODUCT(INDEX($AR$47:$AT$56,,$AI46), INDEX($AU$47:$BA$56,,$AH46), 1 / ($BC$47:$BC$56*CU46 + (1-$BC$47:$BC$56)*CQ46), N($AQ$47:$AQ$56&gt;$AO46))
) / 1000</f>
        <v>0</v>
      </c>
      <c r="CW46" s="235" cm="1">
        <f t="array" ref="CW46">$BI46 * IF($AH46&lt;=2,
SUMPRODUCT(INDEX($AR$23:$AT$61,,$AI46), INDEX($AU$23:$BA$61,,$AH46), 1 / ($BB$23:$BB$61*CU46), N($AQ$23:$AQ$61&gt;$AO46)),
SUMPRODUCT(INDEX($AR$23:$AT$46,,$AI46), INDEX($AU$23:$BA$46,,$AH46), 1 / ($BC$23:$BC$46*CU46), N($AQ$23:$AQ$46&gt;$AO46))
) / 1000</f>
        <v>0</v>
      </c>
      <c r="CX46" s="230">
        <f t="shared" si="41"/>
        <v>0</v>
      </c>
      <c r="CY46" s="238"/>
    </row>
    <row r="47" spans="1:103" s="76" customFormat="1" ht="14.25" customHeight="1" x14ac:dyDescent="0.25">
      <c r="A47" s="231" t="b">
        <f t="shared" si="0"/>
        <v>0</v>
      </c>
      <c r="B47" s="245">
        <v>25</v>
      </c>
      <c r="C47" s="258"/>
      <c r="D47" s="258"/>
      <c r="E47" s="246"/>
      <c r="F47" s="247" t="str">
        <f>IF(ISBLANK(E47), "", VLOOKUP(E47, Z!$A$2:$C$4127, 3, FALSE))</f>
        <v/>
      </c>
      <c r="G47" s="248"/>
      <c r="H47" s="248"/>
      <c r="I47" s="249"/>
      <c r="J47" s="250"/>
      <c r="K47" s="259"/>
      <c r="L47" s="260"/>
      <c r="M47" s="252" t="str" cm="1">
        <f t="array" ref="M47">INDEX(Trad, 53, $A$20)</f>
        <v>Verschmutzt</v>
      </c>
      <c r="N47" s="253"/>
      <c r="O47" s="253"/>
      <c r="P47" s="254"/>
      <c r="Q47" s="251"/>
      <c r="R47" s="251"/>
      <c r="S47" s="264">
        <f t="shared" si="7"/>
        <v>0</v>
      </c>
      <c r="T47" s="252" t="str" cm="1">
        <f t="array" ref="T47">INDEX(Trad, 52, $A$20)</f>
        <v>Sauber</v>
      </c>
      <c r="U47" s="253"/>
      <c r="V47" s="253"/>
      <c r="W47" s="254"/>
      <c r="X47" s="251"/>
      <c r="Y47" s="251"/>
      <c r="Z47" s="264">
        <f t="shared" si="8"/>
        <v>0</v>
      </c>
      <c r="AA47" s="261"/>
      <c r="AB47" s="258"/>
      <c r="AC47" s="246"/>
      <c r="AD47" s="247" t="str">
        <f>IF(ISBLANK(AC47), "", VLOOKUP(AC47, Z!$A$2:$C$4127, 3, FALSE))</f>
        <v/>
      </c>
      <c r="AE47" s="262"/>
      <c r="AF47" s="263">
        <f t="shared" si="1"/>
        <v>0</v>
      </c>
      <c r="AG47" s="238"/>
      <c r="AH47" s="229">
        <f t="shared" ref="AH47" si="108">IF(ISBLANK(H47), 1, IFERROR(MATCH(H47, INDEX(Use,,1), 0), IFERROR(MATCH(H47, INDEX(Use,,2), 0), MATCH(H47, INDEX(Use,,3), 0))))</f>
        <v>1</v>
      </c>
      <c r="AI47" s="229">
        <f t="shared" ref="AI47" si="109">IF(ISBLANK(G47), 1, IFERROR(MATCH(G47, INDEX(Loc,,1), 0), IFERROR(MATCH(G47, INDEX(Loc,,2), 0), MATCH(G47, INDEX(Loc,,3), 0))))</f>
        <v>1</v>
      </c>
      <c r="AJ47" s="229">
        <f t="shared" ref="AJ47" si="110">_xlfn.IFNA(IF(IFERROR(MATCH(I47, INDEX(Medium,,1), 0), IFERROR(MATCH(I47, INDEX(Medium,,2), 0), MATCH(I47, INDEX(Medium,,3), 0))) = 2, 1, 0), 0)</f>
        <v>0</v>
      </c>
      <c r="AK47" s="229">
        <v>0</v>
      </c>
      <c r="AL47" s="229">
        <v>0</v>
      </c>
      <c r="AM47" s="229">
        <v>1</v>
      </c>
      <c r="AN47" s="229">
        <v>0</v>
      </c>
      <c r="AO47" s="229">
        <f t="shared" si="5"/>
        <v>-100</v>
      </c>
      <c r="AP47" s="238"/>
      <c r="AQ47" s="229">
        <v>5</v>
      </c>
      <c r="AR47" s="232">
        <v>324</v>
      </c>
      <c r="AS47" s="232">
        <v>359</v>
      </c>
      <c r="AT47" s="232">
        <v>335</v>
      </c>
      <c r="AU47" s="233">
        <f t="shared" si="6"/>
        <v>0</v>
      </c>
      <c r="AV47" s="233">
        <f t="shared" si="6"/>
        <v>0</v>
      </c>
      <c r="AW47" s="233" cm="1">
        <f t="array" ref="AW47">MIN(INDEX(Use,AW$21,5) + MAX(0, (1-INDEX(Use,AW$21,5))*($AQ47-5)/(35-5)), 1)</f>
        <v>0.4</v>
      </c>
      <c r="AX47" s="233" cm="1">
        <f t="array" ref="AX47">MIN(INDEX(Use,AX$21,5) + MAX(0, (1-INDEX(Use,AX$21,5))*($AQ47-5)/(35-5)), 1)</f>
        <v>0.6</v>
      </c>
      <c r="AY47" s="233" cm="1">
        <f t="array" ref="AY47">MIN(INDEX(Use,AY$21,5) + MAX(0, (1-INDEX(Use,AY$21,5))*($AQ47-5)/(35-5)), 1)</f>
        <v>0.8</v>
      </c>
      <c r="AZ47" s="233" cm="1">
        <f t="array" ref="AZ47">MIN(INDEX(Use,AZ$21,5) + MAX(0, (1-INDEX(Use,AZ$21,5))*($AQ47-5)/(35-5)), 1)</f>
        <v>0.8</v>
      </c>
      <c r="BA47" s="233" cm="1">
        <f t="array" ref="BA47">MIN(INDEX(Use,BA$21,5) + MAX(0, (1-INDEX(Use,BA$21,5))*($AQ47-5)/(35-5)), 1)</f>
        <v>0.8</v>
      </c>
      <c r="BB47" s="233">
        <v>1</v>
      </c>
      <c r="BC47" s="233">
        <v>1</v>
      </c>
      <c r="BD47" s="211"/>
      <c r="BE47" s="229" cm="1">
        <f t="array" ref="BE47">IF(ISBLANK(R47), INDEX(Use, $AH47, 4) - AM47*INDEX(Use, $AH47, 6), R47)</f>
        <v>5</v>
      </c>
      <c r="BF47" s="229">
        <f t="shared" si="12"/>
        <v>30</v>
      </c>
      <c r="BG47" s="229">
        <f t="shared" si="13"/>
        <v>13</v>
      </c>
      <c r="BH47" s="229">
        <f t="shared" si="14"/>
        <v>0</v>
      </c>
      <c r="BI47" s="234" cm="1">
        <f t="array" ref="BI47">K47/IF($L47&gt;0, INDEX($AU$23:$BA$77, $L47+20, $AH47), 1)</f>
        <v>0</v>
      </c>
      <c r="BJ47" s="230">
        <f t="shared" si="15"/>
        <v>0</v>
      </c>
      <c r="BK47" s="229">
        <v>35</v>
      </c>
      <c r="BL47" s="230">
        <f t="shared" si="16"/>
        <v>48</v>
      </c>
      <c r="BM47" s="235">
        <f t="shared" si="17"/>
        <v>2.9108720930232557</v>
      </c>
      <c r="BN47" s="235" cm="1">
        <f t="array" ref="BN47">$BI47 * SUMPRODUCT(INDEX($AR$77:$AT$82,,$AI47),INDEX($AU$77:$BA$82,,$AH47), N($AQ$77:$AQ$82&gt;$AO47)) / BM47 / 1000</f>
        <v>0</v>
      </c>
      <c r="BO47" s="232">
        <f t="shared" si="18"/>
        <v>30</v>
      </c>
      <c r="BP47" s="230">
        <f t="shared" si="19"/>
        <v>43</v>
      </c>
      <c r="BQ47" s="235">
        <f t="shared" si="20"/>
        <v>3.2938815789473681</v>
      </c>
      <c r="BR47" s="235" cm="1">
        <f t="array" ref="BR47">$BI47 * IF($AH47&lt;=2,
SUMPRODUCT(INDEX($AR$72:$AT$76,,$AI47), INDEX($AU$72:$BA$76,,$AH47), 1 / ($BB$72:$BB$76*BQ47 + (1-$BB$72:$BB$76)*BM47), N($AQ$72:$AQ$76&gt;$AO47)),
SUMPRODUCT(INDEX($AR$67:$AT$76,,$AI47), INDEX($AU$67:$BA$76,,$AH47), 1 / ($BC$67:$BC$76*BQ47 + (1-$BC$67:$BC$76)*BM47), N($AQ$67:$AQ$76&gt;$AO47))
) / 1000</f>
        <v>0</v>
      </c>
      <c r="BS47" s="232">
        <f t="shared" si="21"/>
        <v>25</v>
      </c>
      <c r="BT47" s="230">
        <f t="shared" si="22"/>
        <v>38</v>
      </c>
      <c r="BU47" s="235">
        <f t="shared" si="23"/>
        <v>3.792954545454545</v>
      </c>
      <c r="BV47" s="235" cm="1">
        <f t="array" ref="BV47">$BI47 * IF($AH47&lt;=2,
SUMPRODUCT(INDEX($AR$67:$AT$71,,$AI47), INDEX($AU$67:$BA$71,,$AH47), 1 / ($BB$67:$BB$71*BU47 + (1-$BB$67:$BB$71)*BQ47), N($AQ$67:$AQ$71&gt;$AO47)),
SUMPRODUCT(INDEX($AR$57:$AT$66,,$AI47), INDEX($AU$57:$BA$66,,$AH47), 1 / ($BC$57:$BC$66*BU47 + (1-$BC$57:$BC$66)*BQ47), N($AQ$57:$AQ$66&gt;$AO47))
) / 1000</f>
        <v>0</v>
      </c>
      <c r="BW47" s="232">
        <f t="shared" si="24"/>
        <v>20</v>
      </c>
      <c r="BX47" s="230">
        <f t="shared" si="25"/>
        <v>33</v>
      </c>
      <c r="BY47" s="235">
        <f t="shared" si="26"/>
        <v>4.4702678571428569</v>
      </c>
      <c r="BZ47" s="235" cm="1">
        <f t="array" ref="BZ47">$BI47 * IF($AH47&lt;=2,
SUMPRODUCT(INDEX($AR$62:$AT$66,,$AI47), INDEX($AU$62:$BA$66,,$AH47), 1 / ($BB$62:$BB$66*BY47 + (1-$BB$62:$BB$66)*BU47), N($AQ$62:$AQ$66&gt;$AO47)),
SUMPRODUCT(INDEX($AR$47:$AT$56,,$AI47), INDEX($AU$47:$BA$56,,$AH47), 1 / ($BC$47:$BC$56*BY47 + (1-$BC$47:$BC$56)*BU47), N($AQ$47:$AQ$56&gt;$AO47))
) / 1000</f>
        <v>0</v>
      </c>
      <c r="CA47" s="235" cm="1">
        <f t="array" ref="CA47">$BI47 * IF($AH47&lt;=2,
SUMPRODUCT(INDEX($AR$23:$AT$61,,$AI47), INDEX($AU$23:$BA$61,,$AH47), 1 / ($BB$23:$BB$61*BY47), N($AQ$23:$AQ$61&gt;$AO47)),
SUMPRODUCT(INDEX($AR$23:$AT$46,,$AI47), INDEX($AU$23:$BA$46,,$AH47), 1 / ($BC$23:$BC$46*BY47), N($AQ$23:$AQ$46&gt;$AO47))
) / 1000</f>
        <v>0</v>
      </c>
      <c r="CB47" s="230">
        <f t="shared" si="27"/>
        <v>0</v>
      </c>
      <c r="CC47" s="238"/>
      <c r="CD47" s="229" cm="1">
        <f t="array" ref="CD47">IF(ISBLANK(Y47), INDEX(Use, $AH47, 4) - AN47*INDEX(Use, $AH47, 6) - (Q47-X47), Y47)</f>
        <v>7</v>
      </c>
      <c r="CE47" s="229">
        <f t="shared" si="28"/>
        <v>32</v>
      </c>
      <c r="CF47" s="230">
        <f t="shared" si="29"/>
        <v>0</v>
      </c>
      <c r="CG47" s="229">
        <v>35</v>
      </c>
      <c r="CH47" s="230">
        <f t="shared" si="30"/>
        <v>48</v>
      </c>
      <c r="CI47" s="235">
        <f t="shared" si="31"/>
        <v>3.0748170731707316</v>
      </c>
      <c r="CJ47" s="235" cm="1">
        <f t="array" ref="CJ47">$BI47 * SUMPRODUCT(INDEX($AR$77:$AT$82,,$AI47),INDEX($AU$77:$BA$82,,$AH47), N($AQ$77:$AQ$82&gt;$AO47)) / CI47 / 1000</f>
        <v>0</v>
      </c>
      <c r="CK47" s="232">
        <f t="shared" si="32"/>
        <v>30</v>
      </c>
      <c r="CL47" s="230">
        <f t="shared" si="33"/>
        <v>43</v>
      </c>
      <c r="CM47" s="235">
        <f t="shared" si="34"/>
        <v>3.5018750000000001</v>
      </c>
      <c r="CN47" s="235" cm="1">
        <f t="array" ref="CN47">$BI47 * IF($AH47&lt;=2,
SUMPRODUCT(INDEX($AR$72:$AT$76,,$AI47), INDEX($AU$72:$BA$76,,$AH47), 1 / ($BB$72:$BB$76*CM47 + (1-$BB$72:$BB$76)*CI47), N($AQ$72:$AQ$76&gt;$AO47)),
SUMPRODUCT(INDEX($AR$67:$AT$76,,$AI47), INDEX($AU$67:$BA$76,,$AH47), 1 / ($BC$67:$BC$76*CM47 + (1-$BC$67:$BC$76)*CI47), N($AQ$67:$AQ$76&gt;$AO47))
) / 1000</f>
        <v>0</v>
      </c>
      <c r="CO47" s="232">
        <f t="shared" si="35"/>
        <v>25</v>
      </c>
      <c r="CP47" s="230">
        <f t="shared" si="36"/>
        <v>38</v>
      </c>
      <c r="CQ47" s="235">
        <f t="shared" si="37"/>
        <v>4.0666935483870965</v>
      </c>
      <c r="CR47" s="235" cm="1">
        <f t="array" ref="CR47">$BI47 * IF($AH47&lt;=2,
SUMPRODUCT(INDEX($AR$67:$AT$71,,$AI47), INDEX($AU$67:$BA$71,,$AH47), 1 / ($BB$67:$BB$71*CQ47 + (1-$BB$67:$BB$71)*CM47), N($AQ$67:$AQ$71&gt;$AO47)),
SUMPRODUCT(INDEX($AR$57:$AT$66,,$AI47), INDEX($AU$57:$BA$66,,$AH47), 1 / ($BC$57:$BC$66*CQ47 + (1-$BC$57:$BC$66)*CM47), N($AQ$57:$AQ$66&gt;$AO47))
) / 1000</f>
        <v>0</v>
      </c>
      <c r="CS47" s="232">
        <f t="shared" si="38"/>
        <v>20</v>
      </c>
      <c r="CT47" s="230">
        <f t="shared" si="39"/>
        <v>33</v>
      </c>
      <c r="CU47" s="235">
        <f t="shared" si="40"/>
        <v>4.8487499999999999</v>
      </c>
      <c r="CV47" s="235" cm="1">
        <f t="array" ref="CV47">$BI47 * IF($AH47&lt;=2,
SUMPRODUCT(INDEX($AR$62:$AT$66,,$AI47), INDEX($AU$62:$BA$66,,$AH47), 1 / ($BB$62:$BB$66*CU47 + (1-$BB$62:$BB$66)*CQ47), N($AQ$62:$AQ$66&gt;$AO47)),
SUMPRODUCT(INDEX($AR$47:$AT$56,,$AI47), INDEX($AU$47:$BA$56,,$AH47), 1 / ($BC$47:$BC$56*CU47 + (1-$BC$47:$BC$56)*CQ47), N($AQ$47:$AQ$56&gt;$AO47))
) / 1000</f>
        <v>0</v>
      </c>
      <c r="CW47" s="235" cm="1">
        <f t="array" ref="CW47">$BI47 * IF($AH47&lt;=2,
SUMPRODUCT(INDEX($AR$23:$AT$61,,$AI47), INDEX($AU$23:$BA$61,,$AH47), 1 / ($BB$23:$BB$61*CU47), N($AQ$23:$AQ$61&gt;$AO47)),
SUMPRODUCT(INDEX($AR$23:$AT$46,,$AI47), INDEX($AU$23:$BA$46,,$AH47), 1 / ($BC$23:$BC$46*CU47), N($AQ$23:$AQ$46&gt;$AO47))
) / 1000</f>
        <v>0</v>
      </c>
      <c r="CX47" s="230">
        <f t="shared" si="41"/>
        <v>0</v>
      </c>
      <c r="CY47" s="238"/>
    </row>
    <row r="48" spans="1:103" s="76" customFormat="1" ht="14.25" customHeight="1" x14ac:dyDescent="0.25">
      <c r="A48" s="231" t="b">
        <f t="shared" si="0"/>
        <v>0</v>
      </c>
      <c r="B48" s="245">
        <v>26</v>
      </c>
      <c r="C48" s="258"/>
      <c r="D48" s="258"/>
      <c r="E48" s="246"/>
      <c r="F48" s="247" t="str">
        <f>IF(ISBLANK(E48), "", VLOOKUP(E48, Z!$A$2:$C$4127, 3, FALSE))</f>
        <v/>
      </c>
      <c r="G48" s="248"/>
      <c r="H48" s="248"/>
      <c r="I48" s="249"/>
      <c r="J48" s="250"/>
      <c r="K48" s="259"/>
      <c r="L48" s="260"/>
      <c r="M48" s="252" t="str" cm="1">
        <f t="array" ref="M48">INDEX(Trad, 53, $A$20)</f>
        <v>Verschmutzt</v>
      </c>
      <c r="N48" s="253"/>
      <c r="O48" s="253"/>
      <c r="P48" s="254"/>
      <c r="Q48" s="251"/>
      <c r="R48" s="251"/>
      <c r="S48" s="264">
        <f t="shared" si="7"/>
        <v>0</v>
      </c>
      <c r="T48" s="252" t="str" cm="1">
        <f t="array" ref="T48">INDEX(Trad, 52, $A$20)</f>
        <v>Sauber</v>
      </c>
      <c r="U48" s="253"/>
      <c r="V48" s="253"/>
      <c r="W48" s="254"/>
      <c r="X48" s="251"/>
      <c r="Y48" s="251"/>
      <c r="Z48" s="264">
        <f t="shared" si="8"/>
        <v>0</v>
      </c>
      <c r="AA48" s="261"/>
      <c r="AB48" s="258"/>
      <c r="AC48" s="246"/>
      <c r="AD48" s="247" t="str">
        <f>IF(ISBLANK(AC48), "", VLOOKUP(AC48, Z!$A$2:$C$4127, 3, FALSE))</f>
        <v/>
      </c>
      <c r="AE48" s="262"/>
      <c r="AF48" s="263">
        <f t="shared" si="1"/>
        <v>0</v>
      </c>
      <c r="AG48" s="238"/>
      <c r="AH48" s="229">
        <f t="shared" ref="AH48" si="111">IF(ISBLANK(H48), 1, IFERROR(MATCH(H48, INDEX(Use,,1), 0), IFERROR(MATCH(H48, INDEX(Use,,2), 0), MATCH(H48, INDEX(Use,,3), 0))))</f>
        <v>1</v>
      </c>
      <c r="AI48" s="229">
        <f t="shared" ref="AI48" si="112">IF(ISBLANK(G48), 1, IFERROR(MATCH(G48, INDEX(Loc,,1), 0), IFERROR(MATCH(G48, INDEX(Loc,,2), 0), MATCH(G48, INDEX(Loc,,3), 0))))</f>
        <v>1</v>
      </c>
      <c r="AJ48" s="229">
        <f t="shared" ref="AJ48" si="113">_xlfn.IFNA(IF(IFERROR(MATCH(I48, INDEX(Medium,,1), 0), IFERROR(MATCH(I48, INDEX(Medium,,2), 0), MATCH(I48, INDEX(Medium,,3), 0))) = 2, 1, 0), 0)</f>
        <v>0</v>
      </c>
      <c r="AK48" s="229">
        <v>0</v>
      </c>
      <c r="AL48" s="229">
        <v>0</v>
      </c>
      <c r="AM48" s="229">
        <v>1</v>
      </c>
      <c r="AN48" s="229">
        <v>0</v>
      </c>
      <c r="AO48" s="229">
        <f t="shared" si="5"/>
        <v>-100</v>
      </c>
      <c r="AP48" s="238"/>
      <c r="AQ48" s="229">
        <v>6</v>
      </c>
      <c r="AR48" s="232">
        <v>362</v>
      </c>
      <c r="AS48" s="232">
        <v>365</v>
      </c>
      <c r="AT48" s="232">
        <v>417</v>
      </c>
      <c r="AU48" s="233">
        <f t="shared" si="6"/>
        <v>0</v>
      </c>
      <c r="AV48" s="233">
        <f t="shared" si="6"/>
        <v>0</v>
      </c>
      <c r="AW48" s="233" cm="1">
        <f t="array" ref="AW48">MIN(INDEX(Use,AW$21,5) + MAX(0, (1-INDEX(Use,AW$21,5))*($AQ48-5)/(35-5)), 1)</f>
        <v>0.42000000000000004</v>
      </c>
      <c r="AX48" s="233" cm="1">
        <f t="array" ref="AX48">MIN(INDEX(Use,AX$21,5) + MAX(0, (1-INDEX(Use,AX$21,5))*($AQ48-5)/(35-5)), 1)</f>
        <v>0.61333333333333329</v>
      </c>
      <c r="AY48" s="233" cm="1">
        <f t="array" ref="AY48">MIN(INDEX(Use,AY$21,5) + MAX(0, (1-INDEX(Use,AY$21,5))*($AQ48-5)/(35-5)), 1)</f>
        <v>0.80666666666666675</v>
      </c>
      <c r="AZ48" s="233" cm="1">
        <f t="array" ref="AZ48">MIN(INDEX(Use,AZ$21,5) + MAX(0, (1-INDEX(Use,AZ$21,5))*($AQ48-5)/(35-5)), 1)</f>
        <v>0.80666666666666675</v>
      </c>
      <c r="BA48" s="233" cm="1">
        <f t="array" ref="BA48">MIN(INDEX(Use,BA$21,5) + MAX(0, (1-INDEX(Use,BA$21,5))*($AQ48-5)/(35-5)), 1)</f>
        <v>0.80666666666666675</v>
      </c>
      <c r="BB48" s="233">
        <v>1</v>
      </c>
      <c r="BC48" s="233">
        <v>0.9</v>
      </c>
      <c r="BD48" s="211"/>
      <c r="BE48" s="229" cm="1">
        <f t="array" ref="BE48">IF(ISBLANK(R48), INDEX(Use, $AH48, 4) - AM48*INDEX(Use, $AH48, 6), R48)</f>
        <v>5</v>
      </c>
      <c r="BF48" s="229">
        <f t="shared" si="12"/>
        <v>30</v>
      </c>
      <c r="BG48" s="229">
        <f t="shared" si="13"/>
        <v>13</v>
      </c>
      <c r="BH48" s="229">
        <f t="shared" si="14"/>
        <v>0</v>
      </c>
      <c r="BI48" s="234" cm="1">
        <f t="array" ref="BI48">K48/IF($L48&gt;0, INDEX($AU$23:$BA$77, $L48+20, $AH48), 1)</f>
        <v>0</v>
      </c>
      <c r="BJ48" s="230">
        <f t="shared" si="15"/>
        <v>0</v>
      </c>
      <c r="BK48" s="229">
        <v>35</v>
      </c>
      <c r="BL48" s="230">
        <f t="shared" si="16"/>
        <v>48</v>
      </c>
      <c r="BM48" s="235">
        <f t="shared" si="17"/>
        <v>2.9108720930232557</v>
      </c>
      <c r="BN48" s="235" cm="1">
        <f t="array" ref="BN48">$BI48 * SUMPRODUCT(INDEX($AR$77:$AT$82,,$AI48),INDEX($AU$77:$BA$82,,$AH48), N($AQ$77:$AQ$82&gt;$AO48)) / BM48 / 1000</f>
        <v>0</v>
      </c>
      <c r="BO48" s="232">
        <f t="shared" si="18"/>
        <v>30</v>
      </c>
      <c r="BP48" s="230">
        <f t="shared" si="19"/>
        <v>43</v>
      </c>
      <c r="BQ48" s="235">
        <f t="shared" si="20"/>
        <v>3.2938815789473681</v>
      </c>
      <c r="BR48" s="235" cm="1">
        <f t="array" ref="BR48">$BI48 * IF($AH48&lt;=2,
SUMPRODUCT(INDEX($AR$72:$AT$76,,$AI48), INDEX($AU$72:$BA$76,,$AH48), 1 / ($BB$72:$BB$76*BQ48 + (1-$BB$72:$BB$76)*BM48), N($AQ$72:$AQ$76&gt;$AO48)),
SUMPRODUCT(INDEX($AR$67:$AT$76,,$AI48), INDEX($AU$67:$BA$76,,$AH48), 1 / ($BC$67:$BC$76*BQ48 + (1-$BC$67:$BC$76)*BM48), N($AQ$67:$AQ$76&gt;$AO48))
) / 1000</f>
        <v>0</v>
      </c>
      <c r="BS48" s="232">
        <f t="shared" si="21"/>
        <v>25</v>
      </c>
      <c r="BT48" s="230">
        <f t="shared" si="22"/>
        <v>38</v>
      </c>
      <c r="BU48" s="235">
        <f t="shared" si="23"/>
        <v>3.792954545454545</v>
      </c>
      <c r="BV48" s="235" cm="1">
        <f t="array" ref="BV48">$BI48 * IF($AH48&lt;=2,
SUMPRODUCT(INDEX($AR$67:$AT$71,,$AI48), INDEX($AU$67:$BA$71,,$AH48), 1 / ($BB$67:$BB$71*BU48 + (1-$BB$67:$BB$71)*BQ48), N($AQ$67:$AQ$71&gt;$AO48)),
SUMPRODUCT(INDEX($AR$57:$AT$66,,$AI48), INDEX($AU$57:$BA$66,,$AH48), 1 / ($BC$57:$BC$66*BU48 + (1-$BC$57:$BC$66)*BQ48), N($AQ$57:$AQ$66&gt;$AO48))
) / 1000</f>
        <v>0</v>
      </c>
      <c r="BW48" s="232">
        <f t="shared" si="24"/>
        <v>20</v>
      </c>
      <c r="BX48" s="230">
        <f t="shared" si="25"/>
        <v>33</v>
      </c>
      <c r="BY48" s="235">
        <f t="shared" si="26"/>
        <v>4.4702678571428569</v>
      </c>
      <c r="BZ48" s="235" cm="1">
        <f t="array" ref="BZ48">$BI48 * IF($AH48&lt;=2,
SUMPRODUCT(INDEX($AR$62:$AT$66,,$AI48), INDEX($AU$62:$BA$66,,$AH48), 1 / ($BB$62:$BB$66*BY48 + (1-$BB$62:$BB$66)*BU48), N($AQ$62:$AQ$66&gt;$AO48)),
SUMPRODUCT(INDEX($AR$47:$AT$56,,$AI48), INDEX($AU$47:$BA$56,,$AH48), 1 / ($BC$47:$BC$56*BY48 + (1-$BC$47:$BC$56)*BU48), N($AQ$47:$AQ$56&gt;$AO48))
) / 1000</f>
        <v>0</v>
      </c>
      <c r="CA48" s="235" cm="1">
        <f t="array" ref="CA48">$BI48 * IF($AH48&lt;=2,
SUMPRODUCT(INDEX($AR$23:$AT$61,,$AI48), INDEX($AU$23:$BA$61,,$AH48), 1 / ($BB$23:$BB$61*BY48), N($AQ$23:$AQ$61&gt;$AO48)),
SUMPRODUCT(INDEX($AR$23:$AT$46,,$AI48), INDEX($AU$23:$BA$46,,$AH48), 1 / ($BC$23:$BC$46*BY48), N($AQ$23:$AQ$46&gt;$AO48))
) / 1000</f>
        <v>0</v>
      </c>
      <c r="CB48" s="230">
        <f t="shared" si="27"/>
        <v>0</v>
      </c>
      <c r="CC48" s="238"/>
      <c r="CD48" s="229" cm="1">
        <f t="array" ref="CD48">IF(ISBLANK(Y48), INDEX(Use, $AH48, 4) - AN48*INDEX(Use, $AH48, 6) - (Q48-X48), Y48)</f>
        <v>7</v>
      </c>
      <c r="CE48" s="229">
        <f t="shared" si="28"/>
        <v>32</v>
      </c>
      <c r="CF48" s="230">
        <f t="shared" si="29"/>
        <v>0</v>
      </c>
      <c r="CG48" s="229">
        <v>35</v>
      </c>
      <c r="CH48" s="230">
        <f t="shared" si="30"/>
        <v>48</v>
      </c>
      <c r="CI48" s="235">
        <f t="shared" si="31"/>
        <v>3.0748170731707316</v>
      </c>
      <c r="CJ48" s="235" cm="1">
        <f t="array" ref="CJ48">$BI48 * SUMPRODUCT(INDEX($AR$77:$AT$82,,$AI48),INDEX($AU$77:$BA$82,,$AH48), N($AQ$77:$AQ$82&gt;$AO48)) / CI48 / 1000</f>
        <v>0</v>
      </c>
      <c r="CK48" s="232">
        <f t="shared" si="32"/>
        <v>30</v>
      </c>
      <c r="CL48" s="230">
        <f t="shared" si="33"/>
        <v>43</v>
      </c>
      <c r="CM48" s="235">
        <f t="shared" si="34"/>
        <v>3.5018750000000001</v>
      </c>
      <c r="CN48" s="235" cm="1">
        <f t="array" ref="CN48">$BI48 * IF($AH48&lt;=2,
SUMPRODUCT(INDEX($AR$72:$AT$76,,$AI48), INDEX($AU$72:$BA$76,,$AH48), 1 / ($BB$72:$BB$76*CM48 + (1-$BB$72:$BB$76)*CI48), N($AQ$72:$AQ$76&gt;$AO48)),
SUMPRODUCT(INDEX($AR$67:$AT$76,,$AI48), INDEX($AU$67:$BA$76,,$AH48), 1 / ($BC$67:$BC$76*CM48 + (1-$BC$67:$BC$76)*CI48), N($AQ$67:$AQ$76&gt;$AO48))
) / 1000</f>
        <v>0</v>
      </c>
      <c r="CO48" s="232">
        <f t="shared" si="35"/>
        <v>25</v>
      </c>
      <c r="CP48" s="230">
        <f t="shared" si="36"/>
        <v>38</v>
      </c>
      <c r="CQ48" s="235">
        <f t="shared" si="37"/>
        <v>4.0666935483870965</v>
      </c>
      <c r="CR48" s="235" cm="1">
        <f t="array" ref="CR48">$BI48 * IF($AH48&lt;=2,
SUMPRODUCT(INDEX($AR$67:$AT$71,,$AI48), INDEX($AU$67:$BA$71,,$AH48), 1 / ($BB$67:$BB$71*CQ48 + (1-$BB$67:$BB$71)*CM48), N($AQ$67:$AQ$71&gt;$AO48)),
SUMPRODUCT(INDEX($AR$57:$AT$66,,$AI48), INDEX($AU$57:$BA$66,,$AH48), 1 / ($BC$57:$BC$66*CQ48 + (1-$BC$57:$BC$66)*CM48), N($AQ$57:$AQ$66&gt;$AO48))
) / 1000</f>
        <v>0</v>
      </c>
      <c r="CS48" s="232">
        <f t="shared" si="38"/>
        <v>20</v>
      </c>
      <c r="CT48" s="230">
        <f t="shared" si="39"/>
        <v>33</v>
      </c>
      <c r="CU48" s="235">
        <f t="shared" si="40"/>
        <v>4.8487499999999999</v>
      </c>
      <c r="CV48" s="235" cm="1">
        <f t="array" ref="CV48">$BI48 * IF($AH48&lt;=2,
SUMPRODUCT(INDEX($AR$62:$AT$66,,$AI48), INDEX($AU$62:$BA$66,,$AH48), 1 / ($BB$62:$BB$66*CU48 + (1-$BB$62:$BB$66)*CQ48), N($AQ$62:$AQ$66&gt;$AO48)),
SUMPRODUCT(INDEX($AR$47:$AT$56,,$AI48), INDEX($AU$47:$BA$56,,$AH48), 1 / ($BC$47:$BC$56*CU48 + (1-$BC$47:$BC$56)*CQ48), N($AQ$47:$AQ$56&gt;$AO48))
) / 1000</f>
        <v>0</v>
      </c>
      <c r="CW48" s="235" cm="1">
        <f t="array" ref="CW48">$BI48 * IF($AH48&lt;=2,
SUMPRODUCT(INDEX($AR$23:$AT$61,,$AI48), INDEX($AU$23:$BA$61,,$AH48), 1 / ($BB$23:$BB$61*CU48), N($AQ$23:$AQ$61&gt;$AO48)),
SUMPRODUCT(INDEX($AR$23:$AT$46,,$AI48), INDEX($AU$23:$BA$46,,$AH48), 1 / ($BC$23:$BC$46*CU48), N($AQ$23:$AQ$46&gt;$AO48))
) / 1000</f>
        <v>0</v>
      </c>
      <c r="CX48" s="230">
        <f t="shared" si="41"/>
        <v>0</v>
      </c>
      <c r="CY48" s="238"/>
    </row>
    <row r="49" spans="1:103" s="76" customFormat="1" ht="14.25" customHeight="1" x14ac:dyDescent="0.25">
      <c r="A49" s="231" t="b">
        <f t="shared" si="0"/>
        <v>0</v>
      </c>
      <c r="B49" s="245">
        <v>27</v>
      </c>
      <c r="C49" s="258"/>
      <c r="D49" s="258"/>
      <c r="E49" s="246"/>
      <c r="F49" s="247" t="str">
        <f>IF(ISBLANK(E49), "", VLOOKUP(E49, Z!$A$2:$C$4127, 3, FALSE))</f>
        <v/>
      </c>
      <c r="G49" s="248"/>
      <c r="H49" s="248"/>
      <c r="I49" s="249"/>
      <c r="J49" s="250"/>
      <c r="K49" s="259"/>
      <c r="L49" s="260"/>
      <c r="M49" s="252" t="str" cm="1">
        <f t="array" ref="M49">INDEX(Trad, 53, $A$20)</f>
        <v>Verschmutzt</v>
      </c>
      <c r="N49" s="253"/>
      <c r="O49" s="253"/>
      <c r="P49" s="254"/>
      <c r="Q49" s="251"/>
      <c r="R49" s="251"/>
      <c r="S49" s="264">
        <f t="shared" si="7"/>
        <v>0</v>
      </c>
      <c r="T49" s="252" t="str" cm="1">
        <f t="array" ref="T49">INDEX(Trad, 52, $A$20)</f>
        <v>Sauber</v>
      </c>
      <c r="U49" s="253"/>
      <c r="V49" s="253"/>
      <c r="W49" s="254"/>
      <c r="X49" s="251"/>
      <c r="Y49" s="251"/>
      <c r="Z49" s="264">
        <f t="shared" si="8"/>
        <v>0</v>
      </c>
      <c r="AA49" s="261"/>
      <c r="AB49" s="258"/>
      <c r="AC49" s="246"/>
      <c r="AD49" s="247" t="str">
        <f>IF(ISBLANK(AC49), "", VLOOKUP(AC49, Z!$A$2:$C$4127, 3, FALSE))</f>
        <v/>
      </c>
      <c r="AE49" s="262"/>
      <c r="AF49" s="263">
        <f t="shared" si="1"/>
        <v>0</v>
      </c>
      <c r="AG49" s="238"/>
      <c r="AH49" s="229">
        <f t="shared" ref="AH49" si="114">IF(ISBLANK(H49), 1, IFERROR(MATCH(H49, INDEX(Use,,1), 0), IFERROR(MATCH(H49, INDEX(Use,,2), 0), MATCH(H49, INDEX(Use,,3), 0))))</f>
        <v>1</v>
      </c>
      <c r="AI49" s="229">
        <f t="shared" ref="AI49" si="115">IF(ISBLANK(G49), 1, IFERROR(MATCH(G49, INDEX(Loc,,1), 0), IFERROR(MATCH(G49, INDEX(Loc,,2), 0), MATCH(G49, INDEX(Loc,,3), 0))))</f>
        <v>1</v>
      </c>
      <c r="AJ49" s="229">
        <f t="shared" ref="AJ49" si="116">_xlfn.IFNA(IF(IFERROR(MATCH(I49, INDEX(Medium,,1), 0), IFERROR(MATCH(I49, INDEX(Medium,,2), 0), MATCH(I49, INDEX(Medium,,3), 0))) = 2, 1, 0), 0)</f>
        <v>0</v>
      </c>
      <c r="AK49" s="229">
        <v>0</v>
      </c>
      <c r="AL49" s="229">
        <v>0</v>
      </c>
      <c r="AM49" s="229">
        <v>1</v>
      </c>
      <c r="AN49" s="229">
        <v>0</v>
      </c>
      <c r="AO49" s="229">
        <f t="shared" si="5"/>
        <v>-100</v>
      </c>
      <c r="AP49" s="238"/>
      <c r="AQ49" s="229">
        <v>7</v>
      </c>
      <c r="AR49" s="232">
        <v>426</v>
      </c>
      <c r="AS49" s="232">
        <v>341</v>
      </c>
      <c r="AT49" s="232">
        <v>406</v>
      </c>
      <c r="AU49" s="233">
        <f t="shared" si="6"/>
        <v>0</v>
      </c>
      <c r="AV49" s="233">
        <f t="shared" si="6"/>
        <v>0</v>
      </c>
      <c r="AW49" s="233" cm="1">
        <f t="array" ref="AW49">MIN(INDEX(Use,AW$21,5) + MAX(0, (1-INDEX(Use,AW$21,5))*($AQ49-5)/(35-5)), 1)</f>
        <v>0.44</v>
      </c>
      <c r="AX49" s="233" cm="1">
        <f t="array" ref="AX49">MIN(INDEX(Use,AX$21,5) + MAX(0, (1-INDEX(Use,AX$21,5))*($AQ49-5)/(35-5)), 1)</f>
        <v>0.62666666666666659</v>
      </c>
      <c r="AY49" s="233" cm="1">
        <f t="array" ref="AY49">MIN(INDEX(Use,AY$21,5) + MAX(0, (1-INDEX(Use,AY$21,5))*($AQ49-5)/(35-5)), 1)</f>
        <v>0.81333333333333335</v>
      </c>
      <c r="AZ49" s="233" cm="1">
        <f t="array" ref="AZ49">MIN(INDEX(Use,AZ$21,5) + MAX(0, (1-INDEX(Use,AZ$21,5))*($AQ49-5)/(35-5)), 1)</f>
        <v>0.81333333333333335</v>
      </c>
      <c r="BA49" s="233" cm="1">
        <f t="array" ref="BA49">MIN(INDEX(Use,BA$21,5) + MAX(0, (1-INDEX(Use,BA$21,5))*($AQ49-5)/(35-5)), 1)</f>
        <v>0.81333333333333335</v>
      </c>
      <c r="BB49" s="233">
        <v>1</v>
      </c>
      <c r="BC49" s="233">
        <v>0.8</v>
      </c>
      <c r="BD49" s="211"/>
      <c r="BE49" s="229" cm="1">
        <f t="array" ref="BE49">IF(ISBLANK(R49), INDEX(Use, $AH49, 4) - AM49*INDEX(Use, $AH49, 6), R49)</f>
        <v>5</v>
      </c>
      <c r="BF49" s="229">
        <f t="shared" si="12"/>
        <v>30</v>
      </c>
      <c r="BG49" s="229">
        <f t="shared" si="13"/>
        <v>13</v>
      </c>
      <c r="BH49" s="229">
        <f t="shared" si="14"/>
        <v>0</v>
      </c>
      <c r="BI49" s="234" cm="1">
        <f t="array" ref="BI49">K49/IF($L49&gt;0, INDEX($AU$23:$BA$77, $L49+20, $AH49), 1)</f>
        <v>0</v>
      </c>
      <c r="BJ49" s="230">
        <f t="shared" si="15"/>
        <v>0</v>
      </c>
      <c r="BK49" s="229">
        <v>35</v>
      </c>
      <c r="BL49" s="230">
        <f t="shared" si="16"/>
        <v>48</v>
      </c>
      <c r="BM49" s="235">
        <f t="shared" si="17"/>
        <v>2.9108720930232557</v>
      </c>
      <c r="BN49" s="235" cm="1">
        <f t="array" ref="BN49">$BI49 * SUMPRODUCT(INDEX($AR$77:$AT$82,,$AI49),INDEX($AU$77:$BA$82,,$AH49), N($AQ$77:$AQ$82&gt;$AO49)) / BM49 / 1000</f>
        <v>0</v>
      </c>
      <c r="BO49" s="232">
        <f t="shared" si="18"/>
        <v>30</v>
      </c>
      <c r="BP49" s="230">
        <f t="shared" si="19"/>
        <v>43</v>
      </c>
      <c r="BQ49" s="235">
        <f t="shared" si="20"/>
        <v>3.2938815789473681</v>
      </c>
      <c r="BR49" s="235" cm="1">
        <f t="array" ref="BR49">$BI49 * IF($AH49&lt;=2,
SUMPRODUCT(INDEX($AR$72:$AT$76,,$AI49), INDEX($AU$72:$BA$76,,$AH49), 1 / ($BB$72:$BB$76*BQ49 + (1-$BB$72:$BB$76)*BM49), N($AQ$72:$AQ$76&gt;$AO49)),
SUMPRODUCT(INDEX($AR$67:$AT$76,,$AI49), INDEX($AU$67:$BA$76,,$AH49), 1 / ($BC$67:$BC$76*BQ49 + (1-$BC$67:$BC$76)*BM49), N($AQ$67:$AQ$76&gt;$AO49))
) / 1000</f>
        <v>0</v>
      </c>
      <c r="BS49" s="232">
        <f t="shared" si="21"/>
        <v>25</v>
      </c>
      <c r="BT49" s="230">
        <f t="shared" si="22"/>
        <v>38</v>
      </c>
      <c r="BU49" s="235">
        <f t="shared" si="23"/>
        <v>3.792954545454545</v>
      </c>
      <c r="BV49" s="235" cm="1">
        <f t="array" ref="BV49">$BI49 * IF($AH49&lt;=2,
SUMPRODUCT(INDEX($AR$67:$AT$71,,$AI49), INDEX($AU$67:$BA$71,,$AH49), 1 / ($BB$67:$BB$71*BU49 + (1-$BB$67:$BB$71)*BQ49), N($AQ$67:$AQ$71&gt;$AO49)),
SUMPRODUCT(INDEX($AR$57:$AT$66,,$AI49), INDEX($AU$57:$BA$66,,$AH49), 1 / ($BC$57:$BC$66*BU49 + (1-$BC$57:$BC$66)*BQ49), N($AQ$57:$AQ$66&gt;$AO49))
) / 1000</f>
        <v>0</v>
      </c>
      <c r="BW49" s="232">
        <f t="shared" si="24"/>
        <v>20</v>
      </c>
      <c r="BX49" s="230">
        <f t="shared" si="25"/>
        <v>33</v>
      </c>
      <c r="BY49" s="235">
        <f t="shared" si="26"/>
        <v>4.4702678571428569</v>
      </c>
      <c r="BZ49" s="235" cm="1">
        <f t="array" ref="BZ49">$BI49 * IF($AH49&lt;=2,
SUMPRODUCT(INDEX($AR$62:$AT$66,,$AI49), INDEX($AU$62:$BA$66,,$AH49), 1 / ($BB$62:$BB$66*BY49 + (1-$BB$62:$BB$66)*BU49), N($AQ$62:$AQ$66&gt;$AO49)),
SUMPRODUCT(INDEX($AR$47:$AT$56,,$AI49), INDEX($AU$47:$BA$56,,$AH49), 1 / ($BC$47:$BC$56*BY49 + (1-$BC$47:$BC$56)*BU49), N($AQ$47:$AQ$56&gt;$AO49))
) / 1000</f>
        <v>0</v>
      </c>
      <c r="CA49" s="235" cm="1">
        <f t="array" ref="CA49">$BI49 * IF($AH49&lt;=2,
SUMPRODUCT(INDEX($AR$23:$AT$61,,$AI49), INDEX($AU$23:$BA$61,,$AH49), 1 / ($BB$23:$BB$61*BY49), N($AQ$23:$AQ$61&gt;$AO49)),
SUMPRODUCT(INDEX($AR$23:$AT$46,,$AI49), INDEX($AU$23:$BA$46,,$AH49), 1 / ($BC$23:$BC$46*BY49), N($AQ$23:$AQ$46&gt;$AO49))
) / 1000</f>
        <v>0</v>
      </c>
      <c r="CB49" s="230">
        <f t="shared" si="27"/>
        <v>0</v>
      </c>
      <c r="CC49" s="238"/>
      <c r="CD49" s="229" cm="1">
        <f t="array" ref="CD49">IF(ISBLANK(Y49), INDEX(Use, $AH49, 4) - AN49*INDEX(Use, $AH49, 6) - (Q49-X49), Y49)</f>
        <v>7</v>
      </c>
      <c r="CE49" s="229">
        <f t="shared" si="28"/>
        <v>32</v>
      </c>
      <c r="CF49" s="230">
        <f t="shared" si="29"/>
        <v>0</v>
      </c>
      <c r="CG49" s="229">
        <v>35</v>
      </c>
      <c r="CH49" s="230">
        <f t="shared" si="30"/>
        <v>48</v>
      </c>
      <c r="CI49" s="235">
        <f t="shared" si="31"/>
        <v>3.0748170731707316</v>
      </c>
      <c r="CJ49" s="235" cm="1">
        <f t="array" ref="CJ49">$BI49 * SUMPRODUCT(INDEX($AR$77:$AT$82,,$AI49),INDEX($AU$77:$BA$82,,$AH49), N($AQ$77:$AQ$82&gt;$AO49)) / CI49 / 1000</f>
        <v>0</v>
      </c>
      <c r="CK49" s="232">
        <f t="shared" si="32"/>
        <v>30</v>
      </c>
      <c r="CL49" s="230">
        <f t="shared" si="33"/>
        <v>43</v>
      </c>
      <c r="CM49" s="235">
        <f t="shared" si="34"/>
        <v>3.5018750000000001</v>
      </c>
      <c r="CN49" s="235" cm="1">
        <f t="array" ref="CN49">$BI49 * IF($AH49&lt;=2,
SUMPRODUCT(INDEX($AR$72:$AT$76,,$AI49), INDEX($AU$72:$BA$76,,$AH49), 1 / ($BB$72:$BB$76*CM49 + (1-$BB$72:$BB$76)*CI49), N($AQ$72:$AQ$76&gt;$AO49)),
SUMPRODUCT(INDEX($AR$67:$AT$76,,$AI49), INDEX($AU$67:$BA$76,,$AH49), 1 / ($BC$67:$BC$76*CM49 + (1-$BC$67:$BC$76)*CI49), N($AQ$67:$AQ$76&gt;$AO49))
) / 1000</f>
        <v>0</v>
      </c>
      <c r="CO49" s="232">
        <f t="shared" si="35"/>
        <v>25</v>
      </c>
      <c r="CP49" s="230">
        <f t="shared" si="36"/>
        <v>38</v>
      </c>
      <c r="CQ49" s="235">
        <f t="shared" si="37"/>
        <v>4.0666935483870965</v>
      </c>
      <c r="CR49" s="235" cm="1">
        <f t="array" ref="CR49">$BI49 * IF($AH49&lt;=2,
SUMPRODUCT(INDEX($AR$67:$AT$71,,$AI49), INDEX($AU$67:$BA$71,,$AH49), 1 / ($BB$67:$BB$71*CQ49 + (1-$BB$67:$BB$71)*CM49), N($AQ$67:$AQ$71&gt;$AO49)),
SUMPRODUCT(INDEX($AR$57:$AT$66,,$AI49), INDEX($AU$57:$BA$66,,$AH49), 1 / ($BC$57:$BC$66*CQ49 + (1-$BC$57:$BC$66)*CM49), N($AQ$57:$AQ$66&gt;$AO49))
) / 1000</f>
        <v>0</v>
      </c>
      <c r="CS49" s="232">
        <f t="shared" si="38"/>
        <v>20</v>
      </c>
      <c r="CT49" s="230">
        <f t="shared" si="39"/>
        <v>33</v>
      </c>
      <c r="CU49" s="235">
        <f t="shared" si="40"/>
        <v>4.8487499999999999</v>
      </c>
      <c r="CV49" s="235" cm="1">
        <f t="array" ref="CV49">$BI49 * IF($AH49&lt;=2,
SUMPRODUCT(INDEX($AR$62:$AT$66,,$AI49), INDEX($AU$62:$BA$66,,$AH49), 1 / ($BB$62:$BB$66*CU49 + (1-$BB$62:$BB$66)*CQ49), N($AQ$62:$AQ$66&gt;$AO49)),
SUMPRODUCT(INDEX($AR$47:$AT$56,,$AI49), INDEX($AU$47:$BA$56,,$AH49), 1 / ($BC$47:$BC$56*CU49 + (1-$BC$47:$BC$56)*CQ49), N($AQ$47:$AQ$56&gt;$AO49))
) / 1000</f>
        <v>0</v>
      </c>
      <c r="CW49" s="235" cm="1">
        <f t="array" ref="CW49">$BI49 * IF($AH49&lt;=2,
SUMPRODUCT(INDEX($AR$23:$AT$61,,$AI49), INDEX($AU$23:$BA$61,,$AH49), 1 / ($BB$23:$BB$61*CU49), N($AQ$23:$AQ$61&gt;$AO49)),
SUMPRODUCT(INDEX($AR$23:$AT$46,,$AI49), INDEX($AU$23:$BA$46,,$AH49), 1 / ($BC$23:$BC$46*CU49), N($AQ$23:$AQ$46&gt;$AO49))
) / 1000</f>
        <v>0</v>
      </c>
      <c r="CX49" s="230">
        <f t="shared" si="41"/>
        <v>0</v>
      </c>
      <c r="CY49" s="238"/>
    </row>
    <row r="50" spans="1:103" s="76" customFormat="1" ht="14.25" customHeight="1" x14ac:dyDescent="0.25">
      <c r="A50" s="231" t="b">
        <f t="shared" si="0"/>
        <v>0</v>
      </c>
      <c r="B50" s="245">
        <v>28</v>
      </c>
      <c r="C50" s="258"/>
      <c r="D50" s="258"/>
      <c r="E50" s="246"/>
      <c r="F50" s="247" t="str">
        <f>IF(ISBLANK(E50), "", VLOOKUP(E50, Z!$A$2:$C$4127, 3, FALSE))</f>
        <v/>
      </c>
      <c r="G50" s="248"/>
      <c r="H50" s="248"/>
      <c r="I50" s="249"/>
      <c r="J50" s="250"/>
      <c r="K50" s="259"/>
      <c r="L50" s="260"/>
      <c r="M50" s="252" t="str" cm="1">
        <f t="array" ref="M50">INDEX(Trad, 53, $A$20)</f>
        <v>Verschmutzt</v>
      </c>
      <c r="N50" s="253"/>
      <c r="O50" s="253"/>
      <c r="P50" s="254"/>
      <c r="Q50" s="251"/>
      <c r="R50" s="251"/>
      <c r="S50" s="264">
        <f t="shared" si="7"/>
        <v>0</v>
      </c>
      <c r="T50" s="252" t="str" cm="1">
        <f t="array" ref="T50">INDEX(Trad, 52, $A$20)</f>
        <v>Sauber</v>
      </c>
      <c r="U50" s="253"/>
      <c r="V50" s="253"/>
      <c r="W50" s="254"/>
      <c r="X50" s="251"/>
      <c r="Y50" s="251"/>
      <c r="Z50" s="264">
        <f t="shared" si="8"/>
        <v>0</v>
      </c>
      <c r="AA50" s="261"/>
      <c r="AB50" s="258"/>
      <c r="AC50" s="246"/>
      <c r="AD50" s="247" t="str">
        <f>IF(ISBLANK(AC50), "", VLOOKUP(AC50, Z!$A$2:$C$4127, 3, FALSE))</f>
        <v/>
      </c>
      <c r="AE50" s="262"/>
      <c r="AF50" s="263">
        <f t="shared" si="1"/>
        <v>0</v>
      </c>
      <c r="AG50" s="238"/>
      <c r="AH50" s="229">
        <f t="shared" ref="AH50" si="117">IF(ISBLANK(H50), 1, IFERROR(MATCH(H50, INDEX(Use,,1), 0), IFERROR(MATCH(H50, INDEX(Use,,2), 0), MATCH(H50, INDEX(Use,,3), 0))))</f>
        <v>1</v>
      </c>
      <c r="AI50" s="229">
        <f t="shared" ref="AI50" si="118">IF(ISBLANK(G50), 1, IFERROR(MATCH(G50, INDEX(Loc,,1), 0), IFERROR(MATCH(G50, INDEX(Loc,,2), 0), MATCH(G50, INDEX(Loc,,3), 0))))</f>
        <v>1</v>
      </c>
      <c r="AJ50" s="229">
        <f t="shared" ref="AJ50" si="119">_xlfn.IFNA(IF(IFERROR(MATCH(I50, INDEX(Medium,,1), 0), IFERROR(MATCH(I50, INDEX(Medium,,2), 0), MATCH(I50, INDEX(Medium,,3), 0))) = 2, 1, 0), 0)</f>
        <v>0</v>
      </c>
      <c r="AK50" s="229">
        <v>0</v>
      </c>
      <c r="AL50" s="229">
        <v>0</v>
      </c>
      <c r="AM50" s="229">
        <v>1</v>
      </c>
      <c r="AN50" s="229">
        <v>0</v>
      </c>
      <c r="AO50" s="229">
        <f t="shared" si="5"/>
        <v>-100</v>
      </c>
      <c r="AP50" s="238"/>
      <c r="AQ50" s="229">
        <v>8</v>
      </c>
      <c r="AR50" s="232">
        <v>438</v>
      </c>
      <c r="AS50" s="232">
        <v>321</v>
      </c>
      <c r="AT50" s="232">
        <v>336</v>
      </c>
      <c r="AU50" s="233">
        <f t="shared" si="6"/>
        <v>0</v>
      </c>
      <c r="AV50" s="233">
        <f t="shared" si="6"/>
        <v>0</v>
      </c>
      <c r="AW50" s="233" cm="1">
        <f t="array" ref="AW50">MIN(INDEX(Use,AW$21,5) + MAX(0, (1-INDEX(Use,AW$21,5))*($AQ50-5)/(35-5)), 1)</f>
        <v>0.46</v>
      </c>
      <c r="AX50" s="233" cm="1">
        <f t="array" ref="AX50">MIN(INDEX(Use,AX$21,5) + MAX(0, (1-INDEX(Use,AX$21,5))*($AQ50-5)/(35-5)), 1)</f>
        <v>0.64</v>
      </c>
      <c r="AY50" s="233" cm="1">
        <f t="array" ref="AY50">MIN(INDEX(Use,AY$21,5) + MAX(0, (1-INDEX(Use,AY$21,5))*($AQ50-5)/(35-5)), 1)</f>
        <v>0.82000000000000006</v>
      </c>
      <c r="AZ50" s="233" cm="1">
        <f t="array" ref="AZ50">MIN(INDEX(Use,AZ$21,5) + MAX(0, (1-INDEX(Use,AZ$21,5))*($AQ50-5)/(35-5)), 1)</f>
        <v>0.82000000000000006</v>
      </c>
      <c r="BA50" s="233" cm="1">
        <f t="array" ref="BA50">MIN(INDEX(Use,BA$21,5) + MAX(0, (1-INDEX(Use,BA$21,5))*($AQ50-5)/(35-5)), 1)</f>
        <v>0.82000000000000006</v>
      </c>
      <c r="BB50" s="233">
        <v>1</v>
      </c>
      <c r="BC50" s="233">
        <v>0.7</v>
      </c>
      <c r="BD50" s="211"/>
      <c r="BE50" s="229" cm="1">
        <f t="array" ref="BE50">IF(ISBLANK(R50), INDEX(Use, $AH50, 4) - AM50*INDEX(Use, $AH50, 6), R50)</f>
        <v>5</v>
      </c>
      <c r="BF50" s="229">
        <f t="shared" si="12"/>
        <v>30</v>
      </c>
      <c r="BG50" s="229">
        <f t="shared" si="13"/>
        <v>13</v>
      </c>
      <c r="BH50" s="229">
        <f t="shared" si="14"/>
        <v>0</v>
      </c>
      <c r="BI50" s="234" cm="1">
        <f t="array" ref="BI50">K50/IF($L50&gt;0, INDEX($AU$23:$BA$77, $L50+20, $AH50), 1)</f>
        <v>0</v>
      </c>
      <c r="BJ50" s="230">
        <f t="shared" si="15"/>
        <v>0</v>
      </c>
      <c r="BK50" s="229">
        <v>35</v>
      </c>
      <c r="BL50" s="230">
        <f t="shared" si="16"/>
        <v>48</v>
      </c>
      <c r="BM50" s="235">
        <f t="shared" si="17"/>
        <v>2.9108720930232557</v>
      </c>
      <c r="BN50" s="235" cm="1">
        <f t="array" ref="BN50">$BI50 * SUMPRODUCT(INDEX($AR$77:$AT$82,,$AI50),INDEX($AU$77:$BA$82,,$AH50), N($AQ$77:$AQ$82&gt;$AO50)) / BM50 / 1000</f>
        <v>0</v>
      </c>
      <c r="BO50" s="232">
        <f t="shared" si="18"/>
        <v>30</v>
      </c>
      <c r="BP50" s="230">
        <f t="shared" si="19"/>
        <v>43</v>
      </c>
      <c r="BQ50" s="235">
        <f t="shared" si="20"/>
        <v>3.2938815789473681</v>
      </c>
      <c r="BR50" s="235" cm="1">
        <f t="array" ref="BR50">$BI50 * IF($AH50&lt;=2,
SUMPRODUCT(INDEX($AR$72:$AT$76,,$AI50), INDEX($AU$72:$BA$76,,$AH50), 1 / ($BB$72:$BB$76*BQ50 + (1-$BB$72:$BB$76)*BM50), N($AQ$72:$AQ$76&gt;$AO50)),
SUMPRODUCT(INDEX($AR$67:$AT$76,,$AI50), INDEX($AU$67:$BA$76,,$AH50), 1 / ($BC$67:$BC$76*BQ50 + (1-$BC$67:$BC$76)*BM50), N($AQ$67:$AQ$76&gt;$AO50))
) / 1000</f>
        <v>0</v>
      </c>
      <c r="BS50" s="232">
        <f t="shared" si="21"/>
        <v>25</v>
      </c>
      <c r="BT50" s="230">
        <f t="shared" si="22"/>
        <v>38</v>
      </c>
      <c r="BU50" s="235">
        <f t="shared" si="23"/>
        <v>3.792954545454545</v>
      </c>
      <c r="BV50" s="235" cm="1">
        <f t="array" ref="BV50">$BI50 * IF($AH50&lt;=2,
SUMPRODUCT(INDEX($AR$67:$AT$71,,$AI50), INDEX($AU$67:$BA$71,,$AH50), 1 / ($BB$67:$BB$71*BU50 + (1-$BB$67:$BB$71)*BQ50), N($AQ$67:$AQ$71&gt;$AO50)),
SUMPRODUCT(INDEX($AR$57:$AT$66,,$AI50), INDEX($AU$57:$BA$66,,$AH50), 1 / ($BC$57:$BC$66*BU50 + (1-$BC$57:$BC$66)*BQ50), N($AQ$57:$AQ$66&gt;$AO50))
) / 1000</f>
        <v>0</v>
      </c>
      <c r="BW50" s="232">
        <f t="shared" si="24"/>
        <v>20</v>
      </c>
      <c r="BX50" s="230">
        <f t="shared" si="25"/>
        <v>33</v>
      </c>
      <c r="BY50" s="235">
        <f t="shared" si="26"/>
        <v>4.4702678571428569</v>
      </c>
      <c r="BZ50" s="235" cm="1">
        <f t="array" ref="BZ50">$BI50 * IF($AH50&lt;=2,
SUMPRODUCT(INDEX($AR$62:$AT$66,,$AI50), INDEX($AU$62:$BA$66,,$AH50), 1 / ($BB$62:$BB$66*BY50 + (1-$BB$62:$BB$66)*BU50), N($AQ$62:$AQ$66&gt;$AO50)),
SUMPRODUCT(INDEX($AR$47:$AT$56,,$AI50), INDEX($AU$47:$BA$56,,$AH50), 1 / ($BC$47:$BC$56*BY50 + (1-$BC$47:$BC$56)*BU50), N($AQ$47:$AQ$56&gt;$AO50))
) / 1000</f>
        <v>0</v>
      </c>
      <c r="CA50" s="235" cm="1">
        <f t="array" ref="CA50">$BI50 * IF($AH50&lt;=2,
SUMPRODUCT(INDEX($AR$23:$AT$61,,$AI50), INDEX($AU$23:$BA$61,,$AH50), 1 / ($BB$23:$BB$61*BY50), N($AQ$23:$AQ$61&gt;$AO50)),
SUMPRODUCT(INDEX($AR$23:$AT$46,,$AI50), INDEX($AU$23:$BA$46,,$AH50), 1 / ($BC$23:$BC$46*BY50), N($AQ$23:$AQ$46&gt;$AO50))
) / 1000</f>
        <v>0</v>
      </c>
      <c r="CB50" s="230">
        <f t="shared" si="27"/>
        <v>0</v>
      </c>
      <c r="CC50" s="238"/>
      <c r="CD50" s="229" cm="1">
        <f t="array" ref="CD50">IF(ISBLANK(Y50), INDEX(Use, $AH50, 4) - AN50*INDEX(Use, $AH50, 6) - (Q50-X50), Y50)</f>
        <v>7</v>
      </c>
      <c r="CE50" s="229">
        <f t="shared" si="28"/>
        <v>32</v>
      </c>
      <c r="CF50" s="230">
        <f t="shared" si="29"/>
        <v>0</v>
      </c>
      <c r="CG50" s="229">
        <v>35</v>
      </c>
      <c r="CH50" s="230">
        <f t="shared" si="30"/>
        <v>48</v>
      </c>
      <c r="CI50" s="235">
        <f t="shared" si="31"/>
        <v>3.0748170731707316</v>
      </c>
      <c r="CJ50" s="235" cm="1">
        <f t="array" ref="CJ50">$BI50 * SUMPRODUCT(INDEX($AR$77:$AT$82,,$AI50),INDEX($AU$77:$BA$82,,$AH50), N($AQ$77:$AQ$82&gt;$AO50)) / CI50 / 1000</f>
        <v>0</v>
      </c>
      <c r="CK50" s="232">
        <f t="shared" si="32"/>
        <v>30</v>
      </c>
      <c r="CL50" s="230">
        <f t="shared" si="33"/>
        <v>43</v>
      </c>
      <c r="CM50" s="235">
        <f t="shared" si="34"/>
        <v>3.5018750000000001</v>
      </c>
      <c r="CN50" s="235" cm="1">
        <f t="array" ref="CN50">$BI50 * IF($AH50&lt;=2,
SUMPRODUCT(INDEX($AR$72:$AT$76,,$AI50), INDEX($AU$72:$BA$76,,$AH50), 1 / ($BB$72:$BB$76*CM50 + (1-$BB$72:$BB$76)*CI50), N($AQ$72:$AQ$76&gt;$AO50)),
SUMPRODUCT(INDEX($AR$67:$AT$76,,$AI50), INDEX($AU$67:$BA$76,,$AH50), 1 / ($BC$67:$BC$76*CM50 + (1-$BC$67:$BC$76)*CI50), N($AQ$67:$AQ$76&gt;$AO50))
) / 1000</f>
        <v>0</v>
      </c>
      <c r="CO50" s="232">
        <f t="shared" si="35"/>
        <v>25</v>
      </c>
      <c r="CP50" s="230">
        <f t="shared" si="36"/>
        <v>38</v>
      </c>
      <c r="CQ50" s="235">
        <f t="shared" si="37"/>
        <v>4.0666935483870965</v>
      </c>
      <c r="CR50" s="235" cm="1">
        <f t="array" ref="CR50">$BI50 * IF($AH50&lt;=2,
SUMPRODUCT(INDEX($AR$67:$AT$71,,$AI50), INDEX($AU$67:$BA$71,,$AH50), 1 / ($BB$67:$BB$71*CQ50 + (1-$BB$67:$BB$71)*CM50), N($AQ$67:$AQ$71&gt;$AO50)),
SUMPRODUCT(INDEX($AR$57:$AT$66,,$AI50), INDEX($AU$57:$BA$66,,$AH50), 1 / ($BC$57:$BC$66*CQ50 + (1-$BC$57:$BC$66)*CM50), N($AQ$57:$AQ$66&gt;$AO50))
) / 1000</f>
        <v>0</v>
      </c>
      <c r="CS50" s="232">
        <f t="shared" si="38"/>
        <v>20</v>
      </c>
      <c r="CT50" s="230">
        <f t="shared" si="39"/>
        <v>33</v>
      </c>
      <c r="CU50" s="235">
        <f t="shared" si="40"/>
        <v>4.8487499999999999</v>
      </c>
      <c r="CV50" s="235" cm="1">
        <f t="array" ref="CV50">$BI50 * IF($AH50&lt;=2,
SUMPRODUCT(INDEX($AR$62:$AT$66,,$AI50), INDEX($AU$62:$BA$66,,$AH50), 1 / ($BB$62:$BB$66*CU50 + (1-$BB$62:$BB$66)*CQ50), N($AQ$62:$AQ$66&gt;$AO50)),
SUMPRODUCT(INDEX($AR$47:$AT$56,,$AI50), INDEX($AU$47:$BA$56,,$AH50), 1 / ($BC$47:$BC$56*CU50 + (1-$BC$47:$BC$56)*CQ50), N($AQ$47:$AQ$56&gt;$AO50))
) / 1000</f>
        <v>0</v>
      </c>
      <c r="CW50" s="235" cm="1">
        <f t="array" ref="CW50">$BI50 * IF($AH50&lt;=2,
SUMPRODUCT(INDEX($AR$23:$AT$61,,$AI50), INDEX($AU$23:$BA$61,,$AH50), 1 / ($BB$23:$BB$61*CU50), N($AQ$23:$AQ$61&gt;$AO50)),
SUMPRODUCT(INDEX($AR$23:$AT$46,,$AI50), INDEX($AU$23:$BA$46,,$AH50), 1 / ($BC$23:$BC$46*CU50), N($AQ$23:$AQ$46&gt;$AO50))
) / 1000</f>
        <v>0</v>
      </c>
      <c r="CX50" s="230">
        <f t="shared" si="41"/>
        <v>0</v>
      </c>
      <c r="CY50" s="238"/>
    </row>
    <row r="51" spans="1:103" s="76" customFormat="1" ht="14.25" customHeight="1" x14ac:dyDescent="0.25">
      <c r="A51" s="231" t="b">
        <f t="shared" si="0"/>
        <v>0</v>
      </c>
      <c r="B51" s="245">
        <v>29</v>
      </c>
      <c r="C51" s="258"/>
      <c r="D51" s="258"/>
      <c r="E51" s="246"/>
      <c r="F51" s="247" t="str">
        <f>IF(ISBLANK(E51), "", VLOOKUP(E51, Z!$A$2:$C$4127, 3, FALSE))</f>
        <v/>
      </c>
      <c r="G51" s="248"/>
      <c r="H51" s="248"/>
      <c r="I51" s="249"/>
      <c r="J51" s="250"/>
      <c r="K51" s="259"/>
      <c r="L51" s="260"/>
      <c r="M51" s="252" t="str" cm="1">
        <f t="array" ref="M51">INDEX(Trad, 53, $A$20)</f>
        <v>Verschmutzt</v>
      </c>
      <c r="N51" s="253"/>
      <c r="O51" s="253"/>
      <c r="P51" s="254"/>
      <c r="Q51" s="251"/>
      <c r="R51" s="251"/>
      <c r="S51" s="264">
        <f t="shared" si="7"/>
        <v>0</v>
      </c>
      <c r="T51" s="252" t="str" cm="1">
        <f t="array" ref="T51">INDEX(Trad, 52, $A$20)</f>
        <v>Sauber</v>
      </c>
      <c r="U51" s="253"/>
      <c r="V51" s="253"/>
      <c r="W51" s="254"/>
      <c r="X51" s="251"/>
      <c r="Y51" s="251"/>
      <c r="Z51" s="264">
        <f t="shared" si="8"/>
        <v>0</v>
      </c>
      <c r="AA51" s="261"/>
      <c r="AB51" s="258"/>
      <c r="AC51" s="246"/>
      <c r="AD51" s="247" t="str">
        <f>IF(ISBLANK(AC51), "", VLOOKUP(AC51, Z!$A$2:$C$4127, 3, FALSE))</f>
        <v/>
      </c>
      <c r="AE51" s="262"/>
      <c r="AF51" s="263">
        <f t="shared" si="1"/>
        <v>0</v>
      </c>
      <c r="AG51" s="238"/>
      <c r="AH51" s="229">
        <f t="shared" ref="AH51" si="120">IF(ISBLANK(H51), 1, IFERROR(MATCH(H51, INDEX(Use,,1), 0), IFERROR(MATCH(H51, INDEX(Use,,2), 0), MATCH(H51, INDEX(Use,,3), 0))))</f>
        <v>1</v>
      </c>
      <c r="AI51" s="229">
        <f t="shared" ref="AI51" si="121">IF(ISBLANK(G51), 1, IFERROR(MATCH(G51, INDEX(Loc,,1), 0), IFERROR(MATCH(G51, INDEX(Loc,,2), 0), MATCH(G51, INDEX(Loc,,3), 0))))</f>
        <v>1</v>
      </c>
      <c r="AJ51" s="229">
        <f t="shared" ref="AJ51" si="122">_xlfn.IFNA(IF(IFERROR(MATCH(I51, INDEX(Medium,,1), 0), IFERROR(MATCH(I51, INDEX(Medium,,2), 0), MATCH(I51, INDEX(Medium,,3), 0))) = 2, 1, 0), 0)</f>
        <v>0</v>
      </c>
      <c r="AK51" s="229">
        <v>0</v>
      </c>
      <c r="AL51" s="229">
        <v>0</v>
      </c>
      <c r="AM51" s="229">
        <v>1</v>
      </c>
      <c r="AN51" s="229">
        <v>0</v>
      </c>
      <c r="AO51" s="229">
        <f t="shared" si="5"/>
        <v>-100</v>
      </c>
      <c r="AP51" s="238"/>
      <c r="AQ51" s="229">
        <v>9</v>
      </c>
      <c r="AR51" s="232">
        <v>366</v>
      </c>
      <c r="AS51" s="232">
        <v>359</v>
      </c>
      <c r="AT51" s="232">
        <v>339</v>
      </c>
      <c r="AU51" s="233">
        <f t="shared" si="6"/>
        <v>0</v>
      </c>
      <c r="AV51" s="233">
        <f t="shared" si="6"/>
        <v>0</v>
      </c>
      <c r="AW51" s="233" cm="1">
        <f t="array" ref="AW51">MIN(INDEX(Use,AW$21,5) + MAX(0, (1-INDEX(Use,AW$21,5))*($AQ51-5)/(35-5)), 1)</f>
        <v>0.48000000000000004</v>
      </c>
      <c r="AX51" s="233" cm="1">
        <f t="array" ref="AX51">MIN(INDEX(Use,AX$21,5) + MAX(0, (1-INDEX(Use,AX$21,5))*($AQ51-5)/(35-5)), 1)</f>
        <v>0.65333333333333332</v>
      </c>
      <c r="AY51" s="233" cm="1">
        <f t="array" ref="AY51">MIN(INDEX(Use,AY$21,5) + MAX(0, (1-INDEX(Use,AY$21,5))*($AQ51-5)/(35-5)), 1)</f>
        <v>0.82666666666666666</v>
      </c>
      <c r="AZ51" s="233" cm="1">
        <f t="array" ref="AZ51">MIN(INDEX(Use,AZ$21,5) + MAX(0, (1-INDEX(Use,AZ$21,5))*($AQ51-5)/(35-5)), 1)</f>
        <v>0.82666666666666666</v>
      </c>
      <c r="BA51" s="233" cm="1">
        <f t="array" ref="BA51">MIN(INDEX(Use,BA$21,5) + MAX(0, (1-INDEX(Use,BA$21,5))*($AQ51-5)/(35-5)), 1)</f>
        <v>0.82666666666666666</v>
      </c>
      <c r="BB51" s="233">
        <v>1</v>
      </c>
      <c r="BC51" s="233">
        <v>0.6</v>
      </c>
      <c r="BD51" s="211"/>
      <c r="BE51" s="229" cm="1">
        <f t="array" ref="BE51">IF(ISBLANK(R51), INDEX(Use, $AH51, 4) - AM51*INDEX(Use, $AH51, 6), R51)</f>
        <v>5</v>
      </c>
      <c r="BF51" s="229">
        <f t="shared" si="12"/>
        <v>30</v>
      </c>
      <c r="BG51" s="229">
        <f t="shared" si="13"/>
        <v>13</v>
      </c>
      <c r="BH51" s="229">
        <f t="shared" si="14"/>
        <v>0</v>
      </c>
      <c r="BI51" s="234" cm="1">
        <f t="array" ref="BI51">K51/IF($L51&gt;0, INDEX($AU$23:$BA$77, $L51+20, $AH51), 1)</f>
        <v>0</v>
      </c>
      <c r="BJ51" s="230">
        <f t="shared" si="15"/>
        <v>0</v>
      </c>
      <c r="BK51" s="229">
        <v>35</v>
      </c>
      <c r="BL51" s="230">
        <f t="shared" si="16"/>
        <v>48</v>
      </c>
      <c r="BM51" s="235">
        <f t="shared" si="17"/>
        <v>2.9108720930232557</v>
      </c>
      <c r="BN51" s="235" cm="1">
        <f t="array" ref="BN51">$BI51 * SUMPRODUCT(INDEX($AR$77:$AT$82,,$AI51),INDEX($AU$77:$BA$82,,$AH51), N($AQ$77:$AQ$82&gt;$AO51)) / BM51 / 1000</f>
        <v>0</v>
      </c>
      <c r="BO51" s="232">
        <f t="shared" si="18"/>
        <v>30</v>
      </c>
      <c r="BP51" s="230">
        <f t="shared" si="19"/>
        <v>43</v>
      </c>
      <c r="BQ51" s="235">
        <f t="shared" si="20"/>
        <v>3.2938815789473681</v>
      </c>
      <c r="BR51" s="235" cm="1">
        <f t="array" ref="BR51">$BI51 * IF($AH51&lt;=2,
SUMPRODUCT(INDEX($AR$72:$AT$76,,$AI51), INDEX($AU$72:$BA$76,,$AH51), 1 / ($BB$72:$BB$76*BQ51 + (1-$BB$72:$BB$76)*BM51), N($AQ$72:$AQ$76&gt;$AO51)),
SUMPRODUCT(INDEX($AR$67:$AT$76,,$AI51), INDEX($AU$67:$BA$76,,$AH51), 1 / ($BC$67:$BC$76*BQ51 + (1-$BC$67:$BC$76)*BM51), N($AQ$67:$AQ$76&gt;$AO51))
) / 1000</f>
        <v>0</v>
      </c>
      <c r="BS51" s="232">
        <f t="shared" si="21"/>
        <v>25</v>
      </c>
      <c r="BT51" s="230">
        <f t="shared" si="22"/>
        <v>38</v>
      </c>
      <c r="BU51" s="235">
        <f t="shared" si="23"/>
        <v>3.792954545454545</v>
      </c>
      <c r="BV51" s="235" cm="1">
        <f t="array" ref="BV51">$BI51 * IF($AH51&lt;=2,
SUMPRODUCT(INDEX($AR$67:$AT$71,,$AI51), INDEX($AU$67:$BA$71,,$AH51), 1 / ($BB$67:$BB$71*BU51 + (1-$BB$67:$BB$71)*BQ51), N($AQ$67:$AQ$71&gt;$AO51)),
SUMPRODUCT(INDEX($AR$57:$AT$66,,$AI51), INDEX($AU$57:$BA$66,,$AH51), 1 / ($BC$57:$BC$66*BU51 + (1-$BC$57:$BC$66)*BQ51), N($AQ$57:$AQ$66&gt;$AO51))
) / 1000</f>
        <v>0</v>
      </c>
      <c r="BW51" s="232">
        <f t="shared" si="24"/>
        <v>20</v>
      </c>
      <c r="BX51" s="230">
        <f t="shared" si="25"/>
        <v>33</v>
      </c>
      <c r="BY51" s="235">
        <f t="shared" si="26"/>
        <v>4.4702678571428569</v>
      </c>
      <c r="BZ51" s="235" cm="1">
        <f t="array" ref="BZ51">$BI51 * IF($AH51&lt;=2,
SUMPRODUCT(INDEX($AR$62:$AT$66,,$AI51), INDEX($AU$62:$BA$66,,$AH51), 1 / ($BB$62:$BB$66*BY51 + (1-$BB$62:$BB$66)*BU51), N($AQ$62:$AQ$66&gt;$AO51)),
SUMPRODUCT(INDEX($AR$47:$AT$56,,$AI51), INDEX($AU$47:$BA$56,,$AH51), 1 / ($BC$47:$BC$56*BY51 + (1-$BC$47:$BC$56)*BU51), N($AQ$47:$AQ$56&gt;$AO51))
) / 1000</f>
        <v>0</v>
      </c>
      <c r="CA51" s="235" cm="1">
        <f t="array" ref="CA51">$BI51 * IF($AH51&lt;=2,
SUMPRODUCT(INDEX($AR$23:$AT$61,,$AI51), INDEX($AU$23:$BA$61,,$AH51), 1 / ($BB$23:$BB$61*BY51), N($AQ$23:$AQ$61&gt;$AO51)),
SUMPRODUCT(INDEX($AR$23:$AT$46,,$AI51), INDEX($AU$23:$BA$46,,$AH51), 1 / ($BC$23:$BC$46*BY51), N($AQ$23:$AQ$46&gt;$AO51))
) / 1000</f>
        <v>0</v>
      </c>
      <c r="CB51" s="230">
        <f t="shared" si="27"/>
        <v>0</v>
      </c>
      <c r="CC51" s="238"/>
      <c r="CD51" s="229" cm="1">
        <f t="array" ref="CD51">IF(ISBLANK(Y51), INDEX(Use, $AH51, 4) - AN51*INDEX(Use, $AH51, 6) - (Q51-X51), Y51)</f>
        <v>7</v>
      </c>
      <c r="CE51" s="229">
        <f t="shared" si="28"/>
        <v>32</v>
      </c>
      <c r="CF51" s="230">
        <f t="shared" si="29"/>
        <v>0</v>
      </c>
      <c r="CG51" s="229">
        <v>35</v>
      </c>
      <c r="CH51" s="230">
        <f t="shared" si="30"/>
        <v>48</v>
      </c>
      <c r="CI51" s="235">
        <f t="shared" si="31"/>
        <v>3.0748170731707316</v>
      </c>
      <c r="CJ51" s="235" cm="1">
        <f t="array" ref="CJ51">$BI51 * SUMPRODUCT(INDEX($AR$77:$AT$82,,$AI51),INDEX($AU$77:$BA$82,,$AH51), N($AQ$77:$AQ$82&gt;$AO51)) / CI51 / 1000</f>
        <v>0</v>
      </c>
      <c r="CK51" s="232">
        <f t="shared" si="32"/>
        <v>30</v>
      </c>
      <c r="CL51" s="230">
        <f t="shared" si="33"/>
        <v>43</v>
      </c>
      <c r="CM51" s="235">
        <f t="shared" si="34"/>
        <v>3.5018750000000001</v>
      </c>
      <c r="CN51" s="235" cm="1">
        <f t="array" ref="CN51">$BI51 * IF($AH51&lt;=2,
SUMPRODUCT(INDEX($AR$72:$AT$76,,$AI51), INDEX($AU$72:$BA$76,,$AH51), 1 / ($BB$72:$BB$76*CM51 + (1-$BB$72:$BB$76)*CI51), N($AQ$72:$AQ$76&gt;$AO51)),
SUMPRODUCT(INDEX($AR$67:$AT$76,,$AI51), INDEX($AU$67:$BA$76,,$AH51), 1 / ($BC$67:$BC$76*CM51 + (1-$BC$67:$BC$76)*CI51), N($AQ$67:$AQ$76&gt;$AO51))
) / 1000</f>
        <v>0</v>
      </c>
      <c r="CO51" s="232">
        <f t="shared" si="35"/>
        <v>25</v>
      </c>
      <c r="CP51" s="230">
        <f t="shared" si="36"/>
        <v>38</v>
      </c>
      <c r="CQ51" s="235">
        <f t="shared" si="37"/>
        <v>4.0666935483870965</v>
      </c>
      <c r="CR51" s="235" cm="1">
        <f t="array" ref="CR51">$BI51 * IF($AH51&lt;=2,
SUMPRODUCT(INDEX($AR$67:$AT$71,,$AI51), INDEX($AU$67:$BA$71,,$AH51), 1 / ($BB$67:$BB$71*CQ51 + (1-$BB$67:$BB$71)*CM51), N($AQ$67:$AQ$71&gt;$AO51)),
SUMPRODUCT(INDEX($AR$57:$AT$66,,$AI51), INDEX($AU$57:$BA$66,,$AH51), 1 / ($BC$57:$BC$66*CQ51 + (1-$BC$57:$BC$66)*CM51), N($AQ$57:$AQ$66&gt;$AO51))
) / 1000</f>
        <v>0</v>
      </c>
      <c r="CS51" s="232">
        <f t="shared" si="38"/>
        <v>20</v>
      </c>
      <c r="CT51" s="230">
        <f t="shared" si="39"/>
        <v>33</v>
      </c>
      <c r="CU51" s="235">
        <f t="shared" si="40"/>
        <v>4.8487499999999999</v>
      </c>
      <c r="CV51" s="235" cm="1">
        <f t="array" ref="CV51">$BI51 * IF($AH51&lt;=2,
SUMPRODUCT(INDEX($AR$62:$AT$66,,$AI51), INDEX($AU$62:$BA$66,,$AH51), 1 / ($BB$62:$BB$66*CU51 + (1-$BB$62:$BB$66)*CQ51), N($AQ$62:$AQ$66&gt;$AO51)),
SUMPRODUCT(INDEX($AR$47:$AT$56,,$AI51), INDEX($AU$47:$BA$56,,$AH51), 1 / ($BC$47:$BC$56*CU51 + (1-$BC$47:$BC$56)*CQ51), N($AQ$47:$AQ$56&gt;$AO51))
) / 1000</f>
        <v>0</v>
      </c>
      <c r="CW51" s="235" cm="1">
        <f t="array" ref="CW51">$BI51 * IF($AH51&lt;=2,
SUMPRODUCT(INDEX($AR$23:$AT$61,,$AI51), INDEX($AU$23:$BA$61,,$AH51), 1 / ($BB$23:$BB$61*CU51), N($AQ$23:$AQ$61&gt;$AO51)),
SUMPRODUCT(INDEX($AR$23:$AT$46,,$AI51), INDEX($AU$23:$BA$46,,$AH51), 1 / ($BC$23:$BC$46*CU51), N($AQ$23:$AQ$46&gt;$AO51))
) / 1000</f>
        <v>0</v>
      </c>
      <c r="CX51" s="230">
        <f t="shared" si="41"/>
        <v>0</v>
      </c>
      <c r="CY51" s="238"/>
    </row>
    <row r="52" spans="1:103" s="76" customFormat="1" ht="14.25" customHeight="1" x14ac:dyDescent="0.25">
      <c r="A52" s="231" t="b">
        <f t="shared" si="0"/>
        <v>0</v>
      </c>
      <c r="B52" s="245">
        <v>30</v>
      </c>
      <c r="C52" s="258"/>
      <c r="D52" s="258"/>
      <c r="E52" s="246"/>
      <c r="F52" s="247" t="str">
        <f>IF(ISBLANK(E52), "", VLOOKUP(E52, Z!$A$2:$C$4127, 3, FALSE))</f>
        <v/>
      </c>
      <c r="G52" s="248"/>
      <c r="H52" s="248"/>
      <c r="I52" s="249"/>
      <c r="J52" s="250"/>
      <c r="K52" s="259"/>
      <c r="L52" s="260"/>
      <c r="M52" s="252" t="str" cm="1">
        <f t="array" ref="M52">INDEX(Trad, 53, $A$20)</f>
        <v>Verschmutzt</v>
      </c>
      <c r="N52" s="253"/>
      <c r="O52" s="253"/>
      <c r="P52" s="254"/>
      <c r="Q52" s="251"/>
      <c r="R52" s="251"/>
      <c r="S52" s="264">
        <f t="shared" si="7"/>
        <v>0</v>
      </c>
      <c r="T52" s="252" t="str" cm="1">
        <f t="array" ref="T52">INDEX(Trad, 52, $A$20)</f>
        <v>Sauber</v>
      </c>
      <c r="U52" s="253"/>
      <c r="V52" s="253"/>
      <c r="W52" s="254"/>
      <c r="X52" s="251"/>
      <c r="Y52" s="251"/>
      <c r="Z52" s="264">
        <f t="shared" si="8"/>
        <v>0</v>
      </c>
      <c r="AA52" s="261"/>
      <c r="AB52" s="258"/>
      <c r="AC52" s="246"/>
      <c r="AD52" s="247" t="str">
        <f>IF(ISBLANK(AC52), "", VLOOKUP(AC52, Z!$A$2:$C$4127, 3, FALSE))</f>
        <v/>
      </c>
      <c r="AE52" s="262"/>
      <c r="AF52" s="263">
        <f t="shared" si="1"/>
        <v>0</v>
      </c>
      <c r="AG52" s="238"/>
      <c r="AH52" s="229">
        <f t="shared" ref="AH52" si="123">IF(ISBLANK(H52), 1, IFERROR(MATCH(H52, INDEX(Use,,1), 0), IFERROR(MATCH(H52, INDEX(Use,,2), 0), MATCH(H52, INDEX(Use,,3), 0))))</f>
        <v>1</v>
      </c>
      <c r="AI52" s="229">
        <f t="shared" ref="AI52" si="124">IF(ISBLANK(G52), 1, IFERROR(MATCH(G52, INDEX(Loc,,1), 0), IFERROR(MATCH(G52, INDEX(Loc,,2), 0), MATCH(G52, INDEX(Loc,,3), 0))))</f>
        <v>1</v>
      </c>
      <c r="AJ52" s="229">
        <f t="shared" ref="AJ52" si="125">_xlfn.IFNA(IF(IFERROR(MATCH(I52, INDEX(Medium,,1), 0), IFERROR(MATCH(I52, INDEX(Medium,,2), 0), MATCH(I52, INDEX(Medium,,3), 0))) = 2, 1, 0), 0)</f>
        <v>0</v>
      </c>
      <c r="AK52" s="229">
        <v>0</v>
      </c>
      <c r="AL52" s="229">
        <v>0</v>
      </c>
      <c r="AM52" s="229">
        <v>1</v>
      </c>
      <c r="AN52" s="229">
        <v>0</v>
      </c>
      <c r="AO52" s="229">
        <f t="shared" si="5"/>
        <v>-100</v>
      </c>
      <c r="AP52" s="238"/>
      <c r="AQ52" s="229">
        <v>10</v>
      </c>
      <c r="AR52" s="232">
        <v>339</v>
      </c>
      <c r="AS52" s="232">
        <v>346</v>
      </c>
      <c r="AT52" s="232">
        <v>318</v>
      </c>
      <c r="AU52" s="233">
        <f t="shared" si="6"/>
        <v>0</v>
      </c>
      <c r="AV52" s="233">
        <f t="shared" si="6"/>
        <v>0</v>
      </c>
      <c r="AW52" s="233" cm="1">
        <f t="array" ref="AW52">MIN(INDEX(Use,AW$21,5) + MAX(0, (1-INDEX(Use,AW$21,5))*($AQ52-5)/(35-5)), 1)</f>
        <v>0.5</v>
      </c>
      <c r="AX52" s="233" cm="1">
        <f t="array" ref="AX52">MIN(INDEX(Use,AX$21,5) + MAX(0, (1-INDEX(Use,AX$21,5))*($AQ52-5)/(35-5)), 1)</f>
        <v>0.66666666666666663</v>
      </c>
      <c r="AY52" s="233" cm="1">
        <f t="array" ref="AY52">MIN(INDEX(Use,AY$21,5) + MAX(0, (1-INDEX(Use,AY$21,5))*($AQ52-5)/(35-5)), 1)</f>
        <v>0.83333333333333337</v>
      </c>
      <c r="AZ52" s="233" cm="1">
        <f t="array" ref="AZ52">MIN(INDEX(Use,AZ$21,5) + MAX(0, (1-INDEX(Use,AZ$21,5))*($AQ52-5)/(35-5)), 1)</f>
        <v>0.83333333333333337</v>
      </c>
      <c r="BA52" s="233" cm="1">
        <f t="array" ref="BA52">MIN(INDEX(Use,BA$21,5) + MAX(0, (1-INDEX(Use,BA$21,5))*($AQ52-5)/(35-5)), 1)</f>
        <v>0.83333333333333337</v>
      </c>
      <c r="BB52" s="233">
        <v>1</v>
      </c>
      <c r="BC52" s="233">
        <v>0.5</v>
      </c>
      <c r="BD52" s="211"/>
      <c r="BE52" s="229" cm="1">
        <f t="array" ref="BE52">IF(ISBLANK(R52), INDEX(Use, $AH52, 4) - AM52*INDEX(Use, $AH52, 6), R52)</f>
        <v>5</v>
      </c>
      <c r="BF52" s="229">
        <f t="shared" si="12"/>
        <v>30</v>
      </c>
      <c r="BG52" s="229">
        <f t="shared" si="13"/>
        <v>13</v>
      </c>
      <c r="BH52" s="229">
        <f t="shared" si="14"/>
        <v>0</v>
      </c>
      <c r="BI52" s="234" cm="1">
        <f t="array" ref="BI52">K52/IF($L52&gt;0, INDEX($AU$23:$BA$77, $L52+20, $AH52), 1)</f>
        <v>0</v>
      </c>
      <c r="BJ52" s="230">
        <f t="shared" si="15"/>
        <v>0</v>
      </c>
      <c r="BK52" s="229">
        <v>35</v>
      </c>
      <c r="BL52" s="230">
        <f t="shared" si="16"/>
        <v>48</v>
      </c>
      <c r="BM52" s="235">
        <f t="shared" si="17"/>
        <v>2.9108720930232557</v>
      </c>
      <c r="BN52" s="235" cm="1">
        <f t="array" ref="BN52">$BI52 * SUMPRODUCT(INDEX($AR$77:$AT$82,,$AI52),INDEX($AU$77:$BA$82,,$AH52), N($AQ$77:$AQ$82&gt;$AO52)) / BM52 / 1000</f>
        <v>0</v>
      </c>
      <c r="BO52" s="232">
        <f t="shared" si="18"/>
        <v>30</v>
      </c>
      <c r="BP52" s="230">
        <f t="shared" si="19"/>
        <v>43</v>
      </c>
      <c r="BQ52" s="235">
        <f t="shared" si="20"/>
        <v>3.2938815789473681</v>
      </c>
      <c r="BR52" s="235" cm="1">
        <f t="array" ref="BR52">$BI52 * IF($AH52&lt;=2,
SUMPRODUCT(INDEX($AR$72:$AT$76,,$AI52), INDEX($AU$72:$BA$76,,$AH52), 1 / ($BB$72:$BB$76*BQ52 + (1-$BB$72:$BB$76)*BM52), N($AQ$72:$AQ$76&gt;$AO52)),
SUMPRODUCT(INDEX($AR$67:$AT$76,,$AI52), INDEX($AU$67:$BA$76,,$AH52), 1 / ($BC$67:$BC$76*BQ52 + (1-$BC$67:$BC$76)*BM52), N($AQ$67:$AQ$76&gt;$AO52))
) / 1000</f>
        <v>0</v>
      </c>
      <c r="BS52" s="232">
        <f t="shared" si="21"/>
        <v>25</v>
      </c>
      <c r="BT52" s="230">
        <f t="shared" si="22"/>
        <v>38</v>
      </c>
      <c r="BU52" s="235">
        <f t="shared" si="23"/>
        <v>3.792954545454545</v>
      </c>
      <c r="BV52" s="235" cm="1">
        <f t="array" ref="BV52">$BI52 * IF($AH52&lt;=2,
SUMPRODUCT(INDEX($AR$67:$AT$71,,$AI52), INDEX($AU$67:$BA$71,,$AH52), 1 / ($BB$67:$BB$71*BU52 + (1-$BB$67:$BB$71)*BQ52), N($AQ$67:$AQ$71&gt;$AO52)),
SUMPRODUCT(INDEX($AR$57:$AT$66,,$AI52), INDEX($AU$57:$BA$66,,$AH52), 1 / ($BC$57:$BC$66*BU52 + (1-$BC$57:$BC$66)*BQ52), N($AQ$57:$AQ$66&gt;$AO52))
) / 1000</f>
        <v>0</v>
      </c>
      <c r="BW52" s="232">
        <f t="shared" si="24"/>
        <v>20</v>
      </c>
      <c r="BX52" s="230">
        <f t="shared" si="25"/>
        <v>33</v>
      </c>
      <c r="BY52" s="235">
        <f t="shared" si="26"/>
        <v>4.4702678571428569</v>
      </c>
      <c r="BZ52" s="235" cm="1">
        <f t="array" ref="BZ52">$BI52 * IF($AH52&lt;=2,
SUMPRODUCT(INDEX($AR$62:$AT$66,,$AI52), INDEX($AU$62:$BA$66,,$AH52), 1 / ($BB$62:$BB$66*BY52 + (1-$BB$62:$BB$66)*BU52), N($AQ$62:$AQ$66&gt;$AO52)),
SUMPRODUCT(INDEX($AR$47:$AT$56,,$AI52), INDEX($AU$47:$BA$56,,$AH52), 1 / ($BC$47:$BC$56*BY52 + (1-$BC$47:$BC$56)*BU52), N($AQ$47:$AQ$56&gt;$AO52))
) / 1000</f>
        <v>0</v>
      </c>
      <c r="CA52" s="235" cm="1">
        <f t="array" ref="CA52">$BI52 * IF($AH52&lt;=2,
SUMPRODUCT(INDEX($AR$23:$AT$61,,$AI52), INDEX($AU$23:$BA$61,,$AH52), 1 / ($BB$23:$BB$61*BY52), N($AQ$23:$AQ$61&gt;$AO52)),
SUMPRODUCT(INDEX($AR$23:$AT$46,,$AI52), INDEX($AU$23:$BA$46,,$AH52), 1 / ($BC$23:$BC$46*BY52), N($AQ$23:$AQ$46&gt;$AO52))
) / 1000</f>
        <v>0</v>
      </c>
      <c r="CB52" s="230">
        <f t="shared" si="27"/>
        <v>0</v>
      </c>
      <c r="CC52" s="238"/>
      <c r="CD52" s="229" cm="1">
        <f t="array" ref="CD52">IF(ISBLANK(Y52), INDEX(Use, $AH52, 4) - AN52*INDEX(Use, $AH52, 6) - (Q52-X52), Y52)</f>
        <v>7</v>
      </c>
      <c r="CE52" s="229">
        <f t="shared" si="28"/>
        <v>32</v>
      </c>
      <c r="CF52" s="230">
        <f t="shared" si="29"/>
        <v>0</v>
      </c>
      <c r="CG52" s="229">
        <v>35</v>
      </c>
      <c r="CH52" s="230">
        <f t="shared" si="30"/>
        <v>48</v>
      </c>
      <c r="CI52" s="235">
        <f t="shared" si="31"/>
        <v>3.0748170731707316</v>
      </c>
      <c r="CJ52" s="235" cm="1">
        <f t="array" ref="CJ52">$BI52 * SUMPRODUCT(INDEX($AR$77:$AT$82,,$AI52),INDEX($AU$77:$BA$82,,$AH52), N($AQ$77:$AQ$82&gt;$AO52)) / CI52 / 1000</f>
        <v>0</v>
      </c>
      <c r="CK52" s="232">
        <f t="shared" si="32"/>
        <v>30</v>
      </c>
      <c r="CL52" s="230">
        <f t="shared" si="33"/>
        <v>43</v>
      </c>
      <c r="CM52" s="235">
        <f t="shared" si="34"/>
        <v>3.5018750000000001</v>
      </c>
      <c r="CN52" s="235" cm="1">
        <f t="array" ref="CN52">$BI52 * IF($AH52&lt;=2,
SUMPRODUCT(INDEX($AR$72:$AT$76,,$AI52), INDEX($AU$72:$BA$76,,$AH52), 1 / ($BB$72:$BB$76*CM52 + (1-$BB$72:$BB$76)*CI52), N($AQ$72:$AQ$76&gt;$AO52)),
SUMPRODUCT(INDEX($AR$67:$AT$76,,$AI52), INDEX($AU$67:$BA$76,,$AH52), 1 / ($BC$67:$BC$76*CM52 + (1-$BC$67:$BC$76)*CI52), N($AQ$67:$AQ$76&gt;$AO52))
) / 1000</f>
        <v>0</v>
      </c>
      <c r="CO52" s="232">
        <f t="shared" si="35"/>
        <v>25</v>
      </c>
      <c r="CP52" s="230">
        <f t="shared" si="36"/>
        <v>38</v>
      </c>
      <c r="CQ52" s="235">
        <f t="shared" si="37"/>
        <v>4.0666935483870965</v>
      </c>
      <c r="CR52" s="235" cm="1">
        <f t="array" ref="CR52">$BI52 * IF($AH52&lt;=2,
SUMPRODUCT(INDEX($AR$67:$AT$71,,$AI52), INDEX($AU$67:$BA$71,,$AH52), 1 / ($BB$67:$BB$71*CQ52 + (1-$BB$67:$BB$71)*CM52), N($AQ$67:$AQ$71&gt;$AO52)),
SUMPRODUCT(INDEX($AR$57:$AT$66,,$AI52), INDEX($AU$57:$BA$66,,$AH52), 1 / ($BC$57:$BC$66*CQ52 + (1-$BC$57:$BC$66)*CM52), N($AQ$57:$AQ$66&gt;$AO52))
) / 1000</f>
        <v>0</v>
      </c>
      <c r="CS52" s="232">
        <f t="shared" si="38"/>
        <v>20</v>
      </c>
      <c r="CT52" s="230">
        <f t="shared" si="39"/>
        <v>33</v>
      </c>
      <c r="CU52" s="235">
        <f t="shared" si="40"/>
        <v>4.8487499999999999</v>
      </c>
      <c r="CV52" s="235" cm="1">
        <f t="array" ref="CV52">$BI52 * IF($AH52&lt;=2,
SUMPRODUCT(INDEX($AR$62:$AT$66,,$AI52), INDEX($AU$62:$BA$66,,$AH52), 1 / ($BB$62:$BB$66*CU52 + (1-$BB$62:$BB$66)*CQ52), N($AQ$62:$AQ$66&gt;$AO52)),
SUMPRODUCT(INDEX($AR$47:$AT$56,,$AI52), INDEX($AU$47:$BA$56,,$AH52), 1 / ($BC$47:$BC$56*CU52 + (1-$BC$47:$BC$56)*CQ52), N($AQ$47:$AQ$56&gt;$AO52))
) / 1000</f>
        <v>0</v>
      </c>
      <c r="CW52" s="235" cm="1">
        <f t="array" ref="CW52">$BI52 * IF($AH52&lt;=2,
SUMPRODUCT(INDEX($AR$23:$AT$61,,$AI52), INDEX($AU$23:$BA$61,,$AH52), 1 / ($BB$23:$BB$61*CU52), N($AQ$23:$AQ$61&gt;$AO52)),
SUMPRODUCT(INDEX($AR$23:$AT$46,,$AI52), INDEX($AU$23:$BA$46,,$AH52), 1 / ($BC$23:$BC$46*CU52), N($AQ$23:$AQ$46&gt;$AO52))
) / 1000</f>
        <v>0</v>
      </c>
      <c r="CX52" s="230">
        <f t="shared" si="41"/>
        <v>0</v>
      </c>
      <c r="CY52" s="238"/>
    </row>
    <row r="53" spans="1:103" s="76" customFormat="1" ht="14.25" customHeight="1" x14ac:dyDescent="0.25">
      <c r="A53" s="231" t="b">
        <f t="shared" si="0"/>
        <v>0</v>
      </c>
      <c r="B53" s="245">
        <v>31</v>
      </c>
      <c r="C53" s="258"/>
      <c r="D53" s="258"/>
      <c r="E53" s="246"/>
      <c r="F53" s="247" t="str">
        <f>IF(ISBLANK(E53), "", VLOOKUP(E53, Z!$A$2:$C$4127, 3, FALSE))</f>
        <v/>
      </c>
      <c r="G53" s="248"/>
      <c r="H53" s="248"/>
      <c r="I53" s="249"/>
      <c r="J53" s="250"/>
      <c r="K53" s="259"/>
      <c r="L53" s="260"/>
      <c r="M53" s="252" t="str" cm="1">
        <f t="array" ref="M53">INDEX(Trad, 53, $A$20)</f>
        <v>Verschmutzt</v>
      </c>
      <c r="N53" s="253"/>
      <c r="O53" s="253"/>
      <c r="P53" s="254"/>
      <c r="Q53" s="251"/>
      <c r="R53" s="251"/>
      <c r="S53" s="264">
        <f t="shared" si="7"/>
        <v>0</v>
      </c>
      <c r="T53" s="252" t="str" cm="1">
        <f t="array" ref="T53">INDEX(Trad, 52, $A$20)</f>
        <v>Sauber</v>
      </c>
      <c r="U53" s="253"/>
      <c r="V53" s="253"/>
      <c r="W53" s="254"/>
      <c r="X53" s="251"/>
      <c r="Y53" s="251"/>
      <c r="Z53" s="264">
        <f t="shared" si="8"/>
        <v>0</v>
      </c>
      <c r="AA53" s="261"/>
      <c r="AB53" s="258"/>
      <c r="AC53" s="246"/>
      <c r="AD53" s="247" t="str">
        <f>IF(ISBLANK(AC53), "", VLOOKUP(AC53, Z!$A$2:$C$4127, 3, FALSE))</f>
        <v/>
      </c>
      <c r="AE53" s="262"/>
      <c r="AF53" s="263">
        <f t="shared" si="1"/>
        <v>0</v>
      </c>
      <c r="AG53" s="238"/>
      <c r="AH53" s="229">
        <f t="shared" ref="AH53" si="126">IF(ISBLANK(H53), 1, IFERROR(MATCH(H53, INDEX(Use,,1), 0), IFERROR(MATCH(H53, INDEX(Use,,2), 0), MATCH(H53, INDEX(Use,,3), 0))))</f>
        <v>1</v>
      </c>
      <c r="AI53" s="229">
        <f t="shared" ref="AI53" si="127">IF(ISBLANK(G53), 1, IFERROR(MATCH(G53, INDEX(Loc,,1), 0), IFERROR(MATCH(G53, INDEX(Loc,,2), 0), MATCH(G53, INDEX(Loc,,3), 0))))</f>
        <v>1</v>
      </c>
      <c r="AJ53" s="229">
        <f t="shared" ref="AJ53" si="128">_xlfn.IFNA(IF(IFERROR(MATCH(I53, INDEX(Medium,,1), 0), IFERROR(MATCH(I53, INDEX(Medium,,2), 0), MATCH(I53, INDEX(Medium,,3), 0))) = 2, 1, 0), 0)</f>
        <v>0</v>
      </c>
      <c r="AK53" s="229">
        <v>0</v>
      </c>
      <c r="AL53" s="229">
        <v>0</v>
      </c>
      <c r="AM53" s="229">
        <v>1</v>
      </c>
      <c r="AN53" s="229">
        <v>0</v>
      </c>
      <c r="AO53" s="229">
        <f t="shared" si="5"/>
        <v>-100</v>
      </c>
      <c r="AP53" s="238"/>
      <c r="AQ53" s="229">
        <v>11</v>
      </c>
      <c r="AR53" s="232">
        <v>329</v>
      </c>
      <c r="AS53" s="232">
        <v>376</v>
      </c>
      <c r="AT53" s="232">
        <v>368</v>
      </c>
      <c r="AU53" s="233">
        <f t="shared" si="6"/>
        <v>0</v>
      </c>
      <c r="AV53" s="233">
        <f t="shared" si="6"/>
        <v>0</v>
      </c>
      <c r="AW53" s="233" cm="1">
        <f t="array" ref="AW53">MIN(INDEX(Use,AW$21,5) + MAX(0, (1-INDEX(Use,AW$21,5))*($AQ53-5)/(35-5)), 1)</f>
        <v>0.52</v>
      </c>
      <c r="AX53" s="233" cm="1">
        <f t="array" ref="AX53">MIN(INDEX(Use,AX$21,5) + MAX(0, (1-INDEX(Use,AX$21,5))*($AQ53-5)/(35-5)), 1)</f>
        <v>0.67999999999999994</v>
      </c>
      <c r="AY53" s="233" cm="1">
        <f t="array" ref="AY53">MIN(INDEX(Use,AY$21,5) + MAX(0, (1-INDEX(Use,AY$21,5))*($AQ53-5)/(35-5)), 1)</f>
        <v>0.84000000000000008</v>
      </c>
      <c r="AZ53" s="233" cm="1">
        <f t="array" ref="AZ53">MIN(INDEX(Use,AZ$21,5) + MAX(0, (1-INDEX(Use,AZ$21,5))*($AQ53-5)/(35-5)), 1)</f>
        <v>0.84000000000000008</v>
      </c>
      <c r="BA53" s="233" cm="1">
        <f t="array" ref="BA53">MIN(INDEX(Use,BA$21,5) + MAX(0, (1-INDEX(Use,BA$21,5))*($AQ53-5)/(35-5)), 1)</f>
        <v>0.84000000000000008</v>
      </c>
      <c r="BB53" s="233">
        <v>1</v>
      </c>
      <c r="BC53" s="233">
        <v>0.4</v>
      </c>
      <c r="BD53" s="211"/>
      <c r="BE53" s="229" cm="1">
        <f t="array" ref="BE53">IF(ISBLANK(R53), INDEX(Use, $AH53, 4) - AM53*INDEX(Use, $AH53, 6), R53)</f>
        <v>5</v>
      </c>
      <c r="BF53" s="229">
        <f t="shared" si="12"/>
        <v>30</v>
      </c>
      <c r="BG53" s="229">
        <f t="shared" si="13"/>
        <v>13</v>
      </c>
      <c r="BH53" s="229">
        <f t="shared" si="14"/>
        <v>0</v>
      </c>
      <c r="BI53" s="234" cm="1">
        <f t="array" ref="BI53">K53/IF($L53&gt;0, INDEX($AU$23:$BA$77, $L53+20, $AH53), 1)</f>
        <v>0</v>
      </c>
      <c r="BJ53" s="230">
        <f t="shared" si="15"/>
        <v>0</v>
      </c>
      <c r="BK53" s="229">
        <v>35</v>
      </c>
      <c r="BL53" s="230">
        <f t="shared" si="16"/>
        <v>48</v>
      </c>
      <c r="BM53" s="235">
        <f t="shared" si="17"/>
        <v>2.9108720930232557</v>
      </c>
      <c r="BN53" s="235" cm="1">
        <f t="array" ref="BN53">$BI53 * SUMPRODUCT(INDEX($AR$77:$AT$82,,$AI53),INDEX($AU$77:$BA$82,,$AH53), N($AQ$77:$AQ$82&gt;$AO53)) / BM53 / 1000</f>
        <v>0</v>
      </c>
      <c r="BO53" s="232">
        <f t="shared" si="18"/>
        <v>30</v>
      </c>
      <c r="BP53" s="230">
        <f t="shared" si="19"/>
        <v>43</v>
      </c>
      <c r="BQ53" s="235">
        <f t="shared" si="20"/>
        <v>3.2938815789473681</v>
      </c>
      <c r="BR53" s="235" cm="1">
        <f t="array" ref="BR53">$BI53 * IF($AH53&lt;=2,
SUMPRODUCT(INDEX($AR$72:$AT$76,,$AI53), INDEX($AU$72:$BA$76,,$AH53), 1 / ($BB$72:$BB$76*BQ53 + (1-$BB$72:$BB$76)*BM53), N($AQ$72:$AQ$76&gt;$AO53)),
SUMPRODUCT(INDEX($AR$67:$AT$76,,$AI53), INDEX($AU$67:$BA$76,,$AH53), 1 / ($BC$67:$BC$76*BQ53 + (1-$BC$67:$BC$76)*BM53), N($AQ$67:$AQ$76&gt;$AO53))
) / 1000</f>
        <v>0</v>
      </c>
      <c r="BS53" s="232">
        <f t="shared" si="21"/>
        <v>25</v>
      </c>
      <c r="BT53" s="230">
        <f t="shared" si="22"/>
        <v>38</v>
      </c>
      <c r="BU53" s="235">
        <f t="shared" si="23"/>
        <v>3.792954545454545</v>
      </c>
      <c r="BV53" s="235" cm="1">
        <f t="array" ref="BV53">$BI53 * IF($AH53&lt;=2,
SUMPRODUCT(INDEX($AR$67:$AT$71,,$AI53), INDEX($AU$67:$BA$71,,$AH53), 1 / ($BB$67:$BB$71*BU53 + (1-$BB$67:$BB$71)*BQ53), N($AQ$67:$AQ$71&gt;$AO53)),
SUMPRODUCT(INDEX($AR$57:$AT$66,,$AI53), INDEX($AU$57:$BA$66,,$AH53), 1 / ($BC$57:$BC$66*BU53 + (1-$BC$57:$BC$66)*BQ53), N($AQ$57:$AQ$66&gt;$AO53))
) / 1000</f>
        <v>0</v>
      </c>
      <c r="BW53" s="232">
        <f t="shared" si="24"/>
        <v>20</v>
      </c>
      <c r="BX53" s="230">
        <f t="shared" si="25"/>
        <v>33</v>
      </c>
      <c r="BY53" s="235">
        <f t="shared" si="26"/>
        <v>4.4702678571428569</v>
      </c>
      <c r="BZ53" s="235" cm="1">
        <f t="array" ref="BZ53">$BI53 * IF($AH53&lt;=2,
SUMPRODUCT(INDEX($AR$62:$AT$66,,$AI53), INDEX($AU$62:$BA$66,,$AH53), 1 / ($BB$62:$BB$66*BY53 + (1-$BB$62:$BB$66)*BU53), N($AQ$62:$AQ$66&gt;$AO53)),
SUMPRODUCT(INDEX($AR$47:$AT$56,,$AI53), INDEX($AU$47:$BA$56,,$AH53), 1 / ($BC$47:$BC$56*BY53 + (1-$BC$47:$BC$56)*BU53), N($AQ$47:$AQ$56&gt;$AO53))
) / 1000</f>
        <v>0</v>
      </c>
      <c r="CA53" s="235" cm="1">
        <f t="array" ref="CA53">$BI53 * IF($AH53&lt;=2,
SUMPRODUCT(INDEX($AR$23:$AT$61,,$AI53), INDEX($AU$23:$BA$61,,$AH53), 1 / ($BB$23:$BB$61*BY53), N($AQ$23:$AQ$61&gt;$AO53)),
SUMPRODUCT(INDEX($AR$23:$AT$46,,$AI53), INDEX($AU$23:$BA$46,,$AH53), 1 / ($BC$23:$BC$46*BY53), N($AQ$23:$AQ$46&gt;$AO53))
) / 1000</f>
        <v>0</v>
      </c>
      <c r="CB53" s="230">
        <f t="shared" si="27"/>
        <v>0</v>
      </c>
      <c r="CC53" s="238"/>
      <c r="CD53" s="229" cm="1">
        <f t="array" ref="CD53">IF(ISBLANK(Y53), INDEX(Use, $AH53, 4) - AN53*INDEX(Use, $AH53, 6) - (Q53-X53), Y53)</f>
        <v>7</v>
      </c>
      <c r="CE53" s="229">
        <f t="shared" si="28"/>
        <v>32</v>
      </c>
      <c r="CF53" s="230">
        <f t="shared" si="29"/>
        <v>0</v>
      </c>
      <c r="CG53" s="229">
        <v>35</v>
      </c>
      <c r="CH53" s="230">
        <f t="shared" si="30"/>
        <v>48</v>
      </c>
      <c r="CI53" s="235">
        <f t="shared" si="31"/>
        <v>3.0748170731707316</v>
      </c>
      <c r="CJ53" s="235" cm="1">
        <f t="array" ref="CJ53">$BI53 * SUMPRODUCT(INDEX($AR$77:$AT$82,,$AI53),INDEX($AU$77:$BA$82,,$AH53), N($AQ$77:$AQ$82&gt;$AO53)) / CI53 / 1000</f>
        <v>0</v>
      </c>
      <c r="CK53" s="232">
        <f t="shared" si="32"/>
        <v>30</v>
      </c>
      <c r="CL53" s="230">
        <f t="shared" si="33"/>
        <v>43</v>
      </c>
      <c r="CM53" s="235">
        <f t="shared" si="34"/>
        <v>3.5018750000000001</v>
      </c>
      <c r="CN53" s="235" cm="1">
        <f t="array" ref="CN53">$BI53 * IF($AH53&lt;=2,
SUMPRODUCT(INDEX($AR$72:$AT$76,,$AI53), INDEX($AU$72:$BA$76,,$AH53), 1 / ($BB$72:$BB$76*CM53 + (1-$BB$72:$BB$76)*CI53), N($AQ$72:$AQ$76&gt;$AO53)),
SUMPRODUCT(INDEX($AR$67:$AT$76,,$AI53), INDEX($AU$67:$BA$76,,$AH53), 1 / ($BC$67:$BC$76*CM53 + (1-$BC$67:$BC$76)*CI53), N($AQ$67:$AQ$76&gt;$AO53))
) / 1000</f>
        <v>0</v>
      </c>
      <c r="CO53" s="232">
        <f t="shared" si="35"/>
        <v>25</v>
      </c>
      <c r="CP53" s="230">
        <f t="shared" si="36"/>
        <v>38</v>
      </c>
      <c r="CQ53" s="235">
        <f t="shared" si="37"/>
        <v>4.0666935483870965</v>
      </c>
      <c r="CR53" s="235" cm="1">
        <f t="array" ref="CR53">$BI53 * IF($AH53&lt;=2,
SUMPRODUCT(INDEX($AR$67:$AT$71,,$AI53), INDEX($AU$67:$BA$71,,$AH53), 1 / ($BB$67:$BB$71*CQ53 + (1-$BB$67:$BB$71)*CM53), N($AQ$67:$AQ$71&gt;$AO53)),
SUMPRODUCT(INDEX($AR$57:$AT$66,,$AI53), INDEX($AU$57:$BA$66,,$AH53), 1 / ($BC$57:$BC$66*CQ53 + (1-$BC$57:$BC$66)*CM53), N($AQ$57:$AQ$66&gt;$AO53))
) / 1000</f>
        <v>0</v>
      </c>
      <c r="CS53" s="232">
        <f t="shared" si="38"/>
        <v>20</v>
      </c>
      <c r="CT53" s="230">
        <f t="shared" si="39"/>
        <v>33</v>
      </c>
      <c r="CU53" s="235">
        <f t="shared" si="40"/>
        <v>4.8487499999999999</v>
      </c>
      <c r="CV53" s="235" cm="1">
        <f t="array" ref="CV53">$BI53 * IF($AH53&lt;=2,
SUMPRODUCT(INDEX($AR$62:$AT$66,,$AI53), INDEX($AU$62:$BA$66,,$AH53), 1 / ($BB$62:$BB$66*CU53 + (1-$BB$62:$BB$66)*CQ53), N($AQ$62:$AQ$66&gt;$AO53)),
SUMPRODUCT(INDEX($AR$47:$AT$56,,$AI53), INDEX($AU$47:$BA$56,,$AH53), 1 / ($BC$47:$BC$56*CU53 + (1-$BC$47:$BC$56)*CQ53), N($AQ$47:$AQ$56&gt;$AO53))
) / 1000</f>
        <v>0</v>
      </c>
      <c r="CW53" s="235" cm="1">
        <f t="array" ref="CW53">$BI53 * IF($AH53&lt;=2,
SUMPRODUCT(INDEX($AR$23:$AT$61,,$AI53), INDEX($AU$23:$BA$61,,$AH53), 1 / ($BB$23:$BB$61*CU53), N($AQ$23:$AQ$61&gt;$AO53)),
SUMPRODUCT(INDEX($AR$23:$AT$46,,$AI53), INDEX($AU$23:$BA$46,,$AH53), 1 / ($BC$23:$BC$46*CU53), N($AQ$23:$AQ$46&gt;$AO53))
) / 1000</f>
        <v>0</v>
      </c>
      <c r="CX53" s="230">
        <f t="shared" si="41"/>
        <v>0</v>
      </c>
      <c r="CY53" s="238"/>
    </row>
    <row r="54" spans="1:103" s="76" customFormat="1" ht="14.25" customHeight="1" x14ac:dyDescent="0.25">
      <c r="A54" s="231" t="b">
        <f t="shared" si="0"/>
        <v>0</v>
      </c>
      <c r="B54" s="245">
        <v>32</v>
      </c>
      <c r="C54" s="258"/>
      <c r="D54" s="258"/>
      <c r="E54" s="246"/>
      <c r="F54" s="247" t="str">
        <f>IF(ISBLANK(E54), "", VLOOKUP(E54, Z!$A$2:$C$4127, 3, FALSE))</f>
        <v/>
      </c>
      <c r="G54" s="248"/>
      <c r="H54" s="248"/>
      <c r="I54" s="249"/>
      <c r="J54" s="250"/>
      <c r="K54" s="259"/>
      <c r="L54" s="260"/>
      <c r="M54" s="252" t="str" cm="1">
        <f t="array" ref="M54">INDEX(Trad, 53, $A$20)</f>
        <v>Verschmutzt</v>
      </c>
      <c r="N54" s="253"/>
      <c r="O54" s="253"/>
      <c r="P54" s="254"/>
      <c r="Q54" s="251"/>
      <c r="R54" s="251"/>
      <c r="S54" s="264">
        <f t="shared" si="7"/>
        <v>0</v>
      </c>
      <c r="T54" s="252" t="str" cm="1">
        <f t="array" ref="T54">INDEX(Trad, 52, $A$20)</f>
        <v>Sauber</v>
      </c>
      <c r="U54" s="253"/>
      <c r="V54" s="253"/>
      <c r="W54" s="254"/>
      <c r="X54" s="251"/>
      <c r="Y54" s="251"/>
      <c r="Z54" s="264">
        <f t="shared" si="8"/>
        <v>0</v>
      </c>
      <c r="AA54" s="261"/>
      <c r="AB54" s="258"/>
      <c r="AC54" s="246"/>
      <c r="AD54" s="247" t="str">
        <f>IF(ISBLANK(AC54), "", VLOOKUP(AC54, Z!$A$2:$C$4127, 3, FALSE))</f>
        <v/>
      </c>
      <c r="AE54" s="262"/>
      <c r="AF54" s="263">
        <f t="shared" si="1"/>
        <v>0</v>
      </c>
      <c r="AG54" s="238"/>
      <c r="AH54" s="229">
        <f t="shared" ref="AH54" si="129">IF(ISBLANK(H54), 1, IFERROR(MATCH(H54, INDEX(Use,,1), 0), IFERROR(MATCH(H54, INDEX(Use,,2), 0), MATCH(H54, INDEX(Use,,3), 0))))</f>
        <v>1</v>
      </c>
      <c r="AI54" s="229">
        <f t="shared" ref="AI54" si="130">IF(ISBLANK(G54), 1, IFERROR(MATCH(G54, INDEX(Loc,,1), 0), IFERROR(MATCH(G54, INDEX(Loc,,2), 0), MATCH(G54, INDEX(Loc,,3), 0))))</f>
        <v>1</v>
      </c>
      <c r="AJ54" s="229">
        <f t="shared" ref="AJ54" si="131">_xlfn.IFNA(IF(IFERROR(MATCH(I54, INDEX(Medium,,1), 0), IFERROR(MATCH(I54, INDEX(Medium,,2), 0), MATCH(I54, INDEX(Medium,,3), 0))) = 2, 1, 0), 0)</f>
        <v>0</v>
      </c>
      <c r="AK54" s="229">
        <v>0</v>
      </c>
      <c r="AL54" s="229">
        <v>0</v>
      </c>
      <c r="AM54" s="229">
        <v>1</v>
      </c>
      <c r="AN54" s="229">
        <v>0</v>
      </c>
      <c r="AO54" s="229">
        <f t="shared" si="5"/>
        <v>-100</v>
      </c>
      <c r="AP54" s="238"/>
      <c r="AQ54" s="229">
        <v>12</v>
      </c>
      <c r="AR54" s="232">
        <v>385</v>
      </c>
      <c r="AS54" s="232">
        <v>427</v>
      </c>
      <c r="AT54" s="232">
        <v>321</v>
      </c>
      <c r="AU54" s="233">
        <f t="shared" si="6"/>
        <v>0</v>
      </c>
      <c r="AV54" s="233">
        <f t="shared" si="6"/>
        <v>0</v>
      </c>
      <c r="AW54" s="233" cm="1">
        <f t="array" ref="AW54">MIN(INDEX(Use,AW$21,5) + MAX(0, (1-INDEX(Use,AW$21,5))*($AQ54-5)/(35-5)), 1)</f>
        <v>0.54</v>
      </c>
      <c r="AX54" s="233" cm="1">
        <f t="array" ref="AX54">MIN(INDEX(Use,AX$21,5) + MAX(0, (1-INDEX(Use,AX$21,5))*($AQ54-5)/(35-5)), 1)</f>
        <v>0.69333333333333336</v>
      </c>
      <c r="AY54" s="233" cm="1">
        <f t="array" ref="AY54">MIN(INDEX(Use,AY$21,5) + MAX(0, (1-INDEX(Use,AY$21,5))*($AQ54-5)/(35-5)), 1)</f>
        <v>0.84666666666666668</v>
      </c>
      <c r="AZ54" s="233" cm="1">
        <f t="array" ref="AZ54">MIN(INDEX(Use,AZ$21,5) + MAX(0, (1-INDEX(Use,AZ$21,5))*($AQ54-5)/(35-5)), 1)</f>
        <v>0.84666666666666668</v>
      </c>
      <c r="BA54" s="233" cm="1">
        <f t="array" ref="BA54">MIN(INDEX(Use,BA$21,5) + MAX(0, (1-INDEX(Use,BA$21,5))*($AQ54-5)/(35-5)), 1)</f>
        <v>0.84666666666666668</v>
      </c>
      <c r="BB54" s="233">
        <v>1</v>
      </c>
      <c r="BC54" s="233">
        <v>0.3</v>
      </c>
      <c r="BD54" s="211"/>
      <c r="BE54" s="229" cm="1">
        <f t="array" ref="BE54">IF(ISBLANK(R54), INDEX(Use, $AH54, 4) - AM54*INDEX(Use, $AH54, 6), R54)</f>
        <v>5</v>
      </c>
      <c r="BF54" s="229">
        <f t="shared" si="12"/>
        <v>30</v>
      </c>
      <c r="BG54" s="229">
        <f t="shared" si="13"/>
        <v>13</v>
      </c>
      <c r="BH54" s="229">
        <f t="shared" si="14"/>
        <v>0</v>
      </c>
      <c r="BI54" s="234" cm="1">
        <f t="array" ref="BI54">K54/IF($L54&gt;0, INDEX($AU$23:$BA$77, $L54+20, $AH54), 1)</f>
        <v>0</v>
      </c>
      <c r="BJ54" s="230">
        <f t="shared" si="15"/>
        <v>0</v>
      </c>
      <c r="BK54" s="229">
        <v>35</v>
      </c>
      <c r="BL54" s="230">
        <f t="shared" si="16"/>
        <v>48</v>
      </c>
      <c r="BM54" s="235">
        <f t="shared" si="17"/>
        <v>2.9108720930232557</v>
      </c>
      <c r="BN54" s="235" cm="1">
        <f t="array" ref="BN54">$BI54 * SUMPRODUCT(INDEX($AR$77:$AT$82,,$AI54),INDEX($AU$77:$BA$82,,$AH54), N($AQ$77:$AQ$82&gt;$AO54)) / BM54 / 1000</f>
        <v>0</v>
      </c>
      <c r="BO54" s="232">
        <f t="shared" si="18"/>
        <v>30</v>
      </c>
      <c r="BP54" s="230">
        <f t="shared" si="19"/>
        <v>43</v>
      </c>
      <c r="BQ54" s="235">
        <f t="shared" si="20"/>
        <v>3.2938815789473681</v>
      </c>
      <c r="BR54" s="235" cm="1">
        <f t="array" ref="BR54">$BI54 * IF($AH54&lt;=2,
SUMPRODUCT(INDEX($AR$72:$AT$76,,$AI54), INDEX($AU$72:$BA$76,,$AH54), 1 / ($BB$72:$BB$76*BQ54 + (1-$BB$72:$BB$76)*BM54), N($AQ$72:$AQ$76&gt;$AO54)),
SUMPRODUCT(INDEX($AR$67:$AT$76,,$AI54), INDEX($AU$67:$BA$76,,$AH54), 1 / ($BC$67:$BC$76*BQ54 + (1-$BC$67:$BC$76)*BM54), N($AQ$67:$AQ$76&gt;$AO54))
) / 1000</f>
        <v>0</v>
      </c>
      <c r="BS54" s="232">
        <f t="shared" si="21"/>
        <v>25</v>
      </c>
      <c r="BT54" s="230">
        <f t="shared" si="22"/>
        <v>38</v>
      </c>
      <c r="BU54" s="235">
        <f t="shared" si="23"/>
        <v>3.792954545454545</v>
      </c>
      <c r="BV54" s="235" cm="1">
        <f t="array" ref="BV54">$BI54 * IF($AH54&lt;=2,
SUMPRODUCT(INDEX($AR$67:$AT$71,,$AI54), INDEX($AU$67:$BA$71,,$AH54), 1 / ($BB$67:$BB$71*BU54 + (1-$BB$67:$BB$71)*BQ54), N($AQ$67:$AQ$71&gt;$AO54)),
SUMPRODUCT(INDEX($AR$57:$AT$66,,$AI54), INDEX($AU$57:$BA$66,,$AH54), 1 / ($BC$57:$BC$66*BU54 + (1-$BC$57:$BC$66)*BQ54), N($AQ$57:$AQ$66&gt;$AO54))
) / 1000</f>
        <v>0</v>
      </c>
      <c r="BW54" s="232">
        <f t="shared" si="24"/>
        <v>20</v>
      </c>
      <c r="BX54" s="230">
        <f t="shared" si="25"/>
        <v>33</v>
      </c>
      <c r="BY54" s="235">
        <f t="shared" si="26"/>
        <v>4.4702678571428569</v>
      </c>
      <c r="BZ54" s="235" cm="1">
        <f t="array" ref="BZ54">$BI54 * IF($AH54&lt;=2,
SUMPRODUCT(INDEX($AR$62:$AT$66,,$AI54), INDEX($AU$62:$BA$66,,$AH54), 1 / ($BB$62:$BB$66*BY54 + (1-$BB$62:$BB$66)*BU54), N($AQ$62:$AQ$66&gt;$AO54)),
SUMPRODUCT(INDEX($AR$47:$AT$56,,$AI54), INDEX($AU$47:$BA$56,,$AH54), 1 / ($BC$47:$BC$56*BY54 + (1-$BC$47:$BC$56)*BU54), N($AQ$47:$AQ$56&gt;$AO54))
) / 1000</f>
        <v>0</v>
      </c>
      <c r="CA54" s="235" cm="1">
        <f t="array" ref="CA54">$BI54 * IF($AH54&lt;=2,
SUMPRODUCT(INDEX($AR$23:$AT$61,,$AI54), INDEX($AU$23:$BA$61,,$AH54), 1 / ($BB$23:$BB$61*BY54), N($AQ$23:$AQ$61&gt;$AO54)),
SUMPRODUCT(INDEX($AR$23:$AT$46,,$AI54), INDEX($AU$23:$BA$46,,$AH54), 1 / ($BC$23:$BC$46*BY54), N($AQ$23:$AQ$46&gt;$AO54))
) / 1000</f>
        <v>0</v>
      </c>
      <c r="CB54" s="230">
        <f t="shared" si="27"/>
        <v>0</v>
      </c>
      <c r="CC54" s="238"/>
      <c r="CD54" s="229" cm="1">
        <f t="array" ref="CD54">IF(ISBLANK(Y54), INDEX(Use, $AH54, 4) - AN54*INDEX(Use, $AH54, 6) - (Q54-X54), Y54)</f>
        <v>7</v>
      </c>
      <c r="CE54" s="229">
        <f t="shared" si="28"/>
        <v>32</v>
      </c>
      <c r="CF54" s="230">
        <f t="shared" si="29"/>
        <v>0</v>
      </c>
      <c r="CG54" s="229">
        <v>35</v>
      </c>
      <c r="CH54" s="230">
        <f t="shared" si="30"/>
        <v>48</v>
      </c>
      <c r="CI54" s="235">
        <f t="shared" si="31"/>
        <v>3.0748170731707316</v>
      </c>
      <c r="CJ54" s="235" cm="1">
        <f t="array" ref="CJ54">$BI54 * SUMPRODUCT(INDEX($AR$77:$AT$82,,$AI54),INDEX($AU$77:$BA$82,,$AH54), N($AQ$77:$AQ$82&gt;$AO54)) / CI54 / 1000</f>
        <v>0</v>
      </c>
      <c r="CK54" s="232">
        <f t="shared" si="32"/>
        <v>30</v>
      </c>
      <c r="CL54" s="230">
        <f t="shared" si="33"/>
        <v>43</v>
      </c>
      <c r="CM54" s="235">
        <f t="shared" si="34"/>
        <v>3.5018750000000001</v>
      </c>
      <c r="CN54" s="235" cm="1">
        <f t="array" ref="CN54">$BI54 * IF($AH54&lt;=2,
SUMPRODUCT(INDEX($AR$72:$AT$76,,$AI54), INDEX($AU$72:$BA$76,,$AH54), 1 / ($BB$72:$BB$76*CM54 + (1-$BB$72:$BB$76)*CI54), N($AQ$72:$AQ$76&gt;$AO54)),
SUMPRODUCT(INDEX($AR$67:$AT$76,,$AI54), INDEX($AU$67:$BA$76,,$AH54), 1 / ($BC$67:$BC$76*CM54 + (1-$BC$67:$BC$76)*CI54), N($AQ$67:$AQ$76&gt;$AO54))
) / 1000</f>
        <v>0</v>
      </c>
      <c r="CO54" s="232">
        <f t="shared" si="35"/>
        <v>25</v>
      </c>
      <c r="CP54" s="230">
        <f t="shared" si="36"/>
        <v>38</v>
      </c>
      <c r="CQ54" s="235">
        <f t="shared" si="37"/>
        <v>4.0666935483870965</v>
      </c>
      <c r="CR54" s="235" cm="1">
        <f t="array" ref="CR54">$BI54 * IF($AH54&lt;=2,
SUMPRODUCT(INDEX($AR$67:$AT$71,,$AI54), INDEX($AU$67:$BA$71,,$AH54), 1 / ($BB$67:$BB$71*CQ54 + (1-$BB$67:$BB$71)*CM54), N($AQ$67:$AQ$71&gt;$AO54)),
SUMPRODUCT(INDEX($AR$57:$AT$66,,$AI54), INDEX($AU$57:$BA$66,,$AH54), 1 / ($BC$57:$BC$66*CQ54 + (1-$BC$57:$BC$66)*CM54), N($AQ$57:$AQ$66&gt;$AO54))
) / 1000</f>
        <v>0</v>
      </c>
      <c r="CS54" s="232">
        <f t="shared" si="38"/>
        <v>20</v>
      </c>
      <c r="CT54" s="230">
        <f t="shared" si="39"/>
        <v>33</v>
      </c>
      <c r="CU54" s="235">
        <f t="shared" si="40"/>
        <v>4.8487499999999999</v>
      </c>
      <c r="CV54" s="235" cm="1">
        <f t="array" ref="CV54">$BI54 * IF($AH54&lt;=2,
SUMPRODUCT(INDEX($AR$62:$AT$66,,$AI54), INDEX($AU$62:$BA$66,,$AH54), 1 / ($BB$62:$BB$66*CU54 + (1-$BB$62:$BB$66)*CQ54), N($AQ$62:$AQ$66&gt;$AO54)),
SUMPRODUCT(INDEX($AR$47:$AT$56,,$AI54), INDEX($AU$47:$BA$56,,$AH54), 1 / ($BC$47:$BC$56*CU54 + (1-$BC$47:$BC$56)*CQ54), N($AQ$47:$AQ$56&gt;$AO54))
) / 1000</f>
        <v>0</v>
      </c>
      <c r="CW54" s="235" cm="1">
        <f t="array" ref="CW54">$BI54 * IF($AH54&lt;=2,
SUMPRODUCT(INDEX($AR$23:$AT$61,,$AI54), INDEX($AU$23:$BA$61,,$AH54), 1 / ($BB$23:$BB$61*CU54), N($AQ$23:$AQ$61&gt;$AO54)),
SUMPRODUCT(INDEX($AR$23:$AT$46,,$AI54), INDEX($AU$23:$BA$46,,$AH54), 1 / ($BC$23:$BC$46*CU54), N($AQ$23:$AQ$46&gt;$AO54))
) / 1000</f>
        <v>0</v>
      </c>
      <c r="CX54" s="230">
        <f t="shared" si="41"/>
        <v>0</v>
      </c>
      <c r="CY54" s="238"/>
    </row>
    <row r="55" spans="1:103" s="76" customFormat="1" ht="14.25" customHeight="1" x14ac:dyDescent="0.25">
      <c r="A55" s="231" t="b">
        <f t="shared" si="0"/>
        <v>0</v>
      </c>
      <c r="B55" s="245">
        <v>33</v>
      </c>
      <c r="C55" s="258"/>
      <c r="D55" s="258"/>
      <c r="E55" s="246"/>
      <c r="F55" s="247" t="str">
        <f>IF(ISBLANK(E55), "", VLOOKUP(E55, Z!$A$2:$C$4127, 3, FALSE))</f>
        <v/>
      </c>
      <c r="G55" s="248"/>
      <c r="H55" s="248"/>
      <c r="I55" s="249"/>
      <c r="J55" s="250"/>
      <c r="K55" s="259"/>
      <c r="L55" s="260"/>
      <c r="M55" s="252" t="str" cm="1">
        <f t="array" ref="M55">INDEX(Trad, 53, $A$20)</f>
        <v>Verschmutzt</v>
      </c>
      <c r="N55" s="253"/>
      <c r="O55" s="253"/>
      <c r="P55" s="254"/>
      <c r="Q55" s="251"/>
      <c r="R55" s="251"/>
      <c r="S55" s="264">
        <f t="shared" si="7"/>
        <v>0</v>
      </c>
      <c r="T55" s="252" t="str" cm="1">
        <f t="array" ref="T55">INDEX(Trad, 52, $A$20)</f>
        <v>Sauber</v>
      </c>
      <c r="U55" s="253"/>
      <c r="V55" s="253"/>
      <c r="W55" s="254"/>
      <c r="X55" s="251"/>
      <c r="Y55" s="251"/>
      <c r="Z55" s="264">
        <f t="shared" si="8"/>
        <v>0</v>
      </c>
      <c r="AA55" s="261"/>
      <c r="AB55" s="258"/>
      <c r="AC55" s="246"/>
      <c r="AD55" s="247" t="str">
        <f>IF(ISBLANK(AC55), "", VLOOKUP(AC55, Z!$A$2:$C$4127, 3, FALSE))</f>
        <v/>
      </c>
      <c r="AE55" s="262"/>
      <c r="AF55" s="263">
        <f t="shared" ref="AF55:AF86" si="132">0.75*AP$23*(S55-Z55)</f>
        <v>0</v>
      </c>
      <c r="AG55" s="238"/>
      <c r="AH55" s="229">
        <f t="shared" ref="AH55" si="133">IF(ISBLANK(H55), 1, IFERROR(MATCH(H55, INDEX(Use,,1), 0), IFERROR(MATCH(H55, INDEX(Use,,2), 0), MATCH(H55, INDEX(Use,,3), 0))))</f>
        <v>1</v>
      </c>
      <c r="AI55" s="229">
        <f t="shared" ref="AI55" si="134">IF(ISBLANK(G55), 1, IFERROR(MATCH(G55, INDEX(Loc,,1), 0), IFERROR(MATCH(G55, INDEX(Loc,,2), 0), MATCH(G55, INDEX(Loc,,3), 0))))</f>
        <v>1</v>
      </c>
      <c r="AJ55" s="229">
        <f t="shared" ref="AJ55" si="135">_xlfn.IFNA(IF(IFERROR(MATCH(I55, INDEX(Medium,,1), 0), IFERROR(MATCH(I55, INDEX(Medium,,2), 0), MATCH(I55, INDEX(Medium,,3), 0))) = 2, 1, 0), 0)</f>
        <v>0</v>
      </c>
      <c r="AK55" s="229">
        <v>0</v>
      </c>
      <c r="AL55" s="229">
        <v>0</v>
      </c>
      <c r="AM55" s="229">
        <v>1</v>
      </c>
      <c r="AN55" s="229">
        <v>0</v>
      </c>
      <c r="AO55" s="229">
        <f t="shared" si="5"/>
        <v>-100</v>
      </c>
      <c r="AP55" s="238"/>
      <c r="AQ55" s="229">
        <v>13</v>
      </c>
      <c r="AR55" s="232">
        <v>350</v>
      </c>
      <c r="AS55" s="232">
        <v>426</v>
      </c>
      <c r="AT55" s="232">
        <v>350</v>
      </c>
      <c r="AU55" s="233">
        <f t="shared" si="6"/>
        <v>0</v>
      </c>
      <c r="AV55" s="233">
        <f t="shared" si="6"/>
        <v>0</v>
      </c>
      <c r="AW55" s="233" cm="1">
        <f t="array" ref="AW55">MIN(INDEX(Use,AW$21,5) + MAX(0, (1-INDEX(Use,AW$21,5))*($AQ55-5)/(35-5)), 1)</f>
        <v>0.56000000000000005</v>
      </c>
      <c r="AX55" s="233" cm="1">
        <f t="array" ref="AX55">MIN(INDEX(Use,AX$21,5) + MAX(0, (1-INDEX(Use,AX$21,5))*($AQ55-5)/(35-5)), 1)</f>
        <v>0.70666666666666667</v>
      </c>
      <c r="AY55" s="233" cm="1">
        <f t="array" ref="AY55">MIN(INDEX(Use,AY$21,5) + MAX(0, (1-INDEX(Use,AY$21,5))*($AQ55-5)/(35-5)), 1)</f>
        <v>0.85333333333333339</v>
      </c>
      <c r="AZ55" s="233" cm="1">
        <f t="array" ref="AZ55">MIN(INDEX(Use,AZ$21,5) + MAX(0, (1-INDEX(Use,AZ$21,5))*($AQ55-5)/(35-5)), 1)</f>
        <v>0.85333333333333339</v>
      </c>
      <c r="BA55" s="233" cm="1">
        <f t="array" ref="BA55">MIN(INDEX(Use,BA$21,5) + MAX(0, (1-INDEX(Use,BA$21,5))*($AQ55-5)/(35-5)), 1)</f>
        <v>0.85333333333333339</v>
      </c>
      <c r="BB55" s="233">
        <v>1</v>
      </c>
      <c r="BC55" s="233">
        <v>0.2</v>
      </c>
      <c r="BD55" s="211"/>
      <c r="BE55" s="229" cm="1">
        <f t="array" ref="BE55">IF(ISBLANK(R55), INDEX(Use, $AH55, 4) - AM55*INDEX(Use, $AH55, 6), R55)</f>
        <v>5</v>
      </c>
      <c r="BF55" s="229">
        <f t="shared" si="12"/>
        <v>30</v>
      </c>
      <c r="BG55" s="229">
        <f t="shared" si="13"/>
        <v>13</v>
      </c>
      <c r="BH55" s="229">
        <f t="shared" si="14"/>
        <v>0</v>
      </c>
      <c r="BI55" s="234" cm="1">
        <f t="array" ref="BI55">K55/IF($L55&gt;0, INDEX($AU$23:$BA$77, $L55+20, $AH55), 1)</f>
        <v>0</v>
      </c>
      <c r="BJ55" s="230">
        <f t="shared" si="15"/>
        <v>0</v>
      </c>
      <c r="BK55" s="229">
        <v>35</v>
      </c>
      <c r="BL55" s="230">
        <f t="shared" si="16"/>
        <v>48</v>
      </c>
      <c r="BM55" s="235">
        <f t="shared" si="17"/>
        <v>2.9108720930232557</v>
      </c>
      <c r="BN55" s="235" cm="1">
        <f t="array" ref="BN55">$BI55 * SUMPRODUCT(INDEX($AR$77:$AT$82,,$AI55),INDEX($AU$77:$BA$82,,$AH55), N($AQ$77:$AQ$82&gt;$AO55)) / BM55 / 1000</f>
        <v>0</v>
      </c>
      <c r="BO55" s="232">
        <f t="shared" si="18"/>
        <v>30</v>
      </c>
      <c r="BP55" s="230">
        <f t="shared" si="19"/>
        <v>43</v>
      </c>
      <c r="BQ55" s="235">
        <f t="shared" si="20"/>
        <v>3.2938815789473681</v>
      </c>
      <c r="BR55" s="235" cm="1">
        <f t="array" ref="BR55">$BI55 * IF($AH55&lt;=2,
SUMPRODUCT(INDEX($AR$72:$AT$76,,$AI55), INDEX($AU$72:$BA$76,,$AH55), 1 / ($BB$72:$BB$76*BQ55 + (1-$BB$72:$BB$76)*BM55), N($AQ$72:$AQ$76&gt;$AO55)),
SUMPRODUCT(INDEX($AR$67:$AT$76,,$AI55), INDEX($AU$67:$BA$76,,$AH55), 1 / ($BC$67:$BC$76*BQ55 + (1-$BC$67:$BC$76)*BM55), N($AQ$67:$AQ$76&gt;$AO55))
) / 1000</f>
        <v>0</v>
      </c>
      <c r="BS55" s="232">
        <f t="shared" si="21"/>
        <v>25</v>
      </c>
      <c r="BT55" s="230">
        <f t="shared" si="22"/>
        <v>38</v>
      </c>
      <c r="BU55" s="235">
        <f t="shared" si="23"/>
        <v>3.792954545454545</v>
      </c>
      <c r="BV55" s="235" cm="1">
        <f t="array" ref="BV55">$BI55 * IF($AH55&lt;=2,
SUMPRODUCT(INDEX($AR$67:$AT$71,,$AI55), INDEX($AU$67:$BA$71,,$AH55), 1 / ($BB$67:$BB$71*BU55 + (1-$BB$67:$BB$71)*BQ55), N($AQ$67:$AQ$71&gt;$AO55)),
SUMPRODUCT(INDEX($AR$57:$AT$66,,$AI55), INDEX($AU$57:$BA$66,,$AH55), 1 / ($BC$57:$BC$66*BU55 + (1-$BC$57:$BC$66)*BQ55), N($AQ$57:$AQ$66&gt;$AO55))
) / 1000</f>
        <v>0</v>
      </c>
      <c r="BW55" s="232">
        <f t="shared" si="24"/>
        <v>20</v>
      </c>
      <c r="BX55" s="230">
        <f t="shared" si="25"/>
        <v>33</v>
      </c>
      <c r="BY55" s="235">
        <f t="shared" si="26"/>
        <v>4.4702678571428569</v>
      </c>
      <c r="BZ55" s="235" cm="1">
        <f t="array" ref="BZ55">$BI55 * IF($AH55&lt;=2,
SUMPRODUCT(INDEX($AR$62:$AT$66,,$AI55), INDEX($AU$62:$BA$66,,$AH55), 1 / ($BB$62:$BB$66*BY55 + (1-$BB$62:$BB$66)*BU55), N($AQ$62:$AQ$66&gt;$AO55)),
SUMPRODUCT(INDEX($AR$47:$AT$56,,$AI55), INDEX($AU$47:$BA$56,,$AH55), 1 / ($BC$47:$BC$56*BY55 + (1-$BC$47:$BC$56)*BU55), N($AQ$47:$AQ$56&gt;$AO55))
) / 1000</f>
        <v>0</v>
      </c>
      <c r="CA55" s="235" cm="1">
        <f t="array" ref="CA55">$BI55 * IF($AH55&lt;=2,
SUMPRODUCT(INDEX($AR$23:$AT$61,,$AI55), INDEX($AU$23:$BA$61,,$AH55), 1 / ($BB$23:$BB$61*BY55), N($AQ$23:$AQ$61&gt;$AO55)),
SUMPRODUCT(INDEX($AR$23:$AT$46,,$AI55), INDEX($AU$23:$BA$46,,$AH55), 1 / ($BC$23:$BC$46*BY55), N($AQ$23:$AQ$46&gt;$AO55))
) / 1000</f>
        <v>0</v>
      </c>
      <c r="CB55" s="230">
        <f t="shared" si="27"/>
        <v>0</v>
      </c>
      <c r="CC55" s="238"/>
      <c r="CD55" s="229" cm="1">
        <f t="array" ref="CD55">IF(ISBLANK(Y55), INDEX(Use, $AH55, 4) - AN55*INDEX(Use, $AH55, 6) - (Q55-X55), Y55)</f>
        <v>7</v>
      </c>
      <c r="CE55" s="229">
        <f t="shared" si="28"/>
        <v>32</v>
      </c>
      <c r="CF55" s="230">
        <f t="shared" si="29"/>
        <v>0</v>
      </c>
      <c r="CG55" s="229">
        <v>35</v>
      </c>
      <c r="CH55" s="230">
        <f t="shared" si="30"/>
        <v>48</v>
      </c>
      <c r="CI55" s="235">
        <f t="shared" si="31"/>
        <v>3.0748170731707316</v>
      </c>
      <c r="CJ55" s="235" cm="1">
        <f t="array" ref="CJ55">$BI55 * SUMPRODUCT(INDEX($AR$77:$AT$82,,$AI55),INDEX($AU$77:$BA$82,,$AH55), N($AQ$77:$AQ$82&gt;$AO55)) / CI55 / 1000</f>
        <v>0</v>
      </c>
      <c r="CK55" s="232">
        <f t="shared" si="32"/>
        <v>30</v>
      </c>
      <c r="CL55" s="230">
        <f t="shared" si="33"/>
        <v>43</v>
      </c>
      <c r="CM55" s="235">
        <f t="shared" si="34"/>
        <v>3.5018750000000001</v>
      </c>
      <c r="CN55" s="235" cm="1">
        <f t="array" ref="CN55">$BI55 * IF($AH55&lt;=2,
SUMPRODUCT(INDEX($AR$72:$AT$76,,$AI55), INDEX($AU$72:$BA$76,,$AH55), 1 / ($BB$72:$BB$76*CM55 + (1-$BB$72:$BB$76)*CI55), N($AQ$72:$AQ$76&gt;$AO55)),
SUMPRODUCT(INDEX($AR$67:$AT$76,,$AI55), INDEX($AU$67:$BA$76,,$AH55), 1 / ($BC$67:$BC$76*CM55 + (1-$BC$67:$BC$76)*CI55), N($AQ$67:$AQ$76&gt;$AO55))
) / 1000</f>
        <v>0</v>
      </c>
      <c r="CO55" s="232">
        <f t="shared" si="35"/>
        <v>25</v>
      </c>
      <c r="CP55" s="230">
        <f t="shared" si="36"/>
        <v>38</v>
      </c>
      <c r="CQ55" s="235">
        <f t="shared" si="37"/>
        <v>4.0666935483870965</v>
      </c>
      <c r="CR55" s="235" cm="1">
        <f t="array" ref="CR55">$BI55 * IF($AH55&lt;=2,
SUMPRODUCT(INDEX($AR$67:$AT$71,,$AI55), INDEX($AU$67:$BA$71,,$AH55), 1 / ($BB$67:$BB$71*CQ55 + (1-$BB$67:$BB$71)*CM55), N($AQ$67:$AQ$71&gt;$AO55)),
SUMPRODUCT(INDEX($AR$57:$AT$66,,$AI55), INDEX($AU$57:$BA$66,,$AH55), 1 / ($BC$57:$BC$66*CQ55 + (1-$BC$57:$BC$66)*CM55), N($AQ$57:$AQ$66&gt;$AO55))
) / 1000</f>
        <v>0</v>
      </c>
      <c r="CS55" s="232">
        <f t="shared" si="38"/>
        <v>20</v>
      </c>
      <c r="CT55" s="230">
        <f t="shared" si="39"/>
        <v>33</v>
      </c>
      <c r="CU55" s="235">
        <f t="shared" si="40"/>
        <v>4.8487499999999999</v>
      </c>
      <c r="CV55" s="235" cm="1">
        <f t="array" ref="CV55">$BI55 * IF($AH55&lt;=2,
SUMPRODUCT(INDEX($AR$62:$AT$66,,$AI55), INDEX($AU$62:$BA$66,,$AH55), 1 / ($BB$62:$BB$66*CU55 + (1-$BB$62:$BB$66)*CQ55), N($AQ$62:$AQ$66&gt;$AO55)),
SUMPRODUCT(INDEX($AR$47:$AT$56,,$AI55), INDEX($AU$47:$BA$56,,$AH55), 1 / ($BC$47:$BC$56*CU55 + (1-$BC$47:$BC$56)*CQ55), N($AQ$47:$AQ$56&gt;$AO55))
) / 1000</f>
        <v>0</v>
      </c>
      <c r="CW55" s="235" cm="1">
        <f t="array" ref="CW55">$BI55 * IF($AH55&lt;=2,
SUMPRODUCT(INDEX($AR$23:$AT$61,,$AI55), INDEX($AU$23:$BA$61,,$AH55), 1 / ($BB$23:$BB$61*CU55), N($AQ$23:$AQ$61&gt;$AO55)),
SUMPRODUCT(INDEX($AR$23:$AT$46,,$AI55), INDEX($AU$23:$BA$46,,$AH55), 1 / ($BC$23:$BC$46*CU55), N($AQ$23:$AQ$46&gt;$AO55))
) / 1000</f>
        <v>0</v>
      </c>
      <c r="CX55" s="230">
        <f t="shared" si="41"/>
        <v>0</v>
      </c>
      <c r="CY55" s="238"/>
    </row>
    <row r="56" spans="1:103" s="76" customFormat="1" ht="14.25" customHeight="1" x14ac:dyDescent="0.25">
      <c r="A56" s="231" t="b">
        <f t="shared" si="0"/>
        <v>0</v>
      </c>
      <c r="B56" s="245">
        <v>34</v>
      </c>
      <c r="C56" s="258"/>
      <c r="D56" s="258"/>
      <c r="E56" s="246"/>
      <c r="F56" s="247" t="str">
        <f>IF(ISBLANK(E56), "", VLOOKUP(E56, Z!$A$2:$C$4127, 3, FALSE))</f>
        <v/>
      </c>
      <c r="G56" s="248"/>
      <c r="H56" s="248"/>
      <c r="I56" s="249"/>
      <c r="J56" s="250"/>
      <c r="K56" s="259"/>
      <c r="L56" s="260"/>
      <c r="M56" s="252" t="str" cm="1">
        <f t="array" ref="M56">INDEX(Trad, 53, $A$20)</f>
        <v>Verschmutzt</v>
      </c>
      <c r="N56" s="253"/>
      <c r="O56" s="253"/>
      <c r="P56" s="254"/>
      <c r="Q56" s="251"/>
      <c r="R56" s="251"/>
      <c r="S56" s="264">
        <f t="shared" si="7"/>
        <v>0</v>
      </c>
      <c r="T56" s="252" t="str" cm="1">
        <f t="array" ref="T56">INDEX(Trad, 52, $A$20)</f>
        <v>Sauber</v>
      </c>
      <c r="U56" s="253"/>
      <c r="V56" s="253"/>
      <c r="W56" s="254"/>
      <c r="X56" s="251"/>
      <c r="Y56" s="251"/>
      <c r="Z56" s="264">
        <f t="shared" si="8"/>
        <v>0</v>
      </c>
      <c r="AA56" s="261"/>
      <c r="AB56" s="258"/>
      <c r="AC56" s="246"/>
      <c r="AD56" s="247" t="str">
        <f>IF(ISBLANK(AC56), "", VLOOKUP(AC56, Z!$A$2:$C$4127, 3, FALSE))</f>
        <v/>
      </c>
      <c r="AE56" s="262"/>
      <c r="AF56" s="263">
        <f t="shared" si="132"/>
        <v>0</v>
      </c>
      <c r="AG56" s="238"/>
      <c r="AH56" s="229">
        <f t="shared" ref="AH56" si="136">IF(ISBLANK(H56), 1, IFERROR(MATCH(H56, INDEX(Use,,1), 0), IFERROR(MATCH(H56, INDEX(Use,,2), 0), MATCH(H56, INDEX(Use,,3), 0))))</f>
        <v>1</v>
      </c>
      <c r="AI56" s="229">
        <f t="shared" ref="AI56" si="137">IF(ISBLANK(G56), 1, IFERROR(MATCH(G56, INDEX(Loc,,1), 0), IFERROR(MATCH(G56, INDEX(Loc,,2), 0), MATCH(G56, INDEX(Loc,,3), 0))))</f>
        <v>1</v>
      </c>
      <c r="AJ56" s="229">
        <f t="shared" ref="AJ56" si="138">_xlfn.IFNA(IF(IFERROR(MATCH(I56, INDEX(Medium,,1), 0), IFERROR(MATCH(I56, INDEX(Medium,,2), 0), MATCH(I56, INDEX(Medium,,3), 0))) = 2, 1, 0), 0)</f>
        <v>0</v>
      </c>
      <c r="AK56" s="229">
        <v>0</v>
      </c>
      <c r="AL56" s="229">
        <v>0</v>
      </c>
      <c r="AM56" s="229">
        <v>1</v>
      </c>
      <c r="AN56" s="229">
        <v>0</v>
      </c>
      <c r="AO56" s="229">
        <f t="shared" si="5"/>
        <v>-100</v>
      </c>
      <c r="AP56" s="238"/>
      <c r="AQ56" s="229">
        <v>14</v>
      </c>
      <c r="AR56" s="232">
        <v>385</v>
      </c>
      <c r="AS56" s="232">
        <v>344</v>
      </c>
      <c r="AT56" s="232">
        <v>378</v>
      </c>
      <c r="AU56" s="233">
        <f t="shared" si="6"/>
        <v>0</v>
      </c>
      <c r="AV56" s="233">
        <f t="shared" si="6"/>
        <v>0</v>
      </c>
      <c r="AW56" s="233" cm="1">
        <f t="array" ref="AW56">MIN(INDEX(Use,AW$21,5) + MAX(0, (1-INDEX(Use,AW$21,5))*($AQ56-5)/(35-5)), 1)</f>
        <v>0.58000000000000007</v>
      </c>
      <c r="AX56" s="233" cm="1">
        <f t="array" ref="AX56">MIN(INDEX(Use,AX$21,5) + MAX(0, (1-INDEX(Use,AX$21,5))*($AQ56-5)/(35-5)), 1)</f>
        <v>0.72</v>
      </c>
      <c r="AY56" s="233" cm="1">
        <f t="array" ref="AY56">MIN(INDEX(Use,AY$21,5) + MAX(0, (1-INDEX(Use,AY$21,5))*($AQ56-5)/(35-5)), 1)</f>
        <v>0.86</v>
      </c>
      <c r="AZ56" s="233" cm="1">
        <f t="array" ref="AZ56">MIN(INDEX(Use,AZ$21,5) + MAX(0, (1-INDEX(Use,AZ$21,5))*($AQ56-5)/(35-5)), 1)</f>
        <v>0.86</v>
      </c>
      <c r="BA56" s="233" cm="1">
        <f t="array" ref="BA56">MIN(INDEX(Use,BA$21,5) + MAX(0, (1-INDEX(Use,BA$21,5))*($AQ56-5)/(35-5)), 1)</f>
        <v>0.86</v>
      </c>
      <c r="BB56" s="233">
        <v>1</v>
      </c>
      <c r="BC56" s="233">
        <v>0.1</v>
      </c>
      <c r="BD56" s="211"/>
      <c r="BE56" s="229" cm="1">
        <f t="array" ref="BE56">IF(ISBLANK(R56), INDEX(Use, $AH56, 4) - AM56*INDEX(Use, $AH56, 6), R56)</f>
        <v>5</v>
      </c>
      <c r="BF56" s="229">
        <f t="shared" si="12"/>
        <v>30</v>
      </c>
      <c r="BG56" s="229">
        <f t="shared" si="13"/>
        <v>13</v>
      </c>
      <c r="BH56" s="229">
        <f t="shared" si="14"/>
        <v>0</v>
      </c>
      <c r="BI56" s="234" cm="1">
        <f t="array" ref="BI56">K56/IF($L56&gt;0, INDEX($AU$23:$BA$77, $L56+20, $AH56), 1)</f>
        <v>0</v>
      </c>
      <c r="BJ56" s="230">
        <f t="shared" si="15"/>
        <v>0</v>
      </c>
      <c r="BK56" s="229">
        <v>35</v>
      </c>
      <c r="BL56" s="230">
        <f t="shared" si="16"/>
        <v>48</v>
      </c>
      <c r="BM56" s="235">
        <f t="shared" si="17"/>
        <v>2.9108720930232557</v>
      </c>
      <c r="BN56" s="235" cm="1">
        <f t="array" ref="BN56">$BI56 * SUMPRODUCT(INDEX($AR$77:$AT$82,,$AI56),INDEX($AU$77:$BA$82,,$AH56), N($AQ$77:$AQ$82&gt;$AO56)) / BM56 / 1000</f>
        <v>0</v>
      </c>
      <c r="BO56" s="232">
        <f t="shared" si="18"/>
        <v>30</v>
      </c>
      <c r="BP56" s="230">
        <f t="shared" si="19"/>
        <v>43</v>
      </c>
      <c r="BQ56" s="235">
        <f t="shared" si="20"/>
        <v>3.2938815789473681</v>
      </c>
      <c r="BR56" s="235" cm="1">
        <f t="array" ref="BR56">$BI56 * IF($AH56&lt;=2,
SUMPRODUCT(INDEX($AR$72:$AT$76,,$AI56), INDEX($AU$72:$BA$76,,$AH56), 1 / ($BB$72:$BB$76*BQ56 + (1-$BB$72:$BB$76)*BM56), N($AQ$72:$AQ$76&gt;$AO56)),
SUMPRODUCT(INDEX($AR$67:$AT$76,,$AI56), INDEX($AU$67:$BA$76,,$AH56), 1 / ($BC$67:$BC$76*BQ56 + (1-$BC$67:$BC$76)*BM56), N($AQ$67:$AQ$76&gt;$AO56))
) / 1000</f>
        <v>0</v>
      </c>
      <c r="BS56" s="232">
        <f t="shared" si="21"/>
        <v>25</v>
      </c>
      <c r="BT56" s="230">
        <f t="shared" si="22"/>
        <v>38</v>
      </c>
      <c r="BU56" s="235">
        <f t="shared" si="23"/>
        <v>3.792954545454545</v>
      </c>
      <c r="BV56" s="235" cm="1">
        <f t="array" ref="BV56">$BI56 * IF($AH56&lt;=2,
SUMPRODUCT(INDEX($AR$67:$AT$71,,$AI56), INDEX($AU$67:$BA$71,,$AH56), 1 / ($BB$67:$BB$71*BU56 + (1-$BB$67:$BB$71)*BQ56), N($AQ$67:$AQ$71&gt;$AO56)),
SUMPRODUCT(INDEX($AR$57:$AT$66,,$AI56), INDEX($AU$57:$BA$66,,$AH56), 1 / ($BC$57:$BC$66*BU56 + (1-$BC$57:$BC$66)*BQ56), N($AQ$57:$AQ$66&gt;$AO56))
) / 1000</f>
        <v>0</v>
      </c>
      <c r="BW56" s="232">
        <f t="shared" si="24"/>
        <v>20</v>
      </c>
      <c r="BX56" s="230">
        <f t="shared" si="25"/>
        <v>33</v>
      </c>
      <c r="BY56" s="235">
        <f t="shared" si="26"/>
        <v>4.4702678571428569</v>
      </c>
      <c r="BZ56" s="235" cm="1">
        <f t="array" ref="BZ56">$BI56 * IF($AH56&lt;=2,
SUMPRODUCT(INDEX($AR$62:$AT$66,,$AI56), INDEX($AU$62:$BA$66,,$AH56), 1 / ($BB$62:$BB$66*BY56 + (1-$BB$62:$BB$66)*BU56), N($AQ$62:$AQ$66&gt;$AO56)),
SUMPRODUCT(INDEX($AR$47:$AT$56,,$AI56), INDEX($AU$47:$BA$56,,$AH56), 1 / ($BC$47:$BC$56*BY56 + (1-$BC$47:$BC$56)*BU56), N($AQ$47:$AQ$56&gt;$AO56))
) / 1000</f>
        <v>0</v>
      </c>
      <c r="CA56" s="235" cm="1">
        <f t="array" ref="CA56">$BI56 * IF($AH56&lt;=2,
SUMPRODUCT(INDEX($AR$23:$AT$61,,$AI56), INDEX($AU$23:$BA$61,,$AH56), 1 / ($BB$23:$BB$61*BY56), N($AQ$23:$AQ$61&gt;$AO56)),
SUMPRODUCT(INDEX($AR$23:$AT$46,,$AI56), INDEX($AU$23:$BA$46,,$AH56), 1 / ($BC$23:$BC$46*BY56), N($AQ$23:$AQ$46&gt;$AO56))
) / 1000</f>
        <v>0</v>
      </c>
      <c r="CB56" s="230">
        <f t="shared" si="27"/>
        <v>0</v>
      </c>
      <c r="CC56" s="238"/>
      <c r="CD56" s="229" cm="1">
        <f t="array" ref="CD56">IF(ISBLANK(Y56), INDEX(Use, $AH56, 4) - AN56*INDEX(Use, $AH56, 6) - (Q56-X56), Y56)</f>
        <v>7</v>
      </c>
      <c r="CE56" s="229">
        <f t="shared" si="28"/>
        <v>32</v>
      </c>
      <c r="CF56" s="230">
        <f t="shared" si="29"/>
        <v>0</v>
      </c>
      <c r="CG56" s="229">
        <v>35</v>
      </c>
      <c r="CH56" s="230">
        <f t="shared" si="30"/>
        <v>48</v>
      </c>
      <c r="CI56" s="235">
        <f t="shared" si="31"/>
        <v>3.0748170731707316</v>
      </c>
      <c r="CJ56" s="235" cm="1">
        <f t="array" ref="CJ56">$BI56 * SUMPRODUCT(INDEX($AR$77:$AT$82,,$AI56),INDEX($AU$77:$BA$82,,$AH56), N($AQ$77:$AQ$82&gt;$AO56)) / CI56 / 1000</f>
        <v>0</v>
      </c>
      <c r="CK56" s="232">
        <f t="shared" si="32"/>
        <v>30</v>
      </c>
      <c r="CL56" s="230">
        <f t="shared" si="33"/>
        <v>43</v>
      </c>
      <c r="CM56" s="235">
        <f t="shared" si="34"/>
        <v>3.5018750000000001</v>
      </c>
      <c r="CN56" s="235" cm="1">
        <f t="array" ref="CN56">$BI56 * IF($AH56&lt;=2,
SUMPRODUCT(INDEX($AR$72:$AT$76,,$AI56), INDEX($AU$72:$BA$76,,$AH56), 1 / ($BB$72:$BB$76*CM56 + (1-$BB$72:$BB$76)*CI56), N($AQ$72:$AQ$76&gt;$AO56)),
SUMPRODUCT(INDEX($AR$67:$AT$76,,$AI56), INDEX($AU$67:$BA$76,,$AH56), 1 / ($BC$67:$BC$76*CM56 + (1-$BC$67:$BC$76)*CI56), N($AQ$67:$AQ$76&gt;$AO56))
) / 1000</f>
        <v>0</v>
      </c>
      <c r="CO56" s="232">
        <f t="shared" si="35"/>
        <v>25</v>
      </c>
      <c r="CP56" s="230">
        <f t="shared" si="36"/>
        <v>38</v>
      </c>
      <c r="CQ56" s="235">
        <f t="shared" si="37"/>
        <v>4.0666935483870965</v>
      </c>
      <c r="CR56" s="235" cm="1">
        <f t="array" ref="CR56">$BI56 * IF($AH56&lt;=2,
SUMPRODUCT(INDEX($AR$67:$AT$71,,$AI56), INDEX($AU$67:$BA$71,,$AH56), 1 / ($BB$67:$BB$71*CQ56 + (1-$BB$67:$BB$71)*CM56), N($AQ$67:$AQ$71&gt;$AO56)),
SUMPRODUCT(INDEX($AR$57:$AT$66,,$AI56), INDEX($AU$57:$BA$66,,$AH56), 1 / ($BC$57:$BC$66*CQ56 + (1-$BC$57:$BC$66)*CM56), N($AQ$57:$AQ$66&gt;$AO56))
) / 1000</f>
        <v>0</v>
      </c>
      <c r="CS56" s="232">
        <f t="shared" si="38"/>
        <v>20</v>
      </c>
      <c r="CT56" s="230">
        <f t="shared" si="39"/>
        <v>33</v>
      </c>
      <c r="CU56" s="235">
        <f t="shared" si="40"/>
        <v>4.8487499999999999</v>
      </c>
      <c r="CV56" s="235" cm="1">
        <f t="array" ref="CV56">$BI56 * IF($AH56&lt;=2,
SUMPRODUCT(INDEX($AR$62:$AT$66,,$AI56), INDEX($AU$62:$BA$66,,$AH56), 1 / ($BB$62:$BB$66*CU56 + (1-$BB$62:$BB$66)*CQ56), N($AQ$62:$AQ$66&gt;$AO56)),
SUMPRODUCT(INDEX($AR$47:$AT$56,,$AI56), INDEX($AU$47:$BA$56,,$AH56), 1 / ($BC$47:$BC$56*CU56 + (1-$BC$47:$BC$56)*CQ56), N($AQ$47:$AQ$56&gt;$AO56))
) / 1000</f>
        <v>0</v>
      </c>
      <c r="CW56" s="235" cm="1">
        <f t="array" ref="CW56">$BI56 * IF($AH56&lt;=2,
SUMPRODUCT(INDEX($AR$23:$AT$61,,$AI56), INDEX($AU$23:$BA$61,,$AH56), 1 / ($BB$23:$BB$61*CU56), N($AQ$23:$AQ$61&gt;$AO56)),
SUMPRODUCT(INDEX($AR$23:$AT$46,,$AI56), INDEX($AU$23:$BA$46,,$AH56), 1 / ($BC$23:$BC$46*CU56), N($AQ$23:$AQ$46&gt;$AO56))
) / 1000</f>
        <v>0</v>
      </c>
      <c r="CX56" s="230">
        <f t="shared" si="41"/>
        <v>0</v>
      </c>
      <c r="CY56" s="238"/>
    </row>
    <row r="57" spans="1:103" s="76" customFormat="1" ht="14.25" customHeight="1" x14ac:dyDescent="0.25">
      <c r="A57" s="231" t="b">
        <f t="shared" si="0"/>
        <v>0</v>
      </c>
      <c r="B57" s="245">
        <v>35</v>
      </c>
      <c r="C57" s="258"/>
      <c r="D57" s="258"/>
      <c r="E57" s="246"/>
      <c r="F57" s="247" t="str">
        <f>IF(ISBLANK(E57), "", VLOOKUP(E57, Z!$A$2:$C$4127, 3, FALSE))</f>
        <v/>
      </c>
      <c r="G57" s="248"/>
      <c r="H57" s="248"/>
      <c r="I57" s="249"/>
      <c r="J57" s="250"/>
      <c r="K57" s="259"/>
      <c r="L57" s="260"/>
      <c r="M57" s="252" t="str" cm="1">
        <f t="array" ref="M57">INDEX(Trad, 53, $A$20)</f>
        <v>Verschmutzt</v>
      </c>
      <c r="N57" s="253"/>
      <c r="O57" s="253"/>
      <c r="P57" s="254"/>
      <c r="Q57" s="251"/>
      <c r="R57" s="251"/>
      <c r="S57" s="264">
        <f t="shared" si="7"/>
        <v>0</v>
      </c>
      <c r="T57" s="252" t="str" cm="1">
        <f t="array" ref="T57">INDEX(Trad, 52, $A$20)</f>
        <v>Sauber</v>
      </c>
      <c r="U57" s="253"/>
      <c r="V57" s="253"/>
      <c r="W57" s="254"/>
      <c r="X57" s="251"/>
      <c r="Y57" s="251"/>
      <c r="Z57" s="264">
        <f t="shared" si="8"/>
        <v>0</v>
      </c>
      <c r="AA57" s="261"/>
      <c r="AB57" s="258"/>
      <c r="AC57" s="246"/>
      <c r="AD57" s="247" t="str">
        <f>IF(ISBLANK(AC57), "", VLOOKUP(AC57, Z!$A$2:$C$4127, 3, FALSE))</f>
        <v/>
      </c>
      <c r="AE57" s="262"/>
      <c r="AF57" s="263">
        <f t="shared" si="132"/>
        <v>0</v>
      </c>
      <c r="AG57" s="238"/>
      <c r="AH57" s="229">
        <f t="shared" ref="AH57" si="139">IF(ISBLANK(H57), 1, IFERROR(MATCH(H57, INDEX(Use,,1), 0), IFERROR(MATCH(H57, INDEX(Use,,2), 0), MATCH(H57, INDEX(Use,,3), 0))))</f>
        <v>1</v>
      </c>
      <c r="AI57" s="229">
        <f t="shared" ref="AI57" si="140">IF(ISBLANK(G57), 1, IFERROR(MATCH(G57, INDEX(Loc,,1), 0), IFERROR(MATCH(G57, INDEX(Loc,,2), 0), MATCH(G57, INDEX(Loc,,3), 0))))</f>
        <v>1</v>
      </c>
      <c r="AJ57" s="229">
        <f t="shared" ref="AJ57" si="141">_xlfn.IFNA(IF(IFERROR(MATCH(I57, INDEX(Medium,,1), 0), IFERROR(MATCH(I57, INDEX(Medium,,2), 0), MATCH(I57, INDEX(Medium,,3), 0))) = 2, 1, 0), 0)</f>
        <v>0</v>
      </c>
      <c r="AK57" s="229">
        <v>0</v>
      </c>
      <c r="AL57" s="229">
        <v>0</v>
      </c>
      <c r="AM57" s="229">
        <v>1</v>
      </c>
      <c r="AN57" s="229">
        <v>0</v>
      </c>
      <c r="AO57" s="229">
        <f t="shared" si="5"/>
        <v>-100</v>
      </c>
      <c r="AP57" s="238"/>
      <c r="AQ57" s="229">
        <v>15</v>
      </c>
      <c r="AR57" s="232">
        <v>404</v>
      </c>
      <c r="AS57" s="232">
        <v>375</v>
      </c>
      <c r="AT57" s="232">
        <v>330</v>
      </c>
      <c r="AU57" s="233">
        <f t="shared" si="6"/>
        <v>0</v>
      </c>
      <c r="AV57" s="233">
        <f t="shared" si="6"/>
        <v>0</v>
      </c>
      <c r="AW57" s="233" cm="1">
        <f t="array" ref="AW57">MIN(INDEX(Use,AW$21,5) + MAX(0, (1-INDEX(Use,AW$21,5))*($AQ57-5)/(35-5)), 1)</f>
        <v>0.60000000000000009</v>
      </c>
      <c r="AX57" s="233" cm="1">
        <f t="array" ref="AX57">MIN(INDEX(Use,AX$21,5) + MAX(0, (1-INDEX(Use,AX$21,5))*($AQ57-5)/(35-5)), 1)</f>
        <v>0.73333333333333328</v>
      </c>
      <c r="AY57" s="233" cm="1">
        <f t="array" ref="AY57">MIN(INDEX(Use,AY$21,5) + MAX(0, (1-INDEX(Use,AY$21,5))*($AQ57-5)/(35-5)), 1)</f>
        <v>0.8666666666666667</v>
      </c>
      <c r="AZ57" s="233" cm="1">
        <f t="array" ref="AZ57">MIN(INDEX(Use,AZ$21,5) + MAX(0, (1-INDEX(Use,AZ$21,5))*($AQ57-5)/(35-5)), 1)</f>
        <v>0.8666666666666667</v>
      </c>
      <c r="BA57" s="233" cm="1">
        <f t="array" ref="BA57">MIN(INDEX(Use,BA$21,5) + MAX(0, (1-INDEX(Use,BA$21,5))*($AQ57-5)/(35-5)), 1)</f>
        <v>0.8666666666666667</v>
      </c>
      <c r="BB57" s="233">
        <v>1</v>
      </c>
      <c r="BC57" s="233">
        <v>1</v>
      </c>
      <c r="BD57" s="211"/>
      <c r="BE57" s="229" cm="1">
        <f t="array" ref="BE57">IF(ISBLANK(R57), INDEX(Use, $AH57, 4) - AM57*INDEX(Use, $AH57, 6), R57)</f>
        <v>5</v>
      </c>
      <c r="BF57" s="229">
        <f t="shared" si="12"/>
        <v>30</v>
      </c>
      <c r="BG57" s="229">
        <f t="shared" si="13"/>
        <v>13</v>
      </c>
      <c r="BH57" s="229">
        <f t="shared" si="14"/>
        <v>0</v>
      </c>
      <c r="BI57" s="234" cm="1">
        <f t="array" ref="BI57">K57/IF($L57&gt;0, INDEX($AU$23:$BA$77, $L57+20, $AH57), 1)</f>
        <v>0</v>
      </c>
      <c r="BJ57" s="230">
        <f t="shared" si="15"/>
        <v>0</v>
      </c>
      <c r="BK57" s="229">
        <v>35</v>
      </c>
      <c r="BL57" s="230">
        <f t="shared" si="16"/>
        <v>48</v>
      </c>
      <c r="BM57" s="235">
        <f t="shared" si="17"/>
        <v>2.9108720930232557</v>
      </c>
      <c r="BN57" s="235" cm="1">
        <f t="array" ref="BN57">$BI57 * SUMPRODUCT(INDEX($AR$77:$AT$82,,$AI57),INDEX($AU$77:$BA$82,,$AH57), N($AQ$77:$AQ$82&gt;$AO57)) / BM57 / 1000</f>
        <v>0</v>
      </c>
      <c r="BO57" s="232">
        <f t="shared" si="18"/>
        <v>30</v>
      </c>
      <c r="BP57" s="230">
        <f t="shared" si="19"/>
        <v>43</v>
      </c>
      <c r="BQ57" s="235">
        <f t="shared" si="20"/>
        <v>3.2938815789473681</v>
      </c>
      <c r="BR57" s="235" cm="1">
        <f t="array" ref="BR57">$BI57 * IF($AH57&lt;=2,
SUMPRODUCT(INDEX($AR$72:$AT$76,,$AI57), INDEX($AU$72:$BA$76,,$AH57), 1 / ($BB$72:$BB$76*BQ57 + (1-$BB$72:$BB$76)*BM57), N($AQ$72:$AQ$76&gt;$AO57)),
SUMPRODUCT(INDEX($AR$67:$AT$76,,$AI57), INDEX($AU$67:$BA$76,,$AH57), 1 / ($BC$67:$BC$76*BQ57 + (1-$BC$67:$BC$76)*BM57), N($AQ$67:$AQ$76&gt;$AO57))
) / 1000</f>
        <v>0</v>
      </c>
      <c r="BS57" s="232">
        <f t="shared" si="21"/>
        <v>25</v>
      </c>
      <c r="BT57" s="230">
        <f t="shared" si="22"/>
        <v>38</v>
      </c>
      <c r="BU57" s="235">
        <f t="shared" si="23"/>
        <v>3.792954545454545</v>
      </c>
      <c r="BV57" s="235" cm="1">
        <f t="array" ref="BV57">$BI57 * IF($AH57&lt;=2,
SUMPRODUCT(INDEX($AR$67:$AT$71,,$AI57), INDEX($AU$67:$BA$71,,$AH57), 1 / ($BB$67:$BB$71*BU57 + (1-$BB$67:$BB$71)*BQ57), N($AQ$67:$AQ$71&gt;$AO57)),
SUMPRODUCT(INDEX($AR$57:$AT$66,,$AI57), INDEX($AU$57:$BA$66,,$AH57), 1 / ($BC$57:$BC$66*BU57 + (1-$BC$57:$BC$66)*BQ57), N($AQ$57:$AQ$66&gt;$AO57))
) / 1000</f>
        <v>0</v>
      </c>
      <c r="BW57" s="232">
        <f t="shared" si="24"/>
        <v>20</v>
      </c>
      <c r="BX57" s="230">
        <f t="shared" si="25"/>
        <v>33</v>
      </c>
      <c r="BY57" s="235">
        <f t="shared" si="26"/>
        <v>4.4702678571428569</v>
      </c>
      <c r="BZ57" s="235" cm="1">
        <f t="array" ref="BZ57">$BI57 * IF($AH57&lt;=2,
SUMPRODUCT(INDEX($AR$62:$AT$66,,$AI57), INDEX($AU$62:$BA$66,,$AH57), 1 / ($BB$62:$BB$66*BY57 + (1-$BB$62:$BB$66)*BU57), N($AQ$62:$AQ$66&gt;$AO57)),
SUMPRODUCT(INDEX($AR$47:$AT$56,,$AI57), INDEX($AU$47:$BA$56,,$AH57), 1 / ($BC$47:$BC$56*BY57 + (1-$BC$47:$BC$56)*BU57), N($AQ$47:$AQ$56&gt;$AO57))
) / 1000</f>
        <v>0</v>
      </c>
      <c r="CA57" s="235" cm="1">
        <f t="array" ref="CA57">$BI57 * IF($AH57&lt;=2,
SUMPRODUCT(INDEX($AR$23:$AT$61,,$AI57), INDEX($AU$23:$BA$61,,$AH57), 1 / ($BB$23:$BB$61*BY57), N($AQ$23:$AQ$61&gt;$AO57)),
SUMPRODUCT(INDEX($AR$23:$AT$46,,$AI57), INDEX($AU$23:$BA$46,,$AH57), 1 / ($BC$23:$BC$46*BY57), N($AQ$23:$AQ$46&gt;$AO57))
) / 1000</f>
        <v>0</v>
      </c>
      <c r="CB57" s="230">
        <f t="shared" si="27"/>
        <v>0</v>
      </c>
      <c r="CC57" s="238"/>
      <c r="CD57" s="229" cm="1">
        <f t="array" ref="CD57">IF(ISBLANK(Y57), INDEX(Use, $AH57, 4) - AN57*INDEX(Use, $AH57, 6) - (Q57-X57), Y57)</f>
        <v>7</v>
      </c>
      <c r="CE57" s="229">
        <f t="shared" si="28"/>
        <v>32</v>
      </c>
      <c r="CF57" s="230">
        <f t="shared" si="29"/>
        <v>0</v>
      </c>
      <c r="CG57" s="229">
        <v>35</v>
      </c>
      <c r="CH57" s="230">
        <f t="shared" si="30"/>
        <v>48</v>
      </c>
      <c r="CI57" s="235">
        <f t="shared" si="31"/>
        <v>3.0748170731707316</v>
      </c>
      <c r="CJ57" s="235" cm="1">
        <f t="array" ref="CJ57">$BI57 * SUMPRODUCT(INDEX($AR$77:$AT$82,,$AI57),INDEX($AU$77:$BA$82,,$AH57), N($AQ$77:$AQ$82&gt;$AO57)) / CI57 / 1000</f>
        <v>0</v>
      </c>
      <c r="CK57" s="232">
        <f t="shared" si="32"/>
        <v>30</v>
      </c>
      <c r="CL57" s="230">
        <f t="shared" si="33"/>
        <v>43</v>
      </c>
      <c r="CM57" s="235">
        <f t="shared" si="34"/>
        <v>3.5018750000000001</v>
      </c>
      <c r="CN57" s="235" cm="1">
        <f t="array" ref="CN57">$BI57 * IF($AH57&lt;=2,
SUMPRODUCT(INDEX($AR$72:$AT$76,,$AI57), INDEX($AU$72:$BA$76,,$AH57), 1 / ($BB$72:$BB$76*CM57 + (1-$BB$72:$BB$76)*CI57), N($AQ$72:$AQ$76&gt;$AO57)),
SUMPRODUCT(INDEX($AR$67:$AT$76,,$AI57), INDEX($AU$67:$BA$76,,$AH57), 1 / ($BC$67:$BC$76*CM57 + (1-$BC$67:$BC$76)*CI57), N($AQ$67:$AQ$76&gt;$AO57))
) / 1000</f>
        <v>0</v>
      </c>
      <c r="CO57" s="232">
        <f t="shared" si="35"/>
        <v>25</v>
      </c>
      <c r="CP57" s="230">
        <f t="shared" si="36"/>
        <v>38</v>
      </c>
      <c r="CQ57" s="235">
        <f t="shared" si="37"/>
        <v>4.0666935483870965</v>
      </c>
      <c r="CR57" s="235" cm="1">
        <f t="array" ref="CR57">$BI57 * IF($AH57&lt;=2,
SUMPRODUCT(INDEX($AR$67:$AT$71,,$AI57), INDEX($AU$67:$BA$71,,$AH57), 1 / ($BB$67:$BB$71*CQ57 + (1-$BB$67:$BB$71)*CM57), N($AQ$67:$AQ$71&gt;$AO57)),
SUMPRODUCT(INDEX($AR$57:$AT$66,,$AI57), INDEX($AU$57:$BA$66,,$AH57), 1 / ($BC$57:$BC$66*CQ57 + (1-$BC$57:$BC$66)*CM57), N($AQ$57:$AQ$66&gt;$AO57))
) / 1000</f>
        <v>0</v>
      </c>
      <c r="CS57" s="232">
        <f t="shared" si="38"/>
        <v>20</v>
      </c>
      <c r="CT57" s="230">
        <f t="shared" si="39"/>
        <v>33</v>
      </c>
      <c r="CU57" s="235">
        <f t="shared" si="40"/>
        <v>4.8487499999999999</v>
      </c>
      <c r="CV57" s="235" cm="1">
        <f t="array" ref="CV57">$BI57 * IF($AH57&lt;=2,
SUMPRODUCT(INDEX($AR$62:$AT$66,,$AI57), INDEX($AU$62:$BA$66,,$AH57), 1 / ($BB$62:$BB$66*CU57 + (1-$BB$62:$BB$66)*CQ57), N($AQ$62:$AQ$66&gt;$AO57)),
SUMPRODUCT(INDEX($AR$47:$AT$56,,$AI57), INDEX($AU$47:$BA$56,,$AH57), 1 / ($BC$47:$BC$56*CU57 + (1-$BC$47:$BC$56)*CQ57), N($AQ$47:$AQ$56&gt;$AO57))
) / 1000</f>
        <v>0</v>
      </c>
      <c r="CW57" s="235" cm="1">
        <f t="array" ref="CW57">$BI57 * IF($AH57&lt;=2,
SUMPRODUCT(INDEX($AR$23:$AT$61,,$AI57), INDEX($AU$23:$BA$61,,$AH57), 1 / ($BB$23:$BB$61*CU57), N($AQ$23:$AQ$61&gt;$AO57)),
SUMPRODUCT(INDEX($AR$23:$AT$46,,$AI57), INDEX($AU$23:$BA$46,,$AH57), 1 / ($BC$23:$BC$46*CU57), N($AQ$23:$AQ$46&gt;$AO57))
) / 1000</f>
        <v>0</v>
      </c>
      <c r="CX57" s="230">
        <f t="shared" si="41"/>
        <v>0</v>
      </c>
      <c r="CY57" s="238"/>
    </row>
    <row r="58" spans="1:103" s="76" customFormat="1" ht="14.25" customHeight="1" x14ac:dyDescent="0.25">
      <c r="A58" s="231" t="b">
        <f t="shared" si="0"/>
        <v>0</v>
      </c>
      <c r="B58" s="245">
        <v>36</v>
      </c>
      <c r="C58" s="258"/>
      <c r="D58" s="258"/>
      <c r="E58" s="246"/>
      <c r="F58" s="247" t="str">
        <f>IF(ISBLANK(E58), "", VLOOKUP(E58, Z!$A$2:$C$4127, 3, FALSE))</f>
        <v/>
      </c>
      <c r="G58" s="248"/>
      <c r="H58" s="248"/>
      <c r="I58" s="249"/>
      <c r="J58" s="250"/>
      <c r="K58" s="259"/>
      <c r="L58" s="260"/>
      <c r="M58" s="252" t="str" cm="1">
        <f t="array" ref="M58">INDEX(Trad, 53, $A$20)</f>
        <v>Verschmutzt</v>
      </c>
      <c r="N58" s="253"/>
      <c r="O58" s="253"/>
      <c r="P58" s="254"/>
      <c r="Q58" s="251"/>
      <c r="R58" s="251"/>
      <c r="S58" s="264">
        <f t="shared" si="7"/>
        <v>0</v>
      </c>
      <c r="T58" s="252" t="str" cm="1">
        <f t="array" ref="T58">INDEX(Trad, 52, $A$20)</f>
        <v>Sauber</v>
      </c>
      <c r="U58" s="253"/>
      <c r="V58" s="253"/>
      <c r="W58" s="254"/>
      <c r="X58" s="251"/>
      <c r="Y58" s="251"/>
      <c r="Z58" s="264">
        <f t="shared" si="8"/>
        <v>0</v>
      </c>
      <c r="AA58" s="261"/>
      <c r="AB58" s="258"/>
      <c r="AC58" s="246"/>
      <c r="AD58" s="247" t="str">
        <f>IF(ISBLANK(AC58), "", VLOOKUP(AC58, Z!$A$2:$C$4127, 3, FALSE))</f>
        <v/>
      </c>
      <c r="AE58" s="262"/>
      <c r="AF58" s="263">
        <f t="shared" si="132"/>
        <v>0</v>
      </c>
      <c r="AG58" s="238"/>
      <c r="AH58" s="229">
        <f t="shared" ref="AH58" si="142">IF(ISBLANK(H58), 1, IFERROR(MATCH(H58, INDEX(Use,,1), 0), IFERROR(MATCH(H58, INDEX(Use,,2), 0), MATCH(H58, INDEX(Use,,3), 0))))</f>
        <v>1</v>
      </c>
      <c r="AI58" s="229">
        <f t="shared" ref="AI58" si="143">IF(ISBLANK(G58), 1, IFERROR(MATCH(G58, INDEX(Loc,,1), 0), IFERROR(MATCH(G58, INDEX(Loc,,2), 0), MATCH(G58, INDEX(Loc,,3), 0))))</f>
        <v>1</v>
      </c>
      <c r="AJ58" s="229">
        <f t="shared" ref="AJ58" si="144">_xlfn.IFNA(IF(IFERROR(MATCH(I58, INDEX(Medium,,1), 0), IFERROR(MATCH(I58, INDEX(Medium,,2), 0), MATCH(I58, INDEX(Medium,,3), 0))) = 2, 1, 0), 0)</f>
        <v>0</v>
      </c>
      <c r="AK58" s="229">
        <v>0</v>
      </c>
      <c r="AL58" s="229">
        <v>0</v>
      </c>
      <c r="AM58" s="229">
        <v>1</v>
      </c>
      <c r="AN58" s="229">
        <v>0</v>
      </c>
      <c r="AO58" s="229">
        <f t="shared" si="5"/>
        <v>-100</v>
      </c>
      <c r="AP58" s="238"/>
      <c r="AQ58" s="229">
        <v>16</v>
      </c>
      <c r="AR58" s="232">
        <v>395</v>
      </c>
      <c r="AS58" s="232">
        <v>374</v>
      </c>
      <c r="AT58" s="232">
        <v>390</v>
      </c>
      <c r="AU58" s="233">
        <f t="shared" si="6"/>
        <v>0</v>
      </c>
      <c r="AV58" s="233">
        <f t="shared" si="6"/>
        <v>0</v>
      </c>
      <c r="AW58" s="233" cm="1">
        <f t="array" ref="AW58">MIN(INDEX(Use,AW$21,5) + MAX(0, (1-INDEX(Use,AW$21,5))*($AQ58-5)/(35-5)), 1)</f>
        <v>0.62</v>
      </c>
      <c r="AX58" s="233" cm="1">
        <f t="array" ref="AX58">MIN(INDEX(Use,AX$21,5) + MAX(0, (1-INDEX(Use,AX$21,5))*($AQ58-5)/(35-5)), 1)</f>
        <v>0.74666666666666659</v>
      </c>
      <c r="AY58" s="233" cm="1">
        <f t="array" ref="AY58">MIN(INDEX(Use,AY$21,5) + MAX(0, (1-INDEX(Use,AY$21,5))*($AQ58-5)/(35-5)), 1)</f>
        <v>0.87333333333333329</v>
      </c>
      <c r="AZ58" s="233" cm="1">
        <f t="array" ref="AZ58">MIN(INDEX(Use,AZ$21,5) + MAX(0, (1-INDEX(Use,AZ$21,5))*($AQ58-5)/(35-5)), 1)</f>
        <v>0.87333333333333329</v>
      </c>
      <c r="BA58" s="233" cm="1">
        <f t="array" ref="BA58">MIN(INDEX(Use,BA$21,5) + MAX(0, (1-INDEX(Use,BA$21,5))*($AQ58-5)/(35-5)), 1)</f>
        <v>0.87333333333333329</v>
      </c>
      <c r="BB58" s="233">
        <v>1</v>
      </c>
      <c r="BC58" s="233">
        <v>0.9</v>
      </c>
      <c r="BD58" s="211"/>
      <c r="BE58" s="229" cm="1">
        <f t="array" ref="BE58">IF(ISBLANK(R58), INDEX(Use, $AH58, 4) - AM58*INDEX(Use, $AH58, 6), R58)</f>
        <v>5</v>
      </c>
      <c r="BF58" s="229">
        <f t="shared" si="12"/>
        <v>30</v>
      </c>
      <c r="BG58" s="229">
        <f t="shared" si="13"/>
        <v>13</v>
      </c>
      <c r="BH58" s="229">
        <f t="shared" si="14"/>
        <v>0</v>
      </c>
      <c r="BI58" s="234" cm="1">
        <f t="array" ref="BI58">K58/IF($L58&gt;0, INDEX($AU$23:$BA$77, $L58+20, $AH58), 1)</f>
        <v>0</v>
      </c>
      <c r="BJ58" s="230">
        <f t="shared" si="15"/>
        <v>0</v>
      </c>
      <c r="BK58" s="229">
        <v>35</v>
      </c>
      <c r="BL58" s="230">
        <f t="shared" si="16"/>
        <v>48</v>
      </c>
      <c r="BM58" s="235">
        <f t="shared" si="17"/>
        <v>2.9108720930232557</v>
      </c>
      <c r="BN58" s="235" cm="1">
        <f t="array" ref="BN58">$BI58 * SUMPRODUCT(INDEX($AR$77:$AT$82,,$AI58),INDEX($AU$77:$BA$82,,$AH58), N($AQ$77:$AQ$82&gt;$AO58)) / BM58 / 1000</f>
        <v>0</v>
      </c>
      <c r="BO58" s="232">
        <f t="shared" si="18"/>
        <v>30</v>
      </c>
      <c r="BP58" s="230">
        <f t="shared" si="19"/>
        <v>43</v>
      </c>
      <c r="BQ58" s="235">
        <f t="shared" si="20"/>
        <v>3.2938815789473681</v>
      </c>
      <c r="BR58" s="235" cm="1">
        <f t="array" ref="BR58">$BI58 * IF($AH58&lt;=2,
SUMPRODUCT(INDEX($AR$72:$AT$76,,$AI58), INDEX($AU$72:$BA$76,,$AH58), 1 / ($BB$72:$BB$76*BQ58 + (1-$BB$72:$BB$76)*BM58), N($AQ$72:$AQ$76&gt;$AO58)),
SUMPRODUCT(INDEX($AR$67:$AT$76,,$AI58), INDEX($AU$67:$BA$76,,$AH58), 1 / ($BC$67:$BC$76*BQ58 + (1-$BC$67:$BC$76)*BM58), N($AQ$67:$AQ$76&gt;$AO58))
) / 1000</f>
        <v>0</v>
      </c>
      <c r="BS58" s="232">
        <f t="shared" si="21"/>
        <v>25</v>
      </c>
      <c r="BT58" s="230">
        <f t="shared" si="22"/>
        <v>38</v>
      </c>
      <c r="BU58" s="235">
        <f t="shared" si="23"/>
        <v>3.792954545454545</v>
      </c>
      <c r="BV58" s="235" cm="1">
        <f t="array" ref="BV58">$BI58 * IF($AH58&lt;=2,
SUMPRODUCT(INDEX($AR$67:$AT$71,,$AI58), INDEX($AU$67:$BA$71,,$AH58), 1 / ($BB$67:$BB$71*BU58 + (1-$BB$67:$BB$71)*BQ58), N($AQ$67:$AQ$71&gt;$AO58)),
SUMPRODUCT(INDEX($AR$57:$AT$66,,$AI58), INDEX($AU$57:$BA$66,,$AH58), 1 / ($BC$57:$BC$66*BU58 + (1-$BC$57:$BC$66)*BQ58), N($AQ$57:$AQ$66&gt;$AO58))
) / 1000</f>
        <v>0</v>
      </c>
      <c r="BW58" s="232">
        <f t="shared" si="24"/>
        <v>20</v>
      </c>
      <c r="BX58" s="230">
        <f t="shared" si="25"/>
        <v>33</v>
      </c>
      <c r="BY58" s="235">
        <f t="shared" si="26"/>
        <v>4.4702678571428569</v>
      </c>
      <c r="BZ58" s="235" cm="1">
        <f t="array" ref="BZ58">$BI58 * IF($AH58&lt;=2,
SUMPRODUCT(INDEX($AR$62:$AT$66,,$AI58), INDEX($AU$62:$BA$66,,$AH58), 1 / ($BB$62:$BB$66*BY58 + (1-$BB$62:$BB$66)*BU58), N($AQ$62:$AQ$66&gt;$AO58)),
SUMPRODUCT(INDEX($AR$47:$AT$56,,$AI58), INDEX($AU$47:$BA$56,,$AH58), 1 / ($BC$47:$BC$56*BY58 + (1-$BC$47:$BC$56)*BU58), N($AQ$47:$AQ$56&gt;$AO58))
) / 1000</f>
        <v>0</v>
      </c>
      <c r="CA58" s="235" cm="1">
        <f t="array" ref="CA58">$BI58 * IF($AH58&lt;=2,
SUMPRODUCT(INDEX($AR$23:$AT$61,,$AI58), INDEX($AU$23:$BA$61,,$AH58), 1 / ($BB$23:$BB$61*BY58), N($AQ$23:$AQ$61&gt;$AO58)),
SUMPRODUCT(INDEX($AR$23:$AT$46,,$AI58), INDEX($AU$23:$BA$46,,$AH58), 1 / ($BC$23:$BC$46*BY58), N($AQ$23:$AQ$46&gt;$AO58))
) / 1000</f>
        <v>0</v>
      </c>
      <c r="CB58" s="230">
        <f t="shared" si="27"/>
        <v>0</v>
      </c>
      <c r="CC58" s="238"/>
      <c r="CD58" s="229" cm="1">
        <f t="array" ref="CD58">IF(ISBLANK(Y58), INDEX(Use, $AH58, 4) - AN58*INDEX(Use, $AH58, 6) - (Q58-X58), Y58)</f>
        <v>7</v>
      </c>
      <c r="CE58" s="229">
        <f t="shared" si="28"/>
        <v>32</v>
      </c>
      <c r="CF58" s="230">
        <f t="shared" si="29"/>
        <v>0</v>
      </c>
      <c r="CG58" s="229">
        <v>35</v>
      </c>
      <c r="CH58" s="230">
        <f t="shared" si="30"/>
        <v>48</v>
      </c>
      <c r="CI58" s="235">
        <f t="shared" si="31"/>
        <v>3.0748170731707316</v>
      </c>
      <c r="CJ58" s="235" cm="1">
        <f t="array" ref="CJ58">$BI58 * SUMPRODUCT(INDEX($AR$77:$AT$82,,$AI58),INDEX($AU$77:$BA$82,,$AH58), N($AQ$77:$AQ$82&gt;$AO58)) / CI58 / 1000</f>
        <v>0</v>
      </c>
      <c r="CK58" s="232">
        <f t="shared" si="32"/>
        <v>30</v>
      </c>
      <c r="CL58" s="230">
        <f t="shared" si="33"/>
        <v>43</v>
      </c>
      <c r="CM58" s="235">
        <f t="shared" si="34"/>
        <v>3.5018750000000001</v>
      </c>
      <c r="CN58" s="235" cm="1">
        <f t="array" ref="CN58">$BI58 * IF($AH58&lt;=2,
SUMPRODUCT(INDEX($AR$72:$AT$76,,$AI58), INDEX($AU$72:$BA$76,,$AH58), 1 / ($BB$72:$BB$76*CM58 + (1-$BB$72:$BB$76)*CI58), N($AQ$72:$AQ$76&gt;$AO58)),
SUMPRODUCT(INDEX($AR$67:$AT$76,,$AI58), INDEX($AU$67:$BA$76,,$AH58), 1 / ($BC$67:$BC$76*CM58 + (1-$BC$67:$BC$76)*CI58), N($AQ$67:$AQ$76&gt;$AO58))
) / 1000</f>
        <v>0</v>
      </c>
      <c r="CO58" s="232">
        <f t="shared" si="35"/>
        <v>25</v>
      </c>
      <c r="CP58" s="230">
        <f t="shared" si="36"/>
        <v>38</v>
      </c>
      <c r="CQ58" s="235">
        <f t="shared" si="37"/>
        <v>4.0666935483870965</v>
      </c>
      <c r="CR58" s="235" cm="1">
        <f t="array" ref="CR58">$BI58 * IF($AH58&lt;=2,
SUMPRODUCT(INDEX($AR$67:$AT$71,,$AI58), INDEX($AU$67:$BA$71,,$AH58), 1 / ($BB$67:$BB$71*CQ58 + (1-$BB$67:$BB$71)*CM58), N($AQ$67:$AQ$71&gt;$AO58)),
SUMPRODUCT(INDEX($AR$57:$AT$66,,$AI58), INDEX($AU$57:$BA$66,,$AH58), 1 / ($BC$57:$BC$66*CQ58 + (1-$BC$57:$BC$66)*CM58), N($AQ$57:$AQ$66&gt;$AO58))
) / 1000</f>
        <v>0</v>
      </c>
      <c r="CS58" s="232">
        <f t="shared" si="38"/>
        <v>20</v>
      </c>
      <c r="CT58" s="230">
        <f t="shared" si="39"/>
        <v>33</v>
      </c>
      <c r="CU58" s="235">
        <f t="shared" si="40"/>
        <v>4.8487499999999999</v>
      </c>
      <c r="CV58" s="235" cm="1">
        <f t="array" ref="CV58">$BI58 * IF($AH58&lt;=2,
SUMPRODUCT(INDEX($AR$62:$AT$66,,$AI58), INDEX($AU$62:$BA$66,,$AH58), 1 / ($BB$62:$BB$66*CU58 + (1-$BB$62:$BB$66)*CQ58), N($AQ$62:$AQ$66&gt;$AO58)),
SUMPRODUCT(INDEX($AR$47:$AT$56,,$AI58), INDEX($AU$47:$BA$56,,$AH58), 1 / ($BC$47:$BC$56*CU58 + (1-$BC$47:$BC$56)*CQ58), N($AQ$47:$AQ$56&gt;$AO58))
) / 1000</f>
        <v>0</v>
      </c>
      <c r="CW58" s="235" cm="1">
        <f t="array" ref="CW58">$BI58 * IF($AH58&lt;=2,
SUMPRODUCT(INDEX($AR$23:$AT$61,,$AI58), INDEX($AU$23:$BA$61,,$AH58), 1 / ($BB$23:$BB$61*CU58), N($AQ$23:$AQ$61&gt;$AO58)),
SUMPRODUCT(INDEX($AR$23:$AT$46,,$AI58), INDEX($AU$23:$BA$46,,$AH58), 1 / ($BC$23:$BC$46*CU58), N($AQ$23:$AQ$46&gt;$AO58))
) / 1000</f>
        <v>0</v>
      </c>
      <c r="CX58" s="230">
        <f t="shared" si="41"/>
        <v>0</v>
      </c>
      <c r="CY58" s="238"/>
    </row>
    <row r="59" spans="1:103" s="76" customFormat="1" ht="14.25" customHeight="1" x14ac:dyDescent="0.25">
      <c r="A59" s="231" t="b">
        <f t="shared" si="0"/>
        <v>0</v>
      </c>
      <c r="B59" s="245">
        <v>37</v>
      </c>
      <c r="C59" s="258"/>
      <c r="D59" s="258"/>
      <c r="E59" s="246"/>
      <c r="F59" s="247" t="str">
        <f>IF(ISBLANK(E59), "", VLOOKUP(E59, Z!$A$2:$C$4127, 3, FALSE))</f>
        <v/>
      </c>
      <c r="G59" s="248"/>
      <c r="H59" s="248"/>
      <c r="I59" s="249"/>
      <c r="J59" s="250"/>
      <c r="K59" s="259"/>
      <c r="L59" s="260"/>
      <c r="M59" s="252" t="str" cm="1">
        <f t="array" ref="M59">INDEX(Trad, 53, $A$20)</f>
        <v>Verschmutzt</v>
      </c>
      <c r="N59" s="253"/>
      <c r="O59" s="253"/>
      <c r="P59" s="254"/>
      <c r="Q59" s="251"/>
      <c r="R59" s="251"/>
      <c r="S59" s="264">
        <f t="shared" si="7"/>
        <v>0</v>
      </c>
      <c r="T59" s="252" t="str" cm="1">
        <f t="array" ref="T59">INDEX(Trad, 52, $A$20)</f>
        <v>Sauber</v>
      </c>
      <c r="U59" s="253"/>
      <c r="V59" s="253"/>
      <c r="W59" s="254"/>
      <c r="X59" s="251"/>
      <c r="Y59" s="251"/>
      <c r="Z59" s="264">
        <f t="shared" si="8"/>
        <v>0</v>
      </c>
      <c r="AA59" s="261"/>
      <c r="AB59" s="258"/>
      <c r="AC59" s="246"/>
      <c r="AD59" s="247" t="str">
        <f>IF(ISBLANK(AC59), "", VLOOKUP(AC59, Z!$A$2:$C$4127, 3, FALSE))</f>
        <v/>
      </c>
      <c r="AE59" s="262"/>
      <c r="AF59" s="263">
        <f t="shared" si="132"/>
        <v>0</v>
      </c>
      <c r="AG59" s="238"/>
      <c r="AH59" s="229">
        <f t="shared" ref="AH59" si="145">IF(ISBLANK(H59), 1, IFERROR(MATCH(H59, INDEX(Use,,1), 0), IFERROR(MATCH(H59, INDEX(Use,,2), 0), MATCH(H59, INDEX(Use,,3), 0))))</f>
        <v>1</v>
      </c>
      <c r="AI59" s="229">
        <f t="shared" ref="AI59" si="146">IF(ISBLANK(G59), 1, IFERROR(MATCH(G59, INDEX(Loc,,1), 0), IFERROR(MATCH(G59, INDEX(Loc,,2), 0), MATCH(G59, INDEX(Loc,,3), 0))))</f>
        <v>1</v>
      </c>
      <c r="AJ59" s="229">
        <f t="shared" ref="AJ59" si="147">_xlfn.IFNA(IF(IFERROR(MATCH(I59, INDEX(Medium,,1), 0), IFERROR(MATCH(I59, INDEX(Medium,,2), 0), MATCH(I59, INDEX(Medium,,3), 0))) = 2, 1, 0), 0)</f>
        <v>0</v>
      </c>
      <c r="AK59" s="229">
        <v>0</v>
      </c>
      <c r="AL59" s="229">
        <v>0</v>
      </c>
      <c r="AM59" s="229">
        <v>1</v>
      </c>
      <c r="AN59" s="229">
        <v>0</v>
      </c>
      <c r="AO59" s="229">
        <f t="shared" si="5"/>
        <v>-100</v>
      </c>
      <c r="AP59" s="238"/>
      <c r="AQ59" s="229">
        <v>17</v>
      </c>
      <c r="AR59" s="232">
        <v>358</v>
      </c>
      <c r="AS59" s="232">
        <v>301</v>
      </c>
      <c r="AT59" s="232">
        <v>365</v>
      </c>
      <c r="AU59" s="233">
        <f t="shared" si="6"/>
        <v>0</v>
      </c>
      <c r="AV59" s="233">
        <f t="shared" si="6"/>
        <v>0</v>
      </c>
      <c r="AW59" s="233" cm="1">
        <f t="array" ref="AW59">MIN(INDEX(Use,AW$21,5) + MAX(0, (1-INDEX(Use,AW$21,5))*($AQ59-5)/(35-5)), 1)</f>
        <v>0.64</v>
      </c>
      <c r="AX59" s="233" cm="1">
        <f t="array" ref="AX59">MIN(INDEX(Use,AX$21,5) + MAX(0, (1-INDEX(Use,AX$21,5))*($AQ59-5)/(35-5)), 1)</f>
        <v>0.76</v>
      </c>
      <c r="AY59" s="233" cm="1">
        <f t="array" ref="AY59">MIN(INDEX(Use,AY$21,5) + MAX(0, (1-INDEX(Use,AY$21,5))*($AQ59-5)/(35-5)), 1)</f>
        <v>0.88</v>
      </c>
      <c r="AZ59" s="233" cm="1">
        <f t="array" ref="AZ59">MIN(INDEX(Use,AZ$21,5) + MAX(0, (1-INDEX(Use,AZ$21,5))*($AQ59-5)/(35-5)), 1)</f>
        <v>0.88</v>
      </c>
      <c r="BA59" s="233" cm="1">
        <f t="array" ref="BA59">MIN(INDEX(Use,BA$21,5) + MAX(0, (1-INDEX(Use,BA$21,5))*($AQ59-5)/(35-5)), 1)</f>
        <v>0.88</v>
      </c>
      <c r="BB59" s="233">
        <v>1</v>
      </c>
      <c r="BC59" s="233">
        <v>0.8</v>
      </c>
      <c r="BD59" s="211"/>
      <c r="BE59" s="229" cm="1">
        <f t="array" ref="BE59">IF(ISBLANK(R59), INDEX(Use, $AH59, 4) - AM59*INDEX(Use, $AH59, 6), R59)</f>
        <v>5</v>
      </c>
      <c r="BF59" s="229">
        <f t="shared" si="12"/>
        <v>30</v>
      </c>
      <c r="BG59" s="229">
        <f t="shared" si="13"/>
        <v>13</v>
      </c>
      <c r="BH59" s="229">
        <f t="shared" si="14"/>
        <v>0</v>
      </c>
      <c r="BI59" s="234" cm="1">
        <f t="array" ref="BI59">K59/IF($L59&gt;0, INDEX($AU$23:$BA$77, $L59+20, $AH59), 1)</f>
        <v>0</v>
      </c>
      <c r="BJ59" s="230">
        <f t="shared" si="15"/>
        <v>0</v>
      </c>
      <c r="BK59" s="229">
        <v>35</v>
      </c>
      <c r="BL59" s="230">
        <f t="shared" si="16"/>
        <v>48</v>
      </c>
      <c r="BM59" s="235">
        <f t="shared" si="17"/>
        <v>2.9108720930232557</v>
      </c>
      <c r="BN59" s="235" cm="1">
        <f t="array" ref="BN59">$BI59 * SUMPRODUCT(INDEX($AR$77:$AT$82,,$AI59),INDEX($AU$77:$BA$82,,$AH59), N($AQ$77:$AQ$82&gt;$AO59)) / BM59 / 1000</f>
        <v>0</v>
      </c>
      <c r="BO59" s="232">
        <f t="shared" si="18"/>
        <v>30</v>
      </c>
      <c r="BP59" s="230">
        <f t="shared" si="19"/>
        <v>43</v>
      </c>
      <c r="BQ59" s="235">
        <f t="shared" si="20"/>
        <v>3.2938815789473681</v>
      </c>
      <c r="BR59" s="235" cm="1">
        <f t="array" ref="BR59">$BI59 * IF($AH59&lt;=2,
SUMPRODUCT(INDEX($AR$72:$AT$76,,$AI59), INDEX($AU$72:$BA$76,,$AH59), 1 / ($BB$72:$BB$76*BQ59 + (1-$BB$72:$BB$76)*BM59), N($AQ$72:$AQ$76&gt;$AO59)),
SUMPRODUCT(INDEX($AR$67:$AT$76,,$AI59), INDEX($AU$67:$BA$76,,$AH59), 1 / ($BC$67:$BC$76*BQ59 + (1-$BC$67:$BC$76)*BM59), N($AQ$67:$AQ$76&gt;$AO59))
) / 1000</f>
        <v>0</v>
      </c>
      <c r="BS59" s="232">
        <f t="shared" si="21"/>
        <v>25</v>
      </c>
      <c r="BT59" s="230">
        <f t="shared" si="22"/>
        <v>38</v>
      </c>
      <c r="BU59" s="235">
        <f t="shared" si="23"/>
        <v>3.792954545454545</v>
      </c>
      <c r="BV59" s="235" cm="1">
        <f t="array" ref="BV59">$BI59 * IF($AH59&lt;=2,
SUMPRODUCT(INDEX($AR$67:$AT$71,,$AI59), INDEX($AU$67:$BA$71,,$AH59), 1 / ($BB$67:$BB$71*BU59 + (1-$BB$67:$BB$71)*BQ59), N($AQ$67:$AQ$71&gt;$AO59)),
SUMPRODUCT(INDEX($AR$57:$AT$66,,$AI59), INDEX($AU$57:$BA$66,,$AH59), 1 / ($BC$57:$BC$66*BU59 + (1-$BC$57:$BC$66)*BQ59), N($AQ$57:$AQ$66&gt;$AO59))
) / 1000</f>
        <v>0</v>
      </c>
      <c r="BW59" s="232">
        <f t="shared" si="24"/>
        <v>20</v>
      </c>
      <c r="BX59" s="230">
        <f t="shared" si="25"/>
        <v>33</v>
      </c>
      <c r="BY59" s="235">
        <f t="shared" si="26"/>
        <v>4.4702678571428569</v>
      </c>
      <c r="BZ59" s="235" cm="1">
        <f t="array" ref="BZ59">$BI59 * IF($AH59&lt;=2,
SUMPRODUCT(INDEX($AR$62:$AT$66,,$AI59), INDEX($AU$62:$BA$66,,$AH59), 1 / ($BB$62:$BB$66*BY59 + (1-$BB$62:$BB$66)*BU59), N($AQ$62:$AQ$66&gt;$AO59)),
SUMPRODUCT(INDEX($AR$47:$AT$56,,$AI59), INDEX($AU$47:$BA$56,,$AH59), 1 / ($BC$47:$BC$56*BY59 + (1-$BC$47:$BC$56)*BU59), N($AQ$47:$AQ$56&gt;$AO59))
) / 1000</f>
        <v>0</v>
      </c>
      <c r="CA59" s="235" cm="1">
        <f t="array" ref="CA59">$BI59 * IF($AH59&lt;=2,
SUMPRODUCT(INDEX($AR$23:$AT$61,,$AI59), INDEX($AU$23:$BA$61,,$AH59), 1 / ($BB$23:$BB$61*BY59), N($AQ$23:$AQ$61&gt;$AO59)),
SUMPRODUCT(INDEX($AR$23:$AT$46,,$AI59), INDEX($AU$23:$BA$46,,$AH59), 1 / ($BC$23:$BC$46*BY59), N($AQ$23:$AQ$46&gt;$AO59))
) / 1000</f>
        <v>0</v>
      </c>
      <c r="CB59" s="230">
        <f t="shared" si="27"/>
        <v>0</v>
      </c>
      <c r="CC59" s="238"/>
      <c r="CD59" s="229" cm="1">
        <f t="array" ref="CD59">IF(ISBLANK(Y59), INDEX(Use, $AH59, 4) - AN59*INDEX(Use, $AH59, 6) - (Q59-X59), Y59)</f>
        <v>7</v>
      </c>
      <c r="CE59" s="229">
        <f t="shared" si="28"/>
        <v>32</v>
      </c>
      <c r="CF59" s="230">
        <f t="shared" si="29"/>
        <v>0</v>
      </c>
      <c r="CG59" s="229">
        <v>35</v>
      </c>
      <c r="CH59" s="230">
        <f t="shared" si="30"/>
        <v>48</v>
      </c>
      <c r="CI59" s="235">
        <f t="shared" si="31"/>
        <v>3.0748170731707316</v>
      </c>
      <c r="CJ59" s="235" cm="1">
        <f t="array" ref="CJ59">$BI59 * SUMPRODUCT(INDEX($AR$77:$AT$82,,$AI59),INDEX($AU$77:$BA$82,,$AH59), N($AQ$77:$AQ$82&gt;$AO59)) / CI59 / 1000</f>
        <v>0</v>
      </c>
      <c r="CK59" s="232">
        <f t="shared" si="32"/>
        <v>30</v>
      </c>
      <c r="CL59" s="230">
        <f t="shared" si="33"/>
        <v>43</v>
      </c>
      <c r="CM59" s="235">
        <f t="shared" si="34"/>
        <v>3.5018750000000001</v>
      </c>
      <c r="CN59" s="235" cm="1">
        <f t="array" ref="CN59">$BI59 * IF($AH59&lt;=2,
SUMPRODUCT(INDEX($AR$72:$AT$76,,$AI59), INDEX($AU$72:$BA$76,,$AH59), 1 / ($BB$72:$BB$76*CM59 + (1-$BB$72:$BB$76)*CI59), N($AQ$72:$AQ$76&gt;$AO59)),
SUMPRODUCT(INDEX($AR$67:$AT$76,,$AI59), INDEX($AU$67:$BA$76,,$AH59), 1 / ($BC$67:$BC$76*CM59 + (1-$BC$67:$BC$76)*CI59), N($AQ$67:$AQ$76&gt;$AO59))
) / 1000</f>
        <v>0</v>
      </c>
      <c r="CO59" s="232">
        <f t="shared" si="35"/>
        <v>25</v>
      </c>
      <c r="CP59" s="230">
        <f t="shared" si="36"/>
        <v>38</v>
      </c>
      <c r="CQ59" s="235">
        <f t="shared" si="37"/>
        <v>4.0666935483870965</v>
      </c>
      <c r="CR59" s="235" cm="1">
        <f t="array" ref="CR59">$BI59 * IF($AH59&lt;=2,
SUMPRODUCT(INDEX($AR$67:$AT$71,,$AI59), INDEX($AU$67:$BA$71,,$AH59), 1 / ($BB$67:$BB$71*CQ59 + (1-$BB$67:$BB$71)*CM59), N($AQ$67:$AQ$71&gt;$AO59)),
SUMPRODUCT(INDEX($AR$57:$AT$66,,$AI59), INDEX($AU$57:$BA$66,,$AH59), 1 / ($BC$57:$BC$66*CQ59 + (1-$BC$57:$BC$66)*CM59), N($AQ$57:$AQ$66&gt;$AO59))
) / 1000</f>
        <v>0</v>
      </c>
      <c r="CS59" s="232">
        <f t="shared" si="38"/>
        <v>20</v>
      </c>
      <c r="CT59" s="230">
        <f t="shared" si="39"/>
        <v>33</v>
      </c>
      <c r="CU59" s="235">
        <f t="shared" si="40"/>
        <v>4.8487499999999999</v>
      </c>
      <c r="CV59" s="235" cm="1">
        <f t="array" ref="CV59">$BI59 * IF($AH59&lt;=2,
SUMPRODUCT(INDEX($AR$62:$AT$66,,$AI59), INDEX($AU$62:$BA$66,,$AH59), 1 / ($BB$62:$BB$66*CU59 + (1-$BB$62:$BB$66)*CQ59), N($AQ$62:$AQ$66&gt;$AO59)),
SUMPRODUCT(INDEX($AR$47:$AT$56,,$AI59), INDEX($AU$47:$BA$56,,$AH59), 1 / ($BC$47:$BC$56*CU59 + (1-$BC$47:$BC$56)*CQ59), N($AQ$47:$AQ$56&gt;$AO59))
) / 1000</f>
        <v>0</v>
      </c>
      <c r="CW59" s="235" cm="1">
        <f t="array" ref="CW59">$BI59 * IF($AH59&lt;=2,
SUMPRODUCT(INDEX($AR$23:$AT$61,,$AI59), INDEX($AU$23:$BA$61,,$AH59), 1 / ($BB$23:$BB$61*CU59), N($AQ$23:$AQ$61&gt;$AO59)),
SUMPRODUCT(INDEX($AR$23:$AT$46,,$AI59), INDEX($AU$23:$BA$46,,$AH59), 1 / ($BC$23:$BC$46*CU59), N($AQ$23:$AQ$46&gt;$AO59))
) / 1000</f>
        <v>0</v>
      </c>
      <c r="CX59" s="230">
        <f t="shared" si="41"/>
        <v>0</v>
      </c>
      <c r="CY59" s="238"/>
    </row>
    <row r="60" spans="1:103" s="76" customFormat="1" ht="14.25" customHeight="1" x14ac:dyDescent="0.25">
      <c r="A60" s="231" t="b">
        <f t="shared" si="0"/>
        <v>0</v>
      </c>
      <c r="B60" s="245">
        <v>38</v>
      </c>
      <c r="C60" s="258"/>
      <c r="D60" s="258"/>
      <c r="E60" s="246"/>
      <c r="F60" s="247" t="str">
        <f>IF(ISBLANK(E60), "", VLOOKUP(E60, Z!$A$2:$C$4127, 3, FALSE))</f>
        <v/>
      </c>
      <c r="G60" s="248"/>
      <c r="H60" s="248"/>
      <c r="I60" s="249"/>
      <c r="J60" s="250"/>
      <c r="K60" s="259"/>
      <c r="L60" s="260"/>
      <c r="M60" s="252" t="str" cm="1">
        <f t="array" ref="M60">INDEX(Trad, 53, $A$20)</f>
        <v>Verschmutzt</v>
      </c>
      <c r="N60" s="253"/>
      <c r="O60" s="253"/>
      <c r="P60" s="254"/>
      <c r="Q60" s="251"/>
      <c r="R60" s="251"/>
      <c r="S60" s="264">
        <f t="shared" si="7"/>
        <v>0</v>
      </c>
      <c r="T60" s="252" t="str" cm="1">
        <f t="array" ref="T60">INDEX(Trad, 52, $A$20)</f>
        <v>Sauber</v>
      </c>
      <c r="U60" s="253"/>
      <c r="V60" s="253"/>
      <c r="W60" s="254"/>
      <c r="X60" s="251"/>
      <c r="Y60" s="251"/>
      <c r="Z60" s="264">
        <f t="shared" si="8"/>
        <v>0</v>
      </c>
      <c r="AA60" s="261"/>
      <c r="AB60" s="258"/>
      <c r="AC60" s="246"/>
      <c r="AD60" s="247" t="str">
        <f>IF(ISBLANK(AC60), "", VLOOKUP(AC60, Z!$A$2:$C$4127, 3, FALSE))</f>
        <v/>
      </c>
      <c r="AE60" s="262"/>
      <c r="AF60" s="263">
        <f t="shared" si="132"/>
        <v>0</v>
      </c>
      <c r="AG60" s="238"/>
      <c r="AH60" s="229">
        <f t="shared" ref="AH60" si="148">IF(ISBLANK(H60), 1, IFERROR(MATCH(H60, INDEX(Use,,1), 0), IFERROR(MATCH(H60, INDEX(Use,,2), 0), MATCH(H60, INDEX(Use,,3), 0))))</f>
        <v>1</v>
      </c>
      <c r="AI60" s="229">
        <f t="shared" ref="AI60" si="149">IF(ISBLANK(G60), 1, IFERROR(MATCH(G60, INDEX(Loc,,1), 0), IFERROR(MATCH(G60, INDEX(Loc,,2), 0), MATCH(G60, INDEX(Loc,,3), 0))))</f>
        <v>1</v>
      </c>
      <c r="AJ60" s="229">
        <f t="shared" ref="AJ60" si="150">_xlfn.IFNA(IF(IFERROR(MATCH(I60, INDEX(Medium,,1), 0), IFERROR(MATCH(I60, INDEX(Medium,,2), 0), MATCH(I60, INDEX(Medium,,3), 0))) = 2, 1, 0), 0)</f>
        <v>0</v>
      </c>
      <c r="AK60" s="229">
        <v>0</v>
      </c>
      <c r="AL60" s="229">
        <v>0</v>
      </c>
      <c r="AM60" s="229">
        <v>1</v>
      </c>
      <c r="AN60" s="229">
        <v>0</v>
      </c>
      <c r="AO60" s="229">
        <f t="shared" si="5"/>
        <v>-100</v>
      </c>
      <c r="AP60" s="238"/>
      <c r="AQ60" s="229">
        <v>18</v>
      </c>
      <c r="AR60" s="232">
        <v>341</v>
      </c>
      <c r="AS60" s="232">
        <v>281</v>
      </c>
      <c r="AT60" s="232">
        <v>295</v>
      </c>
      <c r="AU60" s="233">
        <f t="shared" si="6"/>
        <v>0</v>
      </c>
      <c r="AV60" s="233">
        <f t="shared" si="6"/>
        <v>0</v>
      </c>
      <c r="AW60" s="233" cm="1">
        <f t="array" ref="AW60">MIN(INDEX(Use,AW$21,5) + MAX(0, (1-INDEX(Use,AW$21,5))*($AQ60-5)/(35-5)), 1)</f>
        <v>0.66</v>
      </c>
      <c r="AX60" s="233" cm="1">
        <f t="array" ref="AX60">MIN(INDEX(Use,AX$21,5) + MAX(0, (1-INDEX(Use,AX$21,5))*($AQ60-5)/(35-5)), 1)</f>
        <v>0.77333333333333332</v>
      </c>
      <c r="AY60" s="233" cm="1">
        <f t="array" ref="AY60">MIN(INDEX(Use,AY$21,5) + MAX(0, (1-INDEX(Use,AY$21,5))*($AQ60-5)/(35-5)), 1)</f>
        <v>0.88666666666666671</v>
      </c>
      <c r="AZ60" s="233" cm="1">
        <f t="array" ref="AZ60">MIN(INDEX(Use,AZ$21,5) + MAX(0, (1-INDEX(Use,AZ$21,5))*($AQ60-5)/(35-5)), 1)</f>
        <v>0.88666666666666671</v>
      </c>
      <c r="BA60" s="233" cm="1">
        <f t="array" ref="BA60">MIN(INDEX(Use,BA$21,5) + MAX(0, (1-INDEX(Use,BA$21,5))*($AQ60-5)/(35-5)), 1)</f>
        <v>0.88666666666666671</v>
      </c>
      <c r="BB60" s="233">
        <v>1</v>
      </c>
      <c r="BC60" s="233">
        <v>0.7</v>
      </c>
      <c r="BD60" s="211"/>
      <c r="BE60" s="229" cm="1">
        <f t="array" ref="BE60">IF(ISBLANK(R60), INDEX(Use, $AH60, 4) - AM60*INDEX(Use, $AH60, 6), R60)</f>
        <v>5</v>
      </c>
      <c r="BF60" s="229">
        <f t="shared" si="12"/>
        <v>30</v>
      </c>
      <c r="BG60" s="229">
        <f t="shared" si="13"/>
        <v>13</v>
      </c>
      <c r="BH60" s="229">
        <f t="shared" si="14"/>
        <v>0</v>
      </c>
      <c r="BI60" s="234" cm="1">
        <f t="array" ref="BI60">K60/IF($L60&gt;0, INDEX($AU$23:$BA$77, $L60+20, $AH60), 1)</f>
        <v>0</v>
      </c>
      <c r="BJ60" s="230">
        <f t="shared" si="15"/>
        <v>0</v>
      </c>
      <c r="BK60" s="229">
        <v>35</v>
      </c>
      <c r="BL60" s="230">
        <f t="shared" si="16"/>
        <v>48</v>
      </c>
      <c r="BM60" s="235">
        <f t="shared" si="17"/>
        <v>2.9108720930232557</v>
      </c>
      <c r="BN60" s="235" cm="1">
        <f t="array" ref="BN60">$BI60 * SUMPRODUCT(INDEX($AR$77:$AT$82,,$AI60),INDEX($AU$77:$BA$82,,$AH60), N($AQ$77:$AQ$82&gt;$AO60)) / BM60 / 1000</f>
        <v>0</v>
      </c>
      <c r="BO60" s="232">
        <f t="shared" si="18"/>
        <v>30</v>
      </c>
      <c r="BP60" s="230">
        <f t="shared" si="19"/>
        <v>43</v>
      </c>
      <c r="BQ60" s="235">
        <f t="shared" si="20"/>
        <v>3.2938815789473681</v>
      </c>
      <c r="BR60" s="235" cm="1">
        <f t="array" ref="BR60">$BI60 * IF($AH60&lt;=2,
SUMPRODUCT(INDEX($AR$72:$AT$76,,$AI60), INDEX($AU$72:$BA$76,,$AH60), 1 / ($BB$72:$BB$76*BQ60 + (1-$BB$72:$BB$76)*BM60), N($AQ$72:$AQ$76&gt;$AO60)),
SUMPRODUCT(INDEX($AR$67:$AT$76,,$AI60), INDEX($AU$67:$BA$76,,$AH60), 1 / ($BC$67:$BC$76*BQ60 + (1-$BC$67:$BC$76)*BM60), N($AQ$67:$AQ$76&gt;$AO60))
) / 1000</f>
        <v>0</v>
      </c>
      <c r="BS60" s="232">
        <f t="shared" si="21"/>
        <v>25</v>
      </c>
      <c r="BT60" s="230">
        <f t="shared" si="22"/>
        <v>38</v>
      </c>
      <c r="BU60" s="235">
        <f t="shared" si="23"/>
        <v>3.792954545454545</v>
      </c>
      <c r="BV60" s="235" cm="1">
        <f t="array" ref="BV60">$BI60 * IF($AH60&lt;=2,
SUMPRODUCT(INDEX($AR$67:$AT$71,,$AI60), INDEX($AU$67:$BA$71,,$AH60), 1 / ($BB$67:$BB$71*BU60 + (1-$BB$67:$BB$71)*BQ60), N($AQ$67:$AQ$71&gt;$AO60)),
SUMPRODUCT(INDEX($AR$57:$AT$66,,$AI60), INDEX($AU$57:$BA$66,,$AH60), 1 / ($BC$57:$BC$66*BU60 + (1-$BC$57:$BC$66)*BQ60), N($AQ$57:$AQ$66&gt;$AO60))
) / 1000</f>
        <v>0</v>
      </c>
      <c r="BW60" s="232">
        <f t="shared" si="24"/>
        <v>20</v>
      </c>
      <c r="BX60" s="230">
        <f t="shared" si="25"/>
        <v>33</v>
      </c>
      <c r="BY60" s="235">
        <f t="shared" si="26"/>
        <v>4.4702678571428569</v>
      </c>
      <c r="BZ60" s="235" cm="1">
        <f t="array" ref="BZ60">$BI60 * IF($AH60&lt;=2,
SUMPRODUCT(INDEX($AR$62:$AT$66,,$AI60), INDEX($AU$62:$BA$66,,$AH60), 1 / ($BB$62:$BB$66*BY60 + (1-$BB$62:$BB$66)*BU60), N($AQ$62:$AQ$66&gt;$AO60)),
SUMPRODUCT(INDEX($AR$47:$AT$56,,$AI60), INDEX($AU$47:$BA$56,,$AH60), 1 / ($BC$47:$BC$56*BY60 + (1-$BC$47:$BC$56)*BU60), N($AQ$47:$AQ$56&gt;$AO60))
) / 1000</f>
        <v>0</v>
      </c>
      <c r="CA60" s="235" cm="1">
        <f t="array" ref="CA60">$BI60 * IF($AH60&lt;=2,
SUMPRODUCT(INDEX($AR$23:$AT$61,,$AI60), INDEX($AU$23:$BA$61,,$AH60), 1 / ($BB$23:$BB$61*BY60), N($AQ$23:$AQ$61&gt;$AO60)),
SUMPRODUCT(INDEX($AR$23:$AT$46,,$AI60), INDEX($AU$23:$BA$46,,$AH60), 1 / ($BC$23:$BC$46*BY60), N($AQ$23:$AQ$46&gt;$AO60))
) / 1000</f>
        <v>0</v>
      </c>
      <c r="CB60" s="230">
        <f t="shared" si="27"/>
        <v>0</v>
      </c>
      <c r="CC60" s="238"/>
      <c r="CD60" s="229" cm="1">
        <f t="array" ref="CD60">IF(ISBLANK(Y60), INDEX(Use, $AH60, 4) - AN60*INDEX(Use, $AH60, 6) - (Q60-X60), Y60)</f>
        <v>7</v>
      </c>
      <c r="CE60" s="229">
        <f t="shared" si="28"/>
        <v>32</v>
      </c>
      <c r="CF60" s="230">
        <f t="shared" si="29"/>
        <v>0</v>
      </c>
      <c r="CG60" s="229">
        <v>35</v>
      </c>
      <c r="CH60" s="230">
        <f t="shared" si="30"/>
        <v>48</v>
      </c>
      <c r="CI60" s="235">
        <f t="shared" si="31"/>
        <v>3.0748170731707316</v>
      </c>
      <c r="CJ60" s="235" cm="1">
        <f t="array" ref="CJ60">$BI60 * SUMPRODUCT(INDEX($AR$77:$AT$82,,$AI60),INDEX($AU$77:$BA$82,,$AH60), N($AQ$77:$AQ$82&gt;$AO60)) / CI60 / 1000</f>
        <v>0</v>
      </c>
      <c r="CK60" s="232">
        <f t="shared" si="32"/>
        <v>30</v>
      </c>
      <c r="CL60" s="230">
        <f t="shared" si="33"/>
        <v>43</v>
      </c>
      <c r="CM60" s="235">
        <f t="shared" si="34"/>
        <v>3.5018750000000001</v>
      </c>
      <c r="CN60" s="235" cm="1">
        <f t="array" ref="CN60">$BI60 * IF($AH60&lt;=2,
SUMPRODUCT(INDEX($AR$72:$AT$76,,$AI60), INDEX($AU$72:$BA$76,,$AH60), 1 / ($BB$72:$BB$76*CM60 + (1-$BB$72:$BB$76)*CI60), N($AQ$72:$AQ$76&gt;$AO60)),
SUMPRODUCT(INDEX($AR$67:$AT$76,,$AI60), INDEX($AU$67:$BA$76,,$AH60), 1 / ($BC$67:$BC$76*CM60 + (1-$BC$67:$BC$76)*CI60), N($AQ$67:$AQ$76&gt;$AO60))
) / 1000</f>
        <v>0</v>
      </c>
      <c r="CO60" s="232">
        <f t="shared" si="35"/>
        <v>25</v>
      </c>
      <c r="CP60" s="230">
        <f t="shared" si="36"/>
        <v>38</v>
      </c>
      <c r="CQ60" s="235">
        <f t="shared" si="37"/>
        <v>4.0666935483870965</v>
      </c>
      <c r="CR60" s="235" cm="1">
        <f t="array" ref="CR60">$BI60 * IF($AH60&lt;=2,
SUMPRODUCT(INDEX($AR$67:$AT$71,,$AI60), INDEX($AU$67:$BA$71,,$AH60), 1 / ($BB$67:$BB$71*CQ60 + (1-$BB$67:$BB$71)*CM60), N($AQ$67:$AQ$71&gt;$AO60)),
SUMPRODUCT(INDEX($AR$57:$AT$66,,$AI60), INDEX($AU$57:$BA$66,,$AH60), 1 / ($BC$57:$BC$66*CQ60 + (1-$BC$57:$BC$66)*CM60), N($AQ$57:$AQ$66&gt;$AO60))
) / 1000</f>
        <v>0</v>
      </c>
      <c r="CS60" s="232">
        <f t="shared" si="38"/>
        <v>20</v>
      </c>
      <c r="CT60" s="230">
        <f t="shared" si="39"/>
        <v>33</v>
      </c>
      <c r="CU60" s="235">
        <f t="shared" si="40"/>
        <v>4.8487499999999999</v>
      </c>
      <c r="CV60" s="235" cm="1">
        <f t="array" ref="CV60">$BI60 * IF($AH60&lt;=2,
SUMPRODUCT(INDEX($AR$62:$AT$66,,$AI60), INDEX($AU$62:$BA$66,,$AH60), 1 / ($BB$62:$BB$66*CU60 + (1-$BB$62:$BB$66)*CQ60), N($AQ$62:$AQ$66&gt;$AO60)),
SUMPRODUCT(INDEX($AR$47:$AT$56,,$AI60), INDEX($AU$47:$BA$56,,$AH60), 1 / ($BC$47:$BC$56*CU60 + (1-$BC$47:$BC$56)*CQ60), N($AQ$47:$AQ$56&gt;$AO60))
) / 1000</f>
        <v>0</v>
      </c>
      <c r="CW60" s="235" cm="1">
        <f t="array" ref="CW60">$BI60 * IF($AH60&lt;=2,
SUMPRODUCT(INDEX($AR$23:$AT$61,,$AI60), INDEX($AU$23:$BA$61,,$AH60), 1 / ($BB$23:$BB$61*CU60), N($AQ$23:$AQ$61&gt;$AO60)),
SUMPRODUCT(INDEX($AR$23:$AT$46,,$AI60), INDEX($AU$23:$BA$46,,$AH60), 1 / ($BC$23:$BC$46*CU60), N($AQ$23:$AQ$46&gt;$AO60))
) / 1000</f>
        <v>0</v>
      </c>
      <c r="CX60" s="230">
        <f t="shared" si="41"/>
        <v>0</v>
      </c>
      <c r="CY60" s="238"/>
    </row>
    <row r="61" spans="1:103" s="76" customFormat="1" ht="14.25" customHeight="1" x14ac:dyDescent="0.25">
      <c r="A61" s="231" t="b">
        <f t="shared" si="0"/>
        <v>0</v>
      </c>
      <c r="B61" s="245">
        <v>39</v>
      </c>
      <c r="C61" s="258"/>
      <c r="D61" s="258"/>
      <c r="E61" s="246"/>
      <c r="F61" s="247" t="str">
        <f>IF(ISBLANK(E61), "", VLOOKUP(E61, Z!$A$2:$C$4127, 3, FALSE))</f>
        <v/>
      </c>
      <c r="G61" s="248"/>
      <c r="H61" s="248"/>
      <c r="I61" s="249"/>
      <c r="J61" s="250"/>
      <c r="K61" s="259"/>
      <c r="L61" s="260"/>
      <c r="M61" s="252" t="str" cm="1">
        <f t="array" ref="M61">INDEX(Trad, 53, $A$20)</f>
        <v>Verschmutzt</v>
      </c>
      <c r="N61" s="253"/>
      <c r="O61" s="253"/>
      <c r="P61" s="254"/>
      <c r="Q61" s="251"/>
      <c r="R61" s="251"/>
      <c r="S61" s="264">
        <f t="shared" si="7"/>
        <v>0</v>
      </c>
      <c r="T61" s="252" t="str" cm="1">
        <f t="array" ref="T61">INDEX(Trad, 52, $A$20)</f>
        <v>Sauber</v>
      </c>
      <c r="U61" s="253"/>
      <c r="V61" s="253"/>
      <c r="W61" s="254"/>
      <c r="X61" s="251"/>
      <c r="Y61" s="251"/>
      <c r="Z61" s="264">
        <f t="shared" si="8"/>
        <v>0</v>
      </c>
      <c r="AA61" s="261"/>
      <c r="AB61" s="258"/>
      <c r="AC61" s="246"/>
      <c r="AD61" s="247" t="str">
        <f>IF(ISBLANK(AC61), "", VLOOKUP(AC61, Z!$A$2:$C$4127, 3, FALSE))</f>
        <v/>
      </c>
      <c r="AE61" s="262"/>
      <c r="AF61" s="263">
        <f t="shared" si="132"/>
        <v>0</v>
      </c>
      <c r="AG61" s="238"/>
      <c r="AH61" s="229">
        <f t="shared" ref="AH61" si="151">IF(ISBLANK(H61), 1, IFERROR(MATCH(H61, INDEX(Use,,1), 0), IFERROR(MATCH(H61, INDEX(Use,,2), 0), MATCH(H61, INDEX(Use,,3), 0))))</f>
        <v>1</v>
      </c>
      <c r="AI61" s="229">
        <f t="shared" ref="AI61" si="152">IF(ISBLANK(G61), 1, IFERROR(MATCH(G61, INDEX(Loc,,1), 0), IFERROR(MATCH(G61, INDEX(Loc,,2), 0), MATCH(G61, INDEX(Loc,,3), 0))))</f>
        <v>1</v>
      </c>
      <c r="AJ61" s="229">
        <f t="shared" ref="AJ61" si="153">_xlfn.IFNA(IF(IFERROR(MATCH(I61, INDEX(Medium,,1), 0), IFERROR(MATCH(I61, INDEX(Medium,,2), 0), MATCH(I61, INDEX(Medium,,3), 0))) = 2, 1, 0), 0)</f>
        <v>0</v>
      </c>
      <c r="AK61" s="229">
        <v>0</v>
      </c>
      <c r="AL61" s="229">
        <v>0</v>
      </c>
      <c r="AM61" s="229">
        <v>1</v>
      </c>
      <c r="AN61" s="229">
        <v>0</v>
      </c>
      <c r="AO61" s="229">
        <f t="shared" si="5"/>
        <v>-100</v>
      </c>
      <c r="AP61" s="238"/>
      <c r="AQ61" s="229">
        <v>19</v>
      </c>
      <c r="AR61" s="232">
        <v>344</v>
      </c>
      <c r="AS61" s="232">
        <v>240</v>
      </c>
      <c r="AT61" s="232">
        <v>238</v>
      </c>
      <c r="AU61" s="233">
        <f t="shared" si="6"/>
        <v>0</v>
      </c>
      <c r="AV61" s="233">
        <f t="shared" si="6"/>
        <v>0</v>
      </c>
      <c r="AW61" s="233" cm="1">
        <f t="array" ref="AW61">MIN(INDEX(Use,AW$21,5) + MAX(0, (1-INDEX(Use,AW$21,5))*($AQ61-5)/(35-5)), 1)</f>
        <v>0.68</v>
      </c>
      <c r="AX61" s="233" cm="1">
        <f t="array" ref="AX61">MIN(INDEX(Use,AX$21,5) + MAX(0, (1-INDEX(Use,AX$21,5))*($AQ61-5)/(35-5)), 1)</f>
        <v>0.78666666666666663</v>
      </c>
      <c r="AY61" s="233" cm="1">
        <f t="array" ref="AY61">MIN(INDEX(Use,AY$21,5) + MAX(0, (1-INDEX(Use,AY$21,5))*($AQ61-5)/(35-5)), 1)</f>
        <v>0.89333333333333331</v>
      </c>
      <c r="AZ61" s="233" cm="1">
        <f t="array" ref="AZ61">MIN(INDEX(Use,AZ$21,5) + MAX(0, (1-INDEX(Use,AZ$21,5))*($AQ61-5)/(35-5)), 1)</f>
        <v>0.89333333333333331</v>
      </c>
      <c r="BA61" s="233" cm="1">
        <f t="array" ref="BA61">MIN(INDEX(Use,BA$21,5) + MAX(0, (1-INDEX(Use,BA$21,5))*($AQ61-5)/(35-5)), 1)</f>
        <v>0.89333333333333331</v>
      </c>
      <c r="BB61" s="233">
        <v>1</v>
      </c>
      <c r="BC61" s="233">
        <v>0.6</v>
      </c>
      <c r="BD61" s="211"/>
      <c r="BE61" s="229" cm="1">
        <f t="array" ref="BE61">IF(ISBLANK(R61), INDEX(Use, $AH61, 4) - AM61*INDEX(Use, $AH61, 6), R61)</f>
        <v>5</v>
      </c>
      <c r="BF61" s="229">
        <f t="shared" si="12"/>
        <v>30</v>
      </c>
      <c r="BG61" s="229">
        <f t="shared" si="13"/>
        <v>13</v>
      </c>
      <c r="BH61" s="229">
        <f t="shared" si="14"/>
        <v>0</v>
      </c>
      <c r="BI61" s="234" cm="1">
        <f t="array" ref="BI61">K61/IF($L61&gt;0, INDEX($AU$23:$BA$77, $L61+20, $AH61), 1)</f>
        <v>0</v>
      </c>
      <c r="BJ61" s="230">
        <f t="shared" si="15"/>
        <v>0</v>
      </c>
      <c r="BK61" s="229">
        <v>35</v>
      </c>
      <c r="BL61" s="230">
        <f t="shared" si="16"/>
        <v>48</v>
      </c>
      <c r="BM61" s="235">
        <f t="shared" si="17"/>
        <v>2.9108720930232557</v>
      </c>
      <c r="BN61" s="235" cm="1">
        <f t="array" ref="BN61">$BI61 * SUMPRODUCT(INDEX($AR$77:$AT$82,,$AI61),INDEX($AU$77:$BA$82,,$AH61), N($AQ$77:$AQ$82&gt;$AO61)) / BM61 / 1000</f>
        <v>0</v>
      </c>
      <c r="BO61" s="232">
        <f t="shared" si="18"/>
        <v>30</v>
      </c>
      <c r="BP61" s="230">
        <f t="shared" si="19"/>
        <v>43</v>
      </c>
      <c r="BQ61" s="235">
        <f t="shared" si="20"/>
        <v>3.2938815789473681</v>
      </c>
      <c r="BR61" s="235" cm="1">
        <f t="array" ref="BR61">$BI61 * IF($AH61&lt;=2,
SUMPRODUCT(INDEX($AR$72:$AT$76,,$AI61), INDEX($AU$72:$BA$76,,$AH61), 1 / ($BB$72:$BB$76*BQ61 + (1-$BB$72:$BB$76)*BM61), N($AQ$72:$AQ$76&gt;$AO61)),
SUMPRODUCT(INDEX($AR$67:$AT$76,,$AI61), INDEX($AU$67:$BA$76,,$AH61), 1 / ($BC$67:$BC$76*BQ61 + (1-$BC$67:$BC$76)*BM61), N($AQ$67:$AQ$76&gt;$AO61))
) / 1000</f>
        <v>0</v>
      </c>
      <c r="BS61" s="232">
        <f t="shared" si="21"/>
        <v>25</v>
      </c>
      <c r="BT61" s="230">
        <f t="shared" si="22"/>
        <v>38</v>
      </c>
      <c r="BU61" s="235">
        <f t="shared" si="23"/>
        <v>3.792954545454545</v>
      </c>
      <c r="BV61" s="235" cm="1">
        <f t="array" ref="BV61">$BI61 * IF($AH61&lt;=2,
SUMPRODUCT(INDEX($AR$67:$AT$71,,$AI61), INDEX($AU$67:$BA$71,,$AH61), 1 / ($BB$67:$BB$71*BU61 + (1-$BB$67:$BB$71)*BQ61), N($AQ$67:$AQ$71&gt;$AO61)),
SUMPRODUCT(INDEX($AR$57:$AT$66,,$AI61), INDEX($AU$57:$BA$66,,$AH61), 1 / ($BC$57:$BC$66*BU61 + (1-$BC$57:$BC$66)*BQ61), N($AQ$57:$AQ$66&gt;$AO61))
) / 1000</f>
        <v>0</v>
      </c>
      <c r="BW61" s="232">
        <f t="shared" si="24"/>
        <v>20</v>
      </c>
      <c r="BX61" s="230">
        <f t="shared" si="25"/>
        <v>33</v>
      </c>
      <c r="BY61" s="235">
        <f t="shared" si="26"/>
        <v>4.4702678571428569</v>
      </c>
      <c r="BZ61" s="235" cm="1">
        <f t="array" ref="BZ61">$BI61 * IF($AH61&lt;=2,
SUMPRODUCT(INDEX($AR$62:$AT$66,,$AI61), INDEX($AU$62:$BA$66,,$AH61), 1 / ($BB$62:$BB$66*BY61 + (1-$BB$62:$BB$66)*BU61), N($AQ$62:$AQ$66&gt;$AO61)),
SUMPRODUCT(INDEX($AR$47:$AT$56,,$AI61), INDEX($AU$47:$BA$56,,$AH61), 1 / ($BC$47:$BC$56*BY61 + (1-$BC$47:$BC$56)*BU61), N($AQ$47:$AQ$56&gt;$AO61))
) / 1000</f>
        <v>0</v>
      </c>
      <c r="CA61" s="235" cm="1">
        <f t="array" ref="CA61">$BI61 * IF($AH61&lt;=2,
SUMPRODUCT(INDEX($AR$23:$AT$61,,$AI61), INDEX($AU$23:$BA$61,,$AH61), 1 / ($BB$23:$BB$61*BY61), N($AQ$23:$AQ$61&gt;$AO61)),
SUMPRODUCT(INDEX($AR$23:$AT$46,,$AI61), INDEX($AU$23:$BA$46,,$AH61), 1 / ($BC$23:$BC$46*BY61), N($AQ$23:$AQ$46&gt;$AO61))
) / 1000</f>
        <v>0</v>
      </c>
      <c r="CB61" s="230">
        <f t="shared" si="27"/>
        <v>0</v>
      </c>
      <c r="CC61" s="238"/>
      <c r="CD61" s="229" cm="1">
        <f t="array" ref="CD61">IF(ISBLANK(Y61), INDEX(Use, $AH61, 4) - AN61*INDEX(Use, $AH61, 6) - (Q61-X61), Y61)</f>
        <v>7</v>
      </c>
      <c r="CE61" s="229">
        <f t="shared" si="28"/>
        <v>32</v>
      </c>
      <c r="CF61" s="230">
        <f t="shared" si="29"/>
        <v>0</v>
      </c>
      <c r="CG61" s="229">
        <v>35</v>
      </c>
      <c r="CH61" s="230">
        <f t="shared" si="30"/>
        <v>48</v>
      </c>
      <c r="CI61" s="235">
        <f t="shared" si="31"/>
        <v>3.0748170731707316</v>
      </c>
      <c r="CJ61" s="235" cm="1">
        <f t="array" ref="CJ61">$BI61 * SUMPRODUCT(INDEX($AR$77:$AT$82,,$AI61),INDEX($AU$77:$BA$82,,$AH61), N($AQ$77:$AQ$82&gt;$AO61)) / CI61 / 1000</f>
        <v>0</v>
      </c>
      <c r="CK61" s="232">
        <f t="shared" si="32"/>
        <v>30</v>
      </c>
      <c r="CL61" s="230">
        <f t="shared" si="33"/>
        <v>43</v>
      </c>
      <c r="CM61" s="235">
        <f t="shared" si="34"/>
        <v>3.5018750000000001</v>
      </c>
      <c r="CN61" s="235" cm="1">
        <f t="array" ref="CN61">$BI61 * IF($AH61&lt;=2,
SUMPRODUCT(INDEX($AR$72:$AT$76,,$AI61), INDEX($AU$72:$BA$76,,$AH61), 1 / ($BB$72:$BB$76*CM61 + (1-$BB$72:$BB$76)*CI61), N($AQ$72:$AQ$76&gt;$AO61)),
SUMPRODUCT(INDEX($AR$67:$AT$76,,$AI61), INDEX($AU$67:$BA$76,,$AH61), 1 / ($BC$67:$BC$76*CM61 + (1-$BC$67:$BC$76)*CI61), N($AQ$67:$AQ$76&gt;$AO61))
) / 1000</f>
        <v>0</v>
      </c>
      <c r="CO61" s="232">
        <f t="shared" si="35"/>
        <v>25</v>
      </c>
      <c r="CP61" s="230">
        <f t="shared" si="36"/>
        <v>38</v>
      </c>
      <c r="CQ61" s="235">
        <f t="shared" si="37"/>
        <v>4.0666935483870965</v>
      </c>
      <c r="CR61" s="235" cm="1">
        <f t="array" ref="CR61">$BI61 * IF($AH61&lt;=2,
SUMPRODUCT(INDEX($AR$67:$AT$71,,$AI61), INDEX($AU$67:$BA$71,,$AH61), 1 / ($BB$67:$BB$71*CQ61 + (1-$BB$67:$BB$71)*CM61), N($AQ$67:$AQ$71&gt;$AO61)),
SUMPRODUCT(INDEX($AR$57:$AT$66,,$AI61), INDEX($AU$57:$BA$66,,$AH61), 1 / ($BC$57:$BC$66*CQ61 + (1-$BC$57:$BC$66)*CM61), N($AQ$57:$AQ$66&gt;$AO61))
) / 1000</f>
        <v>0</v>
      </c>
      <c r="CS61" s="232">
        <f t="shared" si="38"/>
        <v>20</v>
      </c>
      <c r="CT61" s="230">
        <f t="shared" si="39"/>
        <v>33</v>
      </c>
      <c r="CU61" s="235">
        <f t="shared" si="40"/>
        <v>4.8487499999999999</v>
      </c>
      <c r="CV61" s="235" cm="1">
        <f t="array" ref="CV61">$BI61 * IF($AH61&lt;=2,
SUMPRODUCT(INDEX($AR$62:$AT$66,,$AI61), INDEX($AU$62:$BA$66,,$AH61), 1 / ($BB$62:$BB$66*CU61 + (1-$BB$62:$BB$66)*CQ61), N($AQ$62:$AQ$66&gt;$AO61)),
SUMPRODUCT(INDEX($AR$47:$AT$56,,$AI61), INDEX($AU$47:$BA$56,,$AH61), 1 / ($BC$47:$BC$56*CU61 + (1-$BC$47:$BC$56)*CQ61), N($AQ$47:$AQ$56&gt;$AO61))
) / 1000</f>
        <v>0</v>
      </c>
      <c r="CW61" s="235" cm="1">
        <f t="array" ref="CW61">$BI61 * IF($AH61&lt;=2,
SUMPRODUCT(INDEX($AR$23:$AT$61,,$AI61), INDEX($AU$23:$BA$61,,$AH61), 1 / ($BB$23:$BB$61*CU61), N($AQ$23:$AQ$61&gt;$AO61)),
SUMPRODUCT(INDEX($AR$23:$AT$46,,$AI61), INDEX($AU$23:$BA$46,,$AH61), 1 / ($BC$23:$BC$46*CU61), N($AQ$23:$AQ$46&gt;$AO61))
) / 1000</f>
        <v>0</v>
      </c>
      <c r="CX61" s="230">
        <f t="shared" si="41"/>
        <v>0</v>
      </c>
      <c r="CY61" s="238"/>
    </row>
    <row r="62" spans="1:103" s="76" customFormat="1" ht="14.25" customHeight="1" x14ac:dyDescent="0.25">
      <c r="A62" s="231" t="b">
        <f t="shared" si="0"/>
        <v>0</v>
      </c>
      <c r="B62" s="245">
        <v>40</v>
      </c>
      <c r="C62" s="258"/>
      <c r="D62" s="258"/>
      <c r="E62" s="246"/>
      <c r="F62" s="247" t="str">
        <f>IF(ISBLANK(E62), "", VLOOKUP(E62, Z!$A$2:$C$4127, 3, FALSE))</f>
        <v/>
      </c>
      <c r="G62" s="248"/>
      <c r="H62" s="248"/>
      <c r="I62" s="249"/>
      <c r="J62" s="250"/>
      <c r="K62" s="259"/>
      <c r="L62" s="260"/>
      <c r="M62" s="252" t="str" cm="1">
        <f t="array" ref="M62">INDEX(Trad, 53, $A$20)</f>
        <v>Verschmutzt</v>
      </c>
      <c r="N62" s="253"/>
      <c r="O62" s="253"/>
      <c r="P62" s="254"/>
      <c r="Q62" s="251"/>
      <c r="R62" s="251"/>
      <c r="S62" s="264">
        <f t="shared" si="7"/>
        <v>0</v>
      </c>
      <c r="T62" s="252" t="str" cm="1">
        <f t="array" ref="T62">INDEX(Trad, 52, $A$20)</f>
        <v>Sauber</v>
      </c>
      <c r="U62" s="253"/>
      <c r="V62" s="253"/>
      <c r="W62" s="254"/>
      <c r="X62" s="251"/>
      <c r="Y62" s="251"/>
      <c r="Z62" s="264">
        <f t="shared" si="8"/>
        <v>0</v>
      </c>
      <c r="AA62" s="261"/>
      <c r="AB62" s="258"/>
      <c r="AC62" s="246"/>
      <c r="AD62" s="247" t="str">
        <f>IF(ISBLANK(AC62), "", VLOOKUP(AC62, Z!$A$2:$C$4127, 3, FALSE))</f>
        <v/>
      </c>
      <c r="AE62" s="262"/>
      <c r="AF62" s="263">
        <f t="shared" si="132"/>
        <v>0</v>
      </c>
      <c r="AG62" s="238"/>
      <c r="AH62" s="229">
        <f t="shared" ref="AH62" si="154">IF(ISBLANK(H62), 1, IFERROR(MATCH(H62, INDEX(Use,,1), 0), IFERROR(MATCH(H62, INDEX(Use,,2), 0), MATCH(H62, INDEX(Use,,3), 0))))</f>
        <v>1</v>
      </c>
      <c r="AI62" s="229">
        <f t="shared" ref="AI62" si="155">IF(ISBLANK(G62), 1, IFERROR(MATCH(G62, INDEX(Loc,,1), 0), IFERROR(MATCH(G62, INDEX(Loc,,2), 0), MATCH(G62, INDEX(Loc,,3), 0))))</f>
        <v>1</v>
      </c>
      <c r="AJ62" s="229">
        <f t="shared" ref="AJ62" si="156">_xlfn.IFNA(IF(IFERROR(MATCH(I62, INDEX(Medium,,1), 0), IFERROR(MATCH(I62, INDEX(Medium,,2), 0), MATCH(I62, INDEX(Medium,,3), 0))) = 2, 1, 0), 0)</f>
        <v>0</v>
      </c>
      <c r="AK62" s="229">
        <v>0</v>
      </c>
      <c r="AL62" s="229">
        <v>0</v>
      </c>
      <c r="AM62" s="229">
        <v>1</v>
      </c>
      <c r="AN62" s="229">
        <v>0</v>
      </c>
      <c r="AO62" s="229">
        <f t="shared" si="5"/>
        <v>-100</v>
      </c>
      <c r="AP62" s="238"/>
      <c r="AQ62" s="229">
        <v>20</v>
      </c>
      <c r="AR62" s="232">
        <v>304</v>
      </c>
      <c r="AS62" s="232">
        <v>259</v>
      </c>
      <c r="AT62" s="232">
        <v>188</v>
      </c>
      <c r="AU62" s="233">
        <f t="shared" si="6"/>
        <v>6.25E-2</v>
      </c>
      <c r="AV62" s="233">
        <f t="shared" si="6"/>
        <v>6.25E-2</v>
      </c>
      <c r="AW62" s="233" cm="1">
        <f t="array" ref="AW62">MIN(INDEX(Use,AW$21,5) + MAX(0, (1-INDEX(Use,AW$21,5))*($AQ62-5)/(35-5)), 1)</f>
        <v>0.7</v>
      </c>
      <c r="AX62" s="233" cm="1">
        <f t="array" ref="AX62">MIN(INDEX(Use,AX$21,5) + MAX(0, (1-INDEX(Use,AX$21,5))*($AQ62-5)/(35-5)), 1)</f>
        <v>0.8</v>
      </c>
      <c r="AY62" s="233" cm="1">
        <f t="array" ref="AY62">MIN(INDEX(Use,AY$21,5) + MAX(0, (1-INDEX(Use,AY$21,5))*($AQ62-5)/(35-5)), 1)</f>
        <v>0.9</v>
      </c>
      <c r="AZ62" s="233" cm="1">
        <f t="array" ref="AZ62">MIN(INDEX(Use,AZ$21,5) + MAX(0, (1-INDEX(Use,AZ$21,5))*($AQ62-5)/(35-5)), 1)</f>
        <v>0.9</v>
      </c>
      <c r="BA62" s="233" cm="1">
        <f t="array" ref="BA62">MIN(INDEX(Use,BA$21,5) + MAX(0, (1-INDEX(Use,BA$21,5))*($AQ62-5)/(35-5)), 1)</f>
        <v>0.9</v>
      </c>
      <c r="BB62" s="233">
        <v>1</v>
      </c>
      <c r="BC62" s="233">
        <v>0.5</v>
      </c>
      <c r="BD62" s="211"/>
      <c r="BE62" s="229" cm="1">
        <f t="array" ref="BE62">IF(ISBLANK(R62), INDEX(Use, $AH62, 4) - AM62*INDEX(Use, $AH62, 6), R62)</f>
        <v>5</v>
      </c>
      <c r="BF62" s="229">
        <f t="shared" si="12"/>
        <v>30</v>
      </c>
      <c r="BG62" s="229">
        <f t="shared" si="13"/>
        <v>13</v>
      </c>
      <c r="BH62" s="229">
        <f t="shared" si="14"/>
        <v>0</v>
      </c>
      <c r="BI62" s="234" cm="1">
        <f t="array" ref="BI62">K62/IF($L62&gt;0, INDEX($AU$23:$BA$77, $L62+20, $AH62), 1)</f>
        <v>0</v>
      </c>
      <c r="BJ62" s="230">
        <f t="shared" si="15"/>
        <v>0</v>
      </c>
      <c r="BK62" s="229">
        <v>35</v>
      </c>
      <c r="BL62" s="230">
        <f t="shared" si="16"/>
        <v>48</v>
      </c>
      <c r="BM62" s="235">
        <f t="shared" si="17"/>
        <v>2.9108720930232557</v>
      </c>
      <c r="BN62" s="235" cm="1">
        <f t="array" ref="BN62">$BI62 * SUMPRODUCT(INDEX($AR$77:$AT$82,,$AI62),INDEX($AU$77:$BA$82,,$AH62), N($AQ$77:$AQ$82&gt;$AO62)) / BM62 / 1000</f>
        <v>0</v>
      </c>
      <c r="BO62" s="232">
        <f t="shared" si="18"/>
        <v>30</v>
      </c>
      <c r="BP62" s="230">
        <f t="shared" si="19"/>
        <v>43</v>
      </c>
      <c r="BQ62" s="235">
        <f t="shared" si="20"/>
        <v>3.2938815789473681</v>
      </c>
      <c r="BR62" s="235" cm="1">
        <f t="array" ref="BR62">$BI62 * IF($AH62&lt;=2,
SUMPRODUCT(INDEX($AR$72:$AT$76,,$AI62), INDEX($AU$72:$BA$76,,$AH62), 1 / ($BB$72:$BB$76*BQ62 + (1-$BB$72:$BB$76)*BM62), N($AQ$72:$AQ$76&gt;$AO62)),
SUMPRODUCT(INDEX($AR$67:$AT$76,,$AI62), INDEX($AU$67:$BA$76,,$AH62), 1 / ($BC$67:$BC$76*BQ62 + (1-$BC$67:$BC$76)*BM62), N($AQ$67:$AQ$76&gt;$AO62))
) / 1000</f>
        <v>0</v>
      </c>
      <c r="BS62" s="232">
        <f t="shared" si="21"/>
        <v>25</v>
      </c>
      <c r="BT62" s="230">
        <f t="shared" si="22"/>
        <v>38</v>
      </c>
      <c r="BU62" s="235">
        <f t="shared" si="23"/>
        <v>3.792954545454545</v>
      </c>
      <c r="BV62" s="235" cm="1">
        <f t="array" ref="BV62">$BI62 * IF($AH62&lt;=2,
SUMPRODUCT(INDEX($AR$67:$AT$71,,$AI62), INDEX($AU$67:$BA$71,,$AH62), 1 / ($BB$67:$BB$71*BU62 + (1-$BB$67:$BB$71)*BQ62), N($AQ$67:$AQ$71&gt;$AO62)),
SUMPRODUCT(INDEX($AR$57:$AT$66,,$AI62), INDEX($AU$57:$BA$66,,$AH62), 1 / ($BC$57:$BC$66*BU62 + (1-$BC$57:$BC$66)*BQ62), N($AQ$57:$AQ$66&gt;$AO62))
) / 1000</f>
        <v>0</v>
      </c>
      <c r="BW62" s="232">
        <f t="shared" si="24"/>
        <v>20</v>
      </c>
      <c r="BX62" s="230">
        <f t="shared" si="25"/>
        <v>33</v>
      </c>
      <c r="BY62" s="235">
        <f t="shared" si="26"/>
        <v>4.4702678571428569</v>
      </c>
      <c r="BZ62" s="235" cm="1">
        <f t="array" ref="BZ62">$BI62 * IF($AH62&lt;=2,
SUMPRODUCT(INDEX($AR$62:$AT$66,,$AI62), INDEX($AU$62:$BA$66,,$AH62), 1 / ($BB$62:$BB$66*BY62 + (1-$BB$62:$BB$66)*BU62), N($AQ$62:$AQ$66&gt;$AO62)),
SUMPRODUCT(INDEX($AR$47:$AT$56,,$AI62), INDEX($AU$47:$BA$56,,$AH62), 1 / ($BC$47:$BC$56*BY62 + (1-$BC$47:$BC$56)*BU62), N($AQ$47:$AQ$56&gt;$AO62))
) / 1000</f>
        <v>0</v>
      </c>
      <c r="CA62" s="235" cm="1">
        <f t="array" ref="CA62">$BI62 * IF($AH62&lt;=2,
SUMPRODUCT(INDEX($AR$23:$AT$61,,$AI62), INDEX($AU$23:$BA$61,,$AH62), 1 / ($BB$23:$BB$61*BY62), N($AQ$23:$AQ$61&gt;$AO62)),
SUMPRODUCT(INDEX($AR$23:$AT$46,,$AI62), INDEX($AU$23:$BA$46,,$AH62), 1 / ($BC$23:$BC$46*BY62), N($AQ$23:$AQ$46&gt;$AO62))
) / 1000</f>
        <v>0</v>
      </c>
      <c r="CB62" s="230">
        <f t="shared" si="27"/>
        <v>0</v>
      </c>
      <c r="CC62" s="238"/>
      <c r="CD62" s="229" cm="1">
        <f t="array" ref="CD62">IF(ISBLANK(Y62), INDEX(Use, $AH62, 4) - AN62*INDEX(Use, $AH62, 6) - (Q62-X62), Y62)</f>
        <v>7</v>
      </c>
      <c r="CE62" s="229">
        <f t="shared" si="28"/>
        <v>32</v>
      </c>
      <c r="CF62" s="230">
        <f t="shared" si="29"/>
        <v>0</v>
      </c>
      <c r="CG62" s="229">
        <v>35</v>
      </c>
      <c r="CH62" s="230">
        <f t="shared" si="30"/>
        <v>48</v>
      </c>
      <c r="CI62" s="235">
        <f t="shared" si="31"/>
        <v>3.0748170731707316</v>
      </c>
      <c r="CJ62" s="235" cm="1">
        <f t="array" ref="CJ62">$BI62 * SUMPRODUCT(INDEX($AR$77:$AT$82,,$AI62),INDEX($AU$77:$BA$82,,$AH62), N($AQ$77:$AQ$82&gt;$AO62)) / CI62 / 1000</f>
        <v>0</v>
      </c>
      <c r="CK62" s="232">
        <f t="shared" si="32"/>
        <v>30</v>
      </c>
      <c r="CL62" s="230">
        <f t="shared" si="33"/>
        <v>43</v>
      </c>
      <c r="CM62" s="235">
        <f t="shared" si="34"/>
        <v>3.5018750000000001</v>
      </c>
      <c r="CN62" s="235" cm="1">
        <f t="array" ref="CN62">$BI62 * IF($AH62&lt;=2,
SUMPRODUCT(INDEX($AR$72:$AT$76,,$AI62), INDEX($AU$72:$BA$76,,$AH62), 1 / ($BB$72:$BB$76*CM62 + (1-$BB$72:$BB$76)*CI62), N($AQ$72:$AQ$76&gt;$AO62)),
SUMPRODUCT(INDEX($AR$67:$AT$76,,$AI62), INDEX($AU$67:$BA$76,,$AH62), 1 / ($BC$67:$BC$76*CM62 + (1-$BC$67:$BC$76)*CI62), N($AQ$67:$AQ$76&gt;$AO62))
) / 1000</f>
        <v>0</v>
      </c>
      <c r="CO62" s="232">
        <f t="shared" si="35"/>
        <v>25</v>
      </c>
      <c r="CP62" s="230">
        <f t="shared" si="36"/>
        <v>38</v>
      </c>
      <c r="CQ62" s="235">
        <f t="shared" si="37"/>
        <v>4.0666935483870965</v>
      </c>
      <c r="CR62" s="235" cm="1">
        <f t="array" ref="CR62">$BI62 * IF($AH62&lt;=2,
SUMPRODUCT(INDEX($AR$67:$AT$71,,$AI62), INDEX($AU$67:$BA$71,,$AH62), 1 / ($BB$67:$BB$71*CQ62 + (1-$BB$67:$BB$71)*CM62), N($AQ$67:$AQ$71&gt;$AO62)),
SUMPRODUCT(INDEX($AR$57:$AT$66,,$AI62), INDEX($AU$57:$BA$66,,$AH62), 1 / ($BC$57:$BC$66*CQ62 + (1-$BC$57:$BC$66)*CM62), N($AQ$57:$AQ$66&gt;$AO62))
) / 1000</f>
        <v>0</v>
      </c>
      <c r="CS62" s="232">
        <f t="shared" si="38"/>
        <v>20</v>
      </c>
      <c r="CT62" s="230">
        <f t="shared" si="39"/>
        <v>33</v>
      </c>
      <c r="CU62" s="235">
        <f t="shared" si="40"/>
        <v>4.8487499999999999</v>
      </c>
      <c r="CV62" s="235" cm="1">
        <f t="array" ref="CV62">$BI62 * IF($AH62&lt;=2,
SUMPRODUCT(INDEX($AR$62:$AT$66,,$AI62), INDEX($AU$62:$BA$66,,$AH62), 1 / ($BB$62:$BB$66*CU62 + (1-$BB$62:$BB$66)*CQ62), N($AQ$62:$AQ$66&gt;$AO62)),
SUMPRODUCT(INDEX($AR$47:$AT$56,,$AI62), INDEX($AU$47:$BA$56,,$AH62), 1 / ($BC$47:$BC$56*CU62 + (1-$BC$47:$BC$56)*CQ62), N($AQ$47:$AQ$56&gt;$AO62))
) / 1000</f>
        <v>0</v>
      </c>
      <c r="CW62" s="235" cm="1">
        <f t="array" ref="CW62">$BI62 * IF($AH62&lt;=2,
SUMPRODUCT(INDEX($AR$23:$AT$61,,$AI62), INDEX($AU$23:$BA$61,,$AH62), 1 / ($BB$23:$BB$61*CU62), N($AQ$23:$AQ$61&gt;$AO62)),
SUMPRODUCT(INDEX($AR$23:$AT$46,,$AI62), INDEX($AU$23:$BA$46,,$AH62), 1 / ($BC$23:$BC$46*CU62), N($AQ$23:$AQ$46&gt;$AO62))
) / 1000</f>
        <v>0</v>
      </c>
      <c r="CX62" s="230">
        <f t="shared" si="41"/>
        <v>0</v>
      </c>
      <c r="CY62" s="238"/>
    </row>
    <row r="63" spans="1:103" s="76" customFormat="1" ht="14.25" customHeight="1" x14ac:dyDescent="0.25">
      <c r="A63" s="231" t="b">
        <f t="shared" si="0"/>
        <v>0</v>
      </c>
      <c r="B63" s="245">
        <v>41</v>
      </c>
      <c r="C63" s="258"/>
      <c r="D63" s="258"/>
      <c r="E63" s="246"/>
      <c r="F63" s="247" t="str">
        <f>IF(ISBLANK(E63), "", VLOOKUP(E63, Z!$A$2:$C$4127, 3, FALSE))</f>
        <v/>
      </c>
      <c r="G63" s="248"/>
      <c r="H63" s="248"/>
      <c r="I63" s="249"/>
      <c r="J63" s="250"/>
      <c r="K63" s="259"/>
      <c r="L63" s="260"/>
      <c r="M63" s="252" t="str" cm="1">
        <f t="array" ref="M63">INDEX(Trad, 53, $A$20)</f>
        <v>Verschmutzt</v>
      </c>
      <c r="N63" s="253"/>
      <c r="O63" s="253"/>
      <c r="P63" s="254"/>
      <c r="Q63" s="251"/>
      <c r="R63" s="251"/>
      <c r="S63" s="264">
        <f t="shared" si="7"/>
        <v>0</v>
      </c>
      <c r="T63" s="252" t="str" cm="1">
        <f t="array" ref="T63">INDEX(Trad, 52, $A$20)</f>
        <v>Sauber</v>
      </c>
      <c r="U63" s="253"/>
      <c r="V63" s="253"/>
      <c r="W63" s="254"/>
      <c r="X63" s="251"/>
      <c r="Y63" s="251"/>
      <c r="Z63" s="264">
        <f t="shared" si="8"/>
        <v>0</v>
      </c>
      <c r="AA63" s="261"/>
      <c r="AB63" s="258"/>
      <c r="AC63" s="246"/>
      <c r="AD63" s="247" t="str">
        <f>IF(ISBLANK(AC63), "", VLOOKUP(AC63, Z!$A$2:$C$4127, 3, FALSE))</f>
        <v/>
      </c>
      <c r="AE63" s="262"/>
      <c r="AF63" s="263">
        <f t="shared" si="132"/>
        <v>0</v>
      </c>
      <c r="AG63" s="238"/>
      <c r="AH63" s="229">
        <f t="shared" ref="AH63" si="157">IF(ISBLANK(H63), 1, IFERROR(MATCH(H63, INDEX(Use,,1), 0), IFERROR(MATCH(H63, INDEX(Use,,2), 0), MATCH(H63, INDEX(Use,,3), 0))))</f>
        <v>1</v>
      </c>
      <c r="AI63" s="229">
        <f t="shared" ref="AI63" si="158">IF(ISBLANK(G63), 1, IFERROR(MATCH(G63, INDEX(Loc,,1), 0), IFERROR(MATCH(G63, INDEX(Loc,,2), 0), MATCH(G63, INDEX(Loc,,3), 0))))</f>
        <v>1</v>
      </c>
      <c r="AJ63" s="229">
        <f t="shared" ref="AJ63" si="159">_xlfn.IFNA(IF(IFERROR(MATCH(I63, INDEX(Medium,,1), 0), IFERROR(MATCH(I63, INDEX(Medium,,2), 0), MATCH(I63, INDEX(Medium,,3), 0))) = 2, 1, 0), 0)</f>
        <v>0</v>
      </c>
      <c r="AK63" s="229">
        <v>0</v>
      </c>
      <c r="AL63" s="229">
        <v>0</v>
      </c>
      <c r="AM63" s="229">
        <v>1</v>
      </c>
      <c r="AN63" s="229">
        <v>0</v>
      </c>
      <c r="AO63" s="229">
        <f t="shared" si="5"/>
        <v>-100</v>
      </c>
      <c r="AP63" s="238"/>
      <c r="AQ63" s="229">
        <v>21</v>
      </c>
      <c r="AR63" s="232">
        <v>295</v>
      </c>
      <c r="AS63" s="232">
        <v>198</v>
      </c>
      <c r="AT63" s="232">
        <v>146</v>
      </c>
      <c r="AU63" s="233">
        <f t="shared" si="6"/>
        <v>0.125</v>
      </c>
      <c r="AV63" s="233">
        <f t="shared" si="6"/>
        <v>0.125</v>
      </c>
      <c r="AW63" s="233" cm="1">
        <f t="array" ref="AW63">MIN(INDEX(Use,AW$21,5) + MAX(0, (1-INDEX(Use,AW$21,5))*($AQ63-5)/(35-5)), 1)</f>
        <v>0.72</v>
      </c>
      <c r="AX63" s="233" cm="1">
        <f t="array" ref="AX63">MIN(INDEX(Use,AX$21,5) + MAX(0, (1-INDEX(Use,AX$21,5))*($AQ63-5)/(35-5)), 1)</f>
        <v>0.81333333333333335</v>
      </c>
      <c r="AY63" s="233" cm="1">
        <f t="array" ref="AY63">MIN(INDEX(Use,AY$21,5) + MAX(0, (1-INDEX(Use,AY$21,5))*($AQ63-5)/(35-5)), 1)</f>
        <v>0.90666666666666673</v>
      </c>
      <c r="AZ63" s="233" cm="1">
        <f t="array" ref="AZ63">MIN(INDEX(Use,AZ$21,5) + MAX(0, (1-INDEX(Use,AZ$21,5))*($AQ63-5)/(35-5)), 1)</f>
        <v>0.90666666666666673</v>
      </c>
      <c r="BA63" s="233" cm="1">
        <f t="array" ref="BA63">MIN(INDEX(Use,BA$21,5) + MAX(0, (1-INDEX(Use,BA$21,5))*($AQ63-5)/(35-5)), 1)</f>
        <v>0.90666666666666673</v>
      </c>
      <c r="BB63" s="233">
        <v>0.8</v>
      </c>
      <c r="BC63" s="233">
        <v>0.4</v>
      </c>
      <c r="BD63" s="211"/>
      <c r="BE63" s="229" cm="1">
        <f t="array" ref="BE63">IF(ISBLANK(R63), INDEX(Use, $AH63, 4) - AM63*INDEX(Use, $AH63, 6), R63)</f>
        <v>5</v>
      </c>
      <c r="BF63" s="229">
        <f t="shared" si="12"/>
        <v>30</v>
      </c>
      <c r="BG63" s="229">
        <f t="shared" si="13"/>
        <v>13</v>
      </c>
      <c r="BH63" s="229">
        <f t="shared" si="14"/>
        <v>0</v>
      </c>
      <c r="BI63" s="234" cm="1">
        <f t="array" ref="BI63">K63/IF($L63&gt;0, INDEX($AU$23:$BA$77, $L63+20, $AH63), 1)</f>
        <v>0</v>
      </c>
      <c r="BJ63" s="230">
        <f t="shared" si="15"/>
        <v>0</v>
      </c>
      <c r="BK63" s="229">
        <v>35</v>
      </c>
      <c r="BL63" s="230">
        <f t="shared" si="16"/>
        <v>48</v>
      </c>
      <c r="BM63" s="235">
        <f t="shared" si="17"/>
        <v>2.9108720930232557</v>
      </c>
      <c r="BN63" s="235" cm="1">
        <f t="array" ref="BN63">$BI63 * SUMPRODUCT(INDEX($AR$77:$AT$82,,$AI63),INDEX($AU$77:$BA$82,,$AH63), N($AQ$77:$AQ$82&gt;$AO63)) / BM63 / 1000</f>
        <v>0</v>
      </c>
      <c r="BO63" s="232">
        <f t="shared" si="18"/>
        <v>30</v>
      </c>
      <c r="BP63" s="230">
        <f t="shared" si="19"/>
        <v>43</v>
      </c>
      <c r="BQ63" s="235">
        <f t="shared" si="20"/>
        <v>3.2938815789473681</v>
      </c>
      <c r="BR63" s="235" cm="1">
        <f t="array" ref="BR63">$BI63 * IF($AH63&lt;=2,
SUMPRODUCT(INDEX($AR$72:$AT$76,,$AI63), INDEX($AU$72:$BA$76,,$AH63), 1 / ($BB$72:$BB$76*BQ63 + (1-$BB$72:$BB$76)*BM63), N($AQ$72:$AQ$76&gt;$AO63)),
SUMPRODUCT(INDEX($AR$67:$AT$76,,$AI63), INDEX($AU$67:$BA$76,,$AH63), 1 / ($BC$67:$BC$76*BQ63 + (1-$BC$67:$BC$76)*BM63), N($AQ$67:$AQ$76&gt;$AO63))
) / 1000</f>
        <v>0</v>
      </c>
      <c r="BS63" s="232">
        <f t="shared" si="21"/>
        <v>25</v>
      </c>
      <c r="BT63" s="230">
        <f t="shared" si="22"/>
        <v>38</v>
      </c>
      <c r="BU63" s="235">
        <f t="shared" si="23"/>
        <v>3.792954545454545</v>
      </c>
      <c r="BV63" s="235" cm="1">
        <f t="array" ref="BV63">$BI63 * IF($AH63&lt;=2,
SUMPRODUCT(INDEX($AR$67:$AT$71,,$AI63), INDEX($AU$67:$BA$71,,$AH63), 1 / ($BB$67:$BB$71*BU63 + (1-$BB$67:$BB$71)*BQ63), N($AQ$67:$AQ$71&gt;$AO63)),
SUMPRODUCT(INDEX($AR$57:$AT$66,,$AI63), INDEX($AU$57:$BA$66,,$AH63), 1 / ($BC$57:$BC$66*BU63 + (1-$BC$57:$BC$66)*BQ63), N($AQ$57:$AQ$66&gt;$AO63))
) / 1000</f>
        <v>0</v>
      </c>
      <c r="BW63" s="232">
        <f t="shared" si="24"/>
        <v>20</v>
      </c>
      <c r="BX63" s="230">
        <f t="shared" si="25"/>
        <v>33</v>
      </c>
      <c r="BY63" s="235">
        <f t="shared" si="26"/>
        <v>4.4702678571428569</v>
      </c>
      <c r="BZ63" s="235" cm="1">
        <f t="array" ref="BZ63">$BI63 * IF($AH63&lt;=2,
SUMPRODUCT(INDEX($AR$62:$AT$66,,$AI63), INDEX($AU$62:$BA$66,,$AH63), 1 / ($BB$62:$BB$66*BY63 + (1-$BB$62:$BB$66)*BU63), N($AQ$62:$AQ$66&gt;$AO63)),
SUMPRODUCT(INDEX($AR$47:$AT$56,,$AI63), INDEX($AU$47:$BA$56,,$AH63), 1 / ($BC$47:$BC$56*BY63 + (1-$BC$47:$BC$56)*BU63), N($AQ$47:$AQ$56&gt;$AO63))
) / 1000</f>
        <v>0</v>
      </c>
      <c r="CA63" s="235" cm="1">
        <f t="array" ref="CA63">$BI63 * IF($AH63&lt;=2,
SUMPRODUCT(INDEX($AR$23:$AT$61,,$AI63), INDEX($AU$23:$BA$61,,$AH63), 1 / ($BB$23:$BB$61*BY63), N($AQ$23:$AQ$61&gt;$AO63)),
SUMPRODUCT(INDEX($AR$23:$AT$46,,$AI63), INDEX($AU$23:$BA$46,,$AH63), 1 / ($BC$23:$BC$46*BY63), N($AQ$23:$AQ$46&gt;$AO63))
) / 1000</f>
        <v>0</v>
      </c>
      <c r="CB63" s="230">
        <f t="shared" si="27"/>
        <v>0</v>
      </c>
      <c r="CC63" s="238"/>
      <c r="CD63" s="229" cm="1">
        <f t="array" ref="CD63">IF(ISBLANK(Y63), INDEX(Use, $AH63, 4) - AN63*INDEX(Use, $AH63, 6) - (Q63-X63), Y63)</f>
        <v>7</v>
      </c>
      <c r="CE63" s="229">
        <f t="shared" si="28"/>
        <v>32</v>
      </c>
      <c r="CF63" s="230">
        <f t="shared" si="29"/>
        <v>0</v>
      </c>
      <c r="CG63" s="229">
        <v>35</v>
      </c>
      <c r="CH63" s="230">
        <f t="shared" si="30"/>
        <v>48</v>
      </c>
      <c r="CI63" s="235">
        <f t="shared" si="31"/>
        <v>3.0748170731707316</v>
      </c>
      <c r="CJ63" s="235" cm="1">
        <f t="array" ref="CJ63">$BI63 * SUMPRODUCT(INDEX($AR$77:$AT$82,,$AI63),INDEX($AU$77:$BA$82,,$AH63), N($AQ$77:$AQ$82&gt;$AO63)) / CI63 / 1000</f>
        <v>0</v>
      </c>
      <c r="CK63" s="232">
        <f t="shared" si="32"/>
        <v>30</v>
      </c>
      <c r="CL63" s="230">
        <f t="shared" si="33"/>
        <v>43</v>
      </c>
      <c r="CM63" s="235">
        <f t="shared" si="34"/>
        <v>3.5018750000000001</v>
      </c>
      <c r="CN63" s="235" cm="1">
        <f t="array" ref="CN63">$BI63 * IF($AH63&lt;=2,
SUMPRODUCT(INDEX($AR$72:$AT$76,,$AI63), INDEX($AU$72:$BA$76,,$AH63), 1 / ($BB$72:$BB$76*CM63 + (1-$BB$72:$BB$76)*CI63), N($AQ$72:$AQ$76&gt;$AO63)),
SUMPRODUCT(INDEX($AR$67:$AT$76,,$AI63), INDEX($AU$67:$BA$76,,$AH63), 1 / ($BC$67:$BC$76*CM63 + (1-$BC$67:$BC$76)*CI63), N($AQ$67:$AQ$76&gt;$AO63))
) / 1000</f>
        <v>0</v>
      </c>
      <c r="CO63" s="232">
        <f t="shared" si="35"/>
        <v>25</v>
      </c>
      <c r="CP63" s="230">
        <f t="shared" si="36"/>
        <v>38</v>
      </c>
      <c r="CQ63" s="235">
        <f t="shared" si="37"/>
        <v>4.0666935483870965</v>
      </c>
      <c r="CR63" s="235" cm="1">
        <f t="array" ref="CR63">$BI63 * IF($AH63&lt;=2,
SUMPRODUCT(INDEX($AR$67:$AT$71,,$AI63), INDEX($AU$67:$BA$71,,$AH63), 1 / ($BB$67:$BB$71*CQ63 + (1-$BB$67:$BB$71)*CM63), N($AQ$67:$AQ$71&gt;$AO63)),
SUMPRODUCT(INDEX($AR$57:$AT$66,,$AI63), INDEX($AU$57:$BA$66,,$AH63), 1 / ($BC$57:$BC$66*CQ63 + (1-$BC$57:$BC$66)*CM63), N($AQ$57:$AQ$66&gt;$AO63))
) / 1000</f>
        <v>0</v>
      </c>
      <c r="CS63" s="232">
        <f t="shared" si="38"/>
        <v>20</v>
      </c>
      <c r="CT63" s="230">
        <f t="shared" si="39"/>
        <v>33</v>
      </c>
      <c r="CU63" s="235">
        <f t="shared" si="40"/>
        <v>4.8487499999999999</v>
      </c>
      <c r="CV63" s="235" cm="1">
        <f t="array" ref="CV63">$BI63 * IF($AH63&lt;=2,
SUMPRODUCT(INDEX($AR$62:$AT$66,,$AI63), INDEX($AU$62:$BA$66,,$AH63), 1 / ($BB$62:$BB$66*CU63 + (1-$BB$62:$BB$66)*CQ63), N($AQ$62:$AQ$66&gt;$AO63)),
SUMPRODUCT(INDEX($AR$47:$AT$56,,$AI63), INDEX($AU$47:$BA$56,,$AH63), 1 / ($BC$47:$BC$56*CU63 + (1-$BC$47:$BC$56)*CQ63), N($AQ$47:$AQ$56&gt;$AO63))
) / 1000</f>
        <v>0</v>
      </c>
      <c r="CW63" s="235" cm="1">
        <f t="array" ref="CW63">$BI63 * IF($AH63&lt;=2,
SUMPRODUCT(INDEX($AR$23:$AT$61,,$AI63), INDEX($AU$23:$BA$61,,$AH63), 1 / ($BB$23:$BB$61*CU63), N($AQ$23:$AQ$61&gt;$AO63)),
SUMPRODUCT(INDEX($AR$23:$AT$46,,$AI63), INDEX($AU$23:$BA$46,,$AH63), 1 / ($BC$23:$BC$46*CU63), N($AQ$23:$AQ$46&gt;$AO63))
) / 1000</f>
        <v>0</v>
      </c>
      <c r="CX63" s="230">
        <f t="shared" si="41"/>
        <v>0</v>
      </c>
      <c r="CY63" s="238"/>
    </row>
    <row r="64" spans="1:103" s="76" customFormat="1" ht="14.25" customHeight="1" x14ac:dyDescent="0.25">
      <c r="A64" s="231" t="b">
        <f t="shared" si="0"/>
        <v>0</v>
      </c>
      <c r="B64" s="245">
        <v>42</v>
      </c>
      <c r="C64" s="258"/>
      <c r="D64" s="258"/>
      <c r="E64" s="246"/>
      <c r="F64" s="247" t="str">
        <f>IF(ISBLANK(E64), "", VLOOKUP(E64, Z!$A$2:$C$4127, 3, FALSE))</f>
        <v/>
      </c>
      <c r="G64" s="248"/>
      <c r="H64" s="248"/>
      <c r="I64" s="249"/>
      <c r="J64" s="250"/>
      <c r="K64" s="259"/>
      <c r="L64" s="260"/>
      <c r="M64" s="252" t="str" cm="1">
        <f t="array" ref="M64">INDEX(Trad, 53, $A$20)</f>
        <v>Verschmutzt</v>
      </c>
      <c r="N64" s="253"/>
      <c r="O64" s="253"/>
      <c r="P64" s="254"/>
      <c r="Q64" s="251"/>
      <c r="R64" s="251"/>
      <c r="S64" s="264">
        <f t="shared" si="7"/>
        <v>0</v>
      </c>
      <c r="T64" s="252" t="str" cm="1">
        <f t="array" ref="T64">INDEX(Trad, 52, $A$20)</f>
        <v>Sauber</v>
      </c>
      <c r="U64" s="253"/>
      <c r="V64" s="253"/>
      <c r="W64" s="254"/>
      <c r="X64" s="251"/>
      <c r="Y64" s="251"/>
      <c r="Z64" s="264">
        <f t="shared" si="8"/>
        <v>0</v>
      </c>
      <c r="AA64" s="261"/>
      <c r="AB64" s="258"/>
      <c r="AC64" s="246"/>
      <c r="AD64" s="247" t="str">
        <f>IF(ISBLANK(AC64), "", VLOOKUP(AC64, Z!$A$2:$C$4127, 3, FALSE))</f>
        <v/>
      </c>
      <c r="AE64" s="262"/>
      <c r="AF64" s="263">
        <f t="shared" si="132"/>
        <v>0</v>
      </c>
      <c r="AG64" s="238"/>
      <c r="AH64" s="229">
        <f t="shared" ref="AH64" si="160">IF(ISBLANK(H64), 1, IFERROR(MATCH(H64, INDEX(Use,,1), 0), IFERROR(MATCH(H64, INDEX(Use,,2), 0), MATCH(H64, INDEX(Use,,3), 0))))</f>
        <v>1</v>
      </c>
      <c r="AI64" s="229">
        <f t="shared" ref="AI64" si="161">IF(ISBLANK(G64), 1, IFERROR(MATCH(G64, INDEX(Loc,,1), 0), IFERROR(MATCH(G64, INDEX(Loc,,2), 0), MATCH(G64, INDEX(Loc,,3), 0))))</f>
        <v>1</v>
      </c>
      <c r="AJ64" s="229">
        <f t="shared" ref="AJ64" si="162">_xlfn.IFNA(IF(IFERROR(MATCH(I64, INDEX(Medium,,1), 0), IFERROR(MATCH(I64, INDEX(Medium,,2), 0), MATCH(I64, INDEX(Medium,,3), 0))) = 2, 1, 0), 0)</f>
        <v>0</v>
      </c>
      <c r="AK64" s="229">
        <v>0</v>
      </c>
      <c r="AL64" s="229">
        <v>0</v>
      </c>
      <c r="AM64" s="229">
        <v>1</v>
      </c>
      <c r="AN64" s="229">
        <v>0</v>
      </c>
      <c r="AO64" s="229">
        <f t="shared" si="5"/>
        <v>-100</v>
      </c>
      <c r="AP64" s="238"/>
      <c r="AQ64" s="229">
        <v>22</v>
      </c>
      <c r="AR64" s="232">
        <v>242</v>
      </c>
      <c r="AS64" s="232">
        <v>172</v>
      </c>
      <c r="AT64" s="232">
        <v>134</v>
      </c>
      <c r="AU64" s="233">
        <f t="shared" si="6"/>
        <v>0.1875</v>
      </c>
      <c r="AV64" s="233">
        <f t="shared" si="6"/>
        <v>0.1875</v>
      </c>
      <c r="AW64" s="233" cm="1">
        <f t="array" ref="AW64">MIN(INDEX(Use,AW$21,5) + MAX(0, (1-INDEX(Use,AW$21,5))*($AQ64-5)/(35-5)), 1)</f>
        <v>0.74</v>
      </c>
      <c r="AX64" s="233" cm="1">
        <f t="array" ref="AX64">MIN(INDEX(Use,AX$21,5) + MAX(0, (1-INDEX(Use,AX$21,5))*($AQ64-5)/(35-5)), 1)</f>
        <v>0.82666666666666666</v>
      </c>
      <c r="AY64" s="233" cm="1">
        <f t="array" ref="AY64">MIN(INDEX(Use,AY$21,5) + MAX(0, (1-INDEX(Use,AY$21,5))*($AQ64-5)/(35-5)), 1)</f>
        <v>0.91333333333333333</v>
      </c>
      <c r="AZ64" s="233" cm="1">
        <f t="array" ref="AZ64">MIN(INDEX(Use,AZ$21,5) + MAX(0, (1-INDEX(Use,AZ$21,5))*($AQ64-5)/(35-5)), 1)</f>
        <v>0.91333333333333333</v>
      </c>
      <c r="BA64" s="233" cm="1">
        <f t="array" ref="BA64">MIN(INDEX(Use,BA$21,5) + MAX(0, (1-INDEX(Use,BA$21,5))*($AQ64-5)/(35-5)), 1)</f>
        <v>0.91333333333333333</v>
      </c>
      <c r="BB64" s="233">
        <v>0.6</v>
      </c>
      <c r="BC64" s="233">
        <v>0.3</v>
      </c>
      <c r="BD64" s="211"/>
      <c r="BE64" s="229" cm="1">
        <f t="array" ref="BE64">IF(ISBLANK(R64), INDEX(Use, $AH64, 4) - AM64*INDEX(Use, $AH64, 6), R64)</f>
        <v>5</v>
      </c>
      <c r="BF64" s="229">
        <f t="shared" si="12"/>
        <v>30</v>
      </c>
      <c r="BG64" s="229">
        <f t="shared" si="13"/>
        <v>13</v>
      </c>
      <c r="BH64" s="229">
        <f t="shared" si="14"/>
        <v>0</v>
      </c>
      <c r="BI64" s="234" cm="1">
        <f t="array" ref="BI64">K64/IF($L64&gt;0, INDEX($AU$23:$BA$77, $L64+20, $AH64), 1)</f>
        <v>0</v>
      </c>
      <c r="BJ64" s="230">
        <f t="shared" si="15"/>
        <v>0</v>
      </c>
      <c r="BK64" s="229">
        <v>35</v>
      </c>
      <c r="BL64" s="230">
        <f t="shared" si="16"/>
        <v>48</v>
      </c>
      <c r="BM64" s="235">
        <f t="shared" si="17"/>
        <v>2.9108720930232557</v>
      </c>
      <c r="BN64" s="235" cm="1">
        <f t="array" ref="BN64">$BI64 * SUMPRODUCT(INDEX($AR$77:$AT$82,,$AI64),INDEX($AU$77:$BA$82,,$AH64), N($AQ$77:$AQ$82&gt;$AO64)) / BM64 / 1000</f>
        <v>0</v>
      </c>
      <c r="BO64" s="232">
        <f t="shared" si="18"/>
        <v>30</v>
      </c>
      <c r="BP64" s="230">
        <f t="shared" si="19"/>
        <v>43</v>
      </c>
      <c r="BQ64" s="235">
        <f t="shared" si="20"/>
        <v>3.2938815789473681</v>
      </c>
      <c r="BR64" s="235" cm="1">
        <f t="array" ref="BR64">$BI64 * IF($AH64&lt;=2,
SUMPRODUCT(INDEX($AR$72:$AT$76,,$AI64), INDEX($AU$72:$BA$76,,$AH64), 1 / ($BB$72:$BB$76*BQ64 + (1-$BB$72:$BB$76)*BM64), N($AQ$72:$AQ$76&gt;$AO64)),
SUMPRODUCT(INDEX($AR$67:$AT$76,,$AI64), INDEX($AU$67:$BA$76,,$AH64), 1 / ($BC$67:$BC$76*BQ64 + (1-$BC$67:$BC$76)*BM64), N($AQ$67:$AQ$76&gt;$AO64))
) / 1000</f>
        <v>0</v>
      </c>
      <c r="BS64" s="232">
        <f t="shared" si="21"/>
        <v>25</v>
      </c>
      <c r="BT64" s="230">
        <f t="shared" si="22"/>
        <v>38</v>
      </c>
      <c r="BU64" s="235">
        <f t="shared" si="23"/>
        <v>3.792954545454545</v>
      </c>
      <c r="BV64" s="235" cm="1">
        <f t="array" ref="BV64">$BI64 * IF($AH64&lt;=2,
SUMPRODUCT(INDEX($AR$67:$AT$71,,$AI64), INDEX($AU$67:$BA$71,,$AH64), 1 / ($BB$67:$BB$71*BU64 + (1-$BB$67:$BB$71)*BQ64), N($AQ$67:$AQ$71&gt;$AO64)),
SUMPRODUCT(INDEX($AR$57:$AT$66,,$AI64), INDEX($AU$57:$BA$66,,$AH64), 1 / ($BC$57:$BC$66*BU64 + (1-$BC$57:$BC$66)*BQ64), N($AQ$57:$AQ$66&gt;$AO64))
) / 1000</f>
        <v>0</v>
      </c>
      <c r="BW64" s="232">
        <f t="shared" si="24"/>
        <v>20</v>
      </c>
      <c r="BX64" s="230">
        <f t="shared" si="25"/>
        <v>33</v>
      </c>
      <c r="BY64" s="235">
        <f t="shared" si="26"/>
        <v>4.4702678571428569</v>
      </c>
      <c r="BZ64" s="235" cm="1">
        <f t="array" ref="BZ64">$BI64 * IF($AH64&lt;=2,
SUMPRODUCT(INDEX($AR$62:$AT$66,,$AI64), INDEX($AU$62:$BA$66,,$AH64), 1 / ($BB$62:$BB$66*BY64 + (1-$BB$62:$BB$66)*BU64), N($AQ$62:$AQ$66&gt;$AO64)),
SUMPRODUCT(INDEX($AR$47:$AT$56,,$AI64), INDEX($AU$47:$BA$56,,$AH64), 1 / ($BC$47:$BC$56*BY64 + (1-$BC$47:$BC$56)*BU64), N($AQ$47:$AQ$56&gt;$AO64))
) / 1000</f>
        <v>0</v>
      </c>
      <c r="CA64" s="235" cm="1">
        <f t="array" ref="CA64">$BI64 * IF($AH64&lt;=2,
SUMPRODUCT(INDEX($AR$23:$AT$61,,$AI64), INDEX($AU$23:$BA$61,,$AH64), 1 / ($BB$23:$BB$61*BY64), N($AQ$23:$AQ$61&gt;$AO64)),
SUMPRODUCT(INDEX($AR$23:$AT$46,,$AI64), INDEX($AU$23:$BA$46,,$AH64), 1 / ($BC$23:$BC$46*BY64), N($AQ$23:$AQ$46&gt;$AO64))
) / 1000</f>
        <v>0</v>
      </c>
      <c r="CB64" s="230">
        <f t="shared" si="27"/>
        <v>0</v>
      </c>
      <c r="CC64" s="238"/>
      <c r="CD64" s="229" cm="1">
        <f t="array" ref="CD64">IF(ISBLANK(Y64), INDEX(Use, $AH64, 4) - AN64*INDEX(Use, $AH64, 6) - (Q64-X64), Y64)</f>
        <v>7</v>
      </c>
      <c r="CE64" s="229">
        <f t="shared" si="28"/>
        <v>32</v>
      </c>
      <c r="CF64" s="230">
        <f t="shared" si="29"/>
        <v>0</v>
      </c>
      <c r="CG64" s="229">
        <v>35</v>
      </c>
      <c r="CH64" s="230">
        <f t="shared" si="30"/>
        <v>48</v>
      </c>
      <c r="CI64" s="235">
        <f t="shared" si="31"/>
        <v>3.0748170731707316</v>
      </c>
      <c r="CJ64" s="235" cm="1">
        <f t="array" ref="CJ64">$BI64 * SUMPRODUCT(INDEX($AR$77:$AT$82,,$AI64),INDEX($AU$77:$BA$82,,$AH64), N($AQ$77:$AQ$82&gt;$AO64)) / CI64 / 1000</f>
        <v>0</v>
      </c>
      <c r="CK64" s="232">
        <f t="shared" si="32"/>
        <v>30</v>
      </c>
      <c r="CL64" s="230">
        <f t="shared" si="33"/>
        <v>43</v>
      </c>
      <c r="CM64" s="235">
        <f t="shared" si="34"/>
        <v>3.5018750000000001</v>
      </c>
      <c r="CN64" s="235" cm="1">
        <f t="array" ref="CN64">$BI64 * IF($AH64&lt;=2,
SUMPRODUCT(INDEX($AR$72:$AT$76,,$AI64), INDEX($AU$72:$BA$76,,$AH64), 1 / ($BB$72:$BB$76*CM64 + (1-$BB$72:$BB$76)*CI64), N($AQ$72:$AQ$76&gt;$AO64)),
SUMPRODUCT(INDEX($AR$67:$AT$76,,$AI64), INDEX($AU$67:$BA$76,,$AH64), 1 / ($BC$67:$BC$76*CM64 + (1-$BC$67:$BC$76)*CI64), N($AQ$67:$AQ$76&gt;$AO64))
) / 1000</f>
        <v>0</v>
      </c>
      <c r="CO64" s="232">
        <f t="shared" si="35"/>
        <v>25</v>
      </c>
      <c r="CP64" s="230">
        <f t="shared" si="36"/>
        <v>38</v>
      </c>
      <c r="CQ64" s="235">
        <f t="shared" si="37"/>
        <v>4.0666935483870965</v>
      </c>
      <c r="CR64" s="235" cm="1">
        <f t="array" ref="CR64">$BI64 * IF($AH64&lt;=2,
SUMPRODUCT(INDEX($AR$67:$AT$71,,$AI64), INDEX($AU$67:$BA$71,,$AH64), 1 / ($BB$67:$BB$71*CQ64 + (1-$BB$67:$BB$71)*CM64), N($AQ$67:$AQ$71&gt;$AO64)),
SUMPRODUCT(INDEX($AR$57:$AT$66,,$AI64), INDEX($AU$57:$BA$66,,$AH64), 1 / ($BC$57:$BC$66*CQ64 + (1-$BC$57:$BC$66)*CM64), N($AQ$57:$AQ$66&gt;$AO64))
) / 1000</f>
        <v>0</v>
      </c>
      <c r="CS64" s="232">
        <f t="shared" si="38"/>
        <v>20</v>
      </c>
      <c r="CT64" s="230">
        <f t="shared" si="39"/>
        <v>33</v>
      </c>
      <c r="CU64" s="235">
        <f t="shared" si="40"/>
        <v>4.8487499999999999</v>
      </c>
      <c r="CV64" s="235" cm="1">
        <f t="array" ref="CV64">$BI64 * IF($AH64&lt;=2,
SUMPRODUCT(INDEX($AR$62:$AT$66,,$AI64), INDEX($AU$62:$BA$66,,$AH64), 1 / ($BB$62:$BB$66*CU64 + (1-$BB$62:$BB$66)*CQ64), N($AQ$62:$AQ$66&gt;$AO64)),
SUMPRODUCT(INDEX($AR$47:$AT$56,,$AI64), INDEX($AU$47:$BA$56,,$AH64), 1 / ($BC$47:$BC$56*CU64 + (1-$BC$47:$BC$56)*CQ64), N($AQ$47:$AQ$56&gt;$AO64))
) / 1000</f>
        <v>0</v>
      </c>
      <c r="CW64" s="235" cm="1">
        <f t="array" ref="CW64">$BI64 * IF($AH64&lt;=2,
SUMPRODUCT(INDEX($AR$23:$AT$61,,$AI64), INDEX($AU$23:$BA$61,,$AH64), 1 / ($BB$23:$BB$61*CU64), N($AQ$23:$AQ$61&gt;$AO64)),
SUMPRODUCT(INDEX($AR$23:$AT$46,,$AI64), INDEX($AU$23:$BA$46,,$AH64), 1 / ($BC$23:$BC$46*CU64), N($AQ$23:$AQ$46&gt;$AO64))
) / 1000</f>
        <v>0</v>
      </c>
      <c r="CX64" s="230">
        <f t="shared" si="41"/>
        <v>0</v>
      </c>
      <c r="CY64" s="238"/>
    </row>
    <row r="65" spans="1:103" s="76" customFormat="1" ht="14.25" customHeight="1" x14ac:dyDescent="0.25">
      <c r="A65" s="231" t="b">
        <f t="shared" si="0"/>
        <v>0</v>
      </c>
      <c r="B65" s="245">
        <v>43</v>
      </c>
      <c r="C65" s="258"/>
      <c r="D65" s="258"/>
      <c r="E65" s="246"/>
      <c r="F65" s="247" t="str">
        <f>IF(ISBLANK(E65), "", VLOOKUP(E65, Z!$A$2:$C$4127, 3, FALSE))</f>
        <v/>
      </c>
      <c r="G65" s="248"/>
      <c r="H65" s="248"/>
      <c r="I65" s="249"/>
      <c r="J65" s="250"/>
      <c r="K65" s="259"/>
      <c r="L65" s="260"/>
      <c r="M65" s="252" t="str" cm="1">
        <f t="array" ref="M65">INDEX(Trad, 53, $A$20)</f>
        <v>Verschmutzt</v>
      </c>
      <c r="N65" s="253"/>
      <c r="O65" s="253"/>
      <c r="P65" s="254"/>
      <c r="Q65" s="251"/>
      <c r="R65" s="251"/>
      <c r="S65" s="264">
        <f t="shared" si="7"/>
        <v>0</v>
      </c>
      <c r="T65" s="252" t="str" cm="1">
        <f t="array" ref="T65">INDEX(Trad, 52, $A$20)</f>
        <v>Sauber</v>
      </c>
      <c r="U65" s="253"/>
      <c r="V65" s="253"/>
      <c r="W65" s="254"/>
      <c r="X65" s="251"/>
      <c r="Y65" s="251"/>
      <c r="Z65" s="264">
        <f t="shared" si="8"/>
        <v>0</v>
      </c>
      <c r="AA65" s="261"/>
      <c r="AB65" s="258"/>
      <c r="AC65" s="246"/>
      <c r="AD65" s="247" t="str">
        <f>IF(ISBLANK(AC65), "", VLOOKUP(AC65, Z!$A$2:$C$4127, 3, FALSE))</f>
        <v/>
      </c>
      <c r="AE65" s="262"/>
      <c r="AF65" s="263">
        <f t="shared" si="132"/>
        <v>0</v>
      </c>
      <c r="AG65" s="238"/>
      <c r="AH65" s="229">
        <f t="shared" ref="AH65" si="163">IF(ISBLANK(H65), 1, IFERROR(MATCH(H65, INDEX(Use,,1), 0), IFERROR(MATCH(H65, INDEX(Use,,2), 0), MATCH(H65, INDEX(Use,,3), 0))))</f>
        <v>1</v>
      </c>
      <c r="AI65" s="229">
        <f t="shared" ref="AI65" si="164">IF(ISBLANK(G65), 1, IFERROR(MATCH(G65, INDEX(Loc,,1), 0), IFERROR(MATCH(G65, INDEX(Loc,,2), 0), MATCH(G65, INDEX(Loc,,3), 0))))</f>
        <v>1</v>
      </c>
      <c r="AJ65" s="229">
        <f t="shared" ref="AJ65" si="165">_xlfn.IFNA(IF(IFERROR(MATCH(I65, INDEX(Medium,,1), 0), IFERROR(MATCH(I65, INDEX(Medium,,2), 0), MATCH(I65, INDEX(Medium,,3), 0))) = 2, 1, 0), 0)</f>
        <v>0</v>
      </c>
      <c r="AK65" s="229">
        <v>0</v>
      </c>
      <c r="AL65" s="229">
        <v>0</v>
      </c>
      <c r="AM65" s="229">
        <v>1</v>
      </c>
      <c r="AN65" s="229">
        <v>0</v>
      </c>
      <c r="AO65" s="229">
        <f t="shared" si="5"/>
        <v>-100</v>
      </c>
      <c r="AP65" s="238"/>
      <c r="AQ65" s="229">
        <v>23</v>
      </c>
      <c r="AR65" s="232">
        <v>208</v>
      </c>
      <c r="AS65" s="232">
        <v>135</v>
      </c>
      <c r="AT65" s="232">
        <v>114</v>
      </c>
      <c r="AU65" s="233">
        <f t="shared" si="6"/>
        <v>0.25</v>
      </c>
      <c r="AV65" s="233">
        <f t="shared" si="6"/>
        <v>0.25</v>
      </c>
      <c r="AW65" s="233" cm="1">
        <f t="array" ref="AW65">MIN(INDEX(Use,AW$21,5) + MAX(0, (1-INDEX(Use,AW$21,5))*($AQ65-5)/(35-5)), 1)</f>
        <v>0.76</v>
      </c>
      <c r="AX65" s="233" cm="1">
        <f t="array" ref="AX65">MIN(INDEX(Use,AX$21,5) + MAX(0, (1-INDEX(Use,AX$21,5))*($AQ65-5)/(35-5)), 1)</f>
        <v>0.84</v>
      </c>
      <c r="AY65" s="233" cm="1">
        <f t="array" ref="AY65">MIN(INDEX(Use,AY$21,5) + MAX(0, (1-INDEX(Use,AY$21,5))*($AQ65-5)/(35-5)), 1)</f>
        <v>0.92</v>
      </c>
      <c r="AZ65" s="233" cm="1">
        <f t="array" ref="AZ65">MIN(INDEX(Use,AZ$21,5) + MAX(0, (1-INDEX(Use,AZ$21,5))*($AQ65-5)/(35-5)), 1)</f>
        <v>0.92</v>
      </c>
      <c r="BA65" s="233" cm="1">
        <f t="array" ref="BA65">MIN(INDEX(Use,BA$21,5) + MAX(0, (1-INDEX(Use,BA$21,5))*($AQ65-5)/(35-5)), 1)</f>
        <v>0.92</v>
      </c>
      <c r="BB65" s="233">
        <v>0.4</v>
      </c>
      <c r="BC65" s="233">
        <v>0.2</v>
      </c>
      <c r="BD65" s="211"/>
      <c r="BE65" s="229" cm="1">
        <f t="array" ref="BE65">IF(ISBLANK(R65), INDEX(Use, $AH65, 4) - AM65*INDEX(Use, $AH65, 6), R65)</f>
        <v>5</v>
      </c>
      <c r="BF65" s="229">
        <f t="shared" si="12"/>
        <v>30</v>
      </c>
      <c r="BG65" s="229">
        <f t="shared" si="13"/>
        <v>13</v>
      </c>
      <c r="BH65" s="229">
        <f t="shared" si="14"/>
        <v>0</v>
      </c>
      <c r="BI65" s="234" cm="1">
        <f t="array" ref="BI65">K65/IF($L65&gt;0, INDEX($AU$23:$BA$77, $L65+20, $AH65), 1)</f>
        <v>0</v>
      </c>
      <c r="BJ65" s="230">
        <f t="shared" si="15"/>
        <v>0</v>
      </c>
      <c r="BK65" s="229">
        <v>35</v>
      </c>
      <c r="BL65" s="230">
        <f t="shared" si="16"/>
        <v>48</v>
      </c>
      <c r="BM65" s="235">
        <f t="shared" si="17"/>
        <v>2.9108720930232557</v>
      </c>
      <c r="BN65" s="235" cm="1">
        <f t="array" ref="BN65">$BI65 * SUMPRODUCT(INDEX($AR$77:$AT$82,,$AI65),INDEX($AU$77:$BA$82,,$AH65), N($AQ$77:$AQ$82&gt;$AO65)) / BM65 / 1000</f>
        <v>0</v>
      </c>
      <c r="BO65" s="232">
        <f t="shared" si="18"/>
        <v>30</v>
      </c>
      <c r="BP65" s="230">
        <f t="shared" si="19"/>
        <v>43</v>
      </c>
      <c r="BQ65" s="235">
        <f t="shared" si="20"/>
        <v>3.2938815789473681</v>
      </c>
      <c r="BR65" s="235" cm="1">
        <f t="array" ref="BR65">$BI65 * IF($AH65&lt;=2,
SUMPRODUCT(INDEX($AR$72:$AT$76,,$AI65), INDEX($AU$72:$BA$76,,$AH65), 1 / ($BB$72:$BB$76*BQ65 + (1-$BB$72:$BB$76)*BM65), N($AQ$72:$AQ$76&gt;$AO65)),
SUMPRODUCT(INDEX($AR$67:$AT$76,,$AI65), INDEX($AU$67:$BA$76,,$AH65), 1 / ($BC$67:$BC$76*BQ65 + (1-$BC$67:$BC$76)*BM65), N($AQ$67:$AQ$76&gt;$AO65))
) / 1000</f>
        <v>0</v>
      </c>
      <c r="BS65" s="232">
        <f t="shared" si="21"/>
        <v>25</v>
      </c>
      <c r="BT65" s="230">
        <f t="shared" si="22"/>
        <v>38</v>
      </c>
      <c r="BU65" s="235">
        <f t="shared" si="23"/>
        <v>3.792954545454545</v>
      </c>
      <c r="BV65" s="235" cm="1">
        <f t="array" ref="BV65">$BI65 * IF($AH65&lt;=2,
SUMPRODUCT(INDEX($AR$67:$AT$71,,$AI65), INDEX($AU$67:$BA$71,,$AH65), 1 / ($BB$67:$BB$71*BU65 + (1-$BB$67:$BB$71)*BQ65), N($AQ$67:$AQ$71&gt;$AO65)),
SUMPRODUCT(INDEX($AR$57:$AT$66,,$AI65), INDEX($AU$57:$BA$66,,$AH65), 1 / ($BC$57:$BC$66*BU65 + (1-$BC$57:$BC$66)*BQ65), N($AQ$57:$AQ$66&gt;$AO65))
) / 1000</f>
        <v>0</v>
      </c>
      <c r="BW65" s="232">
        <f t="shared" si="24"/>
        <v>20</v>
      </c>
      <c r="BX65" s="230">
        <f t="shared" si="25"/>
        <v>33</v>
      </c>
      <c r="BY65" s="235">
        <f t="shared" si="26"/>
        <v>4.4702678571428569</v>
      </c>
      <c r="BZ65" s="235" cm="1">
        <f t="array" ref="BZ65">$BI65 * IF($AH65&lt;=2,
SUMPRODUCT(INDEX($AR$62:$AT$66,,$AI65), INDEX($AU$62:$BA$66,,$AH65), 1 / ($BB$62:$BB$66*BY65 + (1-$BB$62:$BB$66)*BU65), N($AQ$62:$AQ$66&gt;$AO65)),
SUMPRODUCT(INDEX($AR$47:$AT$56,,$AI65), INDEX($AU$47:$BA$56,,$AH65), 1 / ($BC$47:$BC$56*BY65 + (1-$BC$47:$BC$56)*BU65), N($AQ$47:$AQ$56&gt;$AO65))
) / 1000</f>
        <v>0</v>
      </c>
      <c r="CA65" s="235" cm="1">
        <f t="array" ref="CA65">$BI65 * IF($AH65&lt;=2,
SUMPRODUCT(INDEX($AR$23:$AT$61,,$AI65), INDEX($AU$23:$BA$61,,$AH65), 1 / ($BB$23:$BB$61*BY65), N($AQ$23:$AQ$61&gt;$AO65)),
SUMPRODUCT(INDEX($AR$23:$AT$46,,$AI65), INDEX($AU$23:$BA$46,,$AH65), 1 / ($BC$23:$BC$46*BY65), N($AQ$23:$AQ$46&gt;$AO65))
) / 1000</f>
        <v>0</v>
      </c>
      <c r="CB65" s="230">
        <f t="shared" si="27"/>
        <v>0</v>
      </c>
      <c r="CC65" s="238"/>
      <c r="CD65" s="229" cm="1">
        <f t="array" ref="CD65">IF(ISBLANK(Y65), INDEX(Use, $AH65, 4) - AN65*INDEX(Use, $AH65, 6) - (Q65-X65), Y65)</f>
        <v>7</v>
      </c>
      <c r="CE65" s="229">
        <f t="shared" si="28"/>
        <v>32</v>
      </c>
      <c r="CF65" s="230">
        <f t="shared" si="29"/>
        <v>0</v>
      </c>
      <c r="CG65" s="229">
        <v>35</v>
      </c>
      <c r="CH65" s="230">
        <f t="shared" si="30"/>
        <v>48</v>
      </c>
      <c r="CI65" s="235">
        <f t="shared" si="31"/>
        <v>3.0748170731707316</v>
      </c>
      <c r="CJ65" s="235" cm="1">
        <f t="array" ref="CJ65">$BI65 * SUMPRODUCT(INDEX($AR$77:$AT$82,,$AI65),INDEX($AU$77:$BA$82,,$AH65), N($AQ$77:$AQ$82&gt;$AO65)) / CI65 / 1000</f>
        <v>0</v>
      </c>
      <c r="CK65" s="232">
        <f t="shared" si="32"/>
        <v>30</v>
      </c>
      <c r="CL65" s="230">
        <f t="shared" si="33"/>
        <v>43</v>
      </c>
      <c r="CM65" s="235">
        <f t="shared" si="34"/>
        <v>3.5018750000000001</v>
      </c>
      <c r="CN65" s="235" cm="1">
        <f t="array" ref="CN65">$BI65 * IF($AH65&lt;=2,
SUMPRODUCT(INDEX($AR$72:$AT$76,,$AI65), INDEX($AU$72:$BA$76,,$AH65), 1 / ($BB$72:$BB$76*CM65 + (1-$BB$72:$BB$76)*CI65), N($AQ$72:$AQ$76&gt;$AO65)),
SUMPRODUCT(INDEX($AR$67:$AT$76,,$AI65), INDEX($AU$67:$BA$76,,$AH65), 1 / ($BC$67:$BC$76*CM65 + (1-$BC$67:$BC$76)*CI65), N($AQ$67:$AQ$76&gt;$AO65))
) / 1000</f>
        <v>0</v>
      </c>
      <c r="CO65" s="232">
        <f t="shared" si="35"/>
        <v>25</v>
      </c>
      <c r="CP65" s="230">
        <f t="shared" si="36"/>
        <v>38</v>
      </c>
      <c r="CQ65" s="235">
        <f t="shared" si="37"/>
        <v>4.0666935483870965</v>
      </c>
      <c r="CR65" s="235" cm="1">
        <f t="array" ref="CR65">$BI65 * IF($AH65&lt;=2,
SUMPRODUCT(INDEX($AR$67:$AT$71,,$AI65), INDEX($AU$67:$BA$71,,$AH65), 1 / ($BB$67:$BB$71*CQ65 + (1-$BB$67:$BB$71)*CM65), N($AQ$67:$AQ$71&gt;$AO65)),
SUMPRODUCT(INDEX($AR$57:$AT$66,,$AI65), INDEX($AU$57:$BA$66,,$AH65), 1 / ($BC$57:$BC$66*CQ65 + (1-$BC$57:$BC$66)*CM65), N($AQ$57:$AQ$66&gt;$AO65))
) / 1000</f>
        <v>0</v>
      </c>
      <c r="CS65" s="232">
        <f t="shared" si="38"/>
        <v>20</v>
      </c>
      <c r="CT65" s="230">
        <f t="shared" si="39"/>
        <v>33</v>
      </c>
      <c r="CU65" s="235">
        <f t="shared" si="40"/>
        <v>4.8487499999999999</v>
      </c>
      <c r="CV65" s="235" cm="1">
        <f t="array" ref="CV65">$BI65 * IF($AH65&lt;=2,
SUMPRODUCT(INDEX($AR$62:$AT$66,,$AI65), INDEX($AU$62:$BA$66,,$AH65), 1 / ($BB$62:$BB$66*CU65 + (1-$BB$62:$BB$66)*CQ65), N($AQ$62:$AQ$66&gt;$AO65)),
SUMPRODUCT(INDEX($AR$47:$AT$56,,$AI65), INDEX($AU$47:$BA$56,,$AH65), 1 / ($BC$47:$BC$56*CU65 + (1-$BC$47:$BC$56)*CQ65), N($AQ$47:$AQ$56&gt;$AO65))
) / 1000</f>
        <v>0</v>
      </c>
      <c r="CW65" s="235" cm="1">
        <f t="array" ref="CW65">$BI65 * IF($AH65&lt;=2,
SUMPRODUCT(INDEX($AR$23:$AT$61,,$AI65), INDEX($AU$23:$BA$61,,$AH65), 1 / ($BB$23:$BB$61*CU65), N($AQ$23:$AQ$61&gt;$AO65)),
SUMPRODUCT(INDEX($AR$23:$AT$46,,$AI65), INDEX($AU$23:$BA$46,,$AH65), 1 / ($BC$23:$BC$46*CU65), N($AQ$23:$AQ$46&gt;$AO65))
) / 1000</f>
        <v>0</v>
      </c>
      <c r="CX65" s="230">
        <f t="shared" si="41"/>
        <v>0</v>
      </c>
      <c r="CY65" s="238"/>
    </row>
    <row r="66" spans="1:103" s="76" customFormat="1" ht="14.25" customHeight="1" x14ac:dyDescent="0.25">
      <c r="A66" s="231" t="b">
        <f t="shared" si="0"/>
        <v>0</v>
      </c>
      <c r="B66" s="245">
        <v>44</v>
      </c>
      <c r="C66" s="258"/>
      <c r="D66" s="258"/>
      <c r="E66" s="246"/>
      <c r="F66" s="247" t="str">
        <f>IF(ISBLANK(E66), "", VLOOKUP(E66, Z!$A$2:$C$4127, 3, FALSE))</f>
        <v/>
      </c>
      <c r="G66" s="248"/>
      <c r="H66" s="248"/>
      <c r="I66" s="249"/>
      <c r="J66" s="250"/>
      <c r="K66" s="259"/>
      <c r="L66" s="260"/>
      <c r="M66" s="252" t="str" cm="1">
        <f t="array" ref="M66">INDEX(Trad, 53, $A$20)</f>
        <v>Verschmutzt</v>
      </c>
      <c r="N66" s="253"/>
      <c r="O66" s="253"/>
      <c r="P66" s="254"/>
      <c r="Q66" s="251"/>
      <c r="R66" s="251"/>
      <c r="S66" s="264">
        <f t="shared" si="7"/>
        <v>0</v>
      </c>
      <c r="T66" s="252" t="str" cm="1">
        <f t="array" ref="T66">INDEX(Trad, 52, $A$20)</f>
        <v>Sauber</v>
      </c>
      <c r="U66" s="253"/>
      <c r="V66" s="253"/>
      <c r="W66" s="254"/>
      <c r="X66" s="251"/>
      <c r="Y66" s="251"/>
      <c r="Z66" s="264">
        <f t="shared" si="8"/>
        <v>0</v>
      </c>
      <c r="AA66" s="261"/>
      <c r="AB66" s="258"/>
      <c r="AC66" s="246"/>
      <c r="AD66" s="247" t="str">
        <f>IF(ISBLANK(AC66), "", VLOOKUP(AC66, Z!$A$2:$C$4127, 3, FALSE))</f>
        <v/>
      </c>
      <c r="AE66" s="262"/>
      <c r="AF66" s="263">
        <f t="shared" si="132"/>
        <v>0</v>
      </c>
      <c r="AG66" s="238"/>
      <c r="AH66" s="229">
        <f t="shared" ref="AH66" si="166">IF(ISBLANK(H66), 1, IFERROR(MATCH(H66, INDEX(Use,,1), 0), IFERROR(MATCH(H66, INDEX(Use,,2), 0), MATCH(H66, INDEX(Use,,3), 0))))</f>
        <v>1</v>
      </c>
      <c r="AI66" s="229">
        <f t="shared" ref="AI66" si="167">IF(ISBLANK(G66), 1, IFERROR(MATCH(G66, INDEX(Loc,,1), 0), IFERROR(MATCH(G66, INDEX(Loc,,2), 0), MATCH(G66, INDEX(Loc,,3), 0))))</f>
        <v>1</v>
      </c>
      <c r="AJ66" s="229">
        <f t="shared" ref="AJ66" si="168">_xlfn.IFNA(IF(IFERROR(MATCH(I66, INDEX(Medium,,1), 0), IFERROR(MATCH(I66, INDEX(Medium,,2), 0), MATCH(I66, INDEX(Medium,,3), 0))) = 2, 1, 0), 0)</f>
        <v>0</v>
      </c>
      <c r="AK66" s="229">
        <v>0</v>
      </c>
      <c r="AL66" s="229">
        <v>0</v>
      </c>
      <c r="AM66" s="229">
        <v>1</v>
      </c>
      <c r="AN66" s="229">
        <v>0</v>
      </c>
      <c r="AO66" s="229">
        <f t="shared" si="5"/>
        <v>-100</v>
      </c>
      <c r="AP66" s="238"/>
      <c r="AQ66" s="229">
        <v>24</v>
      </c>
      <c r="AR66" s="232">
        <v>179</v>
      </c>
      <c r="AS66" s="232">
        <v>135</v>
      </c>
      <c r="AT66" s="232">
        <v>103</v>
      </c>
      <c r="AU66" s="233">
        <f t="shared" si="6"/>
        <v>0.3125</v>
      </c>
      <c r="AV66" s="233">
        <f t="shared" si="6"/>
        <v>0.3125</v>
      </c>
      <c r="AW66" s="233" cm="1">
        <f t="array" ref="AW66">MIN(INDEX(Use,AW$21,5) + MAX(0, (1-INDEX(Use,AW$21,5))*($AQ66-5)/(35-5)), 1)</f>
        <v>0.78</v>
      </c>
      <c r="AX66" s="233" cm="1">
        <f t="array" ref="AX66">MIN(INDEX(Use,AX$21,5) + MAX(0, (1-INDEX(Use,AX$21,5))*($AQ66-5)/(35-5)), 1)</f>
        <v>0.85333333333333328</v>
      </c>
      <c r="AY66" s="233" cm="1">
        <f t="array" ref="AY66">MIN(INDEX(Use,AY$21,5) + MAX(0, (1-INDEX(Use,AY$21,5))*($AQ66-5)/(35-5)), 1)</f>
        <v>0.92666666666666664</v>
      </c>
      <c r="AZ66" s="233" cm="1">
        <f t="array" ref="AZ66">MIN(INDEX(Use,AZ$21,5) + MAX(0, (1-INDEX(Use,AZ$21,5))*($AQ66-5)/(35-5)), 1)</f>
        <v>0.92666666666666664</v>
      </c>
      <c r="BA66" s="233" cm="1">
        <f t="array" ref="BA66">MIN(INDEX(Use,BA$21,5) + MAX(0, (1-INDEX(Use,BA$21,5))*($AQ66-5)/(35-5)), 1)</f>
        <v>0.92666666666666664</v>
      </c>
      <c r="BB66" s="233">
        <v>0.2</v>
      </c>
      <c r="BC66" s="233">
        <v>0.1</v>
      </c>
      <c r="BD66" s="211"/>
      <c r="BE66" s="229" cm="1">
        <f t="array" ref="BE66">IF(ISBLANK(R66), INDEX(Use, $AH66, 4) - AM66*INDEX(Use, $AH66, 6), R66)</f>
        <v>5</v>
      </c>
      <c r="BF66" s="229">
        <f t="shared" si="12"/>
        <v>30</v>
      </c>
      <c r="BG66" s="229">
        <f t="shared" si="13"/>
        <v>13</v>
      </c>
      <c r="BH66" s="229">
        <f t="shared" si="14"/>
        <v>0</v>
      </c>
      <c r="BI66" s="234" cm="1">
        <f t="array" ref="BI66">K66/IF($L66&gt;0, INDEX($AU$23:$BA$77, $L66+20, $AH66), 1)</f>
        <v>0</v>
      </c>
      <c r="BJ66" s="230">
        <f t="shared" si="15"/>
        <v>0</v>
      </c>
      <c r="BK66" s="229">
        <v>35</v>
      </c>
      <c r="BL66" s="230">
        <f t="shared" si="16"/>
        <v>48</v>
      </c>
      <c r="BM66" s="235">
        <f t="shared" si="17"/>
        <v>2.9108720930232557</v>
      </c>
      <c r="BN66" s="235" cm="1">
        <f t="array" ref="BN66">$BI66 * SUMPRODUCT(INDEX($AR$77:$AT$82,,$AI66),INDEX($AU$77:$BA$82,,$AH66), N($AQ$77:$AQ$82&gt;$AO66)) / BM66 / 1000</f>
        <v>0</v>
      </c>
      <c r="BO66" s="232">
        <f t="shared" si="18"/>
        <v>30</v>
      </c>
      <c r="BP66" s="230">
        <f t="shared" si="19"/>
        <v>43</v>
      </c>
      <c r="BQ66" s="235">
        <f t="shared" si="20"/>
        <v>3.2938815789473681</v>
      </c>
      <c r="BR66" s="235" cm="1">
        <f t="array" ref="BR66">$BI66 * IF($AH66&lt;=2,
SUMPRODUCT(INDEX($AR$72:$AT$76,,$AI66), INDEX($AU$72:$BA$76,,$AH66), 1 / ($BB$72:$BB$76*BQ66 + (1-$BB$72:$BB$76)*BM66), N($AQ$72:$AQ$76&gt;$AO66)),
SUMPRODUCT(INDEX($AR$67:$AT$76,,$AI66), INDEX($AU$67:$BA$76,,$AH66), 1 / ($BC$67:$BC$76*BQ66 + (1-$BC$67:$BC$76)*BM66), N($AQ$67:$AQ$76&gt;$AO66))
) / 1000</f>
        <v>0</v>
      </c>
      <c r="BS66" s="232">
        <f t="shared" si="21"/>
        <v>25</v>
      </c>
      <c r="BT66" s="230">
        <f t="shared" si="22"/>
        <v>38</v>
      </c>
      <c r="BU66" s="235">
        <f t="shared" si="23"/>
        <v>3.792954545454545</v>
      </c>
      <c r="BV66" s="235" cm="1">
        <f t="array" ref="BV66">$BI66 * IF($AH66&lt;=2,
SUMPRODUCT(INDEX($AR$67:$AT$71,,$AI66), INDEX($AU$67:$BA$71,,$AH66), 1 / ($BB$67:$BB$71*BU66 + (1-$BB$67:$BB$71)*BQ66), N($AQ$67:$AQ$71&gt;$AO66)),
SUMPRODUCT(INDEX($AR$57:$AT$66,,$AI66), INDEX($AU$57:$BA$66,,$AH66), 1 / ($BC$57:$BC$66*BU66 + (1-$BC$57:$BC$66)*BQ66), N($AQ$57:$AQ$66&gt;$AO66))
) / 1000</f>
        <v>0</v>
      </c>
      <c r="BW66" s="232">
        <f t="shared" si="24"/>
        <v>20</v>
      </c>
      <c r="BX66" s="230">
        <f t="shared" si="25"/>
        <v>33</v>
      </c>
      <c r="BY66" s="235">
        <f t="shared" si="26"/>
        <v>4.4702678571428569</v>
      </c>
      <c r="BZ66" s="235" cm="1">
        <f t="array" ref="BZ66">$BI66 * IF($AH66&lt;=2,
SUMPRODUCT(INDEX($AR$62:$AT$66,,$AI66), INDEX($AU$62:$BA$66,,$AH66), 1 / ($BB$62:$BB$66*BY66 + (1-$BB$62:$BB$66)*BU66), N($AQ$62:$AQ$66&gt;$AO66)),
SUMPRODUCT(INDEX($AR$47:$AT$56,,$AI66), INDEX($AU$47:$BA$56,,$AH66), 1 / ($BC$47:$BC$56*BY66 + (1-$BC$47:$BC$56)*BU66), N($AQ$47:$AQ$56&gt;$AO66))
) / 1000</f>
        <v>0</v>
      </c>
      <c r="CA66" s="235" cm="1">
        <f t="array" ref="CA66">$BI66 * IF($AH66&lt;=2,
SUMPRODUCT(INDEX($AR$23:$AT$61,,$AI66), INDEX($AU$23:$BA$61,,$AH66), 1 / ($BB$23:$BB$61*BY66), N($AQ$23:$AQ$61&gt;$AO66)),
SUMPRODUCT(INDEX($AR$23:$AT$46,,$AI66), INDEX($AU$23:$BA$46,,$AH66), 1 / ($BC$23:$BC$46*BY66), N($AQ$23:$AQ$46&gt;$AO66))
) / 1000</f>
        <v>0</v>
      </c>
      <c r="CB66" s="230">
        <f t="shared" si="27"/>
        <v>0</v>
      </c>
      <c r="CC66" s="238"/>
      <c r="CD66" s="229" cm="1">
        <f t="array" ref="CD66">IF(ISBLANK(Y66), INDEX(Use, $AH66, 4) - AN66*INDEX(Use, $AH66, 6) - (Q66-X66), Y66)</f>
        <v>7</v>
      </c>
      <c r="CE66" s="229">
        <f t="shared" si="28"/>
        <v>32</v>
      </c>
      <c r="CF66" s="230">
        <f t="shared" si="29"/>
        <v>0</v>
      </c>
      <c r="CG66" s="229">
        <v>35</v>
      </c>
      <c r="CH66" s="230">
        <f t="shared" si="30"/>
        <v>48</v>
      </c>
      <c r="CI66" s="235">
        <f t="shared" si="31"/>
        <v>3.0748170731707316</v>
      </c>
      <c r="CJ66" s="235" cm="1">
        <f t="array" ref="CJ66">$BI66 * SUMPRODUCT(INDEX($AR$77:$AT$82,,$AI66),INDEX($AU$77:$BA$82,,$AH66), N($AQ$77:$AQ$82&gt;$AO66)) / CI66 / 1000</f>
        <v>0</v>
      </c>
      <c r="CK66" s="232">
        <f t="shared" si="32"/>
        <v>30</v>
      </c>
      <c r="CL66" s="230">
        <f t="shared" si="33"/>
        <v>43</v>
      </c>
      <c r="CM66" s="235">
        <f t="shared" si="34"/>
        <v>3.5018750000000001</v>
      </c>
      <c r="CN66" s="235" cm="1">
        <f t="array" ref="CN66">$BI66 * IF($AH66&lt;=2,
SUMPRODUCT(INDEX($AR$72:$AT$76,,$AI66), INDEX($AU$72:$BA$76,,$AH66), 1 / ($BB$72:$BB$76*CM66 + (1-$BB$72:$BB$76)*CI66), N($AQ$72:$AQ$76&gt;$AO66)),
SUMPRODUCT(INDEX($AR$67:$AT$76,,$AI66), INDEX($AU$67:$BA$76,,$AH66), 1 / ($BC$67:$BC$76*CM66 + (1-$BC$67:$BC$76)*CI66), N($AQ$67:$AQ$76&gt;$AO66))
) / 1000</f>
        <v>0</v>
      </c>
      <c r="CO66" s="232">
        <f t="shared" si="35"/>
        <v>25</v>
      </c>
      <c r="CP66" s="230">
        <f t="shared" si="36"/>
        <v>38</v>
      </c>
      <c r="CQ66" s="235">
        <f t="shared" si="37"/>
        <v>4.0666935483870965</v>
      </c>
      <c r="CR66" s="235" cm="1">
        <f t="array" ref="CR66">$BI66 * IF($AH66&lt;=2,
SUMPRODUCT(INDEX($AR$67:$AT$71,,$AI66), INDEX($AU$67:$BA$71,,$AH66), 1 / ($BB$67:$BB$71*CQ66 + (1-$BB$67:$BB$71)*CM66), N($AQ$67:$AQ$71&gt;$AO66)),
SUMPRODUCT(INDEX($AR$57:$AT$66,,$AI66), INDEX($AU$57:$BA$66,,$AH66), 1 / ($BC$57:$BC$66*CQ66 + (1-$BC$57:$BC$66)*CM66), N($AQ$57:$AQ$66&gt;$AO66))
) / 1000</f>
        <v>0</v>
      </c>
      <c r="CS66" s="232">
        <f t="shared" si="38"/>
        <v>20</v>
      </c>
      <c r="CT66" s="230">
        <f t="shared" si="39"/>
        <v>33</v>
      </c>
      <c r="CU66" s="235">
        <f t="shared" si="40"/>
        <v>4.8487499999999999</v>
      </c>
      <c r="CV66" s="235" cm="1">
        <f t="array" ref="CV66">$BI66 * IF($AH66&lt;=2,
SUMPRODUCT(INDEX($AR$62:$AT$66,,$AI66), INDEX($AU$62:$BA$66,,$AH66), 1 / ($BB$62:$BB$66*CU66 + (1-$BB$62:$BB$66)*CQ66), N($AQ$62:$AQ$66&gt;$AO66)),
SUMPRODUCT(INDEX($AR$47:$AT$56,,$AI66), INDEX($AU$47:$BA$56,,$AH66), 1 / ($BC$47:$BC$56*CU66 + (1-$BC$47:$BC$56)*CQ66), N($AQ$47:$AQ$56&gt;$AO66))
) / 1000</f>
        <v>0</v>
      </c>
      <c r="CW66" s="235" cm="1">
        <f t="array" ref="CW66">$BI66 * IF($AH66&lt;=2,
SUMPRODUCT(INDEX($AR$23:$AT$61,,$AI66), INDEX($AU$23:$BA$61,,$AH66), 1 / ($BB$23:$BB$61*CU66), N($AQ$23:$AQ$61&gt;$AO66)),
SUMPRODUCT(INDEX($AR$23:$AT$46,,$AI66), INDEX($AU$23:$BA$46,,$AH66), 1 / ($BC$23:$BC$46*CU66), N($AQ$23:$AQ$46&gt;$AO66))
) / 1000</f>
        <v>0</v>
      </c>
      <c r="CX66" s="230">
        <f t="shared" si="41"/>
        <v>0</v>
      </c>
      <c r="CY66" s="238"/>
    </row>
    <row r="67" spans="1:103" s="76" customFormat="1" ht="14.25" customHeight="1" x14ac:dyDescent="0.25">
      <c r="A67" s="231" t="b">
        <f t="shared" si="0"/>
        <v>0</v>
      </c>
      <c r="B67" s="245">
        <v>45</v>
      </c>
      <c r="C67" s="258"/>
      <c r="D67" s="258"/>
      <c r="E67" s="246"/>
      <c r="F67" s="247" t="str">
        <f>IF(ISBLANK(E67), "", VLOOKUP(E67, Z!$A$2:$C$4127, 3, FALSE))</f>
        <v/>
      </c>
      <c r="G67" s="248"/>
      <c r="H67" s="248"/>
      <c r="I67" s="249"/>
      <c r="J67" s="250"/>
      <c r="K67" s="259"/>
      <c r="L67" s="260"/>
      <c r="M67" s="252" t="str" cm="1">
        <f t="array" ref="M67">INDEX(Trad, 53, $A$20)</f>
        <v>Verschmutzt</v>
      </c>
      <c r="N67" s="253"/>
      <c r="O67" s="253"/>
      <c r="P67" s="254"/>
      <c r="Q67" s="251"/>
      <c r="R67" s="251"/>
      <c r="S67" s="264">
        <f t="shared" si="7"/>
        <v>0</v>
      </c>
      <c r="T67" s="252" t="str" cm="1">
        <f t="array" ref="T67">INDEX(Trad, 52, $A$20)</f>
        <v>Sauber</v>
      </c>
      <c r="U67" s="253"/>
      <c r="V67" s="253"/>
      <c r="W67" s="254"/>
      <c r="X67" s="251"/>
      <c r="Y67" s="251"/>
      <c r="Z67" s="264">
        <f t="shared" si="8"/>
        <v>0</v>
      </c>
      <c r="AA67" s="261"/>
      <c r="AB67" s="258"/>
      <c r="AC67" s="246"/>
      <c r="AD67" s="247" t="str">
        <f>IF(ISBLANK(AC67), "", VLOOKUP(AC67, Z!$A$2:$C$4127, 3, FALSE))</f>
        <v/>
      </c>
      <c r="AE67" s="262"/>
      <c r="AF67" s="263">
        <f t="shared" si="132"/>
        <v>0</v>
      </c>
      <c r="AG67" s="238"/>
      <c r="AH67" s="229">
        <f t="shared" ref="AH67" si="169">IF(ISBLANK(H67), 1, IFERROR(MATCH(H67, INDEX(Use,,1), 0), IFERROR(MATCH(H67, INDEX(Use,,2), 0), MATCH(H67, INDEX(Use,,3), 0))))</f>
        <v>1</v>
      </c>
      <c r="AI67" s="229">
        <f t="shared" ref="AI67" si="170">IF(ISBLANK(G67), 1, IFERROR(MATCH(G67, INDEX(Loc,,1), 0), IFERROR(MATCH(G67, INDEX(Loc,,2), 0), MATCH(G67, INDEX(Loc,,3), 0))))</f>
        <v>1</v>
      </c>
      <c r="AJ67" s="229">
        <f t="shared" ref="AJ67" si="171">_xlfn.IFNA(IF(IFERROR(MATCH(I67, INDEX(Medium,,1), 0), IFERROR(MATCH(I67, INDEX(Medium,,2), 0), MATCH(I67, INDEX(Medium,,3), 0))) = 2, 1, 0), 0)</f>
        <v>0</v>
      </c>
      <c r="AK67" s="229">
        <v>0</v>
      </c>
      <c r="AL67" s="229">
        <v>0</v>
      </c>
      <c r="AM67" s="229">
        <v>1</v>
      </c>
      <c r="AN67" s="229">
        <v>0</v>
      </c>
      <c r="AO67" s="229">
        <f t="shared" si="5"/>
        <v>-100</v>
      </c>
      <c r="AP67" s="238"/>
      <c r="AQ67" s="229">
        <v>25</v>
      </c>
      <c r="AR67" s="232">
        <v>139</v>
      </c>
      <c r="AS67" s="232">
        <v>128</v>
      </c>
      <c r="AT67" s="232">
        <v>46</v>
      </c>
      <c r="AU67" s="233">
        <f t="shared" si="6"/>
        <v>0.375</v>
      </c>
      <c r="AV67" s="233">
        <f t="shared" si="6"/>
        <v>0.375</v>
      </c>
      <c r="AW67" s="233" cm="1">
        <f t="array" ref="AW67">MIN(INDEX(Use,AW$21,5) + MAX(0, (1-INDEX(Use,AW$21,5))*($AQ67-5)/(35-5)), 1)</f>
        <v>0.8</v>
      </c>
      <c r="AX67" s="233" cm="1">
        <f t="array" ref="AX67">MIN(INDEX(Use,AX$21,5) + MAX(0, (1-INDEX(Use,AX$21,5))*($AQ67-5)/(35-5)), 1)</f>
        <v>0.8666666666666667</v>
      </c>
      <c r="AY67" s="233" cm="1">
        <f t="array" ref="AY67">MIN(INDEX(Use,AY$21,5) + MAX(0, (1-INDEX(Use,AY$21,5))*($AQ67-5)/(35-5)), 1)</f>
        <v>0.93333333333333335</v>
      </c>
      <c r="AZ67" s="233" cm="1">
        <f t="array" ref="AZ67">MIN(INDEX(Use,AZ$21,5) + MAX(0, (1-INDEX(Use,AZ$21,5))*($AQ67-5)/(35-5)), 1)</f>
        <v>0.93333333333333335</v>
      </c>
      <c r="BA67" s="233" cm="1">
        <f t="array" ref="BA67">MIN(INDEX(Use,BA$21,5) + MAX(0, (1-INDEX(Use,BA$21,5))*($AQ67-5)/(35-5)), 1)</f>
        <v>0.93333333333333335</v>
      </c>
      <c r="BB67" s="233">
        <v>1</v>
      </c>
      <c r="BC67" s="233">
        <v>1</v>
      </c>
      <c r="BD67" s="211"/>
      <c r="BE67" s="229" cm="1">
        <f t="array" ref="BE67">IF(ISBLANK(R67), INDEX(Use, $AH67, 4) - AM67*INDEX(Use, $AH67, 6), R67)</f>
        <v>5</v>
      </c>
      <c r="BF67" s="229">
        <f t="shared" si="12"/>
        <v>30</v>
      </c>
      <c r="BG67" s="229">
        <f t="shared" si="13"/>
        <v>13</v>
      </c>
      <c r="BH67" s="229">
        <f t="shared" si="14"/>
        <v>0</v>
      </c>
      <c r="BI67" s="234" cm="1">
        <f t="array" ref="BI67">K67/IF($L67&gt;0, INDEX($AU$23:$BA$77, $L67+20, $AH67), 1)</f>
        <v>0</v>
      </c>
      <c r="BJ67" s="230">
        <f t="shared" si="15"/>
        <v>0</v>
      </c>
      <c r="BK67" s="229">
        <v>35</v>
      </c>
      <c r="BL67" s="230">
        <f t="shared" si="16"/>
        <v>48</v>
      </c>
      <c r="BM67" s="235">
        <f t="shared" si="17"/>
        <v>2.9108720930232557</v>
      </c>
      <c r="BN67" s="235" cm="1">
        <f t="array" ref="BN67">$BI67 * SUMPRODUCT(INDEX($AR$77:$AT$82,,$AI67),INDEX($AU$77:$BA$82,,$AH67), N($AQ$77:$AQ$82&gt;$AO67)) / BM67 / 1000</f>
        <v>0</v>
      </c>
      <c r="BO67" s="232">
        <f t="shared" si="18"/>
        <v>30</v>
      </c>
      <c r="BP67" s="230">
        <f t="shared" si="19"/>
        <v>43</v>
      </c>
      <c r="BQ67" s="235">
        <f t="shared" si="20"/>
        <v>3.2938815789473681</v>
      </c>
      <c r="BR67" s="235" cm="1">
        <f t="array" ref="BR67">$BI67 * IF($AH67&lt;=2,
SUMPRODUCT(INDEX($AR$72:$AT$76,,$AI67), INDEX($AU$72:$BA$76,,$AH67), 1 / ($BB$72:$BB$76*BQ67 + (1-$BB$72:$BB$76)*BM67), N($AQ$72:$AQ$76&gt;$AO67)),
SUMPRODUCT(INDEX($AR$67:$AT$76,,$AI67), INDEX($AU$67:$BA$76,,$AH67), 1 / ($BC$67:$BC$76*BQ67 + (1-$BC$67:$BC$76)*BM67), N($AQ$67:$AQ$76&gt;$AO67))
) / 1000</f>
        <v>0</v>
      </c>
      <c r="BS67" s="232">
        <f t="shared" si="21"/>
        <v>25</v>
      </c>
      <c r="BT67" s="230">
        <f t="shared" si="22"/>
        <v>38</v>
      </c>
      <c r="BU67" s="235">
        <f t="shared" si="23"/>
        <v>3.792954545454545</v>
      </c>
      <c r="BV67" s="235" cm="1">
        <f t="array" ref="BV67">$BI67 * IF($AH67&lt;=2,
SUMPRODUCT(INDEX($AR$67:$AT$71,,$AI67), INDEX($AU$67:$BA$71,,$AH67), 1 / ($BB$67:$BB$71*BU67 + (1-$BB$67:$BB$71)*BQ67), N($AQ$67:$AQ$71&gt;$AO67)),
SUMPRODUCT(INDEX($AR$57:$AT$66,,$AI67), INDEX($AU$57:$BA$66,,$AH67), 1 / ($BC$57:$BC$66*BU67 + (1-$BC$57:$BC$66)*BQ67), N($AQ$57:$AQ$66&gt;$AO67))
) / 1000</f>
        <v>0</v>
      </c>
      <c r="BW67" s="232">
        <f t="shared" si="24"/>
        <v>20</v>
      </c>
      <c r="BX67" s="230">
        <f t="shared" si="25"/>
        <v>33</v>
      </c>
      <c r="BY67" s="235">
        <f t="shared" si="26"/>
        <v>4.4702678571428569</v>
      </c>
      <c r="BZ67" s="235" cm="1">
        <f t="array" ref="BZ67">$BI67 * IF($AH67&lt;=2,
SUMPRODUCT(INDEX($AR$62:$AT$66,,$AI67), INDEX($AU$62:$BA$66,,$AH67), 1 / ($BB$62:$BB$66*BY67 + (1-$BB$62:$BB$66)*BU67), N($AQ$62:$AQ$66&gt;$AO67)),
SUMPRODUCT(INDEX($AR$47:$AT$56,,$AI67), INDEX($AU$47:$BA$56,,$AH67), 1 / ($BC$47:$BC$56*BY67 + (1-$BC$47:$BC$56)*BU67), N($AQ$47:$AQ$56&gt;$AO67))
) / 1000</f>
        <v>0</v>
      </c>
      <c r="CA67" s="235" cm="1">
        <f t="array" ref="CA67">$BI67 * IF($AH67&lt;=2,
SUMPRODUCT(INDEX($AR$23:$AT$61,,$AI67), INDEX($AU$23:$BA$61,,$AH67), 1 / ($BB$23:$BB$61*BY67), N($AQ$23:$AQ$61&gt;$AO67)),
SUMPRODUCT(INDEX($AR$23:$AT$46,,$AI67), INDEX($AU$23:$BA$46,,$AH67), 1 / ($BC$23:$BC$46*BY67), N($AQ$23:$AQ$46&gt;$AO67))
) / 1000</f>
        <v>0</v>
      </c>
      <c r="CB67" s="230">
        <f t="shared" si="27"/>
        <v>0</v>
      </c>
      <c r="CC67" s="238"/>
      <c r="CD67" s="229" cm="1">
        <f t="array" ref="CD67">IF(ISBLANK(Y67), INDEX(Use, $AH67, 4) - AN67*INDEX(Use, $AH67, 6) - (Q67-X67), Y67)</f>
        <v>7</v>
      </c>
      <c r="CE67" s="229">
        <f t="shared" si="28"/>
        <v>32</v>
      </c>
      <c r="CF67" s="230">
        <f t="shared" si="29"/>
        <v>0</v>
      </c>
      <c r="CG67" s="229">
        <v>35</v>
      </c>
      <c r="CH67" s="230">
        <f t="shared" si="30"/>
        <v>48</v>
      </c>
      <c r="CI67" s="235">
        <f t="shared" si="31"/>
        <v>3.0748170731707316</v>
      </c>
      <c r="CJ67" s="235" cm="1">
        <f t="array" ref="CJ67">$BI67 * SUMPRODUCT(INDEX($AR$77:$AT$82,,$AI67),INDEX($AU$77:$BA$82,,$AH67), N($AQ$77:$AQ$82&gt;$AO67)) / CI67 / 1000</f>
        <v>0</v>
      </c>
      <c r="CK67" s="232">
        <f t="shared" si="32"/>
        <v>30</v>
      </c>
      <c r="CL67" s="230">
        <f t="shared" si="33"/>
        <v>43</v>
      </c>
      <c r="CM67" s="235">
        <f t="shared" si="34"/>
        <v>3.5018750000000001</v>
      </c>
      <c r="CN67" s="235" cm="1">
        <f t="array" ref="CN67">$BI67 * IF($AH67&lt;=2,
SUMPRODUCT(INDEX($AR$72:$AT$76,,$AI67), INDEX($AU$72:$BA$76,,$AH67), 1 / ($BB$72:$BB$76*CM67 + (1-$BB$72:$BB$76)*CI67), N($AQ$72:$AQ$76&gt;$AO67)),
SUMPRODUCT(INDEX($AR$67:$AT$76,,$AI67), INDEX($AU$67:$BA$76,,$AH67), 1 / ($BC$67:$BC$76*CM67 + (1-$BC$67:$BC$76)*CI67), N($AQ$67:$AQ$76&gt;$AO67))
) / 1000</f>
        <v>0</v>
      </c>
      <c r="CO67" s="232">
        <f t="shared" si="35"/>
        <v>25</v>
      </c>
      <c r="CP67" s="230">
        <f t="shared" si="36"/>
        <v>38</v>
      </c>
      <c r="CQ67" s="235">
        <f t="shared" si="37"/>
        <v>4.0666935483870965</v>
      </c>
      <c r="CR67" s="235" cm="1">
        <f t="array" ref="CR67">$BI67 * IF($AH67&lt;=2,
SUMPRODUCT(INDEX($AR$67:$AT$71,,$AI67), INDEX($AU$67:$BA$71,,$AH67), 1 / ($BB$67:$BB$71*CQ67 + (1-$BB$67:$BB$71)*CM67), N($AQ$67:$AQ$71&gt;$AO67)),
SUMPRODUCT(INDEX($AR$57:$AT$66,,$AI67), INDEX($AU$57:$BA$66,,$AH67), 1 / ($BC$57:$BC$66*CQ67 + (1-$BC$57:$BC$66)*CM67), N($AQ$57:$AQ$66&gt;$AO67))
) / 1000</f>
        <v>0</v>
      </c>
      <c r="CS67" s="232">
        <f t="shared" si="38"/>
        <v>20</v>
      </c>
      <c r="CT67" s="230">
        <f t="shared" si="39"/>
        <v>33</v>
      </c>
      <c r="CU67" s="235">
        <f t="shared" si="40"/>
        <v>4.8487499999999999</v>
      </c>
      <c r="CV67" s="235" cm="1">
        <f t="array" ref="CV67">$BI67 * IF($AH67&lt;=2,
SUMPRODUCT(INDEX($AR$62:$AT$66,,$AI67), INDEX($AU$62:$BA$66,,$AH67), 1 / ($BB$62:$BB$66*CU67 + (1-$BB$62:$BB$66)*CQ67), N($AQ$62:$AQ$66&gt;$AO67)),
SUMPRODUCT(INDEX($AR$47:$AT$56,,$AI67), INDEX($AU$47:$BA$56,,$AH67), 1 / ($BC$47:$BC$56*CU67 + (1-$BC$47:$BC$56)*CQ67), N($AQ$47:$AQ$56&gt;$AO67))
) / 1000</f>
        <v>0</v>
      </c>
      <c r="CW67" s="235" cm="1">
        <f t="array" ref="CW67">$BI67 * IF($AH67&lt;=2,
SUMPRODUCT(INDEX($AR$23:$AT$61,,$AI67), INDEX($AU$23:$BA$61,,$AH67), 1 / ($BB$23:$BB$61*CU67), N($AQ$23:$AQ$61&gt;$AO67)),
SUMPRODUCT(INDEX($AR$23:$AT$46,,$AI67), INDEX($AU$23:$BA$46,,$AH67), 1 / ($BC$23:$BC$46*CU67), N($AQ$23:$AQ$46&gt;$AO67))
) / 1000</f>
        <v>0</v>
      </c>
      <c r="CX67" s="230">
        <f t="shared" si="41"/>
        <v>0</v>
      </c>
      <c r="CY67" s="238"/>
    </row>
    <row r="68" spans="1:103" s="76" customFormat="1" ht="14.25" customHeight="1" x14ac:dyDescent="0.25">
      <c r="A68" s="231" t="b">
        <f t="shared" si="0"/>
        <v>0</v>
      </c>
      <c r="B68" s="245">
        <v>46</v>
      </c>
      <c r="C68" s="258"/>
      <c r="D68" s="258"/>
      <c r="E68" s="246"/>
      <c r="F68" s="247" t="str">
        <f>IF(ISBLANK(E68), "", VLOOKUP(E68, Z!$A$2:$C$4127, 3, FALSE))</f>
        <v/>
      </c>
      <c r="G68" s="248"/>
      <c r="H68" s="248"/>
      <c r="I68" s="249"/>
      <c r="J68" s="250"/>
      <c r="K68" s="259"/>
      <c r="L68" s="260"/>
      <c r="M68" s="252" t="str" cm="1">
        <f t="array" ref="M68">INDEX(Trad, 53, $A$20)</f>
        <v>Verschmutzt</v>
      </c>
      <c r="N68" s="253"/>
      <c r="O68" s="253"/>
      <c r="P68" s="254"/>
      <c r="Q68" s="251"/>
      <c r="R68" s="251"/>
      <c r="S68" s="264">
        <f t="shared" si="7"/>
        <v>0</v>
      </c>
      <c r="T68" s="252" t="str" cm="1">
        <f t="array" ref="T68">INDEX(Trad, 52, $A$20)</f>
        <v>Sauber</v>
      </c>
      <c r="U68" s="253"/>
      <c r="V68" s="253"/>
      <c r="W68" s="254"/>
      <c r="X68" s="251"/>
      <c r="Y68" s="251"/>
      <c r="Z68" s="264">
        <f t="shared" si="8"/>
        <v>0</v>
      </c>
      <c r="AA68" s="261"/>
      <c r="AB68" s="258"/>
      <c r="AC68" s="246"/>
      <c r="AD68" s="247" t="str">
        <f>IF(ISBLANK(AC68), "", VLOOKUP(AC68, Z!$A$2:$C$4127, 3, FALSE))</f>
        <v/>
      </c>
      <c r="AE68" s="262"/>
      <c r="AF68" s="263">
        <f t="shared" si="132"/>
        <v>0</v>
      </c>
      <c r="AG68" s="238"/>
      <c r="AH68" s="229">
        <f t="shared" ref="AH68" si="172">IF(ISBLANK(H68), 1, IFERROR(MATCH(H68, INDEX(Use,,1), 0), IFERROR(MATCH(H68, INDEX(Use,,2), 0), MATCH(H68, INDEX(Use,,3), 0))))</f>
        <v>1</v>
      </c>
      <c r="AI68" s="229">
        <f t="shared" ref="AI68" si="173">IF(ISBLANK(G68), 1, IFERROR(MATCH(G68, INDEX(Loc,,1), 0), IFERROR(MATCH(G68, INDEX(Loc,,2), 0), MATCH(G68, INDEX(Loc,,3), 0))))</f>
        <v>1</v>
      </c>
      <c r="AJ68" s="229">
        <f t="shared" ref="AJ68" si="174">_xlfn.IFNA(IF(IFERROR(MATCH(I68, INDEX(Medium,,1), 0), IFERROR(MATCH(I68, INDEX(Medium,,2), 0), MATCH(I68, INDEX(Medium,,3), 0))) = 2, 1, 0), 0)</f>
        <v>0</v>
      </c>
      <c r="AK68" s="229">
        <v>0</v>
      </c>
      <c r="AL68" s="229">
        <v>0</v>
      </c>
      <c r="AM68" s="229">
        <v>1</v>
      </c>
      <c r="AN68" s="229">
        <v>0</v>
      </c>
      <c r="AO68" s="229">
        <f t="shared" si="5"/>
        <v>-100</v>
      </c>
      <c r="AP68" s="238"/>
      <c r="AQ68" s="229">
        <v>26</v>
      </c>
      <c r="AR68" s="232">
        <v>149</v>
      </c>
      <c r="AS68" s="232">
        <v>99</v>
      </c>
      <c r="AT68" s="232">
        <v>47</v>
      </c>
      <c r="AU68" s="233">
        <f t="shared" si="6"/>
        <v>0.4375</v>
      </c>
      <c r="AV68" s="233">
        <f t="shared" si="6"/>
        <v>0.4375</v>
      </c>
      <c r="AW68" s="233" cm="1">
        <f t="array" ref="AW68">MIN(INDEX(Use,AW$21,5) + MAX(0, (1-INDEX(Use,AW$21,5))*($AQ68-5)/(35-5)), 1)</f>
        <v>0.82000000000000006</v>
      </c>
      <c r="AX68" s="233" cm="1">
        <f t="array" ref="AX68">MIN(INDEX(Use,AX$21,5) + MAX(0, (1-INDEX(Use,AX$21,5))*($AQ68-5)/(35-5)), 1)</f>
        <v>0.88</v>
      </c>
      <c r="AY68" s="233" cm="1">
        <f t="array" ref="AY68">MIN(INDEX(Use,AY$21,5) + MAX(0, (1-INDEX(Use,AY$21,5))*($AQ68-5)/(35-5)), 1)</f>
        <v>0.94000000000000006</v>
      </c>
      <c r="AZ68" s="233" cm="1">
        <f t="array" ref="AZ68">MIN(INDEX(Use,AZ$21,5) + MAX(0, (1-INDEX(Use,AZ$21,5))*($AQ68-5)/(35-5)), 1)</f>
        <v>0.94000000000000006</v>
      </c>
      <c r="BA68" s="233" cm="1">
        <f t="array" ref="BA68">MIN(INDEX(Use,BA$21,5) + MAX(0, (1-INDEX(Use,BA$21,5))*($AQ68-5)/(35-5)), 1)</f>
        <v>0.94000000000000006</v>
      </c>
      <c r="BB68" s="233">
        <v>0.8</v>
      </c>
      <c r="BC68" s="233">
        <v>0.9</v>
      </c>
      <c r="BD68" s="211"/>
      <c r="BE68" s="229" cm="1">
        <f t="array" ref="BE68">IF(ISBLANK(R68), INDEX(Use, $AH68, 4) - AM68*INDEX(Use, $AH68, 6), R68)</f>
        <v>5</v>
      </c>
      <c r="BF68" s="229">
        <f t="shared" si="12"/>
        <v>30</v>
      </c>
      <c r="BG68" s="229">
        <f t="shared" si="13"/>
        <v>13</v>
      </c>
      <c r="BH68" s="229">
        <f t="shared" si="14"/>
        <v>0</v>
      </c>
      <c r="BI68" s="234" cm="1">
        <f t="array" ref="BI68">K68/IF($L68&gt;0, INDEX($AU$23:$BA$77, $L68+20, $AH68), 1)</f>
        <v>0</v>
      </c>
      <c r="BJ68" s="230">
        <f t="shared" si="15"/>
        <v>0</v>
      </c>
      <c r="BK68" s="229">
        <v>35</v>
      </c>
      <c r="BL68" s="230">
        <f t="shared" si="16"/>
        <v>48</v>
      </c>
      <c r="BM68" s="235">
        <f t="shared" si="17"/>
        <v>2.9108720930232557</v>
      </c>
      <c r="BN68" s="235" cm="1">
        <f t="array" ref="BN68">$BI68 * SUMPRODUCT(INDEX($AR$77:$AT$82,,$AI68),INDEX($AU$77:$BA$82,,$AH68), N($AQ$77:$AQ$82&gt;$AO68)) / BM68 / 1000</f>
        <v>0</v>
      </c>
      <c r="BO68" s="232">
        <f t="shared" si="18"/>
        <v>30</v>
      </c>
      <c r="BP68" s="230">
        <f t="shared" si="19"/>
        <v>43</v>
      </c>
      <c r="BQ68" s="235">
        <f t="shared" si="20"/>
        <v>3.2938815789473681</v>
      </c>
      <c r="BR68" s="235" cm="1">
        <f t="array" ref="BR68">$BI68 * IF($AH68&lt;=2,
SUMPRODUCT(INDEX($AR$72:$AT$76,,$AI68), INDEX($AU$72:$BA$76,,$AH68), 1 / ($BB$72:$BB$76*BQ68 + (1-$BB$72:$BB$76)*BM68), N($AQ$72:$AQ$76&gt;$AO68)),
SUMPRODUCT(INDEX($AR$67:$AT$76,,$AI68), INDEX($AU$67:$BA$76,,$AH68), 1 / ($BC$67:$BC$76*BQ68 + (1-$BC$67:$BC$76)*BM68), N($AQ$67:$AQ$76&gt;$AO68))
) / 1000</f>
        <v>0</v>
      </c>
      <c r="BS68" s="232">
        <f t="shared" si="21"/>
        <v>25</v>
      </c>
      <c r="BT68" s="230">
        <f t="shared" si="22"/>
        <v>38</v>
      </c>
      <c r="BU68" s="235">
        <f t="shared" si="23"/>
        <v>3.792954545454545</v>
      </c>
      <c r="BV68" s="235" cm="1">
        <f t="array" ref="BV68">$BI68 * IF($AH68&lt;=2,
SUMPRODUCT(INDEX($AR$67:$AT$71,,$AI68), INDEX($AU$67:$BA$71,,$AH68), 1 / ($BB$67:$BB$71*BU68 + (1-$BB$67:$BB$71)*BQ68), N($AQ$67:$AQ$71&gt;$AO68)),
SUMPRODUCT(INDEX($AR$57:$AT$66,,$AI68), INDEX($AU$57:$BA$66,,$AH68), 1 / ($BC$57:$BC$66*BU68 + (1-$BC$57:$BC$66)*BQ68), N($AQ$57:$AQ$66&gt;$AO68))
) / 1000</f>
        <v>0</v>
      </c>
      <c r="BW68" s="232">
        <f t="shared" si="24"/>
        <v>20</v>
      </c>
      <c r="BX68" s="230">
        <f t="shared" si="25"/>
        <v>33</v>
      </c>
      <c r="BY68" s="235">
        <f t="shared" si="26"/>
        <v>4.4702678571428569</v>
      </c>
      <c r="BZ68" s="235" cm="1">
        <f t="array" ref="BZ68">$BI68 * IF($AH68&lt;=2,
SUMPRODUCT(INDEX($AR$62:$AT$66,,$AI68), INDEX($AU$62:$BA$66,,$AH68), 1 / ($BB$62:$BB$66*BY68 + (1-$BB$62:$BB$66)*BU68), N($AQ$62:$AQ$66&gt;$AO68)),
SUMPRODUCT(INDEX($AR$47:$AT$56,,$AI68), INDEX($AU$47:$BA$56,,$AH68), 1 / ($BC$47:$BC$56*BY68 + (1-$BC$47:$BC$56)*BU68), N($AQ$47:$AQ$56&gt;$AO68))
) / 1000</f>
        <v>0</v>
      </c>
      <c r="CA68" s="235" cm="1">
        <f t="array" ref="CA68">$BI68 * IF($AH68&lt;=2,
SUMPRODUCT(INDEX($AR$23:$AT$61,,$AI68), INDEX($AU$23:$BA$61,,$AH68), 1 / ($BB$23:$BB$61*BY68), N($AQ$23:$AQ$61&gt;$AO68)),
SUMPRODUCT(INDEX($AR$23:$AT$46,,$AI68), INDEX($AU$23:$BA$46,,$AH68), 1 / ($BC$23:$BC$46*BY68), N($AQ$23:$AQ$46&gt;$AO68))
) / 1000</f>
        <v>0</v>
      </c>
      <c r="CB68" s="230">
        <f t="shared" si="27"/>
        <v>0</v>
      </c>
      <c r="CC68" s="238"/>
      <c r="CD68" s="229" cm="1">
        <f t="array" ref="CD68">IF(ISBLANK(Y68), INDEX(Use, $AH68, 4) - AN68*INDEX(Use, $AH68, 6) - (Q68-X68), Y68)</f>
        <v>7</v>
      </c>
      <c r="CE68" s="229">
        <f t="shared" si="28"/>
        <v>32</v>
      </c>
      <c r="CF68" s="230">
        <f t="shared" si="29"/>
        <v>0</v>
      </c>
      <c r="CG68" s="229">
        <v>35</v>
      </c>
      <c r="CH68" s="230">
        <f t="shared" si="30"/>
        <v>48</v>
      </c>
      <c r="CI68" s="235">
        <f t="shared" si="31"/>
        <v>3.0748170731707316</v>
      </c>
      <c r="CJ68" s="235" cm="1">
        <f t="array" ref="CJ68">$BI68 * SUMPRODUCT(INDEX($AR$77:$AT$82,,$AI68),INDEX($AU$77:$BA$82,,$AH68), N($AQ$77:$AQ$82&gt;$AO68)) / CI68 / 1000</f>
        <v>0</v>
      </c>
      <c r="CK68" s="232">
        <f t="shared" si="32"/>
        <v>30</v>
      </c>
      <c r="CL68" s="230">
        <f t="shared" si="33"/>
        <v>43</v>
      </c>
      <c r="CM68" s="235">
        <f t="shared" si="34"/>
        <v>3.5018750000000001</v>
      </c>
      <c r="CN68" s="235" cm="1">
        <f t="array" ref="CN68">$BI68 * IF($AH68&lt;=2,
SUMPRODUCT(INDEX($AR$72:$AT$76,,$AI68), INDEX($AU$72:$BA$76,,$AH68), 1 / ($BB$72:$BB$76*CM68 + (1-$BB$72:$BB$76)*CI68), N($AQ$72:$AQ$76&gt;$AO68)),
SUMPRODUCT(INDEX($AR$67:$AT$76,,$AI68), INDEX($AU$67:$BA$76,,$AH68), 1 / ($BC$67:$BC$76*CM68 + (1-$BC$67:$BC$76)*CI68), N($AQ$67:$AQ$76&gt;$AO68))
) / 1000</f>
        <v>0</v>
      </c>
      <c r="CO68" s="232">
        <f t="shared" si="35"/>
        <v>25</v>
      </c>
      <c r="CP68" s="230">
        <f t="shared" si="36"/>
        <v>38</v>
      </c>
      <c r="CQ68" s="235">
        <f t="shared" si="37"/>
        <v>4.0666935483870965</v>
      </c>
      <c r="CR68" s="235" cm="1">
        <f t="array" ref="CR68">$BI68 * IF($AH68&lt;=2,
SUMPRODUCT(INDEX($AR$67:$AT$71,,$AI68), INDEX($AU$67:$BA$71,,$AH68), 1 / ($BB$67:$BB$71*CQ68 + (1-$BB$67:$BB$71)*CM68), N($AQ$67:$AQ$71&gt;$AO68)),
SUMPRODUCT(INDEX($AR$57:$AT$66,,$AI68), INDEX($AU$57:$BA$66,,$AH68), 1 / ($BC$57:$BC$66*CQ68 + (1-$BC$57:$BC$66)*CM68), N($AQ$57:$AQ$66&gt;$AO68))
) / 1000</f>
        <v>0</v>
      </c>
      <c r="CS68" s="232">
        <f t="shared" si="38"/>
        <v>20</v>
      </c>
      <c r="CT68" s="230">
        <f t="shared" si="39"/>
        <v>33</v>
      </c>
      <c r="CU68" s="235">
        <f t="shared" si="40"/>
        <v>4.8487499999999999</v>
      </c>
      <c r="CV68" s="235" cm="1">
        <f t="array" ref="CV68">$BI68 * IF($AH68&lt;=2,
SUMPRODUCT(INDEX($AR$62:$AT$66,,$AI68), INDEX($AU$62:$BA$66,,$AH68), 1 / ($BB$62:$BB$66*CU68 + (1-$BB$62:$BB$66)*CQ68), N($AQ$62:$AQ$66&gt;$AO68)),
SUMPRODUCT(INDEX($AR$47:$AT$56,,$AI68), INDEX($AU$47:$BA$56,,$AH68), 1 / ($BC$47:$BC$56*CU68 + (1-$BC$47:$BC$56)*CQ68), N($AQ$47:$AQ$56&gt;$AO68))
) / 1000</f>
        <v>0</v>
      </c>
      <c r="CW68" s="235" cm="1">
        <f t="array" ref="CW68">$BI68 * IF($AH68&lt;=2,
SUMPRODUCT(INDEX($AR$23:$AT$61,,$AI68), INDEX($AU$23:$BA$61,,$AH68), 1 / ($BB$23:$BB$61*CU68), N($AQ$23:$AQ$61&gt;$AO68)),
SUMPRODUCT(INDEX($AR$23:$AT$46,,$AI68), INDEX($AU$23:$BA$46,,$AH68), 1 / ($BC$23:$BC$46*CU68), N($AQ$23:$AQ$46&gt;$AO68))
) / 1000</f>
        <v>0</v>
      </c>
      <c r="CX68" s="230">
        <f t="shared" si="41"/>
        <v>0</v>
      </c>
      <c r="CY68" s="238"/>
    </row>
    <row r="69" spans="1:103" s="76" customFormat="1" ht="14.25" customHeight="1" x14ac:dyDescent="0.25">
      <c r="A69" s="231" t="b">
        <f t="shared" si="0"/>
        <v>0</v>
      </c>
      <c r="B69" s="245">
        <v>47</v>
      </c>
      <c r="C69" s="258"/>
      <c r="D69" s="258"/>
      <c r="E69" s="246"/>
      <c r="F69" s="247" t="str">
        <f>IF(ISBLANK(E69), "", VLOOKUP(E69, Z!$A$2:$C$4127, 3, FALSE))</f>
        <v/>
      </c>
      <c r="G69" s="248"/>
      <c r="H69" s="248"/>
      <c r="I69" s="249"/>
      <c r="J69" s="250"/>
      <c r="K69" s="259"/>
      <c r="L69" s="260"/>
      <c r="M69" s="252" t="str" cm="1">
        <f t="array" ref="M69">INDEX(Trad, 53, $A$20)</f>
        <v>Verschmutzt</v>
      </c>
      <c r="N69" s="253"/>
      <c r="O69" s="253"/>
      <c r="P69" s="254"/>
      <c r="Q69" s="251"/>
      <c r="R69" s="251"/>
      <c r="S69" s="264">
        <f t="shared" si="7"/>
        <v>0</v>
      </c>
      <c r="T69" s="252" t="str" cm="1">
        <f t="array" ref="T69">INDEX(Trad, 52, $A$20)</f>
        <v>Sauber</v>
      </c>
      <c r="U69" s="253"/>
      <c r="V69" s="253"/>
      <c r="W69" s="254"/>
      <c r="X69" s="251"/>
      <c r="Y69" s="251"/>
      <c r="Z69" s="264">
        <f t="shared" si="8"/>
        <v>0</v>
      </c>
      <c r="AA69" s="261"/>
      <c r="AB69" s="258"/>
      <c r="AC69" s="246"/>
      <c r="AD69" s="247" t="str">
        <f>IF(ISBLANK(AC69), "", VLOOKUP(AC69, Z!$A$2:$C$4127, 3, FALSE))</f>
        <v/>
      </c>
      <c r="AE69" s="262"/>
      <c r="AF69" s="263">
        <f t="shared" si="132"/>
        <v>0</v>
      </c>
      <c r="AG69" s="238"/>
      <c r="AH69" s="229">
        <f t="shared" ref="AH69" si="175">IF(ISBLANK(H69), 1, IFERROR(MATCH(H69, INDEX(Use,,1), 0), IFERROR(MATCH(H69, INDEX(Use,,2), 0), MATCH(H69, INDEX(Use,,3), 0))))</f>
        <v>1</v>
      </c>
      <c r="AI69" s="229">
        <f t="shared" ref="AI69" si="176">IF(ISBLANK(G69), 1, IFERROR(MATCH(G69, INDEX(Loc,,1), 0), IFERROR(MATCH(G69, INDEX(Loc,,2), 0), MATCH(G69, INDEX(Loc,,3), 0))))</f>
        <v>1</v>
      </c>
      <c r="AJ69" s="229">
        <f t="shared" ref="AJ69" si="177">_xlfn.IFNA(IF(IFERROR(MATCH(I69, INDEX(Medium,,1), 0), IFERROR(MATCH(I69, INDEX(Medium,,2), 0), MATCH(I69, INDEX(Medium,,3), 0))) = 2, 1, 0), 0)</f>
        <v>0</v>
      </c>
      <c r="AK69" s="229">
        <v>0</v>
      </c>
      <c r="AL69" s="229">
        <v>0</v>
      </c>
      <c r="AM69" s="229">
        <v>1</v>
      </c>
      <c r="AN69" s="229">
        <v>0</v>
      </c>
      <c r="AO69" s="229">
        <f t="shared" si="5"/>
        <v>-100</v>
      </c>
      <c r="AP69" s="238"/>
      <c r="AQ69" s="229">
        <v>27</v>
      </c>
      <c r="AR69" s="232">
        <v>113</v>
      </c>
      <c r="AS69" s="232">
        <v>87</v>
      </c>
      <c r="AT69" s="232">
        <v>29</v>
      </c>
      <c r="AU69" s="233">
        <f t="shared" si="6"/>
        <v>0.5</v>
      </c>
      <c r="AV69" s="233">
        <f t="shared" si="6"/>
        <v>0.5</v>
      </c>
      <c r="AW69" s="233" cm="1">
        <f t="array" ref="AW69">MIN(INDEX(Use,AW$21,5) + MAX(0, (1-INDEX(Use,AW$21,5))*($AQ69-5)/(35-5)), 1)</f>
        <v>0.84000000000000008</v>
      </c>
      <c r="AX69" s="233" cm="1">
        <f t="array" ref="AX69">MIN(INDEX(Use,AX$21,5) + MAX(0, (1-INDEX(Use,AX$21,5))*($AQ69-5)/(35-5)), 1)</f>
        <v>0.89333333333333331</v>
      </c>
      <c r="AY69" s="233" cm="1">
        <f t="array" ref="AY69">MIN(INDEX(Use,AY$21,5) + MAX(0, (1-INDEX(Use,AY$21,5))*($AQ69-5)/(35-5)), 1)</f>
        <v>0.94666666666666666</v>
      </c>
      <c r="AZ69" s="233" cm="1">
        <f t="array" ref="AZ69">MIN(INDEX(Use,AZ$21,5) + MAX(0, (1-INDEX(Use,AZ$21,5))*($AQ69-5)/(35-5)), 1)</f>
        <v>0.94666666666666666</v>
      </c>
      <c r="BA69" s="233" cm="1">
        <f t="array" ref="BA69">MIN(INDEX(Use,BA$21,5) + MAX(0, (1-INDEX(Use,BA$21,5))*($AQ69-5)/(35-5)), 1)</f>
        <v>0.94666666666666666</v>
      </c>
      <c r="BB69" s="233">
        <v>0.6</v>
      </c>
      <c r="BC69" s="233">
        <v>0.8</v>
      </c>
      <c r="BD69" s="211"/>
      <c r="BE69" s="229" cm="1">
        <f t="array" ref="BE69">IF(ISBLANK(R69), INDEX(Use, $AH69, 4) - AM69*INDEX(Use, $AH69, 6), R69)</f>
        <v>5</v>
      </c>
      <c r="BF69" s="229">
        <f t="shared" si="12"/>
        <v>30</v>
      </c>
      <c r="BG69" s="229">
        <f t="shared" si="13"/>
        <v>13</v>
      </c>
      <c r="BH69" s="229">
        <f t="shared" si="14"/>
        <v>0</v>
      </c>
      <c r="BI69" s="234" cm="1">
        <f t="array" ref="BI69">K69/IF($L69&gt;0, INDEX($AU$23:$BA$77, $L69+20, $AH69), 1)</f>
        <v>0</v>
      </c>
      <c r="BJ69" s="230">
        <f t="shared" si="15"/>
        <v>0</v>
      </c>
      <c r="BK69" s="229">
        <v>35</v>
      </c>
      <c r="BL69" s="230">
        <f t="shared" si="16"/>
        <v>48</v>
      </c>
      <c r="BM69" s="235">
        <f t="shared" si="17"/>
        <v>2.9108720930232557</v>
      </c>
      <c r="BN69" s="235" cm="1">
        <f t="array" ref="BN69">$BI69 * SUMPRODUCT(INDEX($AR$77:$AT$82,,$AI69),INDEX($AU$77:$BA$82,,$AH69), N($AQ$77:$AQ$82&gt;$AO69)) / BM69 / 1000</f>
        <v>0</v>
      </c>
      <c r="BO69" s="232">
        <f t="shared" si="18"/>
        <v>30</v>
      </c>
      <c r="BP69" s="230">
        <f t="shared" si="19"/>
        <v>43</v>
      </c>
      <c r="BQ69" s="235">
        <f t="shared" si="20"/>
        <v>3.2938815789473681</v>
      </c>
      <c r="BR69" s="235" cm="1">
        <f t="array" ref="BR69">$BI69 * IF($AH69&lt;=2,
SUMPRODUCT(INDEX($AR$72:$AT$76,,$AI69), INDEX($AU$72:$BA$76,,$AH69), 1 / ($BB$72:$BB$76*BQ69 + (1-$BB$72:$BB$76)*BM69), N($AQ$72:$AQ$76&gt;$AO69)),
SUMPRODUCT(INDEX($AR$67:$AT$76,,$AI69), INDEX($AU$67:$BA$76,,$AH69), 1 / ($BC$67:$BC$76*BQ69 + (1-$BC$67:$BC$76)*BM69), N($AQ$67:$AQ$76&gt;$AO69))
) / 1000</f>
        <v>0</v>
      </c>
      <c r="BS69" s="232">
        <f t="shared" si="21"/>
        <v>25</v>
      </c>
      <c r="BT69" s="230">
        <f t="shared" si="22"/>
        <v>38</v>
      </c>
      <c r="BU69" s="235">
        <f t="shared" si="23"/>
        <v>3.792954545454545</v>
      </c>
      <c r="BV69" s="235" cm="1">
        <f t="array" ref="BV69">$BI69 * IF($AH69&lt;=2,
SUMPRODUCT(INDEX($AR$67:$AT$71,,$AI69), INDEX($AU$67:$BA$71,,$AH69), 1 / ($BB$67:$BB$71*BU69 + (1-$BB$67:$BB$71)*BQ69), N($AQ$67:$AQ$71&gt;$AO69)),
SUMPRODUCT(INDEX($AR$57:$AT$66,,$AI69), INDEX($AU$57:$BA$66,,$AH69), 1 / ($BC$57:$BC$66*BU69 + (1-$BC$57:$BC$66)*BQ69), N($AQ$57:$AQ$66&gt;$AO69))
) / 1000</f>
        <v>0</v>
      </c>
      <c r="BW69" s="232">
        <f t="shared" si="24"/>
        <v>20</v>
      </c>
      <c r="BX69" s="230">
        <f t="shared" si="25"/>
        <v>33</v>
      </c>
      <c r="BY69" s="235">
        <f t="shared" si="26"/>
        <v>4.4702678571428569</v>
      </c>
      <c r="BZ69" s="235" cm="1">
        <f t="array" ref="BZ69">$BI69 * IF($AH69&lt;=2,
SUMPRODUCT(INDEX($AR$62:$AT$66,,$AI69), INDEX($AU$62:$BA$66,,$AH69), 1 / ($BB$62:$BB$66*BY69 + (1-$BB$62:$BB$66)*BU69), N($AQ$62:$AQ$66&gt;$AO69)),
SUMPRODUCT(INDEX($AR$47:$AT$56,,$AI69), INDEX($AU$47:$BA$56,,$AH69), 1 / ($BC$47:$BC$56*BY69 + (1-$BC$47:$BC$56)*BU69), N($AQ$47:$AQ$56&gt;$AO69))
) / 1000</f>
        <v>0</v>
      </c>
      <c r="CA69" s="235" cm="1">
        <f t="array" ref="CA69">$BI69 * IF($AH69&lt;=2,
SUMPRODUCT(INDEX($AR$23:$AT$61,,$AI69), INDEX($AU$23:$BA$61,,$AH69), 1 / ($BB$23:$BB$61*BY69), N($AQ$23:$AQ$61&gt;$AO69)),
SUMPRODUCT(INDEX($AR$23:$AT$46,,$AI69), INDEX($AU$23:$BA$46,,$AH69), 1 / ($BC$23:$BC$46*BY69), N($AQ$23:$AQ$46&gt;$AO69))
) / 1000</f>
        <v>0</v>
      </c>
      <c r="CB69" s="230">
        <f t="shared" si="27"/>
        <v>0</v>
      </c>
      <c r="CC69" s="238"/>
      <c r="CD69" s="229" cm="1">
        <f t="array" ref="CD69">IF(ISBLANK(Y69), INDEX(Use, $AH69, 4) - AN69*INDEX(Use, $AH69, 6) - (Q69-X69), Y69)</f>
        <v>7</v>
      </c>
      <c r="CE69" s="229">
        <f t="shared" si="28"/>
        <v>32</v>
      </c>
      <c r="CF69" s="230">
        <f t="shared" si="29"/>
        <v>0</v>
      </c>
      <c r="CG69" s="229">
        <v>35</v>
      </c>
      <c r="CH69" s="230">
        <f t="shared" si="30"/>
        <v>48</v>
      </c>
      <c r="CI69" s="235">
        <f t="shared" si="31"/>
        <v>3.0748170731707316</v>
      </c>
      <c r="CJ69" s="235" cm="1">
        <f t="array" ref="CJ69">$BI69 * SUMPRODUCT(INDEX($AR$77:$AT$82,,$AI69),INDEX($AU$77:$BA$82,,$AH69), N($AQ$77:$AQ$82&gt;$AO69)) / CI69 / 1000</f>
        <v>0</v>
      </c>
      <c r="CK69" s="232">
        <f t="shared" si="32"/>
        <v>30</v>
      </c>
      <c r="CL69" s="230">
        <f t="shared" si="33"/>
        <v>43</v>
      </c>
      <c r="CM69" s="235">
        <f t="shared" si="34"/>
        <v>3.5018750000000001</v>
      </c>
      <c r="CN69" s="235" cm="1">
        <f t="array" ref="CN69">$BI69 * IF($AH69&lt;=2,
SUMPRODUCT(INDEX($AR$72:$AT$76,,$AI69), INDEX($AU$72:$BA$76,,$AH69), 1 / ($BB$72:$BB$76*CM69 + (1-$BB$72:$BB$76)*CI69), N($AQ$72:$AQ$76&gt;$AO69)),
SUMPRODUCT(INDEX($AR$67:$AT$76,,$AI69), INDEX($AU$67:$BA$76,,$AH69), 1 / ($BC$67:$BC$76*CM69 + (1-$BC$67:$BC$76)*CI69), N($AQ$67:$AQ$76&gt;$AO69))
) / 1000</f>
        <v>0</v>
      </c>
      <c r="CO69" s="232">
        <f t="shared" si="35"/>
        <v>25</v>
      </c>
      <c r="CP69" s="230">
        <f t="shared" si="36"/>
        <v>38</v>
      </c>
      <c r="CQ69" s="235">
        <f t="shared" si="37"/>
        <v>4.0666935483870965</v>
      </c>
      <c r="CR69" s="235" cm="1">
        <f t="array" ref="CR69">$BI69 * IF($AH69&lt;=2,
SUMPRODUCT(INDEX($AR$67:$AT$71,,$AI69), INDEX($AU$67:$BA$71,,$AH69), 1 / ($BB$67:$BB$71*CQ69 + (1-$BB$67:$BB$71)*CM69), N($AQ$67:$AQ$71&gt;$AO69)),
SUMPRODUCT(INDEX($AR$57:$AT$66,,$AI69), INDEX($AU$57:$BA$66,,$AH69), 1 / ($BC$57:$BC$66*CQ69 + (1-$BC$57:$BC$66)*CM69), N($AQ$57:$AQ$66&gt;$AO69))
) / 1000</f>
        <v>0</v>
      </c>
      <c r="CS69" s="232">
        <f t="shared" si="38"/>
        <v>20</v>
      </c>
      <c r="CT69" s="230">
        <f t="shared" si="39"/>
        <v>33</v>
      </c>
      <c r="CU69" s="235">
        <f t="shared" si="40"/>
        <v>4.8487499999999999</v>
      </c>
      <c r="CV69" s="235" cm="1">
        <f t="array" ref="CV69">$BI69 * IF($AH69&lt;=2,
SUMPRODUCT(INDEX($AR$62:$AT$66,,$AI69), INDEX($AU$62:$BA$66,,$AH69), 1 / ($BB$62:$BB$66*CU69 + (1-$BB$62:$BB$66)*CQ69), N($AQ$62:$AQ$66&gt;$AO69)),
SUMPRODUCT(INDEX($AR$47:$AT$56,,$AI69), INDEX($AU$47:$BA$56,,$AH69), 1 / ($BC$47:$BC$56*CU69 + (1-$BC$47:$BC$56)*CQ69), N($AQ$47:$AQ$56&gt;$AO69))
) / 1000</f>
        <v>0</v>
      </c>
      <c r="CW69" s="235" cm="1">
        <f t="array" ref="CW69">$BI69 * IF($AH69&lt;=2,
SUMPRODUCT(INDEX($AR$23:$AT$61,,$AI69), INDEX($AU$23:$BA$61,,$AH69), 1 / ($BB$23:$BB$61*CU69), N($AQ$23:$AQ$61&gt;$AO69)),
SUMPRODUCT(INDEX($AR$23:$AT$46,,$AI69), INDEX($AU$23:$BA$46,,$AH69), 1 / ($BC$23:$BC$46*CU69), N($AQ$23:$AQ$46&gt;$AO69))
) / 1000</f>
        <v>0</v>
      </c>
      <c r="CX69" s="230">
        <f t="shared" si="41"/>
        <v>0</v>
      </c>
      <c r="CY69" s="238"/>
    </row>
    <row r="70" spans="1:103" s="76" customFormat="1" ht="14.25" customHeight="1" x14ac:dyDescent="0.25">
      <c r="A70" s="231" t="b">
        <f t="shared" si="0"/>
        <v>0</v>
      </c>
      <c r="B70" s="245">
        <v>48</v>
      </c>
      <c r="C70" s="258"/>
      <c r="D70" s="258"/>
      <c r="E70" s="246"/>
      <c r="F70" s="247" t="str">
        <f>IF(ISBLANK(E70), "", VLOOKUP(E70, Z!$A$2:$C$4127, 3, FALSE))</f>
        <v/>
      </c>
      <c r="G70" s="248"/>
      <c r="H70" s="248"/>
      <c r="I70" s="249"/>
      <c r="J70" s="250"/>
      <c r="K70" s="259"/>
      <c r="L70" s="260"/>
      <c r="M70" s="252" t="str" cm="1">
        <f t="array" ref="M70">INDEX(Trad, 53, $A$20)</f>
        <v>Verschmutzt</v>
      </c>
      <c r="N70" s="253"/>
      <c r="O70" s="253"/>
      <c r="P70" s="254"/>
      <c r="Q70" s="251"/>
      <c r="R70" s="251"/>
      <c r="S70" s="264">
        <f t="shared" si="7"/>
        <v>0</v>
      </c>
      <c r="T70" s="252" t="str" cm="1">
        <f t="array" ref="T70">INDEX(Trad, 52, $A$20)</f>
        <v>Sauber</v>
      </c>
      <c r="U70" s="253"/>
      <c r="V70" s="253"/>
      <c r="W70" s="254"/>
      <c r="X70" s="251"/>
      <c r="Y70" s="251"/>
      <c r="Z70" s="264">
        <f t="shared" si="8"/>
        <v>0</v>
      </c>
      <c r="AA70" s="261"/>
      <c r="AB70" s="258"/>
      <c r="AC70" s="246"/>
      <c r="AD70" s="247" t="str">
        <f>IF(ISBLANK(AC70), "", VLOOKUP(AC70, Z!$A$2:$C$4127, 3, FALSE))</f>
        <v/>
      </c>
      <c r="AE70" s="262"/>
      <c r="AF70" s="263">
        <f t="shared" si="132"/>
        <v>0</v>
      </c>
      <c r="AG70" s="238"/>
      <c r="AH70" s="229">
        <f t="shared" ref="AH70" si="178">IF(ISBLANK(H70), 1, IFERROR(MATCH(H70, INDEX(Use,,1), 0), IFERROR(MATCH(H70, INDEX(Use,,2), 0), MATCH(H70, INDEX(Use,,3), 0))))</f>
        <v>1</v>
      </c>
      <c r="AI70" s="229">
        <f t="shared" ref="AI70" si="179">IF(ISBLANK(G70), 1, IFERROR(MATCH(G70, INDEX(Loc,,1), 0), IFERROR(MATCH(G70, INDEX(Loc,,2), 0), MATCH(G70, INDEX(Loc,,3), 0))))</f>
        <v>1</v>
      </c>
      <c r="AJ70" s="229">
        <f t="shared" ref="AJ70" si="180">_xlfn.IFNA(IF(IFERROR(MATCH(I70, INDEX(Medium,,1), 0), IFERROR(MATCH(I70, INDEX(Medium,,2), 0), MATCH(I70, INDEX(Medium,,3), 0))) = 2, 1, 0), 0)</f>
        <v>0</v>
      </c>
      <c r="AK70" s="229">
        <v>0</v>
      </c>
      <c r="AL70" s="229">
        <v>0</v>
      </c>
      <c r="AM70" s="229">
        <v>1</v>
      </c>
      <c r="AN70" s="229">
        <v>0</v>
      </c>
      <c r="AO70" s="229">
        <f t="shared" si="5"/>
        <v>-100</v>
      </c>
      <c r="AP70" s="238"/>
      <c r="AQ70" s="229">
        <v>28</v>
      </c>
      <c r="AR70" s="232">
        <v>70</v>
      </c>
      <c r="AS70" s="232">
        <v>59</v>
      </c>
      <c r="AT70" s="232">
        <v>24</v>
      </c>
      <c r="AU70" s="233">
        <f t="shared" si="6"/>
        <v>0.5625</v>
      </c>
      <c r="AV70" s="233">
        <f t="shared" si="6"/>
        <v>0.5625</v>
      </c>
      <c r="AW70" s="233" cm="1">
        <f t="array" ref="AW70">MIN(INDEX(Use,AW$21,5) + MAX(0, (1-INDEX(Use,AW$21,5))*($AQ70-5)/(35-5)), 1)</f>
        <v>0.86</v>
      </c>
      <c r="AX70" s="233" cm="1">
        <f t="array" ref="AX70">MIN(INDEX(Use,AX$21,5) + MAX(0, (1-INDEX(Use,AX$21,5))*($AQ70-5)/(35-5)), 1)</f>
        <v>0.90666666666666673</v>
      </c>
      <c r="AY70" s="233" cm="1">
        <f t="array" ref="AY70">MIN(INDEX(Use,AY$21,5) + MAX(0, (1-INDEX(Use,AY$21,5))*($AQ70-5)/(35-5)), 1)</f>
        <v>0.95333333333333337</v>
      </c>
      <c r="AZ70" s="233" cm="1">
        <f t="array" ref="AZ70">MIN(INDEX(Use,AZ$21,5) + MAX(0, (1-INDEX(Use,AZ$21,5))*($AQ70-5)/(35-5)), 1)</f>
        <v>0.95333333333333337</v>
      </c>
      <c r="BA70" s="233" cm="1">
        <f t="array" ref="BA70">MIN(INDEX(Use,BA$21,5) + MAX(0, (1-INDEX(Use,BA$21,5))*($AQ70-5)/(35-5)), 1)</f>
        <v>0.95333333333333337</v>
      </c>
      <c r="BB70" s="233">
        <v>0.4</v>
      </c>
      <c r="BC70" s="233">
        <v>0.7</v>
      </c>
      <c r="BD70" s="211"/>
      <c r="BE70" s="229" cm="1">
        <f t="array" ref="BE70">IF(ISBLANK(R70), INDEX(Use, $AH70, 4) - AM70*INDEX(Use, $AH70, 6), R70)</f>
        <v>5</v>
      </c>
      <c r="BF70" s="229">
        <f t="shared" si="12"/>
        <v>30</v>
      </c>
      <c r="BG70" s="229">
        <f t="shared" si="13"/>
        <v>13</v>
      </c>
      <c r="BH70" s="229">
        <f t="shared" si="14"/>
        <v>0</v>
      </c>
      <c r="BI70" s="234" cm="1">
        <f t="array" ref="BI70">K70/IF($L70&gt;0, INDEX($AU$23:$BA$77, $L70+20, $AH70), 1)</f>
        <v>0</v>
      </c>
      <c r="BJ70" s="230">
        <f t="shared" si="15"/>
        <v>0</v>
      </c>
      <c r="BK70" s="229">
        <v>35</v>
      </c>
      <c r="BL70" s="230">
        <f t="shared" si="16"/>
        <v>48</v>
      </c>
      <c r="BM70" s="235">
        <f t="shared" si="17"/>
        <v>2.9108720930232557</v>
      </c>
      <c r="BN70" s="235" cm="1">
        <f t="array" ref="BN70">$BI70 * SUMPRODUCT(INDEX($AR$77:$AT$82,,$AI70),INDEX($AU$77:$BA$82,,$AH70), N($AQ$77:$AQ$82&gt;$AO70)) / BM70 / 1000</f>
        <v>0</v>
      </c>
      <c r="BO70" s="232">
        <f t="shared" si="18"/>
        <v>30</v>
      </c>
      <c r="BP70" s="230">
        <f t="shared" si="19"/>
        <v>43</v>
      </c>
      <c r="BQ70" s="235">
        <f t="shared" si="20"/>
        <v>3.2938815789473681</v>
      </c>
      <c r="BR70" s="235" cm="1">
        <f t="array" ref="BR70">$BI70 * IF($AH70&lt;=2,
SUMPRODUCT(INDEX($AR$72:$AT$76,,$AI70), INDEX($AU$72:$BA$76,,$AH70), 1 / ($BB$72:$BB$76*BQ70 + (1-$BB$72:$BB$76)*BM70), N($AQ$72:$AQ$76&gt;$AO70)),
SUMPRODUCT(INDEX($AR$67:$AT$76,,$AI70), INDEX($AU$67:$BA$76,,$AH70), 1 / ($BC$67:$BC$76*BQ70 + (1-$BC$67:$BC$76)*BM70), N($AQ$67:$AQ$76&gt;$AO70))
) / 1000</f>
        <v>0</v>
      </c>
      <c r="BS70" s="232">
        <f t="shared" si="21"/>
        <v>25</v>
      </c>
      <c r="BT70" s="230">
        <f t="shared" si="22"/>
        <v>38</v>
      </c>
      <c r="BU70" s="235">
        <f t="shared" si="23"/>
        <v>3.792954545454545</v>
      </c>
      <c r="BV70" s="235" cm="1">
        <f t="array" ref="BV70">$BI70 * IF($AH70&lt;=2,
SUMPRODUCT(INDEX($AR$67:$AT$71,,$AI70), INDEX($AU$67:$BA$71,,$AH70), 1 / ($BB$67:$BB$71*BU70 + (1-$BB$67:$BB$71)*BQ70), N($AQ$67:$AQ$71&gt;$AO70)),
SUMPRODUCT(INDEX($AR$57:$AT$66,,$AI70), INDEX($AU$57:$BA$66,,$AH70), 1 / ($BC$57:$BC$66*BU70 + (1-$BC$57:$BC$66)*BQ70), N($AQ$57:$AQ$66&gt;$AO70))
) / 1000</f>
        <v>0</v>
      </c>
      <c r="BW70" s="232">
        <f t="shared" si="24"/>
        <v>20</v>
      </c>
      <c r="BX70" s="230">
        <f t="shared" si="25"/>
        <v>33</v>
      </c>
      <c r="BY70" s="235">
        <f t="shared" si="26"/>
        <v>4.4702678571428569</v>
      </c>
      <c r="BZ70" s="235" cm="1">
        <f t="array" ref="BZ70">$BI70 * IF($AH70&lt;=2,
SUMPRODUCT(INDEX($AR$62:$AT$66,,$AI70), INDEX($AU$62:$BA$66,,$AH70), 1 / ($BB$62:$BB$66*BY70 + (1-$BB$62:$BB$66)*BU70), N($AQ$62:$AQ$66&gt;$AO70)),
SUMPRODUCT(INDEX($AR$47:$AT$56,,$AI70), INDEX($AU$47:$BA$56,,$AH70), 1 / ($BC$47:$BC$56*BY70 + (1-$BC$47:$BC$56)*BU70), N($AQ$47:$AQ$56&gt;$AO70))
) / 1000</f>
        <v>0</v>
      </c>
      <c r="CA70" s="235" cm="1">
        <f t="array" ref="CA70">$BI70 * IF($AH70&lt;=2,
SUMPRODUCT(INDEX($AR$23:$AT$61,,$AI70), INDEX($AU$23:$BA$61,,$AH70), 1 / ($BB$23:$BB$61*BY70), N($AQ$23:$AQ$61&gt;$AO70)),
SUMPRODUCT(INDEX($AR$23:$AT$46,,$AI70), INDEX($AU$23:$BA$46,,$AH70), 1 / ($BC$23:$BC$46*BY70), N($AQ$23:$AQ$46&gt;$AO70))
) / 1000</f>
        <v>0</v>
      </c>
      <c r="CB70" s="230">
        <f t="shared" si="27"/>
        <v>0</v>
      </c>
      <c r="CC70" s="238"/>
      <c r="CD70" s="229" cm="1">
        <f t="array" ref="CD70">IF(ISBLANK(Y70), INDEX(Use, $AH70, 4) - AN70*INDEX(Use, $AH70, 6) - (Q70-X70), Y70)</f>
        <v>7</v>
      </c>
      <c r="CE70" s="229">
        <f t="shared" si="28"/>
        <v>32</v>
      </c>
      <c r="CF70" s="230">
        <f t="shared" si="29"/>
        <v>0</v>
      </c>
      <c r="CG70" s="229">
        <v>35</v>
      </c>
      <c r="CH70" s="230">
        <f t="shared" si="30"/>
        <v>48</v>
      </c>
      <c r="CI70" s="235">
        <f t="shared" si="31"/>
        <v>3.0748170731707316</v>
      </c>
      <c r="CJ70" s="235" cm="1">
        <f t="array" ref="CJ70">$BI70 * SUMPRODUCT(INDEX($AR$77:$AT$82,,$AI70),INDEX($AU$77:$BA$82,,$AH70), N($AQ$77:$AQ$82&gt;$AO70)) / CI70 / 1000</f>
        <v>0</v>
      </c>
      <c r="CK70" s="232">
        <f t="shared" si="32"/>
        <v>30</v>
      </c>
      <c r="CL70" s="230">
        <f t="shared" si="33"/>
        <v>43</v>
      </c>
      <c r="CM70" s="235">
        <f t="shared" si="34"/>
        <v>3.5018750000000001</v>
      </c>
      <c r="CN70" s="235" cm="1">
        <f t="array" ref="CN70">$BI70 * IF($AH70&lt;=2,
SUMPRODUCT(INDEX($AR$72:$AT$76,,$AI70), INDEX($AU$72:$BA$76,,$AH70), 1 / ($BB$72:$BB$76*CM70 + (1-$BB$72:$BB$76)*CI70), N($AQ$72:$AQ$76&gt;$AO70)),
SUMPRODUCT(INDEX($AR$67:$AT$76,,$AI70), INDEX($AU$67:$BA$76,,$AH70), 1 / ($BC$67:$BC$76*CM70 + (1-$BC$67:$BC$76)*CI70), N($AQ$67:$AQ$76&gt;$AO70))
) / 1000</f>
        <v>0</v>
      </c>
      <c r="CO70" s="232">
        <f t="shared" si="35"/>
        <v>25</v>
      </c>
      <c r="CP70" s="230">
        <f t="shared" si="36"/>
        <v>38</v>
      </c>
      <c r="CQ70" s="235">
        <f t="shared" si="37"/>
        <v>4.0666935483870965</v>
      </c>
      <c r="CR70" s="235" cm="1">
        <f t="array" ref="CR70">$BI70 * IF($AH70&lt;=2,
SUMPRODUCT(INDEX($AR$67:$AT$71,,$AI70), INDEX($AU$67:$BA$71,,$AH70), 1 / ($BB$67:$BB$71*CQ70 + (1-$BB$67:$BB$71)*CM70), N($AQ$67:$AQ$71&gt;$AO70)),
SUMPRODUCT(INDEX($AR$57:$AT$66,,$AI70), INDEX($AU$57:$BA$66,,$AH70), 1 / ($BC$57:$BC$66*CQ70 + (1-$BC$57:$BC$66)*CM70), N($AQ$57:$AQ$66&gt;$AO70))
) / 1000</f>
        <v>0</v>
      </c>
      <c r="CS70" s="232">
        <f t="shared" si="38"/>
        <v>20</v>
      </c>
      <c r="CT70" s="230">
        <f t="shared" si="39"/>
        <v>33</v>
      </c>
      <c r="CU70" s="235">
        <f t="shared" si="40"/>
        <v>4.8487499999999999</v>
      </c>
      <c r="CV70" s="235" cm="1">
        <f t="array" ref="CV70">$BI70 * IF($AH70&lt;=2,
SUMPRODUCT(INDEX($AR$62:$AT$66,,$AI70), INDEX($AU$62:$BA$66,,$AH70), 1 / ($BB$62:$BB$66*CU70 + (1-$BB$62:$BB$66)*CQ70), N($AQ$62:$AQ$66&gt;$AO70)),
SUMPRODUCT(INDEX($AR$47:$AT$56,,$AI70), INDEX($AU$47:$BA$56,,$AH70), 1 / ($BC$47:$BC$56*CU70 + (1-$BC$47:$BC$56)*CQ70), N($AQ$47:$AQ$56&gt;$AO70))
) / 1000</f>
        <v>0</v>
      </c>
      <c r="CW70" s="235" cm="1">
        <f t="array" ref="CW70">$BI70 * IF($AH70&lt;=2,
SUMPRODUCT(INDEX($AR$23:$AT$61,,$AI70), INDEX($AU$23:$BA$61,,$AH70), 1 / ($BB$23:$BB$61*CU70), N($AQ$23:$AQ$61&gt;$AO70)),
SUMPRODUCT(INDEX($AR$23:$AT$46,,$AI70), INDEX($AU$23:$BA$46,,$AH70), 1 / ($BC$23:$BC$46*CU70), N($AQ$23:$AQ$46&gt;$AO70))
) / 1000</f>
        <v>0</v>
      </c>
      <c r="CX70" s="230">
        <f t="shared" si="41"/>
        <v>0</v>
      </c>
      <c r="CY70" s="238"/>
    </row>
    <row r="71" spans="1:103" s="76" customFormat="1" ht="14.25" customHeight="1" x14ac:dyDescent="0.25">
      <c r="A71" s="231" t="b">
        <f t="shared" si="0"/>
        <v>0</v>
      </c>
      <c r="B71" s="245">
        <v>49</v>
      </c>
      <c r="C71" s="258"/>
      <c r="D71" s="258"/>
      <c r="E71" s="246"/>
      <c r="F71" s="247" t="str">
        <f>IF(ISBLANK(E71), "", VLOOKUP(E71, Z!$A$2:$C$4127, 3, FALSE))</f>
        <v/>
      </c>
      <c r="G71" s="248"/>
      <c r="H71" s="248"/>
      <c r="I71" s="249"/>
      <c r="J71" s="250"/>
      <c r="K71" s="259"/>
      <c r="L71" s="260"/>
      <c r="M71" s="252" t="str" cm="1">
        <f t="array" ref="M71">INDEX(Trad, 53, $A$20)</f>
        <v>Verschmutzt</v>
      </c>
      <c r="N71" s="253"/>
      <c r="O71" s="253"/>
      <c r="P71" s="254"/>
      <c r="Q71" s="251"/>
      <c r="R71" s="251"/>
      <c r="S71" s="264">
        <f t="shared" si="7"/>
        <v>0</v>
      </c>
      <c r="T71" s="252" t="str" cm="1">
        <f t="array" ref="T71">INDEX(Trad, 52, $A$20)</f>
        <v>Sauber</v>
      </c>
      <c r="U71" s="253"/>
      <c r="V71" s="253"/>
      <c r="W71" s="254"/>
      <c r="X71" s="251"/>
      <c r="Y71" s="251"/>
      <c r="Z71" s="264">
        <f t="shared" si="8"/>
        <v>0</v>
      </c>
      <c r="AA71" s="261"/>
      <c r="AB71" s="258"/>
      <c r="AC71" s="246"/>
      <c r="AD71" s="247" t="str">
        <f>IF(ISBLANK(AC71), "", VLOOKUP(AC71, Z!$A$2:$C$4127, 3, FALSE))</f>
        <v/>
      </c>
      <c r="AE71" s="262"/>
      <c r="AF71" s="263">
        <f t="shared" si="132"/>
        <v>0</v>
      </c>
      <c r="AG71" s="238"/>
      <c r="AH71" s="229">
        <f t="shared" ref="AH71" si="181">IF(ISBLANK(H71), 1, IFERROR(MATCH(H71, INDEX(Use,,1), 0), IFERROR(MATCH(H71, INDEX(Use,,2), 0), MATCH(H71, INDEX(Use,,3), 0))))</f>
        <v>1</v>
      </c>
      <c r="AI71" s="229">
        <f t="shared" ref="AI71" si="182">IF(ISBLANK(G71), 1, IFERROR(MATCH(G71, INDEX(Loc,,1), 0), IFERROR(MATCH(G71, INDEX(Loc,,2), 0), MATCH(G71, INDEX(Loc,,3), 0))))</f>
        <v>1</v>
      </c>
      <c r="AJ71" s="229">
        <f t="shared" ref="AJ71" si="183">_xlfn.IFNA(IF(IFERROR(MATCH(I71, INDEX(Medium,,1), 0), IFERROR(MATCH(I71, INDEX(Medium,,2), 0), MATCH(I71, INDEX(Medium,,3), 0))) = 2, 1, 0), 0)</f>
        <v>0</v>
      </c>
      <c r="AK71" s="229">
        <v>0</v>
      </c>
      <c r="AL71" s="229">
        <v>0</v>
      </c>
      <c r="AM71" s="229">
        <v>1</v>
      </c>
      <c r="AN71" s="229">
        <v>0</v>
      </c>
      <c r="AO71" s="229">
        <f t="shared" si="5"/>
        <v>-100</v>
      </c>
      <c r="AP71" s="238"/>
      <c r="AQ71" s="229">
        <v>29</v>
      </c>
      <c r="AR71" s="232">
        <v>50</v>
      </c>
      <c r="AS71" s="232">
        <v>50</v>
      </c>
      <c r="AT71" s="232">
        <v>14</v>
      </c>
      <c r="AU71" s="233">
        <f t="shared" si="6"/>
        <v>0.625</v>
      </c>
      <c r="AV71" s="233">
        <f t="shared" si="6"/>
        <v>0.625</v>
      </c>
      <c r="AW71" s="233" cm="1">
        <f t="array" ref="AW71">MIN(INDEX(Use,AW$21,5) + MAX(0, (1-INDEX(Use,AW$21,5))*($AQ71-5)/(35-5)), 1)</f>
        <v>0.87999999999999989</v>
      </c>
      <c r="AX71" s="233" cm="1">
        <f t="array" ref="AX71">MIN(INDEX(Use,AX$21,5) + MAX(0, (1-INDEX(Use,AX$21,5))*($AQ71-5)/(35-5)), 1)</f>
        <v>0.92</v>
      </c>
      <c r="AY71" s="233" cm="1">
        <f t="array" ref="AY71">MIN(INDEX(Use,AY$21,5) + MAX(0, (1-INDEX(Use,AY$21,5))*($AQ71-5)/(35-5)), 1)</f>
        <v>0.96</v>
      </c>
      <c r="AZ71" s="233" cm="1">
        <f t="array" ref="AZ71">MIN(INDEX(Use,AZ$21,5) + MAX(0, (1-INDEX(Use,AZ$21,5))*($AQ71-5)/(35-5)), 1)</f>
        <v>0.96</v>
      </c>
      <c r="BA71" s="233" cm="1">
        <f t="array" ref="BA71">MIN(INDEX(Use,BA$21,5) + MAX(0, (1-INDEX(Use,BA$21,5))*($AQ71-5)/(35-5)), 1)</f>
        <v>0.96</v>
      </c>
      <c r="BB71" s="233">
        <v>0.2</v>
      </c>
      <c r="BC71" s="233">
        <v>0.6</v>
      </c>
      <c r="BD71" s="211"/>
      <c r="BE71" s="229" cm="1">
        <f t="array" ref="BE71">IF(ISBLANK(R71), INDEX(Use, $AH71, 4) - AM71*INDEX(Use, $AH71, 6), R71)</f>
        <v>5</v>
      </c>
      <c r="BF71" s="229">
        <f t="shared" si="12"/>
        <v>30</v>
      </c>
      <c r="BG71" s="229">
        <f t="shared" si="13"/>
        <v>13</v>
      </c>
      <c r="BH71" s="229">
        <f t="shared" si="14"/>
        <v>0</v>
      </c>
      <c r="BI71" s="234" cm="1">
        <f t="array" ref="BI71">K71/IF($L71&gt;0, INDEX($AU$23:$BA$77, $L71+20, $AH71), 1)</f>
        <v>0</v>
      </c>
      <c r="BJ71" s="230">
        <f t="shared" si="15"/>
        <v>0</v>
      </c>
      <c r="BK71" s="229">
        <v>35</v>
      </c>
      <c r="BL71" s="230">
        <f t="shared" si="16"/>
        <v>48</v>
      </c>
      <c r="BM71" s="235">
        <f t="shared" si="17"/>
        <v>2.9108720930232557</v>
      </c>
      <c r="BN71" s="235" cm="1">
        <f t="array" ref="BN71">$BI71 * SUMPRODUCT(INDEX($AR$77:$AT$82,,$AI71),INDEX($AU$77:$BA$82,,$AH71), N($AQ$77:$AQ$82&gt;$AO71)) / BM71 / 1000</f>
        <v>0</v>
      </c>
      <c r="BO71" s="232">
        <f t="shared" si="18"/>
        <v>30</v>
      </c>
      <c r="BP71" s="230">
        <f t="shared" si="19"/>
        <v>43</v>
      </c>
      <c r="BQ71" s="235">
        <f t="shared" si="20"/>
        <v>3.2938815789473681</v>
      </c>
      <c r="BR71" s="235" cm="1">
        <f t="array" ref="BR71">$BI71 * IF($AH71&lt;=2,
SUMPRODUCT(INDEX($AR$72:$AT$76,,$AI71), INDEX($AU$72:$BA$76,,$AH71), 1 / ($BB$72:$BB$76*BQ71 + (1-$BB$72:$BB$76)*BM71), N($AQ$72:$AQ$76&gt;$AO71)),
SUMPRODUCT(INDEX($AR$67:$AT$76,,$AI71), INDEX($AU$67:$BA$76,,$AH71), 1 / ($BC$67:$BC$76*BQ71 + (1-$BC$67:$BC$76)*BM71), N($AQ$67:$AQ$76&gt;$AO71))
) / 1000</f>
        <v>0</v>
      </c>
      <c r="BS71" s="232">
        <f t="shared" si="21"/>
        <v>25</v>
      </c>
      <c r="BT71" s="230">
        <f t="shared" si="22"/>
        <v>38</v>
      </c>
      <c r="BU71" s="235">
        <f t="shared" si="23"/>
        <v>3.792954545454545</v>
      </c>
      <c r="BV71" s="235" cm="1">
        <f t="array" ref="BV71">$BI71 * IF($AH71&lt;=2,
SUMPRODUCT(INDEX($AR$67:$AT$71,,$AI71), INDEX($AU$67:$BA$71,,$AH71), 1 / ($BB$67:$BB$71*BU71 + (1-$BB$67:$BB$71)*BQ71), N($AQ$67:$AQ$71&gt;$AO71)),
SUMPRODUCT(INDEX($AR$57:$AT$66,,$AI71), INDEX($AU$57:$BA$66,,$AH71), 1 / ($BC$57:$BC$66*BU71 + (1-$BC$57:$BC$66)*BQ71), N($AQ$57:$AQ$66&gt;$AO71))
) / 1000</f>
        <v>0</v>
      </c>
      <c r="BW71" s="232">
        <f t="shared" si="24"/>
        <v>20</v>
      </c>
      <c r="BX71" s="230">
        <f t="shared" si="25"/>
        <v>33</v>
      </c>
      <c r="BY71" s="235">
        <f t="shared" si="26"/>
        <v>4.4702678571428569</v>
      </c>
      <c r="BZ71" s="235" cm="1">
        <f t="array" ref="BZ71">$BI71 * IF($AH71&lt;=2,
SUMPRODUCT(INDEX($AR$62:$AT$66,,$AI71), INDEX($AU$62:$BA$66,,$AH71), 1 / ($BB$62:$BB$66*BY71 + (1-$BB$62:$BB$66)*BU71), N($AQ$62:$AQ$66&gt;$AO71)),
SUMPRODUCT(INDEX($AR$47:$AT$56,,$AI71), INDEX($AU$47:$BA$56,,$AH71), 1 / ($BC$47:$BC$56*BY71 + (1-$BC$47:$BC$56)*BU71), N($AQ$47:$AQ$56&gt;$AO71))
) / 1000</f>
        <v>0</v>
      </c>
      <c r="CA71" s="235" cm="1">
        <f t="array" ref="CA71">$BI71 * IF($AH71&lt;=2,
SUMPRODUCT(INDEX($AR$23:$AT$61,,$AI71), INDEX($AU$23:$BA$61,,$AH71), 1 / ($BB$23:$BB$61*BY71), N($AQ$23:$AQ$61&gt;$AO71)),
SUMPRODUCT(INDEX($AR$23:$AT$46,,$AI71), INDEX($AU$23:$BA$46,,$AH71), 1 / ($BC$23:$BC$46*BY71), N($AQ$23:$AQ$46&gt;$AO71))
) / 1000</f>
        <v>0</v>
      </c>
      <c r="CB71" s="230">
        <f t="shared" si="27"/>
        <v>0</v>
      </c>
      <c r="CC71" s="238"/>
      <c r="CD71" s="229" cm="1">
        <f t="array" ref="CD71">IF(ISBLANK(Y71), INDEX(Use, $AH71, 4) - AN71*INDEX(Use, $AH71, 6) - (Q71-X71), Y71)</f>
        <v>7</v>
      </c>
      <c r="CE71" s="229">
        <f t="shared" si="28"/>
        <v>32</v>
      </c>
      <c r="CF71" s="230">
        <f t="shared" si="29"/>
        <v>0</v>
      </c>
      <c r="CG71" s="229">
        <v>35</v>
      </c>
      <c r="CH71" s="230">
        <f t="shared" si="30"/>
        <v>48</v>
      </c>
      <c r="CI71" s="235">
        <f t="shared" si="31"/>
        <v>3.0748170731707316</v>
      </c>
      <c r="CJ71" s="235" cm="1">
        <f t="array" ref="CJ71">$BI71 * SUMPRODUCT(INDEX($AR$77:$AT$82,,$AI71),INDEX($AU$77:$BA$82,,$AH71), N($AQ$77:$AQ$82&gt;$AO71)) / CI71 / 1000</f>
        <v>0</v>
      </c>
      <c r="CK71" s="232">
        <f t="shared" si="32"/>
        <v>30</v>
      </c>
      <c r="CL71" s="230">
        <f t="shared" si="33"/>
        <v>43</v>
      </c>
      <c r="CM71" s="235">
        <f t="shared" si="34"/>
        <v>3.5018750000000001</v>
      </c>
      <c r="CN71" s="235" cm="1">
        <f t="array" ref="CN71">$BI71 * IF($AH71&lt;=2,
SUMPRODUCT(INDEX($AR$72:$AT$76,,$AI71), INDEX($AU$72:$BA$76,,$AH71), 1 / ($BB$72:$BB$76*CM71 + (1-$BB$72:$BB$76)*CI71), N($AQ$72:$AQ$76&gt;$AO71)),
SUMPRODUCT(INDEX($AR$67:$AT$76,,$AI71), INDEX($AU$67:$BA$76,,$AH71), 1 / ($BC$67:$BC$76*CM71 + (1-$BC$67:$BC$76)*CI71), N($AQ$67:$AQ$76&gt;$AO71))
) / 1000</f>
        <v>0</v>
      </c>
      <c r="CO71" s="232">
        <f t="shared" si="35"/>
        <v>25</v>
      </c>
      <c r="CP71" s="230">
        <f t="shared" si="36"/>
        <v>38</v>
      </c>
      <c r="CQ71" s="235">
        <f t="shared" si="37"/>
        <v>4.0666935483870965</v>
      </c>
      <c r="CR71" s="235" cm="1">
        <f t="array" ref="CR71">$BI71 * IF($AH71&lt;=2,
SUMPRODUCT(INDEX($AR$67:$AT$71,,$AI71), INDEX($AU$67:$BA$71,,$AH71), 1 / ($BB$67:$BB$71*CQ71 + (1-$BB$67:$BB$71)*CM71), N($AQ$67:$AQ$71&gt;$AO71)),
SUMPRODUCT(INDEX($AR$57:$AT$66,,$AI71), INDEX($AU$57:$BA$66,,$AH71), 1 / ($BC$57:$BC$66*CQ71 + (1-$BC$57:$BC$66)*CM71), N($AQ$57:$AQ$66&gt;$AO71))
) / 1000</f>
        <v>0</v>
      </c>
      <c r="CS71" s="232">
        <f t="shared" si="38"/>
        <v>20</v>
      </c>
      <c r="CT71" s="230">
        <f t="shared" si="39"/>
        <v>33</v>
      </c>
      <c r="CU71" s="235">
        <f t="shared" si="40"/>
        <v>4.8487499999999999</v>
      </c>
      <c r="CV71" s="235" cm="1">
        <f t="array" ref="CV71">$BI71 * IF($AH71&lt;=2,
SUMPRODUCT(INDEX($AR$62:$AT$66,,$AI71), INDEX($AU$62:$BA$66,,$AH71), 1 / ($BB$62:$BB$66*CU71 + (1-$BB$62:$BB$66)*CQ71), N($AQ$62:$AQ$66&gt;$AO71)),
SUMPRODUCT(INDEX($AR$47:$AT$56,,$AI71), INDEX($AU$47:$BA$56,,$AH71), 1 / ($BC$47:$BC$56*CU71 + (1-$BC$47:$BC$56)*CQ71), N($AQ$47:$AQ$56&gt;$AO71))
) / 1000</f>
        <v>0</v>
      </c>
      <c r="CW71" s="235" cm="1">
        <f t="array" ref="CW71">$BI71 * IF($AH71&lt;=2,
SUMPRODUCT(INDEX($AR$23:$AT$61,,$AI71), INDEX($AU$23:$BA$61,,$AH71), 1 / ($BB$23:$BB$61*CU71), N($AQ$23:$AQ$61&gt;$AO71)),
SUMPRODUCT(INDEX($AR$23:$AT$46,,$AI71), INDEX($AU$23:$BA$46,,$AH71), 1 / ($BC$23:$BC$46*CU71), N($AQ$23:$AQ$46&gt;$AO71))
) / 1000</f>
        <v>0</v>
      </c>
      <c r="CX71" s="230">
        <f t="shared" si="41"/>
        <v>0</v>
      </c>
      <c r="CY71" s="238"/>
    </row>
    <row r="72" spans="1:103" s="76" customFormat="1" ht="14.25" customHeight="1" x14ac:dyDescent="0.25">
      <c r="A72" s="231" t="b">
        <f t="shared" si="0"/>
        <v>0</v>
      </c>
      <c r="B72" s="245">
        <v>50</v>
      </c>
      <c r="C72" s="258"/>
      <c r="D72" s="258"/>
      <c r="E72" s="246"/>
      <c r="F72" s="247" t="str">
        <f>IF(ISBLANK(E72), "", VLOOKUP(E72, Z!$A$2:$C$4127, 3, FALSE))</f>
        <v/>
      </c>
      <c r="G72" s="248"/>
      <c r="H72" s="248"/>
      <c r="I72" s="249"/>
      <c r="J72" s="250"/>
      <c r="K72" s="259"/>
      <c r="L72" s="260"/>
      <c r="M72" s="252" t="str" cm="1">
        <f t="array" ref="M72">INDEX(Trad, 53, $A$20)</f>
        <v>Verschmutzt</v>
      </c>
      <c r="N72" s="253"/>
      <c r="O72" s="253"/>
      <c r="P72" s="254"/>
      <c r="Q72" s="251"/>
      <c r="R72" s="251"/>
      <c r="S72" s="264">
        <f t="shared" si="7"/>
        <v>0</v>
      </c>
      <c r="T72" s="252" t="str" cm="1">
        <f t="array" ref="T72">INDEX(Trad, 52, $A$20)</f>
        <v>Sauber</v>
      </c>
      <c r="U72" s="253"/>
      <c r="V72" s="253"/>
      <c r="W72" s="254"/>
      <c r="X72" s="251"/>
      <c r="Y72" s="251"/>
      <c r="Z72" s="264">
        <f t="shared" si="8"/>
        <v>0</v>
      </c>
      <c r="AA72" s="261"/>
      <c r="AB72" s="258"/>
      <c r="AC72" s="246"/>
      <c r="AD72" s="247" t="str">
        <f>IF(ISBLANK(AC72), "", VLOOKUP(AC72, Z!$A$2:$C$4127, 3, FALSE))</f>
        <v/>
      </c>
      <c r="AE72" s="262"/>
      <c r="AF72" s="263">
        <f t="shared" si="132"/>
        <v>0</v>
      </c>
      <c r="AG72" s="238"/>
      <c r="AH72" s="229">
        <f t="shared" ref="AH72" si="184">IF(ISBLANK(H72), 1, IFERROR(MATCH(H72, INDEX(Use,,1), 0), IFERROR(MATCH(H72, INDEX(Use,,2), 0), MATCH(H72, INDEX(Use,,3), 0))))</f>
        <v>1</v>
      </c>
      <c r="AI72" s="229">
        <f t="shared" ref="AI72" si="185">IF(ISBLANK(G72), 1, IFERROR(MATCH(G72, INDEX(Loc,,1), 0), IFERROR(MATCH(G72, INDEX(Loc,,2), 0), MATCH(G72, INDEX(Loc,,3), 0))))</f>
        <v>1</v>
      </c>
      <c r="AJ72" s="229">
        <f t="shared" ref="AJ72" si="186">_xlfn.IFNA(IF(IFERROR(MATCH(I72, INDEX(Medium,,1), 0), IFERROR(MATCH(I72, INDEX(Medium,,2), 0), MATCH(I72, INDEX(Medium,,3), 0))) = 2, 1, 0), 0)</f>
        <v>0</v>
      </c>
      <c r="AK72" s="229">
        <v>0</v>
      </c>
      <c r="AL72" s="229">
        <v>0</v>
      </c>
      <c r="AM72" s="229">
        <v>1</v>
      </c>
      <c r="AN72" s="229">
        <v>0</v>
      </c>
      <c r="AO72" s="229">
        <f t="shared" si="5"/>
        <v>-100</v>
      </c>
      <c r="AP72" s="238"/>
      <c r="AQ72" s="229">
        <v>30</v>
      </c>
      <c r="AR72" s="232">
        <v>22</v>
      </c>
      <c r="AS72" s="232">
        <v>23</v>
      </c>
      <c r="AT72" s="232">
        <v>16</v>
      </c>
      <c r="AU72" s="233">
        <f t="shared" si="6"/>
        <v>0.6875</v>
      </c>
      <c r="AV72" s="233">
        <f t="shared" si="6"/>
        <v>0.6875</v>
      </c>
      <c r="AW72" s="233" cm="1">
        <f t="array" ref="AW72">MIN(INDEX(Use,AW$21,5) + MAX(0, (1-INDEX(Use,AW$21,5))*($AQ72-5)/(35-5)), 1)</f>
        <v>0.9</v>
      </c>
      <c r="AX72" s="233" cm="1">
        <f t="array" ref="AX72">MIN(INDEX(Use,AX$21,5) + MAX(0, (1-INDEX(Use,AX$21,5))*($AQ72-5)/(35-5)), 1)</f>
        <v>0.93333333333333335</v>
      </c>
      <c r="AY72" s="233" cm="1">
        <f t="array" ref="AY72">MIN(INDEX(Use,AY$21,5) + MAX(0, (1-INDEX(Use,AY$21,5))*($AQ72-5)/(35-5)), 1)</f>
        <v>0.96666666666666667</v>
      </c>
      <c r="AZ72" s="233" cm="1">
        <f t="array" ref="AZ72">MIN(INDEX(Use,AZ$21,5) + MAX(0, (1-INDEX(Use,AZ$21,5))*($AQ72-5)/(35-5)), 1)</f>
        <v>0.96666666666666667</v>
      </c>
      <c r="BA72" s="233" cm="1">
        <f t="array" ref="BA72">MIN(INDEX(Use,BA$21,5) + MAX(0, (1-INDEX(Use,BA$21,5))*($AQ72-5)/(35-5)), 1)</f>
        <v>0.96666666666666667</v>
      </c>
      <c r="BB72" s="233">
        <v>1</v>
      </c>
      <c r="BC72" s="233">
        <v>0.5</v>
      </c>
      <c r="BD72" s="211"/>
      <c r="BE72" s="229" cm="1">
        <f t="array" ref="BE72">IF(ISBLANK(R72), INDEX(Use, $AH72, 4) - AM72*INDEX(Use, $AH72, 6), R72)</f>
        <v>5</v>
      </c>
      <c r="BF72" s="229">
        <f t="shared" si="12"/>
        <v>30</v>
      </c>
      <c r="BG72" s="229">
        <f t="shared" si="13"/>
        <v>13</v>
      </c>
      <c r="BH72" s="229">
        <f t="shared" si="14"/>
        <v>0</v>
      </c>
      <c r="BI72" s="234" cm="1">
        <f t="array" ref="BI72">K72/IF($L72&gt;0, INDEX($AU$23:$BA$77, $L72+20, $AH72), 1)</f>
        <v>0</v>
      </c>
      <c r="BJ72" s="230">
        <f t="shared" si="15"/>
        <v>0</v>
      </c>
      <c r="BK72" s="229">
        <v>35</v>
      </c>
      <c r="BL72" s="230">
        <f t="shared" si="16"/>
        <v>48</v>
      </c>
      <c r="BM72" s="235">
        <f t="shared" si="17"/>
        <v>2.9108720930232557</v>
      </c>
      <c r="BN72" s="235" cm="1">
        <f t="array" ref="BN72">$BI72 * SUMPRODUCT(INDEX($AR$77:$AT$82,,$AI72),INDEX($AU$77:$BA$82,,$AH72), N($AQ$77:$AQ$82&gt;$AO72)) / BM72 / 1000</f>
        <v>0</v>
      </c>
      <c r="BO72" s="232">
        <f t="shared" si="18"/>
        <v>30</v>
      </c>
      <c r="BP72" s="230">
        <f t="shared" si="19"/>
        <v>43</v>
      </c>
      <c r="BQ72" s="235">
        <f t="shared" si="20"/>
        <v>3.2938815789473681</v>
      </c>
      <c r="BR72" s="235" cm="1">
        <f t="array" ref="BR72">$BI72 * IF($AH72&lt;=2,
SUMPRODUCT(INDEX($AR$72:$AT$76,,$AI72), INDEX($AU$72:$BA$76,,$AH72), 1 / ($BB$72:$BB$76*BQ72 + (1-$BB$72:$BB$76)*BM72), N($AQ$72:$AQ$76&gt;$AO72)),
SUMPRODUCT(INDEX($AR$67:$AT$76,,$AI72), INDEX($AU$67:$BA$76,,$AH72), 1 / ($BC$67:$BC$76*BQ72 + (1-$BC$67:$BC$76)*BM72), N($AQ$67:$AQ$76&gt;$AO72))
) / 1000</f>
        <v>0</v>
      </c>
      <c r="BS72" s="232">
        <f t="shared" si="21"/>
        <v>25</v>
      </c>
      <c r="BT72" s="230">
        <f t="shared" si="22"/>
        <v>38</v>
      </c>
      <c r="BU72" s="235">
        <f t="shared" si="23"/>
        <v>3.792954545454545</v>
      </c>
      <c r="BV72" s="235" cm="1">
        <f t="array" ref="BV72">$BI72 * IF($AH72&lt;=2,
SUMPRODUCT(INDEX($AR$67:$AT$71,,$AI72), INDEX($AU$67:$BA$71,,$AH72), 1 / ($BB$67:$BB$71*BU72 + (1-$BB$67:$BB$71)*BQ72), N($AQ$67:$AQ$71&gt;$AO72)),
SUMPRODUCT(INDEX($AR$57:$AT$66,,$AI72), INDEX($AU$57:$BA$66,,$AH72), 1 / ($BC$57:$BC$66*BU72 + (1-$BC$57:$BC$66)*BQ72), N($AQ$57:$AQ$66&gt;$AO72))
) / 1000</f>
        <v>0</v>
      </c>
      <c r="BW72" s="232">
        <f t="shared" si="24"/>
        <v>20</v>
      </c>
      <c r="BX72" s="230">
        <f t="shared" si="25"/>
        <v>33</v>
      </c>
      <c r="BY72" s="235">
        <f t="shared" si="26"/>
        <v>4.4702678571428569</v>
      </c>
      <c r="BZ72" s="235" cm="1">
        <f t="array" ref="BZ72">$BI72 * IF($AH72&lt;=2,
SUMPRODUCT(INDEX($AR$62:$AT$66,,$AI72), INDEX($AU$62:$BA$66,,$AH72), 1 / ($BB$62:$BB$66*BY72 + (1-$BB$62:$BB$66)*BU72), N($AQ$62:$AQ$66&gt;$AO72)),
SUMPRODUCT(INDEX($AR$47:$AT$56,,$AI72), INDEX($AU$47:$BA$56,,$AH72), 1 / ($BC$47:$BC$56*BY72 + (1-$BC$47:$BC$56)*BU72), N($AQ$47:$AQ$56&gt;$AO72))
) / 1000</f>
        <v>0</v>
      </c>
      <c r="CA72" s="235" cm="1">
        <f t="array" ref="CA72">$BI72 * IF($AH72&lt;=2,
SUMPRODUCT(INDEX($AR$23:$AT$61,,$AI72), INDEX($AU$23:$BA$61,,$AH72), 1 / ($BB$23:$BB$61*BY72), N($AQ$23:$AQ$61&gt;$AO72)),
SUMPRODUCT(INDEX($AR$23:$AT$46,,$AI72), INDEX($AU$23:$BA$46,,$AH72), 1 / ($BC$23:$BC$46*BY72), N($AQ$23:$AQ$46&gt;$AO72))
) / 1000</f>
        <v>0</v>
      </c>
      <c r="CB72" s="230">
        <f t="shared" si="27"/>
        <v>0</v>
      </c>
      <c r="CC72" s="238"/>
      <c r="CD72" s="229" cm="1">
        <f t="array" ref="CD72">IF(ISBLANK(Y72), INDEX(Use, $AH72, 4) - AN72*INDEX(Use, $AH72, 6) - (Q72-X72), Y72)</f>
        <v>7</v>
      </c>
      <c r="CE72" s="229">
        <f t="shared" si="28"/>
        <v>32</v>
      </c>
      <c r="CF72" s="230">
        <f t="shared" si="29"/>
        <v>0</v>
      </c>
      <c r="CG72" s="229">
        <v>35</v>
      </c>
      <c r="CH72" s="230">
        <f t="shared" si="30"/>
        <v>48</v>
      </c>
      <c r="CI72" s="235">
        <f t="shared" si="31"/>
        <v>3.0748170731707316</v>
      </c>
      <c r="CJ72" s="235" cm="1">
        <f t="array" ref="CJ72">$BI72 * SUMPRODUCT(INDEX($AR$77:$AT$82,,$AI72),INDEX($AU$77:$BA$82,,$AH72), N($AQ$77:$AQ$82&gt;$AO72)) / CI72 / 1000</f>
        <v>0</v>
      </c>
      <c r="CK72" s="232">
        <f t="shared" si="32"/>
        <v>30</v>
      </c>
      <c r="CL72" s="230">
        <f t="shared" si="33"/>
        <v>43</v>
      </c>
      <c r="CM72" s="235">
        <f t="shared" si="34"/>
        <v>3.5018750000000001</v>
      </c>
      <c r="CN72" s="235" cm="1">
        <f t="array" ref="CN72">$BI72 * IF($AH72&lt;=2,
SUMPRODUCT(INDEX($AR$72:$AT$76,,$AI72), INDEX($AU$72:$BA$76,,$AH72), 1 / ($BB$72:$BB$76*CM72 + (1-$BB$72:$BB$76)*CI72), N($AQ$72:$AQ$76&gt;$AO72)),
SUMPRODUCT(INDEX($AR$67:$AT$76,,$AI72), INDEX($AU$67:$BA$76,,$AH72), 1 / ($BC$67:$BC$76*CM72 + (1-$BC$67:$BC$76)*CI72), N($AQ$67:$AQ$76&gt;$AO72))
) / 1000</f>
        <v>0</v>
      </c>
      <c r="CO72" s="232">
        <f t="shared" si="35"/>
        <v>25</v>
      </c>
      <c r="CP72" s="230">
        <f t="shared" si="36"/>
        <v>38</v>
      </c>
      <c r="CQ72" s="235">
        <f t="shared" si="37"/>
        <v>4.0666935483870965</v>
      </c>
      <c r="CR72" s="235" cm="1">
        <f t="array" ref="CR72">$BI72 * IF($AH72&lt;=2,
SUMPRODUCT(INDEX($AR$67:$AT$71,,$AI72), INDEX($AU$67:$BA$71,,$AH72), 1 / ($BB$67:$BB$71*CQ72 + (1-$BB$67:$BB$71)*CM72), N($AQ$67:$AQ$71&gt;$AO72)),
SUMPRODUCT(INDEX($AR$57:$AT$66,,$AI72), INDEX($AU$57:$BA$66,,$AH72), 1 / ($BC$57:$BC$66*CQ72 + (1-$BC$57:$BC$66)*CM72), N($AQ$57:$AQ$66&gt;$AO72))
) / 1000</f>
        <v>0</v>
      </c>
      <c r="CS72" s="232">
        <f t="shared" si="38"/>
        <v>20</v>
      </c>
      <c r="CT72" s="230">
        <f t="shared" si="39"/>
        <v>33</v>
      </c>
      <c r="CU72" s="235">
        <f t="shared" si="40"/>
        <v>4.8487499999999999</v>
      </c>
      <c r="CV72" s="235" cm="1">
        <f t="array" ref="CV72">$BI72 * IF($AH72&lt;=2,
SUMPRODUCT(INDEX($AR$62:$AT$66,,$AI72), INDEX($AU$62:$BA$66,,$AH72), 1 / ($BB$62:$BB$66*CU72 + (1-$BB$62:$BB$66)*CQ72), N($AQ$62:$AQ$66&gt;$AO72)),
SUMPRODUCT(INDEX($AR$47:$AT$56,,$AI72), INDEX($AU$47:$BA$56,,$AH72), 1 / ($BC$47:$BC$56*CU72 + (1-$BC$47:$BC$56)*CQ72), N($AQ$47:$AQ$56&gt;$AO72))
) / 1000</f>
        <v>0</v>
      </c>
      <c r="CW72" s="235" cm="1">
        <f t="array" ref="CW72">$BI72 * IF($AH72&lt;=2,
SUMPRODUCT(INDEX($AR$23:$AT$61,,$AI72), INDEX($AU$23:$BA$61,,$AH72), 1 / ($BB$23:$BB$61*CU72), N($AQ$23:$AQ$61&gt;$AO72)),
SUMPRODUCT(INDEX($AR$23:$AT$46,,$AI72), INDEX($AU$23:$BA$46,,$AH72), 1 / ($BC$23:$BC$46*CU72), N($AQ$23:$AQ$46&gt;$AO72))
) / 1000</f>
        <v>0</v>
      </c>
      <c r="CX72" s="230">
        <f t="shared" si="41"/>
        <v>0</v>
      </c>
      <c r="CY72" s="238"/>
    </row>
    <row r="73" spans="1:103" s="76" customFormat="1" ht="14.25" customHeight="1" x14ac:dyDescent="0.25">
      <c r="A73" s="231" t="b">
        <f t="shared" si="0"/>
        <v>0</v>
      </c>
      <c r="B73" s="245">
        <v>51</v>
      </c>
      <c r="C73" s="258"/>
      <c r="D73" s="258"/>
      <c r="E73" s="246"/>
      <c r="F73" s="247" t="str">
        <f>IF(ISBLANK(E73), "", VLOOKUP(E73, Z!$A$2:$C$4127, 3, FALSE))</f>
        <v/>
      </c>
      <c r="G73" s="248"/>
      <c r="H73" s="248"/>
      <c r="I73" s="249"/>
      <c r="J73" s="250"/>
      <c r="K73" s="259"/>
      <c r="L73" s="260"/>
      <c r="M73" s="252" t="str" cm="1">
        <f t="array" ref="M73">INDEX(Trad, 53, $A$20)</f>
        <v>Verschmutzt</v>
      </c>
      <c r="N73" s="253"/>
      <c r="O73" s="253"/>
      <c r="P73" s="254"/>
      <c r="Q73" s="251"/>
      <c r="R73" s="251"/>
      <c r="S73" s="264">
        <f t="shared" si="7"/>
        <v>0</v>
      </c>
      <c r="T73" s="252" t="str" cm="1">
        <f t="array" ref="T73">INDEX(Trad, 52, $A$20)</f>
        <v>Sauber</v>
      </c>
      <c r="U73" s="253"/>
      <c r="V73" s="253"/>
      <c r="W73" s="254"/>
      <c r="X73" s="251"/>
      <c r="Y73" s="251"/>
      <c r="Z73" s="264">
        <f t="shared" si="8"/>
        <v>0</v>
      </c>
      <c r="AA73" s="261"/>
      <c r="AB73" s="258"/>
      <c r="AC73" s="246"/>
      <c r="AD73" s="247" t="str">
        <f>IF(ISBLANK(AC73), "", VLOOKUP(AC73, Z!$A$2:$C$4127, 3, FALSE))</f>
        <v/>
      </c>
      <c r="AE73" s="262"/>
      <c r="AF73" s="263">
        <f t="shared" si="132"/>
        <v>0</v>
      </c>
      <c r="AG73" s="238"/>
      <c r="AH73" s="229">
        <f t="shared" ref="AH73" si="187">IF(ISBLANK(H73), 1, IFERROR(MATCH(H73, INDEX(Use,,1), 0), IFERROR(MATCH(H73, INDEX(Use,,2), 0), MATCH(H73, INDEX(Use,,3), 0))))</f>
        <v>1</v>
      </c>
      <c r="AI73" s="229">
        <f t="shared" ref="AI73" si="188">IF(ISBLANK(G73), 1, IFERROR(MATCH(G73, INDEX(Loc,,1), 0), IFERROR(MATCH(G73, INDEX(Loc,,2), 0), MATCH(G73, INDEX(Loc,,3), 0))))</f>
        <v>1</v>
      </c>
      <c r="AJ73" s="229">
        <f t="shared" ref="AJ73" si="189">_xlfn.IFNA(IF(IFERROR(MATCH(I73, INDEX(Medium,,1), 0), IFERROR(MATCH(I73, INDEX(Medium,,2), 0), MATCH(I73, INDEX(Medium,,3), 0))) = 2, 1, 0), 0)</f>
        <v>0</v>
      </c>
      <c r="AK73" s="229">
        <v>0</v>
      </c>
      <c r="AL73" s="229">
        <v>0</v>
      </c>
      <c r="AM73" s="229">
        <v>1</v>
      </c>
      <c r="AN73" s="229">
        <v>0</v>
      </c>
      <c r="AO73" s="229">
        <f t="shared" si="5"/>
        <v>-100</v>
      </c>
      <c r="AP73" s="238"/>
      <c r="AQ73" s="229">
        <v>31</v>
      </c>
      <c r="AR73" s="232">
        <v>17</v>
      </c>
      <c r="AS73" s="232">
        <v>19</v>
      </c>
      <c r="AT73" s="232">
        <v>6</v>
      </c>
      <c r="AU73" s="233">
        <f t="shared" si="6"/>
        <v>0.75</v>
      </c>
      <c r="AV73" s="233">
        <f t="shared" si="6"/>
        <v>0.75</v>
      </c>
      <c r="AW73" s="233" cm="1">
        <f t="array" ref="AW73">MIN(INDEX(Use,AW$21,5) + MAX(0, (1-INDEX(Use,AW$21,5))*($AQ73-5)/(35-5)), 1)</f>
        <v>0.92</v>
      </c>
      <c r="AX73" s="233" cm="1">
        <f t="array" ref="AX73">MIN(INDEX(Use,AX$21,5) + MAX(0, (1-INDEX(Use,AX$21,5))*($AQ73-5)/(35-5)), 1)</f>
        <v>0.94666666666666666</v>
      </c>
      <c r="AY73" s="233" cm="1">
        <f t="array" ref="AY73">MIN(INDEX(Use,AY$21,5) + MAX(0, (1-INDEX(Use,AY$21,5))*($AQ73-5)/(35-5)), 1)</f>
        <v>0.97333333333333338</v>
      </c>
      <c r="AZ73" s="233" cm="1">
        <f t="array" ref="AZ73">MIN(INDEX(Use,AZ$21,5) + MAX(0, (1-INDEX(Use,AZ$21,5))*($AQ73-5)/(35-5)), 1)</f>
        <v>0.97333333333333338</v>
      </c>
      <c r="BA73" s="233" cm="1">
        <f t="array" ref="BA73">MIN(INDEX(Use,BA$21,5) + MAX(0, (1-INDEX(Use,BA$21,5))*($AQ73-5)/(35-5)), 1)</f>
        <v>0.97333333333333338</v>
      </c>
      <c r="BB73" s="233">
        <v>0.8</v>
      </c>
      <c r="BC73" s="233">
        <v>0.4</v>
      </c>
      <c r="BD73" s="211"/>
      <c r="BE73" s="229" cm="1">
        <f t="array" ref="BE73">IF(ISBLANK(R73), INDEX(Use, $AH73, 4) - AM73*INDEX(Use, $AH73, 6), R73)</f>
        <v>5</v>
      </c>
      <c r="BF73" s="229">
        <f t="shared" si="12"/>
        <v>30</v>
      </c>
      <c r="BG73" s="229">
        <f t="shared" si="13"/>
        <v>13</v>
      </c>
      <c r="BH73" s="229">
        <f t="shared" si="14"/>
        <v>0</v>
      </c>
      <c r="BI73" s="234" cm="1">
        <f t="array" ref="BI73">K73/IF($L73&gt;0, INDEX($AU$23:$BA$77, $L73+20, $AH73), 1)</f>
        <v>0</v>
      </c>
      <c r="BJ73" s="230">
        <f t="shared" si="15"/>
        <v>0</v>
      </c>
      <c r="BK73" s="229">
        <v>35</v>
      </c>
      <c r="BL73" s="230">
        <f t="shared" si="16"/>
        <v>48</v>
      </c>
      <c r="BM73" s="235">
        <f t="shared" si="17"/>
        <v>2.9108720930232557</v>
      </c>
      <c r="BN73" s="235" cm="1">
        <f t="array" ref="BN73">$BI73 * SUMPRODUCT(INDEX($AR$77:$AT$82,,$AI73),INDEX($AU$77:$BA$82,,$AH73), N($AQ$77:$AQ$82&gt;$AO73)) / BM73 / 1000</f>
        <v>0</v>
      </c>
      <c r="BO73" s="232">
        <f t="shared" si="18"/>
        <v>30</v>
      </c>
      <c r="BP73" s="230">
        <f t="shared" si="19"/>
        <v>43</v>
      </c>
      <c r="BQ73" s="235">
        <f t="shared" si="20"/>
        <v>3.2938815789473681</v>
      </c>
      <c r="BR73" s="235" cm="1">
        <f t="array" ref="BR73">$BI73 * IF($AH73&lt;=2,
SUMPRODUCT(INDEX($AR$72:$AT$76,,$AI73), INDEX($AU$72:$BA$76,,$AH73), 1 / ($BB$72:$BB$76*BQ73 + (1-$BB$72:$BB$76)*BM73), N($AQ$72:$AQ$76&gt;$AO73)),
SUMPRODUCT(INDEX($AR$67:$AT$76,,$AI73), INDEX($AU$67:$BA$76,,$AH73), 1 / ($BC$67:$BC$76*BQ73 + (1-$BC$67:$BC$76)*BM73), N($AQ$67:$AQ$76&gt;$AO73))
) / 1000</f>
        <v>0</v>
      </c>
      <c r="BS73" s="232">
        <f t="shared" si="21"/>
        <v>25</v>
      </c>
      <c r="BT73" s="230">
        <f t="shared" si="22"/>
        <v>38</v>
      </c>
      <c r="BU73" s="235">
        <f t="shared" si="23"/>
        <v>3.792954545454545</v>
      </c>
      <c r="BV73" s="235" cm="1">
        <f t="array" ref="BV73">$BI73 * IF($AH73&lt;=2,
SUMPRODUCT(INDEX($AR$67:$AT$71,,$AI73), INDEX($AU$67:$BA$71,,$AH73), 1 / ($BB$67:$BB$71*BU73 + (1-$BB$67:$BB$71)*BQ73), N($AQ$67:$AQ$71&gt;$AO73)),
SUMPRODUCT(INDEX($AR$57:$AT$66,,$AI73), INDEX($AU$57:$BA$66,,$AH73), 1 / ($BC$57:$BC$66*BU73 + (1-$BC$57:$BC$66)*BQ73), N($AQ$57:$AQ$66&gt;$AO73))
) / 1000</f>
        <v>0</v>
      </c>
      <c r="BW73" s="232">
        <f t="shared" si="24"/>
        <v>20</v>
      </c>
      <c r="BX73" s="230">
        <f t="shared" si="25"/>
        <v>33</v>
      </c>
      <c r="BY73" s="235">
        <f t="shared" si="26"/>
        <v>4.4702678571428569</v>
      </c>
      <c r="BZ73" s="235" cm="1">
        <f t="array" ref="BZ73">$BI73 * IF($AH73&lt;=2,
SUMPRODUCT(INDEX($AR$62:$AT$66,,$AI73), INDEX($AU$62:$BA$66,,$AH73), 1 / ($BB$62:$BB$66*BY73 + (1-$BB$62:$BB$66)*BU73), N($AQ$62:$AQ$66&gt;$AO73)),
SUMPRODUCT(INDEX($AR$47:$AT$56,,$AI73), INDEX($AU$47:$BA$56,,$AH73), 1 / ($BC$47:$BC$56*BY73 + (1-$BC$47:$BC$56)*BU73), N($AQ$47:$AQ$56&gt;$AO73))
) / 1000</f>
        <v>0</v>
      </c>
      <c r="CA73" s="235" cm="1">
        <f t="array" ref="CA73">$BI73 * IF($AH73&lt;=2,
SUMPRODUCT(INDEX($AR$23:$AT$61,,$AI73), INDEX($AU$23:$BA$61,,$AH73), 1 / ($BB$23:$BB$61*BY73), N($AQ$23:$AQ$61&gt;$AO73)),
SUMPRODUCT(INDEX($AR$23:$AT$46,,$AI73), INDEX($AU$23:$BA$46,,$AH73), 1 / ($BC$23:$BC$46*BY73), N($AQ$23:$AQ$46&gt;$AO73))
) / 1000</f>
        <v>0</v>
      </c>
      <c r="CB73" s="230">
        <f t="shared" si="27"/>
        <v>0</v>
      </c>
      <c r="CC73" s="238"/>
      <c r="CD73" s="229" cm="1">
        <f t="array" ref="CD73">IF(ISBLANK(Y73), INDEX(Use, $AH73, 4) - AN73*INDEX(Use, $AH73, 6) - (Q73-X73), Y73)</f>
        <v>7</v>
      </c>
      <c r="CE73" s="229">
        <f t="shared" si="28"/>
        <v>32</v>
      </c>
      <c r="CF73" s="230">
        <f t="shared" si="29"/>
        <v>0</v>
      </c>
      <c r="CG73" s="229">
        <v>35</v>
      </c>
      <c r="CH73" s="230">
        <f t="shared" si="30"/>
        <v>48</v>
      </c>
      <c r="CI73" s="235">
        <f t="shared" si="31"/>
        <v>3.0748170731707316</v>
      </c>
      <c r="CJ73" s="235" cm="1">
        <f t="array" ref="CJ73">$BI73 * SUMPRODUCT(INDEX($AR$77:$AT$82,,$AI73),INDEX($AU$77:$BA$82,,$AH73), N($AQ$77:$AQ$82&gt;$AO73)) / CI73 / 1000</f>
        <v>0</v>
      </c>
      <c r="CK73" s="232">
        <f t="shared" si="32"/>
        <v>30</v>
      </c>
      <c r="CL73" s="230">
        <f t="shared" si="33"/>
        <v>43</v>
      </c>
      <c r="CM73" s="235">
        <f t="shared" si="34"/>
        <v>3.5018750000000001</v>
      </c>
      <c r="CN73" s="235" cm="1">
        <f t="array" ref="CN73">$BI73 * IF($AH73&lt;=2,
SUMPRODUCT(INDEX($AR$72:$AT$76,,$AI73), INDEX($AU$72:$BA$76,,$AH73), 1 / ($BB$72:$BB$76*CM73 + (1-$BB$72:$BB$76)*CI73), N($AQ$72:$AQ$76&gt;$AO73)),
SUMPRODUCT(INDEX($AR$67:$AT$76,,$AI73), INDEX($AU$67:$BA$76,,$AH73), 1 / ($BC$67:$BC$76*CM73 + (1-$BC$67:$BC$76)*CI73), N($AQ$67:$AQ$76&gt;$AO73))
) / 1000</f>
        <v>0</v>
      </c>
      <c r="CO73" s="232">
        <f t="shared" si="35"/>
        <v>25</v>
      </c>
      <c r="CP73" s="230">
        <f t="shared" si="36"/>
        <v>38</v>
      </c>
      <c r="CQ73" s="235">
        <f t="shared" si="37"/>
        <v>4.0666935483870965</v>
      </c>
      <c r="CR73" s="235" cm="1">
        <f t="array" ref="CR73">$BI73 * IF($AH73&lt;=2,
SUMPRODUCT(INDEX($AR$67:$AT$71,,$AI73), INDEX($AU$67:$BA$71,,$AH73), 1 / ($BB$67:$BB$71*CQ73 + (1-$BB$67:$BB$71)*CM73), N($AQ$67:$AQ$71&gt;$AO73)),
SUMPRODUCT(INDEX($AR$57:$AT$66,,$AI73), INDEX($AU$57:$BA$66,,$AH73), 1 / ($BC$57:$BC$66*CQ73 + (1-$BC$57:$BC$66)*CM73), N($AQ$57:$AQ$66&gt;$AO73))
) / 1000</f>
        <v>0</v>
      </c>
      <c r="CS73" s="232">
        <f t="shared" si="38"/>
        <v>20</v>
      </c>
      <c r="CT73" s="230">
        <f t="shared" si="39"/>
        <v>33</v>
      </c>
      <c r="CU73" s="235">
        <f t="shared" si="40"/>
        <v>4.8487499999999999</v>
      </c>
      <c r="CV73" s="235" cm="1">
        <f t="array" ref="CV73">$BI73 * IF($AH73&lt;=2,
SUMPRODUCT(INDEX($AR$62:$AT$66,,$AI73), INDEX($AU$62:$BA$66,,$AH73), 1 / ($BB$62:$BB$66*CU73 + (1-$BB$62:$BB$66)*CQ73), N($AQ$62:$AQ$66&gt;$AO73)),
SUMPRODUCT(INDEX($AR$47:$AT$56,,$AI73), INDEX($AU$47:$BA$56,,$AH73), 1 / ($BC$47:$BC$56*CU73 + (1-$BC$47:$BC$56)*CQ73), N($AQ$47:$AQ$56&gt;$AO73))
) / 1000</f>
        <v>0</v>
      </c>
      <c r="CW73" s="235" cm="1">
        <f t="array" ref="CW73">$BI73 * IF($AH73&lt;=2,
SUMPRODUCT(INDEX($AR$23:$AT$61,,$AI73), INDEX($AU$23:$BA$61,,$AH73), 1 / ($BB$23:$BB$61*CU73), N($AQ$23:$AQ$61&gt;$AO73)),
SUMPRODUCT(INDEX($AR$23:$AT$46,,$AI73), INDEX($AU$23:$BA$46,,$AH73), 1 / ($BC$23:$BC$46*CU73), N($AQ$23:$AQ$46&gt;$AO73))
) / 1000</f>
        <v>0</v>
      </c>
      <c r="CX73" s="230">
        <f t="shared" si="41"/>
        <v>0</v>
      </c>
      <c r="CY73" s="238"/>
    </row>
    <row r="74" spans="1:103" s="76" customFormat="1" ht="14.25" customHeight="1" x14ac:dyDescent="0.25">
      <c r="A74" s="231" t="b">
        <f t="shared" si="0"/>
        <v>0</v>
      </c>
      <c r="B74" s="245">
        <v>52</v>
      </c>
      <c r="C74" s="258"/>
      <c r="D74" s="258"/>
      <c r="E74" s="246"/>
      <c r="F74" s="247" t="str">
        <f>IF(ISBLANK(E74), "", VLOOKUP(E74, Z!$A$2:$C$4127, 3, FALSE))</f>
        <v/>
      </c>
      <c r="G74" s="248"/>
      <c r="H74" s="248"/>
      <c r="I74" s="249"/>
      <c r="J74" s="250"/>
      <c r="K74" s="259"/>
      <c r="L74" s="260"/>
      <c r="M74" s="252" t="str" cm="1">
        <f t="array" ref="M74">INDEX(Trad, 53, $A$20)</f>
        <v>Verschmutzt</v>
      </c>
      <c r="N74" s="253"/>
      <c r="O74" s="253"/>
      <c r="P74" s="254"/>
      <c r="Q74" s="251"/>
      <c r="R74" s="251"/>
      <c r="S74" s="264">
        <f t="shared" si="7"/>
        <v>0</v>
      </c>
      <c r="T74" s="252" t="str" cm="1">
        <f t="array" ref="T74">INDEX(Trad, 52, $A$20)</f>
        <v>Sauber</v>
      </c>
      <c r="U74" s="253"/>
      <c r="V74" s="253"/>
      <c r="W74" s="254"/>
      <c r="X74" s="251"/>
      <c r="Y74" s="251"/>
      <c r="Z74" s="264">
        <f t="shared" si="8"/>
        <v>0</v>
      </c>
      <c r="AA74" s="261"/>
      <c r="AB74" s="258"/>
      <c r="AC74" s="246"/>
      <c r="AD74" s="247" t="str">
        <f>IF(ISBLANK(AC74), "", VLOOKUP(AC74, Z!$A$2:$C$4127, 3, FALSE))</f>
        <v/>
      </c>
      <c r="AE74" s="262"/>
      <c r="AF74" s="263">
        <f t="shared" si="132"/>
        <v>0</v>
      </c>
      <c r="AG74" s="238"/>
      <c r="AH74" s="229">
        <f t="shared" ref="AH74" si="190">IF(ISBLANK(H74), 1, IFERROR(MATCH(H74, INDEX(Use,,1), 0), IFERROR(MATCH(H74, INDEX(Use,,2), 0), MATCH(H74, INDEX(Use,,3), 0))))</f>
        <v>1</v>
      </c>
      <c r="AI74" s="229">
        <f t="shared" ref="AI74" si="191">IF(ISBLANK(G74), 1, IFERROR(MATCH(G74, INDEX(Loc,,1), 0), IFERROR(MATCH(G74, INDEX(Loc,,2), 0), MATCH(G74, INDEX(Loc,,3), 0))))</f>
        <v>1</v>
      </c>
      <c r="AJ74" s="229">
        <f t="shared" ref="AJ74" si="192">_xlfn.IFNA(IF(IFERROR(MATCH(I74, INDEX(Medium,,1), 0), IFERROR(MATCH(I74, INDEX(Medium,,2), 0), MATCH(I74, INDEX(Medium,,3), 0))) = 2, 1, 0), 0)</f>
        <v>0</v>
      </c>
      <c r="AK74" s="229">
        <v>0</v>
      </c>
      <c r="AL74" s="229">
        <v>0</v>
      </c>
      <c r="AM74" s="229">
        <v>1</v>
      </c>
      <c r="AN74" s="229">
        <v>0</v>
      </c>
      <c r="AO74" s="229">
        <f t="shared" si="5"/>
        <v>-100</v>
      </c>
      <c r="AP74" s="238"/>
      <c r="AQ74" s="229">
        <v>32</v>
      </c>
      <c r="AR74" s="232">
        <v>6</v>
      </c>
      <c r="AS74" s="232">
        <v>10</v>
      </c>
      <c r="AT74" s="232">
        <v>2</v>
      </c>
      <c r="AU74" s="233">
        <f t="shared" si="6"/>
        <v>0.8125</v>
      </c>
      <c r="AV74" s="233">
        <f t="shared" si="6"/>
        <v>0.8125</v>
      </c>
      <c r="AW74" s="233" cm="1">
        <f t="array" ref="AW74">MIN(INDEX(Use,AW$21,5) + MAX(0, (1-INDEX(Use,AW$21,5))*($AQ74-5)/(35-5)), 1)</f>
        <v>0.94</v>
      </c>
      <c r="AX74" s="233" cm="1">
        <f t="array" ref="AX74">MIN(INDEX(Use,AX$21,5) + MAX(0, (1-INDEX(Use,AX$21,5))*($AQ74-5)/(35-5)), 1)</f>
        <v>0.96</v>
      </c>
      <c r="AY74" s="233" cm="1">
        <f t="array" ref="AY74">MIN(INDEX(Use,AY$21,5) + MAX(0, (1-INDEX(Use,AY$21,5))*($AQ74-5)/(35-5)), 1)</f>
        <v>0.98</v>
      </c>
      <c r="AZ74" s="233" cm="1">
        <f t="array" ref="AZ74">MIN(INDEX(Use,AZ$21,5) + MAX(0, (1-INDEX(Use,AZ$21,5))*($AQ74-5)/(35-5)), 1)</f>
        <v>0.98</v>
      </c>
      <c r="BA74" s="233" cm="1">
        <f t="array" ref="BA74">MIN(INDEX(Use,BA$21,5) + MAX(0, (1-INDEX(Use,BA$21,5))*($AQ74-5)/(35-5)), 1)</f>
        <v>0.98</v>
      </c>
      <c r="BB74" s="233">
        <v>0.6</v>
      </c>
      <c r="BC74" s="233">
        <v>0.3</v>
      </c>
      <c r="BD74" s="211"/>
      <c r="BE74" s="229" cm="1">
        <f t="array" ref="BE74">IF(ISBLANK(R74), INDEX(Use, $AH74, 4) - AM74*INDEX(Use, $AH74, 6), R74)</f>
        <v>5</v>
      </c>
      <c r="BF74" s="229">
        <f t="shared" si="12"/>
        <v>30</v>
      </c>
      <c r="BG74" s="229">
        <f t="shared" si="13"/>
        <v>13</v>
      </c>
      <c r="BH74" s="229">
        <f t="shared" si="14"/>
        <v>0</v>
      </c>
      <c r="BI74" s="234" cm="1">
        <f t="array" ref="BI74">K74/IF($L74&gt;0, INDEX($AU$23:$BA$77, $L74+20, $AH74), 1)</f>
        <v>0</v>
      </c>
      <c r="BJ74" s="230">
        <f t="shared" si="15"/>
        <v>0</v>
      </c>
      <c r="BK74" s="229">
        <v>35</v>
      </c>
      <c r="BL74" s="230">
        <f t="shared" si="16"/>
        <v>48</v>
      </c>
      <c r="BM74" s="235">
        <f t="shared" si="17"/>
        <v>2.9108720930232557</v>
      </c>
      <c r="BN74" s="235" cm="1">
        <f t="array" ref="BN74">$BI74 * SUMPRODUCT(INDEX($AR$77:$AT$82,,$AI74),INDEX($AU$77:$BA$82,,$AH74), N($AQ$77:$AQ$82&gt;$AO74)) / BM74 / 1000</f>
        <v>0</v>
      </c>
      <c r="BO74" s="232">
        <f t="shared" si="18"/>
        <v>30</v>
      </c>
      <c r="BP74" s="230">
        <f t="shared" si="19"/>
        <v>43</v>
      </c>
      <c r="BQ74" s="235">
        <f t="shared" si="20"/>
        <v>3.2938815789473681</v>
      </c>
      <c r="BR74" s="235" cm="1">
        <f t="array" ref="BR74">$BI74 * IF($AH74&lt;=2,
SUMPRODUCT(INDEX($AR$72:$AT$76,,$AI74), INDEX($AU$72:$BA$76,,$AH74), 1 / ($BB$72:$BB$76*BQ74 + (1-$BB$72:$BB$76)*BM74), N($AQ$72:$AQ$76&gt;$AO74)),
SUMPRODUCT(INDEX($AR$67:$AT$76,,$AI74), INDEX($AU$67:$BA$76,,$AH74), 1 / ($BC$67:$BC$76*BQ74 + (1-$BC$67:$BC$76)*BM74), N($AQ$67:$AQ$76&gt;$AO74))
) / 1000</f>
        <v>0</v>
      </c>
      <c r="BS74" s="232">
        <f t="shared" si="21"/>
        <v>25</v>
      </c>
      <c r="BT74" s="230">
        <f t="shared" si="22"/>
        <v>38</v>
      </c>
      <c r="BU74" s="235">
        <f t="shared" si="23"/>
        <v>3.792954545454545</v>
      </c>
      <c r="BV74" s="235" cm="1">
        <f t="array" ref="BV74">$BI74 * IF($AH74&lt;=2,
SUMPRODUCT(INDEX($AR$67:$AT$71,,$AI74), INDEX($AU$67:$BA$71,,$AH74), 1 / ($BB$67:$BB$71*BU74 + (1-$BB$67:$BB$71)*BQ74), N($AQ$67:$AQ$71&gt;$AO74)),
SUMPRODUCT(INDEX($AR$57:$AT$66,,$AI74), INDEX($AU$57:$BA$66,,$AH74), 1 / ($BC$57:$BC$66*BU74 + (1-$BC$57:$BC$66)*BQ74), N($AQ$57:$AQ$66&gt;$AO74))
) / 1000</f>
        <v>0</v>
      </c>
      <c r="BW74" s="232">
        <f t="shared" si="24"/>
        <v>20</v>
      </c>
      <c r="BX74" s="230">
        <f t="shared" si="25"/>
        <v>33</v>
      </c>
      <c r="BY74" s="235">
        <f t="shared" si="26"/>
        <v>4.4702678571428569</v>
      </c>
      <c r="BZ74" s="235" cm="1">
        <f t="array" ref="BZ74">$BI74 * IF($AH74&lt;=2,
SUMPRODUCT(INDEX($AR$62:$AT$66,,$AI74), INDEX($AU$62:$BA$66,,$AH74), 1 / ($BB$62:$BB$66*BY74 + (1-$BB$62:$BB$66)*BU74), N($AQ$62:$AQ$66&gt;$AO74)),
SUMPRODUCT(INDEX($AR$47:$AT$56,,$AI74), INDEX($AU$47:$BA$56,,$AH74), 1 / ($BC$47:$BC$56*BY74 + (1-$BC$47:$BC$56)*BU74), N($AQ$47:$AQ$56&gt;$AO74))
) / 1000</f>
        <v>0</v>
      </c>
      <c r="CA74" s="235" cm="1">
        <f t="array" ref="CA74">$BI74 * IF($AH74&lt;=2,
SUMPRODUCT(INDEX($AR$23:$AT$61,,$AI74), INDEX($AU$23:$BA$61,,$AH74), 1 / ($BB$23:$BB$61*BY74), N($AQ$23:$AQ$61&gt;$AO74)),
SUMPRODUCT(INDEX($AR$23:$AT$46,,$AI74), INDEX($AU$23:$BA$46,,$AH74), 1 / ($BC$23:$BC$46*BY74), N($AQ$23:$AQ$46&gt;$AO74))
) / 1000</f>
        <v>0</v>
      </c>
      <c r="CB74" s="230">
        <f t="shared" si="27"/>
        <v>0</v>
      </c>
      <c r="CC74" s="238"/>
      <c r="CD74" s="229" cm="1">
        <f t="array" ref="CD74">IF(ISBLANK(Y74), INDEX(Use, $AH74, 4) - AN74*INDEX(Use, $AH74, 6) - (Q74-X74), Y74)</f>
        <v>7</v>
      </c>
      <c r="CE74" s="229">
        <f t="shared" si="28"/>
        <v>32</v>
      </c>
      <c r="CF74" s="230">
        <f t="shared" si="29"/>
        <v>0</v>
      </c>
      <c r="CG74" s="229">
        <v>35</v>
      </c>
      <c r="CH74" s="230">
        <f t="shared" si="30"/>
        <v>48</v>
      </c>
      <c r="CI74" s="235">
        <f t="shared" si="31"/>
        <v>3.0748170731707316</v>
      </c>
      <c r="CJ74" s="235" cm="1">
        <f t="array" ref="CJ74">$BI74 * SUMPRODUCT(INDEX($AR$77:$AT$82,,$AI74),INDEX($AU$77:$BA$82,,$AH74), N($AQ$77:$AQ$82&gt;$AO74)) / CI74 / 1000</f>
        <v>0</v>
      </c>
      <c r="CK74" s="232">
        <f t="shared" si="32"/>
        <v>30</v>
      </c>
      <c r="CL74" s="230">
        <f t="shared" si="33"/>
        <v>43</v>
      </c>
      <c r="CM74" s="235">
        <f t="shared" si="34"/>
        <v>3.5018750000000001</v>
      </c>
      <c r="CN74" s="235" cm="1">
        <f t="array" ref="CN74">$BI74 * IF($AH74&lt;=2,
SUMPRODUCT(INDEX($AR$72:$AT$76,,$AI74), INDEX($AU$72:$BA$76,,$AH74), 1 / ($BB$72:$BB$76*CM74 + (1-$BB$72:$BB$76)*CI74), N($AQ$72:$AQ$76&gt;$AO74)),
SUMPRODUCT(INDEX($AR$67:$AT$76,,$AI74), INDEX($AU$67:$BA$76,,$AH74), 1 / ($BC$67:$BC$76*CM74 + (1-$BC$67:$BC$76)*CI74), N($AQ$67:$AQ$76&gt;$AO74))
) / 1000</f>
        <v>0</v>
      </c>
      <c r="CO74" s="232">
        <f t="shared" si="35"/>
        <v>25</v>
      </c>
      <c r="CP74" s="230">
        <f t="shared" si="36"/>
        <v>38</v>
      </c>
      <c r="CQ74" s="235">
        <f t="shared" si="37"/>
        <v>4.0666935483870965</v>
      </c>
      <c r="CR74" s="235" cm="1">
        <f t="array" ref="CR74">$BI74 * IF($AH74&lt;=2,
SUMPRODUCT(INDEX($AR$67:$AT$71,,$AI74), INDEX($AU$67:$BA$71,,$AH74), 1 / ($BB$67:$BB$71*CQ74 + (1-$BB$67:$BB$71)*CM74), N($AQ$67:$AQ$71&gt;$AO74)),
SUMPRODUCT(INDEX($AR$57:$AT$66,,$AI74), INDEX($AU$57:$BA$66,,$AH74), 1 / ($BC$57:$BC$66*CQ74 + (1-$BC$57:$BC$66)*CM74), N($AQ$57:$AQ$66&gt;$AO74))
) / 1000</f>
        <v>0</v>
      </c>
      <c r="CS74" s="232">
        <f t="shared" si="38"/>
        <v>20</v>
      </c>
      <c r="CT74" s="230">
        <f t="shared" si="39"/>
        <v>33</v>
      </c>
      <c r="CU74" s="235">
        <f t="shared" si="40"/>
        <v>4.8487499999999999</v>
      </c>
      <c r="CV74" s="235" cm="1">
        <f t="array" ref="CV74">$BI74 * IF($AH74&lt;=2,
SUMPRODUCT(INDEX($AR$62:$AT$66,,$AI74), INDEX($AU$62:$BA$66,,$AH74), 1 / ($BB$62:$BB$66*CU74 + (1-$BB$62:$BB$66)*CQ74), N($AQ$62:$AQ$66&gt;$AO74)),
SUMPRODUCT(INDEX($AR$47:$AT$56,,$AI74), INDEX($AU$47:$BA$56,,$AH74), 1 / ($BC$47:$BC$56*CU74 + (1-$BC$47:$BC$56)*CQ74), N($AQ$47:$AQ$56&gt;$AO74))
) / 1000</f>
        <v>0</v>
      </c>
      <c r="CW74" s="235" cm="1">
        <f t="array" ref="CW74">$BI74 * IF($AH74&lt;=2,
SUMPRODUCT(INDEX($AR$23:$AT$61,,$AI74), INDEX($AU$23:$BA$61,,$AH74), 1 / ($BB$23:$BB$61*CU74), N($AQ$23:$AQ$61&gt;$AO74)),
SUMPRODUCT(INDEX($AR$23:$AT$46,,$AI74), INDEX($AU$23:$BA$46,,$AH74), 1 / ($BC$23:$BC$46*CU74), N($AQ$23:$AQ$46&gt;$AO74))
) / 1000</f>
        <v>0</v>
      </c>
      <c r="CX74" s="230">
        <f t="shared" si="41"/>
        <v>0</v>
      </c>
      <c r="CY74" s="238"/>
    </row>
    <row r="75" spans="1:103" s="76" customFormat="1" ht="14.25" customHeight="1" x14ac:dyDescent="0.25">
      <c r="A75" s="231" t="b">
        <f t="shared" si="0"/>
        <v>0</v>
      </c>
      <c r="B75" s="245">
        <v>53</v>
      </c>
      <c r="C75" s="258"/>
      <c r="D75" s="258"/>
      <c r="E75" s="246"/>
      <c r="F75" s="247" t="str">
        <f>IF(ISBLANK(E75), "", VLOOKUP(E75, Z!$A$2:$C$4127, 3, FALSE))</f>
        <v/>
      </c>
      <c r="G75" s="248"/>
      <c r="H75" s="248"/>
      <c r="I75" s="249"/>
      <c r="J75" s="250"/>
      <c r="K75" s="259"/>
      <c r="L75" s="260"/>
      <c r="M75" s="252" t="str" cm="1">
        <f t="array" ref="M75">INDEX(Trad, 53, $A$20)</f>
        <v>Verschmutzt</v>
      </c>
      <c r="N75" s="253"/>
      <c r="O75" s="253"/>
      <c r="P75" s="254"/>
      <c r="Q75" s="251"/>
      <c r="R75" s="251"/>
      <c r="S75" s="264">
        <f t="shared" si="7"/>
        <v>0</v>
      </c>
      <c r="T75" s="252" t="str" cm="1">
        <f t="array" ref="T75">INDEX(Trad, 52, $A$20)</f>
        <v>Sauber</v>
      </c>
      <c r="U75" s="253"/>
      <c r="V75" s="253"/>
      <c r="W75" s="254"/>
      <c r="X75" s="251"/>
      <c r="Y75" s="251"/>
      <c r="Z75" s="264">
        <f t="shared" si="8"/>
        <v>0</v>
      </c>
      <c r="AA75" s="261"/>
      <c r="AB75" s="258"/>
      <c r="AC75" s="246"/>
      <c r="AD75" s="247" t="str">
        <f>IF(ISBLANK(AC75), "", VLOOKUP(AC75, Z!$A$2:$C$4127, 3, FALSE))</f>
        <v/>
      </c>
      <c r="AE75" s="262"/>
      <c r="AF75" s="263">
        <f t="shared" si="132"/>
        <v>0</v>
      </c>
      <c r="AG75" s="238"/>
      <c r="AH75" s="229">
        <f t="shared" ref="AH75" si="193">IF(ISBLANK(H75), 1, IFERROR(MATCH(H75, INDEX(Use,,1), 0), IFERROR(MATCH(H75, INDEX(Use,,2), 0), MATCH(H75, INDEX(Use,,3), 0))))</f>
        <v>1</v>
      </c>
      <c r="AI75" s="229">
        <f t="shared" ref="AI75" si="194">IF(ISBLANK(G75), 1, IFERROR(MATCH(G75, INDEX(Loc,,1), 0), IFERROR(MATCH(G75, INDEX(Loc,,2), 0), MATCH(G75, INDEX(Loc,,3), 0))))</f>
        <v>1</v>
      </c>
      <c r="AJ75" s="229">
        <f t="shared" ref="AJ75" si="195">_xlfn.IFNA(IF(IFERROR(MATCH(I75, INDEX(Medium,,1), 0), IFERROR(MATCH(I75, INDEX(Medium,,2), 0), MATCH(I75, INDEX(Medium,,3), 0))) = 2, 1, 0), 0)</f>
        <v>0</v>
      </c>
      <c r="AK75" s="229">
        <v>0</v>
      </c>
      <c r="AL75" s="229">
        <v>0</v>
      </c>
      <c r="AM75" s="229">
        <v>1</v>
      </c>
      <c r="AN75" s="229">
        <v>0</v>
      </c>
      <c r="AO75" s="229">
        <f t="shared" si="5"/>
        <v>-100</v>
      </c>
      <c r="AP75" s="238"/>
      <c r="AQ75" s="229">
        <v>33</v>
      </c>
      <c r="AR75" s="232">
        <v>7</v>
      </c>
      <c r="AS75" s="232">
        <v>13</v>
      </c>
      <c r="AT75" s="232">
        <v>3</v>
      </c>
      <c r="AU75" s="233">
        <f t="shared" si="6"/>
        <v>0.875</v>
      </c>
      <c r="AV75" s="233">
        <f t="shared" si="6"/>
        <v>0.875</v>
      </c>
      <c r="AW75" s="233" cm="1">
        <f t="array" ref="AW75">MIN(INDEX(Use,AW$21,5) + MAX(0, (1-INDEX(Use,AW$21,5))*($AQ75-5)/(35-5)), 1)</f>
        <v>0.96000000000000008</v>
      </c>
      <c r="AX75" s="233" cm="1">
        <f t="array" ref="AX75">MIN(INDEX(Use,AX$21,5) + MAX(0, (1-INDEX(Use,AX$21,5))*($AQ75-5)/(35-5)), 1)</f>
        <v>0.97333333333333338</v>
      </c>
      <c r="AY75" s="233" cm="1">
        <f t="array" ref="AY75">MIN(INDEX(Use,AY$21,5) + MAX(0, (1-INDEX(Use,AY$21,5))*($AQ75-5)/(35-5)), 1)</f>
        <v>0.98666666666666669</v>
      </c>
      <c r="AZ75" s="233" cm="1">
        <f t="array" ref="AZ75">MIN(INDEX(Use,AZ$21,5) + MAX(0, (1-INDEX(Use,AZ$21,5))*($AQ75-5)/(35-5)), 1)</f>
        <v>0.98666666666666669</v>
      </c>
      <c r="BA75" s="233" cm="1">
        <f t="array" ref="BA75">MIN(INDEX(Use,BA$21,5) + MAX(0, (1-INDEX(Use,BA$21,5))*($AQ75-5)/(35-5)), 1)</f>
        <v>0.98666666666666669</v>
      </c>
      <c r="BB75" s="233">
        <v>0.4</v>
      </c>
      <c r="BC75" s="233">
        <v>0.2</v>
      </c>
      <c r="BD75" s="211"/>
      <c r="BE75" s="229" cm="1">
        <f t="array" ref="BE75">IF(ISBLANK(R75), INDEX(Use, $AH75, 4) - AM75*INDEX(Use, $AH75, 6), R75)</f>
        <v>5</v>
      </c>
      <c r="BF75" s="229">
        <f t="shared" si="12"/>
        <v>30</v>
      </c>
      <c r="BG75" s="229">
        <f t="shared" si="13"/>
        <v>13</v>
      </c>
      <c r="BH75" s="229">
        <f t="shared" si="14"/>
        <v>0</v>
      </c>
      <c r="BI75" s="234" cm="1">
        <f t="array" ref="BI75">K75/IF($L75&gt;0, INDEX($AU$23:$BA$77, $L75+20, $AH75), 1)</f>
        <v>0</v>
      </c>
      <c r="BJ75" s="230">
        <f t="shared" si="15"/>
        <v>0</v>
      </c>
      <c r="BK75" s="229">
        <v>35</v>
      </c>
      <c r="BL75" s="230">
        <f t="shared" si="16"/>
        <v>48</v>
      </c>
      <c r="BM75" s="235">
        <f t="shared" si="17"/>
        <v>2.9108720930232557</v>
      </c>
      <c r="BN75" s="235" cm="1">
        <f t="array" ref="BN75">$BI75 * SUMPRODUCT(INDEX($AR$77:$AT$82,,$AI75),INDEX($AU$77:$BA$82,,$AH75), N($AQ$77:$AQ$82&gt;$AO75)) / BM75 / 1000</f>
        <v>0</v>
      </c>
      <c r="BO75" s="232">
        <f t="shared" si="18"/>
        <v>30</v>
      </c>
      <c r="BP75" s="230">
        <f t="shared" si="19"/>
        <v>43</v>
      </c>
      <c r="BQ75" s="235">
        <f t="shared" si="20"/>
        <v>3.2938815789473681</v>
      </c>
      <c r="BR75" s="235" cm="1">
        <f t="array" ref="BR75">$BI75 * IF($AH75&lt;=2,
SUMPRODUCT(INDEX($AR$72:$AT$76,,$AI75), INDEX($AU$72:$BA$76,,$AH75), 1 / ($BB$72:$BB$76*BQ75 + (1-$BB$72:$BB$76)*BM75), N($AQ$72:$AQ$76&gt;$AO75)),
SUMPRODUCT(INDEX($AR$67:$AT$76,,$AI75), INDEX($AU$67:$BA$76,,$AH75), 1 / ($BC$67:$BC$76*BQ75 + (1-$BC$67:$BC$76)*BM75), N($AQ$67:$AQ$76&gt;$AO75))
) / 1000</f>
        <v>0</v>
      </c>
      <c r="BS75" s="232">
        <f t="shared" si="21"/>
        <v>25</v>
      </c>
      <c r="BT75" s="230">
        <f t="shared" si="22"/>
        <v>38</v>
      </c>
      <c r="BU75" s="235">
        <f t="shared" si="23"/>
        <v>3.792954545454545</v>
      </c>
      <c r="BV75" s="235" cm="1">
        <f t="array" ref="BV75">$BI75 * IF($AH75&lt;=2,
SUMPRODUCT(INDEX($AR$67:$AT$71,,$AI75), INDEX($AU$67:$BA$71,,$AH75), 1 / ($BB$67:$BB$71*BU75 + (1-$BB$67:$BB$71)*BQ75), N($AQ$67:$AQ$71&gt;$AO75)),
SUMPRODUCT(INDEX($AR$57:$AT$66,,$AI75), INDEX($AU$57:$BA$66,,$AH75), 1 / ($BC$57:$BC$66*BU75 + (1-$BC$57:$BC$66)*BQ75), N($AQ$57:$AQ$66&gt;$AO75))
) / 1000</f>
        <v>0</v>
      </c>
      <c r="BW75" s="232">
        <f t="shared" si="24"/>
        <v>20</v>
      </c>
      <c r="BX75" s="230">
        <f t="shared" si="25"/>
        <v>33</v>
      </c>
      <c r="BY75" s="235">
        <f t="shared" si="26"/>
        <v>4.4702678571428569</v>
      </c>
      <c r="BZ75" s="235" cm="1">
        <f t="array" ref="BZ75">$BI75 * IF($AH75&lt;=2,
SUMPRODUCT(INDEX($AR$62:$AT$66,,$AI75), INDEX($AU$62:$BA$66,,$AH75), 1 / ($BB$62:$BB$66*BY75 + (1-$BB$62:$BB$66)*BU75), N($AQ$62:$AQ$66&gt;$AO75)),
SUMPRODUCT(INDEX($AR$47:$AT$56,,$AI75), INDEX($AU$47:$BA$56,,$AH75), 1 / ($BC$47:$BC$56*BY75 + (1-$BC$47:$BC$56)*BU75), N($AQ$47:$AQ$56&gt;$AO75))
) / 1000</f>
        <v>0</v>
      </c>
      <c r="CA75" s="235" cm="1">
        <f t="array" ref="CA75">$BI75 * IF($AH75&lt;=2,
SUMPRODUCT(INDEX($AR$23:$AT$61,,$AI75), INDEX($AU$23:$BA$61,,$AH75), 1 / ($BB$23:$BB$61*BY75), N($AQ$23:$AQ$61&gt;$AO75)),
SUMPRODUCT(INDEX($AR$23:$AT$46,,$AI75), INDEX($AU$23:$BA$46,,$AH75), 1 / ($BC$23:$BC$46*BY75), N($AQ$23:$AQ$46&gt;$AO75))
) / 1000</f>
        <v>0</v>
      </c>
      <c r="CB75" s="230">
        <f t="shared" si="27"/>
        <v>0</v>
      </c>
      <c r="CC75" s="238"/>
      <c r="CD75" s="229" cm="1">
        <f t="array" ref="CD75">IF(ISBLANK(Y75), INDEX(Use, $AH75, 4) - AN75*INDEX(Use, $AH75, 6) - (Q75-X75), Y75)</f>
        <v>7</v>
      </c>
      <c r="CE75" s="229">
        <f t="shared" si="28"/>
        <v>32</v>
      </c>
      <c r="CF75" s="230">
        <f t="shared" si="29"/>
        <v>0</v>
      </c>
      <c r="CG75" s="229">
        <v>35</v>
      </c>
      <c r="CH75" s="230">
        <f t="shared" si="30"/>
        <v>48</v>
      </c>
      <c r="CI75" s="235">
        <f t="shared" si="31"/>
        <v>3.0748170731707316</v>
      </c>
      <c r="CJ75" s="235" cm="1">
        <f t="array" ref="CJ75">$BI75 * SUMPRODUCT(INDEX($AR$77:$AT$82,,$AI75),INDEX($AU$77:$BA$82,,$AH75), N($AQ$77:$AQ$82&gt;$AO75)) / CI75 / 1000</f>
        <v>0</v>
      </c>
      <c r="CK75" s="232">
        <f t="shared" si="32"/>
        <v>30</v>
      </c>
      <c r="CL75" s="230">
        <f t="shared" si="33"/>
        <v>43</v>
      </c>
      <c r="CM75" s="235">
        <f t="shared" si="34"/>
        <v>3.5018750000000001</v>
      </c>
      <c r="CN75" s="235" cm="1">
        <f t="array" ref="CN75">$BI75 * IF($AH75&lt;=2,
SUMPRODUCT(INDEX($AR$72:$AT$76,,$AI75), INDEX($AU$72:$BA$76,,$AH75), 1 / ($BB$72:$BB$76*CM75 + (1-$BB$72:$BB$76)*CI75), N($AQ$72:$AQ$76&gt;$AO75)),
SUMPRODUCT(INDEX($AR$67:$AT$76,,$AI75), INDEX($AU$67:$BA$76,,$AH75), 1 / ($BC$67:$BC$76*CM75 + (1-$BC$67:$BC$76)*CI75), N($AQ$67:$AQ$76&gt;$AO75))
) / 1000</f>
        <v>0</v>
      </c>
      <c r="CO75" s="232">
        <f t="shared" si="35"/>
        <v>25</v>
      </c>
      <c r="CP75" s="230">
        <f t="shared" si="36"/>
        <v>38</v>
      </c>
      <c r="CQ75" s="235">
        <f t="shared" si="37"/>
        <v>4.0666935483870965</v>
      </c>
      <c r="CR75" s="235" cm="1">
        <f t="array" ref="CR75">$BI75 * IF($AH75&lt;=2,
SUMPRODUCT(INDEX($AR$67:$AT$71,,$AI75), INDEX($AU$67:$BA$71,,$AH75), 1 / ($BB$67:$BB$71*CQ75 + (1-$BB$67:$BB$71)*CM75), N($AQ$67:$AQ$71&gt;$AO75)),
SUMPRODUCT(INDEX($AR$57:$AT$66,,$AI75), INDEX($AU$57:$BA$66,,$AH75), 1 / ($BC$57:$BC$66*CQ75 + (1-$BC$57:$BC$66)*CM75), N($AQ$57:$AQ$66&gt;$AO75))
) / 1000</f>
        <v>0</v>
      </c>
      <c r="CS75" s="232">
        <f t="shared" si="38"/>
        <v>20</v>
      </c>
      <c r="CT75" s="230">
        <f t="shared" si="39"/>
        <v>33</v>
      </c>
      <c r="CU75" s="235">
        <f t="shared" si="40"/>
        <v>4.8487499999999999</v>
      </c>
      <c r="CV75" s="235" cm="1">
        <f t="array" ref="CV75">$BI75 * IF($AH75&lt;=2,
SUMPRODUCT(INDEX($AR$62:$AT$66,,$AI75), INDEX($AU$62:$BA$66,,$AH75), 1 / ($BB$62:$BB$66*CU75 + (1-$BB$62:$BB$66)*CQ75), N($AQ$62:$AQ$66&gt;$AO75)),
SUMPRODUCT(INDEX($AR$47:$AT$56,,$AI75), INDEX($AU$47:$BA$56,,$AH75), 1 / ($BC$47:$BC$56*CU75 + (1-$BC$47:$BC$56)*CQ75), N($AQ$47:$AQ$56&gt;$AO75))
) / 1000</f>
        <v>0</v>
      </c>
      <c r="CW75" s="235" cm="1">
        <f t="array" ref="CW75">$BI75 * IF($AH75&lt;=2,
SUMPRODUCT(INDEX($AR$23:$AT$61,,$AI75), INDEX($AU$23:$BA$61,,$AH75), 1 / ($BB$23:$BB$61*CU75), N($AQ$23:$AQ$61&gt;$AO75)),
SUMPRODUCT(INDEX($AR$23:$AT$46,,$AI75), INDEX($AU$23:$BA$46,,$AH75), 1 / ($BC$23:$BC$46*CU75), N($AQ$23:$AQ$46&gt;$AO75))
) / 1000</f>
        <v>0</v>
      </c>
      <c r="CX75" s="230">
        <f t="shared" si="41"/>
        <v>0</v>
      </c>
      <c r="CY75" s="238"/>
    </row>
    <row r="76" spans="1:103" s="76" customFormat="1" ht="14.25" customHeight="1" x14ac:dyDescent="0.25">
      <c r="A76" s="231" t="b">
        <f t="shared" si="0"/>
        <v>0</v>
      </c>
      <c r="B76" s="245">
        <v>54</v>
      </c>
      <c r="C76" s="258"/>
      <c r="D76" s="258"/>
      <c r="E76" s="246"/>
      <c r="F76" s="247" t="str">
        <f>IF(ISBLANK(E76), "", VLOOKUP(E76, Z!$A$2:$C$4127, 3, FALSE))</f>
        <v/>
      </c>
      <c r="G76" s="248"/>
      <c r="H76" s="248"/>
      <c r="I76" s="249"/>
      <c r="J76" s="250"/>
      <c r="K76" s="259"/>
      <c r="L76" s="260"/>
      <c r="M76" s="252" t="str" cm="1">
        <f t="array" ref="M76">INDEX(Trad, 53, $A$20)</f>
        <v>Verschmutzt</v>
      </c>
      <c r="N76" s="253"/>
      <c r="O76" s="253"/>
      <c r="P76" s="254"/>
      <c r="Q76" s="251"/>
      <c r="R76" s="251"/>
      <c r="S76" s="264">
        <f t="shared" si="7"/>
        <v>0</v>
      </c>
      <c r="T76" s="252" t="str" cm="1">
        <f t="array" ref="T76">INDEX(Trad, 52, $A$20)</f>
        <v>Sauber</v>
      </c>
      <c r="U76" s="253"/>
      <c r="V76" s="253"/>
      <c r="W76" s="254"/>
      <c r="X76" s="251"/>
      <c r="Y76" s="251"/>
      <c r="Z76" s="264">
        <f t="shared" si="8"/>
        <v>0</v>
      </c>
      <c r="AA76" s="261"/>
      <c r="AB76" s="258"/>
      <c r="AC76" s="246"/>
      <c r="AD76" s="247" t="str">
        <f>IF(ISBLANK(AC76), "", VLOOKUP(AC76, Z!$A$2:$C$4127, 3, FALSE))</f>
        <v/>
      </c>
      <c r="AE76" s="262"/>
      <c r="AF76" s="263">
        <f t="shared" si="132"/>
        <v>0</v>
      </c>
      <c r="AG76" s="238"/>
      <c r="AH76" s="229">
        <f t="shared" ref="AH76" si="196">IF(ISBLANK(H76), 1, IFERROR(MATCH(H76, INDEX(Use,,1), 0), IFERROR(MATCH(H76, INDEX(Use,,2), 0), MATCH(H76, INDEX(Use,,3), 0))))</f>
        <v>1</v>
      </c>
      <c r="AI76" s="229">
        <f t="shared" ref="AI76" si="197">IF(ISBLANK(G76), 1, IFERROR(MATCH(G76, INDEX(Loc,,1), 0), IFERROR(MATCH(G76, INDEX(Loc,,2), 0), MATCH(G76, INDEX(Loc,,3), 0))))</f>
        <v>1</v>
      </c>
      <c r="AJ76" s="229">
        <f t="shared" ref="AJ76" si="198">_xlfn.IFNA(IF(IFERROR(MATCH(I76, INDEX(Medium,,1), 0), IFERROR(MATCH(I76, INDEX(Medium,,2), 0), MATCH(I76, INDEX(Medium,,3), 0))) = 2, 1, 0), 0)</f>
        <v>0</v>
      </c>
      <c r="AK76" s="229">
        <v>0</v>
      </c>
      <c r="AL76" s="229">
        <v>0</v>
      </c>
      <c r="AM76" s="229">
        <v>1</v>
      </c>
      <c r="AN76" s="229">
        <v>0</v>
      </c>
      <c r="AO76" s="229">
        <f t="shared" si="5"/>
        <v>-100</v>
      </c>
      <c r="AP76" s="238"/>
      <c r="AQ76" s="229">
        <v>34</v>
      </c>
      <c r="AR76" s="232">
        <v>3</v>
      </c>
      <c r="AS76" s="232">
        <v>5</v>
      </c>
      <c r="AT76" s="232">
        <v>0</v>
      </c>
      <c r="AU76" s="233">
        <f t="shared" si="6"/>
        <v>0.9375</v>
      </c>
      <c r="AV76" s="233">
        <f t="shared" si="6"/>
        <v>0.9375</v>
      </c>
      <c r="AW76" s="233" cm="1">
        <f t="array" ref="AW76">MIN(INDEX(Use,AW$21,5) + MAX(0, (1-INDEX(Use,AW$21,5))*($AQ76-5)/(35-5)), 1)</f>
        <v>0.98</v>
      </c>
      <c r="AX76" s="233" cm="1">
        <f t="array" ref="AX76">MIN(INDEX(Use,AX$21,5) + MAX(0, (1-INDEX(Use,AX$21,5))*($AQ76-5)/(35-5)), 1)</f>
        <v>0.98666666666666669</v>
      </c>
      <c r="AY76" s="233" cm="1">
        <f t="array" ref="AY76">MIN(INDEX(Use,AY$21,5) + MAX(0, (1-INDEX(Use,AY$21,5))*($AQ76-5)/(35-5)), 1)</f>
        <v>0.9933333333333334</v>
      </c>
      <c r="AZ76" s="233" cm="1">
        <f t="array" ref="AZ76">MIN(INDEX(Use,AZ$21,5) + MAX(0, (1-INDEX(Use,AZ$21,5))*($AQ76-5)/(35-5)), 1)</f>
        <v>0.9933333333333334</v>
      </c>
      <c r="BA76" s="233" cm="1">
        <f t="array" ref="BA76">MIN(INDEX(Use,BA$21,5) + MAX(0, (1-INDEX(Use,BA$21,5))*($AQ76-5)/(35-5)), 1)</f>
        <v>0.9933333333333334</v>
      </c>
      <c r="BB76" s="233">
        <v>0.2</v>
      </c>
      <c r="BC76" s="233">
        <v>0.1</v>
      </c>
      <c r="BD76" s="211"/>
      <c r="BE76" s="229" cm="1">
        <f t="array" ref="BE76">IF(ISBLANK(R76), INDEX(Use, $AH76, 4) - AM76*INDEX(Use, $AH76, 6), R76)</f>
        <v>5</v>
      </c>
      <c r="BF76" s="229">
        <f t="shared" si="12"/>
        <v>30</v>
      </c>
      <c r="BG76" s="229">
        <f t="shared" si="13"/>
        <v>13</v>
      </c>
      <c r="BH76" s="229">
        <f t="shared" si="14"/>
        <v>0</v>
      </c>
      <c r="BI76" s="234" cm="1">
        <f t="array" ref="BI76">K76/IF($L76&gt;0, INDEX($AU$23:$BA$77, $L76+20, $AH76), 1)</f>
        <v>0</v>
      </c>
      <c r="BJ76" s="230">
        <f t="shared" si="15"/>
        <v>0</v>
      </c>
      <c r="BK76" s="229">
        <v>35</v>
      </c>
      <c r="BL76" s="230">
        <f t="shared" si="16"/>
        <v>48</v>
      </c>
      <c r="BM76" s="235">
        <f t="shared" si="17"/>
        <v>2.9108720930232557</v>
      </c>
      <c r="BN76" s="235" cm="1">
        <f t="array" ref="BN76">$BI76 * SUMPRODUCT(INDEX($AR$77:$AT$82,,$AI76),INDEX($AU$77:$BA$82,,$AH76), N($AQ$77:$AQ$82&gt;$AO76)) / BM76 / 1000</f>
        <v>0</v>
      </c>
      <c r="BO76" s="232">
        <f t="shared" si="18"/>
        <v>30</v>
      </c>
      <c r="BP76" s="230">
        <f t="shared" si="19"/>
        <v>43</v>
      </c>
      <c r="BQ76" s="235">
        <f t="shared" si="20"/>
        <v>3.2938815789473681</v>
      </c>
      <c r="BR76" s="235" cm="1">
        <f t="array" ref="BR76">$BI76 * IF($AH76&lt;=2,
SUMPRODUCT(INDEX($AR$72:$AT$76,,$AI76), INDEX($AU$72:$BA$76,,$AH76), 1 / ($BB$72:$BB$76*BQ76 + (1-$BB$72:$BB$76)*BM76), N($AQ$72:$AQ$76&gt;$AO76)),
SUMPRODUCT(INDEX($AR$67:$AT$76,,$AI76), INDEX($AU$67:$BA$76,,$AH76), 1 / ($BC$67:$BC$76*BQ76 + (1-$BC$67:$BC$76)*BM76), N($AQ$67:$AQ$76&gt;$AO76))
) / 1000</f>
        <v>0</v>
      </c>
      <c r="BS76" s="232">
        <f t="shared" si="21"/>
        <v>25</v>
      </c>
      <c r="BT76" s="230">
        <f t="shared" si="22"/>
        <v>38</v>
      </c>
      <c r="BU76" s="235">
        <f t="shared" si="23"/>
        <v>3.792954545454545</v>
      </c>
      <c r="BV76" s="235" cm="1">
        <f t="array" ref="BV76">$BI76 * IF($AH76&lt;=2,
SUMPRODUCT(INDEX($AR$67:$AT$71,,$AI76), INDEX($AU$67:$BA$71,,$AH76), 1 / ($BB$67:$BB$71*BU76 + (1-$BB$67:$BB$71)*BQ76), N($AQ$67:$AQ$71&gt;$AO76)),
SUMPRODUCT(INDEX($AR$57:$AT$66,,$AI76), INDEX($AU$57:$BA$66,,$AH76), 1 / ($BC$57:$BC$66*BU76 + (1-$BC$57:$BC$66)*BQ76), N($AQ$57:$AQ$66&gt;$AO76))
) / 1000</f>
        <v>0</v>
      </c>
      <c r="BW76" s="232">
        <f t="shared" si="24"/>
        <v>20</v>
      </c>
      <c r="BX76" s="230">
        <f t="shared" si="25"/>
        <v>33</v>
      </c>
      <c r="BY76" s="235">
        <f t="shared" si="26"/>
        <v>4.4702678571428569</v>
      </c>
      <c r="BZ76" s="235" cm="1">
        <f t="array" ref="BZ76">$BI76 * IF($AH76&lt;=2,
SUMPRODUCT(INDEX($AR$62:$AT$66,,$AI76), INDEX($AU$62:$BA$66,,$AH76), 1 / ($BB$62:$BB$66*BY76 + (1-$BB$62:$BB$66)*BU76), N($AQ$62:$AQ$66&gt;$AO76)),
SUMPRODUCT(INDEX($AR$47:$AT$56,,$AI76), INDEX($AU$47:$BA$56,,$AH76), 1 / ($BC$47:$BC$56*BY76 + (1-$BC$47:$BC$56)*BU76), N($AQ$47:$AQ$56&gt;$AO76))
) / 1000</f>
        <v>0</v>
      </c>
      <c r="CA76" s="235" cm="1">
        <f t="array" ref="CA76">$BI76 * IF($AH76&lt;=2,
SUMPRODUCT(INDEX($AR$23:$AT$61,,$AI76), INDEX($AU$23:$BA$61,,$AH76), 1 / ($BB$23:$BB$61*BY76), N($AQ$23:$AQ$61&gt;$AO76)),
SUMPRODUCT(INDEX($AR$23:$AT$46,,$AI76), INDEX($AU$23:$BA$46,,$AH76), 1 / ($BC$23:$BC$46*BY76), N($AQ$23:$AQ$46&gt;$AO76))
) / 1000</f>
        <v>0</v>
      </c>
      <c r="CB76" s="230">
        <f t="shared" si="27"/>
        <v>0</v>
      </c>
      <c r="CC76" s="238"/>
      <c r="CD76" s="229" cm="1">
        <f t="array" ref="CD76">IF(ISBLANK(Y76), INDEX(Use, $AH76, 4) - AN76*INDEX(Use, $AH76, 6) - (Q76-X76), Y76)</f>
        <v>7</v>
      </c>
      <c r="CE76" s="229">
        <f t="shared" si="28"/>
        <v>32</v>
      </c>
      <c r="CF76" s="230">
        <f t="shared" si="29"/>
        <v>0</v>
      </c>
      <c r="CG76" s="229">
        <v>35</v>
      </c>
      <c r="CH76" s="230">
        <f t="shared" si="30"/>
        <v>48</v>
      </c>
      <c r="CI76" s="235">
        <f t="shared" si="31"/>
        <v>3.0748170731707316</v>
      </c>
      <c r="CJ76" s="235" cm="1">
        <f t="array" ref="CJ76">$BI76 * SUMPRODUCT(INDEX($AR$77:$AT$82,,$AI76),INDEX($AU$77:$BA$82,,$AH76), N($AQ$77:$AQ$82&gt;$AO76)) / CI76 / 1000</f>
        <v>0</v>
      </c>
      <c r="CK76" s="232">
        <f t="shared" si="32"/>
        <v>30</v>
      </c>
      <c r="CL76" s="230">
        <f t="shared" si="33"/>
        <v>43</v>
      </c>
      <c r="CM76" s="235">
        <f t="shared" si="34"/>
        <v>3.5018750000000001</v>
      </c>
      <c r="CN76" s="235" cm="1">
        <f t="array" ref="CN76">$BI76 * IF($AH76&lt;=2,
SUMPRODUCT(INDEX($AR$72:$AT$76,,$AI76), INDEX($AU$72:$BA$76,,$AH76), 1 / ($BB$72:$BB$76*CM76 + (1-$BB$72:$BB$76)*CI76), N($AQ$72:$AQ$76&gt;$AO76)),
SUMPRODUCT(INDEX($AR$67:$AT$76,,$AI76), INDEX($AU$67:$BA$76,,$AH76), 1 / ($BC$67:$BC$76*CM76 + (1-$BC$67:$BC$76)*CI76), N($AQ$67:$AQ$76&gt;$AO76))
) / 1000</f>
        <v>0</v>
      </c>
      <c r="CO76" s="232">
        <f t="shared" si="35"/>
        <v>25</v>
      </c>
      <c r="CP76" s="230">
        <f t="shared" si="36"/>
        <v>38</v>
      </c>
      <c r="CQ76" s="235">
        <f t="shared" si="37"/>
        <v>4.0666935483870965</v>
      </c>
      <c r="CR76" s="235" cm="1">
        <f t="array" ref="CR76">$BI76 * IF($AH76&lt;=2,
SUMPRODUCT(INDEX($AR$67:$AT$71,,$AI76), INDEX($AU$67:$BA$71,,$AH76), 1 / ($BB$67:$BB$71*CQ76 + (1-$BB$67:$BB$71)*CM76), N($AQ$67:$AQ$71&gt;$AO76)),
SUMPRODUCT(INDEX($AR$57:$AT$66,,$AI76), INDEX($AU$57:$BA$66,,$AH76), 1 / ($BC$57:$BC$66*CQ76 + (1-$BC$57:$BC$66)*CM76), N($AQ$57:$AQ$66&gt;$AO76))
) / 1000</f>
        <v>0</v>
      </c>
      <c r="CS76" s="232">
        <f t="shared" si="38"/>
        <v>20</v>
      </c>
      <c r="CT76" s="230">
        <f t="shared" si="39"/>
        <v>33</v>
      </c>
      <c r="CU76" s="235">
        <f t="shared" si="40"/>
        <v>4.8487499999999999</v>
      </c>
      <c r="CV76" s="235" cm="1">
        <f t="array" ref="CV76">$BI76 * IF($AH76&lt;=2,
SUMPRODUCT(INDEX($AR$62:$AT$66,,$AI76), INDEX($AU$62:$BA$66,,$AH76), 1 / ($BB$62:$BB$66*CU76 + (1-$BB$62:$BB$66)*CQ76), N($AQ$62:$AQ$66&gt;$AO76)),
SUMPRODUCT(INDEX($AR$47:$AT$56,,$AI76), INDEX($AU$47:$BA$56,,$AH76), 1 / ($BC$47:$BC$56*CU76 + (1-$BC$47:$BC$56)*CQ76), N($AQ$47:$AQ$56&gt;$AO76))
) / 1000</f>
        <v>0</v>
      </c>
      <c r="CW76" s="235" cm="1">
        <f t="array" ref="CW76">$BI76 * IF($AH76&lt;=2,
SUMPRODUCT(INDEX($AR$23:$AT$61,,$AI76), INDEX($AU$23:$BA$61,,$AH76), 1 / ($BB$23:$BB$61*CU76), N($AQ$23:$AQ$61&gt;$AO76)),
SUMPRODUCT(INDEX($AR$23:$AT$46,,$AI76), INDEX($AU$23:$BA$46,,$AH76), 1 / ($BC$23:$BC$46*CU76), N($AQ$23:$AQ$46&gt;$AO76))
) / 1000</f>
        <v>0</v>
      </c>
      <c r="CX76" s="230">
        <f t="shared" si="41"/>
        <v>0</v>
      </c>
      <c r="CY76" s="238"/>
    </row>
    <row r="77" spans="1:103" s="76" customFormat="1" ht="14.25" customHeight="1" x14ac:dyDescent="0.25">
      <c r="A77" s="231" t="b">
        <f t="shared" si="0"/>
        <v>0</v>
      </c>
      <c r="B77" s="245">
        <v>55</v>
      </c>
      <c r="C77" s="258"/>
      <c r="D77" s="258"/>
      <c r="E77" s="246"/>
      <c r="F77" s="247" t="str">
        <f>IF(ISBLANK(E77), "", VLOOKUP(E77, Z!$A$2:$C$4127, 3, FALSE))</f>
        <v/>
      </c>
      <c r="G77" s="248"/>
      <c r="H77" s="248"/>
      <c r="I77" s="249"/>
      <c r="J77" s="250"/>
      <c r="K77" s="259"/>
      <c r="L77" s="260"/>
      <c r="M77" s="252" t="str" cm="1">
        <f t="array" ref="M77">INDEX(Trad, 53, $A$20)</f>
        <v>Verschmutzt</v>
      </c>
      <c r="N77" s="253"/>
      <c r="O77" s="253"/>
      <c r="P77" s="254"/>
      <c r="Q77" s="251"/>
      <c r="R77" s="251"/>
      <c r="S77" s="264">
        <f t="shared" si="7"/>
        <v>0</v>
      </c>
      <c r="T77" s="252" t="str" cm="1">
        <f t="array" ref="T77">INDEX(Trad, 52, $A$20)</f>
        <v>Sauber</v>
      </c>
      <c r="U77" s="253"/>
      <c r="V77" s="253"/>
      <c r="W77" s="254"/>
      <c r="X77" s="251"/>
      <c r="Y77" s="251"/>
      <c r="Z77" s="264">
        <f t="shared" si="8"/>
        <v>0</v>
      </c>
      <c r="AA77" s="261"/>
      <c r="AB77" s="258"/>
      <c r="AC77" s="246"/>
      <c r="AD77" s="247" t="str">
        <f>IF(ISBLANK(AC77), "", VLOOKUP(AC77, Z!$A$2:$C$4127, 3, FALSE))</f>
        <v/>
      </c>
      <c r="AE77" s="262"/>
      <c r="AF77" s="263">
        <f t="shared" si="132"/>
        <v>0</v>
      </c>
      <c r="AG77" s="238"/>
      <c r="AH77" s="229">
        <f t="shared" ref="AH77" si="199">IF(ISBLANK(H77), 1, IFERROR(MATCH(H77, INDEX(Use,,1), 0), IFERROR(MATCH(H77, INDEX(Use,,2), 0), MATCH(H77, INDEX(Use,,3), 0))))</f>
        <v>1</v>
      </c>
      <c r="AI77" s="229">
        <f t="shared" ref="AI77" si="200">IF(ISBLANK(G77), 1, IFERROR(MATCH(G77, INDEX(Loc,,1), 0), IFERROR(MATCH(G77, INDEX(Loc,,2), 0), MATCH(G77, INDEX(Loc,,3), 0))))</f>
        <v>1</v>
      </c>
      <c r="AJ77" s="229">
        <f t="shared" ref="AJ77" si="201">_xlfn.IFNA(IF(IFERROR(MATCH(I77, INDEX(Medium,,1), 0), IFERROR(MATCH(I77, INDEX(Medium,,2), 0), MATCH(I77, INDEX(Medium,,3), 0))) = 2, 1, 0), 0)</f>
        <v>0</v>
      </c>
      <c r="AK77" s="229">
        <v>0</v>
      </c>
      <c r="AL77" s="229">
        <v>0</v>
      </c>
      <c r="AM77" s="229">
        <v>1</v>
      </c>
      <c r="AN77" s="229">
        <v>0</v>
      </c>
      <c r="AO77" s="229">
        <f t="shared" si="5"/>
        <v>-100</v>
      </c>
      <c r="AP77" s="238"/>
      <c r="AQ77" s="229">
        <v>35</v>
      </c>
      <c r="AR77" s="232">
        <v>0</v>
      </c>
      <c r="AS77" s="232">
        <v>2</v>
      </c>
      <c r="AT77" s="232">
        <v>0</v>
      </c>
      <c r="AU77" s="233">
        <f t="shared" si="6"/>
        <v>1</v>
      </c>
      <c r="AV77" s="233">
        <f t="shared" si="6"/>
        <v>1</v>
      </c>
      <c r="AW77" s="233" cm="1">
        <f t="array" ref="AW77">MIN(INDEX(Use,AW$21,5) + MAX(0, (1-INDEX(Use,AW$21,5))*($AQ77-5)/(35-5)), 1)</f>
        <v>1</v>
      </c>
      <c r="AX77" s="233" cm="1">
        <f t="array" ref="AX77">MIN(INDEX(Use,AX$21,5) + MAX(0, (1-INDEX(Use,AX$21,5))*($AQ77-5)/(35-5)), 1)</f>
        <v>1</v>
      </c>
      <c r="AY77" s="233" cm="1">
        <f t="array" ref="AY77">MIN(INDEX(Use,AY$21,5) + MAX(0, (1-INDEX(Use,AY$21,5))*($AQ77-5)/(35-5)), 1)</f>
        <v>1</v>
      </c>
      <c r="AZ77" s="233" cm="1">
        <f t="array" ref="AZ77">MIN(INDEX(Use,AZ$21,5) + MAX(0, (1-INDEX(Use,AZ$21,5))*($AQ77-5)/(35-5)), 1)</f>
        <v>1</v>
      </c>
      <c r="BA77" s="233" cm="1">
        <f t="array" ref="BA77">MIN(INDEX(Use,BA$21,5) + MAX(0, (1-INDEX(Use,BA$21,5))*($AQ77-5)/(35-5)), 1)</f>
        <v>1</v>
      </c>
      <c r="BB77" s="233" t="s">
        <v>2</v>
      </c>
      <c r="BC77" s="233" t="s">
        <v>2</v>
      </c>
      <c r="BD77" s="211"/>
      <c r="BE77" s="229" cm="1">
        <f t="array" ref="BE77">IF(ISBLANK(R77), INDEX(Use, $AH77, 4) - AM77*INDEX(Use, $AH77, 6), R77)</f>
        <v>5</v>
      </c>
      <c r="BF77" s="229">
        <f t="shared" si="12"/>
        <v>30</v>
      </c>
      <c r="BG77" s="229">
        <f t="shared" si="13"/>
        <v>13</v>
      </c>
      <c r="BH77" s="229">
        <f t="shared" si="14"/>
        <v>0</v>
      </c>
      <c r="BI77" s="234" cm="1">
        <f t="array" ref="BI77">K77/IF($L77&gt;0, INDEX($AU$23:$BA$77, $L77+20, $AH77), 1)</f>
        <v>0</v>
      </c>
      <c r="BJ77" s="230">
        <f t="shared" si="15"/>
        <v>0</v>
      </c>
      <c r="BK77" s="229">
        <v>35</v>
      </c>
      <c r="BL77" s="230">
        <f t="shared" si="16"/>
        <v>48</v>
      </c>
      <c r="BM77" s="235">
        <f t="shared" si="17"/>
        <v>2.9108720930232557</v>
      </c>
      <c r="BN77" s="235" cm="1">
        <f t="array" ref="BN77">$BI77 * SUMPRODUCT(INDEX($AR$77:$AT$82,,$AI77),INDEX($AU$77:$BA$82,,$AH77), N($AQ$77:$AQ$82&gt;$AO77)) / BM77 / 1000</f>
        <v>0</v>
      </c>
      <c r="BO77" s="232">
        <f t="shared" si="18"/>
        <v>30</v>
      </c>
      <c r="BP77" s="230">
        <f t="shared" si="19"/>
        <v>43</v>
      </c>
      <c r="BQ77" s="235">
        <f t="shared" si="20"/>
        <v>3.2938815789473681</v>
      </c>
      <c r="BR77" s="235" cm="1">
        <f t="array" ref="BR77">$BI77 * IF($AH77&lt;=2,
SUMPRODUCT(INDEX($AR$72:$AT$76,,$AI77), INDEX($AU$72:$BA$76,,$AH77), 1 / ($BB$72:$BB$76*BQ77 + (1-$BB$72:$BB$76)*BM77), N($AQ$72:$AQ$76&gt;$AO77)),
SUMPRODUCT(INDEX($AR$67:$AT$76,,$AI77), INDEX($AU$67:$BA$76,,$AH77), 1 / ($BC$67:$BC$76*BQ77 + (1-$BC$67:$BC$76)*BM77), N($AQ$67:$AQ$76&gt;$AO77))
) / 1000</f>
        <v>0</v>
      </c>
      <c r="BS77" s="232">
        <f t="shared" si="21"/>
        <v>25</v>
      </c>
      <c r="BT77" s="230">
        <f t="shared" si="22"/>
        <v>38</v>
      </c>
      <c r="BU77" s="235">
        <f t="shared" si="23"/>
        <v>3.792954545454545</v>
      </c>
      <c r="BV77" s="235" cm="1">
        <f t="array" ref="BV77">$BI77 * IF($AH77&lt;=2,
SUMPRODUCT(INDEX($AR$67:$AT$71,,$AI77), INDEX($AU$67:$BA$71,,$AH77), 1 / ($BB$67:$BB$71*BU77 + (1-$BB$67:$BB$71)*BQ77), N($AQ$67:$AQ$71&gt;$AO77)),
SUMPRODUCT(INDEX($AR$57:$AT$66,,$AI77), INDEX($AU$57:$BA$66,,$AH77), 1 / ($BC$57:$BC$66*BU77 + (1-$BC$57:$BC$66)*BQ77), N($AQ$57:$AQ$66&gt;$AO77))
) / 1000</f>
        <v>0</v>
      </c>
      <c r="BW77" s="232">
        <f t="shared" si="24"/>
        <v>20</v>
      </c>
      <c r="BX77" s="230">
        <f t="shared" si="25"/>
        <v>33</v>
      </c>
      <c r="BY77" s="235">
        <f t="shared" si="26"/>
        <v>4.4702678571428569</v>
      </c>
      <c r="BZ77" s="235" cm="1">
        <f t="array" ref="BZ77">$BI77 * IF($AH77&lt;=2,
SUMPRODUCT(INDEX($AR$62:$AT$66,,$AI77), INDEX($AU$62:$BA$66,,$AH77), 1 / ($BB$62:$BB$66*BY77 + (1-$BB$62:$BB$66)*BU77), N($AQ$62:$AQ$66&gt;$AO77)),
SUMPRODUCT(INDEX($AR$47:$AT$56,,$AI77), INDEX($AU$47:$BA$56,,$AH77), 1 / ($BC$47:$BC$56*BY77 + (1-$BC$47:$BC$56)*BU77), N($AQ$47:$AQ$56&gt;$AO77))
) / 1000</f>
        <v>0</v>
      </c>
      <c r="CA77" s="235" cm="1">
        <f t="array" ref="CA77">$BI77 * IF($AH77&lt;=2,
SUMPRODUCT(INDEX($AR$23:$AT$61,,$AI77), INDEX($AU$23:$BA$61,,$AH77), 1 / ($BB$23:$BB$61*BY77), N($AQ$23:$AQ$61&gt;$AO77)),
SUMPRODUCT(INDEX($AR$23:$AT$46,,$AI77), INDEX($AU$23:$BA$46,,$AH77), 1 / ($BC$23:$BC$46*BY77), N($AQ$23:$AQ$46&gt;$AO77))
) / 1000</f>
        <v>0</v>
      </c>
      <c r="CB77" s="230">
        <f t="shared" si="27"/>
        <v>0</v>
      </c>
      <c r="CC77" s="238"/>
      <c r="CD77" s="229" cm="1">
        <f t="array" ref="CD77">IF(ISBLANK(Y77), INDEX(Use, $AH77, 4) - AN77*INDEX(Use, $AH77, 6) - (Q77-X77), Y77)</f>
        <v>7</v>
      </c>
      <c r="CE77" s="229">
        <f t="shared" si="28"/>
        <v>32</v>
      </c>
      <c r="CF77" s="230">
        <f t="shared" si="29"/>
        <v>0</v>
      </c>
      <c r="CG77" s="229">
        <v>35</v>
      </c>
      <c r="CH77" s="230">
        <f t="shared" si="30"/>
        <v>48</v>
      </c>
      <c r="CI77" s="235">
        <f t="shared" si="31"/>
        <v>3.0748170731707316</v>
      </c>
      <c r="CJ77" s="235" cm="1">
        <f t="array" ref="CJ77">$BI77 * SUMPRODUCT(INDEX($AR$77:$AT$82,,$AI77),INDEX($AU$77:$BA$82,,$AH77), N($AQ$77:$AQ$82&gt;$AO77)) / CI77 / 1000</f>
        <v>0</v>
      </c>
      <c r="CK77" s="232">
        <f t="shared" si="32"/>
        <v>30</v>
      </c>
      <c r="CL77" s="230">
        <f t="shared" si="33"/>
        <v>43</v>
      </c>
      <c r="CM77" s="235">
        <f t="shared" si="34"/>
        <v>3.5018750000000001</v>
      </c>
      <c r="CN77" s="235" cm="1">
        <f t="array" ref="CN77">$BI77 * IF($AH77&lt;=2,
SUMPRODUCT(INDEX($AR$72:$AT$76,,$AI77), INDEX($AU$72:$BA$76,,$AH77), 1 / ($BB$72:$BB$76*CM77 + (1-$BB$72:$BB$76)*CI77), N($AQ$72:$AQ$76&gt;$AO77)),
SUMPRODUCT(INDEX($AR$67:$AT$76,,$AI77), INDEX($AU$67:$BA$76,,$AH77), 1 / ($BC$67:$BC$76*CM77 + (1-$BC$67:$BC$76)*CI77), N($AQ$67:$AQ$76&gt;$AO77))
) / 1000</f>
        <v>0</v>
      </c>
      <c r="CO77" s="232">
        <f t="shared" si="35"/>
        <v>25</v>
      </c>
      <c r="CP77" s="230">
        <f t="shared" si="36"/>
        <v>38</v>
      </c>
      <c r="CQ77" s="235">
        <f t="shared" si="37"/>
        <v>4.0666935483870965</v>
      </c>
      <c r="CR77" s="235" cm="1">
        <f t="array" ref="CR77">$BI77 * IF($AH77&lt;=2,
SUMPRODUCT(INDEX($AR$67:$AT$71,,$AI77), INDEX($AU$67:$BA$71,,$AH77), 1 / ($BB$67:$BB$71*CQ77 + (1-$BB$67:$BB$71)*CM77), N($AQ$67:$AQ$71&gt;$AO77)),
SUMPRODUCT(INDEX($AR$57:$AT$66,,$AI77), INDEX($AU$57:$BA$66,,$AH77), 1 / ($BC$57:$BC$66*CQ77 + (1-$BC$57:$BC$66)*CM77), N($AQ$57:$AQ$66&gt;$AO77))
) / 1000</f>
        <v>0</v>
      </c>
      <c r="CS77" s="232">
        <f t="shared" si="38"/>
        <v>20</v>
      </c>
      <c r="CT77" s="230">
        <f t="shared" si="39"/>
        <v>33</v>
      </c>
      <c r="CU77" s="235">
        <f t="shared" si="40"/>
        <v>4.8487499999999999</v>
      </c>
      <c r="CV77" s="235" cm="1">
        <f t="array" ref="CV77">$BI77 * IF($AH77&lt;=2,
SUMPRODUCT(INDEX($AR$62:$AT$66,,$AI77), INDEX($AU$62:$BA$66,,$AH77), 1 / ($BB$62:$BB$66*CU77 + (1-$BB$62:$BB$66)*CQ77), N($AQ$62:$AQ$66&gt;$AO77)),
SUMPRODUCT(INDEX($AR$47:$AT$56,,$AI77), INDEX($AU$47:$BA$56,,$AH77), 1 / ($BC$47:$BC$56*CU77 + (1-$BC$47:$BC$56)*CQ77), N($AQ$47:$AQ$56&gt;$AO77))
) / 1000</f>
        <v>0</v>
      </c>
      <c r="CW77" s="235" cm="1">
        <f t="array" ref="CW77">$BI77 * IF($AH77&lt;=2,
SUMPRODUCT(INDEX($AR$23:$AT$61,,$AI77), INDEX($AU$23:$BA$61,,$AH77), 1 / ($BB$23:$BB$61*CU77), N($AQ$23:$AQ$61&gt;$AO77)),
SUMPRODUCT(INDEX($AR$23:$AT$46,,$AI77), INDEX($AU$23:$BA$46,,$AH77), 1 / ($BC$23:$BC$46*CU77), N($AQ$23:$AQ$46&gt;$AO77))
) / 1000</f>
        <v>0</v>
      </c>
      <c r="CX77" s="230">
        <f t="shared" si="41"/>
        <v>0</v>
      </c>
      <c r="CY77" s="238"/>
    </row>
    <row r="78" spans="1:103" s="76" customFormat="1" ht="14.25" customHeight="1" x14ac:dyDescent="0.25">
      <c r="A78" s="231" t="b">
        <f t="shared" si="0"/>
        <v>0</v>
      </c>
      <c r="B78" s="245">
        <v>56</v>
      </c>
      <c r="C78" s="258"/>
      <c r="D78" s="258"/>
      <c r="E78" s="246"/>
      <c r="F78" s="247" t="str">
        <f>IF(ISBLANK(E78), "", VLOOKUP(E78, Z!$A$2:$C$4127, 3, FALSE))</f>
        <v/>
      </c>
      <c r="G78" s="248"/>
      <c r="H78" s="248"/>
      <c r="I78" s="249"/>
      <c r="J78" s="250"/>
      <c r="K78" s="259"/>
      <c r="L78" s="260"/>
      <c r="M78" s="252" t="str" cm="1">
        <f t="array" ref="M78">INDEX(Trad, 53, $A$20)</f>
        <v>Verschmutzt</v>
      </c>
      <c r="N78" s="253"/>
      <c r="O78" s="253"/>
      <c r="P78" s="254"/>
      <c r="Q78" s="251"/>
      <c r="R78" s="251"/>
      <c r="S78" s="264">
        <f t="shared" si="7"/>
        <v>0</v>
      </c>
      <c r="T78" s="252" t="str" cm="1">
        <f t="array" ref="T78">INDEX(Trad, 52, $A$20)</f>
        <v>Sauber</v>
      </c>
      <c r="U78" s="253"/>
      <c r="V78" s="253"/>
      <c r="W78" s="254"/>
      <c r="X78" s="251"/>
      <c r="Y78" s="251"/>
      <c r="Z78" s="264">
        <f t="shared" si="8"/>
        <v>0</v>
      </c>
      <c r="AA78" s="261"/>
      <c r="AB78" s="258"/>
      <c r="AC78" s="246"/>
      <c r="AD78" s="247" t="str">
        <f>IF(ISBLANK(AC78), "", VLOOKUP(AC78, Z!$A$2:$C$4127, 3, FALSE))</f>
        <v/>
      </c>
      <c r="AE78" s="262"/>
      <c r="AF78" s="263">
        <f t="shared" si="132"/>
        <v>0</v>
      </c>
      <c r="AG78" s="238"/>
      <c r="AH78" s="229">
        <f t="shared" ref="AH78" si="202">IF(ISBLANK(H78), 1, IFERROR(MATCH(H78, INDEX(Use,,1), 0), IFERROR(MATCH(H78, INDEX(Use,,2), 0), MATCH(H78, INDEX(Use,,3), 0))))</f>
        <v>1</v>
      </c>
      <c r="AI78" s="229">
        <f t="shared" ref="AI78" si="203">IF(ISBLANK(G78), 1, IFERROR(MATCH(G78, INDEX(Loc,,1), 0), IFERROR(MATCH(G78, INDEX(Loc,,2), 0), MATCH(G78, INDEX(Loc,,3), 0))))</f>
        <v>1</v>
      </c>
      <c r="AJ78" s="229">
        <f t="shared" ref="AJ78" si="204">_xlfn.IFNA(IF(IFERROR(MATCH(I78, INDEX(Medium,,1), 0), IFERROR(MATCH(I78, INDEX(Medium,,2), 0), MATCH(I78, INDEX(Medium,,3), 0))) = 2, 1, 0), 0)</f>
        <v>0</v>
      </c>
      <c r="AK78" s="229">
        <v>0</v>
      </c>
      <c r="AL78" s="229">
        <v>0</v>
      </c>
      <c r="AM78" s="229">
        <v>1</v>
      </c>
      <c r="AN78" s="229">
        <v>0</v>
      </c>
      <c r="AO78" s="229">
        <f t="shared" si="5"/>
        <v>-100</v>
      </c>
      <c r="AP78" s="238"/>
      <c r="AQ78" s="229">
        <v>36</v>
      </c>
      <c r="AR78" s="232">
        <v>0</v>
      </c>
      <c r="AS78" s="232">
        <v>0</v>
      </c>
      <c r="AT78" s="232">
        <v>0</v>
      </c>
      <c r="AU78" s="233">
        <f t="shared" si="6"/>
        <v>1.0625</v>
      </c>
      <c r="AV78" s="233">
        <f t="shared" si="6"/>
        <v>1.0625</v>
      </c>
      <c r="AW78" s="233" cm="1">
        <f t="array" ref="AW78">MIN(INDEX(Use,AW$21,5) + MAX(0, (1-INDEX(Use,AW$21,5))*($AQ78-5)/(35-5)), 1)</f>
        <v>1</v>
      </c>
      <c r="AX78" s="233" cm="1">
        <f t="array" ref="AX78">MIN(INDEX(Use,AX$21,5) + MAX(0, (1-INDEX(Use,AX$21,5))*($AQ78-5)/(35-5)), 1)</f>
        <v>1</v>
      </c>
      <c r="AY78" s="233" cm="1">
        <f t="array" ref="AY78">MIN(INDEX(Use,AY$21,5) + MAX(0, (1-INDEX(Use,AY$21,5))*($AQ78-5)/(35-5)), 1)</f>
        <v>1</v>
      </c>
      <c r="AZ78" s="233" cm="1">
        <f t="array" ref="AZ78">MIN(INDEX(Use,AZ$21,5) + MAX(0, (1-INDEX(Use,AZ$21,5))*($AQ78-5)/(35-5)), 1)</f>
        <v>1</v>
      </c>
      <c r="BA78" s="233" cm="1">
        <f t="array" ref="BA78">MIN(INDEX(Use,BA$21,5) + MAX(0, (1-INDEX(Use,BA$21,5))*($AQ78-5)/(35-5)), 1)</f>
        <v>1</v>
      </c>
      <c r="BB78" s="233" t="s">
        <v>2</v>
      </c>
      <c r="BC78" s="233" t="s">
        <v>2</v>
      </c>
      <c r="BD78" s="211"/>
      <c r="BE78" s="229" cm="1">
        <f t="array" ref="BE78">IF(ISBLANK(R78), INDEX(Use, $AH78, 4) - AM78*INDEX(Use, $AH78, 6), R78)</f>
        <v>5</v>
      </c>
      <c r="BF78" s="229">
        <f t="shared" si="12"/>
        <v>30</v>
      </c>
      <c r="BG78" s="229">
        <f t="shared" si="13"/>
        <v>13</v>
      </c>
      <c r="BH78" s="229">
        <f t="shared" si="14"/>
        <v>0</v>
      </c>
      <c r="BI78" s="234" cm="1">
        <f t="array" ref="BI78">K78/IF($L78&gt;0, INDEX($AU$23:$BA$77, $L78+20, $AH78), 1)</f>
        <v>0</v>
      </c>
      <c r="BJ78" s="230">
        <f t="shared" si="15"/>
        <v>0</v>
      </c>
      <c r="BK78" s="229">
        <v>35</v>
      </c>
      <c r="BL78" s="230">
        <f t="shared" si="16"/>
        <v>48</v>
      </c>
      <c r="BM78" s="235">
        <f t="shared" si="17"/>
        <v>2.9108720930232557</v>
      </c>
      <c r="BN78" s="235" cm="1">
        <f t="array" ref="BN78">$BI78 * SUMPRODUCT(INDEX($AR$77:$AT$82,,$AI78),INDEX($AU$77:$BA$82,,$AH78), N($AQ$77:$AQ$82&gt;$AO78)) / BM78 / 1000</f>
        <v>0</v>
      </c>
      <c r="BO78" s="232">
        <f t="shared" si="18"/>
        <v>30</v>
      </c>
      <c r="BP78" s="230">
        <f t="shared" si="19"/>
        <v>43</v>
      </c>
      <c r="BQ78" s="235">
        <f t="shared" si="20"/>
        <v>3.2938815789473681</v>
      </c>
      <c r="BR78" s="235" cm="1">
        <f t="array" ref="BR78">$BI78 * IF($AH78&lt;=2,
SUMPRODUCT(INDEX($AR$72:$AT$76,,$AI78), INDEX($AU$72:$BA$76,,$AH78), 1 / ($BB$72:$BB$76*BQ78 + (1-$BB$72:$BB$76)*BM78), N($AQ$72:$AQ$76&gt;$AO78)),
SUMPRODUCT(INDEX($AR$67:$AT$76,,$AI78), INDEX($AU$67:$BA$76,,$AH78), 1 / ($BC$67:$BC$76*BQ78 + (1-$BC$67:$BC$76)*BM78), N($AQ$67:$AQ$76&gt;$AO78))
) / 1000</f>
        <v>0</v>
      </c>
      <c r="BS78" s="232">
        <f t="shared" si="21"/>
        <v>25</v>
      </c>
      <c r="BT78" s="230">
        <f t="shared" si="22"/>
        <v>38</v>
      </c>
      <c r="BU78" s="235">
        <f t="shared" si="23"/>
        <v>3.792954545454545</v>
      </c>
      <c r="BV78" s="235" cm="1">
        <f t="array" ref="BV78">$BI78 * IF($AH78&lt;=2,
SUMPRODUCT(INDEX($AR$67:$AT$71,,$AI78), INDEX($AU$67:$BA$71,,$AH78), 1 / ($BB$67:$BB$71*BU78 + (1-$BB$67:$BB$71)*BQ78), N($AQ$67:$AQ$71&gt;$AO78)),
SUMPRODUCT(INDEX($AR$57:$AT$66,,$AI78), INDEX($AU$57:$BA$66,,$AH78), 1 / ($BC$57:$BC$66*BU78 + (1-$BC$57:$BC$66)*BQ78), N($AQ$57:$AQ$66&gt;$AO78))
) / 1000</f>
        <v>0</v>
      </c>
      <c r="BW78" s="232">
        <f t="shared" si="24"/>
        <v>20</v>
      </c>
      <c r="BX78" s="230">
        <f t="shared" si="25"/>
        <v>33</v>
      </c>
      <c r="BY78" s="235">
        <f t="shared" si="26"/>
        <v>4.4702678571428569</v>
      </c>
      <c r="BZ78" s="235" cm="1">
        <f t="array" ref="BZ78">$BI78 * IF($AH78&lt;=2,
SUMPRODUCT(INDEX($AR$62:$AT$66,,$AI78), INDEX($AU$62:$BA$66,,$AH78), 1 / ($BB$62:$BB$66*BY78 + (1-$BB$62:$BB$66)*BU78), N($AQ$62:$AQ$66&gt;$AO78)),
SUMPRODUCT(INDEX($AR$47:$AT$56,,$AI78), INDEX($AU$47:$BA$56,,$AH78), 1 / ($BC$47:$BC$56*BY78 + (1-$BC$47:$BC$56)*BU78), N($AQ$47:$AQ$56&gt;$AO78))
) / 1000</f>
        <v>0</v>
      </c>
      <c r="CA78" s="235" cm="1">
        <f t="array" ref="CA78">$BI78 * IF($AH78&lt;=2,
SUMPRODUCT(INDEX($AR$23:$AT$61,,$AI78), INDEX($AU$23:$BA$61,,$AH78), 1 / ($BB$23:$BB$61*BY78), N($AQ$23:$AQ$61&gt;$AO78)),
SUMPRODUCT(INDEX($AR$23:$AT$46,,$AI78), INDEX($AU$23:$BA$46,,$AH78), 1 / ($BC$23:$BC$46*BY78), N($AQ$23:$AQ$46&gt;$AO78))
) / 1000</f>
        <v>0</v>
      </c>
      <c r="CB78" s="230">
        <f t="shared" si="27"/>
        <v>0</v>
      </c>
      <c r="CC78" s="238"/>
      <c r="CD78" s="229" cm="1">
        <f t="array" ref="CD78">IF(ISBLANK(Y78), INDEX(Use, $AH78, 4) - AN78*INDEX(Use, $AH78, 6) - (Q78-X78), Y78)</f>
        <v>7</v>
      </c>
      <c r="CE78" s="229">
        <f t="shared" si="28"/>
        <v>32</v>
      </c>
      <c r="CF78" s="230">
        <f t="shared" si="29"/>
        <v>0</v>
      </c>
      <c r="CG78" s="229">
        <v>35</v>
      </c>
      <c r="CH78" s="230">
        <f t="shared" si="30"/>
        <v>48</v>
      </c>
      <c r="CI78" s="235">
        <f t="shared" si="31"/>
        <v>3.0748170731707316</v>
      </c>
      <c r="CJ78" s="235" cm="1">
        <f t="array" ref="CJ78">$BI78 * SUMPRODUCT(INDEX($AR$77:$AT$82,,$AI78),INDEX($AU$77:$BA$82,,$AH78), N($AQ$77:$AQ$82&gt;$AO78)) / CI78 / 1000</f>
        <v>0</v>
      </c>
      <c r="CK78" s="232">
        <f t="shared" si="32"/>
        <v>30</v>
      </c>
      <c r="CL78" s="230">
        <f t="shared" si="33"/>
        <v>43</v>
      </c>
      <c r="CM78" s="235">
        <f t="shared" si="34"/>
        <v>3.5018750000000001</v>
      </c>
      <c r="CN78" s="235" cm="1">
        <f t="array" ref="CN78">$BI78 * IF($AH78&lt;=2,
SUMPRODUCT(INDEX($AR$72:$AT$76,,$AI78), INDEX($AU$72:$BA$76,,$AH78), 1 / ($BB$72:$BB$76*CM78 + (1-$BB$72:$BB$76)*CI78), N($AQ$72:$AQ$76&gt;$AO78)),
SUMPRODUCT(INDEX($AR$67:$AT$76,,$AI78), INDEX($AU$67:$BA$76,,$AH78), 1 / ($BC$67:$BC$76*CM78 + (1-$BC$67:$BC$76)*CI78), N($AQ$67:$AQ$76&gt;$AO78))
) / 1000</f>
        <v>0</v>
      </c>
      <c r="CO78" s="232">
        <f t="shared" si="35"/>
        <v>25</v>
      </c>
      <c r="CP78" s="230">
        <f t="shared" si="36"/>
        <v>38</v>
      </c>
      <c r="CQ78" s="235">
        <f t="shared" si="37"/>
        <v>4.0666935483870965</v>
      </c>
      <c r="CR78" s="235" cm="1">
        <f t="array" ref="CR78">$BI78 * IF($AH78&lt;=2,
SUMPRODUCT(INDEX($AR$67:$AT$71,,$AI78), INDEX($AU$67:$BA$71,,$AH78), 1 / ($BB$67:$BB$71*CQ78 + (1-$BB$67:$BB$71)*CM78), N($AQ$67:$AQ$71&gt;$AO78)),
SUMPRODUCT(INDEX($AR$57:$AT$66,,$AI78), INDEX($AU$57:$BA$66,,$AH78), 1 / ($BC$57:$BC$66*CQ78 + (1-$BC$57:$BC$66)*CM78), N($AQ$57:$AQ$66&gt;$AO78))
) / 1000</f>
        <v>0</v>
      </c>
      <c r="CS78" s="232">
        <f t="shared" si="38"/>
        <v>20</v>
      </c>
      <c r="CT78" s="230">
        <f t="shared" si="39"/>
        <v>33</v>
      </c>
      <c r="CU78" s="235">
        <f t="shared" si="40"/>
        <v>4.8487499999999999</v>
      </c>
      <c r="CV78" s="235" cm="1">
        <f t="array" ref="CV78">$BI78 * IF($AH78&lt;=2,
SUMPRODUCT(INDEX($AR$62:$AT$66,,$AI78), INDEX($AU$62:$BA$66,,$AH78), 1 / ($BB$62:$BB$66*CU78 + (1-$BB$62:$BB$66)*CQ78), N($AQ$62:$AQ$66&gt;$AO78)),
SUMPRODUCT(INDEX($AR$47:$AT$56,,$AI78), INDEX($AU$47:$BA$56,,$AH78), 1 / ($BC$47:$BC$56*CU78 + (1-$BC$47:$BC$56)*CQ78), N($AQ$47:$AQ$56&gt;$AO78))
) / 1000</f>
        <v>0</v>
      </c>
      <c r="CW78" s="235" cm="1">
        <f t="array" ref="CW78">$BI78 * IF($AH78&lt;=2,
SUMPRODUCT(INDEX($AR$23:$AT$61,,$AI78), INDEX($AU$23:$BA$61,,$AH78), 1 / ($BB$23:$BB$61*CU78), N($AQ$23:$AQ$61&gt;$AO78)),
SUMPRODUCT(INDEX($AR$23:$AT$46,,$AI78), INDEX($AU$23:$BA$46,,$AH78), 1 / ($BC$23:$BC$46*CU78), N($AQ$23:$AQ$46&gt;$AO78))
) / 1000</f>
        <v>0</v>
      </c>
      <c r="CX78" s="230">
        <f t="shared" si="41"/>
        <v>0</v>
      </c>
      <c r="CY78" s="238"/>
    </row>
    <row r="79" spans="1:103" s="76" customFormat="1" ht="14.25" customHeight="1" x14ac:dyDescent="0.25">
      <c r="A79" s="231" t="b">
        <f t="shared" si="0"/>
        <v>0</v>
      </c>
      <c r="B79" s="245">
        <v>57</v>
      </c>
      <c r="C79" s="258"/>
      <c r="D79" s="258"/>
      <c r="E79" s="246"/>
      <c r="F79" s="247" t="str">
        <f>IF(ISBLANK(E79), "", VLOOKUP(E79, Z!$A$2:$C$4127, 3, FALSE))</f>
        <v/>
      </c>
      <c r="G79" s="248"/>
      <c r="H79" s="248"/>
      <c r="I79" s="249"/>
      <c r="J79" s="250"/>
      <c r="K79" s="259"/>
      <c r="L79" s="260"/>
      <c r="M79" s="252" t="str" cm="1">
        <f t="array" ref="M79">INDEX(Trad, 53, $A$20)</f>
        <v>Verschmutzt</v>
      </c>
      <c r="N79" s="253"/>
      <c r="O79" s="253"/>
      <c r="P79" s="254"/>
      <c r="Q79" s="251"/>
      <c r="R79" s="251"/>
      <c r="S79" s="264">
        <f t="shared" si="7"/>
        <v>0</v>
      </c>
      <c r="T79" s="252" t="str" cm="1">
        <f t="array" ref="T79">INDEX(Trad, 52, $A$20)</f>
        <v>Sauber</v>
      </c>
      <c r="U79" s="253"/>
      <c r="V79" s="253"/>
      <c r="W79" s="254"/>
      <c r="X79" s="251"/>
      <c r="Y79" s="251"/>
      <c r="Z79" s="264">
        <f t="shared" si="8"/>
        <v>0</v>
      </c>
      <c r="AA79" s="261"/>
      <c r="AB79" s="258"/>
      <c r="AC79" s="246"/>
      <c r="AD79" s="247" t="str">
        <f>IF(ISBLANK(AC79), "", VLOOKUP(AC79, Z!$A$2:$C$4127, 3, FALSE))</f>
        <v/>
      </c>
      <c r="AE79" s="262"/>
      <c r="AF79" s="263">
        <f t="shared" si="132"/>
        <v>0</v>
      </c>
      <c r="AG79" s="238"/>
      <c r="AH79" s="229">
        <f t="shared" ref="AH79" si="205">IF(ISBLANK(H79), 1, IFERROR(MATCH(H79, INDEX(Use,,1), 0), IFERROR(MATCH(H79, INDEX(Use,,2), 0), MATCH(H79, INDEX(Use,,3), 0))))</f>
        <v>1</v>
      </c>
      <c r="AI79" s="229">
        <f t="shared" ref="AI79" si="206">IF(ISBLANK(G79), 1, IFERROR(MATCH(G79, INDEX(Loc,,1), 0), IFERROR(MATCH(G79, INDEX(Loc,,2), 0), MATCH(G79, INDEX(Loc,,3), 0))))</f>
        <v>1</v>
      </c>
      <c r="AJ79" s="229">
        <f t="shared" ref="AJ79" si="207">_xlfn.IFNA(IF(IFERROR(MATCH(I79, INDEX(Medium,,1), 0), IFERROR(MATCH(I79, INDEX(Medium,,2), 0), MATCH(I79, INDEX(Medium,,3), 0))) = 2, 1, 0), 0)</f>
        <v>0</v>
      </c>
      <c r="AK79" s="229">
        <v>0</v>
      </c>
      <c r="AL79" s="229">
        <v>0</v>
      </c>
      <c r="AM79" s="229">
        <v>1</v>
      </c>
      <c r="AN79" s="229">
        <v>0</v>
      </c>
      <c r="AO79" s="229">
        <f t="shared" si="5"/>
        <v>-100</v>
      </c>
      <c r="AP79" s="238"/>
      <c r="AQ79" s="229">
        <v>37</v>
      </c>
      <c r="AR79" s="232">
        <v>0</v>
      </c>
      <c r="AS79" s="232">
        <v>0</v>
      </c>
      <c r="AT79" s="232">
        <v>0</v>
      </c>
      <c r="AU79" s="233">
        <f t="shared" si="6"/>
        <v>1.125</v>
      </c>
      <c r="AV79" s="233">
        <f t="shared" si="6"/>
        <v>1.125</v>
      </c>
      <c r="AW79" s="233" cm="1">
        <f t="array" ref="AW79">MIN(INDEX(Use,AW$21,5) + MAX(0, (1-INDEX(Use,AW$21,5))*($AQ79-5)/(35-5)), 1)</f>
        <v>1</v>
      </c>
      <c r="AX79" s="233" cm="1">
        <f t="array" ref="AX79">MIN(INDEX(Use,AX$21,5) + MAX(0, (1-INDEX(Use,AX$21,5))*($AQ79-5)/(35-5)), 1)</f>
        <v>1</v>
      </c>
      <c r="AY79" s="233" cm="1">
        <f t="array" ref="AY79">MIN(INDEX(Use,AY$21,5) + MAX(0, (1-INDEX(Use,AY$21,5))*($AQ79-5)/(35-5)), 1)</f>
        <v>1</v>
      </c>
      <c r="AZ79" s="233" cm="1">
        <f t="array" ref="AZ79">MIN(INDEX(Use,AZ$21,5) + MAX(0, (1-INDEX(Use,AZ$21,5))*($AQ79-5)/(35-5)), 1)</f>
        <v>1</v>
      </c>
      <c r="BA79" s="233" cm="1">
        <f t="array" ref="BA79">MIN(INDEX(Use,BA$21,5) + MAX(0, (1-INDEX(Use,BA$21,5))*($AQ79-5)/(35-5)), 1)</f>
        <v>1</v>
      </c>
      <c r="BB79" s="233" t="s">
        <v>2</v>
      </c>
      <c r="BC79" s="233" t="s">
        <v>2</v>
      </c>
      <c r="BD79" s="211"/>
      <c r="BE79" s="229" cm="1">
        <f t="array" ref="BE79">IF(ISBLANK(R79), INDEX(Use, $AH79, 4) - AM79*INDEX(Use, $AH79, 6), R79)</f>
        <v>5</v>
      </c>
      <c r="BF79" s="229">
        <f t="shared" si="12"/>
        <v>30</v>
      </c>
      <c r="BG79" s="229">
        <f t="shared" si="13"/>
        <v>13</v>
      </c>
      <c r="BH79" s="229">
        <f t="shared" si="14"/>
        <v>0</v>
      </c>
      <c r="BI79" s="234" cm="1">
        <f t="array" ref="BI79">K79/IF($L79&gt;0, INDEX($AU$23:$BA$77, $L79+20, $AH79), 1)</f>
        <v>0</v>
      </c>
      <c r="BJ79" s="230">
        <f t="shared" si="15"/>
        <v>0</v>
      </c>
      <c r="BK79" s="229">
        <v>35</v>
      </c>
      <c r="BL79" s="230">
        <f t="shared" si="16"/>
        <v>48</v>
      </c>
      <c r="BM79" s="235">
        <f t="shared" si="17"/>
        <v>2.9108720930232557</v>
      </c>
      <c r="BN79" s="235" cm="1">
        <f t="array" ref="BN79">$BI79 * SUMPRODUCT(INDEX($AR$77:$AT$82,,$AI79),INDEX($AU$77:$BA$82,,$AH79), N($AQ$77:$AQ$82&gt;$AO79)) / BM79 / 1000</f>
        <v>0</v>
      </c>
      <c r="BO79" s="232">
        <f t="shared" si="18"/>
        <v>30</v>
      </c>
      <c r="BP79" s="230">
        <f t="shared" si="19"/>
        <v>43</v>
      </c>
      <c r="BQ79" s="235">
        <f t="shared" si="20"/>
        <v>3.2938815789473681</v>
      </c>
      <c r="BR79" s="235" cm="1">
        <f t="array" ref="BR79">$BI79 * IF($AH79&lt;=2,
SUMPRODUCT(INDEX($AR$72:$AT$76,,$AI79), INDEX($AU$72:$BA$76,,$AH79), 1 / ($BB$72:$BB$76*BQ79 + (1-$BB$72:$BB$76)*BM79), N($AQ$72:$AQ$76&gt;$AO79)),
SUMPRODUCT(INDEX($AR$67:$AT$76,,$AI79), INDEX($AU$67:$BA$76,,$AH79), 1 / ($BC$67:$BC$76*BQ79 + (1-$BC$67:$BC$76)*BM79), N($AQ$67:$AQ$76&gt;$AO79))
) / 1000</f>
        <v>0</v>
      </c>
      <c r="BS79" s="232">
        <f t="shared" si="21"/>
        <v>25</v>
      </c>
      <c r="BT79" s="230">
        <f t="shared" si="22"/>
        <v>38</v>
      </c>
      <c r="BU79" s="235">
        <f t="shared" si="23"/>
        <v>3.792954545454545</v>
      </c>
      <c r="BV79" s="235" cm="1">
        <f t="array" ref="BV79">$BI79 * IF($AH79&lt;=2,
SUMPRODUCT(INDEX($AR$67:$AT$71,,$AI79), INDEX($AU$67:$BA$71,,$AH79), 1 / ($BB$67:$BB$71*BU79 + (1-$BB$67:$BB$71)*BQ79), N($AQ$67:$AQ$71&gt;$AO79)),
SUMPRODUCT(INDEX($AR$57:$AT$66,,$AI79), INDEX($AU$57:$BA$66,,$AH79), 1 / ($BC$57:$BC$66*BU79 + (1-$BC$57:$BC$66)*BQ79), N($AQ$57:$AQ$66&gt;$AO79))
) / 1000</f>
        <v>0</v>
      </c>
      <c r="BW79" s="232">
        <f t="shared" si="24"/>
        <v>20</v>
      </c>
      <c r="BX79" s="230">
        <f t="shared" si="25"/>
        <v>33</v>
      </c>
      <c r="BY79" s="235">
        <f t="shared" si="26"/>
        <v>4.4702678571428569</v>
      </c>
      <c r="BZ79" s="235" cm="1">
        <f t="array" ref="BZ79">$BI79 * IF($AH79&lt;=2,
SUMPRODUCT(INDEX($AR$62:$AT$66,,$AI79), INDEX($AU$62:$BA$66,,$AH79), 1 / ($BB$62:$BB$66*BY79 + (1-$BB$62:$BB$66)*BU79), N($AQ$62:$AQ$66&gt;$AO79)),
SUMPRODUCT(INDEX($AR$47:$AT$56,,$AI79), INDEX($AU$47:$BA$56,,$AH79), 1 / ($BC$47:$BC$56*BY79 + (1-$BC$47:$BC$56)*BU79), N($AQ$47:$AQ$56&gt;$AO79))
) / 1000</f>
        <v>0</v>
      </c>
      <c r="CA79" s="235" cm="1">
        <f t="array" ref="CA79">$BI79 * IF($AH79&lt;=2,
SUMPRODUCT(INDEX($AR$23:$AT$61,,$AI79), INDEX($AU$23:$BA$61,,$AH79), 1 / ($BB$23:$BB$61*BY79), N($AQ$23:$AQ$61&gt;$AO79)),
SUMPRODUCT(INDEX($AR$23:$AT$46,,$AI79), INDEX($AU$23:$BA$46,,$AH79), 1 / ($BC$23:$BC$46*BY79), N($AQ$23:$AQ$46&gt;$AO79))
) / 1000</f>
        <v>0</v>
      </c>
      <c r="CB79" s="230">
        <f t="shared" si="27"/>
        <v>0</v>
      </c>
      <c r="CC79" s="238"/>
      <c r="CD79" s="229" cm="1">
        <f t="array" ref="CD79">IF(ISBLANK(Y79), INDEX(Use, $AH79, 4) - AN79*INDEX(Use, $AH79, 6) - (Q79-X79), Y79)</f>
        <v>7</v>
      </c>
      <c r="CE79" s="229">
        <f t="shared" si="28"/>
        <v>32</v>
      </c>
      <c r="CF79" s="230">
        <f t="shared" si="29"/>
        <v>0</v>
      </c>
      <c r="CG79" s="229">
        <v>35</v>
      </c>
      <c r="CH79" s="230">
        <f t="shared" si="30"/>
        <v>48</v>
      </c>
      <c r="CI79" s="235">
        <f t="shared" si="31"/>
        <v>3.0748170731707316</v>
      </c>
      <c r="CJ79" s="235" cm="1">
        <f t="array" ref="CJ79">$BI79 * SUMPRODUCT(INDEX($AR$77:$AT$82,,$AI79),INDEX($AU$77:$BA$82,,$AH79), N($AQ$77:$AQ$82&gt;$AO79)) / CI79 / 1000</f>
        <v>0</v>
      </c>
      <c r="CK79" s="232">
        <f t="shared" si="32"/>
        <v>30</v>
      </c>
      <c r="CL79" s="230">
        <f t="shared" si="33"/>
        <v>43</v>
      </c>
      <c r="CM79" s="235">
        <f t="shared" si="34"/>
        <v>3.5018750000000001</v>
      </c>
      <c r="CN79" s="235" cm="1">
        <f t="array" ref="CN79">$BI79 * IF($AH79&lt;=2,
SUMPRODUCT(INDEX($AR$72:$AT$76,,$AI79), INDEX($AU$72:$BA$76,,$AH79), 1 / ($BB$72:$BB$76*CM79 + (1-$BB$72:$BB$76)*CI79), N($AQ$72:$AQ$76&gt;$AO79)),
SUMPRODUCT(INDEX($AR$67:$AT$76,,$AI79), INDEX($AU$67:$BA$76,,$AH79), 1 / ($BC$67:$BC$76*CM79 + (1-$BC$67:$BC$76)*CI79), N($AQ$67:$AQ$76&gt;$AO79))
) / 1000</f>
        <v>0</v>
      </c>
      <c r="CO79" s="232">
        <f t="shared" si="35"/>
        <v>25</v>
      </c>
      <c r="CP79" s="230">
        <f t="shared" si="36"/>
        <v>38</v>
      </c>
      <c r="CQ79" s="235">
        <f t="shared" si="37"/>
        <v>4.0666935483870965</v>
      </c>
      <c r="CR79" s="235" cm="1">
        <f t="array" ref="CR79">$BI79 * IF($AH79&lt;=2,
SUMPRODUCT(INDEX($AR$67:$AT$71,,$AI79), INDEX($AU$67:$BA$71,,$AH79), 1 / ($BB$67:$BB$71*CQ79 + (1-$BB$67:$BB$71)*CM79), N($AQ$67:$AQ$71&gt;$AO79)),
SUMPRODUCT(INDEX($AR$57:$AT$66,,$AI79), INDEX($AU$57:$BA$66,,$AH79), 1 / ($BC$57:$BC$66*CQ79 + (1-$BC$57:$BC$66)*CM79), N($AQ$57:$AQ$66&gt;$AO79))
) / 1000</f>
        <v>0</v>
      </c>
      <c r="CS79" s="232">
        <f t="shared" si="38"/>
        <v>20</v>
      </c>
      <c r="CT79" s="230">
        <f t="shared" si="39"/>
        <v>33</v>
      </c>
      <c r="CU79" s="235">
        <f t="shared" si="40"/>
        <v>4.8487499999999999</v>
      </c>
      <c r="CV79" s="235" cm="1">
        <f t="array" ref="CV79">$BI79 * IF($AH79&lt;=2,
SUMPRODUCT(INDEX($AR$62:$AT$66,,$AI79), INDEX($AU$62:$BA$66,,$AH79), 1 / ($BB$62:$BB$66*CU79 + (1-$BB$62:$BB$66)*CQ79), N($AQ$62:$AQ$66&gt;$AO79)),
SUMPRODUCT(INDEX($AR$47:$AT$56,,$AI79), INDEX($AU$47:$BA$56,,$AH79), 1 / ($BC$47:$BC$56*CU79 + (1-$BC$47:$BC$56)*CQ79), N($AQ$47:$AQ$56&gt;$AO79))
) / 1000</f>
        <v>0</v>
      </c>
      <c r="CW79" s="235" cm="1">
        <f t="array" ref="CW79">$BI79 * IF($AH79&lt;=2,
SUMPRODUCT(INDEX($AR$23:$AT$61,,$AI79), INDEX($AU$23:$BA$61,,$AH79), 1 / ($BB$23:$BB$61*CU79), N($AQ$23:$AQ$61&gt;$AO79)),
SUMPRODUCT(INDEX($AR$23:$AT$46,,$AI79), INDEX($AU$23:$BA$46,,$AH79), 1 / ($BC$23:$BC$46*CU79), N($AQ$23:$AQ$46&gt;$AO79))
) / 1000</f>
        <v>0</v>
      </c>
      <c r="CX79" s="230">
        <f t="shared" si="41"/>
        <v>0</v>
      </c>
      <c r="CY79" s="238"/>
    </row>
    <row r="80" spans="1:103" s="76" customFormat="1" ht="14.25" customHeight="1" x14ac:dyDescent="0.25">
      <c r="A80" s="231" t="b">
        <f t="shared" si="0"/>
        <v>0</v>
      </c>
      <c r="B80" s="245">
        <v>58</v>
      </c>
      <c r="C80" s="258"/>
      <c r="D80" s="258"/>
      <c r="E80" s="246"/>
      <c r="F80" s="247" t="str">
        <f>IF(ISBLANK(E80), "", VLOOKUP(E80, Z!$A$2:$C$4127, 3, FALSE))</f>
        <v/>
      </c>
      <c r="G80" s="248"/>
      <c r="H80" s="248"/>
      <c r="I80" s="249"/>
      <c r="J80" s="250"/>
      <c r="K80" s="259"/>
      <c r="L80" s="260"/>
      <c r="M80" s="252" t="str" cm="1">
        <f t="array" ref="M80">INDEX(Trad, 53, $A$20)</f>
        <v>Verschmutzt</v>
      </c>
      <c r="N80" s="253"/>
      <c r="O80" s="253"/>
      <c r="P80" s="254"/>
      <c r="Q80" s="251"/>
      <c r="R80" s="251"/>
      <c r="S80" s="264">
        <f t="shared" si="7"/>
        <v>0</v>
      </c>
      <c r="T80" s="252" t="str" cm="1">
        <f t="array" ref="T80">INDEX(Trad, 52, $A$20)</f>
        <v>Sauber</v>
      </c>
      <c r="U80" s="253"/>
      <c r="V80" s="253"/>
      <c r="W80" s="254"/>
      <c r="X80" s="251"/>
      <c r="Y80" s="251"/>
      <c r="Z80" s="264">
        <f t="shared" si="8"/>
        <v>0</v>
      </c>
      <c r="AA80" s="261"/>
      <c r="AB80" s="258"/>
      <c r="AC80" s="246"/>
      <c r="AD80" s="247" t="str">
        <f>IF(ISBLANK(AC80), "", VLOOKUP(AC80, Z!$A$2:$C$4127, 3, FALSE))</f>
        <v/>
      </c>
      <c r="AE80" s="262"/>
      <c r="AF80" s="263">
        <f t="shared" si="132"/>
        <v>0</v>
      </c>
      <c r="AG80" s="238"/>
      <c r="AH80" s="229">
        <f t="shared" ref="AH80" si="208">IF(ISBLANK(H80), 1, IFERROR(MATCH(H80, INDEX(Use,,1), 0), IFERROR(MATCH(H80, INDEX(Use,,2), 0), MATCH(H80, INDEX(Use,,3), 0))))</f>
        <v>1</v>
      </c>
      <c r="AI80" s="229">
        <f t="shared" ref="AI80" si="209">IF(ISBLANK(G80), 1, IFERROR(MATCH(G80, INDEX(Loc,,1), 0), IFERROR(MATCH(G80, INDEX(Loc,,2), 0), MATCH(G80, INDEX(Loc,,3), 0))))</f>
        <v>1</v>
      </c>
      <c r="AJ80" s="229">
        <f t="shared" ref="AJ80" si="210">_xlfn.IFNA(IF(IFERROR(MATCH(I80, INDEX(Medium,,1), 0), IFERROR(MATCH(I80, INDEX(Medium,,2), 0), MATCH(I80, INDEX(Medium,,3), 0))) = 2, 1, 0), 0)</f>
        <v>0</v>
      </c>
      <c r="AK80" s="229">
        <v>0</v>
      </c>
      <c r="AL80" s="229">
        <v>0</v>
      </c>
      <c r="AM80" s="229">
        <v>1</v>
      </c>
      <c r="AN80" s="229">
        <v>0</v>
      </c>
      <c r="AO80" s="229">
        <f t="shared" si="5"/>
        <v>-100</v>
      </c>
      <c r="AP80" s="238"/>
      <c r="AQ80" s="229">
        <v>38</v>
      </c>
      <c r="AR80" s="232">
        <v>0</v>
      </c>
      <c r="AS80" s="232">
        <v>0</v>
      </c>
      <c r="AT80" s="232">
        <v>0</v>
      </c>
      <c r="AU80" s="233">
        <f t="shared" si="6"/>
        <v>1.1875</v>
      </c>
      <c r="AV80" s="233">
        <f t="shared" si="6"/>
        <v>1.1875</v>
      </c>
      <c r="AW80" s="233" cm="1">
        <f t="array" ref="AW80">MIN(INDEX(Use,AW$21,5) + MAX(0, (1-INDEX(Use,AW$21,5))*($AQ80-5)/(35-5)), 1)</f>
        <v>1</v>
      </c>
      <c r="AX80" s="233" cm="1">
        <f t="array" ref="AX80">MIN(INDEX(Use,AX$21,5) + MAX(0, (1-INDEX(Use,AX$21,5))*($AQ80-5)/(35-5)), 1)</f>
        <v>1</v>
      </c>
      <c r="AY80" s="233" cm="1">
        <f t="array" ref="AY80">MIN(INDEX(Use,AY$21,5) + MAX(0, (1-INDEX(Use,AY$21,5))*($AQ80-5)/(35-5)), 1)</f>
        <v>1</v>
      </c>
      <c r="AZ80" s="233" cm="1">
        <f t="array" ref="AZ80">MIN(INDEX(Use,AZ$21,5) + MAX(0, (1-INDEX(Use,AZ$21,5))*($AQ80-5)/(35-5)), 1)</f>
        <v>1</v>
      </c>
      <c r="BA80" s="233" cm="1">
        <f t="array" ref="BA80">MIN(INDEX(Use,BA$21,5) + MAX(0, (1-INDEX(Use,BA$21,5))*($AQ80-5)/(35-5)), 1)</f>
        <v>1</v>
      </c>
      <c r="BB80" s="233" t="s">
        <v>2</v>
      </c>
      <c r="BC80" s="233" t="s">
        <v>2</v>
      </c>
      <c r="BD80" s="211"/>
      <c r="BE80" s="229" cm="1">
        <f t="array" ref="BE80">IF(ISBLANK(R80), INDEX(Use, $AH80, 4) - AM80*INDEX(Use, $AH80, 6), R80)</f>
        <v>5</v>
      </c>
      <c r="BF80" s="229">
        <f t="shared" si="12"/>
        <v>30</v>
      </c>
      <c r="BG80" s="229">
        <f t="shared" si="13"/>
        <v>13</v>
      </c>
      <c r="BH80" s="229">
        <f t="shared" si="14"/>
        <v>0</v>
      </c>
      <c r="BI80" s="234" cm="1">
        <f t="array" ref="BI80">K80/IF($L80&gt;0, INDEX($AU$23:$BA$77, $L80+20, $AH80), 1)</f>
        <v>0</v>
      </c>
      <c r="BJ80" s="230">
        <f t="shared" si="15"/>
        <v>0</v>
      </c>
      <c r="BK80" s="229">
        <v>35</v>
      </c>
      <c r="BL80" s="230">
        <f t="shared" si="16"/>
        <v>48</v>
      </c>
      <c r="BM80" s="235">
        <f t="shared" si="17"/>
        <v>2.9108720930232557</v>
      </c>
      <c r="BN80" s="235" cm="1">
        <f t="array" ref="BN80">$BI80 * SUMPRODUCT(INDEX($AR$77:$AT$82,,$AI80),INDEX($AU$77:$BA$82,,$AH80), N($AQ$77:$AQ$82&gt;$AO80)) / BM80 / 1000</f>
        <v>0</v>
      </c>
      <c r="BO80" s="232">
        <f t="shared" si="18"/>
        <v>30</v>
      </c>
      <c r="BP80" s="230">
        <f t="shared" si="19"/>
        <v>43</v>
      </c>
      <c r="BQ80" s="235">
        <f t="shared" si="20"/>
        <v>3.2938815789473681</v>
      </c>
      <c r="BR80" s="235" cm="1">
        <f t="array" ref="BR80">$BI80 * IF($AH80&lt;=2,
SUMPRODUCT(INDEX($AR$72:$AT$76,,$AI80), INDEX($AU$72:$BA$76,,$AH80), 1 / ($BB$72:$BB$76*BQ80 + (1-$BB$72:$BB$76)*BM80), N($AQ$72:$AQ$76&gt;$AO80)),
SUMPRODUCT(INDEX($AR$67:$AT$76,,$AI80), INDEX($AU$67:$BA$76,,$AH80), 1 / ($BC$67:$BC$76*BQ80 + (1-$BC$67:$BC$76)*BM80), N($AQ$67:$AQ$76&gt;$AO80))
) / 1000</f>
        <v>0</v>
      </c>
      <c r="BS80" s="232">
        <f t="shared" si="21"/>
        <v>25</v>
      </c>
      <c r="BT80" s="230">
        <f t="shared" si="22"/>
        <v>38</v>
      </c>
      <c r="BU80" s="235">
        <f t="shared" si="23"/>
        <v>3.792954545454545</v>
      </c>
      <c r="BV80" s="235" cm="1">
        <f t="array" ref="BV80">$BI80 * IF($AH80&lt;=2,
SUMPRODUCT(INDEX($AR$67:$AT$71,,$AI80), INDEX($AU$67:$BA$71,,$AH80), 1 / ($BB$67:$BB$71*BU80 + (1-$BB$67:$BB$71)*BQ80), N($AQ$67:$AQ$71&gt;$AO80)),
SUMPRODUCT(INDEX($AR$57:$AT$66,,$AI80), INDEX($AU$57:$BA$66,,$AH80), 1 / ($BC$57:$BC$66*BU80 + (1-$BC$57:$BC$66)*BQ80), N($AQ$57:$AQ$66&gt;$AO80))
) / 1000</f>
        <v>0</v>
      </c>
      <c r="BW80" s="232">
        <f t="shared" si="24"/>
        <v>20</v>
      </c>
      <c r="BX80" s="230">
        <f t="shared" si="25"/>
        <v>33</v>
      </c>
      <c r="BY80" s="235">
        <f t="shared" si="26"/>
        <v>4.4702678571428569</v>
      </c>
      <c r="BZ80" s="235" cm="1">
        <f t="array" ref="BZ80">$BI80 * IF($AH80&lt;=2,
SUMPRODUCT(INDEX($AR$62:$AT$66,,$AI80), INDEX($AU$62:$BA$66,,$AH80), 1 / ($BB$62:$BB$66*BY80 + (1-$BB$62:$BB$66)*BU80), N($AQ$62:$AQ$66&gt;$AO80)),
SUMPRODUCT(INDEX($AR$47:$AT$56,,$AI80), INDEX($AU$47:$BA$56,,$AH80), 1 / ($BC$47:$BC$56*BY80 + (1-$BC$47:$BC$56)*BU80), N($AQ$47:$AQ$56&gt;$AO80))
) / 1000</f>
        <v>0</v>
      </c>
      <c r="CA80" s="235" cm="1">
        <f t="array" ref="CA80">$BI80 * IF($AH80&lt;=2,
SUMPRODUCT(INDEX($AR$23:$AT$61,,$AI80), INDEX($AU$23:$BA$61,,$AH80), 1 / ($BB$23:$BB$61*BY80), N($AQ$23:$AQ$61&gt;$AO80)),
SUMPRODUCT(INDEX($AR$23:$AT$46,,$AI80), INDEX($AU$23:$BA$46,,$AH80), 1 / ($BC$23:$BC$46*BY80), N($AQ$23:$AQ$46&gt;$AO80))
) / 1000</f>
        <v>0</v>
      </c>
      <c r="CB80" s="230">
        <f t="shared" si="27"/>
        <v>0</v>
      </c>
      <c r="CC80" s="238"/>
      <c r="CD80" s="229" cm="1">
        <f t="array" ref="CD80">IF(ISBLANK(Y80), INDEX(Use, $AH80, 4) - AN80*INDEX(Use, $AH80, 6) - (Q80-X80), Y80)</f>
        <v>7</v>
      </c>
      <c r="CE80" s="229">
        <f t="shared" si="28"/>
        <v>32</v>
      </c>
      <c r="CF80" s="230">
        <f t="shared" si="29"/>
        <v>0</v>
      </c>
      <c r="CG80" s="229">
        <v>35</v>
      </c>
      <c r="CH80" s="230">
        <f t="shared" si="30"/>
        <v>48</v>
      </c>
      <c r="CI80" s="235">
        <f t="shared" si="31"/>
        <v>3.0748170731707316</v>
      </c>
      <c r="CJ80" s="235" cm="1">
        <f t="array" ref="CJ80">$BI80 * SUMPRODUCT(INDEX($AR$77:$AT$82,,$AI80),INDEX($AU$77:$BA$82,,$AH80), N($AQ$77:$AQ$82&gt;$AO80)) / CI80 / 1000</f>
        <v>0</v>
      </c>
      <c r="CK80" s="232">
        <f t="shared" si="32"/>
        <v>30</v>
      </c>
      <c r="CL80" s="230">
        <f t="shared" si="33"/>
        <v>43</v>
      </c>
      <c r="CM80" s="235">
        <f t="shared" si="34"/>
        <v>3.5018750000000001</v>
      </c>
      <c r="CN80" s="235" cm="1">
        <f t="array" ref="CN80">$BI80 * IF($AH80&lt;=2,
SUMPRODUCT(INDEX($AR$72:$AT$76,,$AI80), INDEX($AU$72:$BA$76,,$AH80), 1 / ($BB$72:$BB$76*CM80 + (1-$BB$72:$BB$76)*CI80), N($AQ$72:$AQ$76&gt;$AO80)),
SUMPRODUCT(INDEX($AR$67:$AT$76,,$AI80), INDEX($AU$67:$BA$76,,$AH80), 1 / ($BC$67:$BC$76*CM80 + (1-$BC$67:$BC$76)*CI80), N($AQ$67:$AQ$76&gt;$AO80))
) / 1000</f>
        <v>0</v>
      </c>
      <c r="CO80" s="232">
        <f t="shared" si="35"/>
        <v>25</v>
      </c>
      <c r="CP80" s="230">
        <f t="shared" si="36"/>
        <v>38</v>
      </c>
      <c r="CQ80" s="235">
        <f t="shared" si="37"/>
        <v>4.0666935483870965</v>
      </c>
      <c r="CR80" s="235" cm="1">
        <f t="array" ref="CR80">$BI80 * IF($AH80&lt;=2,
SUMPRODUCT(INDEX($AR$67:$AT$71,,$AI80), INDEX($AU$67:$BA$71,,$AH80), 1 / ($BB$67:$BB$71*CQ80 + (1-$BB$67:$BB$71)*CM80), N($AQ$67:$AQ$71&gt;$AO80)),
SUMPRODUCT(INDEX($AR$57:$AT$66,,$AI80), INDEX($AU$57:$BA$66,,$AH80), 1 / ($BC$57:$BC$66*CQ80 + (1-$BC$57:$BC$66)*CM80), N($AQ$57:$AQ$66&gt;$AO80))
) / 1000</f>
        <v>0</v>
      </c>
      <c r="CS80" s="232">
        <f t="shared" si="38"/>
        <v>20</v>
      </c>
      <c r="CT80" s="230">
        <f t="shared" si="39"/>
        <v>33</v>
      </c>
      <c r="CU80" s="235">
        <f t="shared" si="40"/>
        <v>4.8487499999999999</v>
      </c>
      <c r="CV80" s="235" cm="1">
        <f t="array" ref="CV80">$BI80 * IF($AH80&lt;=2,
SUMPRODUCT(INDEX($AR$62:$AT$66,,$AI80), INDEX($AU$62:$BA$66,,$AH80), 1 / ($BB$62:$BB$66*CU80 + (1-$BB$62:$BB$66)*CQ80), N($AQ$62:$AQ$66&gt;$AO80)),
SUMPRODUCT(INDEX($AR$47:$AT$56,,$AI80), INDEX($AU$47:$BA$56,,$AH80), 1 / ($BC$47:$BC$56*CU80 + (1-$BC$47:$BC$56)*CQ80), N($AQ$47:$AQ$56&gt;$AO80))
) / 1000</f>
        <v>0</v>
      </c>
      <c r="CW80" s="235" cm="1">
        <f t="array" ref="CW80">$BI80 * IF($AH80&lt;=2,
SUMPRODUCT(INDEX($AR$23:$AT$61,,$AI80), INDEX($AU$23:$BA$61,,$AH80), 1 / ($BB$23:$BB$61*CU80), N($AQ$23:$AQ$61&gt;$AO80)),
SUMPRODUCT(INDEX($AR$23:$AT$46,,$AI80), INDEX($AU$23:$BA$46,,$AH80), 1 / ($BC$23:$BC$46*CU80), N($AQ$23:$AQ$46&gt;$AO80))
) / 1000</f>
        <v>0</v>
      </c>
      <c r="CX80" s="230">
        <f t="shared" si="41"/>
        <v>0</v>
      </c>
      <c r="CY80" s="238"/>
    </row>
    <row r="81" spans="1:103" s="76" customFormat="1" ht="14.25" customHeight="1" x14ac:dyDescent="0.25">
      <c r="A81" s="231" t="b">
        <f t="shared" si="0"/>
        <v>0</v>
      </c>
      <c r="B81" s="245">
        <v>59</v>
      </c>
      <c r="C81" s="258"/>
      <c r="D81" s="258"/>
      <c r="E81" s="246"/>
      <c r="F81" s="247" t="str">
        <f>IF(ISBLANK(E81), "", VLOOKUP(E81, Z!$A$2:$C$4127, 3, FALSE))</f>
        <v/>
      </c>
      <c r="G81" s="248"/>
      <c r="H81" s="248"/>
      <c r="I81" s="249"/>
      <c r="J81" s="250"/>
      <c r="K81" s="259"/>
      <c r="L81" s="260"/>
      <c r="M81" s="252" t="str" cm="1">
        <f t="array" ref="M81">INDEX(Trad, 53, $A$20)</f>
        <v>Verschmutzt</v>
      </c>
      <c r="N81" s="253"/>
      <c r="O81" s="253"/>
      <c r="P81" s="254"/>
      <c r="Q81" s="251"/>
      <c r="R81" s="251"/>
      <c r="S81" s="264">
        <f t="shared" si="7"/>
        <v>0</v>
      </c>
      <c r="T81" s="252" t="str" cm="1">
        <f t="array" ref="T81">INDEX(Trad, 52, $A$20)</f>
        <v>Sauber</v>
      </c>
      <c r="U81" s="253"/>
      <c r="V81" s="253"/>
      <c r="W81" s="254"/>
      <c r="X81" s="251"/>
      <c r="Y81" s="251"/>
      <c r="Z81" s="264">
        <f t="shared" si="8"/>
        <v>0</v>
      </c>
      <c r="AA81" s="261"/>
      <c r="AB81" s="258"/>
      <c r="AC81" s="246"/>
      <c r="AD81" s="247" t="str">
        <f>IF(ISBLANK(AC81), "", VLOOKUP(AC81, Z!$A$2:$C$4127, 3, FALSE))</f>
        <v/>
      </c>
      <c r="AE81" s="262"/>
      <c r="AF81" s="263">
        <f t="shared" si="132"/>
        <v>0</v>
      </c>
      <c r="AG81" s="238"/>
      <c r="AH81" s="229">
        <f t="shared" ref="AH81" si="211">IF(ISBLANK(H81), 1, IFERROR(MATCH(H81, INDEX(Use,,1), 0), IFERROR(MATCH(H81, INDEX(Use,,2), 0), MATCH(H81, INDEX(Use,,3), 0))))</f>
        <v>1</v>
      </c>
      <c r="AI81" s="229">
        <f t="shared" ref="AI81" si="212">IF(ISBLANK(G81), 1, IFERROR(MATCH(G81, INDEX(Loc,,1), 0), IFERROR(MATCH(G81, INDEX(Loc,,2), 0), MATCH(G81, INDEX(Loc,,3), 0))))</f>
        <v>1</v>
      </c>
      <c r="AJ81" s="229">
        <f t="shared" ref="AJ81" si="213">_xlfn.IFNA(IF(IFERROR(MATCH(I81, INDEX(Medium,,1), 0), IFERROR(MATCH(I81, INDEX(Medium,,2), 0), MATCH(I81, INDEX(Medium,,3), 0))) = 2, 1, 0), 0)</f>
        <v>0</v>
      </c>
      <c r="AK81" s="229">
        <v>0</v>
      </c>
      <c r="AL81" s="229">
        <v>0</v>
      </c>
      <c r="AM81" s="229">
        <v>1</v>
      </c>
      <c r="AN81" s="229">
        <v>0</v>
      </c>
      <c r="AO81" s="229">
        <f t="shared" si="5"/>
        <v>-100</v>
      </c>
      <c r="AP81" s="238"/>
      <c r="AQ81" s="229">
        <v>39</v>
      </c>
      <c r="AR81" s="232">
        <v>0</v>
      </c>
      <c r="AS81" s="232">
        <v>0</v>
      </c>
      <c r="AT81" s="232">
        <v>0</v>
      </c>
      <c r="AU81" s="233">
        <f t="shared" si="6"/>
        <v>1.25</v>
      </c>
      <c r="AV81" s="233">
        <f t="shared" si="6"/>
        <v>1.25</v>
      </c>
      <c r="AW81" s="233" cm="1">
        <f t="array" ref="AW81">MIN(INDEX(Use,AW$21,5) + MAX(0, (1-INDEX(Use,AW$21,5))*($AQ81-5)/(35-5)), 1)</f>
        <v>1</v>
      </c>
      <c r="AX81" s="233" cm="1">
        <f t="array" ref="AX81">MIN(INDEX(Use,AX$21,5) + MAX(0, (1-INDEX(Use,AX$21,5))*($AQ81-5)/(35-5)), 1)</f>
        <v>1</v>
      </c>
      <c r="AY81" s="233" cm="1">
        <f t="array" ref="AY81">MIN(INDEX(Use,AY$21,5) + MAX(0, (1-INDEX(Use,AY$21,5))*($AQ81-5)/(35-5)), 1)</f>
        <v>1</v>
      </c>
      <c r="AZ81" s="233" cm="1">
        <f t="array" ref="AZ81">MIN(INDEX(Use,AZ$21,5) + MAX(0, (1-INDEX(Use,AZ$21,5))*($AQ81-5)/(35-5)), 1)</f>
        <v>1</v>
      </c>
      <c r="BA81" s="233" cm="1">
        <f t="array" ref="BA81">MIN(INDEX(Use,BA$21,5) + MAX(0, (1-INDEX(Use,BA$21,5))*($AQ81-5)/(35-5)), 1)</f>
        <v>1</v>
      </c>
      <c r="BB81" s="233" t="s">
        <v>2</v>
      </c>
      <c r="BC81" s="233" t="s">
        <v>2</v>
      </c>
      <c r="BD81" s="211"/>
      <c r="BE81" s="229" cm="1">
        <f t="array" ref="BE81">IF(ISBLANK(R81), INDEX(Use, $AH81, 4) - AM81*INDEX(Use, $AH81, 6), R81)</f>
        <v>5</v>
      </c>
      <c r="BF81" s="229">
        <f t="shared" si="12"/>
        <v>30</v>
      </c>
      <c r="BG81" s="229">
        <f t="shared" si="13"/>
        <v>13</v>
      </c>
      <c r="BH81" s="229">
        <f t="shared" si="14"/>
        <v>0</v>
      </c>
      <c r="BI81" s="234" cm="1">
        <f t="array" ref="BI81">K81/IF($L81&gt;0, INDEX($AU$23:$BA$77, $L81+20, $AH81), 1)</f>
        <v>0</v>
      </c>
      <c r="BJ81" s="230">
        <f t="shared" si="15"/>
        <v>0</v>
      </c>
      <c r="BK81" s="229">
        <v>35</v>
      </c>
      <c r="BL81" s="230">
        <f t="shared" si="16"/>
        <v>48</v>
      </c>
      <c r="BM81" s="235">
        <f t="shared" si="17"/>
        <v>2.9108720930232557</v>
      </c>
      <c r="BN81" s="235" cm="1">
        <f t="array" ref="BN81">$BI81 * SUMPRODUCT(INDEX($AR$77:$AT$82,,$AI81),INDEX($AU$77:$BA$82,,$AH81), N($AQ$77:$AQ$82&gt;$AO81)) / BM81 / 1000</f>
        <v>0</v>
      </c>
      <c r="BO81" s="232">
        <f t="shared" si="18"/>
        <v>30</v>
      </c>
      <c r="BP81" s="230">
        <f t="shared" si="19"/>
        <v>43</v>
      </c>
      <c r="BQ81" s="235">
        <f t="shared" si="20"/>
        <v>3.2938815789473681</v>
      </c>
      <c r="BR81" s="235" cm="1">
        <f t="array" ref="BR81">$BI81 * IF($AH81&lt;=2,
SUMPRODUCT(INDEX($AR$72:$AT$76,,$AI81), INDEX($AU$72:$BA$76,,$AH81), 1 / ($BB$72:$BB$76*BQ81 + (1-$BB$72:$BB$76)*BM81), N($AQ$72:$AQ$76&gt;$AO81)),
SUMPRODUCT(INDEX($AR$67:$AT$76,,$AI81), INDEX($AU$67:$BA$76,,$AH81), 1 / ($BC$67:$BC$76*BQ81 + (1-$BC$67:$BC$76)*BM81), N($AQ$67:$AQ$76&gt;$AO81))
) / 1000</f>
        <v>0</v>
      </c>
      <c r="BS81" s="232">
        <f t="shared" si="21"/>
        <v>25</v>
      </c>
      <c r="BT81" s="230">
        <f t="shared" si="22"/>
        <v>38</v>
      </c>
      <c r="BU81" s="235">
        <f t="shared" si="23"/>
        <v>3.792954545454545</v>
      </c>
      <c r="BV81" s="235" cm="1">
        <f t="array" ref="BV81">$BI81 * IF($AH81&lt;=2,
SUMPRODUCT(INDEX($AR$67:$AT$71,,$AI81), INDEX($AU$67:$BA$71,,$AH81), 1 / ($BB$67:$BB$71*BU81 + (1-$BB$67:$BB$71)*BQ81), N($AQ$67:$AQ$71&gt;$AO81)),
SUMPRODUCT(INDEX($AR$57:$AT$66,,$AI81), INDEX($AU$57:$BA$66,,$AH81), 1 / ($BC$57:$BC$66*BU81 + (1-$BC$57:$BC$66)*BQ81), N($AQ$57:$AQ$66&gt;$AO81))
) / 1000</f>
        <v>0</v>
      </c>
      <c r="BW81" s="232">
        <f t="shared" si="24"/>
        <v>20</v>
      </c>
      <c r="BX81" s="230">
        <f t="shared" si="25"/>
        <v>33</v>
      </c>
      <c r="BY81" s="235">
        <f t="shared" si="26"/>
        <v>4.4702678571428569</v>
      </c>
      <c r="BZ81" s="235" cm="1">
        <f t="array" ref="BZ81">$BI81 * IF($AH81&lt;=2,
SUMPRODUCT(INDEX($AR$62:$AT$66,,$AI81), INDEX($AU$62:$BA$66,,$AH81), 1 / ($BB$62:$BB$66*BY81 + (1-$BB$62:$BB$66)*BU81), N($AQ$62:$AQ$66&gt;$AO81)),
SUMPRODUCT(INDEX($AR$47:$AT$56,,$AI81), INDEX($AU$47:$BA$56,,$AH81), 1 / ($BC$47:$BC$56*BY81 + (1-$BC$47:$BC$56)*BU81), N($AQ$47:$AQ$56&gt;$AO81))
) / 1000</f>
        <v>0</v>
      </c>
      <c r="CA81" s="235" cm="1">
        <f t="array" ref="CA81">$BI81 * IF($AH81&lt;=2,
SUMPRODUCT(INDEX($AR$23:$AT$61,,$AI81), INDEX($AU$23:$BA$61,,$AH81), 1 / ($BB$23:$BB$61*BY81), N($AQ$23:$AQ$61&gt;$AO81)),
SUMPRODUCT(INDEX($AR$23:$AT$46,,$AI81), INDEX($AU$23:$BA$46,,$AH81), 1 / ($BC$23:$BC$46*BY81), N($AQ$23:$AQ$46&gt;$AO81))
) / 1000</f>
        <v>0</v>
      </c>
      <c r="CB81" s="230">
        <f t="shared" si="27"/>
        <v>0</v>
      </c>
      <c r="CC81" s="238"/>
      <c r="CD81" s="229" cm="1">
        <f t="array" ref="CD81">IF(ISBLANK(Y81), INDEX(Use, $AH81, 4) - AN81*INDEX(Use, $AH81, 6) - (Q81-X81), Y81)</f>
        <v>7</v>
      </c>
      <c r="CE81" s="229">
        <f t="shared" si="28"/>
        <v>32</v>
      </c>
      <c r="CF81" s="230">
        <f t="shared" si="29"/>
        <v>0</v>
      </c>
      <c r="CG81" s="229">
        <v>35</v>
      </c>
      <c r="CH81" s="230">
        <f t="shared" si="30"/>
        <v>48</v>
      </c>
      <c r="CI81" s="235">
        <f t="shared" si="31"/>
        <v>3.0748170731707316</v>
      </c>
      <c r="CJ81" s="235" cm="1">
        <f t="array" ref="CJ81">$BI81 * SUMPRODUCT(INDEX($AR$77:$AT$82,,$AI81),INDEX($AU$77:$BA$82,,$AH81), N($AQ$77:$AQ$82&gt;$AO81)) / CI81 / 1000</f>
        <v>0</v>
      </c>
      <c r="CK81" s="232">
        <f t="shared" si="32"/>
        <v>30</v>
      </c>
      <c r="CL81" s="230">
        <f t="shared" si="33"/>
        <v>43</v>
      </c>
      <c r="CM81" s="235">
        <f t="shared" si="34"/>
        <v>3.5018750000000001</v>
      </c>
      <c r="CN81" s="235" cm="1">
        <f t="array" ref="CN81">$BI81 * IF($AH81&lt;=2,
SUMPRODUCT(INDEX($AR$72:$AT$76,,$AI81), INDEX($AU$72:$BA$76,,$AH81), 1 / ($BB$72:$BB$76*CM81 + (1-$BB$72:$BB$76)*CI81), N($AQ$72:$AQ$76&gt;$AO81)),
SUMPRODUCT(INDEX($AR$67:$AT$76,,$AI81), INDEX($AU$67:$BA$76,,$AH81), 1 / ($BC$67:$BC$76*CM81 + (1-$BC$67:$BC$76)*CI81), N($AQ$67:$AQ$76&gt;$AO81))
) / 1000</f>
        <v>0</v>
      </c>
      <c r="CO81" s="232">
        <f t="shared" si="35"/>
        <v>25</v>
      </c>
      <c r="CP81" s="230">
        <f t="shared" si="36"/>
        <v>38</v>
      </c>
      <c r="CQ81" s="235">
        <f t="shared" si="37"/>
        <v>4.0666935483870965</v>
      </c>
      <c r="CR81" s="235" cm="1">
        <f t="array" ref="CR81">$BI81 * IF($AH81&lt;=2,
SUMPRODUCT(INDEX($AR$67:$AT$71,,$AI81), INDEX($AU$67:$BA$71,,$AH81), 1 / ($BB$67:$BB$71*CQ81 + (1-$BB$67:$BB$71)*CM81), N($AQ$67:$AQ$71&gt;$AO81)),
SUMPRODUCT(INDEX($AR$57:$AT$66,,$AI81), INDEX($AU$57:$BA$66,,$AH81), 1 / ($BC$57:$BC$66*CQ81 + (1-$BC$57:$BC$66)*CM81), N($AQ$57:$AQ$66&gt;$AO81))
) / 1000</f>
        <v>0</v>
      </c>
      <c r="CS81" s="232">
        <f t="shared" si="38"/>
        <v>20</v>
      </c>
      <c r="CT81" s="230">
        <f t="shared" si="39"/>
        <v>33</v>
      </c>
      <c r="CU81" s="235">
        <f t="shared" si="40"/>
        <v>4.8487499999999999</v>
      </c>
      <c r="CV81" s="235" cm="1">
        <f t="array" ref="CV81">$BI81 * IF($AH81&lt;=2,
SUMPRODUCT(INDEX($AR$62:$AT$66,,$AI81), INDEX($AU$62:$BA$66,,$AH81), 1 / ($BB$62:$BB$66*CU81 + (1-$BB$62:$BB$66)*CQ81), N($AQ$62:$AQ$66&gt;$AO81)),
SUMPRODUCT(INDEX($AR$47:$AT$56,,$AI81), INDEX($AU$47:$BA$56,,$AH81), 1 / ($BC$47:$BC$56*CU81 + (1-$BC$47:$BC$56)*CQ81), N($AQ$47:$AQ$56&gt;$AO81))
) / 1000</f>
        <v>0</v>
      </c>
      <c r="CW81" s="235" cm="1">
        <f t="array" ref="CW81">$BI81 * IF($AH81&lt;=2,
SUMPRODUCT(INDEX($AR$23:$AT$61,,$AI81), INDEX($AU$23:$BA$61,,$AH81), 1 / ($BB$23:$BB$61*CU81), N($AQ$23:$AQ$61&gt;$AO81)),
SUMPRODUCT(INDEX($AR$23:$AT$46,,$AI81), INDEX($AU$23:$BA$46,,$AH81), 1 / ($BC$23:$BC$46*CU81), N($AQ$23:$AQ$46&gt;$AO81))
) / 1000</f>
        <v>0</v>
      </c>
      <c r="CX81" s="230">
        <f t="shared" si="41"/>
        <v>0</v>
      </c>
      <c r="CY81" s="238"/>
    </row>
    <row r="82" spans="1:103" s="76" customFormat="1" ht="14.25" customHeight="1" x14ac:dyDescent="0.25">
      <c r="A82" s="231" t="b">
        <f t="shared" si="0"/>
        <v>0</v>
      </c>
      <c r="B82" s="245">
        <v>60</v>
      </c>
      <c r="C82" s="258"/>
      <c r="D82" s="258"/>
      <c r="E82" s="246"/>
      <c r="F82" s="247" t="str">
        <f>IF(ISBLANK(E82), "", VLOOKUP(E82, Z!$A$2:$C$4127, 3, FALSE))</f>
        <v/>
      </c>
      <c r="G82" s="248"/>
      <c r="H82" s="248"/>
      <c r="I82" s="249"/>
      <c r="J82" s="250"/>
      <c r="K82" s="259"/>
      <c r="L82" s="260"/>
      <c r="M82" s="252" t="str" cm="1">
        <f t="array" ref="M82">INDEX(Trad, 53, $A$20)</f>
        <v>Verschmutzt</v>
      </c>
      <c r="N82" s="253"/>
      <c r="O82" s="253"/>
      <c r="P82" s="254"/>
      <c r="Q82" s="251"/>
      <c r="R82" s="251"/>
      <c r="S82" s="264">
        <f t="shared" si="7"/>
        <v>0</v>
      </c>
      <c r="T82" s="252" t="str" cm="1">
        <f t="array" ref="T82">INDEX(Trad, 52, $A$20)</f>
        <v>Sauber</v>
      </c>
      <c r="U82" s="253"/>
      <c r="V82" s="253"/>
      <c r="W82" s="254"/>
      <c r="X82" s="251"/>
      <c r="Y82" s="251"/>
      <c r="Z82" s="264">
        <f t="shared" si="8"/>
        <v>0</v>
      </c>
      <c r="AA82" s="261"/>
      <c r="AB82" s="258"/>
      <c r="AC82" s="246"/>
      <c r="AD82" s="247" t="str">
        <f>IF(ISBLANK(AC82), "", VLOOKUP(AC82, Z!$A$2:$C$4127, 3, FALSE))</f>
        <v/>
      </c>
      <c r="AE82" s="262"/>
      <c r="AF82" s="263">
        <f t="shared" si="132"/>
        <v>0</v>
      </c>
      <c r="AG82" s="238"/>
      <c r="AH82" s="229">
        <f t="shared" ref="AH82" si="214">IF(ISBLANK(H82), 1, IFERROR(MATCH(H82, INDEX(Use,,1), 0), IFERROR(MATCH(H82, INDEX(Use,,2), 0), MATCH(H82, INDEX(Use,,3), 0))))</f>
        <v>1</v>
      </c>
      <c r="AI82" s="229">
        <f t="shared" ref="AI82" si="215">IF(ISBLANK(G82), 1, IFERROR(MATCH(G82, INDEX(Loc,,1), 0), IFERROR(MATCH(G82, INDEX(Loc,,2), 0), MATCH(G82, INDEX(Loc,,3), 0))))</f>
        <v>1</v>
      </c>
      <c r="AJ82" s="229">
        <f t="shared" ref="AJ82" si="216">_xlfn.IFNA(IF(IFERROR(MATCH(I82, INDEX(Medium,,1), 0), IFERROR(MATCH(I82, INDEX(Medium,,2), 0), MATCH(I82, INDEX(Medium,,3), 0))) = 2, 1, 0), 0)</f>
        <v>0</v>
      </c>
      <c r="AK82" s="229">
        <v>0</v>
      </c>
      <c r="AL82" s="229">
        <v>0</v>
      </c>
      <c r="AM82" s="229">
        <v>1</v>
      </c>
      <c r="AN82" s="229">
        <v>0</v>
      </c>
      <c r="AO82" s="229">
        <f t="shared" si="5"/>
        <v>-100</v>
      </c>
      <c r="AP82" s="238"/>
      <c r="AQ82" s="229">
        <v>40</v>
      </c>
      <c r="AR82" s="232">
        <v>0</v>
      </c>
      <c r="AS82" s="232">
        <v>0</v>
      </c>
      <c r="AT82" s="232">
        <v>0</v>
      </c>
      <c r="AU82" s="233">
        <f>MAX(0, ($AQ82-19)/(35-19))</f>
        <v>1.3125</v>
      </c>
      <c r="AV82" s="233">
        <f>MAX(0, ($AQ82-19)/(35-19))</f>
        <v>1.3125</v>
      </c>
      <c r="AW82" s="233" cm="1">
        <f t="array" ref="AW82">MIN(INDEX(Use,AW$21,5) + MAX(0, (1-INDEX(Use,AW$21,5))*($AQ82-5)/(35-5)), 1)</f>
        <v>1</v>
      </c>
      <c r="AX82" s="233" cm="1">
        <f t="array" ref="AX82">MIN(INDEX(Use,AX$21,5) + MAX(0, (1-INDEX(Use,AX$21,5))*($AQ82-5)/(35-5)), 1)</f>
        <v>1</v>
      </c>
      <c r="AY82" s="233" cm="1">
        <f t="array" ref="AY82">MIN(INDEX(Use,AY$21,5) + MAX(0, (1-INDEX(Use,AY$21,5))*($AQ82-5)/(35-5)), 1)</f>
        <v>1</v>
      </c>
      <c r="AZ82" s="233" cm="1">
        <f t="array" ref="AZ82">MIN(INDEX(Use,AZ$21,5) + MAX(0, (1-INDEX(Use,AZ$21,5))*($AQ82-5)/(35-5)), 1)</f>
        <v>1</v>
      </c>
      <c r="BA82" s="233" cm="1">
        <f t="array" ref="BA82">MIN(INDEX(Use,BA$21,5) + MAX(0, (1-INDEX(Use,BA$21,5))*($AQ82-5)/(35-5)), 1)</f>
        <v>1</v>
      </c>
      <c r="BB82" s="233" t="s">
        <v>2</v>
      </c>
      <c r="BC82" s="233" t="s">
        <v>2</v>
      </c>
      <c r="BD82" s="211"/>
      <c r="BE82" s="229" cm="1">
        <f t="array" ref="BE82">IF(ISBLANK(R82), INDEX(Use, $AH82, 4) - AM82*INDEX(Use, $AH82, 6), R82)</f>
        <v>5</v>
      </c>
      <c r="BF82" s="229">
        <f t="shared" si="12"/>
        <v>30</v>
      </c>
      <c r="BG82" s="229">
        <f t="shared" si="13"/>
        <v>13</v>
      </c>
      <c r="BH82" s="229">
        <f t="shared" si="14"/>
        <v>0</v>
      </c>
      <c r="BI82" s="234" cm="1">
        <f t="array" ref="BI82">K82/IF($L82&gt;0, INDEX($AU$23:$BA$77, $L82+20, $AH82), 1)</f>
        <v>0</v>
      </c>
      <c r="BJ82" s="230">
        <f t="shared" si="15"/>
        <v>0</v>
      </c>
      <c r="BK82" s="229">
        <v>35</v>
      </c>
      <c r="BL82" s="230">
        <f t="shared" si="16"/>
        <v>48</v>
      </c>
      <c r="BM82" s="235">
        <f t="shared" si="17"/>
        <v>2.9108720930232557</v>
      </c>
      <c r="BN82" s="235" cm="1">
        <f t="array" ref="BN82">$BI82 * SUMPRODUCT(INDEX($AR$77:$AT$82,,$AI82),INDEX($AU$77:$BA$82,,$AH82), N($AQ$77:$AQ$82&gt;$AO82)) / BM82 / 1000</f>
        <v>0</v>
      </c>
      <c r="BO82" s="232">
        <f t="shared" si="18"/>
        <v>30</v>
      </c>
      <c r="BP82" s="230">
        <f t="shared" si="19"/>
        <v>43</v>
      </c>
      <c r="BQ82" s="235">
        <f t="shared" si="20"/>
        <v>3.2938815789473681</v>
      </c>
      <c r="BR82" s="235" cm="1">
        <f t="array" ref="BR82">$BI82 * IF($AH82&lt;=2,
SUMPRODUCT(INDEX($AR$72:$AT$76,,$AI82), INDEX($AU$72:$BA$76,,$AH82), 1 / ($BB$72:$BB$76*BQ82 + (1-$BB$72:$BB$76)*BM82), N($AQ$72:$AQ$76&gt;$AO82)),
SUMPRODUCT(INDEX($AR$67:$AT$76,,$AI82), INDEX($AU$67:$BA$76,,$AH82), 1 / ($BC$67:$BC$76*BQ82 + (1-$BC$67:$BC$76)*BM82), N($AQ$67:$AQ$76&gt;$AO82))
) / 1000</f>
        <v>0</v>
      </c>
      <c r="BS82" s="232">
        <f t="shared" si="21"/>
        <v>25</v>
      </c>
      <c r="BT82" s="230">
        <f t="shared" si="22"/>
        <v>38</v>
      </c>
      <c r="BU82" s="235">
        <f t="shared" si="23"/>
        <v>3.792954545454545</v>
      </c>
      <c r="BV82" s="235" cm="1">
        <f t="array" ref="BV82">$BI82 * IF($AH82&lt;=2,
SUMPRODUCT(INDEX($AR$67:$AT$71,,$AI82), INDEX($AU$67:$BA$71,,$AH82), 1 / ($BB$67:$BB$71*BU82 + (1-$BB$67:$BB$71)*BQ82), N($AQ$67:$AQ$71&gt;$AO82)),
SUMPRODUCT(INDEX($AR$57:$AT$66,,$AI82), INDEX($AU$57:$BA$66,,$AH82), 1 / ($BC$57:$BC$66*BU82 + (1-$BC$57:$BC$66)*BQ82), N($AQ$57:$AQ$66&gt;$AO82))
) / 1000</f>
        <v>0</v>
      </c>
      <c r="BW82" s="232">
        <f t="shared" si="24"/>
        <v>20</v>
      </c>
      <c r="BX82" s="230">
        <f t="shared" si="25"/>
        <v>33</v>
      </c>
      <c r="BY82" s="235">
        <f t="shared" si="26"/>
        <v>4.4702678571428569</v>
      </c>
      <c r="BZ82" s="235" cm="1">
        <f t="array" ref="BZ82">$BI82 * IF($AH82&lt;=2,
SUMPRODUCT(INDEX($AR$62:$AT$66,,$AI82), INDEX($AU$62:$BA$66,,$AH82), 1 / ($BB$62:$BB$66*BY82 + (1-$BB$62:$BB$66)*BU82), N($AQ$62:$AQ$66&gt;$AO82)),
SUMPRODUCT(INDEX($AR$47:$AT$56,,$AI82), INDEX($AU$47:$BA$56,,$AH82), 1 / ($BC$47:$BC$56*BY82 + (1-$BC$47:$BC$56)*BU82), N($AQ$47:$AQ$56&gt;$AO82))
) / 1000</f>
        <v>0</v>
      </c>
      <c r="CA82" s="235" cm="1">
        <f t="array" ref="CA82">$BI82 * IF($AH82&lt;=2,
SUMPRODUCT(INDEX($AR$23:$AT$61,,$AI82), INDEX($AU$23:$BA$61,,$AH82), 1 / ($BB$23:$BB$61*BY82), N($AQ$23:$AQ$61&gt;$AO82)),
SUMPRODUCT(INDEX($AR$23:$AT$46,,$AI82), INDEX($AU$23:$BA$46,,$AH82), 1 / ($BC$23:$BC$46*BY82), N($AQ$23:$AQ$46&gt;$AO82))
) / 1000</f>
        <v>0</v>
      </c>
      <c r="CB82" s="230">
        <f t="shared" si="27"/>
        <v>0</v>
      </c>
      <c r="CC82" s="238"/>
      <c r="CD82" s="229" cm="1">
        <f t="array" ref="CD82">IF(ISBLANK(Y82), INDEX(Use, $AH82, 4) - AN82*INDEX(Use, $AH82, 6) - (Q82-X82), Y82)</f>
        <v>7</v>
      </c>
      <c r="CE82" s="229">
        <f t="shared" si="28"/>
        <v>32</v>
      </c>
      <c r="CF82" s="230">
        <f t="shared" si="29"/>
        <v>0</v>
      </c>
      <c r="CG82" s="229">
        <v>35</v>
      </c>
      <c r="CH82" s="230">
        <f t="shared" si="30"/>
        <v>48</v>
      </c>
      <c r="CI82" s="235">
        <f t="shared" si="31"/>
        <v>3.0748170731707316</v>
      </c>
      <c r="CJ82" s="235" cm="1">
        <f t="array" ref="CJ82">$BI82 * SUMPRODUCT(INDEX($AR$77:$AT$82,,$AI82),INDEX($AU$77:$BA$82,,$AH82), N($AQ$77:$AQ$82&gt;$AO82)) / CI82 / 1000</f>
        <v>0</v>
      </c>
      <c r="CK82" s="232">
        <f t="shared" si="32"/>
        <v>30</v>
      </c>
      <c r="CL82" s="230">
        <f t="shared" si="33"/>
        <v>43</v>
      </c>
      <c r="CM82" s="235">
        <f t="shared" si="34"/>
        <v>3.5018750000000001</v>
      </c>
      <c r="CN82" s="235" cm="1">
        <f t="array" ref="CN82">$BI82 * IF($AH82&lt;=2,
SUMPRODUCT(INDEX($AR$72:$AT$76,,$AI82), INDEX($AU$72:$BA$76,,$AH82), 1 / ($BB$72:$BB$76*CM82 + (1-$BB$72:$BB$76)*CI82), N($AQ$72:$AQ$76&gt;$AO82)),
SUMPRODUCT(INDEX($AR$67:$AT$76,,$AI82), INDEX($AU$67:$BA$76,,$AH82), 1 / ($BC$67:$BC$76*CM82 + (1-$BC$67:$BC$76)*CI82), N($AQ$67:$AQ$76&gt;$AO82))
) / 1000</f>
        <v>0</v>
      </c>
      <c r="CO82" s="232">
        <f t="shared" si="35"/>
        <v>25</v>
      </c>
      <c r="CP82" s="230">
        <f t="shared" si="36"/>
        <v>38</v>
      </c>
      <c r="CQ82" s="235">
        <f t="shared" si="37"/>
        <v>4.0666935483870965</v>
      </c>
      <c r="CR82" s="235" cm="1">
        <f t="array" ref="CR82">$BI82 * IF($AH82&lt;=2,
SUMPRODUCT(INDEX($AR$67:$AT$71,,$AI82), INDEX($AU$67:$BA$71,,$AH82), 1 / ($BB$67:$BB$71*CQ82 + (1-$BB$67:$BB$71)*CM82), N($AQ$67:$AQ$71&gt;$AO82)),
SUMPRODUCT(INDEX($AR$57:$AT$66,,$AI82), INDEX($AU$57:$BA$66,,$AH82), 1 / ($BC$57:$BC$66*CQ82 + (1-$BC$57:$BC$66)*CM82), N($AQ$57:$AQ$66&gt;$AO82))
) / 1000</f>
        <v>0</v>
      </c>
      <c r="CS82" s="232">
        <f t="shared" si="38"/>
        <v>20</v>
      </c>
      <c r="CT82" s="230">
        <f t="shared" si="39"/>
        <v>33</v>
      </c>
      <c r="CU82" s="235">
        <f t="shared" si="40"/>
        <v>4.8487499999999999</v>
      </c>
      <c r="CV82" s="235" cm="1">
        <f t="array" ref="CV82">$BI82 * IF($AH82&lt;=2,
SUMPRODUCT(INDEX($AR$62:$AT$66,,$AI82), INDEX($AU$62:$BA$66,,$AH82), 1 / ($BB$62:$BB$66*CU82 + (1-$BB$62:$BB$66)*CQ82), N($AQ$62:$AQ$66&gt;$AO82)),
SUMPRODUCT(INDEX($AR$47:$AT$56,,$AI82), INDEX($AU$47:$BA$56,,$AH82), 1 / ($BC$47:$BC$56*CU82 + (1-$BC$47:$BC$56)*CQ82), N($AQ$47:$AQ$56&gt;$AO82))
) / 1000</f>
        <v>0</v>
      </c>
      <c r="CW82" s="235" cm="1">
        <f t="array" ref="CW82">$BI82 * IF($AH82&lt;=2,
SUMPRODUCT(INDEX($AR$23:$AT$61,,$AI82), INDEX($AU$23:$BA$61,,$AH82), 1 / ($BB$23:$BB$61*CU82), N($AQ$23:$AQ$61&gt;$AO82)),
SUMPRODUCT(INDEX($AR$23:$AT$46,,$AI82), INDEX($AU$23:$BA$46,,$AH82), 1 / ($BC$23:$BC$46*CU82), N($AQ$23:$AQ$46&gt;$AO82))
) / 1000</f>
        <v>0</v>
      </c>
      <c r="CX82" s="230">
        <f t="shared" si="41"/>
        <v>0</v>
      </c>
      <c r="CY82" s="238"/>
    </row>
    <row r="83" spans="1:103" s="76" customFormat="1" ht="14.25" customHeight="1" x14ac:dyDescent="0.25">
      <c r="A83" s="231" t="b">
        <f t="shared" si="0"/>
        <v>0</v>
      </c>
      <c r="B83" s="245">
        <v>61</v>
      </c>
      <c r="C83" s="258"/>
      <c r="D83" s="258"/>
      <c r="E83" s="246"/>
      <c r="F83" s="247" t="str">
        <f>IF(ISBLANK(E83), "", VLOOKUP(E83, Z!$A$2:$C$4127, 3, FALSE))</f>
        <v/>
      </c>
      <c r="G83" s="248"/>
      <c r="H83" s="248"/>
      <c r="I83" s="249"/>
      <c r="J83" s="250"/>
      <c r="K83" s="259"/>
      <c r="L83" s="260"/>
      <c r="M83" s="252" t="str" cm="1">
        <f t="array" ref="M83">INDEX(Trad, 53, $A$20)</f>
        <v>Verschmutzt</v>
      </c>
      <c r="N83" s="253"/>
      <c r="O83" s="253"/>
      <c r="P83" s="254"/>
      <c r="Q83" s="251"/>
      <c r="R83" s="251"/>
      <c r="S83" s="264">
        <f t="shared" si="7"/>
        <v>0</v>
      </c>
      <c r="T83" s="252" t="str" cm="1">
        <f t="array" ref="T83">INDEX(Trad, 52, $A$20)</f>
        <v>Sauber</v>
      </c>
      <c r="U83" s="253"/>
      <c r="V83" s="253"/>
      <c r="W83" s="254"/>
      <c r="X83" s="251"/>
      <c r="Y83" s="251"/>
      <c r="Z83" s="264">
        <f t="shared" si="8"/>
        <v>0</v>
      </c>
      <c r="AA83" s="261"/>
      <c r="AB83" s="258"/>
      <c r="AC83" s="246"/>
      <c r="AD83" s="247" t="str">
        <f>IF(ISBLANK(AC83), "", VLOOKUP(AC83, Z!$A$2:$C$4127, 3, FALSE))</f>
        <v/>
      </c>
      <c r="AE83" s="262"/>
      <c r="AF83" s="263">
        <f t="shared" si="132"/>
        <v>0</v>
      </c>
      <c r="AG83" s="238"/>
      <c r="AH83" s="229">
        <f t="shared" ref="AH83" si="217">IF(ISBLANK(H83), 1, IFERROR(MATCH(H83, INDEX(Use,,1), 0), IFERROR(MATCH(H83, INDEX(Use,,2), 0), MATCH(H83, INDEX(Use,,3), 0))))</f>
        <v>1</v>
      </c>
      <c r="AI83" s="229">
        <f t="shared" ref="AI83" si="218">IF(ISBLANK(G83), 1, IFERROR(MATCH(G83, INDEX(Loc,,1), 0), IFERROR(MATCH(G83, INDEX(Loc,,2), 0), MATCH(G83, INDEX(Loc,,3), 0))))</f>
        <v>1</v>
      </c>
      <c r="AJ83" s="229">
        <f t="shared" ref="AJ83" si="219">_xlfn.IFNA(IF(IFERROR(MATCH(I83, INDEX(Medium,,1), 0), IFERROR(MATCH(I83, INDEX(Medium,,2), 0), MATCH(I83, INDEX(Medium,,3), 0))) = 2, 1, 0), 0)</f>
        <v>0</v>
      </c>
      <c r="AK83" s="229">
        <v>0</v>
      </c>
      <c r="AL83" s="229">
        <v>0</v>
      </c>
      <c r="AM83" s="229">
        <v>1</v>
      </c>
      <c r="AN83" s="229">
        <v>0</v>
      </c>
      <c r="AO83" s="229">
        <f t="shared" si="5"/>
        <v>-100</v>
      </c>
      <c r="AP83" s="238"/>
      <c r="AQ83" s="255"/>
      <c r="AR83" s="255"/>
      <c r="AS83" s="255"/>
      <c r="AT83" s="255"/>
      <c r="AU83" s="256"/>
      <c r="AV83" s="256"/>
      <c r="AW83" s="256"/>
      <c r="AX83" s="256"/>
      <c r="AY83" s="256"/>
      <c r="AZ83" s="256"/>
      <c r="BA83" s="256"/>
      <c r="BB83" s="256"/>
      <c r="BC83" s="256"/>
      <c r="BD83" s="211"/>
      <c r="BE83" s="229" cm="1">
        <f t="array" ref="BE83">IF(ISBLANK(R83), INDEX(Use, $AH83, 4) - AM83*INDEX(Use, $AH83, 6), R83)</f>
        <v>5</v>
      </c>
      <c r="BF83" s="229">
        <f t="shared" si="12"/>
        <v>30</v>
      </c>
      <c r="BG83" s="229">
        <f t="shared" si="13"/>
        <v>13</v>
      </c>
      <c r="BH83" s="229">
        <f t="shared" si="14"/>
        <v>0</v>
      </c>
      <c r="BI83" s="234" cm="1">
        <f t="array" ref="BI83">K83/IF($L83&gt;0, INDEX($AU$23:$BA$77, $L83+20, $AH83), 1)</f>
        <v>0</v>
      </c>
      <c r="BJ83" s="230">
        <f t="shared" si="15"/>
        <v>0</v>
      </c>
      <c r="BK83" s="229">
        <v>35</v>
      </c>
      <c r="BL83" s="230">
        <f t="shared" si="16"/>
        <v>48</v>
      </c>
      <c r="BM83" s="235">
        <f t="shared" si="17"/>
        <v>2.9108720930232557</v>
      </c>
      <c r="BN83" s="235" cm="1">
        <f t="array" ref="BN83">$BI83 * SUMPRODUCT(INDEX($AR$77:$AT$82,,$AI83),INDEX($AU$77:$BA$82,,$AH83), N($AQ$77:$AQ$82&gt;$AO83)) / BM83 / 1000</f>
        <v>0</v>
      </c>
      <c r="BO83" s="232">
        <f t="shared" si="18"/>
        <v>30</v>
      </c>
      <c r="BP83" s="230">
        <f t="shared" si="19"/>
        <v>43</v>
      </c>
      <c r="BQ83" s="235">
        <f t="shared" si="20"/>
        <v>3.2938815789473681</v>
      </c>
      <c r="BR83" s="235" cm="1">
        <f t="array" ref="BR83">$BI83 * IF($AH83&lt;=2,
SUMPRODUCT(INDEX($AR$72:$AT$76,,$AI83), INDEX($AU$72:$BA$76,,$AH83), 1 / ($BB$72:$BB$76*BQ83 + (1-$BB$72:$BB$76)*BM83), N($AQ$72:$AQ$76&gt;$AO83)),
SUMPRODUCT(INDEX($AR$67:$AT$76,,$AI83), INDEX($AU$67:$BA$76,,$AH83), 1 / ($BC$67:$BC$76*BQ83 + (1-$BC$67:$BC$76)*BM83), N($AQ$67:$AQ$76&gt;$AO83))
) / 1000</f>
        <v>0</v>
      </c>
      <c r="BS83" s="232">
        <f t="shared" si="21"/>
        <v>25</v>
      </c>
      <c r="BT83" s="230">
        <f t="shared" si="22"/>
        <v>38</v>
      </c>
      <c r="BU83" s="235">
        <f t="shared" si="23"/>
        <v>3.792954545454545</v>
      </c>
      <c r="BV83" s="235" cm="1">
        <f t="array" ref="BV83">$BI83 * IF($AH83&lt;=2,
SUMPRODUCT(INDEX($AR$67:$AT$71,,$AI83), INDEX($AU$67:$BA$71,,$AH83), 1 / ($BB$67:$BB$71*BU83 + (1-$BB$67:$BB$71)*BQ83), N($AQ$67:$AQ$71&gt;$AO83)),
SUMPRODUCT(INDEX($AR$57:$AT$66,,$AI83), INDEX($AU$57:$BA$66,,$AH83), 1 / ($BC$57:$BC$66*BU83 + (1-$BC$57:$BC$66)*BQ83), N($AQ$57:$AQ$66&gt;$AO83))
) / 1000</f>
        <v>0</v>
      </c>
      <c r="BW83" s="232">
        <f t="shared" si="24"/>
        <v>20</v>
      </c>
      <c r="BX83" s="230">
        <f t="shared" si="25"/>
        <v>33</v>
      </c>
      <c r="BY83" s="235">
        <f t="shared" si="26"/>
        <v>4.4702678571428569</v>
      </c>
      <c r="BZ83" s="235" cm="1">
        <f t="array" ref="BZ83">$BI83 * IF($AH83&lt;=2,
SUMPRODUCT(INDEX($AR$62:$AT$66,,$AI83), INDEX($AU$62:$BA$66,,$AH83), 1 / ($BB$62:$BB$66*BY83 + (1-$BB$62:$BB$66)*BU83), N($AQ$62:$AQ$66&gt;$AO83)),
SUMPRODUCT(INDEX($AR$47:$AT$56,,$AI83), INDEX($AU$47:$BA$56,,$AH83), 1 / ($BC$47:$BC$56*BY83 + (1-$BC$47:$BC$56)*BU83), N($AQ$47:$AQ$56&gt;$AO83))
) / 1000</f>
        <v>0</v>
      </c>
      <c r="CA83" s="235" cm="1">
        <f t="array" ref="CA83">$BI83 * IF($AH83&lt;=2,
SUMPRODUCT(INDEX($AR$23:$AT$61,,$AI83), INDEX($AU$23:$BA$61,,$AH83), 1 / ($BB$23:$BB$61*BY83), N($AQ$23:$AQ$61&gt;$AO83)),
SUMPRODUCT(INDEX($AR$23:$AT$46,,$AI83), INDEX($AU$23:$BA$46,,$AH83), 1 / ($BC$23:$BC$46*BY83), N($AQ$23:$AQ$46&gt;$AO83))
) / 1000</f>
        <v>0</v>
      </c>
      <c r="CB83" s="230">
        <f t="shared" si="27"/>
        <v>0</v>
      </c>
      <c r="CC83" s="238"/>
      <c r="CD83" s="229" cm="1">
        <f t="array" ref="CD83">IF(ISBLANK(Y83), INDEX(Use, $AH83, 4) - AN83*INDEX(Use, $AH83, 6) - (Q83-X83), Y83)</f>
        <v>7</v>
      </c>
      <c r="CE83" s="229">
        <f t="shared" si="28"/>
        <v>32</v>
      </c>
      <c r="CF83" s="230">
        <f t="shared" si="29"/>
        <v>0</v>
      </c>
      <c r="CG83" s="229">
        <v>35</v>
      </c>
      <c r="CH83" s="230">
        <f t="shared" si="30"/>
        <v>48</v>
      </c>
      <c r="CI83" s="235">
        <f t="shared" si="31"/>
        <v>3.0748170731707316</v>
      </c>
      <c r="CJ83" s="235" cm="1">
        <f t="array" ref="CJ83">$BI83 * SUMPRODUCT(INDEX($AR$77:$AT$82,,$AI83),INDEX($AU$77:$BA$82,,$AH83), N($AQ$77:$AQ$82&gt;$AO83)) / CI83 / 1000</f>
        <v>0</v>
      </c>
      <c r="CK83" s="232">
        <f t="shared" si="32"/>
        <v>30</v>
      </c>
      <c r="CL83" s="230">
        <f t="shared" si="33"/>
        <v>43</v>
      </c>
      <c r="CM83" s="235">
        <f t="shared" si="34"/>
        <v>3.5018750000000001</v>
      </c>
      <c r="CN83" s="235" cm="1">
        <f t="array" ref="CN83">$BI83 * IF($AH83&lt;=2,
SUMPRODUCT(INDEX($AR$72:$AT$76,,$AI83), INDEX($AU$72:$BA$76,,$AH83), 1 / ($BB$72:$BB$76*CM83 + (1-$BB$72:$BB$76)*CI83), N($AQ$72:$AQ$76&gt;$AO83)),
SUMPRODUCT(INDEX($AR$67:$AT$76,,$AI83), INDEX($AU$67:$BA$76,,$AH83), 1 / ($BC$67:$BC$76*CM83 + (1-$BC$67:$BC$76)*CI83), N($AQ$67:$AQ$76&gt;$AO83))
) / 1000</f>
        <v>0</v>
      </c>
      <c r="CO83" s="232">
        <f t="shared" si="35"/>
        <v>25</v>
      </c>
      <c r="CP83" s="230">
        <f t="shared" si="36"/>
        <v>38</v>
      </c>
      <c r="CQ83" s="235">
        <f t="shared" si="37"/>
        <v>4.0666935483870965</v>
      </c>
      <c r="CR83" s="235" cm="1">
        <f t="array" ref="CR83">$BI83 * IF($AH83&lt;=2,
SUMPRODUCT(INDEX($AR$67:$AT$71,,$AI83), INDEX($AU$67:$BA$71,,$AH83), 1 / ($BB$67:$BB$71*CQ83 + (1-$BB$67:$BB$71)*CM83), N($AQ$67:$AQ$71&gt;$AO83)),
SUMPRODUCT(INDEX($AR$57:$AT$66,,$AI83), INDEX($AU$57:$BA$66,,$AH83), 1 / ($BC$57:$BC$66*CQ83 + (1-$BC$57:$BC$66)*CM83), N($AQ$57:$AQ$66&gt;$AO83))
) / 1000</f>
        <v>0</v>
      </c>
      <c r="CS83" s="232">
        <f t="shared" si="38"/>
        <v>20</v>
      </c>
      <c r="CT83" s="230">
        <f t="shared" si="39"/>
        <v>33</v>
      </c>
      <c r="CU83" s="235">
        <f t="shared" si="40"/>
        <v>4.8487499999999999</v>
      </c>
      <c r="CV83" s="235" cm="1">
        <f t="array" ref="CV83">$BI83 * IF($AH83&lt;=2,
SUMPRODUCT(INDEX($AR$62:$AT$66,,$AI83), INDEX($AU$62:$BA$66,,$AH83), 1 / ($BB$62:$BB$66*CU83 + (1-$BB$62:$BB$66)*CQ83), N($AQ$62:$AQ$66&gt;$AO83)),
SUMPRODUCT(INDEX($AR$47:$AT$56,,$AI83), INDEX($AU$47:$BA$56,,$AH83), 1 / ($BC$47:$BC$56*CU83 + (1-$BC$47:$BC$56)*CQ83), N($AQ$47:$AQ$56&gt;$AO83))
) / 1000</f>
        <v>0</v>
      </c>
      <c r="CW83" s="235" cm="1">
        <f t="array" ref="CW83">$BI83 * IF($AH83&lt;=2,
SUMPRODUCT(INDEX($AR$23:$AT$61,,$AI83), INDEX($AU$23:$BA$61,,$AH83), 1 / ($BB$23:$BB$61*CU83), N($AQ$23:$AQ$61&gt;$AO83)),
SUMPRODUCT(INDEX($AR$23:$AT$46,,$AI83), INDEX($AU$23:$BA$46,,$AH83), 1 / ($BC$23:$BC$46*CU83), N($AQ$23:$AQ$46&gt;$AO83))
) / 1000</f>
        <v>0</v>
      </c>
      <c r="CX83" s="230">
        <f t="shared" si="41"/>
        <v>0</v>
      </c>
      <c r="CY83" s="238"/>
    </row>
    <row r="84" spans="1:103" s="76" customFormat="1" ht="14.25" customHeight="1" x14ac:dyDescent="0.25">
      <c r="A84" s="231" t="b">
        <f t="shared" si="0"/>
        <v>0</v>
      </c>
      <c r="B84" s="245">
        <v>62</v>
      </c>
      <c r="C84" s="258"/>
      <c r="D84" s="258"/>
      <c r="E84" s="246"/>
      <c r="F84" s="247" t="str">
        <f>IF(ISBLANK(E84), "", VLOOKUP(E84, Z!$A$2:$C$4127, 3, FALSE))</f>
        <v/>
      </c>
      <c r="G84" s="248"/>
      <c r="H84" s="248"/>
      <c r="I84" s="249"/>
      <c r="J84" s="250"/>
      <c r="K84" s="259"/>
      <c r="L84" s="260"/>
      <c r="M84" s="252" t="str" cm="1">
        <f t="array" ref="M84">INDEX(Trad, 53, $A$20)</f>
        <v>Verschmutzt</v>
      </c>
      <c r="N84" s="253"/>
      <c r="O84" s="253"/>
      <c r="P84" s="254"/>
      <c r="Q84" s="251"/>
      <c r="R84" s="251"/>
      <c r="S84" s="264">
        <f t="shared" si="7"/>
        <v>0</v>
      </c>
      <c r="T84" s="252" t="str" cm="1">
        <f t="array" ref="T84">INDEX(Trad, 52, $A$20)</f>
        <v>Sauber</v>
      </c>
      <c r="U84" s="253"/>
      <c r="V84" s="253"/>
      <c r="W84" s="254"/>
      <c r="X84" s="251"/>
      <c r="Y84" s="251"/>
      <c r="Z84" s="264">
        <f t="shared" si="8"/>
        <v>0</v>
      </c>
      <c r="AA84" s="261"/>
      <c r="AB84" s="258"/>
      <c r="AC84" s="246"/>
      <c r="AD84" s="247" t="str">
        <f>IF(ISBLANK(AC84), "", VLOOKUP(AC84, Z!$A$2:$C$4127, 3, FALSE))</f>
        <v/>
      </c>
      <c r="AE84" s="262"/>
      <c r="AF84" s="263">
        <f t="shared" si="132"/>
        <v>0</v>
      </c>
      <c r="AG84" s="238"/>
      <c r="AH84" s="229">
        <f t="shared" ref="AH84" si="220">IF(ISBLANK(H84), 1, IFERROR(MATCH(H84, INDEX(Use,,1), 0), IFERROR(MATCH(H84, INDEX(Use,,2), 0), MATCH(H84, INDEX(Use,,3), 0))))</f>
        <v>1</v>
      </c>
      <c r="AI84" s="229">
        <f t="shared" ref="AI84" si="221">IF(ISBLANK(G84), 1, IFERROR(MATCH(G84, INDEX(Loc,,1), 0), IFERROR(MATCH(G84, INDEX(Loc,,2), 0), MATCH(G84, INDEX(Loc,,3), 0))))</f>
        <v>1</v>
      </c>
      <c r="AJ84" s="229">
        <f t="shared" ref="AJ84" si="222">_xlfn.IFNA(IF(IFERROR(MATCH(I84, INDEX(Medium,,1), 0), IFERROR(MATCH(I84, INDEX(Medium,,2), 0), MATCH(I84, INDEX(Medium,,3), 0))) = 2, 1, 0), 0)</f>
        <v>0</v>
      </c>
      <c r="AK84" s="229">
        <v>0</v>
      </c>
      <c r="AL84" s="229">
        <v>0</v>
      </c>
      <c r="AM84" s="229">
        <v>1</v>
      </c>
      <c r="AN84" s="229">
        <v>0</v>
      </c>
      <c r="AO84" s="229">
        <f t="shared" si="5"/>
        <v>-100</v>
      </c>
      <c r="AP84" s="238"/>
      <c r="AQ84" s="255"/>
      <c r="AR84" s="255"/>
      <c r="AS84" s="255"/>
      <c r="AT84" s="255"/>
      <c r="AU84" s="256"/>
      <c r="AV84" s="256"/>
      <c r="AW84" s="256"/>
      <c r="AX84" s="256"/>
      <c r="AY84" s="256"/>
      <c r="AZ84" s="256"/>
      <c r="BA84" s="256"/>
      <c r="BB84" s="256"/>
      <c r="BC84" s="256"/>
      <c r="BD84" s="211"/>
      <c r="BE84" s="229" cm="1">
        <f t="array" ref="BE84">IF(ISBLANK(R84), INDEX(Use, $AH84, 4) - AM84*INDEX(Use, $AH84, 6), R84)</f>
        <v>5</v>
      </c>
      <c r="BF84" s="229">
        <f t="shared" si="12"/>
        <v>30</v>
      </c>
      <c r="BG84" s="229">
        <f t="shared" si="13"/>
        <v>13</v>
      </c>
      <c r="BH84" s="229">
        <f t="shared" si="14"/>
        <v>0</v>
      </c>
      <c r="BI84" s="234" cm="1">
        <f t="array" ref="BI84">K84/IF($L84&gt;0, INDEX($AU$23:$BA$77, $L84+20, $AH84), 1)</f>
        <v>0</v>
      </c>
      <c r="BJ84" s="230">
        <f t="shared" si="15"/>
        <v>0</v>
      </c>
      <c r="BK84" s="229">
        <v>35</v>
      </c>
      <c r="BL84" s="230">
        <f t="shared" si="16"/>
        <v>48</v>
      </c>
      <c r="BM84" s="235">
        <f t="shared" si="17"/>
        <v>2.9108720930232557</v>
      </c>
      <c r="BN84" s="235" cm="1">
        <f t="array" ref="BN84">$BI84 * SUMPRODUCT(INDEX($AR$77:$AT$82,,$AI84),INDEX($AU$77:$BA$82,,$AH84), N($AQ$77:$AQ$82&gt;$AO84)) / BM84 / 1000</f>
        <v>0</v>
      </c>
      <c r="BO84" s="232">
        <f t="shared" si="18"/>
        <v>30</v>
      </c>
      <c r="BP84" s="230">
        <f t="shared" si="19"/>
        <v>43</v>
      </c>
      <c r="BQ84" s="235">
        <f t="shared" si="20"/>
        <v>3.2938815789473681</v>
      </c>
      <c r="BR84" s="235" cm="1">
        <f t="array" ref="BR84">$BI84 * IF($AH84&lt;=2,
SUMPRODUCT(INDEX($AR$72:$AT$76,,$AI84), INDEX($AU$72:$BA$76,,$AH84), 1 / ($BB$72:$BB$76*BQ84 + (1-$BB$72:$BB$76)*BM84), N($AQ$72:$AQ$76&gt;$AO84)),
SUMPRODUCT(INDEX($AR$67:$AT$76,,$AI84), INDEX($AU$67:$BA$76,,$AH84), 1 / ($BC$67:$BC$76*BQ84 + (1-$BC$67:$BC$76)*BM84), N($AQ$67:$AQ$76&gt;$AO84))
) / 1000</f>
        <v>0</v>
      </c>
      <c r="BS84" s="232">
        <f t="shared" si="21"/>
        <v>25</v>
      </c>
      <c r="BT84" s="230">
        <f t="shared" si="22"/>
        <v>38</v>
      </c>
      <c r="BU84" s="235">
        <f t="shared" si="23"/>
        <v>3.792954545454545</v>
      </c>
      <c r="BV84" s="235" cm="1">
        <f t="array" ref="BV84">$BI84 * IF($AH84&lt;=2,
SUMPRODUCT(INDEX($AR$67:$AT$71,,$AI84), INDEX($AU$67:$BA$71,,$AH84), 1 / ($BB$67:$BB$71*BU84 + (1-$BB$67:$BB$71)*BQ84), N($AQ$67:$AQ$71&gt;$AO84)),
SUMPRODUCT(INDEX($AR$57:$AT$66,,$AI84), INDEX($AU$57:$BA$66,,$AH84), 1 / ($BC$57:$BC$66*BU84 + (1-$BC$57:$BC$66)*BQ84), N($AQ$57:$AQ$66&gt;$AO84))
) / 1000</f>
        <v>0</v>
      </c>
      <c r="BW84" s="232">
        <f t="shared" si="24"/>
        <v>20</v>
      </c>
      <c r="BX84" s="230">
        <f t="shared" si="25"/>
        <v>33</v>
      </c>
      <c r="BY84" s="235">
        <f t="shared" si="26"/>
        <v>4.4702678571428569</v>
      </c>
      <c r="BZ84" s="235" cm="1">
        <f t="array" ref="BZ84">$BI84 * IF($AH84&lt;=2,
SUMPRODUCT(INDEX($AR$62:$AT$66,,$AI84), INDEX($AU$62:$BA$66,,$AH84), 1 / ($BB$62:$BB$66*BY84 + (1-$BB$62:$BB$66)*BU84), N($AQ$62:$AQ$66&gt;$AO84)),
SUMPRODUCT(INDEX($AR$47:$AT$56,,$AI84), INDEX($AU$47:$BA$56,,$AH84), 1 / ($BC$47:$BC$56*BY84 + (1-$BC$47:$BC$56)*BU84), N($AQ$47:$AQ$56&gt;$AO84))
) / 1000</f>
        <v>0</v>
      </c>
      <c r="CA84" s="235" cm="1">
        <f t="array" ref="CA84">$BI84 * IF($AH84&lt;=2,
SUMPRODUCT(INDEX($AR$23:$AT$61,,$AI84), INDEX($AU$23:$BA$61,,$AH84), 1 / ($BB$23:$BB$61*BY84), N($AQ$23:$AQ$61&gt;$AO84)),
SUMPRODUCT(INDEX($AR$23:$AT$46,,$AI84), INDEX($AU$23:$BA$46,,$AH84), 1 / ($BC$23:$BC$46*BY84), N($AQ$23:$AQ$46&gt;$AO84))
) / 1000</f>
        <v>0</v>
      </c>
      <c r="CB84" s="230">
        <f t="shared" si="27"/>
        <v>0</v>
      </c>
      <c r="CC84" s="238"/>
      <c r="CD84" s="229" cm="1">
        <f t="array" ref="CD84">IF(ISBLANK(Y84), INDEX(Use, $AH84, 4) - AN84*INDEX(Use, $AH84, 6) - (Q84-X84), Y84)</f>
        <v>7</v>
      </c>
      <c r="CE84" s="229">
        <f t="shared" si="28"/>
        <v>32</v>
      </c>
      <c r="CF84" s="230">
        <f t="shared" si="29"/>
        <v>0</v>
      </c>
      <c r="CG84" s="229">
        <v>35</v>
      </c>
      <c r="CH84" s="230">
        <f t="shared" si="30"/>
        <v>48</v>
      </c>
      <c r="CI84" s="235">
        <f t="shared" si="31"/>
        <v>3.0748170731707316</v>
      </c>
      <c r="CJ84" s="235" cm="1">
        <f t="array" ref="CJ84">$BI84 * SUMPRODUCT(INDEX($AR$77:$AT$82,,$AI84),INDEX($AU$77:$BA$82,,$AH84), N($AQ$77:$AQ$82&gt;$AO84)) / CI84 / 1000</f>
        <v>0</v>
      </c>
      <c r="CK84" s="232">
        <f t="shared" si="32"/>
        <v>30</v>
      </c>
      <c r="CL84" s="230">
        <f t="shared" si="33"/>
        <v>43</v>
      </c>
      <c r="CM84" s="235">
        <f t="shared" si="34"/>
        <v>3.5018750000000001</v>
      </c>
      <c r="CN84" s="235" cm="1">
        <f t="array" ref="CN84">$BI84 * IF($AH84&lt;=2,
SUMPRODUCT(INDEX($AR$72:$AT$76,,$AI84), INDEX($AU$72:$BA$76,,$AH84), 1 / ($BB$72:$BB$76*CM84 + (1-$BB$72:$BB$76)*CI84), N($AQ$72:$AQ$76&gt;$AO84)),
SUMPRODUCT(INDEX($AR$67:$AT$76,,$AI84), INDEX($AU$67:$BA$76,,$AH84), 1 / ($BC$67:$BC$76*CM84 + (1-$BC$67:$BC$76)*CI84), N($AQ$67:$AQ$76&gt;$AO84))
) / 1000</f>
        <v>0</v>
      </c>
      <c r="CO84" s="232">
        <f t="shared" si="35"/>
        <v>25</v>
      </c>
      <c r="CP84" s="230">
        <f t="shared" si="36"/>
        <v>38</v>
      </c>
      <c r="CQ84" s="235">
        <f t="shared" si="37"/>
        <v>4.0666935483870965</v>
      </c>
      <c r="CR84" s="235" cm="1">
        <f t="array" ref="CR84">$BI84 * IF($AH84&lt;=2,
SUMPRODUCT(INDEX($AR$67:$AT$71,,$AI84), INDEX($AU$67:$BA$71,,$AH84), 1 / ($BB$67:$BB$71*CQ84 + (1-$BB$67:$BB$71)*CM84), N($AQ$67:$AQ$71&gt;$AO84)),
SUMPRODUCT(INDEX($AR$57:$AT$66,,$AI84), INDEX($AU$57:$BA$66,,$AH84), 1 / ($BC$57:$BC$66*CQ84 + (1-$BC$57:$BC$66)*CM84), N($AQ$57:$AQ$66&gt;$AO84))
) / 1000</f>
        <v>0</v>
      </c>
      <c r="CS84" s="232">
        <f t="shared" si="38"/>
        <v>20</v>
      </c>
      <c r="CT84" s="230">
        <f t="shared" si="39"/>
        <v>33</v>
      </c>
      <c r="CU84" s="235">
        <f t="shared" si="40"/>
        <v>4.8487499999999999</v>
      </c>
      <c r="CV84" s="235" cm="1">
        <f t="array" ref="CV84">$BI84 * IF($AH84&lt;=2,
SUMPRODUCT(INDEX($AR$62:$AT$66,,$AI84), INDEX($AU$62:$BA$66,,$AH84), 1 / ($BB$62:$BB$66*CU84 + (1-$BB$62:$BB$66)*CQ84), N($AQ$62:$AQ$66&gt;$AO84)),
SUMPRODUCT(INDEX($AR$47:$AT$56,,$AI84), INDEX($AU$47:$BA$56,,$AH84), 1 / ($BC$47:$BC$56*CU84 + (1-$BC$47:$BC$56)*CQ84), N($AQ$47:$AQ$56&gt;$AO84))
) / 1000</f>
        <v>0</v>
      </c>
      <c r="CW84" s="235" cm="1">
        <f t="array" ref="CW84">$BI84 * IF($AH84&lt;=2,
SUMPRODUCT(INDEX($AR$23:$AT$61,,$AI84), INDEX($AU$23:$BA$61,,$AH84), 1 / ($BB$23:$BB$61*CU84), N($AQ$23:$AQ$61&gt;$AO84)),
SUMPRODUCT(INDEX($AR$23:$AT$46,,$AI84), INDEX($AU$23:$BA$46,,$AH84), 1 / ($BC$23:$BC$46*CU84), N($AQ$23:$AQ$46&gt;$AO84))
) / 1000</f>
        <v>0</v>
      </c>
      <c r="CX84" s="230">
        <f t="shared" si="41"/>
        <v>0</v>
      </c>
      <c r="CY84" s="238"/>
    </row>
    <row r="85" spans="1:103" s="76" customFormat="1" ht="14.25" customHeight="1" x14ac:dyDescent="0.25">
      <c r="A85" s="231" t="b">
        <f t="shared" si="0"/>
        <v>0</v>
      </c>
      <c r="B85" s="245">
        <v>63</v>
      </c>
      <c r="C85" s="258"/>
      <c r="D85" s="258"/>
      <c r="E85" s="246"/>
      <c r="F85" s="247" t="str">
        <f>IF(ISBLANK(E85), "", VLOOKUP(E85, Z!$A$2:$C$4127, 3, FALSE))</f>
        <v/>
      </c>
      <c r="G85" s="248"/>
      <c r="H85" s="248"/>
      <c r="I85" s="249"/>
      <c r="J85" s="250"/>
      <c r="K85" s="259"/>
      <c r="L85" s="260"/>
      <c r="M85" s="252" t="str" cm="1">
        <f t="array" ref="M85">INDEX(Trad, 53, $A$20)</f>
        <v>Verschmutzt</v>
      </c>
      <c r="N85" s="253"/>
      <c r="O85" s="253"/>
      <c r="P85" s="254"/>
      <c r="Q85" s="251"/>
      <c r="R85" s="251"/>
      <c r="S85" s="264">
        <f t="shared" si="7"/>
        <v>0</v>
      </c>
      <c r="T85" s="252" t="str" cm="1">
        <f t="array" ref="T85">INDEX(Trad, 52, $A$20)</f>
        <v>Sauber</v>
      </c>
      <c r="U85" s="253"/>
      <c r="V85" s="253"/>
      <c r="W85" s="254"/>
      <c r="X85" s="251"/>
      <c r="Y85" s="251"/>
      <c r="Z85" s="264">
        <f t="shared" si="8"/>
        <v>0</v>
      </c>
      <c r="AA85" s="261"/>
      <c r="AB85" s="258"/>
      <c r="AC85" s="246"/>
      <c r="AD85" s="247" t="str">
        <f>IF(ISBLANK(AC85), "", VLOOKUP(AC85, Z!$A$2:$C$4127, 3, FALSE))</f>
        <v/>
      </c>
      <c r="AE85" s="262"/>
      <c r="AF85" s="263">
        <f t="shared" si="132"/>
        <v>0</v>
      </c>
      <c r="AG85" s="238"/>
      <c r="AH85" s="229">
        <f t="shared" ref="AH85" si="223">IF(ISBLANK(H85), 1, IFERROR(MATCH(H85, INDEX(Use,,1), 0), IFERROR(MATCH(H85, INDEX(Use,,2), 0), MATCH(H85, INDEX(Use,,3), 0))))</f>
        <v>1</v>
      </c>
      <c r="AI85" s="229">
        <f t="shared" ref="AI85" si="224">IF(ISBLANK(G85), 1, IFERROR(MATCH(G85, INDEX(Loc,,1), 0), IFERROR(MATCH(G85, INDEX(Loc,,2), 0), MATCH(G85, INDEX(Loc,,3), 0))))</f>
        <v>1</v>
      </c>
      <c r="AJ85" s="229">
        <f t="shared" ref="AJ85" si="225">_xlfn.IFNA(IF(IFERROR(MATCH(I85, INDEX(Medium,,1), 0), IFERROR(MATCH(I85, INDEX(Medium,,2), 0), MATCH(I85, INDEX(Medium,,3), 0))) = 2, 1, 0), 0)</f>
        <v>0</v>
      </c>
      <c r="AK85" s="229">
        <v>0</v>
      </c>
      <c r="AL85" s="229">
        <v>0</v>
      </c>
      <c r="AM85" s="229">
        <v>1</v>
      </c>
      <c r="AN85" s="229">
        <v>0</v>
      </c>
      <c r="AO85" s="229">
        <f t="shared" si="5"/>
        <v>-100</v>
      </c>
      <c r="AP85" s="238"/>
      <c r="AQ85" s="255"/>
      <c r="AR85" s="255"/>
      <c r="AS85" s="255"/>
      <c r="AT85" s="255"/>
      <c r="AU85" s="256"/>
      <c r="AV85" s="256"/>
      <c r="AW85" s="256"/>
      <c r="AX85" s="256"/>
      <c r="AY85" s="256"/>
      <c r="AZ85" s="256"/>
      <c r="BA85" s="256"/>
      <c r="BB85" s="256"/>
      <c r="BC85" s="256"/>
      <c r="BD85" s="211"/>
      <c r="BE85" s="229" cm="1">
        <f t="array" ref="BE85">IF(ISBLANK(R85), INDEX(Use, $AH85, 4) - AM85*INDEX(Use, $AH85, 6), R85)</f>
        <v>5</v>
      </c>
      <c r="BF85" s="229">
        <f t="shared" si="12"/>
        <v>30</v>
      </c>
      <c r="BG85" s="229">
        <f t="shared" si="13"/>
        <v>13</v>
      </c>
      <c r="BH85" s="229">
        <f t="shared" si="14"/>
        <v>0</v>
      </c>
      <c r="BI85" s="234" cm="1">
        <f t="array" ref="BI85">K85/IF($L85&gt;0, INDEX($AU$23:$BA$77, $L85+20, $AH85), 1)</f>
        <v>0</v>
      </c>
      <c r="BJ85" s="230">
        <f t="shared" si="15"/>
        <v>0</v>
      </c>
      <c r="BK85" s="229">
        <v>35</v>
      </c>
      <c r="BL85" s="230">
        <f t="shared" si="16"/>
        <v>48</v>
      </c>
      <c r="BM85" s="235">
        <f t="shared" si="17"/>
        <v>2.9108720930232557</v>
      </c>
      <c r="BN85" s="235" cm="1">
        <f t="array" ref="BN85">$BI85 * SUMPRODUCT(INDEX($AR$77:$AT$82,,$AI85),INDEX($AU$77:$BA$82,,$AH85), N($AQ$77:$AQ$82&gt;$AO85)) / BM85 / 1000</f>
        <v>0</v>
      </c>
      <c r="BO85" s="232">
        <f t="shared" si="18"/>
        <v>30</v>
      </c>
      <c r="BP85" s="230">
        <f t="shared" si="19"/>
        <v>43</v>
      </c>
      <c r="BQ85" s="235">
        <f t="shared" si="20"/>
        <v>3.2938815789473681</v>
      </c>
      <c r="BR85" s="235" cm="1">
        <f t="array" ref="BR85">$BI85 * IF($AH85&lt;=2,
SUMPRODUCT(INDEX($AR$72:$AT$76,,$AI85), INDEX($AU$72:$BA$76,,$AH85), 1 / ($BB$72:$BB$76*BQ85 + (1-$BB$72:$BB$76)*BM85), N($AQ$72:$AQ$76&gt;$AO85)),
SUMPRODUCT(INDEX($AR$67:$AT$76,,$AI85), INDEX($AU$67:$BA$76,,$AH85), 1 / ($BC$67:$BC$76*BQ85 + (1-$BC$67:$BC$76)*BM85), N($AQ$67:$AQ$76&gt;$AO85))
) / 1000</f>
        <v>0</v>
      </c>
      <c r="BS85" s="232">
        <f t="shared" si="21"/>
        <v>25</v>
      </c>
      <c r="BT85" s="230">
        <f t="shared" si="22"/>
        <v>38</v>
      </c>
      <c r="BU85" s="235">
        <f t="shared" si="23"/>
        <v>3.792954545454545</v>
      </c>
      <c r="BV85" s="235" cm="1">
        <f t="array" ref="BV85">$BI85 * IF($AH85&lt;=2,
SUMPRODUCT(INDEX($AR$67:$AT$71,,$AI85), INDEX($AU$67:$BA$71,,$AH85), 1 / ($BB$67:$BB$71*BU85 + (1-$BB$67:$BB$71)*BQ85), N($AQ$67:$AQ$71&gt;$AO85)),
SUMPRODUCT(INDEX($AR$57:$AT$66,,$AI85), INDEX($AU$57:$BA$66,,$AH85), 1 / ($BC$57:$BC$66*BU85 + (1-$BC$57:$BC$66)*BQ85), N($AQ$57:$AQ$66&gt;$AO85))
) / 1000</f>
        <v>0</v>
      </c>
      <c r="BW85" s="232">
        <f t="shared" si="24"/>
        <v>20</v>
      </c>
      <c r="BX85" s="230">
        <f t="shared" si="25"/>
        <v>33</v>
      </c>
      <c r="BY85" s="235">
        <f t="shared" si="26"/>
        <v>4.4702678571428569</v>
      </c>
      <c r="BZ85" s="235" cm="1">
        <f t="array" ref="BZ85">$BI85 * IF($AH85&lt;=2,
SUMPRODUCT(INDEX($AR$62:$AT$66,,$AI85), INDEX($AU$62:$BA$66,,$AH85), 1 / ($BB$62:$BB$66*BY85 + (1-$BB$62:$BB$66)*BU85), N($AQ$62:$AQ$66&gt;$AO85)),
SUMPRODUCT(INDEX($AR$47:$AT$56,,$AI85), INDEX($AU$47:$BA$56,,$AH85), 1 / ($BC$47:$BC$56*BY85 + (1-$BC$47:$BC$56)*BU85), N($AQ$47:$AQ$56&gt;$AO85))
) / 1000</f>
        <v>0</v>
      </c>
      <c r="CA85" s="235" cm="1">
        <f t="array" ref="CA85">$BI85 * IF($AH85&lt;=2,
SUMPRODUCT(INDEX($AR$23:$AT$61,,$AI85), INDEX($AU$23:$BA$61,,$AH85), 1 / ($BB$23:$BB$61*BY85), N($AQ$23:$AQ$61&gt;$AO85)),
SUMPRODUCT(INDEX($AR$23:$AT$46,,$AI85), INDEX($AU$23:$BA$46,,$AH85), 1 / ($BC$23:$BC$46*BY85), N($AQ$23:$AQ$46&gt;$AO85))
) / 1000</f>
        <v>0</v>
      </c>
      <c r="CB85" s="230">
        <f t="shared" si="27"/>
        <v>0</v>
      </c>
      <c r="CC85" s="238"/>
      <c r="CD85" s="229" cm="1">
        <f t="array" ref="CD85">IF(ISBLANK(Y85), INDEX(Use, $AH85, 4) - AN85*INDEX(Use, $AH85, 6) - (Q85-X85), Y85)</f>
        <v>7</v>
      </c>
      <c r="CE85" s="229">
        <f t="shared" si="28"/>
        <v>32</v>
      </c>
      <c r="CF85" s="230">
        <f t="shared" si="29"/>
        <v>0</v>
      </c>
      <c r="CG85" s="229">
        <v>35</v>
      </c>
      <c r="CH85" s="230">
        <f t="shared" si="30"/>
        <v>48</v>
      </c>
      <c r="CI85" s="235">
        <f t="shared" si="31"/>
        <v>3.0748170731707316</v>
      </c>
      <c r="CJ85" s="235" cm="1">
        <f t="array" ref="CJ85">$BI85 * SUMPRODUCT(INDEX($AR$77:$AT$82,,$AI85),INDEX($AU$77:$BA$82,,$AH85), N($AQ$77:$AQ$82&gt;$AO85)) / CI85 / 1000</f>
        <v>0</v>
      </c>
      <c r="CK85" s="232">
        <f t="shared" si="32"/>
        <v>30</v>
      </c>
      <c r="CL85" s="230">
        <f t="shared" si="33"/>
        <v>43</v>
      </c>
      <c r="CM85" s="235">
        <f t="shared" si="34"/>
        <v>3.5018750000000001</v>
      </c>
      <c r="CN85" s="235" cm="1">
        <f t="array" ref="CN85">$BI85 * IF($AH85&lt;=2,
SUMPRODUCT(INDEX($AR$72:$AT$76,,$AI85), INDEX($AU$72:$BA$76,,$AH85), 1 / ($BB$72:$BB$76*CM85 + (1-$BB$72:$BB$76)*CI85), N($AQ$72:$AQ$76&gt;$AO85)),
SUMPRODUCT(INDEX($AR$67:$AT$76,,$AI85), INDEX($AU$67:$BA$76,,$AH85), 1 / ($BC$67:$BC$76*CM85 + (1-$BC$67:$BC$76)*CI85), N($AQ$67:$AQ$76&gt;$AO85))
) / 1000</f>
        <v>0</v>
      </c>
      <c r="CO85" s="232">
        <f t="shared" si="35"/>
        <v>25</v>
      </c>
      <c r="CP85" s="230">
        <f t="shared" si="36"/>
        <v>38</v>
      </c>
      <c r="CQ85" s="235">
        <f t="shared" si="37"/>
        <v>4.0666935483870965</v>
      </c>
      <c r="CR85" s="235" cm="1">
        <f t="array" ref="CR85">$BI85 * IF($AH85&lt;=2,
SUMPRODUCT(INDEX($AR$67:$AT$71,,$AI85), INDEX($AU$67:$BA$71,,$AH85), 1 / ($BB$67:$BB$71*CQ85 + (1-$BB$67:$BB$71)*CM85), N($AQ$67:$AQ$71&gt;$AO85)),
SUMPRODUCT(INDEX($AR$57:$AT$66,,$AI85), INDEX($AU$57:$BA$66,,$AH85), 1 / ($BC$57:$BC$66*CQ85 + (1-$BC$57:$BC$66)*CM85), N($AQ$57:$AQ$66&gt;$AO85))
) / 1000</f>
        <v>0</v>
      </c>
      <c r="CS85" s="232">
        <f t="shared" si="38"/>
        <v>20</v>
      </c>
      <c r="CT85" s="230">
        <f t="shared" si="39"/>
        <v>33</v>
      </c>
      <c r="CU85" s="235">
        <f t="shared" si="40"/>
        <v>4.8487499999999999</v>
      </c>
      <c r="CV85" s="235" cm="1">
        <f t="array" ref="CV85">$BI85 * IF($AH85&lt;=2,
SUMPRODUCT(INDEX($AR$62:$AT$66,,$AI85), INDEX($AU$62:$BA$66,,$AH85), 1 / ($BB$62:$BB$66*CU85 + (1-$BB$62:$BB$66)*CQ85), N($AQ$62:$AQ$66&gt;$AO85)),
SUMPRODUCT(INDEX($AR$47:$AT$56,,$AI85), INDEX($AU$47:$BA$56,,$AH85), 1 / ($BC$47:$BC$56*CU85 + (1-$BC$47:$BC$56)*CQ85), N($AQ$47:$AQ$56&gt;$AO85))
) / 1000</f>
        <v>0</v>
      </c>
      <c r="CW85" s="235" cm="1">
        <f t="array" ref="CW85">$BI85 * IF($AH85&lt;=2,
SUMPRODUCT(INDEX($AR$23:$AT$61,,$AI85), INDEX($AU$23:$BA$61,,$AH85), 1 / ($BB$23:$BB$61*CU85), N($AQ$23:$AQ$61&gt;$AO85)),
SUMPRODUCT(INDEX($AR$23:$AT$46,,$AI85), INDEX($AU$23:$BA$46,,$AH85), 1 / ($BC$23:$BC$46*CU85), N($AQ$23:$AQ$46&gt;$AO85))
) / 1000</f>
        <v>0</v>
      </c>
      <c r="CX85" s="230">
        <f t="shared" si="41"/>
        <v>0</v>
      </c>
      <c r="CY85" s="238"/>
    </row>
    <row r="86" spans="1:103" s="76" customFormat="1" ht="14.25" customHeight="1" x14ac:dyDescent="0.25">
      <c r="A86" s="231" t="b">
        <f t="shared" si="0"/>
        <v>0</v>
      </c>
      <c r="B86" s="245">
        <v>64</v>
      </c>
      <c r="C86" s="258"/>
      <c r="D86" s="258"/>
      <c r="E86" s="246"/>
      <c r="F86" s="247" t="str">
        <f>IF(ISBLANK(E86), "", VLOOKUP(E86, Z!$A$2:$C$4127, 3, FALSE))</f>
        <v/>
      </c>
      <c r="G86" s="248"/>
      <c r="H86" s="248"/>
      <c r="I86" s="249"/>
      <c r="J86" s="250"/>
      <c r="K86" s="259"/>
      <c r="L86" s="260"/>
      <c r="M86" s="252" t="str" cm="1">
        <f t="array" ref="M86">INDEX(Trad, 53, $A$20)</f>
        <v>Verschmutzt</v>
      </c>
      <c r="N86" s="253"/>
      <c r="O86" s="253"/>
      <c r="P86" s="254"/>
      <c r="Q86" s="251"/>
      <c r="R86" s="251"/>
      <c r="S86" s="264">
        <f t="shared" si="7"/>
        <v>0</v>
      </c>
      <c r="T86" s="252" t="str" cm="1">
        <f t="array" ref="T86">INDEX(Trad, 52, $A$20)</f>
        <v>Sauber</v>
      </c>
      <c r="U86" s="253"/>
      <c r="V86" s="253"/>
      <c r="W86" s="254"/>
      <c r="X86" s="251"/>
      <c r="Y86" s="251"/>
      <c r="Z86" s="264">
        <f t="shared" si="8"/>
        <v>0</v>
      </c>
      <c r="AA86" s="261"/>
      <c r="AB86" s="258"/>
      <c r="AC86" s="246"/>
      <c r="AD86" s="247" t="str">
        <f>IF(ISBLANK(AC86), "", VLOOKUP(AC86, Z!$A$2:$C$4127, 3, FALSE))</f>
        <v/>
      </c>
      <c r="AE86" s="262"/>
      <c r="AF86" s="263">
        <f t="shared" si="132"/>
        <v>0</v>
      </c>
      <c r="AG86" s="238"/>
      <c r="AH86" s="229">
        <f t="shared" ref="AH86" si="226">IF(ISBLANK(H86), 1, IFERROR(MATCH(H86, INDEX(Use,,1), 0), IFERROR(MATCH(H86, INDEX(Use,,2), 0), MATCH(H86, INDEX(Use,,3), 0))))</f>
        <v>1</v>
      </c>
      <c r="AI86" s="229">
        <f t="shared" ref="AI86" si="227">IF(ISBLANK(G86), 1, IFERROR(MATCH(G86, INDEX(Loc,,1), 0), IFERROR(MATCH(G86, INDEX(Loc,,2), 0), MATCH(G86, INDEX(Loc,,3), 0))))</f>
        <v>1</v>
      </c>
      <c r="AJ86" s="229">
        <f t="shared" ref="AJ86" si="228">_xlfn.IFNA(IF(IFERROR(MATCH(I86, INDEX(Medium,,1), 0), IFERROR(MATCH(I86, INDEX(Medium,,2), 0), MATCH(I86, INDEX(Medium,,3), 0))) = 2, 1, 0), 0)</f>
        <v>0</v>
      </c>
      <c r="AK86" s="229">
        <v>0</v>
      </c>
      <c r="AL86" s="229">
        <v>0</v>
      </c>
      <c r="AM86" s="229">
        <v>1</v>
      </c>
      <c r="AN86" s="229">
        <v>0</v>
      </c>
      <c r="AO86" s="229">
        <f t="shared" si="5"/>
        <v>-100</v>
      </c>
      <c r="AP86" s="238"/>
      <c r="AQ86" s="255"/>
      <c r="AR86" s="255"/>
      <c r="AS86" s="255"/>
      <c r="AT86" s="255"/>
      <c r="AU86" s="256"/>
      <c r="AV86" s="256"/>
      <c r="AW86" s="256"/>
      <c r="AX86" s="256"/>
      <c r="AY86" s="256"/>
      <c r="AZ86" s="256"/>
      <c r="BA86" s="256"/>
      <c r="BB86" s="256"/>
      <c r="BC86" s="256"/>
      <c r="BD86" s="211"/>
      <c r="BE86" s="229" cm="1">
        <f t="array" ref="BE86">IF(ISBLANK(R86), INDEX(Use, $AH86, 4) - AM86*INDEX(Use, $AH86, 6), R86)</f>
        <v>5</v>
      </c>
      <c r="BF86" s="229">
        <f t="shared" si="12"/>
        <v>30</v>
      </c>
      <c r="BG86" s="229">
        <f t="shared" si="13"/>
        <v>13</v>
      </c>
      <c r="BH86" s="229">
        <f t="shared" si="14"/>
        <v>0</v>
      </c>
      <c r="BI86" s="234" cm="1">
        <f t="array" ref="BI86">K86/IF($L86&gt;0, INDEX($AU$23:$BA$77, $L86+20, $AH86), 1)</f>
        <v>0</v>
      </c>
      <c r="BJ86" s="230">
        <f t="shared" si="15"/>
        <v>0</v>
      </c>
      <c r="BK86" s="229">
        <v>35</v>
      </c>
      <c r="BL86" s="230">
        <f t="shared" si="16"/>
        <v>48</v>
      </c>
      <c r="BM86" s="235">
        <f t="shared" si="17"/>
        <v>2.9108720930232557</v>
      </c>
      <c r="BN86" s="235" cm="1">
        <f t="array" ref="BN86">$BI86 * SUMPRODUCT(INDEX($AR$77:$AT$82,,$AI86),INDEX($AU$77:$BA$82,,$AH86), N($AQ$77:$AQ$82&gt;$AO86)) / BM86 / 1000</f>
        <v>0</v>
      </c>
      <c r="BO86" s="232">
        <f t="shared" si="18"/>
        <v>30</v>
      </c>
      <c r="BP86" s="230">
        <f t="shared" si="19"/>
        <v>43</v>
      </c>
      <c r="BQ86" s="235">
        <f t="shared" si="20"/>
        <v>3.2938815789473681</v>
      </c>
      <c r="BR86" s="235" cm="1">
        <f t="array" ref="BR86">$BI86 * IF($AH86&lt;=2,
SUMPRODUCT(INDEX($AR$72:$AT$76,,$AI86), INDEX($AU$72:$BA$76,,$AH86), 1 / ($BB$72:$BB$76*BQ86 + (1-$BB$72:$BB$76)*BM86), N($AQ$72:$AQ$76&gt;$AO86)),
SUMPRODUCT(INDEX($AR$67:$AT$76,,$AI86), INDEX($AU$67:$BA$76,,$AH86), 1 / ($BC$67:$BC$76*BQ86 + (1-$BC$67:$BC$76)*BM86), N($AQ$67:$AQ$76&gt;$AO86))
) / 1000</f>
        <v>0</v>
      </c>
      <c r="BS86" s="232">
        <f t="shared" si="21"/>
        <v>25</v>
      </c>
      <c r="BT86" s="230">
        <f t="shared" si="22"/>
        <v>38</v>
      </c>
      <c r="BU86" s="235">
        <f t="shared" si="23"/>
        <v>3.792954545454545</v>
      </c>
      <c r="BV86" s="235" cm="1">
        <f t="array" ref="BV86">$BI86 * IF($AH86&lt;=2,
SUMPRODUCT(INDEX($AR$67:$AT$71,,$AI86), INDEX($AU$67:$BA$71,,$AH86), 1 / ($BB$67:$BB$71*BU86 + (1-$BB$67:$BB$71)*BQ86), N($AQ$67:$AQ$71&gt;$AO86)),
SUMPRODUCT(INDEX($AR$57:$AT$66,,$AI86), INDEX($AU$57:$BA$66,,$AH86), 1 / ($BC$57:$BC$66*BU86 + (1-$BC$57:$BC$66)*BQ86), N($AQ$57:$AQ$66&gt;$AO86))
) / 1000</f>
        <v>0</v>
      </c>
      <c r="BW86" s="232">
        <f t="shared" si="24"/>
        <v>20</v>
      </c>
      <c r="BX86" s="230">
        <f t="shared" si="25"/>
        <v>33</v>
      </c>
      <c r="BY86" s="235">
        <f t="shared" si="26"/>
        <v>4.4702678571428569</v>
      </c>
      <c r="BZ86" s="235" cm="1">
        <f t="array" ref="BZ86">$BI86 * IF($AH86&lt;=2,
SUMPRODUCT(INDEX($AR$62:$AT$66,,$AI86), INDEX($AU$62:$BA$66,,$AH86), 1 / ($BB$62:$BB$66*BY86 + (1-$BB$62:$BB$66)*BU86), N($AQ$62:$AQ$66&gt;$AO86)),
SUMPRODUCT(INDEX($AR$47:$AT$56,,$AI86), INDEX($AU$47:$BA$56,,$AH86), 1 / ($BC$47:$BC$56*BY86 + (1-$BC$47:$BC$56)*BU86), N($AQ$47:$AQ$56&gt;$AO86))
) / 1000</f>
        <v>0</v>
      </c>
      <c r="CA86" s="235" cm="1">
        <f t="array" ref="CA86">$BI86 * IF($AH86&lt;=2,
SUMPRODUCT(INDEX($AR$23:$AT$61,,$AI86), INDEX($AU$23:$BA$61,,$AH86), 1 / ($BB$23:$BB$61*BY86), N($AQ$23:$AQ$61&gt;$AO86)),
SUMPRODUCT(INDEX($AR$23:$AT$46,,$AI86), INDEX($AU$23:$BA$46,,$AH86), 1 / ($BC$23:$BC$46*BY86), N($AQ$23:$AQ$46&gt;$AO86))
) / 1000</f>
        <v>0</v>
      </c>
      <c r="CB86" s="230">
        <f t="shared" si="27"/>
        <v>0</v>
      </c>
      <c r="CC86" s="238"/>
      <c r="CD86" s="229" cm="1">
        <f t="array" ref="CD86">IF(ISBLANK(Y86), INDEX(Use, $AH86, 4) - AN86*INDEX(Use, $AH86, 6) - (Q86-X86), Y86)</f>
        <v>7</v>
      </c>
      <c r="CE86" s="229">
        <f t="shared" si="28"/>
        <v>32</v>
      </c>
      <c r="CF86" s="230">
        <f t="shared" si="29"/>
        <v>0</v>
      </c>
      <c r="CG86" s="229">
        <v>35</v>
      </c>
      <c r="CH86" s="230">
        <f t="shared" si="30"/>
        <v>48</v>
      </c>
      <c r="CI86" s="235">
        <f t="shared" si="31"/>
        <v>3.0748170731707316</v>
      </c>
      <c r="CJ86" s="235" cm="1">
        <f t="array" ref="CJ86">$BI86 * SUMPRODUCT(INDEX($AR$77:$AT$82,,$AI86),INDEX($AU$77:$BA$82,,$AH86), N($AQ$77:$AQ$82&gt;$AO86)) / CI86 / 1000</f>
        <v>0</v>
      </c>
      <c r="CK86" s="232">
        <f t="shared" si="32"/>
        <v>30</v>
      </c>
      <c r="CL86" s="230">
        <f t="shared" si="33"/>
        <v>43</v>
      </c>
      <c r="CM86" s="235">
        <f t="shared" si="34"/>
        <v>3.5018750000000001</v>
      </c>
      <c r="CN86" s="235" cm="1">
        <f t="array" ref="CN86">$BI86 * IF($AH86&lt;=2,
SUMPRODUCT(INDEX($AR$72:$AT$76,,$AI86), INDEX($AU$72:$BA$76,,$AH86), 1 / ($BB$72:$BB$76*CM86 + (1-$BB$72:$BB$76)*CI86), N($AQ$72:$AQ$76&gt;$AO86)),
SUMPRODUCT(INDEX($AR$67:$AT$76,,$AI86), INDEX($AU$67:$BA$76,,$AH86), 1 / ($BC$67:$BC$76*CM86 + (1-$BC$67:$BC$76)*CI86), N($AQ$67:$AQ$76&gt;$AO86))
) / 1000</f>
        <v>0</v>
      </c>
      <c r="CO86" s="232">
        <f t="shared" si="35"/>
        <v>25</v>
      </c>
      <c r="CP86" s="230">
        <f t="shared" si="36"/>
        <v>38</v>
      </c>
      <c r="CQ86" s="235">
        <f t="shared" si="37"/>
        <v>4.0666935483870965</v>
      </c>
      <c r="CR86" s="235" cm="1">
        <f t="array" ref="CR86">$BI86 * IF($AH86&lt;=2,
SUMPRODUCT(INDEX($AR$67:$AT$71,,$AI86), INDEX($AU$67:$BA$71,,$AH86), 1 / ($BB$67:$BB$71*CQ86 + (1-$BB$67:$BB$71)*CM86), N($AQ$67:$AQ$71&gt;$AO86)),
SUMPRODUCT(INDEX($AR$57:$AT$66,,$AI86), INDEX($AU$57:$BA$66,,$AH86), 1 / ($BC$57:$BC$66*CQ86 + (1-$BC$57:$BC$66)*CM86), N($AQ$57:$AQ$66&gt;$AO86))
) / 1000</f>
        <v>0</v>
      </c>
      <c r="CS86" s="232">
        <f t="shared" si="38"/>
        <v>20</v>
      </c>
      <c r="CT86" s="230">
        <f t="shared" si="39"/>
        <v>33</v>
      </c>
      <c r="CU86" s="235">
        <f t="shared" si="40"/>
        <v>4.8487499999999999</v>
      </c>
      <c r="CV86" s="235" cm="1">
        <f t="array" ref="CV86">$BI86 * IF($AH86&lt;=2,
SUMPRODUCT(INDEX($AR$62:$AT$66,,$AI86), INDEX($AU$62:$BA$66,,$AH86), 1 / ($BB$62:$BB$66*CU86 + (1-$BB$62:$BB$66)*CQ86), N($AQ$62:$AQ$66&gt;$AO86)),
SUMPRODUCT(INDEX($AR$47:$AT$56,,$AI86), INDEX($AU$47:$BA$56,,$AH86), 1 / ($BC$47:$BC$56*CU86 + (1-$BC$47:$BC$56)*CQ86), N($AQ$47:$AQ$56&gt;$AO86))
) / 1000</f>
        <v>0</v>
      </c>
      <c r="CW86" s="235" cm="1">
        <f t="array" ref="CW86">$BI86 * IF($AH86&lt;=2,
SUMPRODUCT(INDEX($AR$23:$AT$61,,$AI86), INDEX($AU$23:$BA$61,,$AH86), 1 / ($BB$23:$BB$61*CU86), N($AQ$23:$AQ$61&gt;$AO86)),
SUMPRODUCT(INDEX($AR$23:$AT$46,,$AI86), INDEX($AU$23:$BA$46,,$AH86), 1 / ($BC$23:$BC$46*CU86), N($AQ$23:$AQ$46&gt;$AO86))
) / 1000</f>
        <v>0</v>
      </c>
      <c r="CX86" s="230">
        <f t="shared" si="41"/>
        <v>0</v>
      </c>
      <c r="CY86" s="238"/>
    </row>
    <row r="87" spans="1:103" s="76" customFormat="1" ht="14.25" customHeight="1" x14ac:dyDescent="0.25">
      <c r="A87" s="231" t="b">
        <f t="shared" ref="A87:A341" si="229">IF(OR(AND($K87&gt;80, $AH87=1), AND($K87&gt;40, $AH87=3), AND($K87&gt;30, $AH87=4),), TRUE, FALSE)</f>
        <v>0</v>
      </c>
      <c r="B87" s="245">
        <v>65</v>
      </c>
      <c r="C87" s="258"/>
      <c r="D87" s="258"/>
      <c r="E87" s="246"/>
      <c r="F87" s="247" t="str">
        <f>IF(ISBLANK(E87), "", VLOOKUP(E87, Z!$A$2:$C$4127, 3, FALSE))</f>
        <v/>
      </c>
      <c r="G87" s="248"/>
      <c r="H87" s="248"/>
      <c r="I87" s="249"/>
      <c r="J87" s="250"/>
      <c r="K87" s="259"/>
      <c r="L87" s="260"/>
      <c r="M87" s="252" t="str" cm="1">
        <f t="array" ref="M87">INDEX(Trad, 53, $A$20)</f>
        <v>Verschmutzt</v>
      </c>
      <c r="N87" s="253"/>
      <c r="O87" s="253"/>
      <c r="P87" s="254"/>
      <c r="Q87" s="251"/>
      <c r="R87" s="251"/>
      <c r="S87" s="264">
        <f t="shared" si="7"/>
        <v>0</v>
      </c>
      <c r="T87" s="252" t="str" cm="1">
        <f t="array" ref="T87">INDEX(Trad, 52, $A$20)</f>
        <v>Sauber</v>
      </c>
      <c r="U87" s="253"/>
      <c r="V87" s="253"/>
      <c r="W87" s="254"/>
      <c r="X87" s="251"/>
      <c r="Y87" s="251"/>
      <c r="Z87" s="264">
        <f t="shared" si="8"/>
        <v>0</v>
      </c>
      <c r="AA87" s="261"/>
      <c r="AB87" s="258"/>
      <c r="AC87" s="246"/>
      <c r="AD87" s="247" t="str">
        <f>IF(ISBLANK(AC87), "", VLOOKUP(AC87, Z!$A$2:$C$4127, 3, FALSE))</f>
        <v/>
      </c>
      <c r="AE87" s="262"/>
      <c r="AF87" s="263">
        <f t="shared" ref="AF87:AF122" si="230">0.75*AP$23*(S87-Z87)</f>
        <v>0</v>
      </c>
      <c r="AG87" s="238"/>
      <c r="AH87" s="229">
        <f t="shared" ref="AH87" si="231">IF(ISBLANK(H87), 1, IFERROR(MATCH(H87, INDEX(Use,,1), 0), IFERROR(MATCH(H87, INDEX(Use,,2), 0), MATCH(H87, INDEX(Use,,3), 0))))</f>
        <v>1</v>
      </c>
      <c r="AI87" s="229">
        <f t="shared" ref="AI87" si="232">IF(ISBLANK(G87), 1, IFERROR(MATCH(G87, INDEX(Loc,,1), 0), IFERROR(MATCH(G87, INDEX(Loc,,2), 0), MATCH(G87, INDEX(Loc,,3), 0))))</f>
        <v>1</v>
      </c>
      <c r="AJ87" s="229">
        <f t="shared" ref="AJ87" si="233">_xlfn.IFNA(IF(IFERROR(MATCH(I87, INDEX(Medium,,1), 0), IFERROR(MATCH(I87, INDEX(Medium,,2), 0), MATCH(I87, INDEX(Medium,,3), 0))) = 2, 1, 0), 0)</f>
        <v>0</v>
      </c>
      <c r="AK87" s="229">
        <v>0</v>
      </c>
      <c r="AL87" s="229">
        <v>0</v>
      </c>
      <c r="AM87" s="229">
        <v>1</v>
      </c>
      <c r="AN87" s="229">
        <v>0</v>
      </c>
      <c r="AO87" s="229">
        <f t="shared" ref="AO87:AO122" si="234">IF(AND(J87="x", AH87=5), 11, IF(AND(J87="x", AH87=6), 19, -100))</f>
        <v>-100</v>
      </c>
      <c r="AP87" s="238"/>
      <c r="AQ87" s="255"/>
      <c r="AR87" s="255"/>
      <c r="AS87" s="255"/>
      <c r="AT87" s="255"/>
      <c r="AU87" s="256"/>
      <c r="AV87" s="256"/>
      <c r="AW87" s="256"/>
      <c r="AX87" s="256"/>
      <c r="AY87" s="256"/>
      <c r="AZ87" s="256"/>
      <c r="BA87" s="256"/>
      <c r="BB87" s="256"/>
      <c r="BC87" s="256"/>
      <c r="BD87" s="211"/>
      <c r="BE87" s="229" cm="1">
        <f t="array" ref="BE87">IF(ISBLANK(R87), INDEX(Use, $AH87, 4) - AM87*INDEX(Use, $AH87, 6), R87)</f>
        <v>5</v>
      </c>
      <c r="BF87" s="229">
        <f t="shared" si="12"/>
        <v>30</v>
      </c>
      <c r="BG87" s="229">
        <f t="shared" si="13"/>
        <v>13</v>
      </c>
      <c r="BH87" s="229">
        <f t="shared" si="14"/>
        <v>0</v>
      </c>
      <c r="BI87" s="234" cm="1">
        <f t="array" ref="BI87">K87/IF($L87&gt;0, INDEX($AU$23:$BA$77, $L87+20, $AH87), 1)</f>
        <v>0</v>
      </c>
      <c r="BJ87" s="230">
        <f t="shared" si="15"/>
        <v>0</v>
      </c>
      <c r="BK87" s="229">
        <v>35</v>
      </c>
      <c r="BL87" s="230">
        <f t="shared" si="16"/>
        <v>48</v>
      </c>
      <c r="BM87" s="235">
        <f t="shared" si="17"/>
        <v>2.9108720930232557</v>
      </c>
      <c r="BN87" s="235" cm="1">
        <f t="array" ref="BN87">$BI87 * SUMPRODUCT(INDEX($AR$77:$AT$82,,$AI87),INDEX($AU$77:$BA$82,,$AH87), N($AQ$77:$AQ$82&gt;$AO87)) / BM87 / 1000</f>
        <v>0</v>
      </c>
      <c r="BO87" s="232">
        <f t="shared" si="18"/>
        <v>30</v>
      </c>
      <c r="BP87" s="230">
        <f t="shared" si="19"/>
        <v>43</v>
      </c>
      <c r="BQ87" s="235">
        <f t="shared" si="20"/>
        <v>3.2938815789473681</v>
      </c>
      <c r="BR87" s="235" cm="1">
        <f t="array" ref="BR87">$BI87 * IF($AH87&lt;=2,
SUMPRODUCT(INDEX($AR$72:$AT$76,,$AI87), INDEX($AU$72:$BA$76,,$AH87), 1 / ($BB$72:$BB$76*BQ87 + (1-$BB$72:$BB$76)*BM87), N($AQ$72:$AQ$76&gt;$AO87)),
SUMPRODUCT(INDEX($AR$67:$AT$76,,$AI87), INDEX($AU$67:$BA$76,,$AH87), 1 / ($BC$67:$BC$76*BQ87 + (1-$BC$67:$BC$76)*BM87), N($AQ$67:$AQ$76&gt;$AO87))
) / 1000</f>
        <v>0</v>
      </c>
      <c r="BS87" s="232">
        <f t="shared" si="21"/>
        <v>25</v>
      </c>
      <c r="BT87" s="230">
        <f t="shared" si="22"/>
        <v>38</v>
      </c>
      <c r="BU87" s="235">
        <f t="shared" si="23"/>
        <v>3.792954545454545</v>
      </c>
      <c r="BV87" s="235" cm="1">
        <f t="array" ref="BV87">$BI87 * IF($AH87&lt;=2,
SUMPRODUCT(INDEX($AR$67:$AT$71,,$AI87), INDEX($AU$67:$BA$71,,$AH87), 1 / ($BB$67:$BB$71*BU87 + (1-$BB$67:$BB$71)*BQ87), N($AQ$67:$AQ$71&gt;$AO87)),
SUMPRODUCT(INDEX($AR$57:$AT$66,,$AI87), INDEX($AU$57:$BA$66,,$AH87), 1 / ($BC$57:$BC$66*BU87 + (1-$BC$57:$BC$66)*BQ87), N($AQ$57:$AQ$66&gt;$AO87))
) / 1000</f>
        <v>0</v>
      </c>
      <c r="BW87" s="232">
        <f t="shared" si="24"/>
        <v>20</v>
      </c>
      <c r="BX87" s="230">
        <f t="shared" si="25"/>
        <v>33</v>
      </c>
      <c r="BY87" s="235">
        <f t="shared" si="26"/>
        <v>4.4702678571428569</v>
      </c>
      <c r="BZ87" s="235" cm="1">
        <f t="array" ref="BZ87">$BI87 * IF($AH87&lt;=2,
SUMPRODUCT(INDEX($AR$62:$AT$66,,$AI87), INDEX($AU$62:$BA$66,,$AH87), 1 / ($BB$62:$BB$66*BY87 + (1-$BB$62:$BB$66)*BU87), N($AQ$62:$AQ$66&gt;$AO87)),
SUMPRODUCT(INDEX($AR$47:$AT$56,,$AI87), INDEX($AU$47:$BA$56,,$AH87), 1 / ($BC$47:$BC$56*BY87 + (1-$BC$47:$BC$56)*BU87), N($AQ$47:$AQ$56&gt;$AO87))
) / 1000</f>
        <v>0</v>
      </c>
      <c r="CA87" s="235" cm="1">
        <f t="array" ref="CA87">$BI87 * IF($AH87&lt;=2,
SUMPRODUCT(INDEX($AR$23:$AT$61,,$AI87), INDEX($AU$23:$BA$61,,$AH87), 1 / ($BB$23:$BB$61*BY87), N($AQ$23:$AQ$61&gt;$AO87)),
SUMPRODUCT(INDEX($AR$23:$AT$46,,$AI87), INDEX($AU$23:$BA$46,,$AH87), 1 / ($BC$23:$BC$46*BY87), N($AQ$23:$AQ$46&gt;$AO87))
) / 1000</f>
        <v>0</v>
      </c>
      <c r="CB87" s="230">
        <f t="shared" si="27"/>
        <v>0</v>
      </c>
      <c r="CC87" s="238"/>
      <c r="CD87" s="229" cm="1">
        <f t="array" ref="CD87">IF(ISBLANK(Y87), INDEX(Use, $AH87, 4) - AN87*INDEX(Use, $AH87, 6) - (Q87-X87), Y87)</f>
        <v>7</v>
      </c>
      <c r="CE87" s="229">
        <f t="shared" si="28"/>
        <v>32</v>
      </c>
      <c r="CF87" s="230">
        <f t="shared" si="29"/>
        <v>0</v>
      </c>
      <c r="CG87" s="229">
        <v>35</v>
      </c>
      <c r="CH87" s="230">
        <f t="shared" si="30"/>
        <v>48</v>
      </c>
      <c r="CI87" s="235">
        <f t="shared" si="31"/>
        <v>3.0748170731707316</v>
      </c>
      <c r="CJ87" s="235" cm="1">
        <f t="array" ref="CJ87">$BI87 * SUMPRODUCT(INDEX($AR$77:$AT$82,,$AI87),INDEX($AU$77:$BA$82,,$AH87), N($AQ$77:$AQ$82&gt;$AO87)) / CI87 / 1000</f>
        <v>0</v>
      </c>
      <c r="CK87" s="232">
        <f t="shared" si="32"/>
        <v>30</v>
      </c>
      <c r="CL87" s="230">
        <f t="shared" si="33"/>
        <v>43</v>
      </c>
      <c r="CM87" s="235">
        <f t="shared" si="34"/>
        <v>3.5018750000000001</v>
      </c>
      <c r="CN87" s="235" cm="1">
        <f t="array" ref="CN87">$BI87 * IF($AH87&lt;=2,
SUMPRODUCT(INDEX($AR$72:$AT$76,,$AI87), INDEX($AU$72:$BA$76,,$AH87), 1 / ($BB$72:$BB$76*CM87 + (1-$BB$72:$BB$76)*CI87), N($AQ$72:$AQ$76&gt;$AO87)),
SUMPRODUCT(INDEX($AR$67:$AT$76,,$AI87), INDEX($AU$67:$BA$76,,$AH87), 1 / ($BC$67:$BC$76*CM87 + (1-$BC$67:$BC$76)*CI87), N($AQ$67:$AQ$76&gt;$AO87))
) / 1000</f>
        <v>0</v>
      </c>
      <c r="CO87" s="232">
        <f t="shared" si="35"/>
        <v>25</v>
      </c>
      <c r="CP87" s="230">
        <f t="shared" si="36"/>
        <v>38</v>
      </c>
      <c r="CQ87" s="235">
        <f t="shared" si="37"/>
        <v>4.0666935483870965</v>
      </c>
      <c r="CR87" s="235" cm="1">
        <f t="array" ref="CR87">$BI87 * IF($AH87&lt;=2,
SUMPRODUCT(INDEX($AR$67:$AT$71,,$AI87), INDEX($AU$67:$BA$71,,$AH87), 1 / ($BB$67:$BB$71*CQ87 + (1-$BB$67:$BB$71)*CM87), N($AQ$67:$AQ$71&gt;$AO87)),
SUMPRODUCT(INDEX($AR$57:$AT$66,,$AI87), INDEX($AU$57:$BA$66,,$AH87), 1 / ($BC$57:$BC$66*CQ87 + (1-$BC$57:$BC$66)*CM87), N($AQ$57:$AQ$66&gt;$AO87))
) / 1000</f>
        <v>0</v>
      </c>
      <c r="CS87" s="232">
        <f t="shared" si="38"/>
        <v>20</v>
      </c>
      <c r="CT87" s="230">
        <f t="shared" si="39"/>
        <v>33</v>
      </c>
      <c r="CU87" s="235">
        <f t="shared" si="40"/>
        <v>4.8487499999999999</v>
      </c>
      <c r="CV87" s="235" cm="1">
        <f t="array" ref="CV87">$BI87 * IF($AH87&lt;=2,
SUMPRODUCT(INDEX($AR$62:$AT$66,,$AI87), INDEX($AU$62:$BA$66,,$AH87), 1 / ($BB$62:$BB$66*CU87 + (1-$BB$62:$BB$66)*CQ87), N($AQ$62:$AQ$66&gt;$AO87)),
SUMPRODUCT(INDEX($AR$47:$AT$56,,$AI87), INDEX($AU$47:$BA$56,,$AH87), 1 / ($BC$47:$BC$56*CU87 + (1-$BC$47:$BC$56)*CQ87), N($AQ$47:$AQ$56&gt;$AO87))
) / 1000</f>
        <v>0</v>
      </c>
      <c r="CW87" s="235" cm="1">
        <f t="array" ref="CW87">$BI87 * IF($AH87&lt;=2,
SUMPRODUCT(INDEX($AR$23:$AT$61,,$AI87), INDEX($AU$23:$BA$61,,$AH87), 1 / ($BB$23:$BB$61*CU87), N($AQ$23:$AQ$61&gt;$AO87)),
SUMPRODUCT(INDEX($AR$23:$AT$46,,$AI87), INDEX($AU$23:$BA$46,,$AH87), 1 / ($BC$23:$BC$46*CU87), N($AQ$23:$AQ$46&gt;$AO87))
) / 1000</f>
        <v>0</v>
      </c>
      <c r="CX87" s="230">
        <f t="shared" si="41"/>
        <v>0</v>
      </c>
      <c r="CY87" s="238"/>
    </row>
    <row r="88" spans="1:103" s="76" customFormat="1" ht="14.25" customHeight="1" x14ac:dyDescent="0.25">
      <c r="A88" s="231" t="b">
        <f t="shared" si="229"/>
        <v>0</v>
      </c>
      <c r="B88" s="245">
        <v>66</v>
      </c>
      <c r="C88" s="258"/>
      <c r="D88" s="258"/>
      <c r="E88" s="246"/>
      <c r="F88" s="247" t="str">
        <f>IF(ISBLANK(E88), "", VLOOKUP(E88, Z!$A$2:$C$4127, 3, FALSE))</f>
        <v/>
      </c>
      <c r="G88" s="248"/>
      <c r="H88" s="248"/>
      <c r="I88" s="249"/>
      <c r="J88" s="250"/>
      <c r="K88" s="259"/>
      <c r="L88" s="260"/>
      <c r="M88" s="252" t="str" cm="1">
        <f t="array" ref="M88">INDEX(Trad, 53, $A$20)</f>
        <v>Verschmutzt</v>
      </c>
      <c r="N88" s="253"/>
      <c r="O88" s="253"/>
      <c r="P88" s="254"/>
      <c r="Q88" s="251"/>
      <c r="R88" s="251"/>
      <c r="S88" s="264">
        <f t="shared" ref="S88:S122" si="235">CB88*1000</f>
        <v>0</v>
      </c>
      <c r="T88" s="252" t="str" cm="1">
        <f t="array" ref="T88">INDEX(Trad, 52, $A$20)</f>
        <v>Sauber</v>
      </c>
      <c r="U88" s="253"/>
      <c r="V88" s="253"/>
      <c r="W88" s="254"/>
      <c r="X88" s="251"/>
      <c r="Y88" s="251"/>
      <c r="Z88" s="264">
        <f t="shared" ref="Z88:Z122" si="236">CX88*1000</f>
        <v>0</v>
      </c>
      <c r="AA88" s="261"/>
      <c r="AB88" s="258"/>
      <c r="AC88" s="246"/>
      <c r="AD88" s="247" t="str">
        <f>IF(ISBLANK(AC88), "", VLOOKUP(AC88, Z!$A$2:$C$4127, 3, FALSE))</f>
        <v/>
      </c>
      <c r="AE88" s="262"/>
      <c r="AF88" s="263">
        <f t="shared" si="230"/>
        <v>0</v>
      </c>
      <c r="AG88" s="238"/>
      <c r="AH88" s="229">
        <f t="shared" ref="AH88" si="237">IF(ISBLANK(H88), 1, IFERROR(MATCH(H88, INDEX(Use,,1), 0), IFERROR(MATCH(H88, INDEX(Use,,2), 0), MATCH(H88, INDEX(Use,,3), 0))))</f>
        <v>1</v>
      </c>
      <c r="AI88" s="229">
        <f t="shared" ref="AI88" si="238">IF(ISBLANK(G88), 1, IFERROR(MATCH(G88, INDEX(Loc,,1), 0), IFERROR(MATCH(G88, INDEX(Loc,,2), 0), MATCH(G88, INDEX(Loc,,3), 0))))</f>
        <v>1</v>
      </c>
      <c r="AJ88" s="229">
        <f t="shared" ref="AJ88" si="239">_xlfn.IFNA(IF(IFERROR(MATCH(I88, INDEX(Medium,,1), 0), IFERROR(MATCH(I88, INDEX(Medium,,2), 0), MATCH(I88, INDEX(Medium,,3), 0))) = 2, 1, 0), 0)</f>
        <v>0</v>
      </c>
      <c r="AK88" s="229">
        <v>0</v>
      </c>
      <c r="AL88" s="229">
        <v>0</v>
      </c>
      <c r="AM88" s="229">
        <v>1</v>
      </c>
      <c r="AN88" s="229">
        <v>0</v>
      </c>
      <c r="AO88" s="229">
        <f t="shared" si="234"/>
        <v>-100</v>
      </c>
      <c r="AP88" s="238"/>
      <c r="AQ88" s="255"/>
      <c r="AR88" s="255"/>
      <c r="AS88" s="255"/>
      <c r="AT88" s="255"/>
      <c r="AU88" s="256"/>
      <c r="AV88" s="256"/>
      <c r="AW88" s="256"/>
      <c r="AX88" s="256"/>
      <c r="AY88" s="256"/>
      <c r="AZ88" s="256"/>
      <c r="BA88" s="256"/>
      <c r="BB88" s="256"/>
      <c r="BC88" s="256"/>
      <c r="BD88" s="211"/>
      <c r="BE88" s="229" cm="1">
        <f t="array" ref="BE88">IF(ISBLANK(R88), INDEX(Use, $AH88, 4) - AM88*INDEX(Use, $AH88, 6), R88)</f>
        <v>5</v>
      </c>
      <c r="BF88" s="229">
        <f t="shared" ref="BF88:BF122" si="240">MAX(25, BE88+25)</f>
        <v>30</v>
      </c>
      <c r="BG88" s="229">
        <f t="shared" ref="BG88:BG342" si="241">IF($AJ88=1, 6, IF($AH88=4, 10, 13))</f>
        <v>13</v>
      </c>
      <c r="BH88" s="229">
        <f t="shared" ref="BH88:BH342" si="242">IF($AJ88=1, 9, 0)</f>
        <v>0</v>
      </c>
      <c r="BI88" s="234" cm="1">
        <f t="array" ref="BI88">K88/IF($L88&gt;0, INDEX($AU$23:$BA$77, $L88+20, $AH88), 1)</f>
        <v>0</v>
      </c>
      <c r="BJ88" s="230">
        <f t="shared" ref="BJ88:BJ122" si="243">P88 /  IF(AH88&lt;=2, 0.7 + 0.3 * (O88-20)/(35-20), 0.4 + 0.6 * (O88-5)/(35-5))</f>
        <v>0</v>
      </c>
      <c r="BK88" s="229">
        <v>35</v>
      </c>
      <c r="BL88" s="230">
        <f t="shared" ref="BL88:BL122" si="244">MAX($N88, MAX($BF88, $BK88 + $BG88 + $BH88 + 0.35*$AK88*$BG88 + BJ88))</f>
        <v>48</v>
      </c>
      <c r="BM88" s="235">
        <f t="shared" ref="BM88:BM122" si="245">0.45*($BE88+273.15)/(BL88-$BE88)</f>
        <v>2.9108720930232557</v>
      </c>
      <c r="BN88" s="235" cm="1">
        <f t="array" ref="BN88">$BI88 * SUMPRODUCT(INDEX($AR$77:$AT$82,,$AI88),INDEX($AU$77:$BA$82,,$AH88), N($AQ$77:$AQ$82&gt;$AO88)) / BM88 / 1000</f>
        <v>0</v>
      </c>
      <c r="BO88" s="232">
        <f t="shared" ref="BO88:BO342" si="246">IF($AH88&lt;=2, 30, 25)</f>
        <v>30</v>
      </c>
      <c r="BP88" s="230">
        <f t="shared" ref="BP88:BP122" si="247">MAX($N88, MAX($BF88, BO88 + $BG88 + $BH88 + IF($AH88&lt;=2, (BO88-20)/(35-20), 0.6+0.4*(BO88-5)/(35-5))*0.35*$AK88*$BG88) + IF($AH88&lt;=2,0.9,0.8)*$BJ88)</f>
        <v>43</v>
      </c>
      <c r="BQ88" s="235">
        <f t="shared" ref="BQ88:BQ122" si="248">0.45*($BE88+273.15)/(BP88-$BE88)</f>
        <v>3.2938815789473681</v>
      </c>
      <c r="BR88" s="235" cm="1">
        <f t="array" ref="BR88">$BI88 * IF($AH88&lt;=2,
SUMPRODUCT(INDEX($AR$72:$AT$76,,$AI88), INDEX($AU$72:$BA$76,,$AH88), 1 / ($BB$72:$BB$76*BQ88 + (1-$BB$72:$BB$76)*BM88), N($AQ$72:$AQ$76&gt;$AO88)),
SUMPRODUCT(INDEX($AR$67:$AT$76,,$AI88), INDEX($AU$67:$BA$76,,$AH88), 1 / ($BC$67:$BC$76*BQ88 + (1-$BC$67:$BC$76)*BM88), N($AQ$67:$AQ$76&gt;$AO88))
) / 1000</f>
        <v>0</v>
      </c>
      <c r="BS88" s="232">
        <f t="shared" ref="BS88:BS342" si="249">IF($AH88&lt;=2, 25, 15)</f>
        <v>25</v>
      </c>
      <c r="BT88" s="230">
        <f t="shared" ref="BT88:BT122" si="250">MAX($N88, MAX($BF88, BS88 + $BG88 + $BH88 + IF($AH88&lt;=2, (BS88-20)/(35-20), 0.6+0.4*(BS88-5)/(35-5))*0.35*$AK88*$BG88) + IF($AH88&lt;=2,0.8,0.6)*$BJ88)</f>
        <v>38</v>
      </c>
      <c r="BU88" s="235">
        <f t="shared" ref="BU88:BU122" si="251">0.45*($BE88+273.15)/(BT88-$BE88)</f>
        <v>3.792954545454545</v>
      </c>
      <c r="BV88" s="235" cm="1">
        <f t="array" ref="BV88">$BI88 * IF($AH88&lt;=2,
SUMPRODUCT(INDEX($AR$67:$AT$71,,$AI88), INDEX($AU$67:$BA$71,,$AH88), 1 / ($BB$67:$BB$71*BU88 + (1-$BB$67:$BB$71)*BQ88), N($AQ$67:$AQ$71&gt;$AO88)),
SUMPRODUCT(INDEX($AR$57:$AT$66,,$AI88), INDEX($AU$57:$BA$66,,$AH88), 1 / ($BC$57:$BC$66*BU88 + (1-$BC$57:$BC$66)*BQ88), N($AQ$57:$AQ$66&gt;$AO88))
) / 1000</f>
        <v>0</v>
      </c>
      <c r="BW88" s="232">
        <f t="shared" ref="BW88:BW342" si="252">IF($AH88&lt;=2, 20, 5)</f>
        <v>20</v>
      </c>
      <c r="BX88" s="230">
        <f t="shared" ref="BX88:BX122" si="253">MAX($N88, MAX($BF88, BW88 + $BG88 + $BH88 + IF($AH88&lt;=2, (BW88-20)/(35-20), 0.6+0.4*(BW88-5)/(35-5))*0.35*$AK88*$BG88) + IF($AH88&lt;=2,0.7,0.4)*$BJ88)</f>
        <v>33</v>
      </c>
      <c r="BY88" s="235">
        <f t="shared" ref="BY88:BY122" si="254">0.45*($BE88+273.15)/(BX88-$BE88)</f>
        <v>4.4702678571428569</v>
      </c>
      <c r="BZ88" s="235" cm="1">
        <f t="array" ref="BZ88">$BI88 * IF($AH88&lt;=2,
SUMPRODUCT(INDEX($AR$62:$AT$66,,$AI88), INDEX($AU$62:$BA$66,,$AH88), 1 / ($BB$62:$BB$66*BY88 + (1-$BB$62:$BB$66)*BU88), N($AQ$62:$AQ$66&gt;$AO88)),
SUMPRODUCT(INDEX($AR$47:$AT$56,,$AI88), INDEX($AU$47:$BA$56,,$AH88), 1 / ($BC$47:$BC$56*BY88 + (1-$BC$47:$BC$56)*BU88), N($AQ$47:$AQ$56&gt;$AO88))
) / 1000</f>
        <v>0</v>
      </c>
      <c r="CA88" s="235" cm="1">
        <f t="array" ref="CA88">$BI88 * IF($AH88&lt;=2,
SUMPRODUCT(INDEX($AR$23:$AT$61,,$AI88), INDEX($AU$23:$BA$61,,$AH88), 1 / ($BB$23:$BB$61*BY88), N($AQ$23:$AQ$61&gt;$AO88)),
SUMPRODUCT(INDEX($AR$23:$AT$46,,$AI88), INDEX($AU$23:$BA$46,,$AH88), 1 / ($BC$23:$BC$46*BY88), N($AQ$23:$AQ$46&gt;$AO88))
) / 1000</f>
        <v>0</v>
      </c>
      <c r="CB88" s="230">
        <f t="shared" ref="CB88:CB122" si="255">BN88+BR88+BV88+BZ88+CA88</f>
        <v>0</v>
      </c>
      <c r="CC88" s="238"/>
      <c r="CD88" s="229" cm="1">
        <f t="array" ref="CD88">IF(ISBLANK(Y88), INDEX(Use, $AH88, 4) - AN88*INDEX(Use, $AH88, 6) - (Q88-X88), Y88)</f>
        <v>7</v>
      </c>
      <c r="CE88" s="229">
        <f t="shared" ref="CE88:CE122" si="256">MAX(25, CD88+25)</f>
        <v>32</v>
      </c>
      <c r="CF88" s="230">
        <f t="shared" ref="CF88:CF122" si="257">W88 /  IF(AH88&lt;=2, 0.7 + 0.3 * (V88-20)/(35-20), 0.4 + 0.6 * (V88-5)/(35-5))</f>
        <v>0</v>
      </c>
      <c r="CG88" s="229">
        <v>35</v>
      </c>
      <c r="CH88" s="230">
        <f t="shared" ref="CH88:CH122" si="258">MAX($U88, MAX($CE88, $BK88 + $BG88 + $BH88 + 0.35*$AL88*$BG88 + CF88))</f>
        <v>48</v>
      </c>
      <c r="CI88" s="235">
        <f t="shared" ref="CI88:CI122" si="259">0.45*($CD88+273.15)/(CH88-$CD88)</f>
        <v>3.0748170731707316</v>
      </c>
      <c r="CJ88" s="235" cm="1">
        <f t="array" ref="CJ88">$BI88 * SUMPRODUCT(INDEX($AR$77:$AT$82,,$AI88),INDEX($AU$77:$BA$82,,$AH88), N($AQ$77:$AQ$82&gt;$AO88)) / CI88 / 1000</f>
        <v>0</v>
      </c>
      <c r="CK88" s="232">
        <f t="shared" ref="CK88:CK342" si="260">IF($AH88&lt;=2, 30, 25)</f>
        <v>30</v>
      </c>
      <c r="CL88" s="230">
        <f t="shared" ref="CL88:CL122" si="261">MAX($U88, MAX($CE88, CK88 + $BG88 + $BH88 + IF($AH88&lt;=2, (CK88-20)/(35-20), 0.6+0.4*(CK88-5)/(35-5))*0.35*$AL88*$BG88) + IF($AH88&lt;=2,0.9,0.8)*$CF88)</f>
        <v>43</v>
      </c>
      <c r="CM88" s="235">
        <f t="shared" ref="CM88:CM122" si="262">0.45*($CD88+273.15)/(CL88-$CD88)</f>
        <v>3.5018750000000001</v>
      </c>
      <c r="CN88" s="235" cm="1">
        <f t="array" ref="CN88">$BI88 * IF($AH88&lt;=2,
SUMPRODUCT(INDEX($AR$72:$AT$76,,$AI88), INDEX($AU$72:$BA$76,,$AH88), 1 / ($BB$72:$BB$76*CM88 + (1-$BB$72:$BB$76)*CI88), N($AQ$72:$AQ$76&gt;$AO88)),
SUMPRODUCT(INDEX($AR$67:$AT$76,,$AI88), INDEX($AU$67:$BA$76,,$AH88), 1 / ($BC$67:$BC$76*CM88 + (1-$BC$67:$BC$76)*CI88), N($AQ$67:$AQ$76&gt;$AO88))
) / 1000</f>
        <v>0</v>
      </c>
      <c r="CO88" s="232">
        <f t="shared" ref="CO88:CO342" si="263">IF($AH88&lt;=2, 25, 15)</f>
        <v>25</v>
      </c>
      <c r="CP88" s="230">
        <f t="shared" ref="CP88:CP122" si="264">MAX($U88, MAX($CE88, CO88 + $BG88 + $BH88 + IF($AH88&lt;=2, (CO88-20)/(35-20), 0.6+0.4*(CO88-5)/(35-5))*0.35*$AL88*$BG88) + IF($AH88&lt;=2,0.8,0.6)*$CF88)</f>
        <v>38</v>
      </c>
      <c r="CQ88" s="235">
        <f t="shared" ref="CQ88:CQ122" si="265">0.45*($CD88+273.15)/(CP88-$CD88)</f>
        <v>4.0666935483870965</v>
      </c>
      <c r="CR88" s="235" cm="1">
        <f t="array" ref="CR88">$BI88 * IF($AH88&lt;=2,
SUMPRODUCT(INDEX($AR$67:$AT$71,,$AI88), INDEX($AU$67:$BA$71,,$AH88), 1 / ($BB$67:$BB$71*CQ88 + (1-$BB$67:$BB$71)*CM88), N($AQ$67:$AQ$71&gt;$AO88)),
SUMPRODUCT(INDEX($AR$57:$AT$66,,$AI88), INDEX($AU$57:$BA$66,,$AH88), 1 / ($BC$57:$BC$66*CQ88 + (1-$BC$57:$BC$66)*CM88), N($AQ$57:$AQ$66&gt;$AO88))
) / 1000</f>
        <v>0</v>
      </c>
      <c r="CS88" s="232">
        <f t="shared" ref="CS88:CS342" si="266">IF($AH88&lt;=2, 20, 5)</f>
        <v>20</v>
      </c>
      <c r="CT88" s="230">
        <f t="shared" ref="CT88:CT122" si="267">MAX($U88, MAX($CE88, CS88 + $BG88 + $BH88 + IF($AH88&lt;=2, (CS88-20)/(35-20), 0.6+0.4*(CS88-5)/(35-5))*0.35*$AL88*$BG88) + IF($AH88&lt;=2,0.7,0.4)*$CF88)</f>
        <v>33</v>
      </c>
      <c r="CU88" s="235">
        <f t="shared" ref="CU88:CU122" si="268">0.45*($CD88+273.15)/(CT88-$CD88)</f>
        <v>4.8487499999999999</v>
      </c>
      <c r="CV88" s="235" cm="1">
        <f t="array" ref="CV88">$BI88 * IF($AH88&lt;=2,
SUMPRODUCT(INDEX($AR$62:$AT$66,,$AI88), INDEX($AU$62:$BA$66,,$AH88), 1 / ($BB$62:$BB$66*CU88 + (1-$BB$62:$BB$66)*CQ88), N($AQ$62:$AQ$66&gt;$AO88)),
SUMPRODUCT(INDEX($AR$47:$AT$56,,$AI88), INDEX($AU$47:$BA$56,,$AH88), 1 / ($BC$47:$BC$56*CU88 + (1-$BC$47:$BC$56)*CQ88), N($AQ$47:$AQ$56&gt;$AO88))
) / 1000</f>
        <v>0</v>
      </c>
      <c r="CW88" s="235" cm="1">
        <f t="array" ref="CW88">$BI88 * IF($AH88&lt;=2,
SUMPRODUCT(INDEX($AR$23:$AT$61,,$AI88), INDEX($AU$23:$BA$61,,$AH88), 1 / ($BB$23:$BB$61*CU88), N($AQ$23:$AQ$61&gt;$AO88)),
SUMPRODUCT(INDEX($AR$23:$AT$46,,$AI88), INDEX($AU$23:$BA$46,,$AH88), 1 / ($BC$23:$BC$46*CU88), N($AQ$23:$AQ$46&gt;$AO88))
) / 1000</f>
        <v>0</v>
      </c>
      <c r="CX88" s="230">
        <f t="shared" ref="CX88:CX122" si="269">CJ88+CN88+CR88+CV88+CW88</f>
        <v>0</v>
      </c>
      <c r="CY88" s="238"/>
    </row>
    <row r="89" spans="1:103" s="76" customFormat="1" ht="14.25" customHeight="1" x14ac:dyDescent="0.25">
      <c r="A89" s="231" t="b">
        <f t="shared" si="229"/>
        <v>0</v>
      </c>
      <c r="B89" s="245">
        <v>67</v>
      </c>
      <c r="C89" s="258"/>
      <c r="D89" s="258"/>
      <c r="E89" s="246"/>
      <c r="F89" s="247" t="str">
        <f>IF(ISBLANK(E89), "", VLOOKUP(E89, Z!$A$2:$C$4127, 3, FALSE))</f>
        <v/>
      </c>
      <c r="G89" s="248"/>
      <c r="H89" s="248"/>
      <c r="I89" s="249"/>
      <c r="J89" s="250"/>
      <c r="K89" s="259"/>
      <c r="L89" s="260"/>
      <c r="M89" s="252" t="str" cm="1">
        <f t="array" ref="M89">INDEX(Trad, 53, $A$20)</f>
        <v>Verschmutzt</v>
      </c>
      <c r="N89" s="253"/>
      <c r="O89" s="253"/>
      <c r="P89" s="254"/>
      <c r="Q89" s="251"/>
      <c r="R89" s="251"/>
      <c r="S89" s="264">
        <f t="shared" si="235"/>
        <v>0</v>
      </c>
      <c r="T89" s="252" t="str" cm="1">
        <f t="array" ref="T89">INDEX(Trad, 52, $A$20)</f>
        <v>Sauber</v>
      </c>
      <c r="U89" s="253"/>
      <c r="V89" s="253"/>
      <c r="W89" s="254"/>
      <c r="X89" s="251"/>
      <c r="Y89" s="251"/>
      <c r="Z89" s="264">
        <f t="shared" si="236"/>
        <v>0</v>
      </c>
      <c r="AA89" s="261"/>
      <c r="AB89" s="258"/>
      <c r="AC89" s="246"/>
      <c r="AD89" s="247" t="str">
        <f>IF(ISBLANK(AC89), "", VLOOKUP(AC89, Z!$A$2:$C$4127, 3, FALSE))</f>
        <v/>
      </c>
      <c r="AE89" s="262"/>
      <c r="AF89" s="263">
        <f t="shared" si="230"/>
        <v>0</v>
      </c>
      <c r="AG89" s="238"/>
      <c r="AH89" s="229">
        <f t="shared" ref="AH89" si="270">IF(ISBLANK(H89), 1, IFERROR(MATCH(H89, INDEX(Use,,1), 0), IFERROR(MATCH(H89, INDEX(Use,,2), 0), MATCH(H89, INDEX(Use,,3), 0))))</f>
        <v>1</v>
      </c>
      <c r="AI89" s="229">
        <f t="shared" ref="AI89" si="271">IF(ISBLANK(G89), 1, IFERROR(MATCH(G89, INDEX(Loc,,1), 0), IFERROR(MATCH(G89, INDEX(Loc,,2), 0), MATCH(G89, INDEX(Loc,,3), 0))))</f>
        <v>1</v>
      </c>
      <c r="AJ89" s="229">
        <f t="shared" ref="AJ89" si="272">_xlfn.IFNA(IF(IFERROR(MATCH(I89, INDEX(Medium,,1), 0), IFERROR(MATCH(I89, INDEX(Medium,,2), 0), MATCH(I89, INDEX(Medium,,3), 0))) = 2, 1, 0), 0)</f>
        <v>0</v>
      </c>
      <c r="AK89" s="229">
        <v>0</v>
      </c>
      <c r="AL89" s="229">
        <v>0</v>
      </c>
      <c r="AM89" s="229">
        <v>1</v>
      </c>
      <c r="AN89" s="229">
        <v>0</v>
      </c>
      <c r="AO89" s="229">
        <f t="shared" si="234"/>
        <v>-100</v>
      </c>
      <c r="AP89" s="238"/>
      <c r="AQ89" s="255"/>
      <c r="AR89" s="255"/>
      <c r="AS89" s="256"/>
      <c r="AT89" s="256"/>
      <c r="AU89" s="256"/>
      <c r="AV89" s="256"/>
      <c r="AW89" s="256"/>
      <c r="AX89" s="256"/>
      <c r="AY89" s="256"/>
      <c r="AZ89" s="256"/>
      <c r="BA89" s="256"/>
      <c r="BB89" s="256"/>
      <c r="BC89" s="256"/>
      <c r="BD89" s="211"/>
      <c r="BE89" s="229" cm="1">
        <f t="array" ref="BE89">IF(ISBLANK(R89), INDEX(Use, $AH89, 4) - AM89*INDEX(Use, $AH89, 6), R89)</f>
        <v>5</v>
      </c>
      <c r="BF89" s="229">
        <f t="shared" si="240"/>
        <v>30</v>
      </c>
      <c r="BG89" s="229">
        <f t="shared" si="241"/>
        <v>13</v>
      </c>
      <c r="BH89" s="229">
        <f t="shared" si="242"/>
        <v>0</v>
      </c>
      <c r="BI89" s="234" cm="1">
        <f t="array" ref="BI89">K89/IF($L89&gt;0, INDEX($AU$23:$BA$77, $L89+20, $AH89), 1)</f>
        <v>0</v>
      </c>
      <c r="BJ89" s="230">
        <f t="shared" si="243"/>
        <v>0</v>
      </c>
      <c r="BK89" s="229">
        <v>35</v>
      </c>
      <c r="BL89" s="230">
        <f t="shared" si="244"/>
        <v>48</v>
      </c>
      <c r="BM89" s="235">
        <f t="shared" si="245"/>
        <v>2.9108720930232557</v>
      </c>
      <c r="BN89" s="235" cm="1">
        <f t="array" ref="BN89">$BI89 * SUMPRODUCT(INDEX($AR$77:$AT$82,,$AI89),INDEX($AU$77:$BA$82,,$AH89), N($AQ$77:$AQ$82&gt;$AO89)) / BM89 / 1000</f>
        <v>0</v>
      </c>
      <c r="BO89" s="232">
        <f t="shared" si="246"/>
        <v>30</v>
      </c>
      <c r="BP89" s="230">
        <f t="shared" si="247"/>
        <v>43</v>
      </c>
      <c r="BQ89" s="235">
        <f t="shared" si="248"/>
        <v>3.2938815789473681</v>
      </c>
      <c r="BR89" s="235" cm="1">
        <f t="array" ref="BR89">$BI89 * IF($AH89&lt;=2,
SUMPRODUCT(INDEX($AR$72:$AT$76,,$AI89), INDEX($AU$72:$BA$76,,$AH89), 1 / ($BB$72:$BB$76*BQ89 + (1-$BB$72:$BB$76)*BM89), N($AQ$72:$AQ$76&gt;$AO89)),
SUMPRODUCT(INDEX($AR$67:$AT$76,,$AI89), INDEX($AU$67:$BA$76,,$AH89), 1 / ($BC$67:$BC$76*BQ89 + (1-$BC$67:$BC$76)*BM89), N($AQ$67:$AQ$76&gt;$AO89))
) / 1000</f>
        <v>0</v>
      </c>
      <c r="BS89" s="232">
        <f t="shared" si="249"/>
        <v>25</v>
      </c>
      <c r="BT89" s="230">
        <f t="shared" si="250"/>
        <v>38</v>
      </c>
      <c r="BU89" s="235">
        <f t="shared" si="251"/>
        <v>3.792954545454545</v>
      </c>
      <c r="BV89" s="235" cm="1">
        <f t="array" ref="BV89">$BI89 * IF($AH89&lt;=2,
SUMPRODUCT(INDEX($AR$67:$AT$71,,$AI89), INDEX($AU$67:$BA$71,,$AH89), 1 / ($BB$67:$BB$71*BU89 + (1-$BB$67:$BB$71)*BQ89), N($AQ$67:$AQ$71&gt;$AO89)),
SUMPRODUCT(INDEX($AR$57:$AT$66,,$AI89), INDEX($AU$57:$BA$66,,$AH89), 1 / ($BC$57:$BC$66*BU89 + (1-$BC$57:$BC$66)*BQ89), N($AQ$57:$AQ$66&gt;$AO89))
) / 1000</f>
        <v>0</v>
      </c>
      <c r="BW89" s="232">
        <f t="shared" si="252"/>
        <v>20</v>
      </c>
      <c r="BX89" s="230">
        <f t="shared" si="253"/>
        <v>33</v>
      </c>
      <c r="BY89" s="235">
        <f t="shared" si="254"/>
        <v>4.4702678571428569</v>
      </c>
      <c r="BZ89" s="235" cm="1">
        <f t="array" ref="BZ89">$BI89 * IF($AH89&lt;=2,
SUMPRODUCT(INDEX($AR$62:$AT$66,,$AI89), INDEX($AU$62:$BA$66,,$AH89), 1 / ($BB$62:$BB$66*BY89 + (1-$BB$62:$BB$66)*BU89), N($AQ$62:$AQ$66&gt;$AO89)),
SUMPRODUCT(INDEX($AR$47:$AT$56,,$AI89), INDEX($AU$47:$BA$56,,$AH89), 1 / ($BC$47:$BC$56*BY89 + (1-$BC$47:$BC$56)*BU89), N($AQ$47:$AQ$56&gt;$AO89))
) / 1000</f>
        <v>0</v>
      </c>
      <c r="CA89" s="235" cm="1">
        <f t="array" ref="CA89">$BI89 * IF($AH89&lt;=2,
SUMPRODUCT(INDEX($AR$23:$AT$61,,$AI89), INDEX($AU$23:$BA$61,,$AH89), 1 / ($BB$23:$BB$61*BY89), N($AQ$23:$AQ$61&gt;$AO89)),
SUMPRODUCT(INDEX($AR$23:$AT$46,,$AI89), INDEX($AU$23:$BA$46,,$AH89), 1 / ($BC$23:$BC$46*BY89), N($AQ$23:$AQ$46&gt;$AO89))
) / 1000</f>
        <v>0</v>
      </c>
      <c r="CB89" s="230">
        <f t="shared" si="255"/>
        <v>0</v>
      </c>
      <c r="CC89" s="238"/>
      <c r="CD89" s="229" cm="1">
        <f t="array" ref="CD89">IF(ISBLANK(Y89), INDEX(Use, $AH89, 4) - AN89*INDEX(Use, $AH89, 6) - (Q89-X89), Y89)</f>
        <v>7</v>
      </c>
      <c r="CE89" s="229">
        <f t="shared" si="256"/>
        <v>32</v>
      </c>
      <c r="CF89" s="230">
        <f t="shared" si="257"/>
        <v>0</v>
      </c>
      <c r="CG89" s="229">
        <v>35</v>
      </c>
      <c r="CH89" s="230">
        <f t="shared" si="258"/>
        <v>48</v>
      </c>
      <c r="CI89" s="235">
        <f t="shared" si="259"/>
        <v>3.0748170731707316</v>
      </c>
      <c r="CJ89" s="235" cm="1">
        <f t="array" ref="CJ89">$BI89 * SUMPRODUCT(INDEX($AR$77:$AT$82,,$AI89),INDEX($AU$77:$BA$82,,$AH89), N($AQ$77:$AQ$82&gt;$AO89)) / CI89 / 1000</f>
        <v>0</v>
      </c>
      <c r="CK89" s="232">
        <f t="shared" si="260"/>
        <v>30</v>
      </c>
      <c r="CL89" s="230">
        <f t="shared" si="261"/>
        <v>43</v>
      </c>
      <c r="CM89" s="235">
        <f t="shared" si="262"/>
        <v>3.5018750000000001</v>
      </c>
      <c r="CN89" s="235" cm="1">
        <f t="array" ref="CN89">$BI89 * IF($AH89&lt;=2,
SUMPRODUCT(INDEX($AR$72:$AT$76,,$AI89), INDEX($AU$72:$BA$76,,$AH89), 1 / ($BB$72:$BB$76*CM89 + (1-$BB$72:$BB$76)*CI89), N($AQ$72:$AQ$76&gt;$AO89)),
SUMPRODUCT(INDEX($AR$67:$AT$76,,$AI89), INDEX($AU$67:$BA$76,,$AH89), 1 / ($BC$67:$BC$76*CM89 + (1-$BC$67:$BC$76)*CI89), N($AQ$67:$AQ$76&gt;$AO89))
) / 1000</f>
        <v>0</v>
      </c>
      <c r="CO89" s="232">
        <f t="shared" si="263"/>
        <v>25</v>
      </c>
      <c r="CP89" s="230">
        <f t="shared" si="264"/>
        <v>38</v>
      </c>
      <c r="CQ89" s="235">
        <f t="shared" si="265"/>
        <v>4.0666935483870965</v>
      </c>
      <c r="CR89" s="235" cm="1">
        <f t="array" ref="CR89">$BI89 * IF($AH89&lt;=2,
SUMPRODUCT(INDEX($AR$67:$AT$71,,$AI89), INDEX($AU$67:$BA$71,,$AH89), 1 / ($BB$67:$BB$71*CQ89 + (1-$BB$67:$BB$71)*CM89), N($AQ$67:$AQ$71&gt;$AO89)),
SUMPRODUCT(INDEX($AR$57:$AT$66,,$AI89), INDEX($AU$57:$BA$66,,$AH89), 1 / ($BC$57:$BC$66*CQ89 + (1-$BC$57:$BC$66)*CM89), N($AQ$57:$AQ$66&gt;$AO89))
) / 1000</f>
        <v>0</v>
      </c>
      <c r="CS89" s="232">
        <f t="shared" si="266"/>
        <v>20</v>
      </c>
      <c r="CT89" s="230">
        <f t="shared" si="267"/>
        <v>33</v>
      </c>
      <c r="CU89" s="235">
        <f t="shared" si="268"/>
        <v>4.8487499999999999</v>
      </c>
      <c r="CV89" s="235" cm="1">
        <f t="array" ref="CV89">$BI89 * IF($AH89&lt;=2,
SUMPRODUCT(INDEX($AR$62:$AT$66,,$AI89), INDEX($AU$62:$BA$66,,$AH89), 1 / ($BB$62:$BB$66*CU89 + (1-$BB$62:$BB$66)*CQ89), N($AQ$62:$AQ$66&gt;$AO89)),
SUMPRODUCT(INDEX($AR$47:$AT$56,,$AI89), INDEX($AU$47:$BA$56,,$AH89), 1 / ($BC$47:$BC$56*CU89 + (1-$BC$47:$BC$56)*CQ89), N($AQ$47:$AQ$56&gt;$AO89))
) / 1000</f>
        <v>0</v>
      </c>
      <c r="CW89" s="235" cm="1">
        <f t="array" ref="CW89">$BI89 * IF($AH89&lt;=2,
SUMPRODUCT(INDEX($AR$23:$AT$61,,$AI89), INDEX($AU$23:$BA$61,,$AH89), 1 / ($BB$23:$BB$61*CU89), N($AQ$23:$AQ$61&gt;$AO89)),
SUMPRODUCT(INDEX($AR$23:$AT$46,,$AI89), INDEX($AU$23:$BA$46,,$AH89), 1 / ($BC$23:$BC$46*CU89), N($AQ$23:$AQ$46&gt;$AO89))
) / 1000</f>
        <v>0</v>
      </c>
      <c r="CX89" s="230">
        <f t="shared" si="269"/>
        <v>0</v>
      </c>
      <c r="CY89" s="238"/>
    </row>
    <row r="90" spans="1:103" s="76" customFormat="1" ht="14.25" customHeight="1" x14ac:dyDescent="0.25">
      <c r="A90" s="231" t="b">
        <f t="shared" si="229"/>
        <v>0</v>
      </c>
      <c r="B90" s="245">
        <v>68</v>
      </c>
      <c r="C90" s="258"/>
      <c r="D90" s="258"/>
      <c r="E90" s="246"/>
      <c r="F90" s="247" t="str">
        <f>IF(ISBLANK(E90), "", VLOOKUP(E90, Z!$A$2:$C$4127, 3, FALSE))</f>
        <v/>
      </c>
      <c r="G90" s="248"/>
      <c r="H90" s="248"/>
      <c r="I90" s="249"/>
      <c r="J90" s="250"/>
      <c r="K90" s="259"/>
      <c r="L90" s="260"/>
      <c r="M90" s="252" t="str" cm="1">
        <f t="array" ref="M90">INDEX(Trad, 53, $A$20)</f>
        <v>Verschmutzt</v>
      </c>
      <c r="N90" s="253"/>
      <c r="O90" s="253"/>
      <c r="P90" s="254"/>
      <c r="Q90" s="251"/>
      <c r="R90" s="251"/>
      <c r="S90" s="264">
        <f t="shared" si="235"/>
        <v>0</v>
      </c>
      <c r="T90" s="252" t="str" cm="1">
        <f t="array" ref="T90">INDEX(Trad, 52, $A$20)</f>
        <v>Sauber</v>
      </c>
      <c r="U90" s="253"/>
      <c r="V90" s="253"/>
      <c r="W90" s="254"/>
      <c r="X90" s="251"/>
      <c r="Y90" s="251"/>
      <c r="Z90" s="264">
        <f t="shared" si="236"/>
        <v>0</v>
      </c>
      <c r="AA90" s="261"/>
      <c r="AB90" s="258"/>
      <c r="AC90" s="246"/>
      <c r="AD90" s="247" t="str">
        <f>IF(ISBLANK(AC90), "", VLOOKUP(AC90, Z!$A$2:$C$4127, 3, FALSE))</f>
        <v/>
      </c>
      <c r="AE90" s="262"/>
      <c r="AF90" s="263">
        <f t="shared" si="230"/>
        <v>0</v>
      </c>
      <c r="AG90" s="238"/>
      <c r="AH90" s="229">
        <f t="shared" ref="AH90" si="273">IF(ISBLANK(H90), 1, IFERROR(MATCH(H90, INDEX(Use,,1), 0), IFERROR(MATCH(H90, INDEX(Use,,2), 0), MATCH(H90, INDEX(Use,,3), 0))))</f>
        <v>1</v>
      </c>
      <c r="AI90" s="229">
        <f t="shared" ref="AI90" si="274">IF(ISBLANK(G90), 1, IFERROR(MATCH(G90, INDEX(Loc,,1), 0), IFERROR(MATCH(G90, INDEX(Loc,,2), 0), MATCH(G90, INDEX(Loc,,3), 0))))</f>
        <v>1</v>
      </c>
      <c r="AJ90" s="229">
        <f t="shared" ref="AJ90" si="275">_xlfn.IFNA(IF(IFERROR(MATCH(I90, INDEX(Medium,,1), 0), IFERROR(MATCH(I90, INDEX(Medium,,2), 0), MATCH(I90, INDEX(Medium,,3), 0))) = 2, 1, 0), 0)</f>
        <v>0</v>
      </c>
      <c r="AK90" s="229">
        <v>0</v>
      </c>
      <c r="AL90" s="229">
        <v>0</v>
      </c>
      <c r="AM90" s="229">
        <v>1</v>
      </c>
      <c r="AN90" s="229">
        <v>0</v>
      </c>
      <c r="AO90" s="229">
        <f t="shared" si="234"/>
        <v>-100</v>
      </c>
      <c r="AP90" s="238"/>
      <c r="AQ90" s="255"/>
      <c r="AR90" s="255"/>
      <c r="AS90" s="256"/>
      <c r="AT90" s="256"/>
      <c r="AU90" s="256"/>
      <c r="AV90" s="256"/>
      <c r="AW90" s="256"/>
      <c r="AX90" s="256"/>
      <c r="AY90" s="256"/>
      <c r="AZ90" s="256"/>
      <c r="BA90" s="256"/>
      <c r="BB90" s="256"/>
      <c r="BC90" s="256"/>
      <c r="BD90" s="211"/>
      <c r="BE90" s="229" cm="1">
        <f t="array" ref="BE90">IF(ISBLANK(R90), INDEX(Use, $AH90, 4) - AM90*INDEX(Use, $AH90, 6), R90)</f>
        <v>5</v>
      </c>
      <c r="BF90" s="229">
        <f t="shared" si="240"/>
        <v>30</v>
      </c>
      <c r="BG90" s="229">
        <f t="shared" si="241"/>
        <v>13</v>
      </c>
      <c r="BH90" s="229">
        <f t="shared" si="242"/>
        <v>0</v>
      </c>
      <c r="BI90" s="234" cm="1">
        <f t="array" ref="BI90">K90/IF($L90&gt;0, INDEX($AU$23:$BA$77, $L90+20, $AH90), 1)</f>
        <v>0</v>
      </c>
      <c r="BJ90" s="230">
        <f t="shared" si="243"/>
        <v>0</v>
      </c>
      <c r="BK90" s="229">
        <v>35</v>
      </c>
      <c r="BL90" s="230">
        <f t="shared" si="244"/>
        <v>48</v>
      </c>
      <c r="BM90" s="235">
        <f t="shared" si="245"/>
        <v>2.9108720930232557</v>
      </c>
      <c r="BN90" s="235" cm="1">
        <f t="array" ref="BN90">$BI90 * SUMPRODUCT(INDEX($AR$77:$AT$82,,$AI90),INDEX($AU$77:$BA$82,,$AH90), N($AQ$77:$AQ$82&gt;$AO90)) / BM90 / 1000</f>
        <v>0</v>
      </c>
      <c r="BO90" s="232">
        <f t="shared" si="246"/>
        <v>30</v>
      </c>
      <c r="BP90" s="230">
        <f t="shared" si="247"/>
        <v>43</v>
      </c>
      <c r="BQ90" s="235">
        <f t="shared" si="248"/>
        <v>3.2938815789473681</v>
      </c>
      <c r="BR90" s="235" cm="1">
        <f t="array" ref="BR90">$BI90 * IF($AH90&lt;=2,
SUMPRODUCT(INDEX($AR$72:$AT$76,,$AI90), INDEX($AU$72:$BA$76,,$AH90), 1 / ($BB$72:$BB$76*BQ90 + (1-$BB$72:$BB$76)*BM90), N($AQ$72:$AQ$76&gt;$AO90)),
SUMPRODUCT(INDEX($AR$67:$AT$76,,$AI90), INDEX($AU$67:$BA$76,,$AH90), 1 / ($BC$67:$BC$76*BQ90 + (1-$BC$67:$BC$76)*BM90), N($AQ$67:$AQ$76&gt;$AO90))
) / 1000</f>
        <v>0</v>
      </c>
      <c r="BS90" s="232">
        <f t="shared" si="249"/>
        <v>25</v>
      </c>
      <c r="BT90" s="230">
        <f t="shared" si="250"/>
        <v>38</v>
      </c>
      <c r="BU90" s="235">
        <f t="shared" si="251"/>
        <v>3.792954545454545</v>
      </c>
      <c r="BV90" s="235" cm="1">
        <f t="array" ref="BV90">$BI90 * IF($AH90&lt;=2,
SUMPRODUCT(INDEX($AR$67:$AT$71,,$AI90), INDEX($AU$67:$BA$71,,$AH90), 1 / ($BB$67:$BB$71*BU90 + (1-$BB$67:$BB$71)*BQ90), N($AQ$67:$AQ$71&gt;$AO90)),
SUMPRODUCT(INDEX($AR$57:$AT$66,,$AI90), INDEX($AU$57:$BA$66,,$AH90), 1 / ($BC$57:$BC$66*BU90 + (1-$BC$57:$BC$66)*BQ90), N($AQ$57:$AQ$66&gt;$AO90))
) / 1000</f>
        <v>0</v>
      </c>
      <c r="BW90" s="232">
        <f t="shared" si="252"/>
        <v>20</v>
      </c>
      <c r="BX90" s="230">
        <f t="shared" si="253"/>
        <v>33</v>
      </c>
      <c r="BY90" s="235">
        <f t="shared" si="254"/>
        <v>4.4702678571428569</v>
      </c>
      <c r="BZ90" s="235" cm="1">
        <f t="array" ref="BZ90">$BI90 * IF($AH90&lt;=2,
SUMPRODUCT(INDEX($AR$62:$AT$66,,$AI90), INDEX($AU$62:$BA$66,,$AH90), 1 / ($BB$62:$BB$66*BY90 + (1-$BB$62:$BB$66)*BU90), N($AQ$62:$AQ$66&gt;$AO90)),
SUMPRODUCT(INDEX($AR$47:$AT$56,,$AI90), INDEX($AU$47:$BA$56,,$AH90), 1 / ($BC$47:$BC$56*BY90 + (1-$BC$47:$BC$56)*BU90), N($AQ$47:$AQ$56&gt;$AO90))
) / 1000</f>
        <v>0</v>
      </c>
      <c r="CA90" s="235" cm="1">
        <f t="array" ref="CA90">$BI90 * IF($AH90&lt;=2,
SUMPRODUCT(INDEX($AR$23:$AT$61,,$AI90), INDEX($AU$23:$BA$61,,$AH90), 1 / ($BB$23:$BB$61*BY90), N($AQ$23:$AQ$61&gt;$AO90)),
SUMPRODUCT(INDEX($AR$23:$AT$46,,$AI90), INDEX($AU$23:$BA$46,,$AH90), 1 / ($BC$23:$BC$46*BY90), N($AQ$23:$AQ$46&gt;$AO90))
) / 1000</f>
        <v>0</v>
      </c>
      <c r="CB90" s="230">
        <f t="shared" si="255"/>
        <v>0</v>
      </c>
      <c r="CC90" s="238"/>
      <c r="CD90" s="229" cm="1">
        <f t="array" ref="CD90">IF(ISBLANK(Y90), INDEX(Use, $AH90, 4) - AN90*INDEX(Use, $AH90, 6) - (Q90-X90), Y90)</f>
        <v>7</v>
      </c>
      <c r="CE90" s="229">
        <f t="shared" si="256"/>
        <v>32</v>
      </c>
      <c r="CF90" s="230">
        <f t="shared" si="257"/>
        <v>0</v>
      </c>
      <c r="CG90" s="229">
        <v>35</v>
      </c>
      <c r="CH90" s="230">
        <f t="shared" si="258"/>
        <v>48</v>
      </c>
      <c r="CI90" s="235">
        <f t="shared" si="259"/>
        <v>3.0748170731707316</v>
      </c>
      <c r="CJ90" s="235" cm="1">
        <f t="array" ref="CJ90">$BI90 * SUMPRODUCT(INDEX($AR$77:$AT$82,,$AI90),INDEX($AU$77:$BA$82,,$AH90), N($AQ$77:$AQ$82&gt;$AO90)) / CI90 / 1000</f>
        <v>0</v>
      </c>
      <c r="CK90" s="232">
        <f t="shared" si="260"/>
        <v>30</v>
      </c>
      <c r="CL90" s="230">
        <f t="shared" si="261"/>
        <v>43</v>
      </c>
      <c r="CM90" s="235">
        <f t="shared" si="262"/>
        <v>3.5018750000000001</v>
      </c>
      <c r="CN90" s="235" cm="1">
        <f t="array" ref="CN90">$BI90 * IF($AH90&lt;=2,
SUMPRODUCT(INDEX($AR$72:$AT$76,,$AI90), INDEX($AU$72:$BA$76,,$AH90), 1 / ($BB$72:$BB$76*CM90 + (1-$BB$72:$BB$76)*CI90), N($AQ$72:$AQ$76&gt;$AO90)),
SUMPRODUCT(INDEX($AR$67:$AT$76,,$AI90), INDEX($AU$67:$BA$76,,$AH90), 1 / ($BC$67:$BC$76*CM90 + (1-$BC$67:$BC$76)*CI90), N($AQ$67:$AQ$76&gt;$AO90))
) / 1000</f>
        <v>0</v>
      </c>
      <c r="CO90" s="232">
        <f t="shared" si="263"/>
        <v>25</v>
      </c>
      <c r="CP90" s="230">
        <f t="shared" si="264"/>
        <v>38</v>
      </c>
      <c r="CQ90" s="235">
        <f t="shared" si="265"/>
        <v>4.0666935483870965</v>
      </c>
      <c r="CR90" s="235" cm="1">
        <f t="array" ref="CR90">$BI90 * IF($AH90&lt;=2,
SUMPRODUCT(INDEX($AR$67:$AT$71,,$AI90), INDEX($AU$67:$BA$71,,$AH90), 1 / ($BB$67:$BB$71*CQ90 + (1-$BB$67:$BB$71)*CM90), N($AQ$67:$AQ$71&gt;$AO90)),
SUMPRODUCT(INDEX($AR$57:$AT$66,,$AI90), INDEX($AU$57:$BA$66,,$AH90), 1 / ($BC$57:$BC$66*CQ90 + (1-$BC$57:$BC$66)*CM90), N($AQ$57:$AQ$66&gt;$AO90))
) / 1000</f>
        <v>0</v>
      </c>
      <c r="CS90" s="232">
        <f t="shared" si="266"/>
        <v>20</v>
      </c>
      <c r="CT90" s="230">
        <f t="shared" si="267"/>
        <v>33</v>
      </c>
      <c r="CU90" s="235">
        <f t="shared" si="268"/>
        <v>4.8487499999999999</v>
      </c>
      <c r="CV90" s="235" cm="1">
        <f t="array" ref="CV90">$BI90 * IF($AH90&lt;=2,
SUMPRODUCT(INDEX($AR$62:$AT$66,,$AI90), INDEX($AU$62:$BA$66,,$AH90), 1 / ($BB$62:$BB$66*CU90 + (1-$BB$62:$BB$66)*CQ90), N($AQ$62:$AQ$66&gt;$AO90)),
SUMPRODUCT(INDEX($AR$47:$AT$56,,$AI90), INDEX($AU$47:$BA$56,,$AH90), 1 / ($BC$47:$BC$56*CU90 + (1-$BC$47:$BC$56)*CQ90), N($AQ$47:$AQ$56&gt;$AO90))
) / 1000</f>
        <v>0</v>
      </c>
      <c r="CW90" s="235" cm="1">
        <f t="array" ref="CW90">$BI90 * IF($AH90&lt;=2,
SUMPRODUCT(INDEX($AR$23:$AT$61,,$AI90), INDEX($AU$23:$BA$61,,$AH90), 1 / ($BB$23:$BB$61*CU90), N($AQ$23:$AQ$61&gt;$AO90)),
SUMPRODUCT(INDEX($AR$23:$AT$46,,$AI90), INDEX($AU$23:$BA$46,,$AH90), 1 / ($BC$23:$BC$46*CU90), N($AQ$23:$AQ$46&gt;$AO90))
) / 1000</f>
        <v>0</v>
      </c>
      <c r="CX90" s="230">
        <f t="shared" si="269"/>
        <v>0</v>
      </c>
      <c r="CY90" s="238"/>
    </row>
    <row r="91" spans="1:103" s="76" customFormat="1" ht="14.25" customHeight="1" x14ac:dyDescent="0.25">
      <c r="A91" s="231" t="b">
        <f t="shared" si="229"/>
        <v>0</v>
      </c>
      <c r="B91" s="245">
        <v>69</v>
      </c>
      <c r="C91" s="258"/>
      <c r="D91" s="258"/>
      <c r="E91" s="246"/>
      <c r="F91" s="247" t="str">
        <f>IF(ISBLANK(E91), "", VLOOKUP(E91, Z!$A$2:$C$4127, 3, FALSE))</f>
        <v/>
      </c>
      <c r="G91" s="248"/>
      <c r="H91" s="248"/>
      <c r="I91" s="249"/>
      <c r="J91" s="250"/>
      <c r="K91" s="259"/>
      <c r="L91" s="260"/>
      <c r="M91" s="252" t="str" cm="1">
        <f t="array" ref="M91">INDEX(Trad, 53, $A$20)</f>
        <v>Verschmutzt</v>
      </c>
      <c r="N91" s="253"/>
      <c r="O91" s="253"/>
      <c r="P91" s="254"/>
      <c r="Q91" s="251"/>
      <c r="R91" s="251"/>
      <c r="S91" s="264">
        <f t="shared" si="235"/>
        <v>0</v>
      </c>
      <c r="T91" s="252" t="str" cm="1">
        <f t="array" ref="T91">INDEX(Trad, 52, $A$20)</f>
        <v>Sauber</v>
      </c>
      <c r="U91" s="253"/>
      <c r="V91" s="253"/>
      <c r="W91" s="254"/>
      <c r="X91" s="251"/>
      <c r="Y91" s="251"/>
      <c r="Z91" s="264">
        <f t="shared" si="236"/>
        <v>0</v>
      </c>
      <c r="AA91" s="261"/>
      <c r="AB91" s="258"/>
      <c r="AC91" s="246"/>
      <c r="AD91" s="247" t="str">
        <f>IF(ISBLANK(AC91), "", VLOOKUP(AC91, Z!$A$2:$C$4127, 3, FALSE))</f>
        <v/>
      </c>
      <c r="AE91" s="262"/>
      <c r="AF91" s="263">
        <f t="shared" si="230"/>
        <v>0</v>
      </c>
      <c r="AG91" s="238"/>
      <c r="AH91" s="229">
        <f t="shared" ref="AH91" si="276">IF(ISBLANK(H91), 1, IFERROR(MATCH(H91, INDEX(Use,,1), 0), IFERROR(MATCH(H91, INDEX(Use,,2), 0), MATCH(H91, INDEX(Use,,3), 0))))</f>
        <v>1</v>
      </c>
      <c r="AI91" s="229">
        <f t="shared" ref="AI91" si="277">IF(ISBLANK(G91), 1, IFERROR(MATCH(G91, INDEX(Loc,,1), 0), IFERROR(MATCH(G91, INDEX(Loc,,2), 0), MATCH(G91, INDEX(Loc,,3), 0))))</f>
        <v>1</v>
      </c>
      <c r="AJ91" s="229">
        <f t="shared" ref="AJ91" si="278">_xlfn.IFNA(IF(IFERROR(MATCH(I91, INDEX(Medium,,1), 0), IFERROR(MATCH(I91, INDEX(Medium,,2), 0), MATCH(I91, INDEX(Medium,,3), 0))) = 2, 1, 0), 0)</f>
        <v>0</v>
      </c>
      <c r="AK91" s="229">
        <v>0</v>
      </c>
      <c r="AL91" s="229">
        <v>0</v>
      </c>
      <c r="AM91" s="229">
        <v>1</v>
      </c>
      <c r="AN91" s="229">
        <v>0</v>
      </c>
      <c r="AO91" s="229">
        <f t="shared" si="234"/>
        <v>-100</v>
      </c>
      <c r="AP91" s="238"/>
      <c r="AQ91" s="255"/>
      <c r="AR91" s="255"/>
      <c r="AS91" s="256"/>
      <c r="AT91" s="256"/>
      <c r="AU91" s="256"/>
      <c r="AV91" s="256"/>
      <c r="AW91" s="256"/>
      <c r="AX91" s="256"/>
      <c r="AY91" s="256"/>
      <c r="AZ91" s="256"/>
      <c r="BA91" s="256"/>
      <c r="BB91" s="256"/>
      <c r="BC91" s="256"/>
      <c r="BD91" s="211"/>
      <c r="BE91" s="229" cm="1">
        <f t="array" ref="BE91">IF(ISBLANK(R91), INDEX(Use, $AH91, 4) - AM91*INDEX(Use, $AH91, 6), R91)</f>
        <v>5</v>
      </c>
      <c r="BF91" s="229">
        <f t="shared" si="240"/>
        <v>30</v>
      </c>
      <c r="BG91" s="229">
        <f t="shared" si="241"/>
        <v>13</v>
      </c>
      <c r="BH91" s="229">
        <f t="shared" si="242"/>
        <v>0</v>
      </c>
      <c r="BI91" s="234" cm="1">
        <f t="array" ref="BI91">K91/IF($L91&gt;0, INDEX($AU$23:$BA$77, $L91+20, $AH91), 1)</f>
        <v>0</v>
      </c>
      <c r="BJ91" s="230">
        <f t="shared" si="243"/>
        <v>0</v>
      </c>
      <c r="BK91" s="229">
        <v>35</v>
      </c>
      <c r="BL91" s="230">
        <f t="shared" si="244"/>
        <v>48</v>
      </c>
      <c r="BM91" s="235">
        <f t="shared" si="245"/>
        <v>2.9108720930232557</v>
      </c>
      <c r="BN91" s="235" cm="1">
        <f t="array" ref="BN91">$BI91 * SUMPRODUCT(INDEX($AR$77:$AT$82,,$AI91),INDEX($AU$77:$BA$82,,$AH91), N($AQ$77:$AQ$82&gt;$AO91)) / BM91 / 1000</f>
        <v>0</v>
      </c>
      <c r="BO91" s="232">
        <f t="shared" si="246"/>
        <v>30</v>
      </c>
      <c r="BP91" s="230">
        <f t="shared" si="247"/>
        <v>43</v>
      </c>
      <c r="BQ91" s="235">
        <f t="shared" si="248"/>
        <v>3.2938815789473681</v>
      </c>
      <c r="BR91" s="235" cm="1">
        <f t="array" ref="BR91">$BI91 * IF($AH91&lt;=2,
SUMPRODUCT(INDEX($AR$72:$AT$76,,$AI91), INDEX($AU$72:$BA$76,,$AH91), 1 / ($BB$72:$BB$76*BQ91 + (1-$BB$72:$BB$76)*BM91), N($AQ$72:$AQ$76&gt;$AO91)),
SUMPRODUCT(INDEX($AR$67:$AT$76,,$AI91), INDEX($AU$67:$BA$76,,$AH91), 1 / ($BC$67:$BC$76*BQ91 + (1-$BC$67:$BC$76)*BM91), N($AQ$67:$AQ$76&gt;$AO91))
) / 1000</f>
        <v>0</v>
      </c>
      <c r="BS91" s="232">
        <f t="shared" si="249"/>
        <v>25</v>
      </c>
      <c r="BT91" s="230">
        <f t="shared" si="250"/>
        <v>38</v>
      </c>
      <c r="BU91" s="235">
        <f t="shared" si="251"/>
        <v>3.792954545454545</v>
      </c>
      <c r="BV91" s="235" cm="1">
        <f t="array" ref="BV91">$BI91 * IF($AH91&lt;=2,
SUMPRODUCT(INDEX($AR$67:$AT$71,,$AI91), INDEX($AU$67:$BA$71,,$AH91), 1 / ($BB$67:$BB$71*BU91 + (1-$BB$67:$BB$71)*BQ91), N($AQ$67:$AQ$71&gt;$AO91)),
SUMPRODUCT(INDEX($AR$57:$AT$66,,$AI91), INDEX($AU$57:$BA$66,,$AH91), 1 / ($BC$57:$BC$66*BU91 + (1-$BC$57:$BC$66)*BQ91), N($AQ$57:$AQ$66&gt;$AO91))
) / 1000</f>
        <v>0</v>
      </c>
      <c r="BW91" s="232">
        <f t="shared" si="252"/>
        <v>20</v>
      </c>
      <c r="BX91" s="230">
        <f t="shared" si="253"/>
        <v>33</v>
      </c>
      <c r="BY91" s="235">
        <f t="shared" si="254"/>
        <v>4.4702678571428569</v>
      </c>
      <c r="BZ91" s="235" cm="1">
        <f t="array" ref="BZ91">$BI91 * IF($AH91&lt;=2,
SUMPRODUCT(INDEX($AR$62:$AT$66,,$AI91), INDEX($AU$62:$BA$66,,$AH91), 1 / ($BB$62:$BB$66*BY91 + (1-$BB$62:$BB$66)*BU91), N($AQ$62:$AQ$66&gt;$AO91)),
SUMPRODUCT(INDEX($AR$47:$AT$56,,$AI91), INDEX($AU$47:$BA$56,,$AH91), 1 / ($BC$47:$BC$56*BY91 + (1-$BC$47:$BC$56)*BU91), N($AQ$47:$AQ$56&gt;$AO91))
) / 1000</f>
        <v>0</v>
      </c>
      <c r="CA91" s="235" cm="1">
        <f t="array" ref="CA91">$BI91 * IF($AH91&lt;=2,
SUMPRODUCT(INDEX($AR$23:$AT$61,,$AI91), INDEX($AU$23:$BA$61,,$AH91), 1 / ($BB$23:$BB$61*BY91), N($AQ$23:$AQ$61&gt;$AO91)),
SUMPRODUCT(INDEX($AR$23:$AT$46,,$AI91), INDEX($AU$23:$BA$46,,$AH91), 1 / ($BC$23:$BC$46*BY91), N($AQ$23:$AQ$46&gt;$AO91))
) / 1000</f>
        <v>0</v>
      </c>
      <c r="CB91" s="230">
        <f t="shared" si="255"/>
        <v>0</v>
      </c>
      <c r="CC91" s="238"/>
      <c r="CD91" s="229" cm="1">
        <f t="array" ref="CD91">IF(ISBLANK(Y91), INDEX(Use, $AH91, 4) - AN91*INDEX(Use, $AH91, 6) - (Q91-X91), Y91)</f>
        <v>7</v>
      </c>
      <c r="CE91" s="229">
        <f t="shared" si="256"/>
        <v>32</v>
      </c>
      <c r="CF91" s="230">
        <f t="shared" si="257"/>
        <v>0</v>
      </c>
      <c r="CG91" s="229">
        <v>35</v>
      </c>
      <c r="CH91" s="230">
        <f t="shared" si="258"/>
        <v>48</v>
      </c>
      <c r="CI91" s="235">
        <f t="shared" si="259"/>
        <v>3.0748170731707316</v>
      </c>
      <c r="CJ91" s="235" cm="1">
        <f t="array" ref="CJ91">$BI91 * SUMPRODUCT(INDEX($AR$77:$AT$82,,$AI91),INDEX($AU$77:$BA$82,,$AH91), N($AQ$77:$AQ$82&gt;$AO91)) / CI91 / 1000</f>
        <v>0</v>
      </c>
      <c r="CK91" s="232">
        <f t="shared" si="260"/>
        <v>30</v>
      </c>
      <c r="CL91" s="230">
        <f t="shared" si="261"/>
        <v>43</v>
      </c>
      <c r="CM91" s="235">
        <f t="shared" si="262"/>
        <v>3.5018750000000001</v>
      </c>
      <c r="CN91" s="235" cm="1">
        <f t="array" ref="CN91">$BI91 * IF($AH91&lt;=2,
SUMPRODUCT(INDEX($AR$72:$AT$76,,$AI91), INDEX($AU$72:$BA$76,,$AH91), 1 / ($BB$72:$BB$76*CM91 + (1-$BB$72:$BB$76)*CI91), N($AQ$72:$AQ$76&gt;$AO91)),
SUMPRODUCT(INDEX($AR$67:$AT$76,,$AI91), INDEX($AU$67:$BA$76,,$AH91), 1 / ($BC$67:$BC$76*CM91 + (1-$BC$67:$BC$76)*CI91), N($AQ$67:$AQ$76&gt;$AO91))
) / 1000</f>
        <v>0</v>
      </c>
      <c r="CO91" s="232">
        <f t="shared" si="263"/>
        <v>25</v>
      </c>
      <c r="CP91" s="230">
        <f t="shared" si="264"/>
        <v>38</v>
      </c>
      <c r="CQ91" s="235">
        <f t="shared" si="265"/>
        <v>4.0666935483870965</v>
      </c>
      <c r="CR91" s="235" cm="1">
        <f t="array" ref="CR91">$BI91 * IF($AH91&lt;=2,
SUMPRODUCT(INDEX($AR$67:$AT$71,,$AI91), INDEX($AU$67:$BA$71,,$AH91), 1 / ($BB$67:$BB$71*CQ91 + (1-$BB$67:$BB$71)*CM91), N($AQ$67:$AQ$71&gt;$AO91)),
SUMPRODUCT(INDEX($AR$57:$AT$66,,$AI91), INDEX($AU$57:$BA$66,,$AH91), 1 / ($BC$57:$BC$66*CQ91 + (1-$BC$57:$BC$66)*CM91), N($AQ$57:$AQ$66&gt;$AO91))
) / 1000</f>
        <v>0</v>
      </c>
      <c r="CS91" s="232">
        <f t="shared" si="266"/>
        <v>20</v>
      </c>
      <c r="CT91" s="230">
        <f t="shared" si="267"/>
        <v>33</v>
      </c>
      <c r="CU91" s="235">
        <f t="shared" si="268"/>
        <v>4.8487499999999999</v>
      </c>
      <c r="CV91" s="235" cm="1">
        <f t="array" ref="CV91">$BI91 * IF($AH91&lt;=2,
SUMPRODUCT(INDEX($AR$62:$AT$66,,$AI91), INDEX($AU$62:$BA$66,,$AH91), 1 / ($BB$62:$BB$66*CU91 + (1-$BB$62:$BB$66)*CQ91), N($AQ$62:$AQ$66&gt;$AO91)),
SUMPRODUCT(INDEX($AR$47:$AT$56,,$AI91), INDEX($AU$47:$BA$56,,$AH91), 1 / ($BC$47:$BC$56*CU91 + (1-$BC$47:$BC$56)*CQ91), N($AQ$47:$AQ$56&gt;$AO91))
) / 1000</f>
        <v>0</v>
      </c>
      <c r="CW91" s="235" cm="1">
        <f t="array" ref="CW91">$BI91 * IF($AH91&lt;=2,
SUMPRODUCT(INDEX($AR$23:$AT$61,,$AI91), INDEX($AU$23:$BA$61,,$AH91), 1 / ($BB$23:$BB$61*CU91), N($AQ$23:$AQ$61&gt;$AO91)),
SUMPRODUCT(INDEX($AR$23:$AT$46,,$AI91), INDEX($AU$23:$BA$46,,$AH91), 1 / ($BC$23:$BC$46*CU91), N($AQ$23:$AQ$46&gt;$AO91))
) / 1000</f>
        <v>0</v>
      </c>
      <c r="CX91" s="230">
        <f t="shared" si="269"/>
        <v>0</v>
      </c>
      <c r="CY91" s="238"/>
    </row>
    <row r="92" spans="1:103" s="76" customFormat="1" ht="14.25" customHeight="1" x14ac:dyDescent="0.25">
      <c r="A92" s="231" t="b">
        <f t="shared" si="229"/>
        <v>0</v>
      </c>
      <c r="B92" s="245">
        <v>70</v>
      </c>
      <c r="C92" s="258"/>
      <c r="D92" s="258"/>
      <c r="E92" s="246"/>
      <c r="F92" s="247" t="str">
        <f>IF(ISBLANK(E92), "", VLOOKUP(E92, Z!$A$2:$C$4127, 3, FALSE))</f>
        <v/>
      </c>
      <c r="G92" s="248"/>
      <c r="H92" s="248"/>
      <c r="I92" s="249"/>
      <c r="J92" s="250"/>
      <c r="K92" s="259"/>
      <c r="L92" s="260"/>
      <c r="M92" s="252" t="str" cm="1">
        <f t="array" ref="M92">INDEX(Trad, 53, $A$20)</f>
        <v>Verschmutzt</v>
      </c>
      <c r="N92" s="253"/>
      <c r="O92" s="253"/>
      <c r="P92" s="254"/>
      <c r="Q92" s="251"/>
      <c r="R92" s="251"/>
      <c r="S92" s="264">
        <f t="shared" si="235"/>
        <v>0</v>
      </c>
      <c r="T92" s="252" t="str" cm="1">
        <f t="array" ref="T92">INDEX(Trad, 52, $A$20)</f>
        <v>Sauber</v>
      </c>
      <c r="U92" s="253"/>
      <c r="V92" s="253"/>
      <c r="W92" s="254"/>
      <c r="X92" s="251"/>
      <c r="Y92" s="251"/>
      <c r="Z92" s="264">
        <f t="shared" si="236"/>
        <v>0</v>
      </c>
      <c r="AA92" s="261"/>
      <c r="AB92" s="258"/>
      <c r="AC92" s="246"/>
      <c r="AD92" s="247" t="str">
        <f>IF(ISBLANK(AC92), "", VLOOKUP(AC92, Z!$A$2:$C$4127, 3, FALSE))</f>
        <v/>
      </c>
      <c r="AE92" s="262"/>
      <c r="AF92" s="263">
        <f t="shared" si="230"/>
        <v>0</v>
      </c>
      <c r="AG92" s="238"/>
      <c r="AH92" s="229">
        <f t="shared" ref="AH92" si="279">IF(ISBLANK(H92), 1, IFERROR(MATCH(H92, INDEX(Use,,1), 0), IFERROR(MATCH(H92, INDEX(Use,,2), 0), MATCH(H92, INDEX(Use,,3), 0))))</f>
        <v>1</v>
      </c>
      <c r="AI92" s="229">
        <f t="shared" ref="AI92" si="280">IF(ISBLANK(G92), 1, IFERROR(MATCH(G92, INDEX(Loc,,1), 0), IFERROR(MATCH(G92, INDEX(Loc,,2), 0), MATCH(G92, INDEX(Loc,,3), 0))))</f>
        <v>1</v>
      </c>
      <c r="AJ92" s="229">
        <f t="shared" ref="AJ92" si="281">_xlfn.IFNA(IF(IFERROR(MATCH(I92, INDEX(Medium,,1), 0), IFERROR(MATCH(I92, INDEX(Medium,,2), 0), MATCH(I92, INDEX(Medium,,3), 0))) = 2, 1, 0), 0)</f>
        <v>0</v>
      </c>
      <c r="AK92" s="229">
        <v>0</v>
      </c>
      <c r="AL92" s="229">
        <v>0</v>
      </c>
      <c r="AM92" s="229">
        <v>1</v>
      </c>
      <c r="AN92" s="229">
        <v>0</v>
      </c>
      <c r="AO92" s="229">
        <f t="shared" si="234"/>
        <v>-100</v>
      </c>
      <c r="AP92" s="238"/>
      <c r="AQ92" s="255"/>
      <c r="AR92" s="255"/>
      <c r="AS92" s="256"/>
      <c r="AT92" s="256"/>
      <c r="AU92" s="256"/>
      <c r="AV92" s="256"/>
      <c r="AW92" s="256"/>
      <c r="AX92" s="256"/>
      <c r="AY92" s="256"/>
      <c r="AZ92" s="256"/>
      <c r="BA92" s="256"/>
      <c r="BB92" s="256"/>
      <c r="BC92" s="256"/>
      <c r="BD92" s="211"/>
      <c r="BE92" s="229" cm="1">
        <f t="array" ref="BE92">IF(ISBLANK(R92), INDEX(Use, $AH92, 4) - AM92*INDEX(Use, $AH92, 6), R92)</f>
        <v>5</v>
      </c>
      <c r="BF92" s="229">
        <f t="shared" si="240"/>
        <v>30</v>
      </c>
      <c r="BG92" s="229">
        <f t="shared" si="241"/>
        <v>13</v>
      </c>
      <c r="BH92" s="229">
        <f t="shared" si="242"/>
        <v>0</v>
      </c>
      <c r="BI92" s="234" cm="1">
        <f t="array" ref="BI92">K92/IF($L92&gt;0, INDEX($AU$23:$BA$77, $L92+20, $AH92), 1)</f>
        <v>0</v>
      </c>
      <c r="BJ92" s="230">
        <f t="shared" si="243"/>
        <v>0</v>
      </c>
      <c r="BK92" s="229">
        <v>35</v>
      </c>
      <c r="BL92" s="230">
        <f t="shared" si="244"/>
        <v>48</v>
      </c>
      <c r="BM92" s="235">
        <f t="shared" si="245"/>
        <v>2.9108720930232557</v>
      </c>
      <c r="BN92" s="235" cm="1">
        <f t="array" ref="BN92">$BI92 * SUMPRODUCT(INDEX($AR$77:$AT$82,,$AI92),INDEX($AU$77:$BA$82,,$AH92), N($AQ$77:$AQ$82&gt;$AO92)) / BM92 / 1000</f>
        <v>0</v>
      </c>
      <c r="BO92" s="232">
        <f t="shared" si="246"/>
        <v>30</v>
      </c>
      <c r="BP92" s="230">
        <f t="shared" si="247"/>
        <v>43</v>
      </c>
      <c r="BQ92" s="235">
        <f t="shared" si="248"/>
        <v>3.2938815789473681</v>
      </c>
      <c r="BR92" s="235" cm="1">
        <f t="array" ref="BR92">$BI92 * IF($AH92&lt;=2,
SUMPRODUCT(INDEX($AR$72:$AT$76,,$AI92), INDEX($AU$72:$BA$76,,$AH92), 1 / ($BB$72:$BB$76*BQ92 + (1-$BB$72:$BB$76)*BM92), N($AQ$72:$AQ$76&gt;$AO92)),
SUMPRODUCT(INDEX($AR$67:$AT$76,,$AI92), INDEX($AU$67:$BA$76,,$AH92), 1 / ($BC$67:$BC$76*BQ92 + (1-$BC$67:$BC$76)*BM92), N($AQ$67:$AQ$76&gt;$AO92))
) / 1000</f>
        <v>0</v>
      </c>
      <c r="BS92" s="232">
        <f t="shared" si="249"/>
        <v>25</v>
      </c>
      <c r="BT92" s="230">
        <f t="shared" si="250"/>
        <v>38</v>
      </c>
      <c r="BU92" s="235">
        <f t="shared" si="251"/>
        <v>3.792954545454545</v>
      </c>
      <c r="BV92" s="235" cm="1">
        <f t="array" ref="BV92">$BI92 * IF($AH92&lt;=2,
SUMPRODUCT(INDEX($AR$67:$AT$71,,$AI92), INDEX($AU$67:$BA$71,,$AH92), 1 / ($BB$67:$BB$71*BU92 + (1-$BB$67:$BB$71)*BQ92), N($AQ$67:$AQ$71&gt;$AO92)),
SUMPRODUCT(INDEX($AR$57:$AT$66,,$AI92), INDEX($AU$57:$BA$66,,$AH92), 1 / ($BC$57:$BC$66*BU92 + (1-$BC$57:$BC$66)*BQ92), N($AQ$57:$AQ$66&gt;$AO92))
) / 1000</f>
        <v>0</v>
      </c>
      <c r="BW92" s="232">
        <f t="shared" si="252"/>
        <v>20</v>
      </c>
      <c r="BX92" s="230">
        <f t="shared" si="253"/>
        <v>33</v>
      </c>
      <c r="BY92" s="235">
        <f t="shared" si="254"/>
        <v>4.4702678571428569</v>
      </c>
      <c r="BZ92" s="235" cm="1">
        <f t="array" ref="BZ92">$BI92 * IF($AH92&lt;=2,
SUMPRODUCT(INDEX($AR$62:$AT$66,,$AI92), INDEX($AU$62:$BA$66,,$AH92), 1 / ($BB$62:$BB$66*BY92 + (1-$BB$62:$BB$66)*BU92), N($AQ$62:$AQ$66&gt;$AO92)),
SUMPRODUCT(INDEX($AR$47:$AT$56,,$AI92), INDEX($AU$47:$BA$56,,$AH92), 1 / ($BC$47:$BC$56*BY92 + (1-$BC$47:$BC$56)*BU92), N($AQ$47:$AQ$56&gt;$AO92))
) / 1000</f>
        <v>0</v>
      </c>
      <c r="CA92" s="235" cm="1">
        <f t="array" ref="CA92">$BI92 * IF($AH92&lt;=2,
SUMPRODUCT(INDEX($AR$23:$AT$61,,$AI92), INDEX($AU$23:$BA$61,,$AH92), 1 / ($BB$23:$BB$61*BY92), N($AQ$23:$AQ$61&gt;$AO92)),
SUMPRODUCT(INDEX($AR$23:$AT$46,,$AI92), INDEX($AU$23:$BA$46,,$AH92), 1 / ($BC$23:$BC$46*BY92), N($AQ$23:$AQ$46&gt;$AO92))
) / 1000</f>
        <v>0</v>
      </c>
      <c r="CB92" s="230">
        <f t="shared" si="255"/>
        <v>0</v>
      </c>
      <c r="CC92" s="238"/>
      <c r="CD92" s="229" cm="1">
        <f t="array" ref="CD92">IF(ISBLANK(Y92), INDEX(Use, $AH92, 4) - AN92*INDEX(Use, $AH92, 6) - (Q92-X92), Y92)</f>
        <v>7</v>
      </c>
      <c r="CE92" s="229">
        <f t="shared" si="256"/>
        <v>32</v>
      </c>
      <c r="CF92" s="230">
        <f t="shared" si="257"/>
        <v>0</v>
      </c>
      <c r="CG92" s="229">
        <v>35</v>
      </c>
      <c r="CH92" s="230">
        <f t="shared" si="258"/>
        <v>48</v>
      </c>
      <c r="CI92" s="235">
        <f t="shared" si="259"/>
        <v>3.0748170731707316</v>
      </c>
      <c r="CJ92" s="235" cm="1">
        <f t="array" ref="CJ92">$BI92 * SUMPRODUCT(INDEX($AR$77:$AT$82,,$AI92),INDEX($AU$77:$BA$82,,$AH92), N($AQ$77:$AQ$82&gt;$AO92)) / CI92 / 1000</f>
        <v>0</v>
      </c>
      <c r="CK92" s="232">
        <f t="shared" si="260"/>
        <v>30</v>
      </c>
      <c r="CL92" s="230">
        <f t="shared" si="261"/>
        <v>43</v>
      </c>
      <c r="CM92" s="235">
        <f t="shared" si="262"/>
        <v>3.5018750000000001</v>
      </c>
      <c r="CN92" s="235" cm="1">
        <f t="array" ref="CN92">$BI92 * IF($AH92&lt;=2,
SUMPRODUCT(INDEX($AR$72:$AT$76,,$AI92), INDEX($AU$72:$BA$76,,$AH92), 1 / ($BB$72:$BB$76*CM92 + (1-$BB$72:$BB$76)*CI92), N($AQ$72:$AQ$76&gt;$AO92)),
SUMPRODUCT(INDEX($AR$67:$AT$76,,$AI92), INDEX($AU$67:$BA$76,,$AH92), 1 / ($BC$67:$BC$76*CM92 + (1-$BC$67:$BC$76)*CI92), N($AQ$67:$AQ$76&gt;$AO92))
) / 1000</f>
        <v>0</v>
      </c>
      <c r="CO92" s="232">
        <f t="shared" si="263"/>
        <v>25</v>
      </c>
      <c r="CP92" s="230">
        <f t="shared" si="264"/>
        <v>38</v>
      </c>
      <c r="CQ92" s="235">
        <f t="shared" si="265"/>
        <v>4.0666935483870965</v>
      </c>
      <c r="CR92" s="235" cm="1">
        <f t="array" ref="CR92">$BI92 * IF($AH92&lt;=2,
SUMPRODUCT(INDEX($AR$67:$AT$71,,$AI92), INDEX($AU$67:$BA$71,,$AH92), 1 / ($BB$67:$BB$71*CQ92 + (1-$BB$67:$BB$71)*CM92), N($AQ$67:$AQ$71&gt;$AO92)),
SUMPRODUCT(INDEX($AR$57:$AT$66,,$AI92), INDEX($AU$57:$BA$66,,$AH92), 1 / ($BC$57:$BC$66*CQ92 + (1-$BC$57:$BC$66)*CM92), N($AQ$57:$AQ$66&gt;$AO92))
) / 1000</f>
        <v>0</v>
      </c>
      <c r="CS92" s="232">
        <f t="shared" si="266"/>
        <v>20</v>
      </c>
      <c r="CT92" s="230">
        <f t="shared" si="267"/>
        <v>33</v>
      </c>
      <c r="CU92" s="235">
        <f t="shared" si="268"/>
        <v>4.8487499999999999</v>
      </c>
      <c r="CV92" s="235" cm="1">
        <f t="array" ref="CV92">$BI92 * IF($AH92&lt;=2,
SUMPRODUCT(INDEX($AR$62:$AT$66,,$AI92), INDEX($AU$62:$BA$66,,$AH92), 1 / ($BB$62:$BB$66*CU92 + (1-$BB$62:$BB$66)*CQ92), N($AQ$62:$AQ$66&gt;$AO92)),
SUMPRODUCT(INDEX($AR$47:$AT$56,,$AI92), INDEX($AU$47:$BA$56,,$AH92), 1 / ($BC$47:$BC$56*CU92 + (1-$BC$47:$BC$56)*CQ92), N($AQ$47:$AQ$56&gt;$AO92))
) / 1000</f>
        <v>0</v>
      </c>
      <c r="CW92" s="235" cm="1">
        <f t="array" ref="CW92">$BI92 * IF($AH92&lt;=2,
SUMPRODUCT(INDEX($AR$23:$AT$61,,$AI92), INDEX($AU$23:$BA$61,,$AH92), 1 / ($BB$23:$BB$61*CU92), N($AQ$23:$AQ$61&gt;$AO92)),
SUMPRODUCT(INDEX($AR$23:$AT$46,,$AI92), INDEX($AU$23:$BA$46,,$AH92), 1 / ($BC$23:$BC$46*CU92), N($AQ$23:$AQ$46&gt;$AO92))
) / 1000</f>
        <v>0</v>
      </c>
      <c r="CX92" s="230">
        <f t="shared" si="269"/>
        <v>0</v>
      </c>
      <c r="CY92" s="238"/>
    </row>
    <row r="93" spans="1:103" s="76" customFormat="1" ht="14.25" customHeight="1" x14ac:dyDescent="0.25">
      <c r="A93" s="231" t="b">
        <f t="shared" si="229"/>
        <v>0</v>
      </c>
      <c r="B93" s="245">
        <v>71</v>
      </c>
      <c r="C93" s="258"/>
      <c r="D93" s="258"/>
      <c r="E93" s="246"/>
      <c r="F93" s="247" t="str">
        <f>IF(ISBLANK(E93), "", VLOOKUP(E93, Z!$A$2:$C$4127, 3, FALSE))</f>
        <v/>
      </c>
      <c r="G93" s="248"/>
      <c r="H93" s="248"/>
      <c r="I93" s="249"/>
      <c r="J93" s="250"/>
      <c r="K93" s="259"/>
      <c r="L93" s="260"/>
      <c r="M93" s="252" t="str" cm="1">
        <f t="array" ref="M93">INDEX(Trad, 53, $A$20)</f>
        <v>Verschmutzt</v>
      </c>
      <c r="N93" s="253"/>
      <c r="O93" s="253"/>
      <c r="P93" s="254"/>
      <c r="Q93" s="251"/>
      <c r="R93" s="251"/>
      <c r="S93" s="264">
        <f t="shared" si="235"/>
        <v>0</v>
      </c>
      <c r="T93" s="252" t="str" cm="1">
        <f t="array" ref="T93">INDEX(Trad, 52, $A$20)</f>
        <v>Sauber</v>
      </c>
      <c r="U93" s="253"/>
      <c r="V93" s="253"/>
      <c r="W93" s="254"/>
      <c r="X93" s="251"/>
      <c r="Y93" s="251"/>
      <c r="Z93" s="264">
        <f t="shared" si="236"/>
        <v>0</v>
      </c>
      <c r="AA93" s="261"/>
      <c r="AB93" s="258"/>
      <c r="AC93" s="246"/>
      <c r="AD93" s="247" t="str">
        <f>IF(ISBLANK(AC93), "", VLOOKUP(AC93, Z!$A$2:$C$4127, 3, FALSE))</f>
        <v/>
      </c>
      <c r="AE93" s="262"/>
      <c r="AF93" s="263">
        <f t="shared" si="230"/>
        <v>0</v>
      </c>
      <c r="AG93" s="238"/>
      <c r="AH93" s="229">
        <f t="shared" ref="AH93" si="282">IF(ISBLANK(H93), 1, IFERROR(MATCH(H93, INDEX(Use,,1), 0), IFERROR(MATCH(H93, INDEX(Use,,2), 0), MATCH(H93, INDEX(Use,,3), 0))))</f>
        <v>1</v>
      </c>
      <c r="AI93" s="229">
        <f t="shared" ref="AI93" si="283">IF(ISBLANK(G93), 1, IFERROR(MATCH(G93, INDEX(Loc,,1), 0), IFERROR(MATCH(G93, INDEX(Loc,,2), 0), MATCH(G93, INDEX(Loc,,3), 0))))</f>
        <v>1</v>
      </c>
      <c r="AJ93" s="229">
        <f t="shared" ref="AJ93" si="284">_xlfn.IFNA(IF(IFERROR(MATCH(I93, INDEX(Medium,,1), 0), IFERROR(MATCH(I93, INDEX(Medium,,2), 0), MATCH(I93, INDEX(Medium,,3), 0))) = 2, 1, 0), 0)</f>
        <v>0</v>
      </c>
      <c r="AK93" s="229">
        <v>0</v>
      </c>
      <c r="AL93" s="229">
        <v>0</v>
      </c>
      <c r="AM93" s="229">
        <v>1</v>
      </c>
      <c r="AN93" s="229">
        <v>0</v>
      </c>
      <c r="AO93" s="229">
        <f t="shared" si="234"/>
        <v>-100</v>
      </c>
      <c r="AP93" s="238"/>
      <c r="AQ93" s="255"/>
      <c r="AR93" s="255"/>
      <c r="AS93" s="256"/>
      <c r="AT93" s="256"/>
      <c r="AU93" s="256"/>
      <c r="AV93" s="256"/>
      <c r="AW93" s="256"/>
      <c r="AX93" s="256"/>
      <c r="AY93" s="256"/>
      <c r="AZ93" s="256"/>
      <c r="BA93" s="256"/>
      <c r="BB93" s="256"/>
      <c r="BC93" s="256"/>
      <c r="BD93" s="211"/>
      <c r="BE93" s="229" cm="1">
        <f t="array" ref="BE93">IF(ISBLANK(R93), INDEX(Use, $AH93, 4) - AM93*INDEX(Use, $AH93, 6), R93)</f>
        <v>5</v>
      </c>
      <c r="BF93" s="229">
        <f t="shared" si="240"/>
        <v>30</v>
      </c>
      <c r="BG93" s="229">
        <f t="shared" si="241"/>
        <v>13</v>
      </c>
      <c r="BH93" s="229">
        <f t="shared" si="242"/>
        <v>0</v>
      </c>
      <c r="BI93" s="234" cm="1">
        <f t="array" ref="BI93">K93/IF($L93&gt;0, INDEX($AU$23:$BA$77, $L93+20, $AH93), 1)</f>
        <v>0</v>
      </c>
      <c r="BJ93" s="230">
        <f t="shared" si="243"/>
        <v>0</v>
      </c>
      <c r="BK93" s="229">
        <v>35</v>
      </c>
      <c r="BL93" s="230">
        <f t="shared" si="244"/>
        <v>48</v>
      </c>
      <c r="BM93" s="235">
        <f t="shared" si="245"/>
        <v>2.9108720930232557</v>
      </c>
      <c r="BN93" s="235" cm="1">
        <f t="array" ref="BN93">$BI93 * SUMPRODUCT(INDEX($AR$77:$AT$82,,$AI93),INDEX($AU$77:$BA$82,,$AH93), N($AQ$77:$AQ$82&gt;$AO93)) / BM93 / 1000</f>
        <v>0</v>
      </c>
      <c r="BO93" s="232">
        <f t="shared" si="246"/>
        <v>30</v>
      </c>
      <c r="BP93" s="230">
        <f t="shared" si="247"/>
        <v>43</v>
      </c>
      <c r="BQ93" s="235">
        <f t="shared" si="248"/>
        <v>3.2938815789473681</v>
      </c>
      <c r="BR93" s="235" cm="1">
        <f t="array" ref="BR93">$BI93 * IF($AH93&lt;=2,
SUMPRODUCT(INDEX($AR$72:$AT$76,,$AI93), INDEX($AU$72:$BA$76,,$AH93), 1 / ($BB$72:$BB$76*BQ93 + (1-$BB$72:$BB$76)*BM93), N($AQ$72:$AQ$76&gt;$AO93)),
SUMPRODUCT(INDEX($AR$67:$AT$76,,$AI93), INDEX($AU$67:$BA$76,,$AH93), 1 / ($BC$67:$BC$76*BQ93 + (1-$BC$67:$BC$76)*BM93), N($AQ$67:$AQ$76&gt;$AO93))
) / 1000</f>
        <v>0</v>
      </c>
      <c r="BS93" s="232">
        <f t="shared" si="249"/>
        <v>25</v>
      </c>
      <c r="BT93" s="230">
        <f t="shared" si="250"/>
        <v>38</v>
      </c>
      <c r="BU93" s="235">
        <f t="shared" si="251"/>
        <v>3.792954545454545</v>
      </c>
      <c r="BV93" s="235" cm="1">
        <f t="array" ref="BV93">$BI93 * IF($AH93&lt;=2,
SUMPRODUCT(INDEX($AR$67:$AT$71,,$AI93), INDEX($AU$67:$BA$71,,$AH93), 1 / ($BB$67:$BB$71*BU93 + (1-$BB$67:$BB$71)*BQ93), N($AQ$67:$AQ$71&gt;$AO93)),
SUMPRODUCT(INDEX($AR$57:$AT$66,,$AI93), INDEX($AU$57:$BA$66,,$AH93), 1 / ($BC$57:$BC$66*BU93 + (1-$BC$57:$BC$66)*BQ93), N($AQ$57:$AQ$66&gt;$AO93))
) / 1000</f>
        <v>0</v>
      </c>
      <c r="BW93" s="232">
        <f t="shared" si="252"/>
        <v>20</v>
      </c>
      <c r="BX93" s="230">
        <f t="shared" si="253"/>
        <v>33</v>
      </c>
      <c r="BY93" s="235">
        <f t="shared" si="254"/>
        <v>4.4702678571428569</v>
      </c>
      <c r="BZ93" s="235" cm="1">
        <f t="array" ref="BZ93">$BI93 * IF($AH93&lt;=2,
SUMPRODUCT(INDEX($AR$62:$AT$66,,$AI93), INDEX($AU$62:$BA$66,,$AH93), 1 / ($BB$62:$BB$66*BY93 + (1-$BB$62:$BB$66)*BU93), N($AQ$62:$AQ$66&gt;$AO93)),
SUMPRODUCT(INDEX($AR$47:$AT$56,,$AI93), INDEX($AU$47:$BA$56,,$AH93), 1 / ($BC$47:$BC$56*BY93 + (1-$BC$47:$BC$56)*BU93), N($AQ$47:$AQ$56&gt;$AO93))
) / 1000</f>
        <v>0</v>
      </c>
      <c r="CA93" s="235" cm="1">
        <f t="array" ref="CA93">$BI93 * IF($AH93&lt;=2,
SUMPRODUCT(INDEX($AR$23:$AT$61,,$AI93), INDEX($AU$23:$BA$61,,$AH93), 1 / ($BB$23:$BB$61*BY93), N($AQ$23:$AQ$61&gt;$AO93)),
SUMPRODUCT(INDEX($AR$23:$AT$46,,$AI93), INDEX($AU$23:$BA$46,,$AH93), 1 / ($BC$23:$BC$46*BY93), N($AQ$23:$AQ$46&gt;$AO93))
) / 1000</f>
        <v>0</v>
      </c>
      <c r="CB93" s="230">
        <f t="shared" si="255"/>
        <v>0</v>
      </c>
      <c r="CC93" s="238"/>
      <c r="CD93" s="229" cm="1">
        <f t="array" ref="CD93">IF(ISBLANK(Y93), INDEX(Use, $AH93, 4) - AN93*INDEX(Use, $AH93, 6) - (Q93-X93), Y93)</f>
        <v>7</v>
      </c>
      <c r="CE93" s="229">
        <f t="shared" si="256"/>
        <v>32</v>
      </c>
      <c r="CF93" s="230">
        <f t="shared" si="257"/>
        <v>0</v>
      </c>
      <c r="CG93" s="229">
        <v>35</v>
      </c>
      <c r="CH93" s="230">
        <f t="shared" si="258"/>
        <v>48</v>
      </c>
      <c r="CI93" s="235">
        <f t="shared" si="259"/>
        <v>3.0748170731707316</v>
      </c>
      <c r="CJ93" s="235" cm="1">
        <f t="array" ref="CJ93">$BI93 * SUMPRODUCT(INDEX($AR$77:$AT$82,,$AI93),INDEX($AU$77:$BA$82,,$AH93), N($AQ$77:$AQ$82&gt;$AO93)) / CI93 / 1000</f>
        <v>0</v>
      </c>
      <c r="CK93" s="232">
        <f t="shared" si="260"/>
        <v>30</v>
      </c>
      <c r="CL93" s="230">
        <f t="shared" si="261"/>
        <v>43</v>
      </c>
      <c r="CM93" s="235">
        <f t="shared" si="262"/>
        <v>3.5018750000000001</v>
      </c>
      <c r="CN93" s="235" cm="1">
        <f t="array" ref="CN93">$BI93 * IF($AH93&lt;=2,
SUMPRODUCT(INDEX($AR$72:$AT$76,,$AI93), INDEX($AU$72:$BA$76,,$AH93), 1 / ($BB$72:$BB$76*CM93 + (1-$BB$72:$BB$76)*CI93), N($AQ$72:$AQ$76&gt;$AO93)),
SUMPRODUCT(INDEX($AR$67:$AT$76,,$AI93), INDEX($AU$67:$BA$76,,$AH93), 1 / ($BC$67:$BC$76*CM93 + (1-$BC$67:$BC$76)*CI93), N($AQ$67:$AQ$76&gt;$AO93))
) / 1000</f>
        <v>0</v>
      </c>
      <c r="CO93" s="232">
        <f t="shared" si="263"/>
        <v>25</v>
      </c>
      <c r="CP93" s="230">
        <f t="shared" si="264"/>
        <v>38</v>
      </c>
      <c r="CQ93" s="235">
        <f t="shared" si="265"/>
        <v>4.0666935483870965</v>
      </c>
      <c r="CR93" s="235" cm="1">
        <f t="array" ref="CR93">$BI93 * IF($AH93&lt;=2,
SUMPRODUCT(INDEX($AR$67:$AT$71,,$AI93), INDEX($AU$67:$BA$71,,$AH93), 1 / ($BB$67:$BB$71*CQ93 + (1-$BB$67:$BB$71)*CM93), N($AQ$67:$AQ$71&gt;$AO93)),
SUMPRODUCT(INDEX($AR$57:$AT$66,,$AI93), INDEX($AU$57:$BA$66,,$AH93), 1 / ($BC$57:$BC$66*CQ93 + (1-$BC$57:$BC$66)*CM93), N($AQ$57:$AQ$66&gt;$AO93))
) / 1000</f>
        <v>0</v>
      </c>
      <c r="CS93" s="232">
        <f t="shared" si="266"/>
        <v>20</v>
      </c>
      <c r="CT93" s="230">
        <f t="shared" si="267"/>
        <v>33</v>
      </c>
      <c r="CU93" s="235">
        <f t="shared" si="268"/>
        <v>4.8487499999999999</v>
      </c>
      <c r="CV93" s="235" cm="1">
        <f t="array" ref="CV93">$BI93 * IF($AH93&lt;=2,
SUMPRODUCT(INDEX($AR$62:$AT$66,,$AI93), INDEX($AU$62:$BA$66,,$AH93), 1 / ($BB$62:$BB$66*CU93 + (1-$BB$62:$BB$66)*CQ93), N($AQ$62:$AQ$66&gt;$AO93)),
SUMPRODUCT(INDEX($AR$47:$AT$56,,$AI93), INDEX($AU$47:$BA$56,,$AH93), 1 / ($BC$47:$BC$56*CU93 + (1-$BC$47:$BC$56)*CQ93), N($AQ$47:$AQ$56&gt;$AO93))
) / 1000</f>
        <v>0</v>
      </c>
      <c r="CW93" s="235" cm="1">
        <f t="array" ref="CW93">$BI93 * IF($AH93&lt;=2,
SUMPRODUCT(INDEX($AR$23:$AT$61,,$AI93), INDEX($AU$23:$BA$61,,$AH93), 1 / ($BB$23:$BB$61*CU93), N($AQ$23:$AQ$61&gt;$AO93)),
SUMPRODUCT(INDEX($AR$23:$AT$46,,$AI93), INDEX($AU$23:$BA$46,,$AH93), 1 / ($BC$23:$BC$46*CU93), N($AQ$23:$AQ$46&gt;$AO93))
) / 1000</f>
        <v>0</v>
      </c>
      <c r="CX93" s="230">
        <f t="shared" si="269"/>
        <v>0</v>
      </c>
      <c r="CY93" s="238"/>
    </row>
    <row r="94" spans="1:103" s="76" customFormat="1" ht="14.25" customHeight="1" x14ac:dyDescent="0.25">
      <c r="A94" s="231" t="b">
        <f t="shared" si="229"/>
        <v>0</v>
      </c>
      <c r="B94" s="245">
        <v>72</v>
      </c>
      <c r="C94" s="258"/>
      <c r="D94" s="258"/>
      <c r="E94" s="246"/>
      <c r="F94" s="247" t="str">
        <f>IF(ISBLANK(E94), "", VLOOKUP(E94, Z!$A$2:$C$4127, 3, FALSE))</f>
        <v/>
      </c>
      <c r="G94" s="248"/>
      <c r="H94" s="248"/>
      <c r="I94" s="249"/>
      <c r="J94" s="250"/>
      <c r="K94" s="259"/>
      <c r="L94" s="260"/>
      <c r="M94" s="252" t="str" cm="1">
        <f t="array" ref="M94">INDEX(Trad, 53, $A$20)</f>
        <v>Verschmutzt</v>
      </c>
      <c r="N94" s="253"/>
      <c r="O94" s="253"/>
      <c r="P94" s="254"/>
      <c r="Q94" s="251"/>
      <c r="R94" s="251"/>
      <c r="S94" s="264">
        <f t="shared" si="235"/>
        <v>0</v>
      </c>
      <c r="T94" s="252" t="str" cm="1">
        <f t="array" ref="T94">INDEX(Trad, 52, $A$20)</f>
        <v>Sauber</v>
      </c>
      <c r="U94" s="253"/>
      <c r="V94" s="253"/>
      <c r="W94" s="254"/>
      <c r="X94" s="251"/>
      <c r="Y94" s="251"/>
      <c r="Z94" s="264">
        <f t="shared" si="236"/>
        <v>0</v>
      </c>
      <c r="AA94" s="261"/>
      <c r="AB94" s="258"/>
      <c r="AC94" s="246"/>
      <c r="AD94" s="247" t="str">
        <f>IF(ISBLANK(AC94), "", VLOOKUP(AC94, Z!$A$2:$C$4127, 3, FALSE))</f>
        <v/>
      </c>
      <c r="AE94" s="262"/>
      <c r="AF94" s="263">
        <f t="shared" si="230"/>
        <v>0</v>
      </c>
      <c r="AG94" s="238"/>
      <c r="AH94" s="229">
        <f t="shared" ref="AH94" si="285">IF(ISBLANK(H94), 1, IFERROR(MATCH(H94, INDEX(Use,,1), 0), IFERROR(MATCH(H94, INDEX(Use,,2), 0), MATCH(H94, INDEX(Use,,3), 0))))</f>
        <v>1</v>
      </c>
      <c r="AI94" s="229">
        <f t="shared" ref="AI94" si="286">IF(ISBLANK(G94), 1, IFERROR(MATCH(G94, INDEX(Loc,,1), 0), IFERROR(MATCH(G94, INDEX(Loc,,2), 0), MATCH(G94, INDEX(Loc,,3), 0))))</f>
        <v>1</v>
      </c>
      <c r="AJ94" s="229">
        <f t="shared" ref="AJ94" si="287">_xlfn.IFNA(IF(IFERROR(MATCH(I94, INDEX(Medium,,1), 0), IFERROR(MATCH(I94, INDEX(Medium,,2), 0), MATCH(I94, INDEX(Medium,,3), 0))) = 2, 1, 0), 0)</f>
        <v>0</v>
      </c>
      <c r="AK94" s="229">
        <v>0</v>
      </c>
      <c r="AL94" s="229">
        <v>0</v>
      </c>
      <c r="AM94" s="229">
        <v>1</v>
      </c>
      <c r="AN94" s="229">
        <v>0</v>
      </c>
      <c r="AO94" s="229">
        <f t="shared" si="234"/>
        <v>-100</v>
      </c>
      <c r="AP94" s="238"/>
      <c r="AQ94" s="255"/>
      <c r="AR94" s="255"/>
      <c r="AS94" s="256"/>
      <c r="AT94" s="256"/>
      <c r="AU94" s="256"/>
      <c r="AV94" s="256"/>
      <c r="AW94" s="256"/>
      <c r="AX94" s="256"/>
      <c r="AY94" s="256"/>
      <c r="AZ94" s="256"/>
      <c r="BA94" s="256"/>
      <c r="BB94" s="256"/>
      <c r="BC94" s="256"/>
      <c r="BD94" s="211"/>
      <c r="BE94" s="229" cm="1">
        <f t="array" ref="BE94">IF(ISBLANK(R94), INDEX(Use, $AH94, 4) - AM94*INDEX(Use, $AH94, 6), R94)</f>
        <v>5</v>
      </c>
      <c r="BF94" s="229">
        <f t="shared" si="240"/>
        <v>30</v>
      </c>
      <c r="BG94" s="229">
        <f t="shared" si="241"/>
        <v>13</v>
      </c>
      <c r="BH94" s="229">
        <f t="shared" si="242"/>
        <v>0</v>
      </c>
      <c r="BI94" s="234" cm="1">
        <f t="array" ref="BI94">K94/IF($L94&gt;0, INDEX($AU$23:$BA$77, $L94+20, $AH94), 1)</f>
        <v>0</v>
      </c>
      <c r="BJ94" s="230">
        <f t="shared" si="243"/>
        <v>0</v>
      </c>
      <c r="BK94" s="229">
        <v>35</v>
      </c>
      <c r="BL94" s="230">
        <f t="shared" si="244"/>
        <v>48</v>
      </c>
      <c r="BM94" s="235">
        <f t="shared" si="245"/>
        <v>2.9108720930232557</v>
      </c>
      <c r="BN94" s="235" cm="1">
        <f t="array" ref="BN94">$BI94 * SUMPRODUCT(INDEX($AR$77:$AT$82,,$AI94),INDEX($AU$77:$BA$82,,$AH94), N($AQ$77:$AQ$82&gt;$AO94)) / BM94 / 1000</f>
        <v>0</v>
      </c>
      <c r="BO94" s="232">
        <f t="shared" si="246"/>
        <v>30</v>
      </c>
      <c r="BP94" s="230">
        <f t="shared" si="247"/>
        <v>43</v>
      </c>
      <c r="BQ94" s="235">
        <f t="shared" si="248"/>
        <v>3.2938815789473681</v>
      </c>
      <c r="BR94" s="235" cm="1">
        <f t="array" ref="BR94">$BI94 * IF($AH94&lt;=2,
SUMPRODUCT(INDEX($AR$72:$AT$76,,$AI94), INDEX($AU$72:$BA$76,,$AH94), 1 / ($BB$72:$BB$76*BQ94 + (1-$BB$72:$BB$76)*BM94), N($AQ$72:$AQ$76&gt;$AO94)),
SUMPRODUCT(INDEX($AR$67:$AT$76,,$AI94), INDEX($AU$67:$BA$76,,$AH94), 1 / ($BC$67:$BC$76*BQ94 + (1-$BC$67:$BC$76)*BM94), N($AQ$67:$AQ$76&gt;$AO94))
) / 1000</f>
        <v>0</v>
      </c>
      <c r="BS94" s="232">
        <f t="shared" si="249"/>
        <v>25</v>
      </c>
      <c r="BT94" s="230">
        <f t="shared" si="250"/>
        <v>38</v>
      </c>
      <c r="BU94" s="235">
        <f t="shared" si="251"/>
        <v>3.792954545454545</v>
      </c>
      <c r="BV94" s="235" cm="1">
        <f t="array" ref="BV94">$BI94 * IF($AH94&lt;=2,
SUMPRODUCT(INDEX($AR$67:$AT$71,,$AI94), INDEX($AU$67:$BA$71,,$AH94), 1 / ($BB$67:$BB$71*BU94 + (1-$BB$67:$BB$71)*BQ94), N($AQ$67:$AQ$71&gt;$AO94)),
SUMPRODUCT(INDEX($AR$57:$AT$66,,$AI94), INDEX($AU$57:$BA$66,,$AH94), 1 / ($BC$57:$BC$66*BU94 + (1-$BC$57:$BC$66)*BQ94), N($AQ$57:$AQ$66&gt;$AO94))
) / 1000</f>
        <v>0</v>
      </c>
      <c r="BW94" s="232">
        <f t="shared" si="252"/>
        <v>20</v>
      </c>
      <c r="BX94" s="230">
        <f t="shared" si="253"/>
        <v>33</v>
      </c>
      <c r="BY94" s="235">
        <f t="shared" si="254"/>
        <v>4.4702678571428569</v>
      </c>
      <c r="BZ94" s="235" cm="1">
        <f t="array" ref="BZ94">$BI94 * IF($AH94&lt;=2,
SUMPRODUCT(INDEX($AR$62:$AT$66,,$AI94), INDEX($AU$62:$BA$66,,$AH94), 1 / ($BB$62:$BB$66*BY94 + (1-$BB$62:$BB$66)*BU94), N($AQ$62:$AQ$66&gt;$AO94)),
SUMPRODUCT(INDEX($AR$47:$AT$56,,$AI94), INDEX($AU$47:$BA$56,,$AH94), 1 / ($BC$47:$BC$56*BY94 + (1-$BC$47:$BC$56)*BU94), N($AQ$47:$AQ$56&gt;$AO94))
) / 1000</f>
        <v>0</v>
      </c>
      <c r="CA94" s="235" cm="1">
        <f t="array" ref="CA94">$BI94 * IF($AH94&lt;=2,
SUMPRODUCT(INDEX($AR$23:$AT$61,,$AI94), INDEX($AU$23:$BA$61,,$AH94), 1 / ($BB$23:$BB$61*BY94), N($AQ$23:$AQ$61&gt;$AO94)),
SUMPRODUCT(INDEX($AR$23:$AT$46,,$AI94), INDEX($AU$23:$BA$46,,$AH94), 1 / ($BC$23:$BC$46*BY94), N($AQ$23:$AQ$46&gt;$AO94))
) / 1000</f>
        <v>0</v>
      </c>
      <c r="CB94" s="230">
        <f t="shared" si="255"/>
        <v>0</v>
      </c>
      <c r="CC94" s="238"/>
      <c r="CD94" s="229" cm="1">
        <f t="array" ref="CD94">IF(ISBLANK(Y94), INDEX(Use, $AH94, 4) - AN94*INDEX(Use, $AH94, 6) - (Q94-X94), Y94)</f>
        <v>7</v>
      </c>
      <c r="CE94" s="229">
        <f t="shared" si="256"/>
        <v>32</v>
      </c>
      <c r="CF94" s="230">
        <f t="shared" si="257"/>
        <v>0</v>
      </c>
      <c r="CG94" s="229">
        <v>35</v>
      </c>
      <c r="CH94" s="230">
        <f t="shared" si="258"/>
        <v>48</v>
      </c>
      <c r="CI94" s="235">
        <f t="shared" si="259"/>
        <v>3.0748170731707316</v>
      </c>
      <c r="CJ94" s="235" cm="1">
        <f t="array" ref="CJ94">$BI94 * SUMPRODUCT(INDEX($AR$77:$AT$82,,$AI94),INDEX($AU$77:$BA$82,,$AH94), N($AQ$77:$AQ$82&gt;$AO94)) / CI94 / 1000</f>
        <v>0</v>
      </c>
      <c r="CK94" s="232">
        <f t="shared" si="260"/>
        <v>30</v>
      </c>
      <c r="CL94" s="230">
        <f t="shared" si="261"/>
        <v>43</v>
      </c>
      <c r="CM94" s="235">
        <f t="shared" si="262"/>
        <v>3.5018750000000001</v>
      </c>
      <c r="CN94" s="235" cm="1">
        <f t="array" ref="CN94">$BI94 * IF($AH94&lt;=2,
SUMPRODUCT(INDEX($AR$72:$AT$76,,$AI94), INDEX($AU$72:$BA$76,,$AH94), 1 / ($BB$72:$BB$76*CM94 + (1-$BB$72:$BB$76)*CI94), N($AQ$72:$AQ$76&gt;$AO94)),
SUMPRODUCT(INDEX($AR$67:$AT$76,,$AI94), INDEX($AU$67:$BA$76,,$AH94), 1 / ($BC$67:$BC$76*CM94 + (1-$BC$67:$BC$76)*CI94), N($AQ$67:$AQ$76&gt;$AO94))
) / 1000</f>
        <v>0</v>
      </c>
      <c r="CO94" s="232">
        <f t="shared" si="263"/>
        <v>25</v>
      </c>
      <c r="CP94" s="230">
        <f t="shared" si="264"/>
        <v>38</v>
      </c>
      <c r="CQ94" s="235">
        <f t="shared" si="265"/>
        <v>4.0666935483870965</v>
      </c>
      <c r="CR94" s="235" cm="1">
        <f t="array" ref="CR94">$BI94 * IF($AH94&lt;=2,
SUMPRODUCT(INDEX($AR$67:$AT$71,,$AI94), INDEX($AU$67:$BA$71,,$AH94), 1 / ($BB$67:$BB$71*CQ94 + (1-$BB$67:$BB$71)*CM94), N($AQ$67:$AQ$71&gt;$AO94)),
SUMPRODUCT(INDEX($AR$57:$AT$66,,$AI94), INDEX($AU$57:$BA$66,,$AH94), 1 / ($BC$57:$BC$66*CQ94 + (1-$BC$57:$BC$66)*CM94), N($AQ$57:$AQ$66&gt;$AO94))
) / 1000</f>
        <v>0</v>
      </c>
      <c r="CS94" s="232">
        <f t="shared" si="266"/>
        <v>20</v>
      </c>
      <c r="CT94" s="230">
        <f t="shared" si="267"/>
        <v>33</v>
      </c>
      <c r="CU94" s="235">
        <f t="shared" si="268"/>
        <v>4.8487499999999999</v>
      </c>
      <c r="CV94" s="235" cm="1">
        <f t="array" ref="CV94">$BI94 * IF($AH94&lt;=2,
SUMPRODUCT(INDEX($AR$62:$AT$66,,$AI94), INDEX($AU$62:$BA$66,,$AH94), 1 / ($BB$62:$BB$66*CU94 + (1-$BB$62:$BB$66)*CQ94), N($AQ$62:$AQ$66&gt;$AO94)),
SUMPRODUCT(INDEX($AR$47:$AT$56,,$AI94), INDEX($AU$47:$BA$56,,$AH94), 1 / ($BC$47:$BC$56*CU94 + (1-$BC$47:$BC$56)*CQ94), N($AQ$47:$AQ$56&gt;$AO94))
) / 1000</f>
        <v>0</v>
      </c>
      <c r="CW94" s="235" cm="1">
        <f t="array" ref="CW94">$BI94 * IF($AH94&lt;=2,
SUMPRODUCT(INDEX($AR$23:$AT$61,,$AI94), INDEX($AU$23:$BA$61,,$AH94), 1 / ($BB$23:$BB$61*CU94), N($AQ$23:$AQ$61&gt;$AO94)),
SUMPRODUCT(INDEX($AR$23:$AT$46,,$AI94), INDEX($AU$23:$BA$46,,$AH94), 1 / ($BC$23:$BC$46*CU94), N($AQ$23:$AQ$46&gt;$AO94))
) / 1000</f>
        <v>0</v>
      </c>
      <c r="CX94" s="230">
        <f t="shared" si="269"/>
        <v>0</v>
      </c>
      <c r="CY94" s="238"/>
    </row>
    <row r="95" spans="1:103" s="76" customFormat="1" ht="14.25" customHeight="1" x14ac:dyDescent="0.25">
      <c r="A95" s="231" t="b">
        <f t="shared" si="229"/>
        <v>0</v>
      </c>
      <c r="B95" s="245">
        <v>73</v>
      </c>
      <c r="C95" s="258"/>
      <c r="D95" s="258"/>
      <c r="E95" s="246"/>
      <c r="F95" s="247" t="str">
        <f>IF(ISBLANK(E95), "", VLOOKUP(E95, Z!$A$2:$C$4127, 3, FALSE))</f>
        <v/>
      </c>
      <c r="G95" s="248"/>
      <c r="H95" s="248"/>
      <c r="I95" s="249"/>
      <c r="J95" s="250"/>
      <c r="K95" s="259"/>
      <c r="L95" s="260"/>
      <c r="M95" s="252" t="str" cm="1">
        <f t="array" ref="M95">INDEX(Trad, 53, $A$20)</f>
        <v>Verschmutzt</v>
      </c>
      <c r="N95" s="253"/>
      <c r="O95" s="253"/>
      <c r="P95" s="254"/>
      <c r="Q95" s="251"/>
      <c r="R95" s="251"/>
      <c r="S95" s="264">
        <f t="shared" si="235"/>
        <v>0</v>
      </c>
      <c r="T95" s="252" t="str" cm="1">
        <f t="array" ref="T95">INDEX(Trad, 52, $A$20)</f>
        <v>Sauber</v>
      </c>
      <c r="U95" s="253"/>
      <c r="V95" s="253"/>
      <c r="W95" s="254"/>
      <c r="X95" s="251"/>
      <c r="Y95" s="251"/>
      <c r="Z95" s="264">
        <f t="shared" si="236"/>
        <v>0</v>
      </c>
      <c r="AA95" s="261"/>
      <c r="AB95" s="258"/>
      <c r="AC95" s="246"/>
      <c r="AD95" s="247" t="str">
        <f>IF(ISBLANK(AC95), "", VLOOKUP(AC95, Z!$A$2:$C$4127, 3, FALSE))</f>
        <v/>
      </c>
      <c r="AE95" s="262"/>
      <c r="AF95" s="263">
        <f t="shared" si="230"/>
        <v>0</v>
      </c>
      <c r="AG95" s="238"/>
      <c r="AH95" s="229">
        <f t="shared" ref="AH95" si="288">IF(ISBLANK(H95), 1, IFERROR(MATCH(H95, INDEX(Use,,1), 0), IFERROR(MATCH(H95, INDEX(Use,,2), 0), MATCH(H95, INDEX(Use,,3), 0))))</f>
        <v>1</v>
      </c>
      <c r="AI95" s="229">
        <f t="shared" ref="AI95" si="289">IF(ISBLANK(G95), 1, IFERROR(MATCH(G95, INDEX(Loc,,1), 0), IFERROR(MATCH(G95, INDEX(Loc,,2), 0), MATCH(G95, INDEX(Loc,,3), 0))))</f>
        <v>1</v>
      </c>
      <c r="AJ95" s="229">
        <f t="shared" ref="AJ95" si="290">_xlfn.IFNA(IF(IFERROR(MATCH(I95, INDEX(Medium,,1), 0), IFERROR(MATCH(I95, INDEX(Medium,,2), 0), MATCH(I95, INDEX(Medium,,3), 0))) = 2, 1, 0), 0)</f>
        <v>0</v>
      </c>
      <c r="AK95" s="229">
        <v>0</v>
      </c>
      <c r="AL95" s="229">
        <v>0</v>
      </c>
      <c r="AM95" s="229">
        <v>1</v>
      </c>
      <c r="AN95" s="229">
        <v>0</v>
      </c>
      <c r="AO95" s="229">
        <f t="shared" si="234"/>
        <v>-100</v>
      </c>
      <c r="AP95" s="238"/>
      <c r="AQ95" s="255"/>
      <c r="AR95" s="255"/>
      <c r="AS95" s="256"/>
      <c r="AT95" s="256"/>
      <c r="AU95" s="256"/>
      <c r="AV95" s="256"/>
      <c r="AW95" s="256"/>
      <c r="AX95" s="256"/>
      <c r="AY95" s="256"/>
      <c r="AZ95" s="256"/>
      <c r="BA95" s="256"/>
      <c r="BB95" s="256"/>
      <c r="BC95" s="256"/>
      <c r="BD95" s="211"/>
      <c r="BE95" s="229" cm="1">
        <f t="array" ref="BE95">IF(ISBLANK(R95), INDEX(Use, $AH95, 4) - AM95*INDEX(Use, $AH95, 6), R95)</f>
        <v>5</v>
      </c>
      <c r="BF95" s="229">
        <f t="shared" si="240"/>
        <v>30</v>
      </c>
      <c r="BG95" s="229">
        <f t="shared" si="241"/>
        <v>13</v>
      </c>
      <c r="BH95" s="229">
        <f t="shared" si="242"/>
        <v>0</v>
      </c>
      <c r="BI95" s="234" cm="1">
        <f t="array" ref="BI95">K95/IF($L95&gt;0, INDEX($AU$23:$BA$77, $L95+20, $AH95), 1)</f>
        <v>0</v>
      </c>
      <c r="BJ95" s="230">
        <f t="shared" si="243"/>
        <v>0</v>
      </c>
      <c r="BK95" s="229">
        <v>35</v>
      </c>
      <c r="BL95" s="230">
        <f t="shared" si="244"/>
        <v>48</v>
      </c>
      <c r="BM95" s="235">
        <f t="shared" si="245"/>
        <v>2.9108720930232557</v>
      </c>
      <c r="BN95" s="235" cm="1">
        <f t="array" ref="BN95">$BI95 * SUMPRODUCT(INDEX($AR$77:$AT$82,,$AI95),INDEX($AU$77:$BA$82,,$AH95), N($AQ$77:$AQ$82&gt;$AO95)) / BM95 / 1000</f>
        <v>0</v>
      </c>
      <c r="BO95" s="232">
        <f t="shared" si="246"/>
        <v>30</v>
      </c>
      <c r="BP95" s="230">
        <f t="shared" si="247"/>
        <v>43</v>
      </c>
      <c r="BQ95" s="235">
        <f t="shared" si="248"/>
        <v>3.2938815789473681</v>
      </c>
      <c r="BR95" s="235" cm="1">
        <f t="array" ref="BR95">$BI95 * IF($AH95&lt;=2,
SUMPRODUCT(INDEX($AR$72:$AT$76,,$AI95), INDEX($AU$72:$BA$76,,$AH95), 1 / ($BB$72:$BB$76*BQ95 + (1-$BB$72:$BB$76)*BM95), N($AQ$72:$AQ$76&gt;$AO95)),
SUMPRODUCT(INDEX($AR$67:$AT$76,,$AI95), INDEX($AU$67:$BA$76,,$AH95), 1 / ($BC$67:$BC$76*BQ95 + (1-$BC$67:$BC$76)*BM95), N($AQ$67:$AQ$76&gt;$AO95))
) / 1000</f>
        <v>0</v>
      </c>
      <c r="BS95" s="232">
        <f t="shared" si="249"/>
        <v>25</v>
      </c>
      <c r="BT95" s="230">
        <f t="shared" si="250"/>
        <v>38</v>
      </c>
      <c r="BU95" s="235">
        <f t="shared" si="251"/>
        <v>3.792954545454545</v>
      </c>
      <c r="BV95" s="235" cm="1">
        <f t="array" ref="BV95">$BI95 * IF($AH95&lt;=2,
SUMPRODUCT(INDEX($AR$67:$AT$71,,$AI95), INDEX($AU$67:$BA$71,,$AH95), 1 / ($BB$67:$BB$71*BU95 + (1-$BB$67:$BB$71)*BQ95), N($AQ$67:$AQ$71&gt;$AO95)),
SUMPRODUCT(INDEX($AR$57:$AT$66,,$AI95), INDEX($AU$57:$BA$66,,$AH95), 1 / ($BC$57:$BC$66*BU95 + (1-$BC$57:$BC$66)*BQ95), N($AQ$57:$AQ$66&gt;$AO95))
) / 1000</f>
        <v>0</v>
      </c>
      <c r="BW95" s="232">
        <f t="shared" si="252"/>
        <v>20</v>
      </c>
      <c r="BX95" s="230">
        <f t="shared" si="253"/>
        <v>33</v>
      </c>
      <c r="BY95" s="235">
        <f t="shared" si="254"/>
        <v>4.4702678571428569</v>
      </c>
      <c r="BZ95" s="235" cm="1">
        <f t="array" ref="BZ95">$BI95 * IF($AH95&lt;=2,
SUMPRODUCT(INDEX($AR$62:$AT$66,,$AI95), INDEX($AU$62:$BA$66,,$AH95), 1 / ($BB$62:$BB$66*BY95 + (1-$BB$62:$BB$66)*BU95), N($AQ$62:$AQ$66&gt;$AO95)),
SUMPRODUCT(INDEX($AR$47:$AT$56,,$AI95), INDEX($AU$47:$BA$56,,$AH95), 1 / ($BC$47:$BC$56*BY95 + (1-$BC$47:$BC$56)*BU95), N($AQ$47:$AQ$56&gt;$AO95))
) / 1000</f>
        <v>0</v>
      </c>
      <c r="CA95" s="235" cm="1">
        <f t="array" ref="CA95">$BI95 * IF($AH95&lt;=2,
SUMPRODUCT(INDEX($AR$23:$AT$61,,$AI95), INDEX($AU$23:$BA$61,,$AH95), 1 / ($BB$23:$BB$61*BY95), N($AQ$23:$AQ$61&gt;$AO95)),
SUMPRODUCT(INDEX($AR$23:$AT$46,,$AI95), INDEX($AU$23:$BA$46,,$AH95), 1 / ($BC$23:$BC$46*BY95), N($AQ$23:$AQ$46&gt;$AO95))
) / 1000</f>
        <v>0</v>
      </c>
      <c r="CB95" s="230">
        <f t="shared" si="255"/>
        <v>0</v>
      </c>
      <c r="CC95" s="238"/>
      <c r="CD95" s="229" cm="1">
        <f t="array" ref="CD95">IF(ISBLANK(Y95), INDEX(Use, $AH95, 4) - AN95*INDEX(Use, $AH95, 6) - (Q95-X95), Y95)</f>
        <v>7</v>
      </c>
      <c r="CE95" s="229">
        <f t="shared" si="256"/>
        <v>32</v>
      </c>
      <c r="CF95" s="230">
        <f t="shared" si="257"/>
        <v>0</v>
      </c>
      <c r="CG95" s="229">
        <v>35</v>
      </c>
      <c r="CH95" s="230">
        <f t="shared" si="258"/>
        <v>48</v>
      </c>
      <c r="CI95" s="235">
        <f t="shared" si="259"/>
        <v>3.0748170731707316</v>
      </c>
      <c r="CJ95" s="235" cm="1">
        <f t="array" ref="CJ95">$BI95 * SUMPRODUCT(INDEX($AR$77:$AT$82,,$AI95),INDEX($AU$77:$BA$82,,$AH95), N($AQ$77:$AQ$82&gt;$AO95)) / CI95 / 1000</f>
        <v>0</v>
      </c>
      <c r="CK95" s="232">
        <f t="shared" si="260"/>
        <v>30</v>
      </c>
      <c r="CL95" s="230">
        <f t="shared" si="261"/>
        <v>43</v>
      </c>
      <c r="CM95" s="235">
        <f t="shared" si="262"/>
        <v>3.5018750000000001</v>
      </c>
      <c r="CN95" s="235" cm="1">
        <f t="array" ref="CN95">$BI95 * IF($AH95&lt;=2,
SUMPRODUCT(INDEX($AR$72:$AT$76,,$AI95), INDEX($AU$72:$BA$76,,$AH95), 1 / ($BB$72:$BB$76*CM95 + (1-$BB$72:$BB$76)*CI95), N($AQ$72:$AQ$76&gt;$AO95)),
SUMPRODUCT(INDEX($AR$67:$AT$76,,$AI95), INDEX($AU$67:$BA$76,,$AH95), 1 / ($BC$67:$BC$76*CM95 + (1-$BC$67:$BC$76)*CI95), N($AQ$67:$AQ$76&gt;$AO95))
) / 1000</f>
        <v>0</v>
      </c>
      <c r="CO95" s="232">
        <f t="shared" si="263"/>
        <v>25</v>
      </c>
      <c r="CP95" s="230">
        <f t="shared" si="264"/>
        <v>38</v>
      </c>
      <c r="CQ95" s="235">
        <f t="shared" si="265"/>
        <v>4.0666935483870965</v>
      </c>
      <c r="CR95" s="235" cm="1">
        <f t="array" ref="CR95">$BI95 * IF($AH95&lt;=2,
SUMPRODUCT(INDEX($AR$67:$AT$71,,$AI95), INDEX($AU$67:$BA$71,,$AH95), 1 / ($BB$67:$BB$71*CQ95 + (1-$BB$67:$BB$71)*CM95), N($AQ$67:$AQ$71&gt;$AO95)),
SUMPRODUCT(INDEX($AR$57:$AT$66,,$AI95), INDEX($AU$57:$BA$66,,$AH95), 1 / ($BC$57:$BC$66*CQ95 + (1-$BC$57:$BC$66)*CM95), N($AQ$57:$AQ$66&gt;$AO95))
) / 1000</f>
        <v>0</v>
      </c>
      <c r="CS95" s="232">
        <f t="shared" si="266"/>
        <v>20</v>
      </c>
      <c r="CT95" s="230">
        <f t="shared" si="267"/>
        <v>33</v>
      </c>
      <c r="CU95" s="235">
        <f t="shared" si="268"/>
        <v>4.8487499999999999</v>
      </c>
      <c r="CV95" s="235" cm="1">
        <f t="array" ref="CV95">$BI95 * IF($AH95&lt;=2,
SUMPRODUCT(INDEX($AR$62:$AT$66,,$AI95), INDEX($AU$62:$BA$66,,$AH95), 1 / ($BB$62:$BB$66*CU95 + (1-$BB$62:$BB$66)*CQ95), N($AQ$62:$AQ$66&gt;$AO95)),
SUMPRODUCT(INDEX($AR$47:$AT$56,,$AI95), INDEX($AU$47:$BA$56,,$AH95), 1 / ($BC$47:$BC$56*CU95 + (1-$BC$47:$BC$56)*CQ95), N($AQ$47:$AQ$56&gt;$AO95))
) / 1000</f>
        <v>0</v>
      </c>
      <c r="CW95" s="235" cm="1">
        <f t="array" ref="CW95">$BI95 * IF($AH95&lt;=2,
SUMPRODUCT(INDEX($AR$23:$AT$61,,$AI95), INDEX($AU$23:$BA$61,,$AH95), 1 / ($BB$23:$BB$61*CU95), N($AQ$23:$AQ$61&gt;$AO95)),
SUMPRODUCT(INDEX($AR$23:$AT$46,,$AI95), INDEX($AU$23:$BA$46,,$AH95), 1 / ($BC$23:$BC$46*CU95), N($AQ$23:$AQ$46&gt;$AO95))
) / 1000</f>
        <v>0</v>
      </c>
      <c r="CX95" s="230">
        <f t="shared" si="269"/>
        <v>0</v>
      </c>
      <c r="CY95" s="238"/>
    </row>
    <row r="96" spans="1:103" s="76" customFormat="1" ht="14.25" customHeight="1" x14ac:dyDescent="0.25">
      <c r="A96" s="231" t="b">
        <f t="shared" si="229"/>
        <v>0</v>
      </c>
      <c r="B96" s="245">
        <v>74</v>
      </c>
      <c r="C96" s="258"/>
      <c r="D96" s="258"/>
      <c r="E96" s="246"/>
      <c r="F96" s="247" t="str">
        <f>IF(ISBLANK(E96), "", VLOOKUP(E96, Z!$A$2:$C$4127, 3, FALSE))</f>
        <v/>
      </c>
      <c r="G96" s="248"/>
      <c r="H96" s="248"/>
      <c r="I96" s="249"/>
      <c r="J96" s="250"/>
      <c r="K96" s="259"/>
      <c r="L96" s="260"/>
      <c r="M96" s="252" t="str" cm="1">
        <f t="array" ref="M96">INDEX(Trad, 53, $A$20)</f>
        <v>Verschmutzt</v>
      </c>
      <c r="N96" s="253"/>
      <c r="O96" s="253"/>
      <c r="P96" s="254"/>
      <c r="Q96" s="251"/>
      <c r="R96" s="251"/>
      <c r="S96" s="264">
        <f t="shared" si="235"/>
        <v>0</v>
      </c>
      <c r="T96" s="252" t="str" cm="1">
        <f t="array" ref="T96">INDEX(Trad, 52, $A$20)</f>
        <v>Sauber</v>
      </c>
      <c r="U96" s="253"/>
      <c r="V96" s="253"/>
      <c r="W96" s="254"/>
      <c r="X96" s="251"/>
      <c r="Y96" s="251"/>
      <c r="Z96" s="264">
        <f t="shared" si="236"/>
        <v>0</v>
      </c>
      <c r="AA96" s="261"/>
      <c r="AB96" s="258"/>
      <c r="AC96" s="246"/>
      <c r="AD96" s="247" t="str">
        <f>IF(ISBLANK(AC96), "", VLOOKUP(AC96, Z!$A$2:$C$4127, 3, FALSE))</f>
        <v/>
      </c>
      <c r="AE96" s="262"/>
      <c r="AF96" s="263">
        <f t="shared" si="230"/>
        <v>0</v>
      </c>
      <c r="AG96" s="238"/>
      <c r="AH96" s="229">
        <f t="shared" ref="AH96" si="291">IF(ISBLANK(H96), 1, IFERROR(MATCH(H96, INDEX(Use,,1), 0), IFERROR(MATCH(H96, INDEX(Use,,2), 0), MATCH(H96, INDEX(Use,,3), 0))))</f>
        <v>1</v>
      </c>
      <c r="AI96" s="229">
        <f t="shared" ref="AI96" si="292">IF(ISBLANK(G96), 1, IFERROR(MATCH(G96, INDEX(Loc,,1), 0), IFERROR(MATCH(G96, INDEX(Loc,,2), 0), MATCH(G96, INDEX(Loc,,3), 0))))</f>
        <v>1</v>
      </c>
      <c r="AJ96" s="229">
        <f t="shared" ref="AJ96" si="293">_xlfn.IFNA(IF(IFERROR(MATCH(I96, INDEX(Medium,,1), 0), IFERROR(MATCH(I96, INDEX(Medium,,2), 0), MATCH(I96, INDEX(Medium,,3), 0))) = 2, 1, 0), 0)</f>
        <v>0</v>
      </c>
      <c r="AK96" s="229">
        <v>0</v>
      </c>
      <c r="AL96" s="229">
        <v>0</v>
      </c>
      <c r="AM96" s="229">
        <v>1</v>
      </c>
      <c r="AN96" s="229">
        <v>0</v>
      </c>
      <c r="AO96" s="229">
        <f t="shared" si="234"/>
        <v>-100</v>
      </c>
      <c r="AP96" s="238"/>
      <c r="AQ96" s="255"/>
      <c r="AR96" s="255"/>
      <c r="AS96" s="256"/>
      <c r="AT96" s="256"/>
      <c r="AU96" s="256"/>
      <c r="AV96" s="256"/>
      <c r="AW96" s="256"/>
      <c r="AX96" s="256"/>
      <c r="AY96" s="256"/>
      <c r="AZ96" s="256"/>
      <c r="BA96" s="256"/>
      <c r="BB96" s="256"/>
      <c r="BC96" s="256"/>
      <c r="BD96" s="211"/>
      <c r="BE96" s="229" cm="1">
        <f t="array" ref="BE96">IF(ISBLANK(R96), INDEX(Use, $AH96, 4) - AM96*INDEX(Use, $AH96, 6), R96)</f>
        <v>5</v>
      </c>
      <c r="BF96" s="229">
        <f t="shared" si="240"/>
        <v>30</v>
      </c>
      <c r="BG96" s="229">
        <f t="shared" si="241"/>
        <v>13</v>
      </c>
      <c r="BH96" s="229">
        <f t="shared" si="242"/>
        <v>0</v>
      </c>
      <c r="BI96" s="234" cm="1">
        <f t="array" ref="BI96">K96/IF($L96&gt;0, INDEX($AU$23:$BA$77, $L96+20, $AH96), 1)</f>
        <v>0</v>
      </c>
      <c r="BJ96" s="230">
        <f t="shared" si="243"/>
        <v>0</v>
      </c>
      <c r="BK96" s="229">
        <v>35</v>
      </c>
      <c r="BL96" s="230">
        <f t="shared" si="244"/>
        <v>48</v>
      </c>
      <c r="BM96" s="235">
        <f t="shared" si="245"/>
        <v>2.9108720930232557</v>
      </c>
      <c r="BN96" s="235" cm="1">
        <f t="array" ref="BN96">$BI96 * SUMPRODUCT(INDEX($AR$77:$AT$82,,$AI96),INDEX($AU$77:$BA$82,,$AH96), N($AQ$77:$AQ$82&gt;$AO96)) / BM96 / 1000</f>
        <v>0</v>
      </c>
      <c r="BO96" s="232">
        <f t="shared" si="246"/>
        <v>30</v>
      </c>
      <c r="BP96" s="230">
        <f t="shared" si="247"/>
        <v>43</v>
      </c>
      <c r="BQ96" s="235">
        <f t="shared" si="248"/>
        <v>3.2938815789473681</v>
      </c>
      <c r="BR96" s="235" cm="1">
        <f t="array" ref="BR96">$BI96 * IF($AH96&lt;=2,
SUMPRODUCT(INDEX($AR$72:$AT$76,,$AI96), INDEX($AU$72:$BA$76,,$AH96), 1 / ($BB$72:$BB$76*BQ96 + (1-$BB$72:$BB$76)*BM96), N($AQ$72:$AQ$76&gt;$AO96)),
SUMPRODUCT(INDEX($AR$67:$AT$76,,$AI96), INDEX($AU$67:$BA$76,,$AH96), 1 / ($BC$67:$BC$76*BQ96 + (1-$BC$67:$BC$76)*BM96), N($AQ$67:$AQ$76&gt;$AO96))
) / 1000</f>
        <v>0</v>
      </c>
      <c r="BS96" s="232">
        <f t="shared" si="249"/>
        <v>25</v>
      </c>
      <c r="BT96" s="230">
        <f t="shared" si="250"/>
        <v>38</v>
      </c>
      <c r="BU96" s="235">
        <f t="shared" si="251"/>
        <v>3.792954545454545</v>
      </c>
      <c r="BV96" s="235" cm="1">
        <f t="array" ref="BV96">$BI96 * IF($AH96&lt;=2,
SUMPRODUCT(INDEX($AR$67:$AT$71,,$AI96), INDEX($AU$67:$BA$71,,$AH96), 1 / ($BB$67:$BB$71*BU96 + (1-$BB$67:$BB$71)*BQ96), N($AQ$67:$AQ$71&gt;$AO96)),
SUMPRODUCT(INDEX($AR$57:$AT$66,,$AI96), INDEX($AU$57:$BA$66,,$AH96), 1 / ($BC$57:$BC$66*BU96 + (1-$BC$57:$BC$66)*BQ96), N($AQ$57:$AQ$66&gt;$AO96))
) / 1000</f>
        <v>0</v>
      </c>
      <c r="BW96" s="232">
        <f t="shared" si="252"/>
        <v>20</v>
      </c>
      <c r="BX96" s="230">
        <f t="shared" si="253"/>
        <v>33</v>
      </c>
      <c r="BY96" s="235">
        <f t="shared" si="254"/>
        <v>4.4702678571428569</v>
      </c>
      <c r="BZ96" s="235" cm="1">
        <f t="array" ref="BZ96">$BI96 * IF($AH96&lt;=2,
SUMPRODUCT(INDEX($AR$62:$AT$66,,$AI96), INDEX($AU$62:$BA$66,,$AH96), 1 / ($BB$62:$BB$66*BY96 + (1-$BB$62:$BB$66)*BU96), N($AQ$62:$AQ$66&gt;$AO96)),
SUMPRODUCT(INDEX($AR$47:$AT$56,,$AI96), INDEX($AU$47:$BA$56,,$AH96), 1 / ($BC$47:$BC$56*BY96 + (1-$BC$47:$BC$56)*BU96), N($AQ$47:$AQ$56&gt;$AO96))
) / 1000</f>
        <v>0</v>
      </c>
      <c r="CA96" s="235" cm="1">
        <f t="array" ref="CA96">$BI96 * IF($AH96&lt;=2,
SUMPRODUCT(INDEX($AR$23:$AT$61,,$AI96), INDEX($AU$23:$BA$61,,$AH96), 1 / ($BB$23:$BB$61*BY96), N($AQ$23:$AQ$61&gt;$AO96)),
SUMPRODUCT(INDEX($AR$23:$AT$46,,$AI96), INDEX($AU$23:$BA$46,,$AH96), 1 / ($BC$23:$BC$46*BY96), N($AQ$23:$AQ$46&gt;$AO96))
) / 1000</f>
        <v>0</v>
      </c>
      <c r="CB96" s="230">
        <f t="shared" si="255"/>
        <v>0</v>
      </c>
      <c r="CC96" s="238"/>
      <c r="CD96" s="229" cm="1">
        <f t="array" ref="CD96">IF(ISBLANK(Y96), INDEX(Use, $AH96, 4) - AN96*INDEX(Use, $AH96, 6) - (Q96-X96), Y96)</f>
        <v>7</v>
      </c>
      <c r="CE96" s="229">
        <f t="shared" si="256"/>
        <v>32</v>
      </c>
      <c r="CF96" s="230">
        <f t="shared" si="257"/>
        <v>0</v>
      </c>
      <c r="CG96" s="229">
        <v>35</v>
      </c>
      <c r="CH96" s="230">
        <f t="shared" si="258"/>
        <v>48</v>
      </c>
      <c r="CI96" s="235">
        <f t="shared" si="259"/>
        <v>3.0748170731707316</v>
      </c>
      <c r="CJ96" s="235" cm="1">
        <f t="array" ref="CJ96">$BI96 * SUMPRODUCT(INDEX($AR$77:$AT$82,,$AI96),INDEX($AU$77:$BA$82,,$AH96), N($AQ$77:$AQ$82&gt;$AO96)) / CI96 / 1000</f>
        <v>0</v>
      </c>
      <c r="CK96" s="232">
        <f t="shared" si="260"/>
        <v>30</v>
      </c>
      <c r="CL96" s="230">
        <f t="shared" si="261"/>
        <v>43</v>
      </c>
      <c r="CM96" s="235">
        <f t="shared" si="262"/>
        <v>3.5018750000000001</v>
      </c>
      <c r="CN96" s="235" cm="1">
        <f t="array" ref="CN96">$BI96 * IF($AH96&lt;=2,
SUMPRODUCT(INDEX($AR$72:$AT$76,,$AI96), INDEX($AU$72:$BA$76,,$AH96), 1 / ($BB$72:$BB$76*CM96 + (1-$BB$72:$BB$76)*CI96), N($AQ$72:$AQ$76&gt;$AO96)),
SUMPRODUCT(INDEX($AR$67:$AT$76,,$AI96), INDEX($AU$67:$BA$76,,$AH96), 1 / ($BC$67:$BC$76*CM96 + (1-$BC$67:$BC$76)*CI96), N($AQ$67:$AQ$76&gt;$AO96))
) / 1000</f>
        <v>0</v>
      </c>
      <c r="CO96" s="232">
        <f t="shared" si="263"/>
        <v>25</v>
      </c>
      <c r="CP96" s="230">
        <f t="shared" si="264"/>
        <v>38</v>
      </c>
      <c r="CQ96" s="235">
        <f t="shared" si="265"/>
        <v>4.0666935483870965</v>
      </c>
      <c r="CR96" s="235" cm="1">
        <f t="array" ref="CR96">$BI96 * IF($AH96&lt;=2,
SUMPRODUCT(INDEX($AR$67:$AT$71,,$AI96), INDEX($AU$67:$BA$71,,$AH96), 1 / ($BB$67:$BB$71*CQ96 + (1-$BB$67:$BB$71)*CM96), N($AQ$67:$AQ$71&gt;$AO96)),
SUMPRODUCT(INDEX($AR$57:$AT$66,,$AI96), INDEX($AU$57:$BA$66,,$AH96), 1 / ($BC$57:$BC$66*CQ96 + (1-$BC$57:$BC$66)*CM96), N($AQ$57:$AQ$66&gt;$AO96))
) / 1000</f>
        <v>0</v>
      </c>
      <c r="CS96" s="232">
        <f t="shared" si="266"/>
        <v>20</v>
      </c>
      <c r="CT96" s="230">
        <f t="shared" si="267"/>
        <v>33</v>
      </c>
      <c r="CU96" s="235">
        <f t="shared" si="268"/>
        <v>4.8487499999999999</v>
      </c>
      <c r="CV96" s="235" cm="1">
        <f t="array" ref="CV96">$BI96 * IF($AH96&lt;=2,
SUMPRODUCT(INDEX($AR$62:$AT$66,,$AI96), INDEX($AU$62:$BA$66,,$AH96), 1 / ($BB$62:$BB$66*CU96 + (1-$BB$62:$BB$66)*CQ96), N($AQ$62:$AQ$66&gt;$AO96)),
SUMPRODUCT(INDEX($AR$47:$AT$56,,$AI96), INDEX($AU$47:$BA$56,,$AH96), 1 / ($BC$47:$BC$56*CU96 + (1-$BC$47:$BC$56)*CQ96), N($AQ$47:$AQ$56&gt;$AO96))
) / 1000</f>
        <v>0</v>
      </c>
      <c r="CW96" s="235" cm="1">
        <f t="array" ref="CW96">$BI96 * IF($AH96&lt;=2,
SUMPRODUCT(INDEX($AR$23:$AT$61,,$AI96), INDEX($AU$23:$BA$61,,$AH96), 1 / ($BB$23:$BB$61*CU96), N($AQ$23:$AQ$61&gt;$AO96)),
SUMPRODUCT(INDEX($AR$23:$AT$46,,$AI96), INDEX($AU$23:$BA$46,,$AH96), 1 / ($BC$23:$BC$46*CU96), N($AQ$23:$AQ$46&gt;$AO96))
) / 1000</f>
        <v>0</v>
      </c>
      <c r="CX96" s="230">
        <f t="shared" si="269"/>
        <v>0</v>
      </c>
      <c r="CY96" s="238"/>
    </row>
    <row r="97" spans="1:103" s="76" customFormat="1" ht="14.25" customHeight="1" x14ac:dyDescent="0.25">
      <c r="A97" s="231" t="b">
        <f t="shared" si="229"/>
        <v>0</v>
      </c>
      <c r="B97" s="245">
        <v>75</v>
      </c>
      <c r="C97" s="258"/>
      <c r="D97" s="258"/>
      <c r="E97" s="246"/>
      <c r="F97" s="247" t="str">
        <f>IF(ISBLANK(E97), "", VLOOKUP(E97, Z!$A$2:$C$4127, 3, FALSE))</f>
        <v/>
      </c>
      <c r="G97" s="248"/>
      <c r="H97" s="248"/>
      <c r="I97" s="249"/>
      <c r="J97" s="250"/>
      <c r="K97" s="259"/>
      <c r="L97" s="260"/>
      <c r="M97" s="252" t="str" cm="1">
        <f t="array" ref="M97">INDEX(Trad, 53, $A$20)</f>
        <v>Verschmutzt</v>
      </c>
      <c r="N97" s="253"/>
      <c r="O97" s="253"/>
      <c r="P97" s="254"/>
      <c r="Q97" s="251"/>
      <c r="R97" s="251"/>
      <c r="S97" s="264">
        <f t="shared" si="235"/>
        <v>0</v>
      </c>
      <c r="T97" s="252" t="str" cm="1">
        <f t="array" ref="T97">INDEX(Trad, 52, $A$20)</f>
        <v>Sauber</v>
      </c>
      <c r="U97" s="253"/>
      <c r="V97" s="253"/>
      <c r="W97" s="254"/>
      <c r="X97" s="251"/>
      <c r="Y97" s="251"/>
      <c r="Z97" s="264">
        <f t="shared" si="236"/>
        <v>0</v>
      </c>
      <c r="AA97" s="261"/>
      <c r="AB97" s="258"/>
      <c r="AC97" s="246"/>
      <c r="AD97" s="247" t="str">
        <f>IF(ISBLANK(AC97), "", VLOOKUP(AC97, Z!$A$2:$C$4127, 3, FALSE))</f>
        <v/>
      </c>
      <c r="AE97" s="262"/>
      <c r="AF97" s="263">
        <f t="shared" si="230"/>
        <v>0</v>
      </c>
      <c r="AG97" s="238"/>
      <c r="AH97" s="229">
        <f t="shared" ref="AH97" si="294">IF(ISBLANK(H97), 1, IFERROR(MATCH(H97, INDEX(Use,,1), 0), IFERROR(MATCH(H97, INDEX(Use,,2), 0), MATCH(H97, INDEX(Use,,3), 0))))</f>
        <v>1</v>
      </c>
      <c r="AI97" s="229">
        <f t="shared" ref="AI97" si="295">IF(ISBLANK(G97), 1, IFERROR(MATCH(G97, INDEX(Loc,,1), 0), IFERROR(MATCH(G97, INDEX(Loc,,2), 0), MATCH(G97, INDEX(Loc,,3), 0))))</f>
        <v>1</v>
      </c>
      <c r="AJ97" s="229">
        <f t="shared" ref="AJ97" si="296">_xlfn.IFNA(IF(IFERROR(MATCH(I97, INDEX(Medium,,1), 0), IFERROR(MATCH(I97, INDEX(Medium,,2), 0), MATCH(I97, INDEX(Medium,,3), 0))) = 2, 1, 0), 0)</f>
        <v>0</v>
      </c>
      <c r="AK97" s="229">
        <v>0</v>
      </c>
      <c r="AL97" s="229">
        <v>0</v>
      </c>
      <c r="AM97" s="229">
        <v>1</v>
      </c>
      <c r="AN97" s="229">
        <v>0</v>
      </c>
      <c r="AO97" s="229">
        <f t="shared" si="234"/>
        <v>-100</v>
      </c>
      <c r="AP97" s="238"/>
      <c r="AQ97" s="255"/>
      <c r="AR97" s="255"/>
      <c r="AS97" s="256"/>
      <c r="AT97" s="256"/>
      <c r="AU97" s="256"/>
      <c r="AV97" s="256"/>
      <c r="AW97" s="256"/>
      <c r="AX97" s="256"/>
      <c r="AY97" s="256"/>
      <c r="AZ97" s="256"/>
      <c r="BA97" s="256"/>
      <c r="BB97" s="256"/>
      <c r="BC97" s="256"/>
      <c r="BD97" s="211"/>
      <c r="BE97" s="229" cm="1">
        <f t="array" ref="BE97">IF(ISBLANK(R97), INDEX(Use, $AH97, 4) - AM97*INDEX(Use, $AH97, 6), R97)</f>
        <v>5</v>
      </c>
      <c r="BF97" s="229">
        <f t="shared" si="240"/>
        <v>30</v>
      </c>
      <c r="BG97" s="229">
        <f t="shared" si="241"/>
        <v>13</v>
      </c>
      <c r="BH97" s="229">
        <f t="shared" si="242"/>
        <v>0</v>
      </c>
      <c r="BI97" s="234" cm="1">
        <f t="array" ref="BI97">K97/IF($L97&gt;0, INDEX($AU$23:$BA$77, $L97+20, $AH97), 1)</f>
        <v>0</v>
      </c>
      <c r="BJ97" s="230">
        <f t="shared" si="243"/>
        <v>0</v>
      </c>
      <c r="BK97" s="229">
        <v>35</v>
      </c>
      <c r="BL97" s="230">
        <f t="shared" si="244"/>
        <v>48</v>
      </c>
      <c r="BM97" s="235">
        <f t="shared" si="245"/>
        <v>2.9108720930232557</v>
      </c>
      <c r="BN97" s="235" cm="1">
        <f t="array" ref="BN97">$BI97 * SUMPRODUCT(INDEX($AR$77:$AT$82,,$AI97),INDEX($AU$77:$BA$82,,$AH97), N($AQ$77:$AQ$82&gt;$AO97)) / BM97 / 1000</f>
        <v>0</v>
      </c>
      <c r="BO97" s="232">
        <f t="shared" si="246"/>
        <v>30</v>
      </c>
      <c r="BP97" s="230">
        <f t="shared" si="247"/>
        <v>43</v>
      </c>
      <c r="BQ97" s="235">
        <f t="shared" si="248"/>
        <v>3.2938815789473681</v>
      </c>
      <c r="BR97" s="235" cm="1">
        <f t="array" ref="BR97">$BI97 * IF($AH97&lt;=2,
SUMPRODUCT(INDEX($AR$72:$AT$76,,$AI97), INDEX($AU$72:$BA$76,,$AH97), 1 / ($BB$72:$BB$76*BQ97 + (1-$BB$72:$BB$76)*BM97), N($AQ$72:$AQ$76&gt;$AO97)),
SUMPRODUCT(INDEX($AR$67:$AT$76,,$AI97), INDEX($AU$67:$BA$76,,$AH97), 1 / ($BC$67:$BC$76*BQ97 + (1-$BC$67:$BC$76)*BM97), N($AQ$67:$AQ$76&gt;$AO97))
) / 1000</f>
        <v>0</v>
      </c>
      <c r="BS97" s="232">
        <f t="shared" si="249"/>
        <v>25</v>
      </c>
      <c r="BT97" s="230">
        <f t="shared" si="250"/>
        <v>38</v>
      </c>
      <c r="BU97" s="235">
        <f t="shared" si="251"/>
        <v>3.792954545454545</v>
      </c>
      <c r="BV97" s="235" cm="1">
        <f t="array" ref="BV97">$BI97 * IF($AH97&lt;=2,
SUMPRODUCT(INDEX($AR$67:$AT$71,,$AI97), INDEX($AU$67:$BA$71,,$AH97), 1 / ($BB$67:$BB$71*BU97 + (1-$BB$67:$BB$71)*BQ97), N($AQ$67:$AQ$71&gt;$AO97)),
SUMPRODUCT(INDEX($AR$57:$AT$66,,$AI97), INDEX($AU$57:$BA$66,,$AH97), 1 / ($BC$57:$BC$66*BU97 + (1-$BC$57:$BC$66)*BQ97), N($AQ$57:$AQ$66&gt;$AO97))
) / 1000</f>
        <v>0</v>
      </c>
      <c r="BW97" s="232">
        <f t="shared" si="252"/>
        <v>20</v>
      </c>
      <c r="BX97" s="230">
        <f t="shared" si="253"/>
        <v>33</v>
      </c>
      <c r="BY97" s="235">
        <f t="shared" si="254"/>
        <v>4.4702678571428569</v>
      </c>
      <c r="BZ97" s="235" cm="1">
        <f t="array" ref="BZ97">$BI97 * IF($AH97&lt;=2,
SUMPRODUCT(INDEX($AR$62:$AT$66,,$AI97), INDEX($AU$62:$BA$66,,$AH97), 1 / ($BB$62:$BB$66*BY97 + (1-$BB$62:$BB$66)*BU97), N($AQ$62:$AQ$66&gt;$AO97)),
SUMPRODUCT(INDEX($AR$47:$AT$56,,$AI97), INDEX($AU$47:$BA$56,,$AH97), 1 / ($BC$47:$BC$56*BY97 + (1-$BC$47:$BC$56)*BU97), N($AQ$47:$AQ$56&gt;$AO97))
) / 1000</f>
        <v>0</v>
      </c>
      <c r="CA97" s="235" cm="1">
        <f t="array" ref="CA97">$BI97 * IF($AH97&lt;=2,
SUMPRODUCT(INDEX($AR$23:$AT$61,,$AI97), INDEX($AU$23:$BA$61,,$AH97), 1 / ($BB$23:$BB$61*BY97), N($AQ$23:$AQ$61&gt;$AO97)),
SUMPRODUCT(INDEX($AR$23:$AT$46,,$AI97), INDEX($AU$23:$BA$46,,$AH97), 1 / ($BC$23:$BC$46*BY97), N($AQ$23:$AQ$46&gt;$AO97))
) / 1000</f>
        <v>0</v>
      </c>
      <c r="CB97" s="230">
        <f t="shared" si="255"/>
        <v>0</v>
      </c>
      <c r="CC97" s="238"/>
      <c r="CD97" s="229" cm="1">
        <f t="array" ref="CD97">IF(ISBLANK(Y97), INDEX(Use, $AH97, 4) - AN97*INDEX(Use, $AH97, 6) - (Q97-X97), Y97)</f>
        <v>7</v>
      </c>
      <c r="CE97" s="229">
        <f t="shared" si="256"/>
        <v>32</v>
      </c>
      <c r="CF97" s="230">
        <f t="shared" si="257"/>
        <v>0</v>
      </c>
      <c r="CG97" s="229">
        <v>35</v>
      </c>
      <c r="CH97" s="230">
        <f t="shared" si="258"/>
        <v>48</v>
      </c>
      <c r="CI97" s="235">
        <f t="shared" si="259"/>
        <v>3.0748170731707316</v>
      </c>
      <c r="CJ97" s="235" cm="1">
        <f t="array" ref="CJ97">$BI97 * SUMPRODUCT(INDEX($AR$77:$AT$82,,$AI97),INDEX($AU$77:$BA$82,,$AH97), N($AQ$77:$AQ$82&gt;$AO97)) / CI97 / 1000</f>
        <v>0</v>
      </c>
      <c r="CK97" s="232">
        <f t="shared" si="260"/>
        <v>30</v>
      </c>
      <c r="CL97" s="230">
        <f t="shared" si="261"/>
        <v>43</v>
      </c>
      <c r="CM97" s="235">
        <f t="shared" si="262"/>
        <v>3.5018750000000001</v>
      </c>
      <c r="CN97" s="235" cm="1">
        <f t="array" ref="CN97">$BI97 * IF($AH97&lt;=2,
SUMPRODUCT(INDEX($AR$72:$AT$76,,$AI97), INDEX($AU$72:$BA$76,,$AH97), 1 / ($BB$72:$BB$76*CM97 + (1-$BB$72:$BB$76)*CI97), N($AQ$72:$AQ$76&gt;$AO97)),
SUMPRODUCT(INDEX($AR$67:$AT$76,,$AI97), INDEX($AU$67:$BA$76,,$AH97), 1 / ($BC$67:$BC$76*CM97 + (1-$BC$67:$BC$76)*CI97), N($AQ$67:$AQ$76&gt;$AO97))
) / 1000</f>
        <v>0</v>
      </c>
      <c r="CO97" s="232">
        <f t="shared" si="263"/>
        <v>25</v>
      </c>
      <c r="CP97" s="230">
        <f t="shared" si="264"/>
        <v>38</v>
      </c>
      <c r="CQ97" s="235">
        <f t="shared" si="265"/>
        <v>4.0666935483870965</v>
      </c>
      <c r="CR97" s="235" cm="1">
        <f t="array" ref="CR97">$BI97 * IF($AH97&lt;=2,
SUMPRODUCT(INDEX($AR$67:$AT$71,,$AI97), INDEX($AU$67:$BA$71,,$AH97), 1 / ($BB$67:$BB$71*CQ97 + (1-$BB$67:$BB$71)*CM97), N($AQ$67:$AQ$71&gt;$AO97)),
SUMPRODUCT(INDEX($AR$57:$AT$66,,$AI97), INDEX($AU$57:$BA$66,,$AH97), 1 / ($BC$57:$BC$66*CQ97 + (1-$BC$57:$BC$66)*CM97), N($AQ$57:$AQ$66&gt;$AO97))
) / 1000</f>
        <v>0</v>
      </c>
      <c r="CS97" s="232">
        <f t="shared" si="266"/>
        <v>20</v>
      </c>
      <c r="CT97" s="230">
        <f t="shared" si="267"/>
        <v>33</v>
      </c>
      <c r="CU97" s="235">
        <f t="shared" si="268"/>
        <v>4.8487499999999999</v>
      </c>
      <c r="CV97" s="235" cm="1">
        <f t="array" ref="CV97">$BI97 * IF($AH97&lt;=2,
SUMPRODUCT(INDEX($AR$62:$AT$66,,$AI97), INDEX($AU$62:$BA$66,,$AH97), 1 / ($BB$62:$BB$66*CU97 + (1-$BB$62:$BB$66)*CQ97), N($AQ$62:$AQ$66&gt;$AO97)),
SUMPRODUCT(INDEX($AR$47:$AT$56,,$AI97), INDEX($AU$47:$BA$56,,$AH97), 1 / ($BC$47:$BC$56*CU97 + (1-$BC$47:$BC$56)*CQ97), N($AQ$47:$AQ$56&gt;$AO97))
) / 1000</f>
        <v>0</v>
      </c>
      <c r="CW97" s="235" cm="1">
        <f t="array" ref="CW97">$BI97 * IF($AH97&lt;=2,
SUMPRODUCT(INDEX($AR$23:$AT$61,,$AI97), INDEX($AU$23:$BA$61,,$AH97), 1 / ($BB$23:$BB$61*CU97), N($AQ$23:$AQ$61&gt;$AO97)),
SUMPRODUCT(INDEX($AR$23:$AT$46,,$AI97), INDEX($AU$23:$BA$46,,$AH97), 1 / ($BC$23:$BC$46*CU97), N($AQ$23:$AQ$46&gt;$AO97))
) / 1000</f>
        <v>0</v>
      </c>
      <c r="CX97" s="230">
        <f t="shared" si="269"/>
        <v>0</v>
      </c>
      <c r="CY97" s="238"/>
    </row>
    <row r="98" spans="1:103" s="76" customFormat="1" ht="14.25" customHeight="1" x14ac:dyDescent="0.25">
      <c r="A98" s="231" t="b">
        <f t="shared" si="229"/>
        <v>0</v>
      </c>
      <c r="B98" s="245">
        <v>76</v>
      </c>
      <c r="C98" s="258"/>
      <c r="D98" s="258"/>
      <c r="E98" s="246"/>
      <c r="F98" s="247" t="str">
        <f>IF(ISBLANK(E98), "", VLOOKUP(E98, Z!$A$2:$C$4127, 3, FALSE))</f>
        <v/>
      </c>
      <c r="G98" s="248"/>
      <c r="H98" s="248"/>
      <c r="I98" s="249"/>
      <c r="J98" s="250"/>
      <c r="K98" s="259"/>
      <c r="L98" s="260"/>
      <c r="M98" s="252" t="str" cm="1">
        <f t="array" ref="M98">INDEX(Trad, 53, $A$20)</f>
        <v>Verschmutzt</v>
      </c>
      <c r="N98" s="253"/>
      <c r="O98" s="253"/>
      <c r="P98" s="254"/>
      <c r="Q98" s="251"/>
      <c r="R98" s="251"/>
      <c r="S98" s="264">
        <f t="shared" si="235"/>
        <v>0</v>
      </c>
      <c r="T98" s="252" t="str" cm="1">
        <f t="array" ref="T98">INDEX(Trad, 52, $A$20)</f>
        <v>Sauber</v>
      </c>
      <c r="U98" s="253"/>
      <c r="V98" s="253"/>
      <c r="W98" s="254"/>
      <c r="X98" s="251"/>
      <c r="Y98" s="251"/>
      <c r="Z98" s="264">
        <f t="shared" si="236"/>
        <v>0</v>
      </c>
      <c r="AA98" s="261"/>
      <c r="AB98" s="258"/>
      <c r="AC98" s="246"/>
      <c r="AD98" s="247" t="str">
        <f>IF(ISBLANK(AC98), "", VLOOKUP(AC98, Z!$A$2:$C$4127, 3, FALSE))</f>
        <v/>
      </c>
      <c r="AE98" s="262"/>
      <c r="AF98" s="263">
        <f t="shared" si="230"/>
        <v>0</v>
      </c>
      <c r="AG98" s="238"/>
      <c r="AH98" s="229">
        <f t="shared" ref="AH98" si="297">IF(ISBLANK(H98), 1, IFERROR(MATCH(H98, INDEX(Use,,1), 0), IFERROR(MATCH(H98, INDEX(Use,,2), 0), MATCH(H98, INDEX(Use,,3), 0))))</f>
        <v>1</v>
      </c>
      <c r="AI98" s="229">
        <f t="shared" ref="AI98" si="298">IF(ISBLANK(G98), 1, IFERROR(MATCH(G98, INDEX(Loc,,1), 0), IFERROR(MATCH(G98, INDEX(Loc,,2), 0), MATCH(G98, INDEX(Loc,,3), 0))))</f>
        <v>1</v>
      </c>
      <c r="AJ98" s="229">
        <f t="shared" ref="AJ98" si="299">_xlfn.IFNA(IF(IFERROR(MATCH(I98, INDEX(Medium,,1), 0), IFERROR(MATCH(I98, INDEX(Medium,,2), 0), MATCH(I98, INDEX(Medium,,3), 0))) = 2, 1, 0), 0)</f>
        <v>0</v>
      </c>
      <c r="AK98" s="229">
        <v>0</v>
      </c>
      <c r="AL98" s="229">
        <v>0</v>
      </c>
      <c r="AM98" s="229">
        <v>1</v>
      </c>
      <c r="AN98" s="229">
        <v>0</v>
      </c>
      <c r="AO98" s="229">
        <f t="shared" si="234"/>
        <v>-100</v>
      </c>
      <c r="AP98" s="238"/>
      <c r="AQ98" s="255"/>
      <c r="AR98" s="255"/>
      <c r="AS98" s="256"/>
      <c r="AT98" s="256"/>
      <c r="AU98" s="256"/>
      <c r="AV98" s="256"/>
      <c r="AW98" s="256"/>
      <c r="AX98" s="256"/>
      <c r="AY98" s="256"/>
      <c r="AZ98" s="256"/>
      <c r="BA98" s="256"/>
      <c r="BB98" s="256"/>
      <c r="BC98" s="256"/>
      <c r="BD98" s="211"/>
      <c r="BE98" s="229" cm="1">
        <f t="array" ref="BE98">IF(ISBLANK(R98), INDEX(Use, $AH98, 4) - AM98*INDEX(Use, $AH98, 6), R98)</f>
        <v>5</v>
      </c>
      <c r="BF98" s="229">
        <f t="shared" si="240"/>
        <v>30</v>
      </c>
      <c r="BG98" s="229">
        <f t="shared" si="241"/>
        <v>13</v>
      </c>
      <c r="BH98" s="229">
        <f t="shared" si="242"/>
        <v>0</v>
      </c>
      <c r="BI98" s="234" cm="1">
        <f t="array" ref="BI98">K98/IF($L98&gt;0, INDEX($AU$23:$BA$77, $L98+20, $AH98), 1)</f>
        <v>0</v>
      </c>
      <c r="BJ98" s="230">
        <f t="shared" si="243"/>
        <v>0</v>
      </c>
      <c r="BK98" s="229">
        <v>35</v>
      </c>
      <c r="BL98" s="230">
        <f t="shared" si="244"/>
        <v>48</v>
      </c>
      <c r="BM98" s="235">
        <f t="shared" si="245"/>
        <v>2.9108720930232557</v>
      </c>
      <c r="BN98" s="235" cm="1">
        <f t="array" ref="BN98">$BI98 * SUMPRODUCT(INDEX($AR$77:$AT$82,,$AI98),INDEX($AU$77:$BA$82,,$AH98), N($AQ$77:$AQ$82&gt;$AO98)) / BM98 / 1000</f>
        <v>0</v>
      </c>
      <c r="BO98" s="232">
        <f t="shared" si="246"/>
        <v>30</v>
      </c>
      <c r="BP98" s="230">
        <f t="shared" si="247"/>
        <v>43</v>
      </c>
      <c r="BQ98" s="235">
        <f t="shared" si="248"/>
        <v>3.2938815789473681</v>
      </c>
      <c r="BR98" s="235" cm="1">
        <f t="array" ref="BR98">$BI98 * IF($AH98&lt;=2,
SUMPRODUCT(INDEX($AR$72:$AT$76,,$AI98), INDEX($AU$72:$BA$76,,$AH98), 1 / ($BB$72:$BB$76*BQ98 + (1-$BB$72:$BB$76)*BM98), N($AQ$72:$AQ$76&gt;$AO98)),
SUMPRODUCT(INDEX($AR$67:$AT$76,,$AI98), INDEX($AU$67:$BA$76,,$AH98), 1 / ($BC$67:$BC$76*BQ98 + (1-$BC$67:$BC$76)*BM98), N($AQ$67:$AQ$76&gt;$AO98))
) / 1000</f>
        <v>0</v>
      </c>
      <c r="BS98" s="232">
        <f t="shared" si="249"/>
        <v>25</v>
      </c>
      <c r="BT98" s="230">
        <f t="shared" si="250"/>
        <v>38</v>
      </c>
      <c r="BU98" s="235">
        <f t="shared" si="251"/>
        <v>3.792954545454545</v>
      </c>
      <c r="BV98" s="235" cm="1">
        <f t="array" ref="BV98">$BI98 * IF($AH98&lt;=2,
SUMPRODUCT(INDEX($AR$67:$AT$71,,$AI98), INDEX($AU$67:$BA$71,,$AH98), 1 / ($BB$67:$BB$71*BU98 + (1-$BB$67:$BB$71)*BQ98), N($AQ$67:$AQ$71&gt;$AO98)),
SUMPRODUCT(INDEX($AR$57:$AT$66,,$AI98), INDEX($AU$57:$BA$66,,$AH98), 1 / ($BC$57:$BC$66*BU98 + (1-$BC$57:$BC$66)*BQ98), N($AQ$57:$AQ$66&gt;$AO98))
) / 1000</f>
        <v>0</v>
      </c>
      <c r="BW98" s="232">
        <f t="shared" si="252"/>
        <v>20</v>
      </c>
      <c r="BX98" s="230">
        <f t="shared" si="253"/>
        <v>33</v>
      </c>
      <c r="BY98" s="235">
        <f t="shared" si="254"/>
        <v>4.4702678571428569</v>
      </c>
      <c r="BZ98" s="235" cm="1">
        <f t="array" ref="BZ98">$BI98 * IF($AH98&lt;=2,
SUMPRODUCT(INDEX($AR$62:$AT$66,,$AI98), INDEX($AU$62:$BA$66,,$AH98), 1 / ($BB$62:$BB$66*BY98 + (1-$BB$62:$BB$66)*BU98), N($AQ$62:$AQ$66&gt;$AO98)),
SUMPRODUCT(INDEX($AR$47:$AT$56,,$AI98), INDEX($AU$47:$BA$56,,$AH98), 1 / ($BC$47:$BC$56*BY98 + (1-$BC$47:$BC$56)*BU98), N($AQ$47:$AQ$56&gt;$AO98))
) / 1000</f>
        <v>0</v>
      </c>
      <c r="CA98" s="235" cm="1">
        <f t="array" ref="CA98">$BI98 * IF($AH98&lt;=2,
SUMPRODUCT(INDEX($AR$23:$AT$61,,$AI98), INDEX($AU$23:$BA$61,,$AH98), 1 / ($BB$23:$BB$61*BY98), N($AQ$23:$AQ$61&gt;$AO98)),
SUMPRODUCT(INDEX($AR$23:$AT$46,,$AI98), INDEX($AU$23:$BA$46,,$AH98), 1 / ($BC$23:$BC$46*BY98), N($AQ$23:$AQ$46&gt;$AO98))
) / 1000</f>
        <v>0</v>
      </c>
      <c r="CB98" s="230">
        <f t="shared" si="255"/>
        <v>0</v>
      </c>
      <c r="CC98" s="238"/>
      <c r="CD98" s="229" cm="1">
        <f t="array" ref="CD98">IF(ISBLANK(Y98), INDEX(Use, $AH98, 4) - AN98*INDEX(Use, $AH98, 6) - (Q98-X98), Y98)</f>
        <v>7</v>
      </c>
      <c r="CE98" s="229">
        <f t="shared" si="256"/>
        <v>32</v>
      </c>
      <c r="CF98" s="230">
        <f t="shared" si="257"/>
        <v>0</v>
      </c>
      <c r="CG98" s="229">
        <v>35</v>
      </c>
      <c r="CH98" s="230">
        <f t="shared" si="258"/>
        <v>48</v>
      </c>
      <c r="CI98" s="235">
        <f t="shared" si="259"/>
        <v>3.0748170731707316</v>
      </c>
      <c r="CJ98" s="235" cm="1">
        <f t="array" ref="CJ98">$BI98 * SUMPRODUCT(INDEX($AR$77:$AT$82,,$AI98),INDEX($AU$77:$BA$82,,$AH98), N($AQ$77:$AQ$82&gt;$AO98)) / CI98 / 1000</f>
        <v>0</v>
      </c>
      <c r="CK98" s="232">
        <f t="shared" si="260"/>
        <v>30</v>
      </c>
      <c r="CL98" s="230">
        <f t="shared" si="261"/>
        <v>43</v>
      </c>
      <c r="CM98" s="235">
        <f t="shared" si="262"/>
        <v>3.5018750000000001</v>
      </c>
      <c r="CN98" s="235" cm="1">
        <f t="array" ref="CN98">$BI98 * IF($AH98&lt;=2,
SUMPRODUCT(INDEX($AR$72:$AT$76,,$AI98), INDEX($AU$72:$BA$76,,$AH98), 1 / ($BB$72:$BB$76*CM98 + (1-$BB$72:$BB$76)*CI98), N($AQ$72:$AQ$76&gt;$AO98)),
SUMPRODUCT(INDEX($AR$67:$AT$76,,$AI98), INDEX($AU$67:$BA$76,,$AH98), 1 / ($BC$67:$BC$76*CM98 + (1-$BC$67:$BC$76)*CI98), N($AQ$67:$AQ$76&gt;$AO98))
) / 1000</f>
        <v>0</v>
      </c>
      <c r="CO98" s="232">
        <f t="shared" si="263"/>
        <v>25</v>
      </c>
      <c r="CP98" s="230">
        <f t="shared" si="264"/>
        <v>38</v>
      </c>
      <c r="CQ98" s="235">
        <f t="shared" si="265"/>
        <v>4.0666935483870965</v>
      </c>
      <c r="CR98" s="235" cm="1">
        <f t="array" ref="CR98">$BI98 * IF($AH98&lt;=2,
SUMPRODUCT(INDEX($AR$67:$AT$71,,$AI98), INDEX($AU$67:$BA$71,,$AH98), 1 / ($BB$67:$BB$71*CQ98 + (1-$BB$67:$BB$71)*CM98), N($AQ$67:$AQ$71&gt;$AO98)),
SUMPRODUCT(INDEX($AR$57:$AT$66,,$AI98), INDEX($AU$57:$BA$66,,$AH98), 1 / ($BC$57:$BC$66*CQ98 + (1-$BC$57:$BC$66)*CM98), N($AQ$57:$AQ$66&gt;$AO98))
) / 1000</f>
        <v>0</v>
      </c>
      <c r="CS98" s="232">
        <f t="shared" si="266"/>
        <v>20</v>
      </c>
      <c r="CT98" s="230">
        <f t="shared" si="267"/>
        <v>33</v>
      </c>
      <c r="CU98" s="235">
        <f t="shared" si="268"/>
        <v>4.8487499999999999</v>
      </c>
      <c r="CV98" s="235" cm="1">
        <f t="array" ref="CV98">$BI98 * IF($AH98&lt;=2,
SUMPRODUCT(INDEX($AR$62:$AT$66,,$AI98), INDEX($AU$62:$BA$66,,$AH98), 1 / ($BB$62:$BB$66*CU98 + (1-$BB$62:$BB$66)*CQ98), N($AQ$62:$AQ$66&gt;$AO98)),
SUMPRODUCT(INDEX($AR$47:$AT$56,,$AI98), INDEX($AU$47:$BA$56,,$AH98), 1 / ($BC$47:$BC$56*CU98 + (1-$BC$47:$BC$56)*CQ98), N($AQ$47:$AQ$56&gt;$AO98))
) / 1000</f>
        <v>0</v>
      </c>
      <c r="CW98" s="235" cm="1">
        <f t="array" ref="CW98">$BI98 * IF($AH98&lt;=2,
SUMPRODUCT(INDEX($AR$23:$AT$61,,$AI98), INDEX($AU$23:$BA$61,,$AH98), 1 / ($BB$23:$BB$61*CU98), N($AQ$23:$AQ$61&gt;$AO98)),
SUMPRODUCT(INDEX($AR$23:$AT$46,,$AI98), INDEX($AU$23:$BA$46,,$AH98), 1 / ($BC$23:$BC$46*CU98), N($AQ$23:$AQ$46&gt;$AO98))
) / 1000</f>
        <v>0</v>
      </c>
      <c r="CX98" s="230">
        <f t="shared" si="269"/>
        <v>0</v>
      </c>
      <c r="CY98" s="238"/>
    </row>
    <row r="99" spans="1:103" s="76" customFormat="1" ht="14.25" customHeight="1" x14ac:dyDescent="0.25">
      <c r="A99" s="231" t="b">
        <f t="shared" si="229"/>
        <v>0</v>
      </c>
      <c r="B99" s="245">
        <v>77</v>
      </c>
      <c r="C99" s="258"/>
      <c r="D99" s="258"/>
      <c r="E99" s="246"/>
      <c r="F99" s="247" t="str">
        <f>IF(ISBLANK(E99), "", VLOOKUP(E99, Z!$A$2:$C$4127, 3, FALSE))</f>
        <v/>
      </c>
      <c r="G99" s="248"/>
      <c r="H99" s="248"/>
      <c r="I99" s="249"/>
      <c r="J99" s="250"/>
      <c r="K99" s="259"/>
      <c r="L99" s="260"/>
      <c r="M99" s="252" t="str" cm="1">
        <f t="array" ref="M99">INDEX(Trad, 53, $A$20)</f>
        <v>Verschmutzt</v>
      </c>
      <c r="N99" s="253"/>
      <c r="O99" s="253"/>
      <c r="P99" s="254"/>
      <c r="Q99" s="251"/>
      <c r="R99" s="251"/>
      <c r="S99" s="264">
        <f t="shared" si="235"/>
        <v>0</v>
      </c>
      <c r="T99" s="252" t="str" cm="1">
        <f t="array" ref="T99">INDEX(Trad, 52, $A$20)</f>
        <v>Sauber</v>
      </c>
      <c r="U99" s="253"/>
      <c r="V99" s="253"/>
      <c r="W99" s="254"/>
      <c r="X99" s="251"/>
      <c r="Y99" s="251"/>
      <c r="Z99" s="264">
        <f t="shared" si="236"/>
        <v>0</v>
      </c>
      <c r="AA99" s="261"/>
      <c r="AB99" s="258"/>
      <c r="AC99" s="246"/>
      <c r="AD99" s="247" t="str">
        <f>IF(ISBLANK(AC99), "", VLOOKUP(AC99, Z!$A$2:$C$4127, 3, FALSE))</f>
        <v/>
      </c>
      <c r="AE99" s="262"/>
      <c r="AF99" s="263">
        <f t="shared" si="230"/>
        <v>0</v>
      </c>
      <c r="AG99" s="238"/>
      <c r="AH99" s="229">
        <f t="shared" ref="AH99" si="300">IF(ISBLANK(H99), 1, IFERROR(MATCH(H99, INDEX(Use,,1), 0), IFERROR(MATCH(H99, INDEX(Use,,2), 0), MATCH(H99, INDEX(Use,,3), 0))))</f>
        <v>1</v>
      </c>
      <c r="AI99" s="229">
        <f t="shared" ref="AI99" si="301">IF(ISBLANK(G99), 1, IFERROR(MATCH(G99, INDEX(Loc,,1), 0), IFERROR(MATCH(G99, INDEX(Loc,,2), 0), MATCH(G99, INDEX(Loc,,3), 0))))</f>
        <v>1</v>
      </c>
      <c r="AJ99" s="229">
        <f t="shared" ref="AJ99" si="302">_xlfn.IFNA(IF(IFERROR(MATCH(I99, INDEX(Medium,,1), 0), IFERROR(MATCH(I99, INDEX(Medium,,2), 0), MATCH(I99, INDEX(Medium,,3), 0))) = 2, 1, 0), 0)</f>
        <v>0</v>
      </c>
      <c r="AK99" s="229">
        <v>0</v>
      </c>
      <c r="AL99" s="229">
        <v>0</v>
      </c>
      <c r="AM99" s="229">
        <v>1</v>
      </c>
      <c r="AN99" s="229">
        <v>0</v>
      </c>
      <c r="AO99" s="229">
        <f t="shared" si="234"/>
        <v>-100</v>
      </c>
      <c r="AP99" s="238"/>
      <c r="AQ99" s="255"/>
      <c r="AR99" s="255"/>
      <c r="AS99" s="256"/>
      <c r="AT99" s="256"/>
      <c r="AU99" s="256"/>
      <c r="AV99" s="256"/>
      <c r="AW99" s="256"/>
      <c r="AX99" s="256"/>
      <c r="AY99" s="256"/>
      <c r="AZ99" s="256"/>
      <c r="BA99" s="256"/>
      <c r="BB99" s="256"/>
      <c r="BC99" s="256"/>
      <c r="BD99" s="211"/>
      <c r="BE99" s="229" cm="1">
        <f t="array" ref="BE99">IF(ISBLANK(R99), INDEX(Use, $AH99, 4) - AM99*INDEX(Use, $AH99, 6), R99)</f>
        <v>5</v>
      </c>
      <c r="BF99" s="229">
        <f t="shared" si="240"/>
        <v>30</v>
      </c>
      <c r="BG99" s="229">
        <f t="shared" si="241"/>
        <v>13</v>
      </c>
      <c r="BH99" s="229">
        <f t="shared" si="242"/>
        <v>0</v>
      </c>
      <c r="BI99" s="234" cm="1">
        <f t="array" ref="BI99">K99/IF($L99&gt;0, INDEX($AU$23:$BA$77, $L99+20, $AH99), 1)</f>
        <v>0</v>
      </c>
      <c r="BJ99" s="230">
        <f t="shared" si="243"/>
        <v>0</v>
      </c>
      <c r="BK99" s="229">
        <v>35</v>
      </c>
      <c r="BL99" s="230">
        <f t="shared" si="244"/>
        <v>48</v>
      </c>
      <c r="BM99" s="235">
        <f t="shared" si="245"/>
        <v>2.9108720930232557</v>
      </c>
      <c r="BN99" s="235" cm="1">
        <f t="array" ref="BN99">$BI99 * SUMPRODUCT(INDEX($AR$77:$AT$82,,$AI99),INDEX($AU$77:$BA$82,,$AH99), N($AQ$77:$AQ$82&gt;$AO99)) / BM99 / 1000</f>
        <v>0</v>
      </c>
      <c r="BO99" s="232">
        <f t="shared" si="246"/>
        <v>30</v>
      </c>
      <c r="BP99" s="230">
        <f t="shared" si="247"/>
        <v>43</v>
      </c>
      <c r="BQ99" s="235">
        <f t="shared" si="248"/>
        <v>3.2938815789473681</v>
      </c>
      <c r="BR99" s="235" cm="1">
        <f t="array" ref="BR99">$BI99 * IF($AH99&lt;=2,
SUMPRODUCT(INDEX($AR$72:$AT$76,,$AI99), INDEX($AU$72:$BA$76,,$AH99), 1 / ($BB$72:$BB$76*BQ99 + (1-$BB$72:$BB$76)*BM99), N($AQ$72:$AQ$76&gt;$AO99)),
SUMPRODUCT(INDEX($AR$67:$AT$76,,$AI99), INDEX($AU$67:$BA$76,,$AH99), 1 / ($BC$67:$BC$76*BQ99 + (1-$BC$67:$BC$76)*BM99), N($AQ$67:$AQ$76&gt;$AO99))
) / 1000</f>
        <v>0</v>
      </c>
      <c r="BS99" s="232">
        <f t="shared" si="249"/>
        <v>25</v>
      </c>
      <c r="BT99" s="230">
        <f t="shared" si="250"/>
        <v>38</v>
      </c>
      <c r="BU99" s="235">
        <f t="shared" si="251"/>
        <v>3.792954545454545</v>
      </c>
      <c r="BV99" s="235" cm="1">
        <f t="array" ref="BV99">$BI99 * IF($AH99&lt;=2,
SUMPRODUCT(INDEX($AR$67:$AT$71,,$AI99), INDEX($AU$67:$BA$71,,$AH99), 1 / ($BB$67:$BB$71*BU99 + (1-$BB$67:$BB$71)*BQ99), N($AQ$67:$AQ$71&gt;$AO99)),
SUMPRODUCT(INDEX($AR$57:$AT$66,,$AI99), INDEX($AU$57:$BA$66,,$AH99), 1 / ($BC$57:$BC$66*BU99 + (1-$BC$57:$BC$66)*BQ99), N($AQ$57:$AQ$66&gt;$AO99))
) / 1000</f>
        <v>0</v>
      </c>
      <c r="BW99" s="232">
        <f t="shared" si="252"/>
        <v>20</v>
      </c>
      <c r="BX99" s="230">
        <f t="shared" si="253"/>
        <v>33</v>
      </c>
      <c r="BY99" s="235">
        <f t="shared" si="254"/>
        <v>4.4702678571428569</v>
      </c>
      <c r="BZ99" s="235" cm="1">
        <f t="array" ref="BZ99">$BI99 * IF($AH99&lt;=2,
SUMPRODUCT(INDEX($AR$62:$AT$66,,$AI99), INDEX($AU$62:$BA$66,,$AH99), 1 / ($BB$62:$BB$66*BY99 + (1-$BB$62:$BB$66)*BU99), N($AQ$62:$AQ$66&gt;$AO99)),
SUMPRODUCT(INDEX($AR$47:$AT$56,,$AI99), INDEX($AU$47:$BA$56,,$AH99), 1 / ($BC$47:$BC$56*BY99 + (1-$BC$47:$BC$56)*BU99), N($AQ$47:$AQ$56&gt;$AO99))
) / 1000</f>
        <v>0</v>
      </c>
      <c r="CA99" s="235" cm="1">
        <f t="array" ref="CA99">$BI99 * IF($AH99&lt;=2,
SUMPRODUCT(INDEX($AR$23:$AT$61,,$AI99), INDEX($AU$23:$BA$61,,$AH99), 1 / ($BB$23:$BB$61*BY99), N($AQ$23:$AQ$61&gt;$AO99)),
SUMPRODUCT(INDEX($AR$23:$AT$46,,$AI99), INDEX($AU$23:$BA$46,,$AH99), 1 / ($BC$23:$BC$46*BY99), N($AQ$23:$AQ$46&gt;$AO99))
) / 1000</f>
        <v>0</v>
      </c>
      <c r="CB99" s="230">
        <f t="shared" si="255"/>
        <v>0</v>
      </c>
      <c r="CC99" s="238"/>
      <c r="CD99" s="229" cm="1">
        <f t="array" ref="CD99">IF(ISBLANK(Y99), INDEX(Use, $AH99, 4) - AN99*INDEX(Use, $AH99, 6) - (Q99-X99), Y99)</f>
        <v>7</v>
      </c>
      <c r="CE99" s="229">
        <f t="shared" si="256"/>
        <v>32</v>
      </c>
      <c r="CF99" s="230">
        <f t="shared" si="257"/>
        <v>0</v>
      </c>
      <c r="CG99" s="229">
        <v>35</v>
      </c>
      <c r="CH99" s="230">
        <f t="shared" si="258"/>
        <v>48</v>
      </c>
      <c r="CI99" s="235">
        <f t="shared" si="259"/>
        <v>3.0748170731707316</v>
      </c>
      <c r="CJ99" s="235" cm="1">
        <f t="array" ref="CJ99">$BI99 * SUMPRODUCT(INDEX($AR$77:$AT$82,,$AI99),INDEX($AU$77:$BA$82,,$AH99), N($AQ$77:$AQ$82&gt;$AO99)) / CI99 / 1000</f>
        <v>0</v>
      </c>
      <c r="CK99" s="232">
        <f t="shared" si="260"/>
        <v>30</v>
      </c>
      <c r="CL99" s="230">
        <f t="shared" si="261"/>
        <v>43</v>
      </c>
      <c r="CM99" s="235">
        <f t="shared" si="262"/>
        <v>3.5018750000000001</v>
      </c>
      <c r="CN99" s="235" cm="1">
        <f t="array" ref="CN99">$BI99 * IF($AH99&lt;=2,
SUMPRODUCT(INDEX($AR$72:$AT$76,,$AI99), INDEX($AU$72:$BA$76,,$AH99), 1 / ($BB$72:$BB$76*CM99 + (1-$BB$72:$BB$76)*CI99), N($AQ$72:$AQ$76&gt;$AO99)),
SUMPRODUCT(INDEX($AR$67:$AT$76,,$AI99), INDEX($AU$67:$BA$76,,$AH99), 1 / ($BC$67:$BC$76*CM99 + (1-$BC$67:$BC$76)*CI99), N($AQ$67:$AQ$76&gt;$AO99))
) / 1000</f>
        <v>0</v>
      </c>
      <c r="CO99" s="232">
        <f t="shared" si="263"/>
        <v>25</v>
      </c>
      <c r="CP99" s="230">
        <f t="shared" si="264"/>
        <v>38</v>
      </c>
      <c r="CQ99" s="235">
        <f t="shared" si="265"/>
        <v>4.0666935483870965</v>
      </c>
      <c r="CR99" s="235" cm="1">
        <f t="array" ref="CR99">$BI99 * IF($AH99&lt;=2,
SUMPRODUCT(INDEX($AR$67:$AT$71,,$AI99), INDEX($AU$67:$BA$71,,$AH99), 1 / ($BB$67:$BB$71*CQ99 + (1-$BB$67:$BB$71)*CM99), N($AQ$67:$AQ$71&gt;$AO99)),
SUMPRODUCT(INDEX($AR$57:$AT$66,,$AI99), INDEX($AU$57:$BA$66,,$AH99), 1 / ($BC$57:$BC$66*CQ99 + (1-$BC$57:$BC$66)*CM99), N($AQ$57:$AQ$66&gt;$AO99))
) / 1000</f>
        <v>0</v>
      </c>
      <c r="CS99" s="232">
        <f t="shared" si="266"/>
        <v>20</v>
      </c>
      <c r="CT99" s="230">
        <f t="shared" si="267"/>
        <v>33</v>
      </c>
      <c r="CU99" s="235">
        <f t="shared" si="268"/>
        <v>4.8487499999999999</v>
      </c>
      <c r="CV99" s="235" cm="1">
        <f t="array" ref="CV99">$BI99 * IF($AH99&lt;=2,
SUMPRODUCT(INDEX($AR$62:$AT$66,,$AI99), INDEX($AU$62:$BA$66,,$AH99), 1 / ($BB$62:$BB$66*CU99 + (1-$BB$62:$BB$66)*CQ99), N($AQ$62:$AQ$66&gt;$AO99)),
SUMPRODUCT(INDEX($AR$47:$AT$56,,$AI99), INDEX($AU$47:$BA$56,,$AH99), 1 / ($BC$47:$BC$56*CU99 + (1-$BC$47:$BC$56)*CQ99), N($AQ$47:$AQ$56&gt;$AO99))
) / 1000</f>
        <v>0</v>
      </c>
      <c r="CW99" s="235" cm="1">
        <f t="array" ref="CW99">$BI99 * IF($AH99&lt;=2,
SUMPRODUCT(INDEX($AR$23:$AT$61,,$AI99), INDEX($AU$23:$BA$61,,$AH99), 1 / ($BB$23:$BB$61*CU99), N($AQ$23:$AQ$61&gt;$AO99)),
SUMPRODUCT(INDEX($AR$23:$AT$46,,$AI99), INDEX($AU$23:$BA$46,,$AH99), 1 / ($BC$23:$BC$46*CU99), N($AQ$23:$AQ$46&gt;$AO99))
) / 1000</f>
        <v>0</v>
      </c>
      <c r="CX99" s="230">
        <f t="shared" si="269"/>
        <v>0</v>
      </c>
      <c r="CY99" s="238"/>
    </row>
    <row r="100" spans="1:103" s="76" customFormat="1" ht="14.25" customHeight="1" x14ac:dyDescent="0.25">
      <c r="A100" s="231" t="b">
        <f t="shared" si="229"/>
        <v>0</v>
      </c>
      <c r="B100" s="245">
        <v>78</v>
      </c>
      <c r="C100" s="258"/>
      <c r="D100" s="258"/>
      <c r="E100" s="246"/>
      <c r="F100" s="247" t="str">
        <f>IF(ISBLANK(E100), "", VLOOKUP(E100, Z!$A$2:$C$4127, 3, FALSE))</f>
        <v/>
      </c>
      <c r="G100" s="248"/>
      <c r="H100" s="248"/>
      <c r="I100" s="249"/>
      <c r="J100" s="250"/>
      <c r="K100" s="259"/>
      <c r="L100" s="260"/>
      <c r="M100" s="252" t="str" cm="1">
        <f t="array" ref="M100">INDEX(Trad, 53, $A$20)</f>
        <v>Verschmutzt</v>
      </c>
      <c r="N100" s="253"/>
      <c r="O100" s="253"/>
      <c r="P100" s="254"/>
      <c r="Q100" s="251"/>
      <c r="R100" s="251"/>
      <c r="S100" s="264">
        <f t="shared" si="235"/>
        <v>0</v>
      </c>
      <c r="T100" s="252" t="str" cm="1">
        <f t="array" ref="T100">INDEX(Trad, 52, $A$20)</f>
        <v>Sauber</v>
      </c>
      <c r="U100" s="253"/>
      <c r="V100" s="253"/>
      <c r="W100" s="254"/>
      <c r="X100" s="251"/>
      <c r="Y100" s="251"/>
      <c r="Z100" s="264">
        <f t="shared" si="236"/>
        <v>0</v>
      </c>
      <c r="AA100" s="261"/>
      <c r="AB100" s="258"/>
      <c r="AC100" s="246"/>
      <c r="AD100" s="247" t="str">
        <f>IF(ISBLANK(AC100), "", VLOOKUP(AC100, Z!$A$2:$C$4127, 3, FALSE))</f>
        <v/>
      </c>
      <c r="AE100" s="262"/>
      <c r="AF100" s="263">
        <f t="shared" si="230"/>
        <v>0</v>
      </c>
      <c r="AG100" s="238"/>
      <c r="AH100" s="229">
        <f t="shared" ref="AH100" si="303">IF(ISBLANK(H100), 1, IFERROR(MATCH(H100, INDEX(Use,,1), 0), IFERROR(MATCH(H100, INDEX(Use,,2), 0), MATCH(H100, INDEX(Use,,3), 0))))</f>
        <v>1</v>
      </c>
      <c r="AI100" s="229">
        <f t="shared" ref="AI100" si="304">IF(ISBLANK(G100), 1, IFERROR(MATCH(G100, INDEX(Loc,,1), 0), IFERROR(MATCH(G100, INDEX(Loc,,2), 0), MATCH(G100, INDEX(Loc,,3), 0))))</f>
        <v>1</v>
      </c>
      <c r="AJ100" s="229">
        <f t="shared" ref="AJ100" si="305">_xlfn.IFNA(IF(IFERROR(MATCH(I100, INDEX(Medium,,1), 0), IFERROR(MATCH(I100, INDEX(Medium,,2), 0), MATCH(I100, INDEX(Medium,,3), 0))) = 2, 1, 0), 0)</f>
        <v>0</v>
      </c>
      <c r="AK100" s="229">
        <v>0</v>
      </c>
      <c r="AL100" s="229">
        <v>0</v>
      </c>
      <c r="AM100" s="229">
        <v>1</v>
      </c>
      <c r="AN100" s="229">
        <v>0</v>
      </c>
      <c r="AO100" s="229">
        <f t="shared" si="234"/>
        <v>-100</v>
      </c>
      <c r="AP100" s="238"/>
      <c r="AQ100" s="255"/>
      <c r="AR100" s="255"/>
      <c r="AS100" s="256"/>
      <c r="AT100" s="256"/>
      <c r="AU100" s="256"/>
      <c r="AV100" s="256"/>
      <c r="AW100" s="256"/>
      <c r="AX100" s="256"/>
      <c r="AY100" s="256"/>
      <c r="AZ100" s="256"/>
      <c r="BA100" s="256"/>
      <c r="BB100" s="256"/>
      <c r="BC100" s="256"/>
      <c r="BD100" s="211"/>
      <c r="BE100" s="229" cm="1">
        <f t="array" ref="BE100">IF(ISBLANK(R100), INDEX(Use, $AH100, 4) - AM100*INDEX(Use, $AH100, 6), R100)</f>
        <v>5</v>
      </c>
      <c r="BF100" s="229">
        <f t="shared" si="240"/>
        <v>30</v>
      </c>
      <c r="BG100" s="229">
        <f t="shared" si="241"/>
        <v>13</v>
      </c>
      <c r="BH100" s="229">
        <f t="shared" si="242"/>
        <v>0</v>
      </c>
      <c r="BI100" s="234" cm="1">
        <f t="array" ref="BI100">K100/IF($L100&gt;0, INDEX($AU$23:$BA$77, $L100+20, $AH100), 1)</f>
        <v>0</v>
      </c>
      <c r="BJ100" s="230">
        <f t="shared" si="243"/>
        <v>0</v>
      </c>
      <c r="BK100" s="229">
        <v>35</v>
      </c>
      <c r="BL100" s="230">
        <f t="shared" si="244"/>
        <v>48</v>
      </c>
      <c r="BM100" s="235">
        <f t="shared" si="245"/>
        <v>2.9108720930232557</v>
      </c>
      <c r="BN100" s="235" cm="1">
        <f t="array" ref="BN100">$BI100 * SUMPRODUCT(INDEX($AR$77:$AT$82,,$AI100),INDEX($AU$77:$BA$82,,$AH100), N($AQ$77:$AQ$82&gt;$AO100)) / BM100 / 1000</f>
        <v>0</v>
      </c>
      <c r="BO100" s="232">
        <f t="shared" si="246"/>
        <v>30</v>
      </c>
      <c r="BP100" s="230">
        <f t="shared" si="247"/>
        <v>43</v>
      </c>
      <c r="BQ100" s="235">
        <f t="shared" si="248"/>
        <v>3.2938815789473681</v>
      </c>
      <c r="BR100" s="235" cm="1">
        <f t="array" ref="BR100">$BI100 * IF($AH100&lt;=2,
SUMPRODUCT(INDEX($AR$72:$AT$76,,$AI100), INDEX($AU$72:$BA$76,,$AH100), 1 / ($BB$72:$BB$76*BQ100 + (1-$BB$72:$BB$76)*BM100), N($AQ$72:$AQ$76&gt;$AO100)),
SUMPRODUCT(INDEX($AR$67:$AT$76,,$AI100), INDEX($AU$67:$BA$76,,$AH100), 1 / ($BC$67:$BC$76*BQ100 + (1-$BC$67:$BC$76)*BM100), N($AQ$67:$AQ$76&gt;$AO100))
) / 1000</f>
        <v>0</v>
      </c>
      <c r="BS100" s="232">
        <f t="shared" si="249"/>
        <v>25</v>
      </c>
      <c r="BT100" s="230">
        <f t="shared" si="250"/>
        <v>38</v>
      </c>
      <c r="BU100" s="235">
        <f t="shared" si="251"/>
        <v>3.792954545454545</v>
      </c>
      <c r="BV100" s="235" cm="1">
        <f t="array" ref="BV100">$BI100 * IF($AH100&lt;=2,
SUMPRODUCT(INDEX($AR$67:$AT$71,,$AI100), INDEX($AU$67:$BA$71,,$AH100), 1 / ($BB$67:$BB$71*BU100 + (1-$BB$67:$BB$71)*BQ100), N($AQ$67:$AQ$71&gt;$AO100)),
SUMPRODUCT(INDEX($AR$57:$AT$66,,$AI100), INDEX($AU$57:$BA$66,,$AH100), 1 / ($BC$57:$BC$66*BU100 + (1-$BC$57:$BC$66)*BQ100), N($AQ$57:$AQ$66&gt;$AO100))
) / 1000</f>
        <v>0</v>
      </c>
      <c r="BW100" s="232">
        <f t="shared" si="252"/>
        <v>20</v>
      </c>
      <c r="BX100" s="230">
        <f t="shared" si="253"/>
        <v>33</v>
      </c>
      <c r="BY100" s="235">
        <f t="shared" si="254"/>
        <v>4.4702678571428569</v>
      </c>
      <c r="BZ100" s="235" cm="1">
        <f t="array" ref="BZ100">$BI100 * IF($AH100&lt;=2,
SUMPRODUCT(INDEX($AR$62:$AT$66,,$AI100), INDEX($AU$62:$BA$66,,$AH100), 1 / ($BB$62:$BB$66*BY100 + (1-$BB$62:$BB$66)*BU100), N($AQ$62:$AQ$66&gt;$AO100)),
SUMPRODUCT(INDEX($AR$47:$AT$56,,$AI100), INDEX($AU$47:$BA$56,,$AH100), 1 / ($BC$47:$BC$56*BY100 + (1-$BC$47:$BC$56)*BU100), N($AQ$47:$AQ$56&gt;$AO100))
) / 1000</f>
        <v>0</v>
      </c>
      <c r="CA100" s="235" cm="1">
        <f t="array" ref="CA100">$BI100 * IF($AH100&lt;=2,
SUMPRODUCT(INDEX($AR$23:$AT$61,,$AI100), INDEX($AU$23:$BA$61,,$AH100), 1 / ($BB$23:$BB$61*BY100), N($AQ$23:$AQ$61&gt;$AO100)),
SUMPRODUCT(INDEX($AR$23:$AT$46,,$AI100), INDEX($AU$23:$BA$46,,$AH100), 1 / ($BC$23:$BC$46*BY100), N($AQ$23:$AQ$46&gt;$AO100))
) / 1000</f>
        <v>0</v>
      </c>
      <c r="CB100" s="230">
        <f t="shared" si="255"/>
        <v>0</v>
      </c>
      <c r="CC100" s="238"/>
      <c r="CD100" s="229" cm="1">
        <f t="array" ref="CD100">IF(ISBLANK(Y100), INDEX(Use, $AH100, 4) - AN100*INDEX(Use, $AH100, 6) - (Q100-X100), Y100)</f>
        <v>7</v>
      </c>
      <c r="CE100" s="229">
        <f t="shared" si="256"/>
        <v>32</v>
      </c>
      <c r="CF100" s="230">
        <f t="shared" si="257"/>
        <v>0</v>
      </c>
      <c r="CG100" s="229">
        <v>35</v>
      </c>
      <c r="CH100" s="230">
        <f t="shared" si="258"/>
        <v>48</v>
      </c>
      <c r="CI100" s="235">
        <f t="shared" si="259"/>
        <v>3.0748170731707316</v>
      </c>
      <c r="CJ100" s="235" cm="1">
        <f t="array" ref="CJ100">$BI100 * SUMPRODUCT(INDEX($AR$77:$AT$82,,$AI100),INDEX($AU$77:$BA$82,,$AH100), N($AQ$77:$AQ$82&gt;$AO100)) / CI100 / 1000</f>
        <v>0</v>
      </c>
      <c r="CK100" s="232">
        <f t="shared" si="260"/>
        <v>30</v>
      </c>
      <c r="CL100" s="230">
        <f t="shared" si="261"/>
        <v>43</v>
      </c>
      <c r="CM100" s="235">
        <f t="shared" si="262"/>
        <v>3.5018750000000001</v>
      </c>
      <c r="CN100" s="235" cm="1">
        <f t="array" ref="CN100">$BI100 * IF($AH100&lt;=2,
SUMPRODUCT(INDEX($AR$72:$AT$76,,$AI100), INDEX($AU$72:$BA$76,,$AH100), 1 / ($BB$72:$BB$76*CM100 + (1-$BB$72:$BB$76)*CI100), N($AQ$72:$AQ$76&gt;$AO100)),
SUMPRODUCT(INDEX($AR$67:$AT$76,,$AI100), INDEX($AU$67:$BA$76,,$AH100), 1 / ($BC$67:$BC$76*CM100 + (1-$BC$67:$BC$76)*CI100), N($AQ$67:$AQ$76&gt;$AO100))
) / 1000</f>
        <v>0</v>
      </c>
      <c r="CO100" s="232">
        <f t="shared" si="263"/>
        <v>25</v>
      </c>
      <c r="CP100" s="230">
        <f t="shared" si="264"/>
        <v>38</v>
      </c>
      <c r="CQ100" s="235">
        <f t="shared" si="265"/>
        <v>4.0666935483870965</v>
      </c>
      <c r="CR100" s="235" cm="1">
        <f t="array" ref="CR100">$BI100 * IF($AH100&lt;=2,
SUMPRODUCT(INDEX($AR$67:$AT$71,,$AI100), INDEX($AU$67:$BA$71,,$AH100), 1 / ($BB$67:$BB$71*CQ100 + (1-$BB$67:$BB$71)*CM100), N($AQ$67:$AQ$71&gt;$AO100)),
SUMPRODUCT(INDEX($AR$57:$AT$66,,$AI100), INDEX($AU$57:$BA$66,,$AH100), 1 / ($BC$57:$BC$66*CQ100 + (1-$BC$57:$BC$66)*CM100), N($AQ$57:$AQ$66&gt;$AO100))
) / 1000</f>
        <v>0</v>
      </c>
      <c r="CS100" s="232">
        <f t="shared" si="266"/>
        <v>20</v>
      </c>
      <c r="CT100" s="230">
        <f t="shared" si="267"/>
        <v>33</v>
      </c>
      <c r="CU100" s="235">
        <f t="shared" si="268"/>
        <v>4.8487499999999999</v>
      </c>
      <c r="CV100" s="235" cm="1">
        <f t="array" ref="CV100">$BI100 * IF($AH100&lt;=2,
SUMPRODUCT(INDEX($AR$62:$AT$66,,$AI100), INDEX($AU$62:$BA$66,,$AH100), 1 / ($BB$62:$BB$66*CU100 + (1-$BB$62:$BB$66)*CQ100), N($AQ$62:$AQ$66&gt;$AO100)),
SUMPRODUCT(INDEX($AR$47:$AT$56,,$AI100), INDEX($AU$47:$BA$56,,$AH100), 1 / ($BC$47:$BC$56*CU100 + (1-$BC$47:$BC$56)*CQ100), N($AQ$47:$AQ$56&gt;$AO100))
) / 1000</f>
        <v>0</v>
      </c>
      <c r="CW100" s="235" cm="1">
        <f t="array" ref="CW100">$BI100 * IF($AH100&lt;=2,
SUMPRODUCT(INDEX($AR$23:$AT$61,,$AI100), INDEX($AU$23:$BA$61,,$AH100), 1 / ($BB$23:$BB$61*CU100), N($AQ$23:$AQ$61&gt;$AO100)),
SUMPRODUCT(INDEX($AR$23:$AT$46,,$AI100), INDEX($AU$23:$BA$46,,$AH100), 1 / ($BC$23:$BC$46*CU100), N($AQ$23:$AQ$46&gt;$AO100))
) / 1000</f>
        <v>0</v>
      </c>
      <c r="CX100" s="230">
        <f t="shared" si="269"/>
        <v>0</v>
      </c>
      <c r="CY100" s="238"/>
    </row>
    <row r="101" spans="1:103" s="76" customFormat="1" ht="14.25" customHeight="1" x14ac:dyDescent="0.25">
      <c r="A101" s="231" t="b">
        <f t="shared" si="229"/>
        <v>0</v>
      </c>
      <c r="B101" s="245">
        <v>79</v>
      </c>
      <c r="C101" s="258"/>
      <c r="D101" s="258"/>
      <c r="E101" s="246"/>
      <c r="F101" s="247" t="str">
        <f>IF(ISBLANK(E101), "", VLOOKUP(E101, Z!$A$2:$C$4127, 3, FALSE))</f>
        <v/>
      </c>
      <c r="G101" s="248"/>
      <c r="H101" s="248"/>
      <c r="I101" s="249"/>
      <c r="J101" s="250"/>
      <c r="K101" s="259"/>
      <c r="L101" s="260"/>
      <c r="M101" s="252" t="str" cm="1">
        <f t="array" ref="M101">INDEX(Trad, 53, $A$20)</f>
        <v>Verschmutzt</v>
      </c>
      <c r="N101" s="253"/>
      <c r="O101" s="253"/>
      <c r="P101" s="254"/>
      <c r="Q101" s="251"/>
      <c r="R101" s="251"/>
      <c r="S101" s="264">
        <f t="shared" si="235"/>
        <v>0</v>
      </c>
      <c r="T101" s="252" t="str" cm="1">
        <f t="array" ref="T101">INDEX(Trad, 52, $A$20)</f>
        <v>Sauber</v>
      </c>
      <c r="U101" s="253"/>
      <c r="V101" s="253"/>
      <c r="W101" s="254"/>
      <c r="X101" s="251"/>
      <c r="Y101" s="251"/>
      <c r="Z101" s="264">
        <f t="shared" si="236"/>
        <v>0</v>
      </c>
      <c r="AA101" s="261"/>
      <c r="AB101" s="258"/>
      <c r="AC101" s="246"/>
      <c r="AD101" s="247" t="str">
        <f>IF(ISBLANK(AC101), "", VLOOKUP(AC101, Z!$A$2:$C$4127, 3, FALSE))</f>
        <v/>
      </c>
      <c r="AE101" s="262"/>
      <c r="AF101" s="263">
        <f t="shared" si="230"/>
        <v>0</v>
      </c>
      <c r="AG101" s="238"/>
      <c r="AH101" s="229">
        <f t="shared" ref="AH101" si="306">IF(ISBLANK(H101), 1, IFERROR(MATCH(H101, INDEX(Use,,1), 0), IFERROR(MATCH(H101, INDEX(Use,,2), 0), MATCH(H101, INDEX(Use,,3), 0))))</f>
        <v>1</v>
      </c>
      <c r="AI101" s="229">
        <f t="shared" ref="AI101" si="307">IF(ISBLANK(G101), 1, IFERROR(MATCH(G101, INDEX(Loc,,1), 0), IFERROR(MATCH(G101, INDEX(Loc,,2), 0), MATCH(G101, INDEX(Loc,,3), 0))))</f>
        <v>1</v>
      </c>
      <c r="AJ101" s="229">
        <f t="shared" ref="AJ101" si="308">_xlfn.IFNA(IF(IFERROR(MATCH(I101, INDEX(Medium,,1), 0), IFERROR(MATCH(I101, INDEX(Medium,,2), 0), MATCH(I101, INDEX(Medium,,3), 0))) = 2, 1, 0), 0)</f>
        <v>0</v>
      </c>
      <c r="AK101" s="229">
        <v>0</v>
      </c>
      <c r="AL101" s="229">
        <v>0</v>
      </c>
      <c r="AM101" s="229">
        <v>1</v>
      </c>
      <c r="AN101" s="229">
        <v>0</v>
      </c>
      <c r="AO101" s="229">
        <f t="shared" si="234"/>
        <v>-100</v>
      </c>
      <c r="AP101" s="238"/>
      <c r="AQ101" s="255"/>
      <c r="AR101" s="255"/>
      <c r="AS101" s="256"/>
      <c r="AT101" s="256"/>
      <c r="AU101" s="256"/>
      <c r="AV101" s="256"/>
      <c r="AW101" s="256"/>
      <c r="AX101" s="256"/>
      <c r="AY101" s="256"/>
      <c r="AZ101" s="256"/>
      <c r="BA101" s="256"/>
      <c r="BB101" s="256"/>
      <c r="BC101" s="256"/>
      <c r="BD101" s="211"/>
      <c r="BE101" s="229" cm="1">
        <f t="array" ref="BE101">IF(ISBLANK(R101), INDEX(Use, $AH101, 4) - AM101*INDEX(Use, $AH101, 6), R101)</f>
        <v>5</v>
      </c>
      <c r="BF101" s="229">
        <f t="shared" si="240"/>
        <v>30</v>
      </c>
      <c r="BG101" s="229">
        <f t="shared" si="241"/>
        <v>13</v>
      </c>
      <c r="BH101" s="229">
        <f t="shared" si="242"/>
        <v>0</v>
      </c>
      <c r="BI101" s="234" cm="1">
        <f t="array" ref="BI101">K101/IF($L101&gt;0, INDEX($AU$23:$BA$77, $L101+20, $AH101), 1)</f>
        <v>0</v>
      </c>
      <c r="BJ101" s="230">
        <f t="shared" si="243"/>
        <v>0</v>
      </c>
      <c r="BK101" s="229">
        <v>35</v>
      </c>
      <c r="BL101" s="230">
        <f t="shared" si="244"/>
        <v>48</v>
      </c>
      <c r="BM101" s="235">
        <f t="shared" si="245"/>
        <v>2.9108720930232557</v>
      </c>
      <c r="BN101" s="235" cm="1">
        <f t="array" ref="BN101">$BI101 * SUMPRODUCT(INDEX($AR$77:$AT$82,,$AI101),INDEX($AU$77:$BA$82,,$AH101), N($AQ$77:$AQ$82&gt;$AO101)) / BM101 / 1000</f>
        <v>0</v>
      </c>
      <c r="BO101" s="232">
        <f t="shared" si="246"/>
        <v>30</v>
      </c>
      <c r="BP101" s="230">
        <f t="shared" si="247"/>
        <v>43</v>
      </c>
      <c r="BQ101" s="235">
        <f t="shared" si="248"/>
        <v>3.2938815789473681</v>
      </c>
      <c r="BR101" s="235" cm="1">
        <f t="array" ref="BR101">$BI101 * IF($AH101&lt;=2,
SUMPRODUCT(INDEX($AR$72:$AT$76,,$AI101), INDEX($AU$72:$BA$76,,$AH101), 1 / ($BB$72:$BB$76*BQ101 + (1-$BB$72:$BB$76)*BM101), N($AQ$72:$AQ$76&gt;$AO101)),
SUMPRODUCT(INDEX($AR$67:$AT$76,,$AI101), INDEX($AU$67:$BA$76,,$AH101), 1 / ($BC$67:$BC$76*BQ101 + (1-$BC$67:$BC$76)*BM101), N($AQ$67:$AQ$76&gt;$AO101))
) / 1000</f>
        <v>0</v>
      </c>
      <c r="BS101" s="232">
        <f t="shared" si="249"/>
        <v>25</v>
      </c>
      <c r="BT101" s="230">
        <f t="shared" si="250"/>
        <v>38</v>
      </c>
      <c r="BU101" s="235">
        <f t="shared" si="251"/>
        <v>3.792954545454545</v>
      </c>
      <c r="BV101" s="235" cm="1">
        <f t="array" ref="BV101">$BI101 * IF($AH101&lt;=2,
SUMPRODUCT(INDEX($AR$67:$AT$71,,$AI101), INDEX($AU$67:$BA$71,,$AH101), 1 / ($BB$67:$BB$71*BU101 + (1-$BB$67:$BB$71)*BQ101), N($AQ$67:$AQ$71&gt;$AO101)),
SUMPRODUCT(INDEX($AR$57:$AT$66,,$AI101), INDEX($AU$57:$BA$66,,$AH101), 1 / ($BC$57:$BC$66*BU101 + (1-$BC$57:$BC$66)*BQ101), N($AQ$57:$AQ$66&gt;$AO101))
) / 1000</f>
        <v>0</v>
      </c>
      <c r="BW101" s="232">
        <f t="shared" si="252"/>
        <v>20</v>
      </c>
      <c r="BX101" s="230">
        <f t="shared" si="253"/>
        <v>33</v>
      </c>
      <c r="BY101" s="235">
        <f t="shared" si="254"/>
        <v>4.4702678571428569</v>
      </c>
      <c r="BZ101" s="235" cm="1">
        <f t="array" ref="BZ101">$BI101 * IF($AH101&lt;=2,
SUMPRODUCT(INDEX($AR$62:$AT$66,,$AI101), INDEX($AU$62:$BA$66,,$AH101), 1 / ($BB$62:$BB$66*BY101 + (1-$BB$62:$BB$66)*BU101), N($AQ$62:$AQ$66&gt;$AO101)),
SUMPRODUCT(INDEX($AR$47:$AT$56,,$AI101), INDEX($AU$47:$BA$56,,$AH101), 1 / ($BC$47:$BC$56*BY101 + (1-$BC$47:$BC$56)*BU101), N($AQ$47:$AQ$56&gt;$AO101))
) / 1000</f>
        <v>0</v>
      </c>
      <c r="CA101" s="235" cm="1">
        <f t="array" ref="CA101">$BI101 * IF($AH101&lt;=2,
SUMPRODUCT(INDEX($AR$23:$AT$61,,$AI101), INDEX($AU$23:$BA$61,,$AH101), 1 / ($BB$23:$BB$61*BY101), N($AQ$23:$AQ$61&gt;$AO101)),
SUMPRODUCT(INDEX($AR$23:$AT$46,,$AI101), INDEX($AU$23:$BA$46,,$AH101), 1 / ($BC$23:$BC$46*BY101), N($AQ$23:$AQ$46&gt;$AO101))
) / 1000</f>
        <v>0</v>
      </c>
      <c r="CB101" s="230">
        <f t="shared" si="255"/>
        <v>0</v>
      </c>
      <c r="CC101" s="238"/>
      <c r="CD101" s="229" cm="1">
        <f t="array" ref="CD101">IF(ISBLANK(Y101), INDEX(Use, $AH101, 4) - AN101*INDEX(Use, $AH101, 6) - (Q101-X101), Y101)</f>
        <v>7</v>
      </c>
      <c r="CE101" s="229">
        <f t="shared" si="256"/>
        <v>32</v>
      </c>
      <c r="CF101" s="230">
        <f t="shared" si="257"/>
        <v>0</v>
      </c>
      <c r="CG101" s="229">
        <v>35</v>
      </c>
      <c r="CH101" s="230">
        <f t="shared" si="258"/>
        <v>48</v>
      </c>
      <c r="CI101" s="235">
        <f t="shared" si="259"/>
        <v>3.0748170731707316</v>
      </c>
      <c r="CJ101" s="235" cm="1">
        <f t="array" ref="CJ101">$BI101 * SUMPRODUCT(INDEX($AR$77:$AT$82,,$AI101),INDEX($AU$77:$BA$82,,$AH101), N($AQ$77:$AQ$82&gt;$AO101)) / CI101 / 1000</f>
        <v>0</v>
      </c>
      <c r="CK101" s="232">
        <f t="shared" si="260"/>
        <v>30</v>
      </c>
      <c r="CL101" s="230">
        <f t="shared" si="261"/>
        <v>43</v>
      </c>
      <c r="CM101" s="235">
        <f t="shared" si="262"/>
        <v>3.5018750000000001</v>
      </c>
      <c r="CN101" s="235" cm="1">
        <f t="array" ref="CN101">$BI101 * IF($AH101&lt;=2,
SUMPRODUCT(INDEX($AR$72:$AT$76,,$AI101), INDEX($AU$72:$BA$76,,$AH101), 1 / ($BB$72:$BB$76*CM101 + (1-$BB$72:$BB$76)*CI101), N($AQ$72:$AQ$76&gt;$AO101)),
SUMPRODUCT(INDEX($AR$67:$AT$76,,$AI101), INDEX($AU$67:$BA$76,,$AH101), 1 / ($BC$67:$BC$76*CM101 + (1-$BC$67:$BC$76)*CI101), N($AQ$67:$AQ$76&gt;$AO101))
) / 1000</f>
        <v>0</v>
      </c>
      <c r="CO101" s="232">
        <f t="shared" si="263"/>
        <v>25</v>
      </c>
      <c r="CP101" s="230">
        <f t="shared" si="264"/>
        <v>38</v>
      </c>
      <c r="CQ101" s="235">
        <f t="shared" si="265"/>
        <v>4.0666935483870965</v>
      </c>
      <c r="CR101" s="235" cm="1">
        <f t="array" ref="CR101">$BI101 * IF($AH101&lt;=2,
SUMPRODUCT(INDEX($AR$67:$AT$71,,$AI101), INDEX($AU$67:$BA$71,,$AH101), 1 / ($BB$67:$BB$71*CQ101 + (1-$BB$67:$BB$71)*CM101), N($AQ$67:$AQ$71&gt;$AO101)),
SUMPRODUCT(INDEX($AR$57:$AT$66,,$AI101), INDEX($AU$57:$BA$66,,$AH101), 1 / ($BC$57:$BC$66*CQ101 + (1-$BC$57:$BC$66)*CM101), N($AQ$57:$AQ$66&gt;$AO101))
) / 1000</f>
        <v>0</v>
      </c>
      <c r="CS101" s="232">
        <f t="shared" si="266"/>
        <v>20</v>
      </c>
      <c r="CT101" s="230">
        <f t="shared" si="267"/>
        <v>33</v>
      </c>
      <c r="CU101" s="235">
        <f t="shared" si="268"/>
        <v>4.8487499999999999</v>
      </c>
      <c r="CV101" s="235" cm="1">
        <f t="array" ref="CV101">$BI101 * IF($AH101&lt;=2,
SUMPRODUCT(INDEX($AR$62:$AT$66,,$AI101), INDEX($AU$62:$BA$66,,$AH101), 1 / ($BB$62:$BB$66*CU101 + (1-$BB$62:$BB$66)*CQ101), N($AQ$62:$AQ$66&gt;$AO101)),
SUMPRODUCT(INDEX($AR$47:$AT$56,,$AI101), INDEX($AU$47:$BA$56,,$AH101), 1 / ($BC$47:$BC$56*CU101 + (1-$BC$47:$BC$56)*CQ101), N($AQ$47:$AQ$56&gt;$AO101))
) / 1000</f>
        <v>0</v>
      </c>
      <c r="CW101" s="235" cm="1">
        <f t="array" ref="CW101">$BI101 * IF($AH101&lt;=2,
SUMPRODUCT(INDEX($AR$23:$AT$61,,$AI101), INDEX($AU$23:$BA$61,,$AH101), 1 / ($BB$23:$BB$61*CU101), N($AQ$23:$AQ$61&gt;$AO101)),
SUMPRODUCT(INDEX($AR$23:$AT$46,,$AI101), INDEX($AU$23:$BA$46,,$AH101), 1 / ($BC$23:$BC$46*CU101), N($AQ$23:$AQ$46&gt;$AO101))
) / 1000</f>
        <v>0</v>
      </c>
      <c r="CX101" s="230">
        <f t="shared" si="269"/>
        <v>0</v>
      </c>
      <c r="CY101" s="238"/>
    </row>
    <row r="102" spans="1:103" s="76" customFormat="1" ht="14.25" customHeight="1" x14ac:dyDescent="0.25">
      <c r="A102" s="231" t="b">
        <f t="shared" si="229"/>
        <v>0</v>
      </c>
      <c r="B102" s="245">
        <v>80</v>
      </c>
      <c r="C102" s="258"/>
      <c r="D102" s="258"/>
      <c r="E102" s="246"/>
      <c r="F102" s="247" t="str">
        <f>IF(ISBLANK(E102), "", VLOOKUP(E102, Z!$A$2:$C$4127, 3, FALSE))</f>
        <v/>
      </c>
      <c r="G102" s="248"/>
      <c r="H102" s="248"/>
      <c r="I102" s="249"/>
      <c r="J102" s="250"/>
      <c r="K102" s="259"/>
      <c r="L102" s="260"/>
      <c r="M102" s="252" t="str" cm="1">
        <f t="array" ref="M102">INDEX(Trad, 53, $A$20)</f>
        <v>Verschmutzt</v>
      </c>
      <c r="N102" s="253"/>
      <c r="O102" s="253"/>
      <c r="P102" s="254"/>
      <c r="Q102" s="251"/>
      <c r="R102" s="251"/>
      <c r="S102" s="264">
        <f t="shared" si="235"/>
        <v>0</v>
      </c>
      <c r="T102" s="252" t="str" cm="1">
        <f t="array" ref="T102">INDEX(Trad, 52, $A$20)</f>
        <v>Sauber</v>
      </c>
      <c r="U102" s="253"/>
      <c r="V102" s="253"/>
      <c r="W102" s="254"/>
      <c r="X102" s="251"/>
      <c r="Y102" s="251"/>
      <c r="Z102" s="264">
        <f t="shared" si="236"/>
        <v>0</v>
      </c>
      <c r="AA102" s="261"/>
      <c r="AB102" s="258"/>
      <c r="AC102" s="246"/>
      <c r="AD102" s="247" t="str">
        <f>IF(ISBLANK(AC102), "", VLOOKUP(AC102, Z!$A$2:$C$4127, 3, FALSE))</f>
        <v/>
      </c>
      <c r="AE102" s="262"/>
      <c r="AF102" s="263">
        <f t="shared" si="230"/>
        <v>0</v>
      </c>
      <c r="AG102" s="238"/>
      <c r="AH102" s="229">
        <f t="shared" ref="AH102" si="309">IF(ISBLANK(H102), 1, IFERROR(MATCH(H102, INDEX(Use,,1), 0), IFERROR(MATCH(H102, INDEX(Use,,2), 0), MATCH(H102, INDEX(Use,,3), 0))))</f>
        <v>1</v>
      </c>
      <c r="AI102" s="229">
        <f t="shared" ref="AI102" si="310">IF(ISBLANK(G102), 1, IFERROR(MATCH(G102, INDEX(Loc,,1), 0), IFERROR(MATCH(G102, INDEX(Loc,,2), 0), MATCH(G102, INDEX(Loc,,3), 0))))</f>
        <v>1</v>
      </c>
      <c r="AJ102" s="229">
        <f t="shared" ref="AJ102" si="311">_xlfn.IFNA(IF(IFERROR(MATCH(I102, INDEX(Medium,,1), 0), IFERROR(MATCH(I102, INDEX(Medium,,2), 0), MATCH(I102, INDEX(Medium,,3), 0))) = 2, 1, 0), 0)</f>
        <v>0</v>
      </c>
      <c r="AK102" s="229">
        <v>0</v>
      </c>
      <c r="AL102" s="229">
        <v>0</v>
      </c>
      <c r="AM102" s="229">
        <v>1</v>
      </c>
      <c r="AN102" s="229">
        <v>0</v>
      </c>
      <c r="AO102" s="229">
        <f t="shared" si="234"/>
        <v>-100</v>
      </c>
      <c r="AP102" s="238"/>
      <c r="AQ102" s="255"/>
      <c r="AR102" s="255"/>
      <c r="AS102" s="256"/>
      <c r="AT102" s="256"/>
      <c r="AU102" s="256"/>
      <c r="AV102" s="256"/>
      <c r="AW102" s="256"/>
      <c r="AX102" s="256"/>
      <c r="AY102" s="256"/>
      <c r="AZ102" s="256"/>
      <c r="BA102" s="256"/>
      <c r="BB102" s="256"/>
      <c r="BC102" s="256"/>
      <c r="BD102" s="211"/>
      <c r="BE102" s="229" cm="1">
        <f t="array" ref="BE102">IF(ISBLANK(R102), INDEX(Use, $AH102, 4) - AM102*INDEX(Use, $AH102, 6), R102)</f>
        <v>5</v>
      </c>
      <c r="BF102" s="229">
        <f t="shared" si="240"/>
        <v>30</v>
      </c>
      <c r="BG102" s="229">
        <f t="shared" si="241"/>
        <v>13</v>
      </c>
      <c r="BH102" s="229">
        <f t="shared" si="242"/>
        <v>0</v>
      </c>
      <c r="BI102" s="234" cm="1">
        <f t="array" ref="BI102">K102/IF($L102&gt;0, INDEX($AU$23:$BA$77, $L102+20, $AH102), 1)</f>
        <v>0</v>
      </c>
      <c r="BJ102" s="230">
        <f t="shared" si="243"/>
        <v>0</v>
      </c>
      <c r="BK102" s="229">
        <v>35</v>
      </c>
      <c r="BL102" s="230">
        <f t="shared" si="244"/>
        <v>48</v>
      </c>
      <c r="BM102" s="235">
        <f t="shared" si="245"/>
        <v>2.9108720930232557</v>
      </c>
      <c r="BN102" s="235" cm="1">
        <f t="array" ref="BN102">$BI102 * SUMPRODUCT(INDEX($AR$77:$AT$82,,$AI102),INDEX($AU$77:$BA$82,,$AH102), N($AQ$77:$AQ$82&gt;$AO102)) / BM102 / 1000</f>
        <v>0</v>
      </c>
      <c r="BO102" s="232">
        <f t="shared" si="246"/>
        <v>30</v>
      </c>
      <c r="BP102" s="230">
        <f t="shared" si="247"/>
        <v>43</v>
      </c>
      <c r="BQ102" s="235">
        <f t="shared" si="248"/>
        <v>3.2938815789473681</v>
      </c>
      <c r="BR102" s="235" cm="1">
        <f t="array" ref="BR102">$BI102 * IF($AH102&lt;=2,
SUMPRODUCT(INDEX($AR$72:$AT$76,,$AI102), INDEX($AU$72:$BA$76,,$AH102), 1 / ($BB$72:$BB$76*BQ102 + (1-$BB$72:$BB$76)*BM102), N($AQ$72:$AQ$76&gt;$AO102)),
SUMPRODUCT(INDEX($AR$67:$AT$76,,$AI102), INDEX($AU$67:$BA$76,,$AH102), 1 / ($BC$67:$BC$76*BQ102 + (1-$BC$67:$BC$76)*BM102), N($AQ$67:$AQ$76&gt;$AO102))
) / 1000</f>
        <v>0</v>
      </c>
      <c r="BS102" s="232">
        <f t="shared" si="249"/>
        <v>25</v>
      </c>
      <c r="BT102" s="230">
        <f t="shared" si="250"/>
        <v>38</v>
      </c>
      <c r="BU102" s="235">
        <f t="shared" si="251"/>
        <v>3.792954545454545</v>
      </c>
      <c r="BV102" s="235" cm="1">
        <f t="array" ref="BV102">$BI102 * IF($AH102&lt;=2,
SUMPRODUCT(INDEX($AR$67:$AT$71,,$AI102), INDEX($AU$67:$BA$71,,$AH102), 1 / ($BB$67:$BB$71*BU102 + (1-$BB$67:$BB$71)*BQ102), N($AQ$67:$AQ$71&gt;$AO102)),
SUMPRODUCT(INDEX($AR$57:$AT$66,,$AI102), INDEX($AU$57:$BA$66,,$AH102), 1 / ($BC$57:$BC$66*BU102 + (1-$BC$57:$BC$66)*BQ102), N($AQ$57:$AQ$66&gt;$AO102))
) / 1000</f>
        <v>0</v>
      </c>
      <c r="BW102" s="232">
        <f t="shared" si="252"/>
        <v>20</v>
      </c>
      <c r="BX102" s="230">
        <f t="shared" si="253"/>
        <v>33</v>
      </c>
      <c r="BY102" s="235">
        <f t="shared" si="254"/>
        <v>4.4702678571428569</v>
      </c>
      <c r="BZ102" s="235" cm="1">
        <f t="array" ref="BZ102">$BI102 * IF($AH102&lt;=2,
SUMPRODUCT(INDEX($AR$62:$AT$66,,$AI102), INDEX($AU$62:$BA$66,,$AH102), 1 / ($BB$62:$BB$66*BY102 + (1-$BB$62:$BB$66)*BU102), N($AQ$62:$AQ$66&gt;$AO102)),
SUMPRODUCT(INDEX($AR$47:$AT$56,,$AI102), INDEX($AU$47:$BA$56,,$AH102), 1 / ($BC$47:$BC$56*BY102 + (1-$BC$47:$BC$56)*BU102), N($AQ$47:$AQ$56&gt;$AO102))
) / 1000</f>
        <v>0</v>
      </c>
      <c r="CA102" s="235" cm="1">
        <f t="array" ref="CA102">$BI102 * IF($AH102&lt;=2,
SUMPRODUCT(INDEX($AR$23:$AT$61,,$AI102), INDEX($AU$23:$BA$61,,$AH102), 1 / ($BB$23:$BB$61*BY102), N($AQ$23:$AQ$61&gt;$AO102)),
SUMPRODUCT(INDEX($AR$23:$AT$46,,$AI102), INDEX($AU$23:$BA$46,,$AH102), 1 / ($BC$23:$BC$46*BY102), N($AQ$23:$AQ$46&gt;$AO102))
) / 1000</f>
        <v>0</v>
      </c>
      <c r="CB102" s="230">
        <f t="shared" si="255"/>
        <v>0</v>
      </c>
      <c r="CC102" s="238"/>
      <c r="CD102" s="229" cm="1">
        <f t="array" ref="CD102">IF(ISBLANK(Y102), INDEX(Use, $AH102, 4) - AN102*INDEX(Use, $AH102, 6) - (Q102-X102), Y102)</f>
        <v>7</v>
      </c>
      <c r="CE102" s="229">
        <f t="shared" si="256"/>
        <v>32</v>
      </c>
      <c r="CF102" s="230">
        <f t="shared" si="257"/>
        <v>0</v>
      </c>
      <c r="CG102" s="229">
        <v>35</v>
      </c>
      <c r="CH102" s="230">
        <f t="shared" si="258"/>
        <v>48</v>
      </c>
      <c r="CI102" s="235">
        <f t="shared" si="259"/>
        <v>3.0748170731707316</v>
      </c>
      <c r="CJ102" s="235" cm="1">
        <f t="array" ref="CJ102">$BI102 * SUMPRODUCT(INDEX($AR$77:$AT$82,,$AI102),INDEX($AU$77:$BA$82,,$AH102), N($AQ$77:$AQ$82&gt;$AO102)) / CI102 / 1000</f>
        <v>0</v>
      </c>
      <c r="CK102" s="232">
        <f t="shared" si="260"/>
        <v>30</v>
      </c>
      <c r="CL102" s="230">
        <f t="shared" si="261"/>
        <v>43</v>
      </c>
      <c r="CM102" s="235">
        <f t="shared" si="262"/>
        <v>3.5018750000000001</v>
      </c>
      <c r="CN102" s="235" cm="1">
        <f t="array" ref="CN102">$BI102 * IF($AH102&lt;=2,
SUMPRODUCT(INDEX($AR$72:$AT$76,,$AI102), INDEX($AU$72:$BA$76,,$AH102), 1 / ($BB$72:$BB$76*CM102 + (1-$BB$72:$BB$76)*CI102), N($AQ$72:$AQ$76&gt;$AO102)),
SUMPRODUCT(INDEX($AR$67:$AT$76,,$AI102), INDEX($AU$67:$BA$76,,$AH102), 1 / ($BC$67:$BC$76*CM102 + (1-$BC$67:$BC$76)*CI102), N($AQ$67:$AQ$76&gt;$AO102))
) / 1000</f>
        <v>0</v>
      </c>
      <c r="CO102" s="232">
        <f t="shared" si="263"/>
        <v>25</v>
      </c>
      <c r="CP102" s="230">
        <f t="shared" si="264"/>
        <v>38</v>
      </c>
      <c r="CQ102" s="235">
        <f t="shared" si="265"/>
        <v>4.0666935483870965</v>
      </c>
      <c r="CR102" s="235" cm="1">
        <f t="array" ref="CR102">$BI102 * IF($AH102&lt;=2,
SUMPRODUCT(INDEX($AR$67:$AT$71,,$AI102), INDEX($AU$67:$BA$71,,$AH102), 1 / ($BB$67:$BB$71*CQ102 + (1-$BB$67:$BB$71)*CM102), N($AQ$67:$AQ$71&gt;$AO102)),
SUMPRODUCT(INDEX($AR$57:$AT$66,,$AI102), INDEX($AU$57:$BA$66,,$AH102), 1 / ($BC$57:$BC$66*CQ102 + (1-$BC$57:$BC$66)*CM102), N($AQ$57:$AQ$66&gt;$AO102))
) / 1000</f>
        <v>0</v>
      </c>
      <c r="CS102" s="232">
        <f t="shared" si="266"/>
        <v>20</v>
      </c>
      <c r="CT102" s="230">
        <f t="shared" si="267"/>
        <v>33</v>
      </c>
      <c r="CU102" s="235">
        <f t="shared" si="268"/>
        <v>4.8487499999999999</v>
      </c>
      <c r="CV102" s="235" cm="1">
        <f t="array" ref="CV102">$BI102 * IF($AH102&lt;=2,
SUMPRODUCT(INDEX($AR$62:$AT$66,,$AI102), INDEX($AU$62:$BA$66,,$AH102), 1 / ($BB$62:$BB$66*CU102 + (1-$BB$62:$BB$66)*CQ102), N($AQ$62:$AQ$66&gt;$AO102)),
SUMPRODUCT(INDEX($AR$47:$AT$56,,$AI102), INDEX($AU$47:$BA$56,,$AH102), 1 / ($BC$47:$BC$56*CU102 + (1-$BC$47:$BC$56)*CQ102), N($AQ$47:$AQ$56&gt;$AO102))
) / 1000</f>
        <v>0</v>
      </c>
      <c r="CW102" s="235" cm="1">
        <f t="array" ref="CW102">$BI102 * IF($AH102&lt;=2,
SUMPRODUCT(INDEX($AR$23:$AT$61,,$AI102), INDEX($AU$23:$BA$61,,$AH102), 1 / ($BB$23:$BB$61*CU102), N($AQ$23:$AQ$61&gt;$AO102)),
SUMPRODUCT(INDEX($AR$23:$AT$46,,$AI102), INDEX($AU$23:$BA$46,,$AH102), 1 / ($BC$23:$BC$46*CU102), N($AQ$23:$AQ$46&gt;$AO102))
) / 1000</f>
        <v>0</v>
      </c>
      <c r="CX102" s="230">
        <f t="shared" si="269"/>
        <v>0</v>
      </c>
      <c r="CY102" s="238"/>
    </row>
    <row r="103" spans="1:103" s="76" customFormat="1" ht="14.25" customHeight="1" x14ac:dyDescent="0.2">
      <c r="A103" s="231" t="b">
        <f t="shared" si="229"/>
        <v>0</v>
      </c>
      <c r="B103" s="245">
        <v>81</v>
      </c>
      <c r="C103" s="258"/>
      <c r="D103" s="258"/>
      <c r="E103" s="246"/>
      <c r="F103" s="247" t="str">
        <f>IF(ISBLANK(E103), "", VLOOKUP(E103, Z!$A$2:$C$4127, 3, FALSE))</f>
        <v/>
      </c>
      <c r="G103" s="248"/>
      <c r="H103" s="248"/>
      <c r="I103" s="249"/>
      <c r="J103" s="250"/>
      <c r="K103" s="259"/>
      <c r="L103" s="260"/>
      <c r="M103" s="252" t="str" cm="1">
        <f t="array" ref="M103">INDEX(Trad, 53, $A$20)</f>
        <v>Verschmutzt</v>
      </c>
      <c r="N103" s="253"/>
      <c r="O103" s="253"/>
      <c r="P103" s="254"/>
      <c r="Q103" s="251"/>
      <c r="R103" s="251"/>
      <c r="S103" s="264">
        <f t="shared" si="235"/>
        <v>0</v>
      </c>
      <c r="T103" s="252" t="str" cm="1">
        <f t="array" ref="T103">INDEX(Trad, 52, $A$20)</f>
        <v>Sauber</v>
      </c>
      <c r="U103" s="253"/>
      <c r="V103" s="253"/>
      <c r="W103" s="254"/>
      <c r="X103" s="251"/>
      <c r="Y103" s="251"/>
      <c r="Z103" s="264">
        <f t="shared" si="236"/>
        <v>0</v>
      </c>
      <c r="AA103" s="261"/>
      <c r="AB103" s="258"/>
      <c r="AC103" s="246"/>
      <c r="AD103" s="247" t="str">
        <f>IF(ISBLANK(AC103), "", VLOOKUP(AC103, Z!$A$2:$C$4127, 3, FALSE))</f>
        <v/>
      </c>
      <c r="AE103" s="262"/>
      <c r="AF103" s="263">
        <f t="shared" si="230"/>
        <v>0</v>
      </c>
      <c r="AG103" s="238"/>
      <c r="AH103" s="229">
        <f t="shared" ref="AH103" si="312">IF(ISBLANK(H103), 1, IFERROR(MATCH(H103, INDEX(Use,,1), 0), IFERROR(MATCH(H103, INDEX(Use,,2), 0), MATCH(H103, INDEX(Use,,3), 0))))</f>
        <v>1</v>
      </c>
      <c r="AI103" s="229">
        <f t="shared" ref="AI103" si="313">IF(ISBLANK(G103), 1, IFERROR(MATCH(G103, INDEX(Loc,,1), 0), IFERROR(MATCH(G103, INDEX(Loc,,2), 0), MATCH(G103, INDEX(Loc,,3), 0))))</f>
        <v>1</v>
      </c>
      <c r="AJ103" s="229">
        <f t="shared" ref="AJ103" si="314">_xlfn.IFNA(IF(IFERROR(MATCH(I103, INDEX(Medium,,1), 0), IFERROR(MATCH(I103, INDEX(Medium,,2), 0), MATCH(I103, INDEX(Medium,,3), 0))) = 2, 1, 0), 0)</f>
        <v>0</v>
      </c>
      <c r="AK103" s="229">
        <v>0</v>
      </c>
      <c r="AL103" s="229">
        <v>0</v>
      </c>
      <c r="AM103" s="229">
        <v>1</v>
      </c>
      <c r="AN103" s="229">
        <v>0</v>
      </c>
      <c r="AO103" s="229">
        <f t="shared" si="234"/>
        <v>-100</v>
      </c>
      <c r="AP103" s="238"/>
      <c r="AQ103" s="255"/>
      <c r="AR103" s="255"/>
      <c r="AS103" s="256"/>
      <c r="AT103" s="256"/>
      <c r="AU103" s="256"/>
      <c r="AV103" s="256"/>
      <c r="AW103" s="256"/>
      <c r="AX103" s="256"/>
      <c r="AY103" s="256"/>
      <c r="AZ103" s="256"/>
      <c r="BA103" s="256"/>
      <c r="BB103" s="256"/>
      <c r="BC103" s="256"/>
      <c r="BD103" s="238"/>
      <c r="BE103" s="229" cm="1">
        <f t="array" ref="BE103">IF(ISBLANK(R103), INDEX(Use, $AH103, 4) - AM103*INDEX(Use, $AH103, 6), R103)</f>
        <v>5</v>
      </c>
      <c r="BF103" s="229">
        <f t="shared" si="240"/>
        <v>30</v>
      </c>
      <c r="BG103" s="229">
        <f t="shared" si="241"/>
        <v>13</v>
      </c>
      <c r="BH103" s="229">
        <f t="shared" si="242"/>
        <v>0</v>
      </c>
      <c r="BI103" s="234" cm="1">
        <f t="array" ref="BI103">K103/IF($L103&gt;0, INDEX($AU$23:$BA$77, $L103+20, $AH103), 1)</f>
        <v>0</v>
      </c>
      <c r="BJ103" s="230">
        <f t="shared" si="243"/>
        <v>0</v>
      </c>
      <c r="BK103" s="229">
        <v>35</v>
      </c>
      <c r="BL103" s="230">
        <f t="shared" si="244"/>
        <v>48</v>
      </c>
      <c r="BM103" s="235">
        <f t="shared" si="245"/>
        <v>2.9108720930232557</v>
      </c>
      <c r="BN103" s="235" cm="1">
        <f t="array" ref="BN103">$BI103 * SUMPRODUCT(INDEX($AR$77:$AT$82,,$AI103),INDEX($AU$77:$BA$82,,$AH103), N($AQ$77:$AQ$82&gt;$AO103)) / BM103 / 1000</f>
        <v>0</v>
      </c>
      <c r="BO103" s="232">
        <f t="shared" si="246"/>
        <v>30</v>
      </c>
      <c r="BP103" s="230">
        <f t="shared" si="247"/>
        <v>43</v>
      </c>
      <c r="BQ103" s="235">
        <f t="shared" si="248"/>
        <v>3.2938815789473681</v>
      </c>
      <c r="BR103" s="235" cm="1">
        <f t="array" ref="BR103">$BI103 * IF($AH103&lt;=2,
SUMPRODUCT(INDEX($AR$72:$AT$76,,$AI103), INDEX($AU$72:$BA$76,,$AH103), 1 / ($BB$72:$BB$76*BQ103 + (1-$BB$72:$BB$76)*BM103), N($AQ$72:$AQ$76&gt;$AO103)),
SUMPRODUCT(INDEX($AR$67:$AT$76,,$AI103), INDEX($AU$67:$BA$76,,$AH103), 1 / ($BC$67:$BC$76*BQ103 + (1-$BC$67:$BC$76)*BM103), N($AQ$67:$AQ$76&gt;$AO103))
) / 1000</f>
        <v>0</v>
      </c>
      <c r="BS103" s="232">
        <f t="shared" si="249"/>
        <v>25</v>
      </c>
      <c r="BT103" s="230">
        <f t="shared" si="250"/>
        <v>38</v>
      </c>
      <c r="BU103" s="235">
        <f t="shared" si="251"/>
        <v>3.792954545454545</v>
      </c>
      <c r="BV103" s="235" cm="1">
        <f t="array" ref="BV103">$BI103 * IF($AH103&lt;=2,
SUMPRODUCT(INDEX($AR$67:$AT$71,,$AI103), INDEX($AU$67:$BA$71,,$AH103), 1 / ($BB$67:$BB$71*BU103 + (1-$BB$67:$BB$71)*BQ103), N($AQ$67:$AQ$71&gt;$AO103)),
SUMPRODUCT(INDEX($AR$57:$AT$66,,$AI103), INDEX($AU$57:$BA$66,,$AH103), 1 / ($BC$57:$BC$66*BU103 + (1-$BC$57:$BC$66)*BQ103), N($AQ$57:$AQ$66&gt;$AO103))
) / 1000</f>
        <v>0</v>
      </c>
      <c r="BW103" s="232">
        <f t="shared" si="252"/>
        <v>20</v>
      </c>
      <c r="BX103" s="230">
        <f t="shared" si="253"/>
        <v>33</v>
      </c>
      <c r="BY103" s="235">
        <f t="shared" si="254"/>
        <v>4.4702678571428569</v>
      </c>
      <c r="BZ103" s="235" cm="1">
        <f t="array" ref="BZ103">$BI103 * IF($AH103&lt;=2,
SUMPRODUCT(INDEX($AR$62:$AT$66,,$AI103), INDEX($AU$62:$BA$66,,$AH103), 1 / ($BB$62:$BB$66*BY103 + (1-$BB$62:$BB$66)*BU103), N($AQ$62:$AQ$66&gt;$AO103)),
SUMPRODUCT(INDEX($AR$47:$AT$56,,$AI103), INDEX($AU$47:$BA$56,,$AH103), 1 / ($BC$47:$BC$56*BY103 + (1-$BC$47:$BC$56)*BU103), N($AQ$47:$AQ$56&gt;$AO103))
) / 1000</f>
        <v>0</v>
      </c>
      <c r="CA103" s="235" cm="1">
        <f t="array" ref="CA103">$BI103 * IF($AH103&lt;=2,
SUMPRODUCT(INDEX($AR$23:$AT$61,,$AI103), INDEX($AU$23:$BA$61,,$AH103), 1 / ($BB$23:$BB$61*BY103), N($AQ$23:$AQ$61&gt;$AO103)),
SUMPRODUCT(INDEX($AR$23:$AT$46,,$AI103), INDEX($AU$23:$BA$46,,$AH103), 1 / ($BC$23:$BC$46*BY103), N($AQ$23:$AQ$46&gt;$AO103))
) / 1000</f>
        <v>0</v>
      </c>
      <c r="CB103" s="230">
        <f t="shared" si="255"/>
        <v>0</v>
      </c>
      <c r="CC103" s="238"/>
      <c r="CD103" s="229" cm="1">
        <f t="array" ref="CD103">IF(ISBLANK(Y103), INDEX(Use, $AH103, 4) - AN103*INDEX(Use, $AH103, 6) - (Q103-X103), Y103)</f>
        <v>7</v>
      </c>
      <c r="CE103" s="229">
        <f t="shared" si="256"/>
        <v>32</v>
      </c>
      <c r="CF103" s="230">
        <f t="shared" si="257"/>
        <v>0</v>
      </c>
      <c r="CG103" s="229">
        <v>35</v>
      </c>
      <c r="CH103" s="230">
        <f t="shared" si="258"/>
        <v>48</v>
      </c>
      <c r="CI103" s="235">
        <f t="shared" si="259"/>
        <v>3.0748170731707316</v>
      </c>
      <c r="CJ103" s="235" cm="1">
        <f t="array" ref="CJ103">$BI103 * SUMPRODUCT(INDEX($AR$77:$AT$82,,$AI103),INDEX($AU$77:$BA$82,,$AH103), N($AQ$77:$AQ$82&gt;$AO103)) / CI103 / 1000</f>
        <v>0</v>
      </c>
      <c r="CK103" s="232">
        <f t="shared" si="260"/>
        <v>30</v>
      </c>
      <c r="CL103" s="230">
        <f t="shared" si="261"/>
        <v>43</v>
      </c>
      <c r="CM103" s="235">
        <f t="shared" si="262"/>
        <v>3.5018750000000001</v>
      </c>
      <c r="CN103" s="235" cm="1">
        <f t="array" ref="CN103">$BI103 * IF($AH103&lt;=2,
SUMPRODUCT(INDEX($AR$72:$AT$76,,$AI103), INDEX($AU$72:$BA$76,,$AH103), 1 / ($BB$72:$BB$76*CM103 + (1-$BB$72:$BB$76)*CI103), N($AQ$72:$AQ$76&gt;$AO103)),
SUMPRODUCT(INDEX($AR$67:$AT$76,,$AI103), INDEX($AU$67:$BA$76,,$AH103), 1 / ($BC$67:$BC$76*CM103 + (1-$BC$67:$BC$76)*CI103), N($AQ$67:$AQ$76&gt;$AO103))
) / 1000</f>
        <v>0</v>
      </c>
      <c r="CO103" s="232">
        <f t="shared" si="263"/>
        <v>25</v>
      </c>
      <c r="CP103" s="230">
        <f t="shared" si="264"/>
        <v>38</v>
      </c>
      <c r="CQ103" s="235">
        <f t="shared" si="265"/>
        <v>4.0666935483870965</v>
      </c>
      <c r="CR103" s="235" cm="1">
        <f t="array" ref="CR103">$BI103 * IF($AH103&lt;=2,
SUMPRODUCT(INDEX($AR$67:$AT$71,,$AI103), INDEX($AU$67:$BA$71,,$AH103), 1 / ($BB$67:$BB$71*CQ103 + (1-$BB$67:$BB$71)*CM103), N($AQ$67:$AQ$71&gt;$AO103)),
SUMPRODUCT(INDEX($AR$57:$AT$66,,$AI103), INDEX($AU$57:$BA$66,,$AH103), 1 / ($BC$57:$BC$66*CQ103 + (1-$BC$57:$BC$66)*CM103), N($AQ$57:$AQ$66&gt;$AO103))
) / 1000</f>
        <v>0</v>
      </c>
      <c r="CS103" s="232">
        <f t="shared" si="266"/>
        <v>20</v>
      </c>
      <c r="CT103" s="230">
        <f t="shared" si="267"/>
        <v>33</v>
      </c>
      <c r="CU103" s="235">
        <f t="shared" si="268"/>
        <v>4.8487499999999999</v>
      </c>
      <c r="CV103" s="235" cm="1">
        <f t="array" ref="CV103">$BI103 * IF($AH103&lt;=2,
SUMPRODUCT(INDEX($AR$62:$AT$66,,$AI103), INDEX($AU$62:$BA$66,,$AH103), 1 / ($BB$62:$BB$66*CU103 + (1-$BB$62:$BB$66)*CQ103), N($AQ$62:$AQ$66&gt;$AO103)),
SUMPRODUCT(INDEX($AR$47:$AT$56,,$AI103), INDEX($AU$47:$BA$56,,$AH103), 1 / ($BC$47:$BC$56*CU103 + (1-$BC$47:$BC$56)*CQ103), N($AQ$47:$AQ$56&gt;$AO103))
) / 1000</f>
        <v>0</v>
      </c>
      <c r="CW103" s="235" cm="1">
        <f t="array" ref="CW103">$BI103 * IF($AH103&lt;=2,
SUMPRODUCT(INDEX($AR$23:$AT$61,,$AI103), INDEX($AU$23:$BA$61,,$AH103), 1 / ($BB$23:$BB$61*CU103), N($AQ$23:$AQ$61&gt;$AO103)),
SUMPRODUCT(INDEX($AR$23:$AT$46,,$AI103), INDEX($AU$23:$BA$46,,$AH103), 1 / ($BC$23:$BC$46*CU103), N($AQ$23:$AQ$46&gt;$AO103))
) / 1000</f>
        <v>0</v>
      </c>
      <c r="CX103" s="230">
        <f t="shared" si="269"/>
        <v>0</v>
      </c>
      <c r="CY103" s="238"/>
    </row>
    <row r="104" spans="1:103" s="76" customFormat="1" ht="14.25" customHeight="1" x14ac:dyDescent="0.2">
      <c r="A104" s="231" t="b">
        <f t="shared" si="229"/>
        <v>0</v>
      </c>
      <c r="B104" s="245">
        <v>82</v>
      </c>
      <c r="C104" s="258"/>
      <c r="D104" s="258"/>
      <c r="E104" s="246"/>
      <c r="F104" s="247" t="str">
        <f>IF(ISBLANK(E104), "", VLOOKUP(E104, Z!$A$2:$C$4127, 3, FALSE))</f>
        <v/>
      </c>
      <c r="G104" s="248"/>
      <c r="H104" s="248"/>
      <c r="I104" s="249"/>
      <c r="J104" s="250"/>
      <c r="K104" s="259"/>
      <c r="L104" s="260"/>
      <c r="M104" s="252" t="str" cm="1">
        <f t="array" ref="M104">INDEX(Trad, 53, $A$20)</f>
        <v>Verschmutzt</v>
      </c>
      <c r="N104" s="253"/>
      <c r="O104" s="253"/>
      <c r="P104" s="254"/>
      <c r="Q104" s="251"/>
      <c r="R104" s="251"/>
      <c r="S104" s="264">
        <f t="shared" si="235"/>
        <v>0</v>
      </c>
      <c r="T104" s="252" t="str" cm="1">
        <f t="array" ref="T104">INDEX(Trad, 52, $A$20)</f>
        <v>Sauber</v>
      </c>
      <c r="U104" s="253"/>
      <c r="V104" s="253"/>
      <c r="W104" s="254"/>
      <c r="X104" s="251"/>
      <c r="Y104" s="251"/>
      <c r="Z104" s="264">
        <f t="shared" si="236"/>
        <v>0</v>
      </c>
      <c r="AA104" s="261"/>
      <c r="AB104" s="258"/>
      <c r="AC104" s="246"/>
      <c r="AD104" s="247" t="str">
        <f>IF(ISBLANK(AC104), "", VLOOKUP(AC104, Z!$A$2:$C$4127, 3, FALSE))</f>
        <v/>
      </c>
      <c r="AE104" s="262"/>
      <c r="AF104" s="263">
        <f t="shared" si="230"/>
        <v>0</v>
      </c>
      <c r="AG104" s="238"/>
      <c r="AH104" s="229">
        <f t="shared" ref="AH104" si="315">IF(ISBLANK(H104), 1, IFERROR(MATCH(H104, INDEX(Use,,1), 0), IFERROR(MATCH(H104, INDEX(Use,,2), 0), MATCH(H104, INDEX(Use,,3), 0))))</f>
        <v>1</v>
      </c>
      <c r="AI104" s="229">
        <f t="shared" ref="AI104" si="316">IF(ISBLANK(G104), 1, IFERROR(MATCH(G104, INDEX(Loc,,1), 0), IFERROR(MATCH(G104, INDEX(Loc,,2), 0), MATCH(G104, INDEX(Loc,,3), 0))))</f>
        <v>1</v>
      </c>
      <c r="AJ104" s="229">
        <f t="shared" ref="AJ104" si="317">_xlfn.IFNA(IF(IFERROR(MATCH(I104, INDEX(Medium,,1), 0), IFERROR(MATCH(I104, INDEX(Medium,,2), 0), MATCH(I104, INDEX(Medium,,3), 0))) = 2, 1, 0), 0)</f>
        <v>0</v>
      </c>
      <c r="AK104" s="229">
        <v>0</v>
      </c>
      <c r="AL104" s="229">
        <v>0</v>
      </c>
      <c r="AM104" s="229">
        <v>1</v>
      </c>
      <c r="AN104" s="229">
        <v>0</v>
      </c>
      <c r="AO104" s="229">
        <f t="shared" si="234"/>
        <v>-100</v>
      </c>
      <c r="AP104" s="238"/>
      <c r="AQ104" s="255"/>
      <c r="AR104" s="255"/>
      <c r="AS104" s="256"/>
      <c r="AT104" s="256"/>
      <c r="AU104" s="256"/>
      <c r="AV104" s="256"/>
      <c r="AW104" s="256"/>
      <c r="AX104" s="256"/>
      <c r="AY104" s="256"/>
      <c r="AZ104" s="256"/>
      <c r="BA104" s="256"/>
      <c r="BB104" s="256"/>
      <c r="BC104" s="256"/>
      <c r="BD104" s="238"/>
      <c r="BE104" s="229" cm="1">
        <f t="array" ref="BE104">IF(ISBLANK(R104), INDEX(Use, $AH104, 4) - AM104*INDEX(Use, $AH104, 6), R104)</f>
        <v>5</v>
      </c>
      <c r="BF104" s="229">
        <f t="shared" si="240"/>
        <v>30</v>
      </c>
      <c r="BG104" s="229">
        <f t="shared" si="241"/>
        <v>13</v>
      </c>
      <c r="BH104" s="229">
        <f t="shared" si="242"/>
        <v>0</v>
      </c>
      <c r="BI104" s="234" cm="1">
        <f t="array" ref="BI104">K104/IF($L104&gt;0, INDEX($AU$23:$BA$77, $L104+20, $AH104), 1)</f>
        <v>0</v>
      </c>
      <c r="BJ104" s="230">
        <f t="shared" si="243"/>
        <v>0</v>
      </c>
      <c r="BK104" s="229">
        <v>35</v>
      </c>
      <c r="BL104" s="230">
        <f t="shared" si="244"/>
        <v>48</v>
      </c>
      <c r="BM104" s="235">
        <f t="shared" si="245"/>
        <v>2.9108720930232557</v>
      </c>
      <c r="BN104" s="235" cm="1">
        <f t="array" ref="BN104">$BI104 * SUMPRODUCT(INDEX($AR$77:$AT$82,,$AI104),INDEX($AU$77:$BA$82,,$AH104), N($AQ$77:$AQ$82&gt;$AO104)) / BM104 / 1000</f>
        <v>0</v>
      </c>
      <c r="BO104" s="232">
        <f t="shared" si="246"/>
        <v>30</v>
      </c>
      <c r="BP104" s="230">
        <f t="shared" si="247"/>
        <v>43</v>
      </c>
      <c r="BQ104" s="235">
        <f t="shared" si="248"/>
        <v>3.2938815789473681</v>
      </c>
      <c r="BR104" s="235" cm="1">
        <f t="array" ref="BR104">$BI104 * IF($AH104&lt;=2,
SUMPRODUCT(INDEX($AR$72:$AT$76,,$AI104), INDEX($AU$72:$BA$76,,$AH104), 1 / ($BB$72:$BB$76*BQ104 + (1-$BB$72:$BB$76)*BM104), N($AQ$72:$AQ$76&gt;$AO104)),
SUMPRODUCT(INDEX($AR$67:$AT$76,,$AI104), INDEX($AU$67:$BA$76,,$AH104), 1 / ($BC$67:$BC$76*BQ104 + (1-$BC$67:$BC$76)*BM104), N($AQ$67:$AQ$76&gt;$AO104))
) / 1000</f>
        <v>0</v>
      </c>
      <c r="BS104" s="232">
        <f t="shared" si="249"/>
        <v>25</v>
      </c>
      <c r="BT104" s="230">
        <f t="shared" si="250"/>
        <v>38</v>
      </c>
      <c r="BU104" s="235">
        <f t="shared" si="251"/>
        <v>3.792954545454545</v>
      </c>
      <c r="BV104" s="235" cm="1">
        <f t="array" ref="BV104">$BI104 * IF($AH104&lt;=2,
SUMPRODUCT(INDEX($AR$67:$AT$71,,$AI104), INDEX($AU$67:$BA$71,,$AH104), 1 / ($BB$67:$BB$71*BU104 + (1-$BB$67:$BB$71)*BQ104), N($AQ$67:$AQ$71&gt;$AO104)),
SUMPRODUCT(INDEX($AR$57:$AT$66,,$AI104), INDEX($AU$57:$BA$66,,$AH104), 1 / ($BC$57:$BC$66*BU104 + (1-$BC$57:$BC$66)*BQ104), N($AQ$57:$AQ$66&gt;$AO104))
) / 1000</f>
        <v>0</v>
      </c>
      <c r="BW104" s="232">
        <f t="shared" si="252"/>
        <v>20</v>
      </c>
      <c r="BX104" s="230">
        <f t="shared" si="253"/>
        <v>33</v>
      </c>
      <c r="BY104" s="235">
        <f t="shared" si="254"/>
        <v>4.4702678571428569</v>
      </c>
      <c r="BZ104" s="235" cm="1">
        <f t="array" ref="BZ104">$BI104 * IF($AH104&lt;=2,
SUMPRODUCT(INDEX($AR$62:$AT$66,,$AI104), INDEX($AU$62:$BA$66,,$AH104), 1 / ($BB$62:$BB$66*BY104 + (1-$BB$62:$BB$66)*BU104), N($AQ$62:$AQ$66&gt;$AO104)),
SUMPRODUCT(INDEX($AR$47:$AT$56,,$AI104), INDEX($AU$47:$BA$56,,$AH104), 1 / ($BC$47:$BC$56*BY104 + (1-$BC$47:$BC$56)*BU104), N($AQ$47:$AQ$56&gt;$AO104))
) / 1000</f>
        <v>0</v>
      </c>
      <c r="CA104" s="235" cm="1">
        <f t="array" ref="CA104">$BI104 * IF($AH104&lt;=2,
SUMPRODUCT(INDEX($AR$23:$AT$61,,$AI104), INDEX($AU$23:$BA$61,,$AH104), 1 / ($BB$23:$BB$61*BY104), N($AQ$23:$AQ$61&gt;$AO104)),
SUMPRODUCT(INDEX($AR$23:$AT$46,,$AI104), INDEX($AU$23:$BA$46,,$AH104), 1 / ($BC$23:$BC$46*BY104), N($AQ$23:$AQ$46&gt;$AO104))
) / 1000</f>
        <v>0</v>
      </c>
      <c r="CB104" s="230">
        <f t="shared" si="255"/>
        <v>0</v>
      </c>
      <c r="CC104" s="238"/>
      <c r="CD104" s="229" cm="1">
        <f t="array" ref="CD104">IF(ISBLANK(Y104), INDEX(Use, $AH104, 4) - AN104*INDEX(Use, $AH104, 6) - (Q104-X104), Y104)</f>
        <v>7</v>
      </c>
      <c r="CE104" s="229">
        <f t="shared" si="256"/>
        <v>32</v>
      </c>
      <c r="CF104" s="230">
        <f t="shared" si="257"/>
        <v>0</v>
      </c>
      <c r="CG104" s="229">
        <v>35</v>
      </c>
      <c r="CH104" s="230">
        <f t="shared" si="258"/>
        <v>48</v>
      </c>
      <c r="CI104" s="235">
        <f t="shared" si="259"/>
        <v>3.0748170731707316</v>
      </c>
      <c r="CJ104" s="235" cm="1">
        <f t="array" ref="CJ104">$BI104 * SUMPRODUCT(INDEX($AR$77:$AT$82,,$AI104),INDEX($AU$77:$BA$82,,$AH104), N($AQ$77:$AQ$82&gt;$AO104)) / CI104 / 1000</f>
        <v>0</v>
      </c>
      <c r="CK104" s="232">
        <f t="shared" si="260"/>
        <v>30</v>
      </c>
      <c r="CL104" s="230">
        <f t="shared" si="261"/>
        <v>43</v>
      </c>
      <c r="CM104" s="235">
        <f t="shared" si="262"/>
        <v>3.5018750000000001</v>
      </c>
      <c r="CN104" s="235" cm="1">
        <f t="array" ref="CN104">$BI104 * IF($AH104&lt;=2,
SUMPRODUCT(INDEX($AR$72:$AT$76,,$AI104), INDEX($AU$72:$BA$76,,$AH104), 1 / ($BB$72:$BB$76*CM104 + (1-$BB$72:$BB$76)*CI104), N($AQ$72:$AQ$76&gt;$AO104)),
SUMPRODUCT(INDEX($AR$67:$AT$76,,$AI104), INDEX($AU$67:$BA$76,,$AH104), 1 / ($BC$67:$BC$76*CM104 + (1-$BC$67:$BC$76)*CI104), N($AQ$67:$AQ$76&gt;$AO104))
) / 1000</f>
        <v>0</v>
      </c>
      <c r="CO104" s="232">
        <f t="shared" si="263"/>
        <v>25</v>
      </c>
      <c r="CP104" s="230">
        <f t="shared" si="264"/>
        <v>38</v>
      </c>
      <c r="CQ104" s="235">
        <f t="shared" si="265"/>
        <v>4.0666935483870965</v>
      </c>
      <c r="CR104" s="235" cm="1">
        <f t="array" ref="CR104">$BI104 * IF($AH104&lt;=2,
SUMPRODUCT(INDEX($AR$67:$AT$71,,$AI104), INDEX($AU$67:$BA$71,,$AH104), 1 / ($BB$67:$BB$71*CQ104 + (1-$BB$67:$BB$71)*CM104), N($AQ$67:$AQ$71&gt;$AO104)),
SUMPRODUCT(INDEX($AR$57:$AT$66,,$AI104), INDEX($AU$57:$BA$66,,$AH104), 1 / ($BC$57:$BC$66*CQ104 + (1-$BC$57:$BC$66)*CM104), N($AQ$57:$AQ$66&gt;$AO104))
) / 1000</f>
        <v>0</v>
      </c>
      <c r="CS104" s="232">
        <f t="shared" si="266"/>
        <v>20</v>
      </c>
      <c r="CT104" s="230">
        <f t="shared" si="267"/>
        <v>33</v>
      </c>
      <c r="CU104" s="235">
        <f t="shared" si="268"/>
        <v>4.8487499999999999</v>
      </c>
      <c r="CV104" s="235" cm="1">
        <f t="array" ref="CV104">$BI104 * IF($AH104&lt;=2,
SUMPRODUCT(INDEX($AR$62:$AT$66,,$AI104), INDEX($AU$62:$BA$66,,$AH104), 1 / ($BB$62:$BB$66*CU104 + (1-$BB$62:$BB$66)*CQ104), N($AQ$62:$AQ$66&gt;$AO104)),
SUMPRODUCT(INDEX($AR$47:$AT$56,,$AI104), INDEX($AU$47:$BA$56,,$AH104), 1 / ($BC$47:$BC$56*CU104 + (1-$BC$47:$BC$56)*CQ104), N($AQ$47:$AQ$56&gt;$AO104))
) / 1000</f>
        <v>0</v>
      </c>
      <c r="CW104" s="235" cm="1">
        <f t="array" ref="CW104">$BI104 * IF($AH104&lt;=2,
SUMPRODUCT(INDEX($AR$23:$AT$61,,$AI104), INDEX($AU$23:$BA$61,,$AH104), 1 / ($BB$23:$BB$61*CU104), N($AQ$23:$AQ$61&gt;$AO104)),
SUMPRODUCT(INDEX($AR$23:$AT$46,,$AI104), INDEX($AU$23:$BA$46,,$AH104), 1 / ($BC$23:$BC$46*CU104), N($AQ$23:$AQ$46&gt;$AO104))
) / 1000</f>
        <v>0</v>
      </c>
      <c r="CX104" s="230">
        <f t="shared" si="269"/>
        <v>0</v>
      </c>
      <c r="CY104" s="238"/>
    </row>
    <row r="105" spans="1:103" s="76" customFormat="1" ht="14.25" customHeight="1" x14ac:dyDescent="0.2">
      <c r="A105" s="231" t="b">
        <f t="shared" si="229"/>
        <v>0</v>
      </c>
      <c r="B105" s="245">
        <v>83</v>
      </c>
      <c r="C105" s="258"/>
      <c r="D105" s="258"/>
      <c r="E105" s="246"/>
      <c r="F105" s="247" t="str">
        <f>IF(ISBLANK(E105), "", VLOOKUP(E105, Z!$A$2:$C$4127, 3, FALSE))</f>
        <v/>
      </c>
      <c r="G105" s="248"/>
      <c r="H105" s="248"/>
      <c r="I105" s="249"/>
      <c r="J105" s="250"/>
      <c r="K105" s="259"/>
      <c r="L105" s="260"/>
      <c r="M105" s="252" t="str" cm="1">
        <f t="array" ref="M105">INDEX(Trad, 53, $A$20)</f>
        <v>Verschmutzt</v>
      </c>
      <c r="N105" s="253"/>
      <c r="O105" s="253"/>
      <c r="P105" s="254"/>
      <c r="Q105" s="251"/>
      <c r="R105" s="251"/>
      <c r="S105" s="264">
        <f t="shared" si="235"/>
        <v>0</v>
      </c>
      <c r="T105" s="252" t="str" cm="1">
        <f t="array" ref="T105">INDEX(Trad, 52, $A$20)</f>
        <v>Sauber</v>
      </c>
      <c r="U105" s="253"/>
      <c r="V105" s="253"/>
      <c r="W105" s="254"/>
      <c r="X105" s="251"/>
      <c r="Y105" s="251"/>
      <c r="Z105" s="264">
        <f t="shared" si="236"/>
        <v>0</v>
      </c>
      <c r="AA105" s="261"/>
      <c r="AB105" s="258"/>
      <c r="AC105" s="246"/>
      <c r="AD105" s="247" t="str">
        <f>IF(ISBLANK(AC105), "", VLOOKUP(AC105, Z!$A$2:$C$4127, 3, FALSE))</f>
        <v/>
      </c>
      <c r="AE105" s="262"/>
      <c r="AF105" s="263">
        <f t="shared" si="230"/>
        <v>0</v>
      </c>
      <c r="AG105" s="238"/>
      <c r="AH105" s="229">
        <f t="shared" ref="AH105" si="318">IF(ISBLANK(H105), 1, IFERROR(MATCH(H105, INDEX(Use,,1), 0), IFERROR(MATCH(H105, INDEX(Use,,2), 0), MATCH(H105, INDEX(Use,,3), 0))))</f>
        <v>1</v>
      </c>
      <c r="AI105" s="229">
        <f t="shared" ref="AI105" si="319">IF(ISBLANK(G105), 1, IFERROR(MATCH(G105, INDEX(Loc,,1), 0), IFERROR(MATCH(G105, INDEX(Loc,,2), 0), MATCH(G105, INDEX(Loc,,3), 0))))</f>
        <v>1</v>
      </c>
      <c r="AJ105" s="229">
        <f t="shared" ref="AJ105" si="320">_xlfn.IFNA(IF(IFERROR(MATCH(I105, INDEX(Medium,,1), 0), IFERROR(MATCH(I105, INDEX(Medium,,2), 0), MATCH(I105, INDEX(Medium,,3), 0))) = 2, 1, 0), 0)</f>
        <v>0</v>
      </c>
      <c r="AK105" s="229">
        <v>0</v>
      </c>
      <c r="AL105" s="229">
        <v>0</v>
      </c>
      <c r="AM105" s="229">
        <v>1</v>
      </c>
      <c r="AN105" s="229">
        <v>0</v>
      </c>
      <c r="AO105" s="229">
        <f t="shared" si="234"/>
        <v>-100</v>
      </c>
      <c r="AP105" s="238"/>
      <c r="AQ105" s="255"/>
      <c r="AR105" s="255"/>
      <c r="AS105" s="256"/>
      <c r="AT105" s="256"/>
      <c r="AU105" s="256"/>
      <c r="AV105" s="256"/>
      <c r="AW105" s="256"/>
      <c r="AX105" s="256"/>
      <c r="AY105" s="256"/>
      <c r="AZ105" s="256"/>
      <c r="BA105" s="256"/>
      <c r="BB105" s="256"/>
      <c r="BC105" s="256"/>
      <c r="BD105" s="238"/>
      <c r="BE105" s="229" cm="1">
        <f t="array" ref="BE105">IF(ISBLANK(R105), INDEX(Use, $AH105, 4) - AM105*INDEX(Use, $AH105, 6), R105)</f>
        <v>5</v>
      </c>
      <c r="BF105" s="229">
        <f t="shared" si="240"/>
        <v>30</v>
      </c>
      <c r="BG105" s="229">
        <f t="shared" si="241"/>
        <v>13</v>
      </c>
      <c r="BH105" s="229">
        <f t="shared" si="242"/>
        <v>0</v>
      </c>
      <c r="BI105" s="234" cm="1">
        <f t="array" ref="BI105">K105/IF($L105&gt;0, INDEX($AU$23:$BA$77, $L105+20, $AH105), 1)</f>
        <v>0</v>
      </c>
      <c r="BJ105" s="230">
        <f t="shared" si="243"/>
        <v>0</v>
      </c>
      <c r="BK105" s="229">
        <v>35</v>
      </c>
      <c r="BL105" s="230">
        <f t="shared" si="244"/>
        <v>48</v>
      </c>
      <c r="BM105" s="235">
        <f t="shared" si="245"/>
        <v>2.9108720930232557</v>
      </c>
      <c r="BN105" s="235" cm="1">
        <f t="array" ref="BN105">$BI105 * SUMPRODUCT(INDEX($AR$77:$AT$82,,$AI105),INDEX($AU$77:$BA$82,,$AH105), N($AQ$77:$AQ$82&gt;$AO105)) / BM105 / 1000</f>
        <v>0</v>
      </c>
      <c r="BO105" s="232">
        <f t="shared" si="246"/>
        <v>30</v>
      </c>
      <c r="BP105" s="230">
        <f t="shared" si="247"/>
        <v>43</v>
      </c>
      <c r="BQ105" s="235">
        <f t="shared" si="248"/>
        <v>3.2938815789473681</v>
      </c>
      <c r="BR105" s="235" cm="1">
        <f t="array" ref="BR105">$BI105 * IF($AH105&lt;=2,
SUMPRODUCT(INDEX($AR$72:$AT$76,,$AI105), INDEX($AU$72:$BA$76,,$AH105), 1 / ($BB$72:$BB$76*BQ105 + (1-$BB$72:$BB$76)*BM105), N($AQ$72:$AQ$76&gt;$AO105)),
SUMPRODUCT(INDEX($AR$67:$AT$76,,$AI105), INDEX($AU$67:$BA$76,,$AH105), 1 / ($BC$67:$BC$76*BQ105 + (1-$BC$67:$BC$76)*BM105), N($AQ$67:$AQ$76&gt;$AO105))
) / 1000</f>
        <v>0</v>
      </c>
      <c r="BS105" s="232">
        <f t="shared" si="249"/>
        <v>25</v>
      </c>
      <c r="BT105" s="230">
        <f t="shared" si="250"/>
        <v>38</v>
      </c>
      <c r="BU105" s="235">
        <f t="shared" si="251"/>
        <v>3.792954545454545</v>
      </c>
      <c r="BV105" s="235" cm="1">
        <f t="array" ref="BV105">$BI105 * IF($AH105&lt;=2,
SUMPRODUCT(INDEX($AR$67:$AT$71,,$AI105), INDEX($AU$67:$BA$71,,$AH105), 1 / ($BB$67:$BB$71*BU105 + (1-$BB$67:$BB$71)*BQ105), N($AQ$67:$AQ$71&gt;$AO105)),
SUMPRODUCT(INDEX($AR$57:$AT$66,,$AI105), INDEX($AU$57:$BA$66,,$AH105), 1 / ($BC$57:$BC$66*BU105 + (1-$BC$57:$BC$66)*BQ105), N($AQ$57:$AQ$66&gt;$AO105))
) / 1000</f>
        <v>0</v>
      </c>
      <c r="BW105" s="232">
        <f t="shared" si="252"/>
        <v>20</v>
      </c>
      <c r="BX105" s="230">
        <f t="shared" si="253"/>
        <v>33</v>
      </c>
      <c r="BY105" s="235">
        <f t="shared" si="254"/>
        <v>4.4702678571428569</v>
      </c>
      <c r="BZ105" s="235" cm="1">
        <f t="array" ref="BZ105">$BI105 * IF($AH105&lt;=2,
SUMPRODUCT(INDEX($AR$62:$AT$66,,$AI105), INDEX($AU$62:$BA$66,,$AH105), 1 / ($BB$62:$BB$66*BY105 + (1-$BB$62:$BB$66)*BU105), N($AQ$62:$AQ$66&gt;$AO105)),
SUMPRODUCT(INDEX($AR$47:$AT$56,,$AI105), INDEX($AU$47:$BA$56,,$AH105), 1 / ($BC$47:$BC$56*BY105 + (1-$BC$47:$BC$56)*BU105), N($AQ$47:$AQ$56&gt;$AO105))
) / 1000</f>
        <v>0</v>
      </c>
      <c r="CA105" s="235" cm="1">
        <f t="array" ref="CA105">$BI105 * IF($AH105&lt;=2,
SUMPRODUCT(INDEX($AR$23:$AT$61,,$AI105), INDEX($AU$23:$BA$61,,$AH105), 1 / ($BB$23:$BB$61*BY105), N($AQ$23:$AQ$61&gt;$AO105)),
SUMPRODUCT(INDEX($AR$23:$AT$46,,$AI105), INDEX($AU$23:$BA$46,,$AH105), 1 / ($BC$23:$BC$46*BY105), N($AQ$23:$AQ$46&gt;$AO105))
) / 1000</f>
        <v>0</v>
      </c>
      <c r="CB105" s="230">
        <f t="shared" si="255"/>
        <v>0</v>
      </c>
      <c r="CC105" s="238"/>
      <c r="CD105" s="229" cm="1">
        <f t="array" ref="CD105">IF(ISBLANK(Y105), INDEX(Use, $AH105, 4) - AN105*INDEX(Use, $AH105, 6) - (Q105-X105), Y105)</f>
        <v>7</v>
      </c>
      <c r="CE105" s="229">
        <f t="shared" si="256"/>
        <v>32</v>
      </c>
      <c r="CF105" s="230">
        <f t="shared" si="257"/>
        <v>0</v>
      </c>
      <c r="CG105" s="229">
        <v>35</v>
      </c>
      <c r="CH105" s="230">
        <f t="shared" si="258"/>
        <v>48</v>
      </c>
      <c r="CI105" s="235">
        <f t="shared" si="259"/>
        <v>3.0748170731707316</v>
      </c>
      <c r="CJ105" s="235" cm="1">
        <f t="array" ref="CJ105">$BI105 * SUMPRODUCT(INDEX($AR$77:$AT$82,,$AI105),INDEX($AU$77:$BA$82,,$AH105), N($AQ$77:$AQ$82&gt;$AO105)) / CI105 / 1000</f>
        <v>0</v>
      </c>
      <c r="CK105" s="232">
        <f t="shared" si="260"/>
        <v>30</v>
      </c>
      <c r="CL105" s="230">
        <f t="shared" si="261"/>
        <v>43</v>
      </c>
      <c r="CM105" s="235">
        <f t="shared" si="262"/>
        <v>3.5018750000000001</v>
      </c>
      <c r="CN105" s="235" cm="1">
        <f t="array" ref="CN105">$BI105 * IF($AH105&lt;=2,
SUMPRODUCT(INDEX($AR$72:$AT$76,,$AI105), INDEX($AU$72:$BA$76,,$AH105), 1 / ($BB$72:$BB$76*CM105 + (1-$BB$72:$BB$76)*CI105), N($AQ$72:$AQ$76&gt;$AO105)),
SUMPRODUCT(INDEX($AR$67:$AT$76,,$AI105), INDEX($AU$67:$BA$76,,$AH105), 1 / ($BC$67:$BC$76*CM105 + (1-$BC$67:$BC$76)*CI105), N($AQ$67:$AQ$76&gt;$AO105))
) / 1000</f>
        <v>0</v>
      </c>
      <c r="CO105" s="232">
        <f t="shared" si="263"/>
        <v>25</v>
      </c>
      <c r="CP105" s="230">
        <f t="shared" si="264"/>
        <v>38</v>
      </c>
      <c r="CQ105" s="235">
        <f t="shared" si="265"/>
        <v>4.0666935483870965</v>
      </c>
      <c r="CR105" s="235" cm="1">
        <f t="array" ref="CR105">$BI105 * IF($AH105&lt;=2,
SUMPRODUCT(INDEX($AR$67:$AT$71,,$AI105), INDEX($AU$67:$BA$71,,$AH105), 1 / ($BB$67:$BB$71*CQ105 + (1-$BB$67:$BB$71)*CM105), N($AQ$67:$AQ$71&gt;$AO105)),
SUMPRODUCT(INDEX($AR$57:$AT$66,,$AI105), INDEX($AU$57:$BA$66,,$AH105), 1 / ($BC$57:$BC$66*CQ105 + (1-$BC$57:$BC$66)*CM105), N($AQ$57:$AQ$66&gt;$AO105))
) / 1000</f>
        <v>0</v>
      </c>
      <c r="CS105" s="232">
        <f t="shared" si="266"/>
        <v>20</v>
      </c>
      <c r="CT105" s="230">
        <f t="shared" si="267"/>
        <v>33</v>
      </c>
      <c r="CU105" s="235">
        <f t="shared" si="268"/>
        <v>4.8487499999999999</v>
      </c>
      <c r="CV105" s="235" cm="1">
        <f t="array" ref="CV105">$BI105 * IF($AH105&lt;=2,
SUMPRODUCT(INDEX($AR$62:$AT$66,,$AI105), INDEX($AU$62:$BA$66,,$AH105), 1 / ($BB$62:$BB$66*CU105 + (1-$BB$62:$BB$66)*CQ105), N($AQ$62:$AQ$66&gt;$AO105)),
SUMPRODUCT(INDEX($AR$47:$AT$56,,$AI105), INDEX($AU$47:$BA$56,,$AH105), 1 / ($BC$47:$BC$56*CU105 + (1-$BC$47:$BC$56)*CQ105), N($AQ$47:$AQ$56&gt;$AO105))
) / 1000</f>
        <v>0</v>
      </c>
      <c r="CW105" s="235" cm="1">
        <f t="array" ref="CW105">$BI105 * IF($AH105&lt;=2,
SUMPRODUCT(INDEX($AR$23:$AT$61,,$AI105), INDEX($AU$23:$BA$61,,$AH105), 1 / ($BB$23:$BB$61*CU105), N($AQ$23:$AQ$61&gt;$AO105)),
SUMPRODUCT(INDEX($AR$23:$AT$46,,$AI105), INDEX($AU$23:$BA$46,,$AH105), 1 / ($BC$23:$BC$46*CU105), N($AQ$23:$AQ$46&gt;$AO105))
) / 1000</f>
        <v>0</v>
      </c>
      <c r="CX105" s="230">
        <f t="shared" si="269"/>
        <v>0</v>
      </c>
      <c r="CY105" s="238"/>
    </row>
    <row r="106" spans="1:103" s="76" customFormat="1" ht="14.25" customHeight="1" x14ac:dyDescent="0.2">
      <c r="A106" s="231" t="b">
        <f t="shared" si="229"/>
        <v>0</v>
      </c>
      <c r="B106" s="245">
        <v>84</v>
      </c>
      <c r="C106" s="258"/>
      <c r="D106" s="258"/>
      <c r="E106" s="246"/>
      <c r="F106" s="247" t="str">
        <f>IF(ISBLANK(E106), "", VLOOKUP(E106, Z!$A$2:$C$4127, 3, FALSE))</f>
        <v/>
      </c>
      <c r="G106" s="248"/>
      <c r="H106" s="248"/>
      <c r="I106" s="249"/>
      <c r="J106" s="250"/>
      <c r="K106" s="259"/>
      <c r="L106" s="260"/>
      <c r="M106" s="252" t="str" cm="1">
        <f t="array" ref="M106">INDEX(Trad, 53, $A$20)</f>
        <v>Verschmutzt</v>
      </c>
      <c r="N106" s="253"/>
      <c r="O106" s="253"/>
      <c r="P106" s="254"/>
      <c r="Q106" s="251"/>
      <c r="R106" s="251"/>
      <c r="S106" s="264">
        <f t="shared" si="235"/>
        <v>0</v>
      </c>
      <c r="T106" s="252" t="str" cm="1">
        <f t="array" ref="T106">INDEX(Trad, 52, $A$20)</f>
        <v>Sauber</v>
      </c>
      <c r="U106" s="253"/>
      <c r="V106" s="253"/>
      <c r="W106" s="254"/>
      <c r="X106" s="251"/>
      <c r="Y106" s="251"/>
      <c r="Z106" s="264">
        <f t="shared" si="236"/>
        <v>0</v>
      </c>
      <c r="AA106" s="261"/>
      <c r="AB106" s="258"/>
      <c r="AC106" s="246"/>
      <c r="AD106" s="247" t="str">
        <f>IF(ISBLANK(AC106), "", VLOOKUP(AC106, Z!$A$2:$C$4127, 3, FALSE))</f>
        <v/>
      </c>
      <c r="AE106" s="262"/>
      <c r="AF106" s="263">
        <f t="shared" si="230"/>
        <v>0</v>
      </c>
      <c r="AG106" s="238"/>
      <c r="AH106" s="229">
        <f t="shared" ref="AH106" si="321">IF(ISBLANK(H106), 1, IFERROR(MATCH(H106, INDEX(Use,,1), 0), IFERROR(MATCH(H106, INDEX(Use,,2), 0), MATCH(H106, INDEX(Use,,3), 0))))</f>
        <v>1</v>
      </c>
      <c r="AI106" s="229">
        <f t="shared" ref="AI106" si="322">IF(ISBLANK(G106), 1, IFERROR(MATCH(G106, INDEX(Loc,,1), 0), IFERROR(MATCH(G106, INDEX(Loc,,2), 0), MATCH(G106, INDEX(Loc,,3), 0))))</f>
        <v>1</v>
      </c>
      <c r="AJ106" s="229">
        <f t="shared" ref="AJ106" si="323">_xlfn.IFNA(IF(IFERROR(MATCH(I106, INDEX(Medium,,1), 0), IFERROR(MATCH(I106, INDEX(Medium,,2), 0), MATCH(I106, INDEX(Medium,,3), 0))) = 2, 1, 0), 0)</f>
        <v>0</v>
      </c>
      <c r="AK106" s="229">
        <v>0</v>
      </c>
      <c r="AL106" s="229">
        <v>0</v>
      </c>
      <c r="AM106" s="229">
        <v>1</v>
      </c>
      <c r="AN106" s="229">
        <v>0</v>
      </c>
      <c r="AO106" s="229">
        <f t="shared" si="234"/>
        <v>-100</v>
      </c>
      <c r="AP106" s="238"/>
      <c r="AQ106" s="255"/>
      <c r="AR106" s="255"/>
      <c r="AS106" s="256"/>
      <c r="AT106" s="256"/>
      <c r="AU106" s="256"/>
      <c r="AV106" s="256"/>
      <c r="AW106" s="256"/>
      <c r="AX106" s="256"/>
      <c r="AY106" s="256"/>
      <c r="AZ106" s="256"/>
      <c r="BA106" s="256"/>
      <c r="BB106" s="256"/>
      <c r="BC106" s="256"/>
      <c r="BD106" s="238"/>
      <c r="BE106" s="229" cm="1">
        <f t="array" ref="BE106">IF(ISBLANK(R106), INDEX(Use, $AH106, 4) - AM106*INDEX(Use, $AH106, 6), R106)</f>
        <v>5</v>
      </c>
      <c r="BF106" s="229">
        <f t="shared" si="240"/>
        <v>30</v>
      </c>
      <c r="BG106" s="229">
        <f t="shared" si="241"/>
        <v>13</v>
      </c>
      <c r="BH106" s="229">
        <f t="shared" si="242"/>
        <v>0</v>
      </c>
      <c r="BI106" s="234" cm="1">
        <f t="array" ref="BI106">K106/IF($L106&gt;0, INDEX($AU$23:$BA$77, $L106+20, $AH106), 1)</f>
        <v>0</v>
      </c>
      <c r="BJ106" s="230">
        <f t="shared" si="243"/>
        <v>0</v>
      </c>
      <c r="BK106" s="229">
        <v>35</v>
      </c>
      <c r="BL106" s="230">
        <f t="shared" si="244"/>
        <v>48</v>
      </c>
      <c r="BM106" s="235">
        <f t="shared" si="245"/>
        <v>2.9108720930232557</v>
      </c>
      <c r="BN106" s="235" cm="1">
        <f t="array" ref="BN106">$BI106 * SUMPRODUCT(INDEX($AR$77:$AT$82,,$AI106),INDEX($AU$77:$BA$82,,$AH106), N($AQ$77:$AQ$82&gt;$AO106)) / BM106 / 1000</f>
        <v>0</v>
      </c>
      <c r="BO106" s="232">
        <f t="shared" si="246"/>
        <v>30</v>
      </c>
      <c r="BP106" s="230">
        <f t="shared" si="247"/>
        <v>43</v>
      </c>
      <c r="BQ106" s="235">
        <f t="shared" si="248"/>
        <v>3.2938815789473681</v>
      </c>
      <c r="BR106" s="235" cm="1">
        <f t="array" ref="BR106">$BI106 * IF($AH106&lt;=2,
SUMPRODUCT(INDEX($AR$72:$AT$76,,$AI106), INDEX($AU$72:$BA$76,,$AH106), 1 / ($BB$72:$BB$76*BQ106 + (1-$BB$72:$BB$76)*BM106), N($AQ$72:$AQ$76&gt;$AO106)),
SUMPRODUCT(INDEX($AR$67:$AT$76,,$AI106), INDEX($AU$67:$BA$76,,$AH106), 1 / ($BC$67:$BC$76*BQ106 + (1-$BC$67:$BC$76)*BM106), N($AQ$67:$AQ$76&gt;$AO106))
) / 1000</f>
        <v>0</v>
      </c>
      <c r="BS106" s="232">
        <f t="shared" si="249"/>
        <v>25</v>
      </c>
      <c r="BT106" s="230">
        <f t="shared" si="250"/>
        <v>38</v>
      </c>
      <c r="BU106" s="235">
        <f t="shared" si="251"/>
        <v>3.792954545454545</v>
      </c>
      <c r="BV106" s="235" cm="1">
        <f t="array" ref="BV106">$BI106 * IF($AH106&lt;=2,
SUMPRODUCT(INDEX($AR$67:$AT$71,,$AI106), INDEX($AU$67:$BA$71,,$AH106), 1 / ($BB$67:$BB$71*BU106 + (1-$BB$67:$BB$71)*BQ106), N($AQ$67:$AQ$71&gt;$AO106)),
SUMPRODUCT(INDEX($AR$57:$AT$66,,$AI106), INDEX($AU$57:$BA$66,,$AH106), 1 / ($BC$57:$BC$66*BU106 + (1-$BC$57:$BC$66)*BQ106), N($AQ$57:$AQ$66&gt;$AO106))
) / 1000</f>
        <v>0</v>
      </c>
      <c r="BW106" s="232">
        <f t="shared" si="252"/>
        <v>20</v>
      </c>
      <c r="BX106" s="230">
        <f t="shared" si="253"/>
        <v>33</v>
      </c>
      <c r="BY106" s="235">
        <f t="shared" si="254"/>
        <v>4.4702678571428569</v>
      </c>
      <c r="BZ106" s="235" cm="1">
        <f t="array" ref="BZ106">$BI106 * IF($AH106&lt;=2,
SUMPRODUCT(INDEX($AR$62:$AT$66,,$AI106), INDEX($AU$62:$BA$66,,$AH106), 1 / ($BB$62:$BB$66*BY106 + (1-$BB$62:$BB$66)*BU106), N($AQ$62:$AQ$66&gt;$AO106)),
SUMPRODUCT(INDEX($AR$47:$AT$56,,$AI106), INDEX($AU$47:$BA$56,,$AH106), 1 / ($BC$47:$BC$56*BY106 + (1-$BC$47:$BC$56)*BU106), N($AQ$47:$AQ$56&gt;$AO106))
) / 1000</f>
        <v>0</v>
      </c>
      <c r="CA106" s="235" cm="1">
        <f t="array" ref="CA106">$BI106 * IF($AH106&lt;=2,
SUMPRODUCT(INDEX($AR$23:$AT$61,,$AI106), INDEX($AU$23:$BA$61,,$AH106), 1 / ($BB$23:$BB$61*BY106), N($AQ$23:$AQ$61&gt;$AO106)),
SUMPRODUCT(INDEX($AR$23:$AT$46,,$AI106), INDEX($AU$23:$BA$46,,$AH106), 1 / ($BC$23:$BC$46*BY106), N($AQ$23:$AQ$46&gt;$AO106))
) / 1000</f>
        <v>0</v>
      </c>
      <c r="CB106" s="230">
        <f t="shared" si="255"/>
        <v>0</v>
      </c>
      <c r="CC106" s="238"/>
      <c r="CD106" s="229" cm="1">
        <f t="array" ref="CD106">IF(ISBLANK(Y106), INDEX(Use, $AH106, 4) - AN106*INDEX(Use, $AH106, 6) - (Q106-X106), Y106)</f>
        <v>7</v>
      </c>
      <c r="CE106" s="229">
        <f t="shared" si="256"/>
        <v>32</v>
      </c>
      <c r="CF106" s="230">
        <f t="shared" si="257"/>
        <v>0</v>
      </c>
      <c r="CG106" s="229">
        <v>35</v>
      </c>
      <c r="CH106" s="230">
        <f t="shared" si="258"/>
        <v>48</v>
      </c>
      <c r="CI106" s="235">
        <f t="shared" si="259"/>
        <v>3.0748170731707316</v>
      </c>
      <c r="CJ106" s="235" cm="1">
        <f t="array" ref="CJ106">$BI106 * SUMPRODUCT(INDEX($AR$77:$AT$82,,$AI106),INDEX($AU$77:$BA$82,,$AH106), N($AQ$77:$AQ$82&gt;$AO106)) / CI106 / 1000</f>
        <v>0</v>
      </c>
      <c r="CK106" s="232">
        <f t="shared" si="260"/>
        <v>30</v>
      </c>
      <c r="CL106" s="230">
        <f t="shared" si="261"/>
        <v>43</v>
      </c>
      <c r="CM106" s="235">
        <f t="shared" si="262"/>
        <v>3.5018750000000001</v>
      </c>
      <c r="CN106" s="235" cm="1">
        <f t="array" ref="CN106">$BI106 * IF($AH106&lt;=2,
SUMPRODUCT(INDEX($AR$72:$AT$76,,$AI106), INDEX($AU$72:$BA$76,,$AH106), 1 / ($BB$72:$BB$76*CM106 + (1-$BB$72:$BB$76)*CI106), N($AQ$72:$AQ$76&gt;$AO106)),
SUMPRODUCT(INDEX($AR$67:$AT$76,,$AI106), INDEX($AU$67:$BA$76,,$AH106), 1 / ($BC$67:$BC$76*CM106 + (1-$BC$67:$BC$76)*CI106), N($AQ$67:$AQ$76&gt;$AO106))
) / 1000</f>
        <v>0</v>
      </c>
      <c r="CO106" s="232">
        <f t="shared" si="263"/>
        <v>25</v>
      </c>
      <c r="CP106" s="230">
        <f t="shared" si="264"/>
        <v>38</v>
      </c>
      <c r="CQ106" s="235">
        <f t="shared" si="265"/>
        <v>4.0666935483870965</v>
      </c>
      <c r="CR106" s="235" cm="1">
        <f t="array" ref="CR106">$BI106 * IF($AH106&lt;=2,
SUMPRODUCT(INDEX($AR$67:$AT$71,,$AI106), INDEX($AU$67:$BA$71,,$AH106), 1 / ($BB$67:$BB$71*CQ106 + (1-$BB$67:$BB$71)*CM106), N($AQ$67:$AQ$71&gt;$AO106)),
SUMPRODUCT(INDEX($AR$57:$AT$66,,$AI106), INDEX($AU$57:$BA$66,,$AH106), 1 / ($BC$57:$BC$66*CQ106 + (1-$BC$57:$BC$66)*CM106), N($AQ$57:$AQ$66&gt;$AO106))
) / 1000</f>
        <v>0</v>
      </c>
      <c r="CS106" s="232">
        <f t="shared" si="266"/>
        <v>20</v>
      </c>
      <c r="CT106" s="230">
        <f t="shared" si="267"/>
        <v>33</v>
      </c>
      <c r="CU106" s="235">
        <f t="shared" si="268"/>
        <v>4.8487499999999999</v>
      </c>
      <c r="CV106" s="235" cm="1">
        <f t="array" ref="CV106">$BI106 * IF($AH106&lt;=2,
SUMPRODUCT(INDEX($AR$62:$AT$66,,$AI106), INDEX($AU$62:$BA$66,,$AH106), 1 / ($BB$62:$BB$66*CU106 + (1-$BB$62:$BB$66)*CQ106), N($AQ$62:$AQ$66&gt;$AO106)),
SUMPRODUCT(INDEX($AR$47:$AT$56,,$AI106), INDEX($AU$47:$BA$56,,$AH106), 1 / ($BC$47:$BC$56*CU106 + (1-$BC$47:$BC$56)*CQ106), N($AQ$47:$AQ$56&gt;$AO106))
) / 1000</f>
        <v>0</v>
      </c>
      <c r="CW106" s="235" cm="1">
        <f t="array" ref="CW106">$BI106 * IF($AH106&lt;=2,
SUMPRODUCT(INDEX($AR$23:$AT$61,,$AI106), INDEX($AU$23:$BA$61,,$AH106), 1 / ($BB$23:$BB$61*CU106), N($AQ$23:$AQ$61&gt;$AO106)),
SUMPRODUCT(INDEX($AR$23:$AT$46,,$AI106), INDEX($AU$23:$BA$46,,$AH106), 1 / ($BC$23:$BC$46*CU106), N($AQ$23:$AQ$46&gt;$AO106))
) / 1000</f>
        <v>0</v>
      </c>
      <c r="CX106" s="230">
        <f t="shared" si="269"/>
        <v>0</v>
      </c>
      <c r="CY106" s="238"/>
    </row>
    <row r="107" spans="1:103" s="76" customFormat="1" ht="14.25" customHeight="1" x14ac:dyDescent="0.2">
      <c r="A107" s="231" t="b">
        <f t="shared" si="229"/>
        <v>0</v>
      </c>
      <c r="B107" s="245">
        <v>85</v>
      </c>
      <c r="C107" s="258"/>
      <c r="D107" s="258"/>
      <c r="E107" s="246"/>
      <c r="F107" s="247" t="str">
        <f>IF(ISBLANK(E107), "", VLOOKUP(E107, Z!$A$2:$C$4127, 3, FALSE))</f>
        <v/>
      </c>
      <c r="G107" s="248"/>
      <c r="H107" s="248"/>
      <c r="I107" s="249"/>
      <c r="J107" s="250"/>
      <c r="K107" s="259"/>
      <c r="L107" s="260"/>
      <c r="M107" s="252" t="str" cm="1">
        <f t="array" ref="M107">INDEX(Trad, 53, $A$20)</f>
        <v>Verschmutzt</v>
      </c>
      <c r="N107" s="253"/>
      <c r="O107" s="253"/>
      <c r="P107" s="254"/>
      <c r="Q107" s="251"/>
      <c r="R107" s="251"/>
      <c r="S107" s="264">
        <f t="shared" si="235"/>
        <v>0</v>
      </c>
      <c r="T107" s="252" t="str" cm="1">
        <f t="array" ref="T107">INDEX(Trad, 52, $A$20)</f>
        <v>Sauber</v>
      </c>
      <c r="U107" s="253"/>
      <c r="V107" s="253"/>
      <c r="W107" s="254"/>
      <c r="X107" s="251"/>
      <c r="Y107" s="251"/>
      <c r="Z107" s="264">
        <f t="shared" si="236"/>
        <v>0</v>
      </c>
      <c r="AA107" s="261"/>
      <c r="AB107" s="258"/>
      <c r="AC107" s="246"/>
      <c r="AD107" s="247" t="str">
        <f>IF(ISBLANK(AC107), "", VLOOKUP(AC107, Z!$A$2:$C$4127, 3, FALSE))</f>
        <v/>
      </c>
      <c r="AE107" s="262"/>
      <c r="AF107" s="263">
        <f t="shared" si="230"/>
        <v>0</v>
      </c>
      <c r="AG107" s="238"/>
      <c r="AH107" s="229">
        <f t="shared" ref="AH107" si="324">IF(ISBLANK(H107), 1, IFERROR(MATCH(H107, INDEX(Use,,1), 0), IFERROR(MATCH(H107, INDEX(Use,,2), 0), MATCH(H107, INDEX(Use,,3), 0))))</f>
        <v>1</v>
      </c>
      <c r="AI107" s="229">
        <f t="shared" ref="AI107" si="325">IF(ISBLANK(G107), 1, IFERROR(MATCH(G107, INDEX(Loc,,1), 0), IFERROR(MATCH(G107, INDEX(Loc,,2), 0), MATCH(G107, INDEX(Loc,,3), 0))))</f>
        <v>1</v>
      </c>
      <c r="AJ107" s="229">
        <f t="shared" ref="AJ107" si="326">_xlfn.IFNA(IF(IFERROR(MATCH(I107, INDEX(Medium,,1), 0), IFERROR(MATCH(I107, INDEX(Medium,,2), 0), MATCH(I107, INDEX(Medium,,3), 0))) = 2, 1, 0), 0)</f>
        <v>0</v>
      </c>
      <c r="AK107" s="229">
        <v>0</v>
      </c>
      <c r="AL107" s="229">
        <v>0</v>
      </c>
      <c r="AM107" s="229">
        <v>1</v>
      </c>
      <c r="AN107" s="229">
        <v>0</v>
      </c>
      <c r="AO107" s="229">
        <f t="shared" si="234"/>
        <v>-100</v>
      </c>
      <c r="AP107" s="238"/>
      <c r="AQ107" s="255"/>
      <c r="AR107" s="255"/>
      <c r="AS107" s="256"/>
      <c r="AT107" s="256"/>
      <c r="AU107" s="256"/>
      <c r="AV107" s="256"/>
      <c r="AW107" s="256"/>
      <c r="AX107" s="256"/>
      <c r="AY107" s="256"/>
      <c r="AZ107" s="256"/>
      <c r="BA107" s="256"/>
      <c r="BB107" s="256"/>
      <c r="BC107" s="256"/>
      <c r="BD107" s="238"/>
      <c r="BE107" s="229" cm="1">
        <f t="array" ref="BE107">IF(ISBLANK(R107), INDEX(Use, $AH107, 4) - AM107*INDEX(Use, $AH107, 6), R107)</f>
        <v>5</v>
      </c>
      <c r="BF107" s="229">
        <f t="shared" si="240"/>
        <v>30</v>
      </c>
      <c r="BG107" s="229">
        <f t="shared" si="241"/>
        <v>13</v>
      </c>
      <c r="BH107" s="229">
        <f t="shared" si="242"/>
        <v>0</v>
      </c>
      <c r="BI107" s="234" cm="1">
        <f t="array" ref="BI107">K107/IF($L107&gt;0, INDEX($AU$23:$BA$77, $L107+20, $AH107), 1)</f>
        <v>0</v>
      </c>
      <c r="BJ107" s="230">
        <f t="shared" si="243"/>
        <v>0</v>
      </c>
      <c r="BK107" s="229">
        <v>35</v>
      </c>
      <c r="BL107" s="230">
        <f t="shared" si="244"/>
        <v>48</v>
      </c>
      <c r="BM107" s="235">
        <f t="shared" si="245"/>
        <v>2.9108720930232557</v>
      </c>
      <c r="BN107" s="235" cm="1">
        <f t="array" ref="BN107">$BI107 * SUMPRODUCT(INDEX($AR$77:$AT$82,,$AI107),INDEX($AU$77:$BA$82,,$AH107), N($AQ$77:$AQ$82&gt;$AO107)) / BM107 / 1000</f>
        <v>0</v>
      </c>
      <c r="BO107" s="232">
        <f t="shared" si="246"/>
        <v>30</v>
      </c>
      <c r="BP107" s="230">
        <f t="shared" si="247"/>
        <v>43</v>
      </c>
      <c r="BQ107" s="235">
        <f t="shared" si="248"/>
        <v>3.2938815789473681</v>
      </c>
      <c r="BR107" s="235" cm="1">
        <f t="array" ref="BR107">$BI107 * IF($AH107&lt;=2,
SUMPRODUCT(INDEX($AR$72:$AT$76,,$AI107), INDEX($AU$72:$BA$76,,$AH107), 1 / ($BB$72:$BB$76*BQ107 + (1-$BB$72:$BB$76)*BM107), N($AQ$72:$AQ$76&gt;$AO107)),
SUMPRODUCT(INDEX($AR$67:$AT$76,,$AI107), INDEX($AU$67:$BA$76,,$AH107), 1 / ($BC$67:$BC$76*BQ107 + (1-$BC$67:$BC$76)*BM107), N($AQ$67:$AQ$76&gt;$AO107))
) / 1000</f>
        <v>0</v>
      </c>
      <c r="BS107" s="232">
        <f t="shared" si="249"/>
        <v>25</v>
      </c>
      <c r="BT107" s="230">
        <f t="shared" si="250"/>
        <v>38</v>
      </c>
      <c r="BU107" s="235">
        <f t="shared" si="251"/>
        <v>3.792954545454545</v>
      </c>
      <c r="BV107" s="235" cm="1">
        <f t="array" ref="BV107">$BI107 * IF($AH107&lt;=2,
SUMPRODUCT(INDEX($AR$67:$AT$71,,$AI107), INDEX($AU$67:$BA$71,,$AH107), 1 / ($BB$67:$BB$71*BU107 + (1-$BB$67:$BB$71)*BQ107), N($AQ$67:$AQ$71&gt;$AO107)),
SUMPRODUCT(INDEX($AR$57:$AT$66,,$AI107), INDEX($AU$57:$BA$66,,$AH107), 1 / ($BC$57:$BC$66*BU107 + (1-$BC$57:$BC$66)*BQ107), N($AQ$57:$AQ$66&gt;$AO107))
) / 1000</f>
        <v>0</v>
      </c>
      <c r="BW107" s="232">
        <f t="shared" si="252"/>
        <v>20</v>
      </c>
      <c r="BX107" s="230">
        <f t="shared" si="253"/>
        <v>33</v>
      </c>
      <c r="BY107" s="235">
        <f t="shared" si="254"/>
        <v>4.4702678571428569</v>
      </c>
      <c r="BZ107" s="235" cm="1">
        <f t="array" ref="BZ107">$BI107 * IF($AH107&lt;=2,
SUMPRODUCT(INDEX($AR$62:$AT$66,,$AI107), INDEX($AU$62:$BA$66,,$AH107), 1 / ($BB$62:$BB$66*BY107 + (1-$BB$62:$BB$66)*BU107), N($AQ$62:$AQ$66&gt;$AO107)),
SUMPRODUCT(INDEX($AR$47:$AT$56,,$AI107), INDEX($AU$47:$BA$56,,$AH107), 1 / ($BC$47:$BC$56*BY107 + (1-$BC$47:$BC$56)*BU107), N($AQ$47:$AQ$56&gt;$AO107))
) / 1000</f>
        <v>0</v>
      </c>
      <c r="CA107" s="235" cm="1">
        <f t="array" ref="CA107">$BI107 * IF($AH107&lt;=2,
SUMPRODUCT(INDEX($AR$23:$AT$61,,$AI107), INDEX($AU$23:$BA$61,,$AH107), 1 / ($BB$23:$BB$61*BY107), N($AQ$23:$AQ$61&gt;$AO107)),
SUMPRODUCT(INDEX($AR$23:$AT$46,,$AI107), INDEX($AU$23:$BA$46,,$AH107), 1 / ($BC$23:$BC$46*BY107), N($AQ$23:$AQ$46&gt;$AO107))
) / 1000</f>
        <v>0</v>
      </c>
      <c r="CB107" s="230">
        <f t="shared" si="255"/>
        <v>0</v>
      </c>
      <c r="CC107" s="238"/>
      <c r="CD107" s="229" cm="1">
        <f t="array" ref="CD107">IF(ISBLANK(Y107), INDEX(Use, $AH107, 4) - AN107*INDEX(Use, $AH107, 6) - (Q107-X107), Y107)</f>
        <v>7</v>
      </c>
      <c r="CE107" s="229">
        <f t="shared" si="256"/>
        <v>32</v>
      </c>
      <c r="CF107" s="230">
        <f t="shared" si="257"/>
        <v>0</v>
      </c>
      <c r="CG107" s="229">
        <v>35</v>
      </c>
      <c r="CH107" s="230">
        <f t="shared" si="258"/>
        <v>48</v>
      </c>
      <c r="CI107" s="235">
        <f t="shared" si="259"/>
        <v>3.0748170731707316</v>
      </c>
      <c r="CJ107" s="235" cm="1">
        <f t="array" ref="CJ107">$BI107 * SUMPRODUCT(INDEX($AR$77:$AT$82,,$AI107),INDEX($AU$77:$BA$82,,$AH107), N($AQ$77:$AQ$82&gt;$AO107)) / CI107 / 1000</f>
        <v>0</v>
      </c>
      <c r="CK107" s="232">
        <f t="shared" si="260"/>
        <v>30</v>
      </c>
      <c r="CL107" s="230">
        <f t="shared" si="261"/>
        <v>43</v>
      </c>
      <c r="CM107" s="235">
        <f t="shared" si="262"/>
        <v>3.5018750000000001</v>
      </c>
      <c r="CN107" s="235" cm="1">
        <f t="array" ref="CN107">$BI107 * IF($AH107&lt;=2,
SUMPRODUCT(INDEX($AR$72:$AT$76,,$AI107), INDEX($AU$72:$BA$76,,$AH107), 1 / ($BB$72:$BB$76*CM107 + (1-$BB$72:$BB$76)*CI107), N($AQ$72:$AQ$76&gt;$AO107)),
SUMPRODUCT(INDEX($AR$67:$AT$76,,$AI107), INDEX($AU$67:$BA$76,,$AH107), 1 / ($BC$67:$BC$76*CM107 + (1-$BC$67:$BC$76)*CI107), N($AQ$67:$AQ$76&gt;$AO107))
) / 1000</f>
        <v>0</v>
      </c>
      <c r="CO107" s="232">
        <f t="shared" si="263"/>
        <v>25</v>
      </c>
      <c r="CP107" s="230">
        <f t="shared" si="264"/>
        <v>38</v>
      </c>
      <c r="CQ107" s="235">
        <f t="shared" si="265"/>
        <v>4.0666935483870965</v>
      </c>
      <c r="CR107" s="235" cm="1">
        <f t="array" ref="CR107">$BI107 * IF($AH107&lt;=2,
SUMPRODUCT(INDEX($AR$67:$AT$71,,$AI107), INDEX($AU$67:$BA$71,,$AH107), 1 / ($BB$67:$BB$71*CQ107 + (1-$BB$67:$BB$71)*CM107), N($AQ$67:$AQ$71&gt;$AO107)),
SUMPRODUCT(INDEX($AR$57:$AT$66,,$AI107), INDEX($AU$57:$BA$66,,$AH107), 1 / ($BC$57:$BC$66*CQ107 + (1-$BC$57:$BC$66)*CM107), N($AQ$57:$AQ$66&gt;$AO107))
) / 1000</f>
        <v>0</v>
      </c>
      <c r="CS107" s="232">
        <f t="shared" si="266"/>
        <v>20</v>
      </c>
      <c r="CT107" s="230">
        <f t="shared" si="267"/>
        <v>33</v>
      </c>
      <c r="CU107" s="235">
        <f t="shared" si="268"/>
        <v>4.8487499999999999</v>
      </c>
      <c r="CV107" s="235" cm="1">
        <f t="array" ref="CV107">$BI107 * IF($AH107&lt;=2,
SUMPRODUCT(INDEX($AR$62:$AT$66,,$AI107), INDEX($AU$62:$BA$66,,$AH107), 1 / ($BB$62:$BB$66*CU107 + (1-$BB$62:$BB$66)*CQ107), N($AQ$62:$AQ$66&gt;$AO107)),
SUMPRODUCT(INDEX($AR$47:$AT$56,,$AI107), INDEX($AU$47:$BA$56,,$AH107), 1 / ($BC$47:$BC$56*CU107 + (1-$BC$47:$BC$56)*CQ107), N($AQ$47:$AQ$56&gt;$AO107))
) / 1000</f>
        <v>0</v>
      </c>
      <c r="CW107" s="235" cm="1">
        <f t="array" ref="CW107">$BI107 * IF($AH107&lt;=2,
SUMPRODUCT(INDEX($AR$23:$AT$61,,$AI107), INDEX($AU$23:$BA$61,,$AH107), 1 / ($BB$23:$BB$61*CU107), N($AQ$23:$AQ$61&gt;$AO107)),
SUMPRODUCT(INDEX($AR$23:$AT$46,,$AI107), INDEX($AU$23:$BA$46,,$AH107), 1 / ($BC$23:$BC$46*CU107), N($AQ$23:$AQ$46&gt;$AO107))
) / 1000</f>
        <v>0</v>
      </c>
      <c r="CX107" s="230">
        <f t="shared" si="269"/>
        <v>0</v>
      </c>
      <c r="CY107" s="238"/>
    </row>
    <row r="108" spans="1:103" s="76" customFormat="1" ht="14.25" customHeight="1" x14ac:dyDescent="0.2">
      <c r="A108" s="231" t="b">
        <f t="shared" si="229"/>
        <v>0</v>
      </c>
      <c r="B108" s="245">
        <v>86</v>
      </c>
      <c r="C108" s="258"/>
      <c r="D108" s="258"/>
      <c r="E108" s="246"/>
      <c r="F108" s="247" t="str">
        <f>IF(ISBLANK(E108), "", VLOOKUP(E108, Z!$A$2:$C$4127, 3, FALSE))</f>
        <v/>
      </c>
      <c r="G108" s="248"/>
      <c r="H108" s="248"/>
      <c r="I108" s="249"/>
      <c r="J108" s="250"/>
      <c r="K108" s="259"/>
      <c r="L108" s="260"/>
      <c r="M108" s="252" t="str" cm="1">
        <f t="array" ref="M108">INDEX(Trad, 53, $A$20)</f>
        <v>Verschmutzt</v>
      </c>
      <c r="N108" s="253"/>
      <c r="O108" s="253"/>
      <c r="P108" s="254"/>
      <c r="Q108" s="251"/>
      <c r="R108" s="251"/>
      <c r="S108" s="264">
        <f t="shared" si="235"/>
        <v>0</v>
      </c>
      <c r="T108" s="252" t="str" cm="1">
        <f t="array" ref="T108">INDEX(Trad, 52, $A$20)</f>
        <v>Sauber</v>
      </c>
      <c r="U108" s="253"/>
      <c r="V108" s="253"/>
      <c r="W108" s="254"/>
      <c r="X108" s="251"/>
      <c r="Y108" s="251"/>
      <c r="Z108" s="264">
        <f t="shared" si="236"/>
        <v>0</v>
      </c>
      <c r="AA108" s="261"/>
      <c r="AB108" s="258"/>
      <c r="AC108" s="246"/>
      <c r="AD108" s="247" t="str">
        <f>IF(ISBLANK(AC108), "", VLOOKUP(AC108, Z!$A$2:$C$4127, 3, FALSE))</f>
        <v/>
      </c>
      <c r="AE108" s="262"/>
      <c r="AF108" s="263">
        <f t="shared" si="230"/>
        <v>0</v>
      </c>
      <c r="AG108" s="238"/>
      <c r="AH108" s="229">
        <f t="shared" ref="AH108" si="327">IF(ISBLANK(H108), 1, IFERROR(MATCH(H108, INDEX(Use,,1), 0), IFERROR(MATCH(H108, INDEX(Use,,2), 0), MATCH(H108, INDEX(Use,,3), 0))))</f>
        <v>1</v>
      </c>
      <c r="AI108" s="229">
        <f t="shared" ref="AI108" si="328">IF(ISBLANK(G108), 1, IFERROR(MATCH(G108, INDEX(Loc,,1), 0), IFERROR(MATCH(G108, INDEX(Loc,,2), 0), MATCH(G108, INDEX(Loc,,3), 0))))</f>
        <v>1</v>
      </c>
      <c r="AJ108" s="229">
        <f t="shared" ref="AJ108" si="329">_xlfn.IFNA(IF(IFERROR(MATCH(I108, INDEX(Medium,,1), 0), IFERROR(MATCH(I108, INDEX(Medium,,2), 0), MATCH(I108, INDEX(Medium,,3), 0))) = 2, 1, 0), 0)</f>
        <v>0</v>
      </c>
      <c r="AK108" s="229">
        <v>0</v>
      </c>
      <c r="AL108" s="229">
        <v>0</v>
      </c>
      <c r="AM108" s="229">
        <v>1</v>
      </c>
      <c r="AN108" s="229">
        <v>0</v>
      </c>
      <c r="AO108" s="229">
        <f t="shared" si="234"/>
        <v>-100</v>
      </c>
      <c r="AP108" s="238"/>
      <c r="AQ108" s="255"/>
      <c r="AR108" s="255"/>
      <c r="AS108" s="256"/>
      <c r="AT108" s="256"/>
      <c r="AU108" s="256"/>
      <c r="AV108" s="256"/>
      <c r="AW108" s="256"/>
      <c r="AX108" s="256"/>
      <c r="AY108" s="256"/>
      <c r="AZ108" s="256"/>
      <c r="BA108" s="256"/>
      <c r="BB108" s="256"/>
      <c r="BC108" s="256"/>
      <c r="BD108" s="238"/>
      <c r="BE108" s="229" cm="1">
        <f t="array" ref="BE108">IF(ISBLANK(R108), INDEX(Use, $AH108, 4) - AM108*INDEX(Use, $AH108, 6), R108)</f>
        <v>5</v>
      </c>
      <c r="BF108" s="229">
        <f t="shared" si="240"/>
        <v>30</v>
      </c>
      <c r="BG108" s="229">
        <f t="shared" si="241"/>
        <v>13</v>
      </c>
      <c r="BH108" s="229">
        <f t="shared" si="242"/>
        <v>0</v>
      </c>
      <c r="BI108" s="234" cm="1">
        <f t="array" ref="BI108">K108/IF($L108&gt;0, INDEX($AU$23:$BA$77, $L108+20, $AH108), 1)</f>
        <v>0</v>
      </c>
      <c r="BJ108" s="230">
        <f t="shared" si="243"/>
        <v>0</v>
      </c>
      <c r="BK108" s="229">
        <v>35</v>
      </c>
      <c r="BL108" s="230">
        <f t="shared" si="244"/>
        <v>48</v>
      </c>
      <c r="BM108" s="235">
        <f t="shared" si="245"/>
        <v>2.9108720930232557</v>
      </c>
      <c r="BN108" s="235" cm="1">
        <f t="array" ref="BN108">$BI108 * SUMPRODUCT(INDEX($AR$77:$AT$82,,$AI108),INDEX($AU$77:$BA$82,,$AH108), N($AQ$77:$AQ$82&gt;$AO108)) / BM108 / 1000</f>
        <v>0</v>
      </c>
      <c r="BO108" s="232">
        <f t="shared" si="246"/>
        <v>30</v>
      </c>
      <c r="BP108" s="230">
        <f t="shared" si="247"/>
        <v>43</v>
      </c>
      <c r="BQ108" s="235">
        <f t="shared" si="248"/>
        <v>3.2938815789473681</v>
      </c>
      <c r="BR108" s="235" cm="1">
        <f t="array" ref="BR108">$BI108 * IF($AH108&lt;=2,
SUMPRODUCT(INDEX($AR$72:$AT$76,,$AI108), INDEX($AU$72:$BA$76,,$AH108), 1 / ($BB$72:$BB$76*BQ108 + (1-$BB$72:$BB$76)*BM108), N($AQ$72:$AQ$76&gt;$AO108)),
SUMPRODUCT(INDEX($AR$67:$AT$76,,$AI108), INDEX($AU$67:$BA$76,,$AH108), 1 / ($BC$67:$BC$76*BQ108 + (1-$BC$67:$BC$76)*BM108), N($AQ$67:$AQ$76&gt;$AO108))
) / 1000</f>
        <v>0</v>
      </c>
      <c r="BS108" s="232">
        <f t="shared" si="249"/>
        <v>25</v>
      </c>
      <c r="BT108" s="230">
        <f t="shared" si="250"/>
        <v>38</v>
      </c>
      <c r="BU108" s="235">
        <f t="shared" si="251"/>
        <v>3.792954545454545</v>
      </c>
      <c r="BV108" s="235" cm="1">
        <f t="array" ref="BV108">$BI108 * IF($AH108&lt;=2,
SUMPRODUCT(INDEX($AR$67:$AT$71,,$AI108), INDEX($AU$67:$BA$71,,$AH108), 1 / ($BB$67:$BB$71*BU108 + (1-$BB$67:$BB$71)*BQ108), N($AQ$67:$AQ$71&gt;$AO108)),
SUMPRODUCT(INDEX($AR$57:$AT$66,,$AI108), INDEX($AU$57:$BA$66,,$AH108), 1 / ($BC$57:$BC$66*BU108 + (1-$BC$57:$BC$66)*BQ108), N($AQ$57:$AQ$66&gt;$AO108))
) / 1000</f>
        <v>0</v>
      </c>
      <c r="BW108" s="232">
        <f t="shared" si="252"/>
        <v>20</v>
      </c>
      <c r="BX108" s="230">
        <f t="shared" si="253"/>
        <v>33</v>
      </c>
      <c r="BY108" s="235">
        <f t="shared" si="254"/>
        <v>4.4702678571428569</v>
      </c>
      <c r="BZ108" s="235" cm="1">
        <f t="array" ref="BZ108">$BI108 * IF($AH108&lt;=2,
SUMPRODUCT(INDEX($AR$62:$AT$66,,$AI108), INDEX($AU$62:$BA$66,,$AH108), 1 / ($BB$62:$BB$66*BY108 + (1-$BB$62:$BB$66)*BU108), N($AQ$62:$AQ$66&gt;$AO108)),
SUMPRODUCT(INDEX($AR$47:$AT$56,,$AI108), INDEX($AU$47:$BA$56,,$AH108), 1 / ($BC$47:$BC$56*BY108 + (1-$BC$47:$BC$56)*BU108), N($AQ$47:$AQ$56&gt;$AO108))
) / 1000</f>
        <v>0</v>
      </c>
      <c r="CA108" s="235" cm="1">
        <f t="array" ref="CA108">$BI108 * IF($AH108&lt;=2,
SUMPRODUCT(INDEX($AR$23:$AT$61,,$AI108), INDEX($AU$23:$BA$61,,$AH108), 1 / ($BB$23:$BB$61*BY108), N($AQ$23:$AQ$61&gt;$AO108)),
SUMPRODUCT(INDEX($AR$23:$AT$46,,$AI108), INDEX($AU$23:$BA$46,,$AH108), 1 / ($BC$23:$BC$46*BY108), N($AQ$23:$AQ$46&gt;$AO108))
) / 1000</f>
        <v>0</v>
      </c>
      <c r="CB108" s="230">
        <f t="shared" si="255"/>
        <v>0</v>
      </c>
      <c r="CC108" s="238"/>
      <c r="CD108" s="229" cm="1">
        <f t="array" ref="CD108">IF(ISBLANK(Y108), INDEX(Use, $AH108, 4) - AN108*INDEX(Use, $AH108, 6) - (Q108-X108), Y108)</f>
        <v>7</v>
      </c>
      <c r="CE108" s="229">
        <f t="shared" si="256"/>
        <v>32</v>
      </c>
      <c r="CF108" s="230">
        <f t="shared" si="257"/>
        <v>0</v>
      </c>
      <c r="CG108" s="229">
        <v>35</v>
      </c>
      <c r="CH108" s="230">
        <f t="shared" si="258"/>
        <v>48</v>
      </c>
      <c r="CI108" s="235">
        <f t="shared" si="259"/>
        <v>3.0748170731707316</v>
      </c>
      <c r="CJ108" s="235" cm="1">
        <f t="array" ref="CJ108">$BI108 * SUMPRODUCT(INDEX($AR$77:$AT$82,,$AI108),INDEX($AU$77:$BA$82,,$AH108), N($AQ$77:$AQ$82&gt;$AO108)) / CI108 / 1000</f>
        <v>0</v>
      </c>
      <c r="CK108" s="232">
        <f t="shared" si="260"/>
        <v>30</v>
      </c>
      <c r="CL108" s="230">
        <f t="shared" si="261"/>
        <v>43</v>
      </c>
      <c r="CM108" s="235">
        <f t="shared" si="262"/>
        <v>3.5018750000000001</v>
      </c>
      <c r="CN108" s="235" cm="1">
        <f t="array" ref="CN108">$BI108 * IF($AH108&lt;=2,
SUMPRODUCT(INDEX($AR$72:$AT$76,,$AI108), INDEX($AU$72:$BA$76,,$AH108), 1 / ($BB$72:$BB$76*CM108 + (1-$BB$72:$BB$76)*CI108), N($AQ$72:$AQ$76&gt;$AO108)),
SUMPRODUCT(INDEX($AR$67:$AT$76,,$AI108), INDEX($AU$67:$BA$76,,$AH108), 1 / ($BC$67:$BC$76*CM108 + (1-$BC$67:$BC$76)*CI108), N($AQ$67:$AQ$76&gt;$AO108))
) / 1000</f>
        <v>0</v>
      </c>
      <c r="CO108" s="232">
        <f t="shared" si="263"/>
        <v>25</v>
      </c>
      <c r="CP108" s="230">
        <f t="shared" si="264"/>
        <v>38</v>
      </c>
      <c r="CQ108" s="235">
        <f t="shared" si="265"/>
        <v>4.0666935483870965</v>
      </c>
      <c r="CR108" s="235" cm="1">
        <f t="array" ref="CR108">$BI108 * IF($AH108&lt;=2,
SUMPRODUCT(INDEX($AR$67:$AT$71,,$AI108), INDEX($AU$67:$BA$71,,$AH108), 1 / ($BB$67:$BB$71*CQ108 + (1-$BB$67:$BB$71)*CM108), N($AQ$67:$AQ$71&gt;$AO108)),
SUMPRODUCT(INDEX($AR$57:$AT$66,,$AI108), INDEX($AU$57:$BA$66,,$AH108), 1 / ($BC$57:$BC$66*CQ108 + (1-$BC$57:$BC$66)*CM108), N($AQ$57:$AQ$66&gt;$AO108))
) / 1000</f>
        <v>0</v>
      </c>
      <c r="CS108" s="232">
        <f t="shared" si="266"/>
        <v>20</v>
      </c>
      <c r="CT108" s="230">
        <f t="shared" si="267"/>
        <v>33</v>
      </c>
      <c r="CU108" s="235">
        <f t="shared" si="268"/>
        <v>4.8487499999999999</v>
      </c>
      <c r="CV108" s="235" cm="1">
        <f t="array" ref="CV108">$BI108 * IF($AH108&lt;=2,
SUMPRODUCT(INDEX($AR$62:$AT$66,,$AI108), INDEX($AU$62:$BA$66,,$AH108), 1 / ($BB$62:$BB$66*CU108 + (1-$BB$62:$BB$66)*CQ108), N($AQ$62:$AQ$66&gt;$AO108)),
SUMPRODUCT(INDEX($AR$47:$AT$56,,$AI108), INDEX($AU$47:$BA$56,,$AH108), 1 / ($BC$47:$BC$56*CU108 + (1-$BC$47:$BC$56)*CQ108), N($AQ$47:$AQ$56&gt;$AO108))
) / 1000</f>
        <v>0</v>
      </c>
      <c r="CW108" s="235" cm="1">
        <f t="array" ref="CW108">$BI108 * IF($AH108&lt;=2,
SUMPRODUCT(INDEX($AR$23:$AT$61,,$AI108), INDEX($AU$23:$BA$61,,$AH108), 1 / ($BB$23:$BB$61*CU108), N($AQ$23:$AQ$61&gt;$AO108)),
SUMPRODUCT(INDEX($AR$23:$AT$46,,$AI108), INDEX($AU$23:$BA$46,,$AH108), 1 / ($BC$23:$BC$46*CU108), N($AQ$23:$AQ$46&gt;$AO108))
) / 1000</f>
        <v>0</v>
      </c>
      <c r="CX108" s="230">
        <f t="shared" si="269"/>
        <v>0</v>
      </c>
      <c r="CY108" s="238"/>
    </row>
    <row r="109" spans="1:103" s="76" customFormat="1" ht="14.25" customHeight="1" x14ac:dyDescent="0.2">
      <c r="A109" s="231" t="b">
        <f t="shared" si="229"/>
        <v>0</v>
      </c>
      <c r="B109" s="245">
        <v>87</v>
      </c>
      <c r="C109" s="258"/>
      <c r="D109" s="258"/>
      <c r="E109" s="246"/>
      <c r="F109" s="247" t="str">
        <f>IF(ISBLANK(E109), "", VLOOKUP(E109, Z!$A$2:$C$4127, 3, FALSE))</f>
        <v/>
      </c>
      <c r="G109" s="248"/>
      <c r="H109" s="248"/>
      <c r="I109" s="249"/>
      <c r="J109" s="250"/>
      <c r="K109" s="259"/>
      <c r="L109" s="260"/>
      <c r="M109" s="252" t="str" cm="1">
        <f t="array" ref="M109">INDEX(Trad, 53, $A$20)</f>
        <v>Verschmutzt</v>
      </c>
      <c r="N109" s="253"/>
      <c r="O109" s="253"/>
      <c r="P109" s="254"/>
      <c r="Q109" s="251"/>
      <c r="R109" s="251"/>
      <c r="S109" s="264">
        <f t="shared" si="235"/>
        <v>0</v>
      </c>
      <c r="T109" s="252" t="str" cm="1">
        <f t="array" ref="T109">INDEX(Trad, 52, $A$20)</f>
        <v>Sauber</v>
      </c>
      <c r="U109" s="253"/>
      <c r="V109" s="253"/>
      <c r="W109" s="254"/>
      <c r="X109" s="251"/>
      <c r="Y109" s="251"/>
      <c r="Z109" s="264">
        <f t="shared" si="236"/>
        <v>0</v>
      </c>
      <c r="AA109" s="261"/>
      <c r="AB109" s="258"/>
      <c r="AC109" s="246"/>
      <c r="AD109" s="247" t="str">
        <f>IF(ISBLANK(AC109), "", VLOOKUP(AC109, Z!$A$2:$C$4127, 3, FALSE))</f>
        <v/>
      </c>
      <c r="AE109" s="262"/>
      <c r="AF109" s="263">
        <f t="shared" si="230"/>
        <v>0</v>
      </c>
      <c r="AG109" s="238"/>
      <c r="AH109" s="229">
        <f t="shared" ref="AH109" si="330">IF(ISBLANK(H109), 1, IFERROR(MATCH(H109, INDEX(Use,,1), 0), IFERROR(MATCH(H109, INDEX(Use,,2), 0), MATCH(H109, INDEX(Use,,3), 0))))</f>
        <v>1</v>
      </c>
      <c r="AI109" s="229">
        <f t="shared" ref="AI109" si="331">IF(ISBLANK(G109), 1, IFERROR(MATCH(G109, INDEX(Loc,,1), 0), IFERROR(MATCH(G109, INDEX(Loc,,2), 0), MATCH(G109, INDEX(Loc,,3), 0))))</f>
        <v>1</v>
      </c>
      <c r="AJ109" s="229">
        <f t="shared" ref="AJ109" si="332">_xlfn.IFNA(IF(IFERROR(MATCH(I109, INDEX(Medium,,1), 0), IFERROR(MATCH(I109, INDEX(Medium,,2), 0), MATCH(I109, INDEX(Medium,,3), 0))) = 2, 1, 0), 0)</f>
        <v>0</v>
      </c>
      <c r="AK109" s="229">
        <v>0</v>
      </c>
      <c r="AL109" s="229">
        <v>0</v>
      </c>
      <c r="AM109" s="229">
        <v>1</v>
      </c>
      <c r="AN109" s="229">
        <v>0</v>
      </c>
      <c r="AO109" s="229">
        <f t="shared" si="234"/>
        <v>-100</v>
      </c>
      <c r="AP109" s="238"/>
      <c r="AQ109" s="255"/>
      <c r="AR109" s="255"/>
      <c r="AS109" s="256"/>
      <c r="AT109" s="256"/>
      <c r="AU109" s="256"/>
      <c r="AV109" s="256"/>
      <c r="AW109" s="256"/>
      <c r="AX109" s="256"/>
      <c r="AY109" s="256"/>
      <c r="AZ109" s="256"/>
      <c r="BA109" s="256"/>
      <c r="BB109" s="256"/>
      <c r="BC109" s="256"/>
      <c r="BD109" s="238"/>
      <c r="BE109" s="229" cm="1">
        <f t="array" ref="BE109">IF(ISBLANK(R109), INDEX(Use, $AH109, 4) - AM109*INDEX(Use, $AH109, 6), R109)</f>
        <v>5</v>
      </c>
      <c r="BF109" s="229">
        <f t="shared" si="240"/>
        <v>30</v>
      </c>
      <c r="BG109" s="229">
        <f t="shared" si="241"/>
        <v>13</v>
      </c>
      <c r="BH109" s="229">
        <f t="shared" si="242"/>
        <v>0</v>
      </c>
      <c r="BI109" s="234" cm="1">
        <f t="array" ref="BI109">K109/IF($L109&gt;0, INDEX($AU$23:$BA$77, $L109+20, $AH109), 1)</f>
        <v>0</v>
      </c>
      <c r="BJ109" s="230">
        <f t="shared" si="243"/>
        <v>0</v>
      </c>
      <c r="BK109" s="229">
        <v>35</v>
      </c>
      <c r="BL109" s="230">
        <f t="shared" si="244"/>
        <v>48</v>
      </c>
      <c r="BM109" s="235">
        <f t="shared" si="245"/>
        <v>2.9108720930232557</v>
      </c>
      <c r="BN109" s="235" cm="1">
        <f t="array" ref="BN109">$BI109 * SUMPRODUCT(INDEX($AR$77:$AT$82,,$AI109),INDEX($AU$77:$BA$82,,$AH109), N($AQ$77:$AQ$82&gt;$AO109)) / BM109 / 1000</f>
        <v>0</v>
      </c>
      <c r="BO109" s="232">
        <f t="shared" si="246"/>
        <v>30</v>
      </c>
      <c r="BP109" s="230">
        <f t="shared" si="247"/>
        <v>43</v>
      </c>
      <c r="BQ109" s="235">
        <f t="shared" si="248"/>
        <v>3.2938815789473681</v>
      </c>
      <c r="BR109" s="235" cm="1">
        <f t="array" ref="BR109">$BI109 * IF($AH109&lt;=2,
SUMPRODUCT(INDEX($AR$72:$AT$76,,$AI109), INDEX($AU$72:$BA$76,,$AH109), 1 / ($BB$72:$BB$76*BQ109 + (1-$BB$72:$BB$76)*BM109), N($AQ$72:$AQ$76&gt;$AO109)),
SUMPRODUCT(INDEX($AR$67:$AT$76,,$AI109), INDEX($AU$67:$BA$76,,$AH109), 1 / ($BC$67:$BC$76*BQ109 + (1-$BC$67:$BC$76)*BM109), N($AQ$67:$AQ$76&gt;$AO109))
) / 1000</f>
        <v>0</v>
      </c>
      <c r="BS109" s="232">
        <f t="shared" si="249"/>
        <v>25</v>
      </c>
      <c r="BT109" s="230">
        <f t="shared" si="250"/>
        <v>38</v>
      </c>
      <c r="BU109" s="235">
        <f t="shared" si="251"/>
        <v>3.792954545454545</v>
      </c>
      <c r="BV109" s="235" cm="1">
        <f t="array" ref="BV109">$BI109 * IF($AH109&lt;=2,
SUMPRODUCT(INDEX($AR$67:$AT$71,,$AI109), INDEX($AU$67:$BA$71,,$AH109), 1 / ($BB$67:$BB$71*BU109 + (1-$BB$67:$BB$71)*BQ109), N($AQ$67:$AQ$71&gt;$AO109)),
SUMPRODUCT(INDEX($AR$57:$AT$66,,$AI109), INDEX($AU$57:$BA$66,,$AH109), 1 / ($BC$57:$BC$66*BU109 + (1-$BC$57:$BC$66)*BQ109), N($AQ$57:$AQ$66&gt;$AO109))
) / 1000</f>
        <v>0</v>
      </c>
      <c r="BW109" s="232">
        <f t="shared" si="252"/>
        <v>20</v>
      </c>
      <c r="BX109" s="230">
        <f t="shared" si="253"/>
        <v>33</v>
      </c>
      <c r="BY109" s="235">
        <f t="shared" si="254"/>
        <v>4.4702678571428569</v>
      </c>
      <c r="BZ109" s="235" cm="1">
        <f t="array" ref="BZ109">$BI109 * IF($AH109&lt;=2,
SUMPRODUCT(INDEX($AR$62:$AT$66,,$AI109), INDEX($AU$62:$BA$66,,$AH109), 1 / ($BB$62:$BB$66*BY109 + (1-$BB$62:$BB$66)*BU109), N($AQ$62:$AQ$66&gt;$AO109)),
SUMPRODUCT(INDEX($AR$47:$AT$56,,$AI109), INDEX($AU$47:$BA$56,,$AH109), 1 / ($BC$47:$BC$56*BY109 + (1-$BC$47:$BC$56)*BU109), N($AQ$47:$AQ$56&gt;$AO109))
) / 1000</f>
        <v>0</v>
      </c>
      <c r="CA109" s="235" cm="1">
        <f t="array" ref="CA109">$BI109 * IF($AH109&lt;=2,
SUMPRODUCT(INDEX($AR$23:$AT$61,,$AI109), INDEX($AU$23:$BA$61,,$AH109), 1 / ($BB$23:$BB$61*BY109), N($AQ$23:$AQ$61&gt;$AO109)),
SUMPRODUCT(INDEX($AR$23:$AT$46,,$AI109), INDEX($AU$23:$BA$46,,$AH109), 1 / ($BC$23:$BC$46*BY109), N($AQ$23:$AQ$46&gt;$AO109))
) / 1000</f>
        <v>0</v>
      </c>
      <c r="CB109" s="230">
        <f t="shared" si="255"/>
        <v>0</v>
      </c>
      <c r="CC109" s="238"/>
      <c r="CD109" s="229" cm="1">
        <f t="array" ref="CD109">IF(ISBLANK(Y109), INDEX(Use, $AH109, 4) - AN109*INDEX(Use, $AH109, 6) - (Q109-X109), Y109)</f>
        <v>7</v>
      </c>
      <c r="CE109" s="229">
        <f t="shared" si="256"/>
        <v>32</v>
      </c>
      <c r="CF109" s="230">
        <f t="shared" si="257"/>
        <v>0</v>
      </c>
      <c r="CG109" s="229">
        <v>35</v>
      </c>
      <c r="CH109" s="230">
        <f t="shared" si="258"/>
        <v>48</v>
      </c>
      <c r="CI109" s="235">
        <f t="shared" si="259"/>
        <v>3.0748170731707316</v>
      </c>
      <c r="CJ109" s="235" cm="1">
        <f t="array" ref="CJ109">$BI109 * SUMPRODUCT(INDEX($AR$77:$AT$82,,$AI109),INDEX($AU$77:$BA$82,,$AH109), N($AQ$77:$AQ$82&gt;$AO109)) / CI109 / 1000</f>
        <v>0</v>
      </c>
      <c r="CK109" s="232">
        <f t="shared" si="260"/>
        <v>30</v>
      </c>
      <c r="CL109" s="230">
        <f t="shared" si="261"/>
        <v>43</v>
      </c>
      <c r="CM109" s="235">
        <f t="shared" si="262"/>
        <v>3.5018750000000001</v>
      </c>
      <c r="CN109" s="235" cm="1">
        <f t="array" ref="CN109">$BI109 * IF($AH109&lt;=2,
SUMPRODUCT(INDEX($AR$72:$AT$76,,$AI109), INDEX($AU$72:$BA$76,,$AH109), 1 / ($BB$72:$BB$76*CM109 + (1-$BB$72:$BB$76)*CI109), N($AQ$72:$AQ$76&gt;$AO109)),
SUMPRODUCT(INDEX($AR$67:$AT$76,,$AI109), INDEX($AU$67:$BA$76,,$AH109), 1 / ($BC$67:$BC$76*CM109 + (1-$BC$67:$BC$76)*CI109), N($AQ$67:$AQ$76&gt;$AO109))
) / 1000</f>
        <v>0</v>
      </c>
      <c r="CO109" s="232">
        <f t="shared" si="263"/>
        <v>25</v>
      </c>
      <c r="CP109" s="230">
        <f t="shared" si="264"/>
        <v>38</v>
      </c>
      <c r="CQ109" s="235">
        <f t="shared" si="265"/>
        <v>4.0666935483870965</v>
      </c>
      <c r="CR109" s="235" cm="1">
        <f t="array" ref="CR109">$BI109 * IF($AH109&lt;=2,
SUMPRODUCT(INDEX($AR$67:$AT$71,,$AI109), INDEX($AU$67:$BA$71,,$AH109), 1 / ($BB$67:$BB$71*CQ109 + (1-$BB$67:$BB$71)*CM109), N($AQ$67:$AQ$71&gt;$AO109)),
SUMPRODUCT(INDEX($AR$57:$AT$66,,$AI109), INDEX($AU$57:$BA$66,,$AH109), 1 / ($BC$57:$BC$66*CQ109 + (1-$BC$57:$BC$66)*CM109), N($AQ$57:$AQ$66&gt;$AO109))
) / 1000</f>
        <v>0</v>
      </c>
      <c r="CS109" s="232">
        <f t="shared" si="266"/>
        <v>20</v>
      </c>
      <c r="CT109" s="230">
        <f t="shared" si="267"/>
        <v>33</v>
      </c>
      <c r="CU109" s="235">
        <f t="shared" si="268"/>
        <v>4.8487499999999999</v>
      </c>
      <c r="CV109" s="235" cm="1">
        <f t="array" ref="CV109">$BI109 * IF($AH109&lt;=2,
SUMPRODUCT(INDEX($AR$62:$AT$66,,$AI109), INDEX($AU$62:$BA$66,,$AH109), 1 / ($BB$62:$BB$66*CU109 + (1-$BB$62:$BB$66)*CQ109), N($AQ$62:$AQ$66&gt;$AO109)),
SUMPRODUCT(INDEX($AR$47:$AT$56,,$AI109), INDEX($AU$47:$BA$56,,$AH109), 1 / ($BC$47:$BC$56*CU109 + (1-$BC$47:$BC$56)*CQ109), N($AQ$47:$AQ$56&gt;$AO109))
) / 1000</f>
        <v>0</v>
      </c>
      <c r="CW109" s="235" cm="1">
        <f t="array" ref="CW109">$BI109 * IF($AH109&lt;=2,
SUMPRODUCT(INDEX($AR$23:$AT$61,,$AI109), INDEX($AU$23:$BA$61,,$AH109), 1 / ($BB$23:$BB$61*CU109), N($AQ$23:$AQ$61&gt;$AO109)),
SUMPRODUCT(INDEX($AR$23:$AT$46,,$AI109), INDEX($AU$23:$BA$46,,$AH109), 1 / ($BC$23:$BC$46*CU109), N($AQ$23:$AQ$46&gt;$AO109))
) / 1000</f>
        <v>0</v>
      </c>
      <c r="CX109" s="230">
        <f t="shared" si="269"/>
        <v>0</v>
      </c>
      <c r="CY109" s="238"/>
    </row>
    <row r="110" spans="1:103" s="76" customFormat="1" ht="14.25" customHeight="1" x14ac:dyDescent="0.2">
      <c r="A110" s="231" t="b">
        <f t="shared" si="229"/>
        <v>0</v>
      </c>
      <c r="B110" s="245">
        <v>88</v>
      </c>
      <c r="C110" s="258"/>
      <c r="D110" s="258"/>
      <c r="E110" s="246"/>
      <c r="F110" s="247" t="str">
        <f>IF(ISBLANK(E110), "", VLOOKUP(E110, Z!$A$2:$C$4127, 3, FALSE))</f>
        <v/>
      </c>
      <c r="G110" s="248"/>
      <c r="H110" s="248"/>
      <c r="I110" s="249"/>
      <c r="J110" s="250"/>
      <c r="K110" s="259"/>
      <c r="L110" s="260"/>
      <c r="M110" s="252" t="str" cm="1">
        <f t="array" ref="M110">INDEX(Trad, 53, $A$20)</f>
        <v>Verschmutzt</v>
      </c>
      <c r="N110" s="253"/>
      <c r="O110" s="253"/>
      <c r="P110" s="254"/>
      <c r="Q110" s="251"/>
      <c r="R110" s="251"/>
      <c r="S110" s="264">
        <f t="shared" si="235"/>
        <v>0</v>
      </c>
      <c r="T110" s="252" t="str" cm="1">
        <f t="array" ref="T110">INDEX(Trad, 52, $A$20)</f>
        <v>Sauber</v>
      </c>
      <c r="U110" s="253"/>
      <c r="V110" s="253"/>
      <c r="W110" s="254"/>
      <c r="X110" s="251"/>
      <c r="Y110" s="251"/>
      <c r="Z110" s="264">
        <f t="shared" si="236"/>
        <v>0</v>
      </c>
      <c r="AA110" s="261"/>
      <c r="AB110" s="258"/>
      <c r="AC110" s="246"/>
      <c r="AD110" s="247" t="str">
        <f>IF(ISBLANK(AC110), "", VLOOKUP(AC110, Z!$A$2:$C$4127, 3, FALSE))</f>
        <v/>
      </c>
      <c r="AE110" s="262"/>
      <c r="AF110" s="263">
        <f t="shared" si="230"/>
        <v>0</v>
      </c>
      <c r="AG110" s="238"/>
      <c r="AH110" s="229">
        <f t="shared" ref="AH110" si="333">IF(ISBLANK(H110), 1, IFERROR(MATCH(H110, INDEX(Use,,1), 0), IFERROR(MATCH(H110, INDEX(Use,,2), 0), MATCH(H110, INDEX(Use,,3), 0))))</f>
        <v>1</v>
      </c>
      <c r="AI110" s="229">
        <f t="shared" ref="AI110" si="334">IF(ISBLANK(G110), 1, IFERROR(MATCH(G110, INDEX(Loc,,1), 0), IFERROR(MATCH(G110, INDEX(Loc,,2), 0), MATCH(G110, INDEX(Loc,,3), 0))))</f>
        <v>1</v>
      </c>
      <c r="AJ110" s="229">
        <f t="shared" ref="AJ110" si="335">_xlfn.IFNA(IF(IFERROR(MATCH(I110, INDEX(Medium,,1), 0), IFERROR(MATCH(I110, INDEX(Medium,,2), 0), MATCH(I110, INDEX(Medium,,3), 0))) = 2, 1, 0), 0)</f>
        <v>0</v>
      </c>
      <c r="AK110" s="229">
        <v>0</v>
      </c>
      <c r="AL110" s="229">
        <v>0</v>
      </c>
      <c r="AM110" s="229">
        <v>1</v>
      </c>
      <c r="AN110" s="229">
        <v>0</v>
      </c>
      <c r="AO110" s="229">
        <f t="shared" si="234"/>
        <v>-100</v>
      </c>
      <c r="AP110" s="238"/>
      <c r="AQ110" s="255"/>
      <c r="AR110" s="255"/>
      <c r="AS110" s="256"/>
      <c r="AT110" s="256"/>
      <c r="AU110" s="256"/>
      <c r="AV110" s="256"/>
      <c r="AW110" s="256"/>
      <c r="AX110" s="256"/>
      <c r="AY110" s="256"/>
      <c r="AZ110" s="256"/>
      <c r="BA110" s="256"/>
      <c r="BB110" s="256"/>
      <c r="BC110" s="256"/>
      <c r="BD110" s="238"/>
      <c r="BE110" s="229" cm="1">
        <f t="array" ref="BE110">IF(ISBLANK(R110), INDEX(Use, $AH110, 4) - AM110*INDEX(Use, $AH110, 6), R110)</f>
        <v>5</v>
      </c>
      <c r="BF110" s="229">
        <f t="shared" si="240"/>
        <v>30</v>
      </c>
      <c r="BG110" s="229">
        <f t="shared" si="241"/>
        <v>13</v>
      </c>
      <c r="BH110" s="229">
        <f t="shared" si="242"/>
        <v>0</v>
      </c>
      <c r="BI110" s="234" cm="1">
        <f t="array" ref="BI110">K110/IF($L110&gt;0, INDEX($AU$23:$BA$77, $L110+20, $AH110), 1)</f>
        <v>0</v>
      </c>
      <c r="BJ110" s="230">
        <f t="shared" si="243"/>
        <v>0</v>
      </c>
      <c r="BK110" s="229">
        <v>35</v>
      </c>
      <c r="BL110" s="230">
        <f t="shared" si="244"/>
        <v>48</v>
      </c>
      <c r="BM110" s="235">
        <f t="shared" si="245"/>
        <v>2.9108720930232557</v>
      </c>
      <c r="BN110" s="235" cm="1">
        <f t="array" ref="BN110">$BI110 * SUMPRODUCT(INDEX($AR$77:$AT$82,,$AI110),INDEX($AU$77:$BA$82,,$AH110), N($AQ$77:$AQ$82&gt;$AO110)) / BM110 / 1000</f>
        <v>0</v>
      </c>
      <c r="BO110" s="232">
        <f t="shared" si="246"/>
        <v>30</v>
      </c>
      <c r="BP110" s="230">
        <f t="shared" si="247"/>
        <v>43</v>
      </c>
      <c r="BQ110" s="235">
        <f t="shared" si="248"/>
        <v>3.2938815789473681</v>
      </c>
      <c r="BR110" s="235" cm="1">
        <f t="array" ref="BR110">$BI110 * IF($AH110&lt;=2,
SUMPRODUCT(INDEX($AR$72:$AT$76,,$AI110), INDEX($AU$72:$BA$76,,$AH110), 1 / ($BB$72:$BB$76*BQ110 + (1-$BB$72:$BB$76)*BM110), N($AQ$72:$AQ$76&gt;$AO110)),
SUMPRODUCT(INDEX($AR$67:$AT$76,,$AI110), INDEX($AU$67:$BA$76,,$AH110), 1 / ($BC$67:$BC$76*BQ110 + (1-$BC$67:$BC$76)*BM110), N($AQ$67:$AQ$76&gt;$AO110))
) / 1000</f>
        <v>0</v>
      </c>
      <c r="BS110" s="232">
        <f t="shared" si="249"/>
        <v>25</v>
      </c>
      <c r="BT110" s="230">
        <f t="shared" si="250"/>
        <v>38</v>
      </c>
      <c r="BU110" s="235">
        <f t="shared" si="251"/>
        <v>3.792954545454545</v>
      </c>
      <c r="BV110" s="235" cm="1">
        <f t="array" ref="BV110">$BI110 * IF($AH110&lt;=2,
SUMPRODUCT(INDEX($AR$67:$AT$71,,$AI110), INDEX($AU$67:$BA$71,,$AH110), 1 / ($BB$67:$BB$71*BU110 + (1-$BB$67:$BB$71)*BQ110), N($AQ$67:$AQ$71&gt;$AO110)),
SUMPRODUCT(INDEX($AR$57:$AT$66,,$AI110), INDEX($AU$57:$BA$66,,$AH110), 1 / ($BC$57:$BC$66*BU110 + (1-$BC$57:$BC$66)*BQ110), N($AQ$57:$AQ$66&gt;$AO110))
) / 1000</f>
        <v>0</v>
      </c>
      <c r="BW110" s="232">
        <f t="shared" si="252"/>
        <v>20</v>
      </c>
      <c r="BX110" s="230">
        <f t="shared" si="253"/>
        <v>33</v>
      </c>
      <c r="BY110" s="235">
        <f t="shared" si="254"/>
        <v>4.4702678571428569</v>
      </c>
      <c r="BZ110" s="235" cm="1">
        <f t="array" ref="BZ110">$BI110 * IF($AH110&lt;=2,
SUMPRODUCT(INDEX($AR$62:$AT$66,,$AI110), INDEX($AU$62:$BA$66,,$AH110), 1 / ($BB$62:$BB$66*BY110 + (1-$BB$62:$BB$66)*BU110), N($AQ$62:$AQ$66&gt;$AO110)),
SUMPRODUCT(INDEX($AR$47:$AT$56,,$AI110), INDEX($AU$47:$BA$56,,$AH110), 1 / ($BC$47:$BC$56*BY110 + (1-$BC$47:$BC$56)*BU110), N($AQ$47:$AQ$56&gt;$AO110))
) / 1000</f>
        <v>0</v>
      </c>
      <c r="CA110" s="235" cm="1">
        <f t="array" ref="CA110">$BI110 * IF($AH110&lt;=2,
SUMPRODUCT(INDEX($AR$23:$AT$61,,$AI110), INDEX($AU$23:$BA$61,,$AH110), 1 / ($BB$23:$BB$61*BY110), N($AQ$23:$AQ$61&gt;$AO110)),
SUMPRODUCT(INDEX($AR$23:$AT$46,,$AI110), INDEX($AU$23:$BA$46,,$AH110), 1 / ($BC$23:$BC$46*BY110), N($AQ$23:$AQ$46&gt;$AO110))
) / 1000</f>
        <v>0</v>
      </c>
      <c r="CB110" s="230">
        <f t="shared" si="255"/>
        <v>0</v>
      </c>
      <c r="CC110" s="238"/>
      <c r="CD110" s="229" cm="1">
        <f t="array" ref="CD110">IF(ISBLANK(Y110), INDEX(Use, $AH110, 4) - AN110*INDEX(Use, $AH110, 6) - (Q110-X110), Y110)</f>
        <v>7</v>
      </c>
      <c r="CE110" s="229">
        <f t="shared" si="256"/>
        <v>32</v>
      </c>
      <c r="CF110" s="230">
        <f t="shared" si="257"/>
        <v>0</v>
      </c>
      <c r="CG110" s="229">
        <v>35</v>
      </c>
      <c r="CH110" s="230">
        <f t="shared" si="258"/>
        <v>48</v>
      </c>
      <c r="CI110" s="235">
        <f t="shared" si="259"/>
        <v>3.0748170731707316</v>
      </c>
      <c r="CJ110" s="235" cm="1">
        <f t="array" ref="CJ110">$BI110 * SUMPRODUCT(INDEX($AR$77:$AT$82,,$AI110),INDEX($AU$77:$BA$82,,$AH110), N($AQ$77:$AQ$82&gt;$AO110)) / CI110 / 1000</f>
        <v>0</v>
      </c>
      <c r="CK110" s="232">
        <f t="shared" si="260"/>
        <v>30</v>
      </c>
      <c r="CL110" s="230">
        <f t="shared" si="261"/>
        <v>43</v>
      </c>
      <c r="CM110" s="235">
        <f t="shared" si="262"/>
        <v>3.5018750000000001</v>
      </c>
      <c r="CN110" s="235" cm="1">
        <f t="array" ref="CN110">$BI110 * IF($AH110&lt;=2,
SUMPRODUCT(INDEX($AR$72:$AT$76,,$AI110), INDEX($AU$72:$BA$76,,$AH110), 1 / ($BB$72:$BB$76*CM110 + (1-$BB$72:$BB$76)*CI110), N($AQ$72:$AQ$76&gt;$AO110)),
SUMPRODUCT(INDEX($AR$67:$AT$76,,$AI110), INDEX($AU$67:$BA$76,,$AH110), 1 / ($BC$67:$BC$76*CM110 + (1-$BC$67:$BC$76)*CI110), N($AQ$67:$AQ$76&gt;$AO110))
) / 1000</f>
        <v>0</v>
      </c>
      <c r="CO110" s="232">
        <f t="shared" si="263"/>
        <v>25</v>
      </c>
      <c r="CP110" s="230">
        <f t="shared" si="264"/>
        <v>38</v>
      </c>
      <c r="CQ110" s="235">
        <f t="shared" si="265"/>
        <v>4.0666935483870965</v>
      </c>
      <c r="CR110" s="235" cm="1">
        <f t="array" ref="CR110">$BI110 * IF($AH110&lt;=2,
SUMPRODUCT(INDEX($AR$67:$AT$71,,$AI110), INDEX($AU$67:$BA$71,,$AH110), 1 / ($BB$67:$BB$71*CQ110 + (1-$BB$67:$BB$71)*CM110), N($AQ$67:$AQ$71&gt;$AO110)),
SUMPRODUCT(INDEX($AR$57:$AT$66,,$AI110), INDEX($AU$57:$BA$66,,$AH110), 1 / ($BC$57:$BC$66*CQ110 + (1-$BC$57:$BC$66)*CM110), N($AQ$57:$AQ$66&gt;$AO110))
) / 1000</f>
        <v>0</v>
      </c>
      <c r="CS110" s="232">
        <f t="shared" si="266"/>
        <v>20</v>
      </c>
      <c r="CT110" s="230">
        <f t="shared" si="267"/>
        <v>33</v>
      </c>
      <c r="CU110" s="235">
        <f t="shared" si="268"/>
        <v>4.8487499999999999</v>
      </c>
      <c r="CV110" s="235" cm="1">
        <f t="array" ref="CV110">$BI110 * IF($AH110&lt;=2,
SUMPRODUCT(INDEX($AR$62:$AT$66,,$AI110), INDEX($AU$62:$BA$66,,$AH110), 1 / ($BB$62:$BB$66*CU110 + (1-$BB$62:$BB$66)*CQ110), N($AQ$62:$AQ$66&gt;$AO110)),
SUMPRODUCT(INDEX($AR$47:$AT$56,,$AI110), INDEX($AU$47:$BA$56,,$AH110), 1 / ($BC$47:$BC$56*CU110 + (1-$BC$47:$BC$56)*CQ110), N($AQ$47:$AQ$56&gt;$AO110))
) / 1000</f>
        <v>0</v>
      </c>
      <c r="CW110" s="235" cm="1">
        <f t="array" ref="CW110">$BI110 * IF($AH110&lt;=2,
SUMPRODUCT(INDEX($AR$23:$AT$61,,$AI110), INDEX($AU$23:$BA$61,,$AH110), 1 / ($BB$23:$BB$61*CU110), N($AQ$23:$AQ$61&gt;$AO110)),
SUMPRODUCT(INDEX($AR$23:$AT$46,,$AI110), INDEX($AU$23:$BA$46,,$AH110), 1 / ($BC$23:$BC$46*CU110), N($AQ$23:$AQ$46&gt;$AO110))
) / 1000</f>
        <v>0</v>
      </c>
      <c r="CX110" s="230">
        <f t="shared" si="269"/>
        <v>0</v>
      </c>
      <c r="CY110" s="238"/>
    </row>
    <row r="111" spans="1:103" s="76" customFormat="1" ht="14.25" customHeight="1" x14ac:dyDescent="0.2">
      <c r="A111" s="231" t="b">
        <f t="shared" si="229"/>
        <v>0</v>
      </c>
      <c r="B111" s="245">
        <v>89</v>
      </c>
      <c r="C111" s="258"/>
      <c r="D111" s="258"/>
      <c r="E111" s="246"/>
      <c r="F111" s="247" t="str">
        <f>IF(ISBLANK(E111), "", VLOOKUP(E111, Z!$A$2:$C$4127, 3, FALSE))</f>
        <v/>
      </c>
      <c r="G111" s="248"/>
      <c r="H111" s="248"/>
      <c r="I111" s="249"/>
      <c r="J111" s="250"/>
      <c r="K111" s="259"/>
      <c r="L111" s="260"/>
      <c r="M111" s="252" t="str" cm="1">
        <f t="array" ref="M111">INDEX(Trad, 53, $A$20)</f>
        <v>Verschmutzt</v>
      </c>
      <c r="N111" s="253"/>
      <c r="O111" s="253"/>
      <c r="P111" s="254"/>
      <c r="Q111" s="251"/>
      <c r="R111" s="251"/>
      <c r="S111" s="264">
        <f t="shared" si="235"/>
        <v>0</v>
      </c>
      <c r="T111" s="252" t="str" cm="1">
        <f t="array" ref="T111">INDEX(Trad, 52, $A$20)</f>
        <v>Sauber</v>
      </c>
      <c r="U111" s="253"/>
      <c r="V111" s="253"/>
      <c r="W111" s="254"/>
      <c r="X111" s="251"/>
      <c r="Y111" s="251"/>
      <c r="Z111" s="264">
        <f t="shared" si="236"/>
        <v>0</v>
      </c>
      <c r="AA111" s="261"/>
      <c r="AB111" s="258"/>
      <c r="AC111" s="246"/>
      <c r="AD111" s="247" t="str">
        <f>IF(ISBLANK(AC111), "", VLOOKUP(AC111, Z!$A$2:$C$4127, 3, FALSE))</f>
        <v/>
      </c>
      <c r="AE111" s="262"/>
      <c r="AF111" s="263">
        <f t="shared" si="230"/>
        <v>0</v>
      </c>
      <c r="AG111" s="238"/>
      <c r="AH111" s="229">
        <f t="shared" ref="AH111" si="336">IF(ISBLANK(H111), 1, IFERROR(MATCH(H111, INDEX(Use,,1), 0), IFERROR(MATCH(H111, INDEX(Use,,2), 0), MATCH(H111, INDEX(Use,,3), 0))))</f>
        <v>1</v>
      </c>
      <c r="AI111" s="229">
        <f t="shared" ref="AI111" si="337">IF(ISBLANK(G111), 1, IFERROR(MATCH(G111, INDEX(Loc,,1), 0), IFERROR(MATCH(G111, INDEX(Loc,,2), 0), MATCH(G111, INDEX(Loc,,3), 0))))</f>
        <v>1</v>
      </c>
      <c r="AJ111" s="229">
        <f t="shared" ref="AJ111" si="338">_xlfn.IFNA(IF(IFERROR(MATCH(I111, INDEX(Medium,,1), 0), IFERROR(MATCH(I111, INDEX(Medium,,2), 0), MATCH(I111, INDEX(Medium,,3), 0))) = 2, 1, 0), 0)</f>
        <v>0</v>
      </c>
      <c r="AK111" s="229">
        <v>0</v>
      </c>
      <c r="AL111" s="229">
        <v>0</v>
      </c>
      <c r="AM111" s="229">
        <v>1</v>
      </c>
      <c r="AN111" s="229">
        <v>0</v>
      </c>
      <c r="AO111" s="229">
        <f t="shared" si="234"/>
        <v>-100</v>
      </c>
      <c r="AP111" s="238"/>
      <c r="AQ111" s="255"/>
      <c r="AR111" s="255"/>
      <c r="AS111" s="256"/>
      <c r="AT111" s="256"/>
      <c r="AU111" s="256"/>
      <c r="AV111" s="256"/>
      <c r="AW111" s="256"/>
      <c r="AX111" s="256"/>
      <c r="AY111" s="256"/>
      <c r="AZ111" s="256"/>
      <c r="BA111" s="256"/>
      <c r="BB111" s="256"/>
      <c r="BC111" s="256"/>
      <c r="BD111" s="238"/>
      <c r="BE111" s="229" cm="1">
        <f t="array" ref="BE111">IF(ISBLANK(R111), INDEX(Use, $AH111, 4) - AM111*INDEX(Use, $AH111, 6), R111)</f>
        <v>5</v>
      </c>
      <c r="BF111" s="229">
        <f t="shared" si="240"/>
        <v>30</v>
      </c>
      <c r="BG111" s="229">
        <f t="shared" si="241"/>
        <v>13</v>
      </c>
      <c r="BH111" s="229">
        <f t="shared" si="242"/>
        <v>0</v>
      </c>
      <c r="BI111" s="234" cm="1">
        <f t="array" ref="BI111">K111/IF($L111&gt;0, INDEX($AU$23:$BA$77, $L111+20, $AH111), 1)</f>
        <v>0</v>
      </c>
      <c r="BJ111" s="230">
        <f t="shared" si="243"/>
        <v>0</v>
      </c>
      <c r="BK111" s="229">
        <v>35</v>
      </c>
      <c r="BL111" s="230">
        <f t="shared" si="244"/>
        <v>48</v>
      </c>
      <c r="BM111" s="235">
        <f t="shared" si="245"/>
        <v>2.9108720930232557</v>
      </c>
      <c r="BN111" s="235" cm="1">
        <f t="array" ref="BN111">$BI111 * SUMPRODUCT(INDEX($AR$77:$AT$82,,$AI111),INDEX($AU$77:$BA$82,,$AH111), N($AQ$77:$AQ$82&gt;$AO111)) / BM111 / 1000</f>
        <v>0</v>
      </c>
      <c r="BO111" s="232">
        <f t="shared" si="246"/>
        <v>30</v>
      </c>
      <c r="BP111" s="230">
        <f t="shared" si="247"/>
        <v>43</v>
      </c>
      <c r="BQ111" s="235">
        <f t="shared" si="248"/>
        <v>3.2938815789473681</v>
      </c>
      <c r="BR111" s="235" cm="1">
        <f t="array" ref="BR111">$BI111 * IF($AH111&lt;=2,
SUMPRODUCT(INDEX($AR$72:$AT$76,,$AI111), INDEX($AU$72:$BA$76,,$AH111), 1 / ($BB$72:$BB$76*BQ111 + (1-$BB$72:$BB$76)*BM111), N($AQ$72:$AQ$76&gt;$AO111)),
SUMPRODUCT(INDEX($AR$67:$AT$76,,$AI111), INDEX($AU$67:$BA$76,,$AH111), 1 / ($BC$67:$BC$76*BQ111 + (1-$BC$67:$BC$76)*BM111), N($AQ$67:$AQ$76&gt;$AO111))
) / 1000</f>
        <v>0</v>
      </c>
      <c r="BS111" s="232">
        <f t="shared" si="249"/>
        <v>25</v>
      </c>
      <c r="BT111" s="230">
        <f t="shared" si="250"/>
        <v>38</v>
      </c>
      <c r="BU111" s="235">
        <f t="shared" si="251"/>
        <v>3.792954545454545</v>
      </c>
      <c r="BV111" s="235" cm="1">
        <f t="array" ref="BV111">$BI111 * IF($AH111&lt;=2,
SUMPRODUCT(INDEX($AR$67:$AT$71,,$AI111), INDEX($AU$67:$BA$71,,$AH111), 1 / ($BB$67:$BB$71*BU111 + (1-$BB$67:$BB$71)*BQ111), N($AQ$67:$AQ$71&gt;$AO111)),
SUMPRODUCT(INDEX($AR$57:$AT$66,,$AI111), INDEX($AU$57:$BA$66,,$AH111), 1 / ($BC$57:$BC$66*BU111 + (1-$BC$57:$BC$66)*BQ111), N($AQ$57:$AQ$66&gt;$AO111))
) / 1000</f>
        <v>0</v>
      </c>
      <c r="BW111" s="232">
        <f t="shared" si="252"/>
        <v>20</v>
      </c>
      <c r="BX111" s="230">
        <f t="shared" si="253"/>
        <v>33</v>
      </c>
      <c r="BY111" s="235">
        <f t="shared" si="254"/>
        <v>4.4702678571428569</v>
      </c>
      <c r="BZ111" s="235" cm="1">
        <f t="array" ref="BZ111">$BI111 * IF($AH111&lt;=2,
SUMPRODUCT(INDEX($AR$62:$AT$66,,$AI111), INDEX($AU$62:$BA$66,,$AH111), 1 / ($BB$62:$BB$66*BY111 + (1-$BB$62:$BB$66)*BU111), N($AQ$62:$AQ$66&gt;$AO111)),
SUMPRODUCT(INDEX($AR$47:$AT$56,,$AI111), INDEX($AU$47:$BA$56,,$AH111), 1 / ($BC$47:$BC$56*BY111 + (1-$BC$47:$BC$56)*BU111), N($AQ$47:$AQ$56&gt;$AO111))
) / 1000</f>
        <v>0</v>
      </c>
      <c r="CA111" s="235" cm="1">
        <f t="array" ref="CA111">$BI111 * IF($AH111&lt;=2,
SUMPRODUCT(INDEX($AR$23:$AT$61,,$AI111), INDEX($AU$23:$BA$61,,$AH111), 1 / ($BB$23:$BB$61*BY111), N($AQ$23:$AQ$61&gt;$AO111)),
SUMPRODUCT(INDEX($AR$23:$AT$46,,$AI111), INDEX($AU$23:$BA$46,,$AH111), 1 / ($BC$23:$BC$46*BY111), N($AQ$23:$AQ$46&gt;$AO111))
) / 1000</f>
        <v>0</v>
      </c>
      <c r="CB111" s="230">
        <f t="shared" si="255"/>
        <v>0</v>
      </c>
      <c r="CC111" s="238"/>
      <c r="CD111" s="229" cm="1">
        <f t="array" ref="CD111">IF(ISBLANK(Y111), INDEX(Use, $AH111, 4) - AN111*INDEX(Use, $AH111, 6) - (Q111-X111), Y111)</f>
        <v>7</v>
      </c>
      <c r="CE111" s="229">
        <f t="shared" si="256"/>
        <v>32</v>
      </c>
      <c r="CF111" s="230">
        <f t="shared" si="257"/>
        <v>0</v>
      </c>
      <c r="CG111" s="229">
        <v>35</v>
      </c>
      <c r="CH111" s="230">
        <f t="shared" si="258"/>
        <v>48</v>
      </c>
      <c r="CI111" s="235">
        <f t="shared" si="259"/>
        <v>3.0748170731707316</v>
      </c>
      <c r="CJ111" s="235" cm="1">
        <f t="array" ref="CJ111">$BI111 * SUMPRODUCT(INDEX($AR$77:$AT$82,,$AI111),INDEX($AU$77:$BA$82,,$AH111), N($AQ$77:$AQ$82&gt;$AO111)) / CI111 / 1000</f>
        <v>0</v>
      </c>
      <c r="CK111" s="232">
        <f t="shared" si="260"/>
        <v>30</v>
      </c>
      <c r="CL111" s="230">
        <f t="shared" si="261"/>
        <v>43</v>
      </c>
      <c r="CM111" s="235">
        <f t="shared" si="262"/>
        <v>3.5018750000000001</v>
      </c>
      <c r="CN111" s="235" cm="1">
        <f t="array" ref="CN111">$BI111 * IF($AH111&lt;=2,
SUMPRODUCT(INDEX($AR$72:$AT$76,,$AI111), INDEX($AU$72:$BA$76,,$AH111), 1 / ($BB$72:$BB$76*CM111 + (1-$BB$72:$BB$76)*CI111), N($AQ$72:$AQ$76&gt;$AO111)),
SUMPRODUCT(INDEX($AR$67:$AT$76,,$AI111), INDEX($AU$67:$BA$76,,$AH111), 1 / ($BC$67:$BC$76*CM111 + (1-$BC$67:$BC$76)*CI111), N($AQ$67:$AQ$76&gt;$AO111))
) / 1000</f>
        <v>0</v>
      </c>
      <c r="CO111" s="232">
        <f t="shared" si="263"/>
        <v>25</v>
      </c>
      <c r="CP111" s="230">
        <f t="shared" si="264"/>
        <v>38</v>
      </c>
      <c r="CQ111" s="235">
        <f t="shared" si="265"/>
        <v>4.0666935483870965</v>
      </c>
      <c r="CR111" s="235" cm="1">
        <f t="array" ref="CR111">$BI111 * IF($AH111&lt;=2,
SUMPRODUCT(INDEX($AR$67:$AT$71,,$AI111), INDEX($AU$67:$BA$71,,$AH111), 1 / ($BB$67:$BB$71*CQ111 + (1-$BB$67:$BB$71)*CM111), N($AQ$67:$AQ$71&gt;$AO111)),
SUMPRODUCT(INDEX($AR$57:$AT$66,,$AI111), INDEX($AU$57:$BA$66,,$AH111), 1 / ($BC$57:$BC$66*CQ111 + (1-$BC$57:$BC$66)*CM111), N($AQ$57:$AQ$66&gt;$AO111))
) / 1000</f>
        <v>0</v>
      </c>
      <c r="CS111" s="232">
        <f t="shared" si="266"/>
        <v>20</v>
      </c>
      <c r="CT111" s="230">
        <f t="shared" si="267"/>
        <v>33</v>
      </c>
      <c r="CU111" s="235">
        <f t="shared" si="268"/>
        <v>4.8487499999999999</v>
      </c>
      <c r="CV111" s="235" cm="1">
        <f t="array" ref="CV111">$BI111 * IF($AH111&lt;=2,
SUMPRODUCT(INDEX($AR$62:$AT$66,,$AI111), INDEX($AU$62:$BA$66,,$AH111), 1 / ($BB$62:$BB$66*CU111 + (1-$BB$62:$BB$66)*CQ111), N($AQ$62:$AQ$66&gt;$AO111)),
SUMPRODUCT(INDEX($AR$47:$AT$56,,$AI111), INDEX($AU$47:$BA$56,,$AH111), 1 / ($BC$47:$BC$56*CU111 + (1-$BC$47:$BC$56)*CQ111), N($AQ$47:$AQ$56&gt;$AO111))
) / 1000</f>
        <v>0</v>
      </c>
      <c r="CW111" s="235" cm="1">
        <f t="array" ref="CW111">$BI111 * IF($AH111&lt;=2,
SUMPRODUCT(INDEX($AR$23:$AT$61,,$AI111), INDEX($AU$23:$BA$61,,$AH111), 1 / ($BB$23:$BB$61*CU111), N($AQ$23:$AQ$61&gt;$AO111)),
SUMPRODUCT(INDEX($AR$23:$AT$46,,$AI111), INDEX($AU$23:$BA$46,,$AH111), 1 / ($BC$23:$BC$46*CU111), N($AQ$23:$AQ$46&gt;$AO111))
) / 1000</f>
        <v>0</v>
      </c>
      <c r="CX111" s="230">
        <f t="shared" si="269"/>
        <v>0</v>
      </c>
      <c r="CY111" s="238"/>
    </row>
    <row r="112" spans="1:103" s="76" customFormat="1" ht="14.25" customHeight="1" x14ac:dyDescent="0.2">
      <c r="A112" s="231" t="b">
        <f t="shared" si="229"/>
        <v>0</v>
      </c>
      <c r="B112" s="245">
        <v>90</v>
      </c>
      <c r="C112" s="258"/>
      <c r="D112" s="258"/>
      <c r="E112" s="246"/>
      <c r="F112" s="247" t="str">
        <f>IF(ISBLANK(E112), "", VLOOKUP(E112, Z!$A$2:$C$4127, 3, FALSE))</f>
        <v/>
      </c>
      <c r="G112" s="248"/>
      <c r="H112" s="248"/>
      <c r="I112" s="249"/>
      <c r="J112" s="250"/>
      <c r="K112" s="259"/>
      <c r="L112" s="260"/>
      <c r="M112" s="252" t="str" cm="1">
        <f t="array" ref="M112">INDEX(Trad, 53, $A$20)</f>
        <v>Verschmutzt</v>
      </c>
      <c r="N112" s="253"/>
      <c r="O112" s="253"/>
      <c r="P112" s="254"/>
      <c r="Q112" s="251"/>
      <c r="R112" s="251"/>
      <c r="S112" s="264">
        <f t="shared" si="235"/>
        <v>0</v>
      </c>
      <c r="T112" s="252" t="str" cm="1">
        <f t="array" ref="T112">INDEX(Trad, 52, $A$20)</f>
        <v>Sauber</v>
      </c>
      <c r="U112" s="253"/>
      <c r="V112" s="253"/>
      <c r="W112" s="254"/>
      <c r="X112" s="251"/>
      <c r="Y112" s="251"/>
      <c r="Z112" s="264">
        <f t="shared" si="236"/>
        <v>0</v>
      </c>
      <c r="AA112" s="261"/>
      <c r="AB112" s="258"/>
      <c r="AC112" s="246"/>
      <c r="AD112" s="247" t="str">
        <f>IF(ISBLANK(AC112), "", VLOOKUP(AC112, Z!$A$2:$C$4127, 3, FALSE))</f>
        <v/>
      </c>
      <c r="AE112" s="262"/>
      <c r="AF112" s="263">
        <f t="shared" si="230"/>
        <v>0</v>
      </c>
      <c r="AG112" s="238"/>
      <c r="AH112" s="229">
        <f t="shared" ref="AH112" si="339">IF(ISBLANK(H112), 1, IFERROR(MATCH(H112, INDEX(Use,,1), 0), IFERROR(MATCH(H112, INDEX(Use,,2), 0), MATCH(H112, INDEX(Use,,3), 0))))</f>
        <v>1</v>
      </c>
      <c r="AI112" s="229">
        <f t="shared" ref="AI112" si="340">IF(ISBLANK(G112), 1, IFERROR(MATCH(G112, INDEX(Loc,,1), 0), IFERROR(MATCH(G112, INDEX(Loc,,2), 0), MATCH(G112, INDEX(Loc,,3), 0))))</f>
        <v>1</v>
      </c>
      <c r="AJ112" s="229">
        <f t="shared" ref="AJ112" si="341">_xlfn.IFNA(IF(IFERROR(MATCH(I112, INDEX(Medium,,1), 0), IFERROR(MATCH(I112, INDEX(Medium,,2), 0), MATCH(I112, INDEX(Medium,,3), 0))) = 2, 1, 0), 0)</f>
        <v>0</v>
      </c>
      <c r="AK112" s="229">
        <v>0</v>
      </c>
      <c r="AL112" s="229">
        <v>0</v>
      </c>
      <c r="AM112" s="229">
        <v>1</v>
      </c>
      <c r="AN112" s="229">
        <v>0</v>
      </c>
      <c r="AO112" s="229">
        <f t="shared" si="234"/>
        <v>-100</v>
      </c>
      <c r="AP112" s="238"/>
      <c r="AQ112" s="255"/>
      <c r="AR112" s="255"/>
      <c r="AS112" s="256"/>
      <c r="AT112" s="256"/>
      <c r="AU112" s="256"/>
      <c r="AV112" s="256"/>
      <c r="AW112" s="256"/>
      <c r="AX112" s="256"/>
      <c r="AY112" s="256"/>
      <c r="AZ112" s="256"/>
      <c r="BA112" s="256"/>
      <c r="BB112" s="256"/>
      <c r="BC112" s="256"/>
      <c r="BD112" s="238"/>
      <c r="BE112" s="229" cm="1">
        <f t="array" ref="BE112">IF(ISBLANK(R112), INDEX(Use, $AH112, 4) - AM112*INDEX(Use, $AH112, 6), R112)</f>
        <v>5</v>
      </c>
      <c r="BF112" s="229">
        <f t="shared" si="240"/>
        <v>30</v>
      </c>
      <c r="BG112" s="229">
        <f t="shared" si="241"/>
        <v>13</v>
      </c>
      <c r="BH112" s="229">
        <f t="shared" si="242"/>
        <v>0</v>
      </c>
      <c r="BI112" s="234" cm="1">
        <f t="array" ref="BI112">K112/IF($L112&gt;0, INDEX($AU$23:$BA$77, $L112+20, $AH112), 1)</f>
        <v>0</v>
      </c>
      <c r="BJ112" s="230">
        <f t="shared" si="243"/>
        <v>0</v>
      </c>
      <c r="BK112" s="229">
        <v>35</v>
      </c>
      <c r="BL112" s="230">
        <f t="shared" si="244"/>
        <v>48</v>
      </c>
      <c r="BM112" s="235">
        <f t="shared" si="245"/>
        <v>2.9108720930232557</v>
      </c>
      <c r="BN112" s="235" cm="1">
        <f t="array" ref="BN112">$BI112 * SUMPRODUCT(INDEX($AR$77:$AT$82,,$AI112),INDEX($AU$77:$BA$82,,$AH112), N($AQ$77:$AQ$82&gt;$AO112)) / BM112 / 1000</f>
        <v>0</v>
      </c>
      <c r="BO112" s="232">
        <f t="shared" si="246"/>
        <v>30</v>
      </c>
      <c r="BP112" s="230">
        <f t="shared" si="247"/>
        <v>43</v>
      </c>
      <c r="BQ112" s="235">
        <f t="shared" si="248"/>
        <v>3.2938815789473681</v>
      </c>
      <c r="BR112" s="235" cm="1">
        <f t="array" ref="BR112">$BI112 * IF($AH112&lt;=2,
SUMPRODUCT(INDEX($AR$72:$AT$76,,$AI112), INDEX($AU$72:$BA$76,,$AH112), 1 / ($BB$72:$BB$76*BQ112 + (1-$BB$72:$BB$76)*BM112), N($AQ$72:$AQ$76&gt;$AO112)),
SUMPRODUCT(INDEX($AR$67:$AT$76,,$AI112), INDEX($AU$67:$BA$76,,$AH112), 1 / ($BC$67:$BC$76*BQ112 + (1-$BC$67:$BC$76)*BM112), N($AQ$67:$AQ$76&gt;$AO112))
) / 1000</f>
        <v>0</v>
      </c>
      <c r="BS112" s="232">
        <f t="shared" si="249"/>
        <v>25</v>
      </c>
      <c r="BT112" s="230">
        <f t="shared" si="250"/>
        <v>38</v>
      </c>
      <c r="BU112" s="235">
        <f t="shared" si="251"/>
        <v>3.792954545454545</v>
      </c>
      <c r="BV112" s="235" cm="1">
        <f t="array" ref="BV112">$BI112 * IF($AH112&lt;=2,
SUMPRODUCT(INDEX($AR$67:$AT$71,,$AI112), INDEX($AU$67:$BA$71,,$AH112), 1 / ($BB$67:$BB$71*BU112 + (1-$BB$67:$BB$71)*BQ112), N($AQ$67:$AQ$71&gt;$AO112)),
SUMPRODUCT(INDEX($AR$57:$AT$66,,$AI112), INDEX($AU$57:$BA$66,,$AH112), 1 / ($BC$57:$BC$66*BU112 + (1-$BC$57:$BC$66)*BQ112), N($AQ$57:$AQ$66&gt;$AO112))
) / 1000</f>
        <v>0</v>
      </c>
      <c r="BW112" s="232">
        <f t="shared" si="252"/>
        <v>20</v>
      </c>
      <c r="BX112" s="230">
        <f t="shared" si="253"/>
        <v>33</v>
      </c>
      <c r="BY112" s="235">
        <f t="shared" si="254"/>
        <v>4.4702678571428569</v>
      </c>
      <c r="BZ112" s="235" cm="1">
        <f t="array" ref="BZ112">$BI112 * IF($AH112&lt;=2,
SUMPRODUCT(INDEX($AR$62:$AT$66,,$AI112), INDEX($AU$62:$BA$66,,$AH112), 1 / ($BB$62:$BB$66*BY112 + (1-$BB$62:$BB$66)*BU112), N($AQ$62:$AQ$66&gt;$AO112)),
SUMPRODUCT(INDEX($AR$47:$AT$56,,$AI112), INDEX($AU$47:$BA$56,,$AH112), 1 / ($BC$47:$BC$56*BY112 + (1-$BC$47:$BC$56)*BU112), N($AQ$47:$AQ$56&gt;$AO112))
) / 1000</f>
        <v>0</v>
      </c>
      <c r="CA112" s="235" cm="1">
        <f t="array" ref="CA112">$BI112 * IF($AH112&lt;=2,
SUMPRODUCT(INDEX($AR$23:$AT$61,,$AI112), INDEX($AU$23:$BA$61,,$AH112), 1 / ($BB$23:$BB$61*BY112), N($AQ$23:$AQ$61&gt;$AO112)),
SUMPRODUCT(INDEX($AR$23:$AT$46,,$AI112), INDEX($AU$23:$BA$46,,$AH112), 1 / ($BC$23:$BC$46*BY112), N($AQ$23:$AQ$46&gt;$AO112))
) / 1000</f>
        <v>0</v>
      </c>
      <c r="CB112" s="230">
        <f t="shared" si="255"/>
        <v>0</v>
      </c>
      <c r="CC112" s="238"/>
      <c r="CD112" s="229" cm="1">
        <f t="array" ref="CD112">IF(ISBLANK(Y112), INDEX(Use, $AH112, 4) - AN112*INDEX(Use, $AH112, 6) - (Q112-X112), Y112)</f>
        <v>7</v>
      </c>
      <c r="CE112" s="229">
        <f t="shared" si="256"/>
        <v>32</v>
      </c>
      <c r="CF112" s="230">
        <f t="shared" si="257"/>
        <v>0</v>
      </c>
      <c r="CG112" s="229">
        <v>35</v>
      </c>
      <c r="CH112" s="230">
        <f t="shared" si="258"/>
        <v>48</v>
      </c>
      <c r="CI112" s="235">
        <f t="shared" si="259"/>
        <v>3.0748170731707316</v>
      </c>
      <c r="CJ112" s="235" cm="1">
        <f t="array" ref="CJ112">$BI112 * SUMPRODUCT(INDEX($AR$77:$AT$82,,$AI112),INDEX($AU$77:$BA$82,,$AH112), N($AQ$77:$AQ$82&gt;$AO112)) / CI112 / 1000</f>
        <v>0</v>
      </c>
      <c r="CK112" s="232">
        <f t="shared" si="260"/>
        <v>30</v>
      </c>
      <c r="CL112" s="230">
        <f t="shared" si="261"/>
        <v>43</v>
      </c>
      <c r="CM112" s="235">
        <f t="shared" si="262"/>
        <v>3.5018750000000001</v>
      </c>
      <c r="CN112" s="235" cm="1">
        <f t="array" ref="CN112">$BI112 * IF($AH112&lt;=2,
SUMPRODUCT(INDEX($AR$72:$AT$76,,$AI112), INDEX($AU$72:$BA$76,,$AH112), 1 / ($BB$72:$BB$76*CM112 + (1-$BB$72:$BB$76)*CI112), N($AQ$72:$AQ$76&gt;$AO112)),
SUMPRODUCT(INDEX($AR$67:$AT$76,,$AI112), INDEX($AU$67:$BA$76,,$AH112), 1 / ($BC$67:$BC$76*CM112 + (1-$BC$67:$BC$76)*CI112), N($AQ$67:$AQ$76&gt;$AO112))
) / 1000</f>
        <v>0</v>
      </c>
      <c r="CO112" s="232">
        <f t="shared" si="263"/>
        <v>25</v>
      </c>
      <c r="CP112" s="230">
        <f t="shared" si="264"/>
        <v>38</v>
      </c>
      <c r="CQ112" s="235">
        <f t="shared" si="265"/>
        <v>4.0666935483870965</v>
      </c>
      <c r="CR112" s="235" cm="1">
        <f t="array" ref="CR112">$BI112 * IF($AH112&lt;=2,
SUMPRODUCT(INDEX($AR$67:$AT$71,,$AI112), INDEX($AU$67:$BA$71,,$AH112), 1 / ($BB$67:$BB$71*CQ112 + (1-$BB$67:$BB$71)*CM112), N($AQ$67:$AQ$71&gt;$AO112)),
SUMPRODUCT(INDEX($AR$57:$AT$66,,$AI112), INDEX($AU$57:$BA$66,,$AH112), 1 / ($BC$57:$BC$66*CQ112 + (1-$BC$57:$BC$66)*CM112), N($AQ$57:$AQ$66&gt;$AO112))
) / 1000</f>
        <v>0</v>
      </c>
      <c r="CS112" s="232">
        <f t="shared" si="266"/>
        <v>20</v>
      </c>
      <c r="CT112" s="230">
        <f t="shared" si="267"/>
        <v>33</v>
      </c>
      <c r="CU112" s="235">
        <f t="shared" si="268"/>
        <v>4.8487499999999999</v>
      </c>
      <c r="CV112" s="235" cm="1">
        <f t="array" ref="CV112">$BI112 * IF($AH112&lt;=2,
SUMPRODUCT(INDEX($AR$62:$AT$66,,$AI112), INDEX($AU$62:$BA$66,,$AH112), 1 / ($BB$62:$BB$66*CU112 + (1-$BB$62:$BB$66)*CQ112), N($AQ$62:$AQ$66&gt;$AO112)),
SUMPRODUCT(INDEX($AR$47:$AT$56,,$AI112), INDEX($AU$47:$BA$56,,$AH112), 1 / ($BC$47:$BC$56*CU112 + (1-$BC$47:$BC$56)*CQ112), N($AQ$47:$AQ$56&gt;$AO112))
) / 1000</f>
        <v>0</v>
      </c>
      <c r="CW112" s="235" cm="1">
        <f t="array" ref="CW112">$BI112 * IF($AH112&lt;=2,
SUMPRODUCT(INDEX($AR$23:$AT$61,,$AI112), INDEX($AU$23:$BA$61,,$AH112), 1 / ($BB$23:$BB$61*CU112), N($AQ$23:$AQ$61&gt;$AO112)),
SUMPRODUCT(INDEX($AR$23:$AT$46,,$AI112), INDEX($AU$23:$BA$46,,$AH112), 1 / ($BC$23:$BC$46*CU112), N($AQ$23:$AQ$46&gt;$AO112))
) / 1000</f>
        <v>0</v>
      </c>
      <c r="CX112" s="230">
        <f t="shared" si="269"/>
        <v>0</v>
      </c>
      <c r="CY112" s="238"/>
    </row>
    <row r="113" spans="1:103" s="76" customFormat="1" ht="14.25" customHeight="1" x14ac:dyDescent="0.2">
      <c r="A113" s="231" t="b">
        <f t="shared" si="229"/>
        <v>0</v>
      </c>
      <c r="B113" s="245">
        <v>91</v>
      </c>
      <c r="C113" s="258"/>
      <c r="D113" s="258"/>
      <c r="E113" s="246"/>
      <c r="F113" s="247" t="str">
        <f>IF(ISBLANK(E113), "", VLOOKUP(E113, Z!$A$2:$C$4127, 3, FALSE))</f>
        <v/>
      </c>
      <c r="G113" s="248"/>
      <c r="H113" s="248"/>
      <c r="I113" s="249"/>
      <c r="J113" s="250"/>
      <c r="K113" s="259"/>
      <c r="L113" s="260"/>
      <c r="M113" s="252" t="str" cm="1">
        <f t="array" ref="M113">INDEX(Trad, 53, $A$20)</f>
        <v>Verschmutzt</v>
      </c>
      <c r="N113" s="253"/>
      <c r="O113" s="253"/>
      <c r="P113" s="254"/>
      <c r="Q113" s="251"/>
      <c r="R113" s="251"/>
      <c r="S113" s="264">
        <f t="shared" si="235"/>
        <v>0</v>
      </c>
      <c r="T113" s="252" t="str" cm="1">
        <f t="array" ref="T113">INDEX(Trad, 52, $A$20)</f>
        <v>Sauber</v>
      </c>
      <c r="U113" s="253"/>
      <c r="V113" s="253"/>
      <c r="W113" s="254"/>
      <c r="X113" s="251"/>
      <c r="Y113" s="251"/>
      <c r="Z113" s="264">
        <f t="shared" si="236"/>
        <v>0</v>
      </c>
      <c r="AA113" s="261"/>
      <c r="AB113" s="258"/>
      <c r="AC113" s="246"/>
      <c r="AD113" s="247" t="str">
        <f>IF(ISBLANK(AC113), "", VLOOKUP(AC113, Z!$A$2:$C$4127, 3, FALSE))</f>
        <v/>
      </c>
      <c r="AE113" s="262"/>
      <c r="AF113" s="263">
        <f t="shared" si="230"/>
        <v>0</v>
      </c>
      <c r="AG113" s="238"/>
      <c r="AH113" s="229">
        <f t="shared" ref="AH113" si="342">IF(ISBLANK(H113), 1, IFERROR(MATCH(H113, INDEX(Use,,1), 0), IFERROR(MATCH(H113, INDEX(Use,,2), 0), MATCH(H113, INDEX(Use,,3), 0))))</f>
        <v>1</v>
      </c>
      <c r="AI113" s="229">
        <f t="shared" ref="AI113" si="343">IF(ISBLANK(G113), 1, IFERROR(MATCH(G113, INDEX(Loc,,1), 0), IFERROR(MATCH(G113, INDEX(Loc,,2), 0), MATCH(G113, INDEX(Loc,,3), 0))))</f>
        <v>1</v>
      </c>
      <c r="AJ113" s="229">
        <f t="shared" ref="AJ113" si="344">_xlfn.IFNA(IF(IFERROR(MATCH(I113, INDEX(Medium,,1), 0), IFERROR(MATCH(I113, INDEX(Medium,,2), 0), MATCH(I113, INDEX(Medium,,3), 0))) = 2, 1, 0), 0)</f>
        <v>0</v>
      </c>
      <c r="AK113" s="229">
        <v>0</v>
      </c>
      <c r="AL113" s="229">
        <v>0</v>
      </c>
      <c r="AM113" s="229">
        <v>1</v>
      </c>
      <c r="AN113" s="229">
        <v>0</v>
      </c>
      <c r="AO113" s="229">
        <f t="shared" si="234"/>
        <v>-100</v>
      </c>
      <c r="AP113" s="238"/>
      <c r="AQ113" s="255"/>
      <c r="AR113" s="255"/>
      <c r="AS113" s="256"/>
      <c r="AT113" s="256"/>
      <c r="AU113" s="256"/>
      <c r="AV113" s="256"/>
      <c r="AW113" s="256"/>
      <c r="AX113" s="256"/>
      <c r="AY113" s="256"/>
      <c r="AZ113" s="256"/>
      <c r="BA113" s="256"/>
      <c r="BB113" s="256"/>
      <c r="BC113" s="256"/>
      <c r="BD113" s="238"/>
      <c r="BE113" s="229" cm="1">
        <f t="array" ref="BE113">IF(ISBLANK(R113), INDEX(Use, $AH113, 4) - AM113*INDEX(Use, $AH113, 6), R113)</f>
        <v>5</v>
      </c>
      <c r="BF113" s="229">
        <f t="shared" si="240"/>
        <v>30</v>
      </c>
      <c r="BG113" s="229">
        <f t="shared" si="241"/>
        <v>13</v>
      </c>
      <c r="BH113" s="229">
        <f t="shared" si="242"/>
        <v>0</v>
      </c>
      <c r="BI113" s="234" cm="1">
        <f t="array" ref="BI113">K113/IF($L113&gt;0, INDEX($AU$23:$BA$77, $L113+20, $AH113), 1)</f>
        <v>0</v>
      </c>
      <c r="BJ113" s="230">
        <f t="shared" si="243"/>
        <v>0</v>
      </c>
      <c r="BK113" s="229">
        <v>35</v>
      </c>
      <c r="BL113" s="230">
        <f t="shared" si="244"/>
        <v>48</v>
      </c>
      <c r="BM113" s="235">
        <f t="shared" si="245"/>
        <v>2.9108720930232557</v>
      </c>
      <c r="BN113" s="235" cm="1">
        <f t="array" ref="BN113">$BI113 * SUMPRODUCT(INDEX($AR$77:$AT$82,,$AI113),INDEX($AU$77:$BA$82,,$AH113), N($AQ$77:$AQ$82&gt;$AO113)) / BM113 / 1000</f>
        <v>0</v>
      </c>
      <c r="BO113" s="232">
        <f t="shared" si="246"/>
        <v>30</v>
      </c>
      <c r="BP113" s="230">
        <f t="shared" si="247"/>
        <v>43</v>
      </c>
      <c r="BQ113" s="235">
        <f t="shared" si="248"/>
        <v>3.2938815789473681</v>
      </c>
      <c r="BR113" s="235" cm="1">
        <f t="array" ref="BR113">$BI113 * IF($AH113&lt;=2,
SUMPRODUCT(INDEX($AR$72:$AT$76,,$AI113), INDEX($AU$72:$BA$76,,$AH113), 1 / ($BB$72:$BB$76*BQ113 + (1-$BB$72:$BB$76)*BM113), N($AQ$72:$AQ$76&gt;$AO113)),
SUMPRODUCT(INDEX($AR$67:$AT$76,,$AI113), INDEX($AU$67:$BA$76,,$AH113), 1 / ($BC$67:$BC$76*BQ113 + (1-$BC$67:$BC$76)*BM113), N($AQ$67:$AQ$76&gt;$AO113))
) / 1000</f>
        <v>0</v>
      </c>
      <c r="BS113" s="232">
        <f t="shared" si="249"/>
        <v>25</v>
      </c>
      <c r="BT113" s="230">
        <f t="shared" si="250"/>
        <v>38</v>
      </c>
      <c r="BU113" s="235">
        <f t="shared" si="251"/>
        <v>3.792954545454545</v>
      </c>
      <c r="BV113" s="235" cm="1">
        <f t="array" ref="BV113">$BI113 * IF($AH113&lt;=2,
SUMPRODUCT(INDEX($AR$67:$AT$71,,$AI113), INDEX($AU$67:$BA$71,,$AH113), 1 / ($BB$67:$BB$71*BU113 + (1-$BB$67:$BB$71)*BQ113), N($AQ$67:$AQ$71&gt;$AO113)),
SUMPRODUCT(INDEX($AR$57:$AT$66,,$AI113), INDEX($AU$57:$BA$66,,$AH113), 1 / ($BC$57:$BC$66*BU113 + (1-$BC$57:$BC$66)*BQ113), N($AQ$57:$AQ$66&gt;$AO113))
) / 1000</f>
        <v>0</v>
      </c>
      <c r="BW113" s="232">
        <f t="shared" si="252"/>
        <v>20</v>
      </c>
      <c r="BX113" s="230">
        <f t="shared" si="253"/>
        <v>33</v>
      </c>
      <c r="BY113" s="235">
        <f t="shared" si="254"/>
        <v>4.4702678571428569</v>
      </c>
      <c r="BZ113" s="235" cm="1">
        <f t="array" ref="BZ113">$BI113 * IF($AH113&lt;=2,
SUMPRODUCT(INDEX($AR$62:$AT$66,,$AI113), INDEX($AU$62:$BA$66,,$AH113), 1 / ($BB$62:$BB$66*BY113 + (1-$BB$62:$BB$66)*BU113), N($AQ$62:$AQ$66&gt;$AO113)),
SUMPRODUCT(INDEX($AR$47:$AT$56,,$AI113), INDEX($AU$47:$BA$56,,$AH113), 1 / ($BC$47:$BC$56*BY113 + (1-$BC$47:$BC$56)*BU113), N($AQ$47:$AQ$56&gt;$AO113))
) / 1000</f>
        <v>0</v>
      </c>
      <c r="CA113" s="235" cm="1">
        <f t="array" ref="CA113">$BI113 * IF($AH113&lt;=2,
SUMPRODUCT(INDEX($AR$23:$AT$61,,$AI113), INDEX($AU$23:$BA$61,,$AH113), 1 / ($BB$23:$BB$61*BY113), N($AQ$23:$AQ$61&gt;$AO113)),
SUMPRODUCT(INDEX($AR$23:$AT$46,,$AI113), INDEX($AU$23:$BA$46,,$AH113), 1 / ($BC$23:$BC$46*BY113), N($AQ$23:$AQ$46&gt;$AO113))
) / 1000</f>
        <v>0</v>
      </c>
      <c r="CB113" s="230">
        <f t="shared" si="255"/>
        <v>0</v>
      </c>
      <c r="CC113" s="238"/>
      <c r="CD113" s="229" cm="1">
        <f t="array" ref="CD113">IF(ISBLANK(Y113), INDEX(Use, $AH113, 4) - AN113*INDEX(Use, $AH113, 6) - (Q113-X113), Y113)</f>
        <v>7</v>
      </c>
      <c r="CE113" s="229">
        <f t="shared" si="256"/>
        <v>32</v>
      </c>
      <c r="CF113" s="230">
        <f t="shared" si="257"/>
        <v>0</v>
      </c>
      <c r="CG113" s="229">
        <v>35</v>
      </c>
      <c r="CH113" s="230">
        <f t="shared" si="258"/>
        <v>48</v>
      </c>
      <c r="CI113" s="235">
        <f t="shared" si="259"/>
        <v>3.0748170731707316</v>
      </c>
      <c r="CJ113" s="235" cm="1">
        <f t="array" ref="CJ113">$BI113 * SUMPRODUCT(INDEX($AR$77:$AT$82,,$AI113),INDEX($AU$77:$BA$82,,$AH113), N($AQ$77:$AQ$82&gt;$AO113)) / CI113 / 1000</f>
        <v>0</v>
      </c>
      <c r="CK113" s="232">
        <f t="shared" si="260"/>
        <v>30</v>
      </c>
      <c r="CL113" s="230">
        <f t="shared" si="261"/>
        <v>43</v>
      </c>
      <c r="CM113" s="235">
        <f t="shared" si="262"/>
        <v>3.5018750000000001</v>
      </c>
      <c r="CN113" s="235" cm="1">
        <f t="array" ref="CN113">$BI113 * IF($AH113&lt;=2,
SUMPRODUCT(INDEX($AR$72:$AT$76,,$AI113), INDEX($AU$72:$BA$76,,$AH113), 1 / ($BB$72:$BB$76*CM113 + (1-$BB$72:$BB$76)*CI113), N($AQ$72:$AQ$76&gt;$AO113)),
SUMPRODUCT(INDEX($AR$67:$AT$76,,$AI113), INDEX($AU$67:$BA$76,,$AH113), 1 / ($BC$67:$BC$76*CM113 + (1-$BC$67:$BC$76)*CI113), N($AQ$67:$AQ$76&gt;$AO113))
) / 1000</f>
        <v>0</v>
      </c>
      <c r="CO113" s="232">
        <f t="shared" si="263"/>
        <v>25</v>
      </c>
      <c r="CP113" s="230">
        <f t="shared" si="264"/>
        <v>38</v>
      </c>
      <c r="CQ113" s="235">
        <f t="shared" si="265"/>
        <v>4.0666935483870965</v>
      </c>
      <c r="CR113" s="235" cm="1">
        <f t="array" ref="CR113">$BI113 * IF($AH113&lt;=2,
SUMPRODUCT(INDEX($AR$67:$AT$71,,$AI113), INDEX($AU$67:$BA$71,,$AH113), 1 / ($BB$67:$BB$71*CQ113 + (1-$BB$67:$BB$71)*CM113), N($AQ$67:$AQ$71&gt;$AO113)),
SUMPRODUCT(INDEX($AR$57:$AT$66,,$AI113), INDEX($AU$57:$BA$66,,$AH113), 1 / ($BC$57:$BC$66*CQ113 + (1-$BC$57:$BC$66)*CM113), N($AQ$57:$AQ$66&gt;$AO113))
) / 1000</f>
        <v>0</v>
      </c>
      <c r="CS113" s="232">
        <f t="shared" si="266"/>
        <v>20</v>
      </c>
      <c r="CT113" s="230">
        <f t="shared" si="267"/>
        <v>33</v>
      </c>
      <c r="CU113" s="235">
        <f t="shared" si="268"/>
        <v>4.8487499999999999</v>
      </c>
      <c r="CV113" s="235" cm="1">
        <f t="array" ref="CV113">$BI113 * IF($AH113&lt;=2,
SUMPRODUCT(INDEX($AR$62:$AT$66,,$AI113), INDEX($AU$62:$BA$66,,$AH113), 1 / ($BB$62:$BB$66*CU113 + (1-$BB$62:$BB$66)*CQ113), N($AQ$62:$AQ$66&gt;$AO113)),
SUMPRODUCT(INDEX($AR$47:$AT$56,,$AI113), INDEX($AU$47:$BA$56,,$AH113), 1 / ($BC$47:$BC$56*CU113 + (1-$BC$47:$BC$56)*CQ113), N($AQ$47:$AQ$56&gt;$AO113))
) / 1000</f>
        <v>0</v>
      </c>
      <c r="CW113" s="235" cm="1">
        <f t="array" ref="CW113">$BI113 * IF($AH113&lt;=2,
SUMPRODUCT(INDEX($AR$23:$AT$61,,$AI113), INDEX($AU$23:$BA$61,,$AH113), 1 / ($BB$23:$BB$61*CU113), N($AQ$23:$AQ$61&gt;$AO113)),
SUMPRODUCT(INDEX($AR$23:$AT$46,,$AI113), INDEX($AU$23:$BA$46,,$AH113), 1 / ($BC$23:$BC$46*CU113), N($AQ$23:$AQ$46&gt;$AO113))
) / 1000</f>
        <v>0</v>
      </c>
      <c r="CX113" s="230">
        <f t="shared" si="269"/>
        <v>0</v>
      </c>
      <c r="CY113" s="238"/>
    </row>
    <row r="114" spans="1:103" s="76" customFormat="1" ht="14.25" customHeight="1" x14ac:dyDescent="0.2">
      <c r="A114" s="231" t="b">
        <f t="shared" si="229"/>
        <v>0</v>
      </c>
      <c r="B114" s="245">
        <v>92</v>
      </c>
      <c r="C114" s="258"/>
      <c r="D114" s="258"/>
      <c r="E114" s="246"/>
      <c r="F114" s="247" t="str">
        <f>IF(ISBLANK(E114), "", VLOOKUP(E114, Z!$A$2:$C$4127, 3, FALSE))</f>
        <v/>
      </c>
      <c r="G114" s="248"/>
      <c r="H114" s="248"/>
      <c r="I114" s="249"/>
      <c r="J114" s="250"/>
      <c r="K114" s="259"/>
      <c r="L114" s="260"/>
      <c r="M114" s="252" t="str" cm="1">
        <f t="array" ref="M114">INDEX(Trad, 53, $A$20)</f>
        <v>Verschmutzt</v>
      </c>
      <c r="N114" s="253"/>
      <c r="O114" s="253"/>
      <c r="P114" s="254"/>
      <c r="Q114" s="251"/>
      <c r="R114" s="251"/>
      <c r="S114" s="264">
        <f t="shared" si="235"/>
        <v>0</v>
      </c>
      <c r="T114" s="252" t="str" cm="1">
        <f t="array" ref="T114">INDEX(Trad, 52, $A$20)</f>
        <v>Sauber</v>
      </c>
      <c r="U114" s="253"/>
      <c r="V114" s="253"/>
      <c r="W114" s="254"/>
      <c r="X114" s="251"/>
      <c r="Y114" s="251"/>
      <c r="Z114" s="264">
        <f t="shared" si="236"/>
        <v>0</v>
      </c>
      <c r="AA114" s="261"/>
      <c r="AB114" s="258"/>
      <c r="AC114" s="246"/>
      <c r="AD114" s="247" t="str">
        <f>IF(ISBLANK(AC114), "", VLOOKUP(AC114, Z!$A$2:$C$4127, 3, FALSE))</f>
        <v/>
      </c>
      <c r="AE114" s="262"/>
      <c r="AF114" s="263">
        <f t="shared" si="230"/>
        <v>0</v>
      </c>
      <c r="AG114" s="238"/>
      <c r="AH114" s="229">
        <f t="shared" ref="AH114" si="345">IF(ISBLANK(H114), 1, IFERROR(MATCH(H114, INDEX(Use,,1), 0), IFERROR(MATCH(H114, INDEX(Use,,2), 0), MATCH(H114, INDEX(Use,,3), 0))))</f>
        <v>1</v>
      </c>
      <c r="AI114" s="229">
        <f t="shared" ref="AI114" si="346">IF(ISBLANK(G114), 1, IFERROR(MATCH(G114, INDEX(Loc,,1), 0), IFERROR(MATCH(G114, INDEX(Loc,,2), 0), MATCH(G114, INDEX(Loc,,3), 0))))</f>
        <v>1</v>
      </c>
      <c r="AJ114" s="229">
        <f t="shared" ref="AJ114" si="347">_xlfn.IFNA(IF(IFERROR(MATCH(I114, INDEX(Medium,,1), 0), IFERROR(MATCH(I114, INDEX(Medium,,2), 0), MATCH(I114, INDEX(Medium,,3), 0))) = 2, 1, 0), 0)</f>
        <v>0</v>
      </c>
      <c r="AK114" s="229">
        <v>0</v>
      </c>
      <c r="AL114" s="229">
        <v>0</v>
      </c>
      <c r="AM114" s="229">
        <v>1</v>
      </c>
      <c r="AN114" s="229">
        <v>0</v>
      </c>
      <c r="AO114" s="229">
        <f t="shared" si="234"/>
        <v>-100</v>
      </c>
      <c r="AP114" s="238"/>
      <c r="AQ114" s="255"/>
      <c r="AR114" s="255"/>
      <c r="AS114" s="256"/>
      <c r="AT114" s="256"/>
      <c r="AU114" s="256"/>
      <c r="AV114" s="256"/>
      <c r="AW114" s="256"/>
      <c r="AX114" s="256"/>
      <c r="AY114" s="256"/>
      <c r="AZ114" s="256"/>
      <c r="BA114" s="256"/>
      <c r="BB114" s="256"/>
      <c r="BC114" s="256"/>
      <c r="BD114" s="238"/>
      <c r="BE114" s="229" cm="1">
        <f t="array" ref="BE114">IF(ISBLANK(R114), INDEX(Use, $AH114, 4) - AM114*INDEX(Use, $AH114, 6), R114)</f>
        <v>5</v>
      </c>
      <c r="BF114" s="229">
        <f t="shared" si="240"/>
        <v>30</v>
      </c>
      <c r="BG114" s="229">
        <f t="shared" si="241"/>
        <v>13</v>
      </c>
      <c r="BH114" s="229">
        <f t="shared" si="242"/>
        <v>0</v>
      </c>
      <c r="BI114" s="234" cm="1">
        <f t="array" ref="BI114">K114/IF($L114&gt;0, INDEX($AU$23:$BA$77, $L114+20, $AH114), 1)</f>
        <v>0</v>
      </c>
      <c r="BJ114" s="230">
        <f t="shared" si="243"/>
        <v>0</v>
      </c>
      <c r="BK114" s="229">
        <v>35</v>
      </c>
      <c r="BL114" s="230">
        <f t="shared" si="244"/>
        <v>48</v>
      </c>
      <c r="BM114" s="235">
        <f t="shared" si="245"/>
        <v>2.9108720930232557</v>
      </c>
      <c r="BN114" s="235" cm="1">
        <f t="array" ref="BN114">$BI114 * SUMPRODUCT(INDEX($AR$77:$AT$82,,$AI114),INDEX($AU$77:$BA$82,,$AH114), N($AQ$77:$AQ$82&gt;$AO114)) / BM114 / 1000</f>
        <v>0</v>
      </c>
      <c r="BO114" s="232">
        <f t="shared" si="246"/>
        <v>30</v>
      </c>
      <c r="BP114" s="230">
        <f t="shared" si="247"/>
        <v>43</v>
      </c>
      <c r="BQ114" s="235">
        <f t="shared" si="248"/>
        <v>3.2938815789473681</v>
      </c>
      <c r="BR114" s="235" cm="1">
        <f t="array" ref="BR114">$BI114 * IF($AH114&lt;=2,
SUMPRODUCT(INDEX($AR$72:$AT$76,,$AI114), INDEX($AU$72:$BA$76,,$AH114), 1 / ($BB$72:$BB$76*BQ114 + (1-$BB$72:$BB$76)*BM114), N($AQ$72:$AQ$76&gt;$AO114)),
SUMPRODUCT(INDEX($AR$67:$AT$76,,$AI114), INDEX($AU$67:$BA$76,,$AH114), 1 / ($BC$67:$BC$76*BQ114 + (1-$BC$67:$BC$76)*BM114), N($AQ$67:$AQ$76&gt;$AO114))
) / 1000</f>
        <v>0</v>
      </c>
      <c r="BS114" s="232">
        <f t="shared" si="249"/>
        <v>25</v>
      </c>
      <c r="BT114" s="230">
        <f t="shared" si="250"/>
        <v>38</v>
      </c>
      <c r="BU114" s="235">
        <f t="shared" si="251"/>
        <v>3.792954545454545</v>
      </c>
      <c r="BV114" s="235" cm="1">
        <f t="array" ref="BV114">$BI114 * IF($AH114&lt;=2,
SUMPRODUCT(INDEX($AR$67:$AT$71,,$AI114), INDEX($AU$67:$BA$71,,$AH114), 1 / ($BB$67:$BB$71*BU114 + (1-$BB$67:$BB$71)*BQ114), N($AQ$67:$AQ$71&gt;$AO114)),
SUMPRODUCT(INDEX($AR$57:$AT$66,,$AI114), INDEX($AU$57:$BA$66,,$AH114), 1 / ($BC$57:$BC$66*BU114 + (1-$BC$57:$BC$66)*BQ114), N($AQ$57:$AQ$66&gt;$AO114))
) / 1000</f>
        <v>0</v>
      </c>
      <c r="BW114" s="232">
        <f t="shared" si="252"/>
        <v>20</v>
      </c>
      <c r="BX114" s="230">
        <f t="shared" si="253"/>
        <v>33</v>
      </c>
      <c r="BY114" s="235">
        <f t="shared" si="254"/>
        <v>4.4702678571428569</v>
      </c>
      <c r="BZ114" s="235" cm="1">
        <f t="array" ref="BZ114">$BI114 * IF($AH114&lt;=2,
SUMPRODUCT(INDEX($AR$62:$AT$66,,$AI114), INDEX($AU$62:$BA$66,,$AH114), 1 / ($BB$62:$BB$66*BY114 + (1-$BB$62:$BB$66)*BU114), N($AQ$62:$AQ$66&gt;$AO114)),
SUMPRODUCT(INDEX($AR$47:$AT$56,,$AI114), INDEX($AU$47:$BA$56,,$AH114), 1 / ($BC$47:$BC$56*BY114 + (1-$BC$47:$BC$56)*BU114), N($AQ$47:$AQ$56&gt;$AO114))
) / 1000</f>
        <v>0</v>
      </c>
      <c r="CA114" s="235" cm="1">
        <f t="array" ref="CA114">$BI114 * IF($AH114&lt;=2,
SUMPRODUCT(INDEX($AR$23:$AT$61,,$AI114), INDEX($AU$23:$BA$61,,$AH114), 1 / ($BB$23:$BB$61*BY114), N($AQ$23:$AQ$61&gt;$AO114)),
SUMPRODUCT(INDEX($AR$23:$AT$46,,$AI114), INDEX($AU$23:$BA$46,,$AH114), 1 / ($BC$23:$BC$46*BY114), N($AQ$23:$AQ$46&gt;$AO114))
) / 1000</f>
        <v>0</v>
      </c>
      <c r="CB114" s="230">
        <f t="shared" si="255"/>
        <v>0</v>
      </c>
      <c r="CC114" s="238"/>
      <c r="CD114" s="229" cm="1">
        <f t="array" ref="CD114">IF(ISBLANK(Y114), INDEX(Use, $AH114, 4) - AN114*INDEX(Use, $AH114, 6) - (Q114-X114), Y114)</f>
        <v>7</v>
      </c>
      <c r="CE114" s="229">
        <f t="shared" si="256"/>
        <v>32</v>
      </c>
      <c r="CF114" s="230">
        <f t="shared" si="257"/>
        <v>0</v>
      </c>
      <c r="CG114" s="229">
        <v>35</v>
      </c>
      <c r="CH114" s="230">
        <f t="shared" si="258"/>
        <v>48</v>
      </c>
      <c r="CI114" s="235">
        <f t="shared" si="259"/>
        <v>3.0748170731707316</v>
      </c>
      <c r="CJ114" s="235" cm="1">
        <f t="array" ref="CJ114">$BI114 * SUMPRODUCT(INDEX($AR$77:$AT$82,,$AI114),INDEX($AU$77:$BA$82,,$AH114), N($AQ$77:$AQ$82&gt;$AO114)) / CI114 / 1000</f>
        <v>0</v>
      </c>
      <c r="CK114" s="232">
        <f t="shared" si="260"/>
        <v>30</v>
      </c>
      <c r="CL114" s="230">
        <f t="shared" si="261"/>
        <v>43</v>
      </c>
      <c r="CM114" s="235">
        <f t="shared" si="262"/>
        <v>3.5018750000000001</v>
      </c>
      <c r="CN114" s="235" cm="1">
        <f t="array" ref="CN114">$BI114 * IF($AH114&lt;=2,
SUMPRODUCT(INDEX($AR$72:$AT$76,,$AI114), INDEX($AU$72:$BA$76,,$AH114), 1 / ($BB$72:$BB$76*CM114 + (1-$BB$72:$BB$76)*CI114), N($AQ$72:$AQ$76&gt;$AO114)),
SUMPRODUCT(INDEX($AR$67:$AT$76,,$AI114), INDEX($AU$67:$BA$76,,$AH114), 1 / ($BC$67:$BC$76*CM114 + (1-$BC$67:$BC$76)*CI114), N($AQ$67:$AQ$76&gt;$AO114))
) / 1000</f>
        <v>0</v>
      </c>
      <c r="CO114" s="232">
        <f t="shared" si="263"/>
        <v>25</v>
      </c>
      <c r="CP114" s="230">
        <f t="shared" si="264"/>
        <v>38</v>
      </c>
      <c r="CQ114" s="235">
        <f t="shared" si="265"/>
        <v>4.0666935483870965</v>
      </c>
      <c r="CR114" s="235" cm="1">
        <f t="array" ref="CR114">$BI114 * IF($AH114&lt;=2,
SUMPRODUCT(INDEX($AR$67:$AT$71,,$AI114), INDEX($AU$67:$BA$71,,$AH114), 1 / ($BB$67:$BB$71*CQ114 + (1-$BB$67:$BB$71)*CM114), N($AQ$67:$AQ$71&gt;$AO114)),
SUMPRODUCT(INDEX($AR$57:$AT$66,,$AI114), INDEX($AU$57:$BA$66,,$AH114), 1 / ($BC$57:$BC$66*CQ114 + (1-$BC$57:$BC$66)*CM114), N($AQ$57:$AQ$66&gt;$AO114))
) / 1000</f>
        <v>0</v>
      </c>
      <c r="CS114" s="232">
        <f t="shared" si="266"/>
        <v>20</v>
      </c>
      <c r="CT114" s="230">
        <f t="shared" si="267"/>
        <v>33</v>
      </c>
      <c r="CU114" s="235">
        <f t="shared" si="268"/>
        <v>4.8487499999999999</v>
      </c>
      <c r="CV114" s="235" cm="1">
        <f t="array" ref="CV114">$BI114 * IF($AH114&lt;=2,
SUMPRODUCT(INDEX($AR$62:$AT$66,,$AI114), INDEX($AU$62:$BA$66,,$AH114), 1 / ($BB$62:$BB$66*CU114 + (1-$BB$62:$BB$66)*CQ114), N($AQ$62:$AQ$66&gt;$AO114)),
SUMPRODUCT(INDEX($AR$47:$AT$56,,$AI114), INDEX($AU$47:$BA$56,,$AH114), 1 / ($BC$47:$BC$56*CU114 + (1-$BC$47:$BC$56)*CQ114), N($AQ$47:$AQ$56&gt;$AO114))
) / 1000</f>
        <v>0</v>
      </c>
      <c r="CW114" s="235" cm="1">
        <f t="array" ref="CW114">$BI114 * IF($AH114&lt;=2,
SUMPRODUCT(INDEX($AR$23:$AT$61,,$AI114), INDEX($AU$23:$BA$61,,$AH114), 1 / ($BB$23:$BB$61*CU114), N($AQ$23:$AQ$61&gt;$AO114)),
SUMPRODUCT(INDEX($AR$23:$AT$46,,$AI114), INDEX($AU$23:$BA$46,,$AH114), 1 / ($BC$23:$BC$46*CU114), N($AQ$23:$AQ$46&gt;$AO114))
) / 1000</f>
        <v>0</v>
      </c>
      <c r="CX114" s="230">
        <f t="shared" si="269"/>
        <v>0</v>
      </c>
      <c r="CY114" s="238"/>
    </row>
    <row r="115" spans="1:103" s="76" customFormat="1" ht="14.25" customHeight="1" x14ac:dyDescent="0.2">
      <c r="A115" s="231" t="b">
        <f t="shared" si="229"/>
        <v>0</v>
      </c>
      <c r="B115" s="245">
        <v>93</v>
      </c>
      <c r="C115" s="258"/>
      <c r="D115" s="258"/>
      <c r="E115" s="246"/>
      <c r="F115" s="247" t="str">
        <f>IF(ISBLANK(E115), "", VLOOKUP(E115, Z!$A$2:$C$4127, 3, FALSE))</f>
        <v/>
      </c>
      <c r="G115" s="248"/>
      <c r="H115" s="248"/>
      <c r="I115" s="249"/>
      <c r="J115" s="250"/>
      <c r="K115" s="259"/>
      <c r="L115" s="260"/>
      <c r="M115" s="252" t="str" cm="1">
        <f t="array" ref="M115">INDEX(Trad, 53, $A$20)</f>
        <v>Verschmutzt</v>
      </c>
      <c r="N115" s="253"/>
      <c r="O115" s="253"/>
      <c r="P115" s="254"/>
      <c r="Q115" s="251"/>
      <c r="R115" s="251"/>
      <c r="S115" s="264">
        <f t="shared" si="235"/>
        <v>0</v>
      </c>
      <c r="T115" s="252" t="str" cm="1">
        <f t="array" ref="T115">INDEX(Trad, 52, $A$20)</f>
        <v>Sauber</v>
      </c>
      <c r="U115" s="253"/>
      <c r="V115" s="253"/>
      <c r="W115" s="254"/>
      <c r="X115" s="251"/>
      <c r="Y115" s="251"/>
      <c r="Z115" s="264">
        <f t="shared" si="236"/>
        <v>0</v>
      </c>
      <c r="AA115" s="261"/>
      <c r="AB115" s="258"/>
      <c r="AC115" s="246"/>
      <c r="AD115" s="247" t="str">
        <f>IF(ISBLANK(AC115), "", VLOOKUP(AC115, Z!$A$2:$C$4127, 3, FALSE))</f>
        <v/>
      </c>
      <c r="AE115" s="262"/>
      <c r="AF115" s="263">
        <f t="shared" si="230"/>
        <v>0</v>
      </c>
      <c r="AG115" s="238"/>
      <c r="AH115" s="229">
        <f t="shared" ref="AH115" si="348">IF(ISBLANK(H115), 1, IFERROR(MATCH(H115, INDEX(Use,,1), 0), IFERROR(MATCH(H115, INDEX(Use,,2), 0), MATCH(H115, INDEX(Use,,3), 0))))</f>
        <v>1</v>
      </c>
      <c r="AI115" s="229">
        <f t="shared" ref="AI115" si="349">IF(ISBLANK(G115), 1, IFERROR(MATCH(G115, INDEX(Loc,,1), 0), IFERROR(MATCH(G115, INDEX(Loc,,2), 0), MATCH(G115, INDEX(Loc,,3), 0))))</f>
        <v>1</v>
      </c>
      <c r="AJ115" s="229">
        <f t="shared" ref="AJ115" si="350">_xlfn.IFNA(IF(IFERROR(MATCH(I115, INDEX(Medium,,1), 0), IFERROR(MATCH(I115, INDEX(Medium,,2), 0), MATCH(I115, INDEX(Medium,,3), 0))) = 2, 1, 0), 0)</f>
        <v>0</v>
      </c>
      <c r="AK115" s="229">
        <v>0</v>
      </c>
      <c r="AL115" s="229">
        <v>0</v>
      </c>
      <c r="AM115" s="229">
        <v>1</v>
      </c>
      <c r="AN115" s="229">
        <v>0</v>
      </c>
      <c r="AO115" s="229">
        <f t="shared" si="234"/>
        <v>-100</v>
      </c>
      <c r="AP115" s="238"/>
      <c r="AQ115" s="255"/>
      <c r="AR115" s="255"/>
      <c r="AS115" s="256"/>
      <c r="AT115" s="256"/>
      <c r="AU115" s="256"/>
      <c r="AV115" s="256"/>
      <c r="AW115" s="256"/>
      <c r="AX115" s="256"/>
      <c r="AY115" s="256"/>
      <c r="AZ115" s="256"/>
      <c r="BA115" s="256"/>
      <c r="BB115" s="256"/>
      <c r="BC115" s="256"/>
      <c r="BD115" s="238"/>
      <c r="BE115" s="229" cm="1">
        <f t="array" ref="BE115">IF(ISBLANK(R115), INDEX(Use, $AH115, 4) - AM115*INDEX(Use, $AH115, 6), R115)</f>
        <v>5</v>
      </c>
      <c r="BF115" s="229">
        <f t="shared" si="240"/>
        <v>30</v>
      </c>
      <c r="BG115" s="229">
        <f t="shared" si="241"/>
        <v>13</v>
      </c>
      <c r="BH115" s="229">
        <f t="shared" si="242"/>
        <v>0</v>
      </c>
      <c r="BI115" s="234" cm="1">
        <f t="array" ref="BI115">K115/IF($L115&gt;0, INDEX($AU$23:$BA$77, $L115+20, $AH115), 1)</f>
        <v>0</v>
      </c>
      <c r="BJ115" s="230">
        <f t="shared" si="243"/>
        <v>0</v>
      </c>
      <c r="BK115" s="229">
        <v>35</v>
      </c>
      <c r="BL115" s="230">
        <f t="shared" si="244"/>
        <v>48</v>
      </c>
      <c r="BM115" s="235">
        <f t="shared" si="245"/>
        <v>2.9108720930232557</v>
      </c>
      <c r="BN115" s="235" cm="1">
        <f t="array" ref="BN115">$BI115 * SUMPRODUCT(INDEX($AR$77:$AT$82,,$AI115),INDEX($AU$77:$BA$82,,$AH115), N($AQ$77:$AQ$82&gt;$AO115)) / BM115 / 1000</f>
        <v>0</v>
      </c>
      <c r="BO115" s="232">
        <f t="shared" si="246"/>
        <v>30</v>
      </c>
      <c r="BP115" s="230">
        <f t="shared" si="247"/>
        <v>43</v>
      </c>
      <c r="BQ115" s="235">
        <f t="shared" si="248"/>
        <v>3.2938815789473681</v>
      </c>
      <c r="BR115" s="235" cm="1">
        <f t="array" ref="BR115">$BI115 * IF($AH115&lt;=2,
SUMPRODUCT(INDEX($AR$72:$AT$76,,$AI115), INDEX($AU$72:$BA$76,,$AH115), 1 / ($BB$72:$BB$76*BQ115 + (1-$BB$72:$BB$76)*BM115), N($AQ$72:$AQ$76&gt;$AO115)),
SUMPRODUCT(INDEX($AR$67:$AT$76,,$AI115), INDEX($AU$67:$BA$76,,$AH115), 1 / ($BC$67:$BC$76*BQ115 + (1-$BC$67:$BC$76)*BM115), N($AQ$67:$AQ$76&gt;$AO115))
) / 1000</f>
        <v>0</v>
      </c>
      <c r="BS115" s="232">
        <f t="shared" si="249"/>
        <v>25</v>
      </c>
      <c r="BT115" s="230">
        <f t="shared" si="250"/>
        <v>38</v>
      </c>
      <c r="BU115" s="235">
        <f t="shared" si="251"/>
        <v>3.792954545454545</v>
      </c>
      <c r="BV115" s="235" cm="1">
        <f t="array" ref="BV115">$BI115 * IF($AH115&lt;=2,
SUMPRODUCT(INDEX($AR$67:$AT$71,,$AI115), INDEX($AU$67:$BA$71,,$AH115), 1 / ($BB$67:$BB$71*BU115 + (1-$BB$67:$BB$71)*BQ115), N($AQ$67:$AQ$71&gt;$AO115)),
SUMPRODUCT(INDEX($AR$57:$AT$66,,$AI115), INDEX($AU$57:$BA$66,,$AH115), 1 / ($BC$57:$BC$66*BU115 + (1-$BC$57:$BC$66)*BQ115), N($AQ$57:$AQ$66&gt;$AO115))
) / 1000</f>
        <v>0</v>
      </c>
      <c r="BW115" s="232">
        <f t="shared" si="252"/>
        <v>20</v>
      </c>
      <c r="BX115" s="230">
        <f t="shared" si="253"/>
        <v>33</v>
      </c>
      <c r="BY115" s="235">
        <f t="shared" si="254"/>
        <v>4.4702678571428569</v>
      </c>
      <c r="BZ115" s="235" cm="1">
        <f t="array" ref="BZ115">$BI115 * IF($AH115&lt;=2,
SUMPRODUCT(INDEX($AR$62:$AT$66,,$AI115), INDEX($AU$62:$BA$66,,$AH115), 1 / ($BB$62:$BB$66*BY115 + (1-$BB$62:$BB$66)*BU115), N($AQ$62:$AQ$66&gt;$AO115)),
SUMPRODUCT(INDEX($AR$47:$AT$56,,$AI115), INDEX($AU$47:$BA$56,,$AH115), 1 / ($BC$47:$BC$56*BY115 + (1-$BC$47:$BC$56)*BU115), N($AQ$47:$AQ$56&gt;$AO115))
) / 1000</f>
        <v>0</v>
      </c>
      <c r="CA115" s="235" cm="1">
        <f t="array" ref="CA115">$BI115 * IF($AH115&lt;=2,
SUMPRODUCT(INDEX($AR$23:$AT$61,,$AI115), INDEX($AU$23:$BA$61,,$AH115), 1 / ($BB$23:$BB$61*BY115), N($AQ$23:$AQ$61&gt;$AO115)),
SUMPRODUCT(INDEX($AR$23:$AT$46,,$AI115), INDEX($AU$23:$BA$46,,$AH115), 1 / ($BC$23:$BC$46*BY115), N($AQ$23:$AQ$46&gt;$AO115))
) / 1000</f>
        <v>0</v>
      </c>
      <c r="CB115" s="230">
        <f t="shared" si="255"/>
        <v>0</v>
      </c>
      <c r="CC115" s="238"/>
      <c r="CD115" s="229" cm="1">
        <f t="array" ref="CD115">IF(ISBLANK(Y115), INDEX(Use, $AH115, 4) - AN115*INDEX(Use, $AH115, 6) - (Q115-X115), Y115)</f>
        <v>7</v>
      </c>
      <c r="CE115" s="229">
        <f t="shared" si="256"/>
        <v>32</v>
      </c>
      <c r="CF115" s="230">
        <f t="shared" si="257"/>
        <v>0</v>
      </c>
      <c r="CG115" s="229">
        <v>35</v>
      </c>
      <c r="CH115" s="230">
        <f t="shared" si="258"/>
        <v>48</v>
      </c>
      <c r="CI115" s="235">
        <f t="shared" si="259"/>
        <v>3.0748170731707316</v>
      </c>
      <c r="CJ115" s="235" cm="1">
        <f t="array" ref="CJ115">$BI115 * SUMPRODUCT(INDEX($AR$77:$AT$82,,$AI115),INDEX($AU$77:$BA$82,,$AH115), N($AQ$77:$AQ$82&gt;$AO115)) / CI115 / 1000</f>
        <v>0</v>
      </c>
      <c r="CK115" s="232">
        <f t="shared" si="260"/>
        <v>30</v>
      </c>
      <c r="CL115" s="230">
        <f t="shared" si="261"/>
        <v>43</v>
      </c>
      <c r="CM115" s="235">
        <f t="shared" si="262"/>
        <v>3.5018750000000001</v>
      </c>
      <c r="CN115" s="235" cm="1">
        <f t="array" ref="CN115">$BI115 * IF($AH115&lt;=2,
SUMPRODUCT(INDEX($AR$72:$AT$76,,$AI115), INDEX($AU$72:$BA$76,,$AH115), 1 / ($BB$72:$BB$76*CM115 + (1-$BB$72:$BB$76)*CI115), N($AQ$72:$AQ$76&gt;$AO115)),
SUMPRODUCT(INDEX($AR$67:$AT$76,,$AI115), INDEX($AU$67:$BA$76,,$AH115), 1 / ($BC$67:$BC$76*CM115 + (1-$BC$67:$BC$76)*CI115), N($AQ$67:$AQ$76&gt;$AO115))
) / 1000</f>
        <v>0</v>
      </c>
      <c r="CO115" s="232">
        <f t="shared" si="263"/>
        <v>25</v>
      </c>
      <c r="CP115" s="230">
        <f t="shared" si="264"/>
        <v>38</v>
      </c>
      <c r="CQ115" s="235">
        <f t="shared" si="265"/>
        <v>4.0666935483870965</v>
      </c>
      <c r="CR115" s="235" cm="1">
        <f t="array" ref="CR115">$BI115 * IF($AH115&lt;=2,
SUMPRODUCT(INDEX($AR$67:$AT$71,,$AI115), INDEX($AU$67:$BA$71,,$AH115), 1 / ($BB$67:$BB$71*CQ115 + (1-$BB$67:$BB$71)*CM115), N($AQ$67:$AQ$71&gt;$AO115)),
SUMPRODUCT(INDEX($AR$57:$AT$66,,$AI115), INDEX($AU$57:$BA$66,,$AH115), 1 / ($BC$57:$BC$66*CQ115 + (1-$BC$57:$BC$66)*CM115), N($AQ$57:$AQ$66&gt;$AO115))
) / 1000</f>
        <v>0</v>
      </c>
      <c r="CS115" s="232">
        <f t="shared" si="266"/>
        <v>20</v>
      </c>
      <c r="CT115" s="230">
        <f t="shared" si="267"/>
        <v>33</v>
      </c>
      <c r="CU115" s="235">
        <f t="shared" si="268"/>
        <v>4.8487499999999999</v>
      </c>
      <c r="CV115" s="235" cm="1">
        <f t="array" ref="CV115">$BI115 * IF($AH115&lt;=2,
SUMPRODUCT(INDEX($AR$62:$AT$66,,$AI115), INDEX($AU$62:$BA$66,,$AH115), 1 / ($BB$62:$BB$66*CU115 + (1-$BB$62:$BB$66)*CQ115), N($AQ$62:$AQ$66&gt;$AO115)),
SUMPRODUCT(INDEX($AR$47:$AT$56,,$AI115), INDEX($AU$47:$BA$56,,$AH115), 1 / ($BC$47:$BC$56*CU115 + (1-$BC$47:$BC$56)*CQ115), N($AQ$47:$AQ$56&gt;$AO115))
) / 1000</f>
        <v>0</v>
      </c>
      <c r="CW115" s="235" cm="1">
        <f t="array" ref="CW115">$BI115 * IF($AH115&lt;=2,
SUMPRODUCT(INDEX($AR$23:$AT$61,,$AI115), INDEX($AU$23:$BA$61,,$AH115), 1 / ($BB$23:$BB$61*CU115), N($AQ$23:$AQ$61&gt;$AO115)),
SUMPRODUCT(INDEX($AR$23:$AT$46,,$AI115), INDEX($AU$23:$BA$46,,$AH115), 1 / ($BC$23:$BC$46*CU115), N($AQ$23:$AQ$46&gt;$AO115))
) / 1000</f>
        <v>0</v>
      </c>
      <c r="CX115" s="230">
        <f t="shared" si="269"/>
        <v>0</v>
      </c>
      <c r="CY115" s="238"/>
    </row>
    <row r="116" spans="1:103" s="76" customFormat="1" ht="14.25" customHeight="1" x14ac:dyDescent="0.2">
      <c r="A116" s="231" t="b">
        <f t="shared" si="229"/>
        <v>0</v>
      </c>
      <c r="B116" s="245">
        <v>94</v>
      </c>
      <c r="C116" s="258"/>
      <c r="D116" s="258"/>
      <c r="E116" s="246"/>
      <c r="F116" s="247" t="str">
        <f>IF(ISBLANK(E116), "", VLOOKUP(E116, Z!$A$2:$C$4127, 3, FALSE))</f>
        <v/>
      </c>
      <c r="G116" s="248"/>
      <c r="H116" s="248"/>
      <c r="I116" s="249"/>
      <c r="J116" s="250"/>
      <c r="K116" s="259"/>
      <c r="L116" s="260"/>
      <c r="M116" s="252" t="str" cm="1">
        <f t="array" ref="M116">INDEX(Trad, 53, $A$20)</f>
        <v>Verschmutzt</v>
      </c>
      <c r="N116" s="253"/>
      <c r="O116" s="253"/>
      <c r="P116" s="254"/>
      <c r="Q116" s="251"/>
      <c r="R116" s="251"/>
      <c r="S116" s="264">
        <f t="shared" si="235"/>
        <v>0</v>
      </c>
      <c r="T116" s="252" t="str" cm="1">
        <f t="array" ref="T116">INDEX(Trad, 52, $A$20)</f>
        <v>Sauber</v>
      </c>
      <c r="U116" s="253"/>
      <c r="V116" s="253"/>
      <c r="W116" s="254"/>
      <c r="X116" s="251"/>
      <c r="Y116" s="251"/>
      <c r="Z116" s="264">
        <f t="shared" si="236"/>
        <v>0</v>
      </c>
      <c r="AA116" s="261"/>
      <c r="AB116" s="258"/>
      <c r="AC116" s="246"/>
      <c r="AD116" s="247" t="str">
        <f>IF(ISBLANK(AC116), "", VLOOKUP(AC116, Z!$A$2:$C$4127, 3, FALSE))</f>
        <v/>
      </c>
      <c r="AE116" s="262"/>
      <c r="AF116" s="263">
        <f t="shared" si="230"/>
        <v>0</v>
      </c>
      <c r="AG116" s="238"/>
      <c r="AH116" s="229">
        <f t="shared" ref="AH116" si="351">IF(ISBLANK(H116), 1, IFERROR(MATCH(H116, INDEX(Use,,1), 0), IFERROR(MATCH(H116, INDEX(Use,,2), 0), MATCH(H116, INDEX(Use,,3), 0))))</f>
        <v>1</v>
      </c>
      <c r="AI116" s="229">
        <f t="shared" ref="AI116" si="352">IF(ISBLANK(G116), 1, IFERROR(MATCH(G116, INDEX(Loc,,1), 0), IFERROR(MATCH(G116, INDEX(Loc,,2), 0), MATCH(G116, INDEX(Loc,,3), 0))))</f>
        <v>1</v>
      </c>
      <c r="AJ116" s="229">
        <f t="shared" ref="AJ116" si="353">_xlfn.IFNA(IF(IFERROR(MATCH(I116, INDEX(Medium,,1), 0), IFERROR(MATCH(I116, INDEX(Medium,,2), 0), MATCH(I116, INDEX(Medium,,3), 0))) = 2, 1, 0), 0)</f>
        <v>0</v>
      </c>
      <c r="AK116" s="229">
        <v>0</v>
      </c>
      <c r="AL116" s="229">
        <v>0</v>
      </c>
      <c r="AM116" s="229">
        <v>1</v>
      </c>
      <c r="AN116" s="229">
        <v>0</v>
      </c>
      <c r="AO116" s="229">
        <f t="shared" si="234"/>
        <v>-100</v>
      </c>
      <c r="AP116" s="238"/>
      <c r="AQ116" s="255"/>
      <c r="AR116" s="255"/>
      <c r="AS116" s="256"/>
      <c r="AT116" s="256"/>
      <c r="AU116" s="256"/>
      <c r="AV116" s="256"/>
      <c r="AW116" s="256"/>
      <c r="AX116" s="256"/>
      <c r="AY116" s="256"/>
      <c r="AZ116" s="256"/>
      <c r="BA116" s="256"/>
      <c r="BB116" s="256"/>
      <c r="BC116" s="256"/>
      <c r="BD116" s="238"/>
      <c r="BE116" s="229" cm="1">
        <f t="array" ref="BE116">IF(ISBLANK(R116), INDEX(Use, $AH116, 4) - AM116*INDEX(Use, $AH116, 6), R116)</f>
        <v>5</v>
      </c>
      <c r="BF116" s="229">
        <f t="shared" si="240"/>
        <v>30</v>
      </c>
      <c r="BG116" s="229">
        <f t="shared" si="241"/>
        <v>13</v>
      </c>
      <c r="BH116" s="229">
        <f t="shared" si="242"/>
        <v>0</v>
      </c>
      <c r="BI116" s="234" cm="1">
        <f t="array" ref="BI116">K116/IF($L116&gt;0, INDEX($AU$23:$BA$77, $L116+20, $AH116), 1)</f>
        <v>0</v>
      </c>
      <c r="BJ116" s="230">
        <f t="shared" si="243"/>
        <v>0</v>
      </c>
      <c r="BK116" s="229">
        <v>35</v>
      </c>
      <c r="BL116" s="230">
        <f t="shared" si="244"/>
        <v>48</v>
      </c>
      <c r="BM116" s="235">
        <f t="shared" si="245"/>
        <v>2.9108720930232557</v>
      </c>
      <c r="BN116" s="235" cm="1">
        <f t="array" ref="BN116">$BI116 * SUMPRODUCT(INDEX($AR$77:$AT$82,,$AI116),INDEX($AU$77:$BA$82,,$AH116), N($AQ$77:$AQ$82&gt;$AO116)) / BM116 / 1000</f>
        <v>0</v>
      </c>
      <c r="BO116" s="232">
        <f t="shared" si="246"/>
        <v>30</v>
      </c>
      <c r="BP116" s="230">
        <f t="shared" si="247"/>
        <v>43</v>
      </c>
      <c r="BQ116" s="235">
        <f t="shared" si="248"/>
        <v>3.2938815789473681</v>
      </c>
      <c r="BR116" s="235" cm="1">
        <f t="array" ref="BR116">$BI116 * IF($AH116&lt;=2,
SUMPRODUCT(INDEX($AR$72:$AT$76,,$AI116), INDEX($AU$72:$BA$76,,$AH116), 1 / ($BB$72:$BB$76*BQ116 + (1-$BB$72:$BB$76)*BM116), N($AQ$72:$AQ$76&gt;$AO116)),
SUMPRODUCT(INDEX($AR$67:$AT$76,,$AI116), INDEX($AU$67:$BA$76,,$AH116), 1 / ($BC$67:$BC$76*BQ116 + (1-$BC$67:$BC$76)*BM116), N($AQ$67:$AQ$76&gt;$AO116))
) / 1000</f>
        <v>0</v>
      </c>
      <c r="BS116" s="232">
        <f t="shared" si="249"/>
        <v>25</v>
      </c>
      <c r="BT116" s="230">
        <f t="shared" si="250"/>
        <v>38</v>
      </c>
      <c r="BU116" s="235">
        <f t="shared" si="251"/>
        <v>3.792954545454545</v>
      </c>
      <c r="BV116" s="235" cm="1">
        <f t="array" ref="BV116">$BI116 * IF($AH116&lt;=2,
SUMPRODUCT(INDEX($AR$67:$AT$71,,$AI116), INDEX($AU$67:$BA$71,,$AH116), 1 / ($BB$67:$BB$71*BU116 + (1-$BB$67:$BB$71)*BQ116), N($AQ$67:$AQ$71&gt;$AO116)),
SUMPRODUCT(INDEX($AR$57:$AT$66,,$AI116), INDEX($AU$57:$BA$66,,$AH116), 1 / ($BC$57:$BC$66*BU116 + (1-$BC$57:$BC$66)*BQ116), N($AQ$57:$AQ$66&gt;$AO116))
) / 1000</f>
        <v>0</v>
      </c>
      <c r="BW116" s="232">
        <f t="shared" si="252"/>
        <v>20</v>
      </c>
      <c r="BX116" s="230">
        <f t="shared" si="253"/>
        <v>33</v>
      </c>
      <c r="BY116" s="235">
        <f t="shared" si="254"/>
        <v>4.4702678571428569</v>
      </c>
      <c r="BZ116" s="235" cm="1">
        <f t="array" ref="BZ116">$BI116 * IF($AH116&lt;=2,
SUMPRODUCT(INDEX($AR$62:$AT$66,,$AI116), INDEX($AU$62:$BA$66,,$AH116), 1 / ($BB$62:$BB$66*BY116 + (1-$BB$62:$BB$66)*BU116), N($AQ$62:$AQ$66&gt;$AO116)),
SUMPRODUCT(INDEX($AR$47:$AT$56,,$AI116), INDEX($AU$47:$BA$56,,$AH116), 1 / ($BC$47:$BC$56*BY116 + (1-$BC$47:$BC$56)*BU116), N($AQ$47:$AQ$56&gt;$AO116))
) / 1000</f>
        <v>0</v>
      </c>
      <c r="CA116" s="235" cm="1">
        <f t="array" ref="CA116">$BI116 * IF($AH116&lt;=2,
SUMPRODUCT(INDEX($AR$23:$AT$61,,$AI116), INDEX($AU$23:$BA$61,,$AH116), 1 / ($BB$23:$BB$61*BY116), N($AQ$23:$AQ$61&gt;$AO116)),
SUMPRODUCT(INDEX($AR$23:$AT$46,,$AI116), INDEX($AU$23:$BA$46,,$AH116), 1 / ($BC$23:$BC$46*BY116), N($AQ$23:$AQ$46&gt;$AO116))
) / 1000</f>
        <v>0</v>
      </c>
      <c r="CB116" s="230">
        <f t="shared" si="255"/>
        <v>0</v>
      </c>
      <c r="CC116" s="238"/>
      <c r="CD116" s="229" cm="1">
        <f t="array" ref="CD116">IF(ISBLANK(Y116), INDEX(Use, $AH116, 4) - AN116*INDEX(Use, $AH116, 6) - (Q116-X116), Y116)</f>
        <v>7</v>
      </c>
      <c r="CE116" s="229">
        <f t="shared" si="256"/>
        <v>32</v>
      </c>
      <c r="CF116" s="230">
        <f t="shared" si="257"/>
        <v>0</v>
      </c>
      <c r="CG116" s="229">
        <v>35</v>
      </c>
      <c r="CH116" s="230">
        <f t="shared" si="258"/>
        <v>48</v>
      </c>
      <c r="CI116" s="235">
        <f t="shared" si="259"/>
        <v>3.0748170731707316</v>
      </c>
      <c r="CJ116" s="235" cm="1">
        <f t="array" ref="CJ116">$BI116 * SUMPRODUCT(INDEX($AR$77:$AT$82,,$AI116),INDEX($AU$77:$BA$82,,$AH116), N($AQ$77:$AQ$82&gt;$AO116)) / CI116 / 1000</f>
        <v>0</v>
      </c>
      <c r="CK116" s="232">
        <f t="shared" si="260"/>
        <v>30</v>
      </c>
      <c r="CL116" s="230">
        <f t="shared" si="261"/>
        <v>43</v>
      </c>
      <c r="CM116" s="235">
        <f t="shared" si="262"/>
        <v>3.5018750000000001</v>
      </c>
      <c r="CN116" s="235" cm="1">
        <f t="array" ref="CN116">$BI116 * IF($AH116&lt;=2,
SUMPRODUCT(INDEX($AR$72:$AT$76,,$AI116), INDEX($AU$72:$BA$76,,$AH116), 1 / ($BB$72:$BB$76*CM116 + (1-$BB$72:$BB$76)*CI116), N($AQ$72:$AQ$76&gt;$AO116)),
SUMPRODUCT(INDEX($AR$67:$AT$76,,$AI116), INDEX($AU$67:$BA$76,,$AH116), 1 / ($BC$67:$BC$76*CM116 + (1-$BC$67:$BC$76)*CI116), N($AQ$67:$AQ$76&gt;$AO116))
) / 1000</f>
        <v>0</v>
      </c>
      <c r="CO116" s="232">
        <f t="shared" si="263"/>
        <v>25</v>
      </c>
      <c r="CP116" s="230">
        <f t="shared" si="264"/>
        <v>38</v>
      </c>
      <c r="CQ116" s="235">
        <f t="shared" si="265"/>
        <v>4.0666935483870965</v>
      </c>
      <c r="CR116" s="235" cm="1">
        <f t="array" ref="CR116">$BI116 * IF($AH116&lt;=2,
SUMPRODUCT(INDEX($AR$67:$AT$71,,$AI116), INDEX($AU$67:$BA$71,,$AH116), 1 / ($BB$67:$BB$71*CQ116 + (1-$BB$67:$BB$71)*CM116), N($AQ$67:$AQ$71&gt;$AO116)),
SUMPRODUCT(INDEX($AR$57:$AT$66,,$AI116), INDEX($AU$57:$BA$66,,$AH116), 1 / ($BC$57:$BC$66*CQ116 + (1-$BC$57:$BC$66)*CM116), N($AQ$57:$AQ$66&gt;$AO116))
) / 1000</f>
        <v>0</v>
      </c>
      <c r="CS116" s="232">
        <f t="shared" si="266"/>
        <v>20</v>
      </c>
      <c r="CT116" s="230">
        <f t="shared" si="267"/>
        <v>33</v>
      </c>
      <c r="CU116" s="235">
        <f t="shared" si="268"/>
        <v>4.8487499999999999</v>
      </c>
      <c r="CV116" s="235" cm="1">
        <f t="array" ref="CV116">$BI116 * IF($AH116&lt;=2,
SUMPRODUCT(INDEX($AR$62:$AT$66,,$AI116), INDEX($AU$62:$BA$66,,$AH116), 1 / ($BB$62:$BB$66*CU116 + (1-$BB$62:$BB$66)*CQ116), N($AQ$62:$AQ$66&gt;$AO116)),
SUMPRODUCT(INDEX($AR$47:$AT$56,,$AI116), INDEX($AU$47:$BA$56,,$AH116), 1 / ($BC$47:$BC$56*CU116 + (1-$BC$47:$BC$56)*CQ116), N($AQ$47:$AQ$56&gt;$AO116))
) / 1000</f>
        <v>0</v>
      </c>
      <c r="CW116" s="235" cm="1">
        <f t="array" ref="CW116">$BI116 * IF($AH116&lt;=2,
SUMPRODUCT(INDEX($AR$23:$AT$61,,$AI116), INDEX($AU$23:$BA$61,,$AH116), 1 / ($BB$23:$BB$61*CU116), N($AQ$23:$AQ$61&gt;$AO116)),
SUMPRODUCT(INDEX($AR$23:$AT$46,,$AI116), INDEX($AU$23:$BA$46,,$AH116), 1 / ($BC$23:$BC$46*CU116), N($AQ$23:$AQ$46&gt;$AO116))
) / 1000</f>
        <v>0</v>
      </c>
      <c r="CX116" s="230">
        <f t="shared" si="269"/>
        <v>0</v>
      </c>
      <c r="CY116" s="238"/>
    </row>
    <row r="117" spans="1:103" s="76" customFormat="1" ht="14.25" customHeight="1" x14ac:dyDescent="0.2">
      <c r="A117" s="231" t="b">
        <f t="shared" si="229"/>
        <v>0</v>
      </c>
      <c r="B117" s="245">
        <v>95</v>
      </c>
      <c r="C117" s="258"/>
      <c r="D117" s="258"/>
      <c r="E117" s="246"/>
      <c r="F117" s="247" t="str">
        <f>IF(ISBLANK(E117), "", VLOOKUP(E117, Z!$A$2:$C$4127, 3, FALSE))</f>
        <v/>
      </c>
      <c r="G117" s="248"/>
      <c r="H117" s="248"/>
      <c r="I117" s="249"/>
      <c r="J117" s="250"/>
      <c r="K117" s="259"/>
      <c r="L117" s="260"/>
      <c r="M117" s="252" t="str" cm="1">
        <f t="array" ref="M117">INDEX(Trad, 53, $A$20)</f>
        <v>Verschmutzt</v>
      </c>
      <c r="N117" s="253"/>
      <c r="O117" s="253"/>
      <c r="P117" s="254"/>
      <c r="Q117" s="251"/>
      <c r="R117" s="251"/>
      <c r="S117" s="264">
        <f t="shared" si="235"/>
        <v>0</v>
      </c>
      <c r="T117" s="252" t="str" cm="1">
        <f t="array" ref="T117">INDEX(Trad, 52, $A$20)</f>
        <v>Sauber</v>
      </c>
      <c r="U117" s="253"/>
      <c r="V117" s="253"/>
      <c r="W117" s="254"/>
      <c r="X117" s="251"/>
      <c r="Y117" s="251"/>
      <c r="Z117" s="264">
        <f t="shared" si="236"/>
        <v>0</v>
      </c>
      <c r="AA117" s="261"/>
      <c r="AB117" s="258"/>
      <c r="AC117" s="246"/>
      <c r="AD117" s="247" t="str">
        <f>IF(ISBLANK(AC117), "", VLOOKUP(AC117, Z!$A$2:$C$4127, 3, FALSE))</f>
        <v/>
      </c>
      <c r="AE117" s="262"/>
      <c r="AF117" s="263">
        <f t="shared" si="230"/>
        <v>0</v>
      </c>
      <c r="AG117" s="238"/>
      <c r="AH117" s="229">
        <f t="shared" ref="AH117" si="354">IF(ISBLANK(H117), 1, IFERROR(MATCH(H117, INDEX(Use,,1), 0), IFERROR(MATCH(H117, INDEX(Use,,2), 0), MATCH(H117, INDEX(Use,,3), 0))))</f>
        <v>1</v>
      </c>
      <c r="AI117" s="229">
        <f t="shared" ref="AI117" si="355">IF(ISBLANK(G117), 1, IFERROR(MATCH(G117, INDEX(Loc,,1), 0), IFERROR(MATCH(G117, INDEX(Loc,,2), 0), MATCH(G117, INDEX(Loc,,3), 0))))</f>
        <v>1</v>
      </c>
      <c r="AJ117" s="229">
        <f t="shared" ref="AJ117" si="356">_xlfn.IFNA(IF(IFERROR(MATCH(I117, INDEX(Medium,,1), 0), IFERROR(MATCH(I117, INDEX(Medium,,2), 0), MATCH(I117, INDEX(Medium,,3), 0))) = 2, 1, 0), 0)</f>
        <v>0</v>
      </c>
      <c r="AK117" s="229">
        <v>0</v>
      </c>
      <c r="AL117" s="229">
        <v>0</v>
      </c>
      <c r="AM117" s="229">
        <v>1</v>
      </c>
      <c r="AN117" s="229">
        <v>0</v>
      </c>
      <c r="AO117" s="229">
        <f t="shared" si="234"/>
        <v>-100</v>
      </c>
      <c r="AP117" s="238"/>
      <c r="AQ117" s="255"/>
      <c r="AR117" s="255"/>
      <c r="AS117" s="256"/>
      <c r="AT117" s="256"/>
      <c r="AU117" s="256"/>
      <c r="AV117" s="256"/>
      <c r="AW117" s="256"/>
      <c r="AX117" s="256"/>
      <c r="AY117" s="256"/>
      <c r="AZ117" s="256"/>
      <c r="BA117" s="256"/>
      <c r="BB117" s="256"/>
      <c r="BC117" s="256"/>
      <c r="BD117" s="238"/>
      <c r="BE117" s="229" cm="1">
        <f t="array" ref="BE117">IF(ISBLANK(R117), INDEX(Use, $AH117, 4) - AM117*INDEX(Use, $AH117, 6), R117)</f>
        <v>5</v>
      </c>
      <c r="BF117" s="229">
        <f t="shared" si="240"/>
        <v>30</v>
      </c>
      <c r="BG117" s="229">
        <f t="shared" si="241"/>
        <v>13</v>
      </c>
      <c r="BH117" s="229">
        <f t="shared" si="242"/>
        <v>0</v>
      </c>
      <c r="BI117" s="234" cm="1">
        <f t="array" ref="BI117">K117/IF($L117&gt;0, INDEX($AU$23:$BA$77, $L117+20, $AH117), 1)</f>
        <v>0</v>
      </c>
      <c r="BJ117" s="230">
        <f t="shared" si="243"/>
        <v>0</v>
      </c>
      <c r="BK117" s="229">
        <v>35</v>
      </c>
      <c r="BL117" s="230">
        <f t="shared" si="244"/>
        <v>48</v>
      </c>
      <c r="BM117" s="235">
        <f t="shared" si="245"/>
        <v>2.9108720930232557</v>
      </c>
      <c r="BN117" s="235" cm="1">
        <f t="array" ref="BN117">$BI117 * SUMPRODUCT(INDEX($AR$77:$AT$82,,$AI117),INDEX($AU$77:$BA$82,,$AH117), N($AQ$77:$AQ$82&gt;$AO117)) / BM117 / 1000</f>
        <v>0</v>
      </c>
      <c r="BO117" s="232">
        <f t="shared" si="246"/>
        <v>30</v>
      </c>
      <c r="BP117" s="230">
        <f t="shared" si="247"/>
        <v>43</v>
      </c>
      <c r="BQ117" s="235">
        <f t="shared" si="248"/>
        <v>3.2938815789473681</v>
      </c>
      <c r="BR117" s="235" cm="1">
        <f t="array" ref="BR117">$BI117 * IF($AH117&lt;=2,
SUMPRODUCT(INDEX($AR$72:$AT$76,,$AI117), INDEX($AU$72:$BA$76,,$AH117), 1 / ($BB$72:$BB$76*BQ117 + (1-$BB$72:$BB$76)*BM117), N($AQ$72:$AQ$76&gt;$AO117)),
SUMPRODUCT(INDEX($AR$67:$AT$76,,$AI117), INDEX($AU$67:$BA$76,,$AH117), 1 / ($BC$67:$BC$76*BQ117 + (1-$BC$67:$BC$76)*BM117), N($AQ$67:$AQ$76&gt;$AO117))
) / 1000</f>
        <v>0</v>
      </c>
      <c r="BS117" s="232">
        <f t="shared" si="249"/>
        <v>25</v>
      </c>
      <c r="BT117" s="230">
        <f t="shared" si="250"/>
        <v>38</v>
      </c>
      <c r="BU117" s="235">
        <f t="shared" si="251"/>
        <v>3.792954545454545</v>
      </c>
      <c r="BV117" s="235" cm="1">
        <f t="array" ref="BV117">$BI117 * IF($AH117&lt;=2,
SUMPRODUCT(INDEX($AR$67:$AT$71,,$AI117), INDEX($AU$67:$BA$71,,$AH117), 1 / ($BB$67:$BB$71*BU117 + (1-$BB$67:$BB$71)*BQ117), N($AQ$67:$AQ$71&gt;$AO117)),
SUMPRODUCT(INDEX($AR$57:$AT$66,,$AI117), INDEX($AU$57:$BA$66,,$AH117), 1 / ($BC$57:$BC$66*BU117 + (1-$BC$57:$BC$66)*BQ117), N($AQ$57:$AQ$66&gt;$AO117))
) / 1000</f>
        <v>0</v>
      </c>
      <c r="BW117" s="232">
        <f t="shared" si="252"/>
        <v>20</v>
      </c>
      <c r="BX117" s="230">
        <f t="shared" si="253"/>
        <v>33</v>
      </c>
      <c r="BY117" s="235">
        <f t="shared" si="254"/>
        <v>4.4702678571428569</v>
      </c>
      <c r="BZ117" s="235" cm="1">
        <f t="array" ref="BZ117">$BI117 * IF($AH117&lt;=2,
SUMPRODUCT(INDEX($AR$62:$AT$66,,$AI117), INDEX($AU$62:$BA$66,,$AH117), 1 / ($BB$62:$BB$66*BY117 + (1-$BB$62:$BB$66)*BU117), N($AQ$62:$AQ$66&gt;$AO117)),
SUMPRODUCT(INDEX($AR$47:$AT$56,,$AI117), INDEX($AU$47:$BA$56,,$AH117), 1 / ($BC$47:$BC$56*BY117 + (1-$BC$47:$BC$56)*BU117), N($AQ$47:$AQ$56&gt;$AO117))
) / 1000</f>
        <v>0</v>
      </c>
      <c r="CA117" s="235" cm="1">
        <f t="array" ref="CA117">$BI117 * IF($AH117&lt;=2,
SUMPRODUCT(INDEX($AR$23:$AT$61,,$AI117), INDEX($AU$23:$BA$61,,$AH117), 1 / ($BB$23:$BB$61*BY117), N($AQ$23:$AQ$61&gt;$AO117)),
SUMPRODUCT(INDEX($AR$23:$AT$46,,$AI117), INDEX($AU$23:$BA$46,,$AH117), 1 / ($BC$23:$BC$46*BY117), N($AQ$23:$AQ$46&gt;$AO117))
) / 1000</f>
        <v>0</v>
      </c>
      <c r="CB117" s="230">
        <f t="shared" si="255"/>
        <v>0</v>
      </c>
      <c r="CC117" s="238"/>
      <c r="CD117" s="229" cm="1">
        <f t="array" ref="CD117">IF(ISBLANK(Y117), INDEX(Use, $AH117, 4) - AN117*INDEX(Use, $AH117, 6) - (Q117-X117), Y117)</f>
        <v>7</v>
      </c>
      <c r="CE117" s="229">
        <f t="shared" si="256"/>
        <v>32</v>
      </c>
      <c r="CF117" s="230">
        <f t="shared" si="257"/>
        <v>0</v>
      </c>
      <c r="CG117" s="229">
        <v>35</v>
      </c>
      <c r="CH117" s="230">
        <f t="shared" si="258"/>
        <v>48</v>
      </c>
      <c r="CI117" s="235">
        <f t="shared" si="259"/>
        <v>3.0748170731707316</v>
      </c>
      <c r="CJ117" s="235" cm="1">
        <f t="array" ref="CJ117">$BI117 * SUMPRODUCT(INDEX($AR$77:$AT$82,,$AI117),INDEX($AU$77:$BA$82,,$AH117), N($AQ$77:$AQ$82&gt;$AO117)) / CI117 / 1000</f>
        <v>0</v>
      </c>
      <c r="CK117" s="232">
        <f t="shared" si="260"/>
        <v>30</v>
      </c>
      <c r="CL117" s="230">
        <f t="shared" si="261"/>
        <v>43</v>
      </c>
      <c r="CM117" s="235">
        <f t="shared" si="262"/>
        <v>3.5018750000000001</v>
      </c>
      <c r="CN117" s="235" cm="1">
        <f t="array" ref="CN117">$BI117 * IF($AH117&lt;=2,
SUMPRODUCT(INDEX($AR$72:$AT$76,,$AI117), INDEX($AU$72:$BA$76,,$AH117), 1 / ($BB$72:$BB$76*CM117 + (1-$BB$72:$BB$76)*CI117), N($AQ$72:$AQ$76&gt;$AO117)),
SUMPRODUCT(INDEX($AR$67:$AT$76,,$AI117), INDEX($AU$67:$BA$76,,$AH117), 1 / ($BC$67:$BC$76*CM117 + (1-$BC$67:$BC$76)*CI117), N($AQ$67:$AQ$76&gt;$AO117))
) / 1000</f>
        <v>0</v>
      </c>
      <c r="CO117" s="232">
        <f t="shared" si="263"/>
        <v>25</v>
      </c>
      <c r="CP117" s="230">
        <f t="shared" si="264"/>
        <v>38</v>
      </c>
      <c r="CQ117" s="235">
        <f t="shared" si="265"/>
        <v>4.0666935483870965</v>
      </c>
      <c r="CR117" s="235" cm="1">
        <f t="array" ref="CR117">$BI117 * IF($AH117&lt;=2,
SUMPRODUCT(INDEX($AR$67:$AT$71,,$AI117), INDEX($AU$67:$BA$71,,$AH117), 1 / ($BB$67:$BB$71*CQ117 + (1-$BB$67:$BB$71)*CM117), N($AQ$67:$AQ$71&gt;$AO117)),
SUMPRODUCT(INDEX($AR$57:$AT$66,,$AI117), INDEX($AU$57:$BA$66,,$AH117), 1 / ($BC$57:$BC$66*CQ117 + (1-$BC$57:$BC$66)*CM117), N($AQ$57:$AQ$66&gt;$AO117))
) / 1000</f>
        <v>0</v>
      </c>
      <c r="CS117" s="232">
        <f t="shared" si="266"/>
        <v>20</v>
      </c>
      <c r="CT117" s="230">
        <f t="shared" si="267"/>
        <v>33</v>
      </c>
      <c r="CU117" s="235">
        <f t="shared" si="268"/>
        <v>4.8487499999999999</v>
      </c>
      <c r="CV117" s="235" cm="1">
        <f t="array" ref="CV117">$BI117 * IF($AH117&lt;=2,
SUMPRODUCT(INDEX($AR$62:$AT$66,,$AI117), INDEX($AU$62:$BA$66,,$AH117), 1 / ($BB$62:$BB$66*CU117 + (1-$BB$62:$BB$66)*CQ117), N($AQ$62:$AQ$66&gt;$AO117)),
SUMPRODUCT(INDEX($AR$47:$AT$56,,$AI117), INDEX($AU$47:$BA$56,,$AH117), 1 / ($BC$47:$BC$56*CU117 + (1-$BC$47:$BC$56)*CQ117), N($AQ$47:$AQ$56&gt;$AO117))
) / 1000</f>
        <v>0</v>
      </c>
      <c r="CW117" s="235" cm="1">
        <f t="array" ref="CW117">$BI117 * IF($AH117&lt;=2,
SUMPRODUCT(INDEX($AR$23:$AT$61,,$AI117), INDEX($AU$23:$BA$61,,$AH117), 1 / ($BB$23:$BB$61*CU117), N($AQ$23:$AQ$61&gt;$AO117)),
SUMPRODUCT(INDEX($AR$23:$AT$46,,$AI117), INDEX($AU$23:$BA$46,,$AH117), 1 / ($BC$23:$BC$46*CU117), N($AQ$23:$AQ$46&gt;$AO117))
) / 1000</f>
        <v>0</v>
      </c>
      <c r="CX117" s="230">
        <f t="shared" si="269"/>
        <v>0</v>
      </c>
      <c r="CY117" s="238"/>
    </row>
    <row r="118" spans="1:103" s="76" customFormat="1" ht="14.25" customHeight="1" x14ac:dyDescent="0.2">
      <c r="A118" s="231" t="b">
        <f t="shared" si="229"/>
        <v>0</v>
      </c>
      <c r="B118" s="245">
        <v>96</v>
      </c>
      <c r="C118" s="258"/>
      <c r="D118" s="258"/>
      <c r="E118" s="246"/>
      <c r="F118" s="247" t="str">
        <f>IF(ISBLANK(E118), "", VLOOKUP(E118, Z!$A$2:$C$4127, 3, FALSE))</f>
        <v/>
      </c>
      <c r="G118" s="248"/>
      <c r="H118" s="248"/>
      <c r="I118" s="249"/>
      <c r="J118" s="250"/>
      <c r="K118" s="259"/>
      <c r="L118" s="260"/>
      <c r="M118" s="252" t="str" cm="1">
        <f t="array" ref="M118">INDEX(Trad, 53, $A$20)</f>
        <v>Verschmutzt</v>
      </c>
      <c r="N118" s="253"/>
      <c r="O118" s="253"/>
      <c r="P118" s="254"/>
      <c r="Q118" s="251"/>
      <c r="R118" s="251"/>
      <c r="S118" s="264">
        <f t="shared" si="235"/>
        <v>0</v>
      </c>
      <c r="T118" s="252" t="str" cm="1">
        <f t="array" ref="T118">INDEX(Trad, 52, $A$20)</f>
        <v>Sauber</v>
      </c>
      <c r="U118" s="253"/>
      <c r="V118" s="253"/>
      <c r="W118" s="254"/>
      <c r="X118" s="251"/>
      <c r="Y118" s="251"/>
      <c r="Z118" s="264">
        <f t="shared" si="236"/>
        <v>0</v>
      </c>
      <c r="AA118" s="261"/>
      <c r="AB118" s="258"/>
      <c r="AC118" s="246"/>
      <c r="AD118" s="247" t="str">
        <f>IF(ISBLANK(AC118), "", VLOOKUP(AC118, Z!$A$2:$C$4127, 3, FALSE))</f>
        <v/>
      </c>
      <c r="AE118" s="262"/>
      <c r="AF118" s="263">
        <f t="shared" si="230"/>
        <v>0</v>
      </c>
      <c r="AG118" s="238"/>
      <c r="AH118" s="229">
        <f t="shared" ref="AH118" si="357">IF(ISBLANK(H118), 1, IFERROR(MATCH(H118, INDEX(Use,,1), 0), IFERROR(MATCH(H118, INDEX(Use,,2), 0), MATCH(H118, INDEX(Use,,3), 0))))</f>
        <v>1</v>
      </c>
      <c r="AI118" s="229">
        <f t="shared" ref="AI118" si="358">IF(ISBLANK(G118), 1, IFERROR(MATCH(G118, INDEX(Loc,,1), 0), IFERROR(MATCH(G118, INDEX(Loc,,2), 0), MATCH(G118, INDEX(Loc,,3), 0))))</f>
        <v>1</v>
      </c>
      <c r="AJ118" s="229">
        <f t="shared" ref="AJ118" si="359">_xlfn.IFNA(IF(IFERROR(MATCH(I118, INDEX(Medium,,1), 0), IFERROR(MATCH(I118, INDEX(Medium,,2), 0), MATCH(I118, INDEX(Medium,,3), 0))) = 2, 1, 0), 0)</f>
        <v>0</v>
      </c>
      <c r="AK118" s="229">
        <v>0</v>
      </c>
      <c r="AL118" s="229">
        <v>0</v>
      </c>
      <c r="AM118" s="229">
        <v>1</v>
      </c>
      <c r="AN118" s="229">
        <v>0</v>
      </c>
      <c r="AO118" s="229">
        <f t="shared" si="234"/>
        <v>-100</v>
      </c>
      <c r="AP118" s="238"/>
      <c r="AQ118" s="255"/>
      <c r="AR118" s="255"/>
      <c r="AS118" s="256"/>
      <c r="AT118" s="256"/>
      <c r="AU118" s="256"/>
      <c r="AV118" s="256"/>
      <c r="AW118" s="256"/>
      <c r="AX118" s="256"/>
      <c r="AY118" s="256"/>
      <c r="AZ118" s="256"/>
      <c r="BA118" s="256"/>
      <c r="BB118" s="256"/>
      <c r="BC118" s="256"/>
      <c r="BD118" s="238"/>
      <c r="BE118" s="229" cm="1">
        <f t="array" ref="BE118">IF(ISBLANK(R118), INDEX(Use, $AH118, 4) - AM118*INDEX(Use, $AH118, 6), R118)</f>
        <v>5</v>
      </c>
      <c r="BF118" s="229">
        <f t="shared" si="240"/>
        <v>30</v>
      </c>
      <c r="BG118" s="229">
        <f t="shared" si="241"/>
        <v>13</v>
      </c>
      <c r="BH118" s="229">
        <f t="shared" si="242"/>
        <v>0</v>
      </c>
      <c r="BI118" s="234" cm="1">
        <f t="array" ref="BI118">K118/IF($L118&gt;0, INDEX($AU$23:$BA$77, $L118+20, $AH118), 1)</f>
        <v>0</v>
      </c>
      <c r="BJ118" s="230">
        <f t="shared" si="243"/>
        <v>0</v>
      </c>
      <c r="BK118" s="229">
        <v>35</v>
      </c>
      <c r="BL118" s="230">
        <f t="shared" si="244"/>
        <v>48</v>
      </c>
      <c r="BM118" s="235">
        <f t="shared" si="245"/>
        <v>2.9108720930232557</v>
      </c>
      <c r="BN118" s="235" cm="1">
        <f t="array" ref="BN118">$BI118 * SUMPRODUCT(INDEX($AR$77:$AT$82,,$AI118),INDEX($AU$77:$BA$82,,$AH118), N($AQ$77:$AQ$82&gt;$AO118)) / BM118 / 1000</f>
        <v>0</v>
      </c>
      <c r="BO118" s="232">
        <f t="shared" si="246"/>
        <v>30</v>
      </c>
      <c r="BP118" s="230">
        <f t="shared" si="247"/>
        <v>43</v>
      </c>
      <c r="BQ118" s="235">
        <f t="shared" si="248"/>
        <v>3.2938815789473681</v>
      </c>
      <c r="BR118" s="235" cm="1">
        <f t="array" ref="BR118">$BI118 * IF($AH118&lt;=2,
SUMPRODUCT(INDEX($AR$72:$AT$76,,$AI118), INDEX($AU$72:$BA$76,,$AH118), 1 / ($BB$72:$BB$76*BQ118 + (1-$BB$72:$BB$76)*BM118), N($AQ$72:$AQ$76&gt;$AO118)),
SUMPRODUCT(INDEX($AR$67:$AT$76,,$AI118), INDEX($AU$67:$BA$76,,$AH118), 1 / ($BC$67:$BC$76*BQ118 + (1-$BC$67:$BC$76)*BM118), N($AQ$67:$AQ$76&gt;$AO118))
) / 1000</f>
        <v>0</v>
      </c>
      <c r="BS118" s="232">
        <f t="shared" si="249"/>
        <v>25</v>
      </c>
      <c r="BT118" s="230">
        <f t="shared" si="250"/>
        <v>38</v>
      </c>
      <c r="BU118" s="235">
        <f t="shared" si="251"/>
        <v>3.792954545454545</v>
      </c>
      <c r="BV118" s="235" cm="1">
        <f t="array" ref="BV118">$BI118 * IF($AH118&lt;=2,
SUMPRODUCT(INDEX($AR$67:$AT$71,,$AI118), INDEX($AU$67:$BA$71,,$AH118), 1 / ($BB$67:$BB$71*BU118 + (1-$BB$67:$BB$71)*BQ118), N($AQ$67:$AQ$71&gt;$AO118)),
SUMPRODUCT(INDEX($AR$57:$AT$66,,$AI118), INDEX($AU$57:$BA$66,,$AH118), 1 / ($BC$57:$BC$66*BU118 + (1-$BC$57:$BC$66)*BQ118), N($AQ$57:$AQ$66&gt;$AO118))
) / 1000</f>
        <v>0</v>
      </c>
      <c r="BW118" s="232">
        <f t="shared" si="252"/>
        <v>20</v>
      </c>
      <c r="BX118" s="230">
        <f t="shared" si="253"/>
        <v>33</v>
      </c>
      <c r="BY118" s="235">
        <f t="shared" si="254"/>
        <v>4.4702678571428569</v>
      </c>
      <c r="BZ118" s="235" cm="1">
        <f t="array" ref="BZ118">$BI118 * IF($AH118&lt;=2,
SUMPRODUCT(INDEX($AR$62:$AT$66,,$AI118), INDEX($AU$62:$BA$66,,$AH118), 1 / ($BB$62:$BB$66*BY118 + (1-$BB$62:$BB$66)*BU118), N($AQ$62:$AQ$66&gt;$AO118)),
SUMPRODUCT(INDEX($AR$47:$AT$56,,$AI118), INDEX($AU$47:$BA$56,,$AH118), 1 / ($BC$47:$BC$56*BY118 + (1-$BC$47:$BC$56)*BU118), N($AQ$47:$AQ$56&gt;$AO118))
) / 1000</f>
        <v>0</v>
      </c>
      <c r="CA118" s="235" cm="1">
        <f t="array" ref="CA118">$BI118 * IF($AH118&lt;=2,
SUMPRODUCT(INDEX($AR$23:$AT$61,,$AI118), INDEX($AU$23:$BA$61,,$AH118), 1 / ($BB$23:$BB$61*BY118), N($AQ$23:$AQ$61&gt;$AO118)),
SUMPRODUCT(INDEX($AR$23:$AT$46,,$AI118), INDEX($AU$23:$BA$46,,$AH118), 1 / ($BC$23:$BC$46*BY118), N($AQ$23:$AQ$46&gt;$AO118))
) / 1000</f>
        <v>0</v>
      </c>
      <c r="CB118" s="230">
        <f t="shared" si="255"/>
        <v>0</v>
      </c>
      <c r="CC118" s="238"/>
      <c r="CD118" s="229" cm="1">
        <f t="array" ref="CD118">IF(ISBLANK(Y118), INDEX(Use, $AH118, 4) - AN118*INDEX(Use, $AH118, 6) - (Q118-X118), Y118)</f>
        <v>7</v>
      </c>
      <c r="CE118" s="229">
        <f t="shared" si="256"/>
        <v>32</v>
      </c>
      <c r="CF118" s="230">
        <f t="shared" si="257"/>
        <v>0</v>
      </c>
      <c r="CG118" s="229">
        <v>35</v>
      </c>
      <c r="CH118" s="230">
        <f t="shared" si="258"/>
        <v>48</v>
      </c>
      <c r="CI118" s="235">
        <f t="shared" si="259"/>
        <v>3.0748170731707316</v>
      </c>
      <c r="CJ118" s="235" cm="1">
        <f t="array" ref="CJ118">$BI118 * SUMPRODUCT(INDEX($AR$77:$AT$82,,$AI118),INDEX($AU$77:$BA$82,,$AH118), N($AQ$77:$AQ$82&gt;$AO118)) / CI118 / 1000</f>
        <v>0</v>
      </c>
      <c r="CK118" s="232">
        <f t="shared" si="260"/>
        <v>30</v>
      </c>
      <c r="CL118" s="230">
        <f t="shared" si="261"/>
        <v>43</v>
      </c>
      <c r="CM118" s="235">
        <f t="shared" si="262"/>
        <v>3.5018750000000001</v>
      </c>
      <c r="CN118" s="235" cm="1">
        <f t="array" ref="CN118">$BI118 * IF($AH118&lt;=2,
SUMPRODUCT(INDEX($AR$72:$AT$76,,$AI118), INDEX($AU$72:$BA$76,,$AH118), 1 / ($BB$72:$BB$76*CM118 + (1-$BB$72:$BB$76)*CI118), N($AQ$72:$AQ$76&gt;$AO118)),
SUMPRODUCT(INDEX($AR$67:$AT$76,,$AI118), INDEX($AU$67:$BA$76,,$AH118), 1 / ($BC$67:$BC$76*CM118 + (1-$BC$67:$BC$76)*CI118), N($AQ$67:$AQ$76&gt;$AO118))
) / 1000</f>
        <v>0</v>
      </c>
      <c r="CO118" s="232">
        <f t="shared" si="263"/>
        <v>25</v>
      </c>
      <c r="CP118" s="230">
        <f t="shared" si="264"/>
        <v>38</v>
      </c>
      <c r="CQ118" s="235">
        <f t="shared" si="265"/>
        <v>4.0666935483870965</v>
      </c>
      <c r="CR118" s="235" cm="1">
        <f t="array" ref="CR118">$BI118 * IF($AH118&lt;=2,
SUMPRODUCT(INDEX($AR$67:$AT$71,,$AI118), INDEX($AU$67:$BA$71,,$AH118), 1 / ($BB$67:$BB$71*CQ118 + (1-$BB$67:$BB$71)*CM118), N($AQ$67:$AQ$71&gt;$AO118)),
SUMPRODUCT(INDEX($AR$57:$AT$66,,$AI118), INDEX($AU$57:$BA$66,,$AH118), 1 / ($BC$57:$BC$66*CQ118 + (1-$BC$57:$BC$66)*CM118), N($AQ$57:$AQ$66&gt;$AO118))
) / 1000</f>
        <v>0</v>
      </c>
      <c r="CS118" s="232">
        <f t="shared" si="266"/>
        <v>20</v>
      </c>
      <c r="CT118" s="230">
        <f t="shared" si="267"/>
        <v>33</v>
      </c>
      <c r="CU118" s="235">
        <f t="shared" si="268"/>
        <v>4.8487499999999999</v>
      </c>
      <c r="CV118" s="235" cm="1">
        <f t="array" ref="CV118">$BI118 * IF($AH118&lt;=2,
SUMPRODUCT(INDEX($AR$62:$AT$66,,$AI118), INDEX($AU$62:$BA$66,,$AH118), 1 / ($BB$62:$BB$66*CU118 + (1-$BB$62:$BB$66)*CQ118), N($AQ$62:$AQ$66&gt;$AO118)),
SUMPRODUCT(INDEX($AR$47:$AT$56,,$AI118), INDEX($AU$47:$BA$56,,$AH118), 1 / ($BC$47:$BC$56*CU118 + (1-$BC$47:$BC$56)*CQ118), N($AQ$47:$AQ$56&gt;$AO118))
) / 1000</f>
        <v>0</v>
      </c>
      <c r="CW118" s="235" cm="1">
        <f t="array" ref="CW118">$BI118 * IF($AH118&lt;=2,
SUMPRODUCT(INDEX($AR$23:$AT$61,,$AI118), INDEX($AU$23:$BA$61,,$AH118), 1 / ($BB$23:$BB$61*CU118), N($AQ$23:$AQ$61&gt;$AO118)),
SUMPRODUCT(INDEX($AR$23:$AT$46,,$AI118), INDEX($AU$23:$BA$46,,$AH118), 1 / ($BC$23:$BC$46*CU118), N($AQ$23:$AQ$46&gt;$AO118))
) / 1000</f>
        <v>0</v>
      </c>
      <c r="CX118" s="230">
        <f t="shared" si="269"/>
        <v>0</v>
      </c>
      <c r="CY118" s="238"/>
    </row>
    <row r="119" spans="1:103" s="76" customFormat="1" ht="14.25" customHeight="1" x14ac:dyDescent="0.2">
      <c r="A119" s="231" t="b">
        <f t="shared" si="229"/>
        <v>0</v>
      </c>
      <c r="B119" s="245">
        <v>97</v>
      </c>
      <c r="C119" s="258"/>
      <c r="D119" s="258"/>
      <c r="E119" s="246"/>
      <c r="F119" s="247" t="str">
        <f>IF(ISBLANK(E119), "", VLOOKUP(E119, Z!$A$2:$C$4127, 3, FALSE))</f>
        <v/>
      </c>
      <c r="G119" s="248"/>
      <c r="H119" s="248"/>
      <c r="I119" s="249"/>
      <c r="J119" s="250"/>
      <c r="K119" s="259"/>
      <c r="L119" s="260"/>
      <c r="M119" s="252" t="str" cm="1">
        <f t="array" ref="M119">INDEX(Trad, 53, $A$20)</f>
        <v>Verschmutzt</v>
      </c>
      <c r="N119" s="253"/>
      <c r="O119" s="253"/>
      <c r="P119" s="254"/>
      <c r="Q119" s="251"/>
      <c r="R119" s="251"/>
      <c r="S119" s="264">
        <f t="shared" si="235"/>
        <v>0</v>
      </c>
      <c r="T119" s="252" t="str" cm="1">
        <f t="array" ref="T119">INDEX(Trad, 52, $A$20)</f>
        <v>Sauber</v>
      </c>
      <c r="U119" s="253"/>
      <c r="V119" s="253"/>
      <c r="W119" s="254"/>
      <c r="X119" s="251"/>
      <c r="Y119" s="251"/>
      <c r="Z119" s="264">
        <f t="shared" si="236"/>
        <v>0</v>
      </c>
      <c r="AA119" s="261"/>
      <c r="AB119" s="258"/>
      <c r="AC119" s="246"/>
      <c r="AD119" s="247" t="str">
        <f>IF(ISBLANK(AC119), "", VLOOKUP(AC119, Z!$A$2:$C$4127, 3, FALSE))</f>
        <v/>
      </c>
      <c r="AE119" s="262"/>
      <c r="AF119" s="263">
        <f t="shared" si="230"/>
        <v>0</v>
      </c>
      <c r="AG119" s="238"/>
      <c r="AH119" s="229">
        <f t="shared" ref="AH119" si="360">IF(ISBLANK(H119), 1, IFERROR(MATCH(H119, INDEX(Use,,1), 0), IFERROR(MATCH(H119, INDEX(Use,,2), 0), MATCH(H119, INDEX(Use,,3), 0))))</f>
        <v>1</v>
      </c>
      <c r="AI119" s="229">
        <f t="shared" ref="AI119" si="361">IF(ISBLANK(G119), 1, IFERROR(MATCH(G119, INDEX(Loc,,1), 0), IFERROR(MATCH(G119, INDEX(Loc,,2), 0), MATCH(G119, INDEX(Loc,,3), 0))))</f>
        <v>1</v>
      </c>
      <c r="AJ119" s="229">
        <f t="shared" ref="AJ119" si="362">_xlfn.IFNA(IF(IFERROR(MATCH(I119, INDEX(Medium,,1), 0), IFERROR(MATCH(I119, INDEX(Medium,,2), 0), MATCH(I119, INDEX(Medium,,3), 0))) = 2, 1, 0), 0)</f>
        <v>0</v>
      </c>
      <c r="AK119" s="229">
        <v>0</v>
      </c>
      <c r="AL119" s="229">
        <v>0</v>
      </c>
      <c r="AM119" s="229">
        <v>1</v>
      </c>
      <c r="AN119" s="229">
        <v>0</v>
      </c>
      <c r="AO119" s="229">
        <f t="shared" si="234"/>
        <v>-100</v>
      </c>
      <c r="AP119" s="238"/>
      <c r="AQ119" s="255"/>
      <c r="AR119" s="255"/>
      <c r="AS119" s="256"/>
      <c r="AT119" s="256"/>
      <c r="AU119" s="256"/>
      <c r="AV119" s="256"/>
      <c r="AW119" s="256"/>
      <c r="AX119" s="256"/>
      <c r="AY119" s="256"/>
      <c r="AZ119" s="256"/>
      <c r="BA119" s="256"/>
      <c r="BB119" s="256"/>
      <c r="BC119" s="256"/>
      <c r="BD119" s="238"/>
      <c r="BE119" s="229" cm="1">
        <f t="array" ref="BE119">IF(ISBLANK(R119), INDEX(Use, $AH119, 4) - AM119*INDEX(Use, $AH119, 6), R119)</f>
        <v>5</v>
      </c>
      <c r="BF119" s="229">
        <f t="shared" si="240"/>
        <v>30</v>
      </c>
      <c r="BG119" s="229">
        <f t="shared" si="241"/>
        <v>13</v>
      </c>
      <c r="BH119" s="229">
        <f t="shared" si="242"/>
        <v>0</v>
      </c>
      <c r="BI119" s="234" cm="1">
        <f t="array" ref="BI119">K119/IF($L119&gt;0, INDEX($AU$23:$BA$77, $L119+20, $AH119), 1)</f>
        <v>0</v>
      </c>
      <c r="BJ119" s="230">
        <f t="shared" si="243"/>
        <v>0</v>
      </c>
      <c r="BK119" s="229">
        <v>35</v>
      </c>
      <c r="BL119" s="230">
        <f t="shared" si="244"/>
        <v>48</v>
      </c>
      <c r="BM119" s="235">
        <f t="shared" si="245"/>
        <v>2.9108720930232557</v>
      </c>
      <c r="BN119" s="235" cm="1">
        <f t="array" ref="BN119">$BI119 * SUMPRODUCT(INDEX($AR$77:$AT$82,,$AI119),INDEX($AU$77:$BA$82,,$AH119), N($AQ$77:$AQ$82&gt;$AO119)) / BM119 / 1000</f>
        <v>0</v>
      </c>
      <c r="BO119" s="232">
        <f t="shared" si="246"/>
        <v>30</v>
      </c>
      <c r="BP119" s="230">
        <f t="shared" si="247"/>
        <v>43</v>
      </c>
      <c r="BQ119" s="235">
        <f t="shared" si="248"/>
        <v>3.2938815789473681</v>
      </c>
      <c r="BR119" s="235" cm="1">
        <f t="array" ref="BR119">$BI119 * IF($AH119&lt;=2,
SUMPRODUCT(INDEX($AR$72:$AT$76,,$AI119), INDEX($AU$72:$BA$76,,$AH119), 1 / ($BB$72:$BB$76*BQ119 + (1-$BB$72:$BB$76)*BM119), N($AQ$72:$AQ$76&gt;$AO119)),
SUMPRODUCT(INDEX($AR$67:$AT$76,,$AI119), INDEX($AU$67:$BA$76,,$AH119), 1 / ($BC$67:$BC$76*BQ119 + (1-$BC$67:$BC$76)*BM119), N($AQ$67:$AQ$76&gt;$AO119))
) / 1000</f>
        <v>0</v>
      </c>
      <c r="BS119" s="232">
        <f t="shared" si="249"/>
        <v>25</v>
      </c>
      <c r="BT119" s="230">
        <f t="shared" si="250"/>
        <v>38</v>
      </c>
      <c r="BU119" s="235">
        <f t="shared" si="251"/>
        <v>3.792954545454545</v>
      </c>
      <c r="BV119" s="235" cm="1">
        <f t="array" ref="BV119">$BI119 * IF($AH119&lt;=2,
SUMPRODUCT(INDEX($AR$67:$AT$71,,$AI119), INDEX($AU$67:$BA$71,,$AH119), 1 / ($BB$67:$BB$71*BU119 + (1-$BB$67:$BB$71)*BQ119), N($AQ$67:$AQ$71&gt;$AO119)),
SUMPRODUCT(INDEX($AR$57:$AT$66,,$AI119), INDEX($AU$57:$BA$66,,$AH119), 1 / ($BC$57:$BC$66*BU119 + (1-$BC$57:$BC$66)*BQ119), N($AQ$57:$AQ$66&gt;$AO119))
) / 1000</f>
        <v>0</v>
      </c>
      <c r="BW119" s="232">
        <f t="shared" si="252"/>
        <v>20</v>
      </c>
      <c r="BX119" s="230">
        <f t="shared" si="253"/>
        <v>33</v>
      </c>
      <c r="BY119" s="235">
        <f t="shared" si="254"/>
        <v>4.4702678571428569</v>
      </c>
      <c r="BZ119" s="235" cm="1">
        <f t="array" ref="BZ119">$BI119 * IF($AH119&lt;=2,
SUMPRODUCT(INDEX($AR$62:$AT$66,,$AI119), INDEX($AU$62:$BA$66,,$AH119), 1 / ($BB$62:$BB$66*BY119 + (1-$BB$62:$BB$66)*BU119), N($AQ$62:$AQ$66&gt;$AO119)),
SUMPRODUCT(INDEX($AR$47:$AT$56,,$AI119), INDEX($AU$47:$BA$56,,$AH119), 1 / ($BC$47:$BC$56*BY119 + (1-$BC$47:$BC$56)*BU119), N($AQ$47:$AQ$56&gt;$AO119))
) / 1000</f>
        <v>0</v>
      </c>
      <c r="CA119" s="235" cm="1">
        <f t="array" ref="CA119">$BI119 * IF($AH119&lt;=2,
SUMPRODUCT(INDEX($AR$23:$AT$61,,$AI119), INDEX($AU$23:$BA$61,,$AH119), 1 / ($BB$23:$BB$61*BY119), N($AQ$23:$AQ$61&gt;$AO119)),
SUMPRODUCT(INDEX($AR$23:$AT$46,,$AI119), INDEX($AU$23:$BA$46,,$AH119), 1 / ($BC$23:$BC$46*BY119), N($AQ$23:$AQ$46&gt;$AO119))
) / 1000</f>
        <v>0</v>
      </c>
      <c r="CB119" s="230">
        <f t="shared" si="255"/>
        <v>0</v>
      </c>
      <c r="CC119" s="238"/>
      <c r="CD119" s="229" cm="1">
        <f t="array" ref="CD119">IF(ISBLANK(Y119), INDEX(Use, $AH119, 4) - AN119*INDEX(Use, $AH119, 6) - (Q119-X119), Y119)</f>
        <v>7</v>
      </c>
      <c r="CE119" s="229">
        <f t="shared" si="256"/>
        <v>32</v>
      </c>
      <c r="CF119" s="230">
        <f t="shared" si="257"/>
        <v>0</v>
      </c>
      <c r="CG119" s="229">
        <v>35</v>
      </c>
      <c r="CH119" s="230">
        <f t="shared" si="258"/>
        <v>48</v>
      </c>
      <c r="CI119" s="235">
        <f t="shared" si="259"/>
        <v>3.0748170731707316</v>
      </c>
      <c r="CJ119" s="235" cm="1">
        <f t="array" ref="CJ119">$BI119 * SUMPRODUCT(INDEX($AR$77:$AT$82,,$AI119),INDEX($AU$77:$BA$82,,$AH119), N($AQ$77:$AQ$82&gt;$AO119)) / CI119 / 1000</f>
        <v>0</v>
      </c>
      <c r="CK119" s="232">
        <f t="shared" si="260"/>
        <v>30</v>
      </c>
      <c r="CL119" s="230">
        <f t="shared" si="261"/>
        <v>43</v>
      </c>
      <c r="CM119" s="235">
        <f t="shared" si="262"/>
        <v>3.5018750000000001</v>
      </c>
      <c r="CN119" s="235" cm="1">
        <f t="array" ref="CN119">$BI119 * IF($AH119&lt;=2,
SUMPRODUCT(INDEX($AR$72:$AT$76,,$AI119), INDEX($AU$72:$BA$76,,$AH119), 1 / ($BB$72:$BB$76*CM119 + (1-$BB$72:$BB$76)*CI119), N($AQ$72:$AQ$76&gt;$AO119)),
SUMPRODUCT(INDEX($AR$67:$AT$76,,$AI119), INDEX($AU$67:$BA$76,,$AH119), 1 / ($BC$67:$BC$76*CM119 + (1-$BC$67:$BC$76)*CI119), N($AQ$67:$AQ$76&gt;$AO119))
) / 1000</f>
        <v>0</v>
      </c>
      <c r="CO119" s="232">
        <f t="shared" si="263"/>
        <v>25</v>
      </c>
      <c r="CP119" s="230">
        <f t="shared" si="264"/>
        <v>38</v>
      </c>
      <c r="CQ119" s="235">
        <f t="shared" si="265"/>
        <v>4.0666935483870965</v>
      </c>
      <c r="CR119" s="235" cm="1">
        <f t="array" ref="CR119">$BI119 * IF($AH119&lt;=2,
SUMPRODUCT(INDEX($AR$67:$AT$71,,$AI119), INDEX($AU$67:$BA$71,,$AH119), 1 / ($BB$67:$BB$71*CQ119 + (1-$BB$67:$BB$71)*CM119), N($AQ$67:$AQ$71&gt;$AO119)),
SUMPRODUCT(INDEX($AR$57:$AT$66,,$AI119), INDEX($AU$57:$BA$66,,$AH119), 1 / ($BC$57:$BC$66*CQ119 + (1-$BC$57:$BC$66)*CM119), N($AQ$57:$AQ$66&gt;$AO119))
) / 1000</f>
        <v>0</v>
      </c>
      <c r="CS119" s="232">
        <f t="shared" si="266"/>
        <v>20</v>
      </c>
      <c r="CT119" s="230">
        <f t="shared" si="267"/>
        <v>33</v>
      </c>
      <c r="CU119" s="235">
        <f t="shared" si="268"/>
        <v>4.8487499999999999</v>
      </c>
      <c r="CV119" s="235" cm="1">
        <f t="array" ref="CV119">$BI119 * IF($AH119&lt;=2,
SUMPRODUCT(INDEX($AR$62:$AT$66,,$AI119), INDEX($AU$62:$BA$66,,$AH119), 1 / ($BB$62:$BB$66*CU119 + (1-$BB$62:$BB$66)*CQ119), N($AQ$62:$AQ$66&gt;$AO119)),
SUMPRODUCT(INDEX($AR$47:$AT$56,,$AI119), INDEX($AU$47:$BA$56,,$AH119), 1 / ($BC$47:$BC$56*CU119 + (1-$BC$47:$BC$56)*CQ119), N($AQ$47:$AQ$56&gt;$AO119))
) / 1000</f>
        <v>0</v>
      </c>
      <c r="CW119" s="235" cm="1">
        <f t="array" ref="CW119">$BI119 * IF($AH119&lt;=2,
SUMPRODUCT(INDEX($AR$23:$AT$61,,$AI119), INDEX($AU$23:$BA$61,,$AH119), 1 / ($BB$23:$BB$61*CU119), N($AQ$23:$AQ$61&gt;$AO119)),
SUMPRODUCT(INDEX($AR$23:$AT$46,,$AI119), INDEX($AU$23:$BA$46,,$AH119), 1 / ($BC$23:$BC$46*CU119), N($AQ$23:$AQ$46&gt;$AO119))
) / 1000</f>
        <v>0</v>
      </c>
      <c r="CX119" s="230">
        <f t="shared" si="269"/>
        <v>0</v>
      </c>
      <c r="CY119" s="238"/>
    </row>
    <row r="120" spans="1:103" s="76" customFormat="1" ht="14.25" customHeight="1" x14ac:dyDescent="0.2">
      <c r="A120" s="231" t="b">
        <f t="shared" si="229"/>
        <v>0</v>
      </c>
      <c r="B120" s="245">
        <v>98</v>
      </c>
      <c r="C120" s="258"/>
      <c r="D120" s="258"/>
      <c r="E120" s="246"/>
      <c r="F120" s="247" t="str">
        <f>IF(ISBLANK(E120), "", VLOOKUP(E120, Z!$A$2:$C$4127, 3, FALSE))</f>
        <v/>
      </c>
      <c r="G120" s="248"/>
      <c r="H120" s="248"/>
      <c r="I120" s="249"/>
      <c r="J120" s="250"/>
      <c r="K120" s="259"/>
      <c r="L120" s="260"/>
      <c r="M120" s="252" t="str" cm="1">
        <f t="array" ref="M120">INDEX(Trad, 53, $A$20)</f>
        <v>Verschmutzt</v>
      </c>
      <c r="N120" s="253"/>
      <c r="O120" s="253"/>
      <c r="P120" s="254"/>
      <c r="Q120" s="251"/>
      <c r="R120" s="251"/>
      <c r="S120" s="264">
        <f t="shared" si="235"/>
        <v>0</v>
      </c>
      <c r="T120" s="252" t="str" cm="1">
        <f t="array" ref="T120">INDEX(Trad, 52, $A$20)</f>
        <v>Sauber</v>
      </c>
      <c r="U120" s="253"/>
      <c r="V120" s="253"/>
      <c r="W120" s="254"/>
      <c r="X120" s="251"/>
      <c r="Y120" s="251"/>
      <c r="Z120" s="264">
        <f t="shared" si="236"/>
        <v>0</v>
      </c>
      <c r="AA120" s="261"/>
      <c r="AB120" s="258"/>
      <c r="AC120" s="246"/>
      <c r="AD120" s="247" t="str">
        <f>IF(ISBLANK(AC120), "", VLOOKUP(AC120, Z!$A$2:$C$4127, 3, FALSE))</f>
        <v/>
      </c>
      <c r="AE120" s="262"/>
      <c r="AF120" s="263">
        <f t="shared" si="230"/>
        <v>0</v>
      </c>
      <c r="AG120" s="238"/>
      <c r="AH120" s="229">
        <f t="shared" ref="AH120" si="363">IF(ISBLANK(H120), 1, IFERROR(MATCH(H120, INDEX(Use,,1), 0), IFERROR(MATCH(H120, INDEX(Use,,2), 0), MATCH(H120, INDEX(Use,,3), 0))))</f>
        <v>1</v>
      </c>
      <c r="AI120" s="229">
        <f t="shared" ref="AI120" si="364">IF(ISBLANK(G120), 1, IFERROR(MATCH(G120, INDEX(Loc,,1), 0), IFERROR(MATCH(G120, INDEX(Loc,,2), 0), MATCH(G120, INDEX(Loc,,3), 0))))</f>
        <v>1</v>
      </c>
      <c r="AJ120" s="229">
        <f t="shared" ref="AJ120" si="365">_xlfn.IFNA(IF(IFERROR(MATCH(I120, INDEX(Medium,,1), 0), IFERROR(MATCH(I120, INDEX(Medium,,2), 0), MATCH(I120, INDEX(Medium,,3), 0))) = 2, 1, 0), 0)</f>
        <v>0</v>
      </c>
      <c r="AK120" s="229">
        <v>0</v>
      </c>
      <c r="AL120" s="229">
        <v>0</v>
      </c>
      <c r="AM120" s="229">
        <v>1</v>
      </c>
      <c r="AN120" s="229">
        <v>0</v>
      </c>
      <c r="AO120" s="229">
        <f t="shared" si="234"/>
        <v>-100</v>
      </c>
      <c r="AP120" s="238"/>
      <c r="AQ120" s="255"/>
      <c r="AR120" s="255"/>
      <c r="AS120" s="256"/>
      <c r="AT120" s="256"/>
      <c r="AU120" s="256"/>
      <c r="AV120" s="256"/>
      <c r="AW120" s="256"/>
      <c r="AX120" s="256"/>
      <c r="AY120" s="256"/>
      <c r="AZ120" s="256"/>
      <c r="BA120" s="256"/>
      <c r="BB120" s="256"/>
      <c r="BC120" s="256"/>
      <c r="BD120" s="238"/>
      <c r="BE120" s="229" cm="1">
        <f t="array" ref="BE120">IF(ISBLANK(R120), INDEX(Use, $AH120, 4) - AM120*INDEX(Use, $AH120, 6), R120)</f>
        <v>5</v>
      </c>
      <c r="BF120" s="229">
        <f t="shared" si="240"/>
        <v>30</v>
      </c>
      <c r="BG120" s="229">
        <f t="shared" si="241"/>
        <v>13</v>
      </c>
      <c r="BH120" s="229">
        <f t="shared" si="242"/>
        <v>0</v>
      </c>
      <c r="BI120" s="234" cm="1">
        <f t="array" ref="BI120">K120/IF($L120&gt;0, INDEX($AU$23:$BA$77, $L120+20, $AH120), 1)</f>
        <v>0</v>
      </c>
      <c r="BJ120" s="230">
        <f t="shared" si="243"/>
        <v>0</v>
      </c>
      <c r="BK120" s="229">
        <v>35</v>
      </c>
      <c r="BL120" s="230">
        <f t="shared" si="244"/>
        <v>48</v>
      </c>
      <c r="BM120" s="235">
        <f t="shared" si="245"/>
        <v>2.9108720930232557</v>
      </c>
      <c r="BN120" s="235" cm="1">
        <f t="array" ref="BN120">$BI120 * SUMPRODUCT(INDEX($AR$77:$AT$82,,$AI120),INDEX($AU$77:$BA$82,,$AH120), N($AQ$77:$AQ$82&gt;$AO120)) / BM120 / 1000</f>
        <v>0</v>
      </c>
      <c r="BO120" s="232">
        <f t="shared" si="246"/>
        <v>30</v>
      </c>
      <c r="BP120" s="230">
        <f t="shared" si="247"/>
        <v>43</v>
      </c>
      <c r="BQ120" s="235">
        <f t="shared" si="248"/>
        <v>3.2938815789473681</v>
      </c>
      <c r="BR120" s="235" cm="1">
        <f t="array" ref="BR120">$BI120 * IF($AH120&lt;=2,
SUMPRODUCT(INDEX($AR$72:$AT$76,,$AI120), INDEX($AU$72:$BA$76,,$AH120), 1 / ($BB$72:$BB$76*BQ120 + (1-$BB$72:$BB$76)*BM120), N($AQ$72:$AQ$76&gt;$AO120)),
SUMPRODUCT(INDEX($AR$67:$AT$76,,$AI120), INDEX($AU$67:$BA$76,,$AH120), 1 / ($BC$67:$BC$76*BQ120 + (1-$BC$67:$BC$76)*BM120), N($AQ$67:$AQ$76&gt;$AO120))
) / 1000</f>
        <v>0</v>
      </c>
      <c r="BS120" s="232">
        <f t="shared" si="249"/>
        <v>25</v>
      </c>
      <c r="BT120" s="230">
        <f t="shared" si="250"/>
        <v>38</v>
      </c>
      <c r="BU120" s="235">
        <f t="shared" si="251"/>
        <v>3.792954545454545</v>
      </c>
      <c r="BV120" s="235" cm="1">
        <f t="array" ref="BV120">$BI120 * IF($AH120&lt;=2,
SUMPRODUCT(INDEX($AR$67:$AT$71,,$AI120), INDEX($AU$67:$BA$71,,$AH120), 1 / ($BB$67:$BB$71*BU120 + (1-$BB$67:$BB$71)*BQ120), N($AQ$67:$AQ$71&gt;$AO120)),
SUMPRODUCT(INDEX($AR$57:$AT$66,,$AI120), INDEX($AU$57:$BA$66,,$AH120), 1 / ($BC$57:$BC$66*BU120 + (1-$BC$57:$BC$66)*BQ120), N($AQ$57:$AQ$66&gt;$AO120))
) / 1000</f>
        <v>0</v>
      </c>
      <c r="BW120" s="232">
        <f t="shared" si="252"/>
        <v>20</v>
      </c>
      <c r="BX120" s="230">
        <f t="shared" si="253"/>
        <v>33</v>
      </c>
      <c r="BY120" s="235">
        <f t="shared" si="254"/>
        <v>4.4702678571428569</v>
      </c>
      <c r="BZ120" s="235" cm="1">
        <f t="array" ref="BZ120">$BI120 * IF($AH120&lt;=2,
SUMPRODUCT(INDEX($AR$62:$AT$66,,$AI120), INDEX($AU$62:$BA$66,,$AH120), 1 / ($BB$62:$BB$66*BY120 + (1-$BB$62:$BB$66)*BU120), N($AQ$62:$AQ$66&gt;$AO120)),
SUMPRODUCT(INDEX($AR$47:$AT$56,,$AI120), INDEX($AU$47:$BA$56,,$AH120), 1 / ($BC$47:$BC$56*BY120 + (1-$BC$47:$BC$56)*BU120), N($AQ$47:$AQ$56&gt;$AO120))
) / 1000</f>
        <v>0</v>
      </c>
      <c r="CA120" s="235" cm="1">
        <f t="array" ref="CA120">$BI120 * IF($AH120&lt;=2,
SUMPRODUCT(INDEX($AR$23:$AT$61,,$AI120), INDEX($AU$23:$BA$61,,$AH120), 1 / ($BB$23:$BB$61*BY120), N($AQ$23:$AQ$61&gt;$AO120)),
SUMPRODUCT(INDEX($AR$23:$AT$46,,$AI120), INDEX($AU$23:$BA$46,,$AH120), 1 / ($BC$23:$BC$46*BY120), N($AQ$23:$AQ$46&gt;$AO120))
) / 1000</f>
        <v>0</v>
      </c>
      <c r="CB120" s="230">
        <f t="shared" si="255"/>
        <v>0</v>
      </c>
      <c r="CC120" s="238"/>
      <c r="CD120" s="229" cm="1">
        <f t="array" ref="CD120">IF(ISBLANK(Y120), INDEX(Use, $AH120, 4) - AN120*INDEX(Use, $AH120, 6) - (Q120-X120), Y120)</f>
        <v>7</v>
      </c>
      <c r="CE120" s="229">
        <f t="shared" si="256"/>
        <v>32</v>
      </c>
      <c r="CF120" s="230">
        <f t="shared" si="257"/>
        <v>0</v>
      </c>
      <c r="CG120" s="229">
        <v>35</v>
      </c>
      <c r="CH120" s="230">
        <f t="shared" si="258"/>
        <v>48</v>
      </c>
      <c r="CI120" s="235">
        <f t="shared" si="259"/>
        <v>3.0748170731707316</v>
      </c>
      <c r="CJ120" s="235" cm="1">
        <f t="array" ref="CJ120">$BI120 * SUMPRODUCT(INDEX($AR$77:$AT$82,,$AI120),INDEX($AU$77:$BA$82,,$AH120), N($AQ$77:$AQ$82&gt;$AO120)) / CI120 / 1000</f>
        <v>0</v>
      </c>
      <c r="CK120" s="232">
        <f t="shared" si="260"/>
        <v>30</v>
      </c>
      <c r="CL120" s="230">
        <f t="shared" si="261"/>
        <v>43</v>
      </c>
      <c r="CM120" s="235">
        <f t="shared" si="262"/>
        <v>3.5018750000000001</v>
      </c>
      <c r="CN120" s="235" cm="1">
        <f t="array" ref="CN120">$BI120 * IF($AH120&lt;=2,
SUMPRODUCT(INDEX($AR$72:$AT$76,,$AI120), INDEX($AU$72:$BA$76,,$AH120), 1 / ($BB$72:$BB$76*CM120 + (1-$BB$72:$BB$76)*CI120), N($AQ$72:$AQ$76&gt;$AO120)),
SUMPRODUCT(INDEX($AR$67:$AT$76,,$AI120), INDEX($AU$67:$BA$76,,$AH120), 1 / ($BC$67:$BC$76*CM120 + (1-$BC$67:$BC$76)*CI120), N($AQ$67:$AQ$76&gt;$AO120))
) / 1000</f>
        <v>0</v>
      </c>
      <c r="CO120" s="232">
        <f t="shared" si="263"/>
        <v>25</v>
      </c>
      <c r="CP120" s="230">
        <f t="shared" si="264"/>
        <v>38</v>
      </c>
      <c r="CQ120" s="235">
        <f t="shared" si="265"/>
        <v>4.0666935483870965</v>
      </c>
      <c r="CR120" s="235" cm="1">
        <f t="array" ref="CR120">$BI120 * IF($AH120&lt;=2,
SUMPRODUCT(INDEX($AR$67:$AT$71,,$AI120), INDEX($AU$67:$BA$71,,$AH120), 1 / ($BB$67:$BB$71*CQ120 + (1-$BB$67:$BB$71)*CM120), N($AQ$67:$AQ$71&gt;$AO120)),
SUMPRODUCT(INDEX($AR$57:$AT$66,,$AI120), INDEX($AU$57:$BA$66,,$AH120), 1 / ($BC$57:$BC$66*CQ120 + (1-$BC$57:$BC$66)*CM120), N($AQ$57:$AQ$66&gt;$AO120))
) / 1000</f>
        <v>0</v>
      </c>
      <c r="CS120" s="232">
        <f t="shared" si="266"/>
        <v>20</v>
      </c>
      <c r="CT120" s="230">
        <f t="shared" si="267"/>
        <v>33</v>
      </c>
      <c r="CU120" s="235">
        <f t="shared" si="268"/>
        <v>4.8487499999999999</v>
      </c>
      <c r="CV120" s="235" cm="1">
        <f t="array" ref="CV120">$BI120 * IF($AH120&lt;=2,
SUMPRODUCT(INDEX($AR$62:$AT$66,,$AI120), INDEX($AU$62:$BA$66,,$AH120), 1 / ($BB$62:$BB$66*CU120 + (1-$BB$62:$BB$66)*CQ120), N($AQ$62:$AQ$66&gt;$AO120)),
SUMPRODUCT(INDEX($AR$47:$AT$56,,$AI120), INDEX($AU$47:$BA$56,,$AH120), 1 / ($BC$47:$BC$56*CU120 + (1-$BC$47:$BC$56)*CQ120), N($AQ$47:$AQ$56&gt;$AO120))
) / 1000</f>
        <v>0</v>
      </c>
      <c r="CW120" s="235" cm="1">
        <f t="array" ref="CW120">$BI120 * IF($AH120&lt;=2,
SUMPRODUCT(INDEX($AR$23:$AT$61,,$AI120), INDEX($AU$23:$BA$61,,$AH120), 1 / ($BB$23:$BB$61*CU120), N($AQ$23:$AQ$61&gt;$AO120)),
SUMPRODUCT(INDEX($AR$23:$AT$46,,$AI120), INDEX($AU$23:$BA$46,,$AH120), 1 / ($BC$23:$BC$46*CU120), N($AQ$23:$AQ$46&gt;$AO120))
) / 1000</f>
        <v>0</v>
      </c>
      <c r="CX120" s="230">
        <f t="shared" si="269"/>
        <v>0</v>
      </c>
      <c r="CY120" s="238"/>
    </row>
    <row r="121" spans="1:103" s="76" customFormat="1" ht="14.25" customHeight="1" x14ac:dyDescent="0.2">
      <c r="A121" s="231" t="b">
        <f t="shared" si="229"/>
        <v>0</v>
      </c>
      <c r="B121" s="245">
        <v>99</v>
      </c>
      <c r="C121" s="258"/>
      <c r="D121" s="258"/>
      <c r="E121" s="246"/>
      <c r="F121" s="247" t="str">
        <f>IF(ISBLANK(E121), "", VLOOKUP(E121, Z!$A$2:$C$4127, 3, FALSE))</f>
        <v/>
      </c>
      <c r="G121" s="248"/>
      <c r="H121" s="248"/>
      <c r="I121" s="249"/>
      <c r="J121" s="250"/>
      <c r="K121" s="259"/>
      <c r="L121" s="260"/>
      <c r="M121" s="252" t="str" cm="1">
        <f t="array" ref="M121">INDEX(Trad, 53, $A$20)</f>
        <v>Verschmutzt</v>
      </c>
      <c r="N121" s="253"/>
      <c r="O121" s="253"/>
      <c r="P121" s="254"/>
      <c r="Q121" s="251"/>
      <c r="R121" s="251"/>
      <c r="S121" s="264">
        <f t="shared" si="235"/>
        <v>0</v>
      </c>
      <c r="T121" s="252" t="str" cm="1">
        <f t="array" ref="T121">INDEX(Trad, 52, $A$20)</f>
        <v>Sauber</v>
      </c>
      <c r="U121" s="253"/>
      <c r="V121" s="253"/>
      <c r="W121" s="254"/>
      <c r="X121" s="251"/>
      <c r="Y121" s="251"/>
      <c r="Z121" s="264">
        <f t="shared" si="236"/>
        <v>0</v>
      </c>
      <c r="AA121" s="261"/>
      <c r="AB121" s="258"/>
      <c r="AC121" s="246"/>
      <c r="AD121" s="247" t="str">
        <f>IF(ISBLANK(AC121), "", VLOOKUP(AC121, Z!$A$2:$C$4127, 3, FALSE))</f>
        <v/>
      </c>
      <c r="AE121" s="262"/>
      <c r="AF121" s="263">
        <f t="shared" si="230"/>
        <v>0</v>
      </c>
      <c r="AG121" s="238"/>
      <c r="AH121" s="229">
        <f t="shared" ref="AH121" si="366">IF(ISBLANK(H121), 1, IFERROR(MATCH(H121, INDEX(Use,,1), 0), IFERROR(MATCH(H121, INDEX(Use,,2), 0), MATCH(H121, INDEX(Use,,3), 0))))</f>
        <v>1</v>
      </c>
      <c r="AI121" s="229">
        <f t="shared" ref="AI121" si="367">IF(ISBLANK(G121), 1, IFERROR(MATCH(G121, INDEX(Loc,,1), 0), IFERROR(MATCH(G121, INDEX(Loc,,2), 0), MATCH(G121, INDEX(Loc,,3), 0))))</f>
        <v>1</v>
      </c>
      <c r="AJ121" s="229">
        <f t="shared" ref="AJ121" si="368">_xlfn.IFNA(IF(IFERROR(MATCH(I121, INDEX(Medium,,1), 0), IFERROR(MATCH(I121, INDEX(Medium,,2), 0), MATCH(I121, INDEX(Medium,,3), 0))) = 2, 1, 0), 0)</f>
        <v>0</v>
      </c>
      <c r="AK121" s="229">
        <v>0</v>
      </c>
      <c r="AL121" s="229">
        <v>0</v>
      </c>
      <c r="AM121" s="229">
        <v>1</v>
      </c>
      <c r="AN121" s="229">
        <v>0</v>
      </c>
      <c r="AO121" s="229">
        <f t="shared" si="234"/>
        <v>-100</v>
      </c>
      <c r="AP121" s="238"/>
      <c r="AQ121" s="255"/>
      <c r="AR121" s="255"/>
      <c r="AS121" s="256"/>
      <c r="AT121" s="256"/>
      <c r="AU121" s="256"/>
      <c r="AV121" s="256"/>
      <c r="AW121" s="256"/>
      <c r="AX121" s="256"/>
      <c r="AY121" s="256"/>
      <c r="AZ121" s="256"/>
      <c r="BA121" s="256"/>
      <c r="BB121" s="256"/>
      <c r="BC121" s="256"/>
      <c r="BD121" s="238"/>
      <c r="BE121" s="229" cm="1">
        <f t="array" ref="BE121">IF(ISBLANK(R121), INDEX(Use, $AH121, 4) - AM121*INDEX(Use, $AH121, 6), R121)</f>
        <v>5</v>
      </c>
      <c r="BF121" s="229">
        <f t="shared" si="240"/>
        <v>30</v>
      </c>
      <c r="BG121" s="229">
        <f t="shared" si="241"/>
        <v>13</v>
      </c>
      <c r="BH121" s="229">
        <f t="shared" si="242"/>
        <v>0</v>
      </c>
      <c r="BI121" s="234" cm="1">
        <f t="array" ref="BI121">K121/IF($L121&gt;0, INDEX($AU$23:$BA$77, $L121+20, $AH121), 1)</f>
        <v>0</v>
      </c>
      <c r="BJ121" s="230">
        <f t="shared" si="243"/>
        <v>0</v>
      </c>
      <c r="BK121" s="229">
        <v>35</v>
      </c>
      <c r="BL121" s="230">
        <f t="shared" si="244"/>
        <v>48</v>
      </c>
      <c r="BM121" s="235">
        <f t="shared" si="245"/>
        <v>2.9108720930232557</v>
      </c>
      <c r="BN121" s="235" cm="1">
        <f t="array" ref="BN121">$BI121 * SUMPRODUCT(INDEX($AR$77:$AT$82,,$AI121),INDEX($AU$77:$BA$82,,$AH121), N($AQ$77:$AQ$82&gt;$AO121)) / BM121 / 1000</f>
        <v>0</v>
      </c>
      <c r="BO121" s="232">
        <f t="shared" si="246"/>
        <v>30</v>
      </c>
      <c r="BP121" s="230">
        <f t="shared" si="247"/>
        <v>43</v>
      </c>
      <c r="BQ121" s="235">
        <f t="shared" si="248"/>
        <v>3.2938815789473681</v>
      </c>
      <c r="BR121" s="235" cm="1">
        <f t="array" ref="BR121">$BI121 * IF($AH121&lt;=2,
SUMPRODUCT(INDEX($AR$72:$AT$76,,$AI121), INDEX($AU$72:$BA$76,,$AH121), 1 / ($BB$72:$BB$76*BQ121 + (1-$BB$72:$BB$76)*BM121), N($AQ$72:$AQ$76&gt;$AO121)),
SUMPRODUCT(INDEX($AR$67:$AT$76,,$AI121), INDEX($AU$67:$BA$76,,$AH121), 1 / ($BC$67:$BC$76*BQ121 + (1-$BC$67:$BC$76)*BM121), N($AQ$67:$AQ$76&gt;$AO121))
) / 1000</f>
        <v>0</v>
      </c>
      <c r="BS121" s="232">
        <f t="shared" si="249"/>
        <v>25</v>
      </c>
      <c r="BT121" s="230">
        <f t="shared" si="250"/>
        <v>38</v>
      </c>
      <c r="BU121" s="235">
        <f t="shared" si="251"/>
        <v>3.792954545454545</v>
      </c>
      <c r="BV121" s="235" cm="1">
        <f t="array" ref="BV121">$BI121 * IF($AH121&lt;=2,
SUMPRODUCT(INDEX($AR$67:$AT$71,,$AI121), INDEX($AU$67:$BA$71,,$AH121), 1 / ($BB$67:$BB$71*BU121 + (1-$BB$67:$BB$71)*BQ121), N($AQ$67:$AQ$71&gt;$AO121)),
SUMPRODUCT(INDEX($AR$57:$AT$66,,$AI121), INDEX($AU$57:$BA$66,,$AH121), 1 / ($BC$57:$BC$66*BU121 + (1-$BC$57:$BC$66)*BQ121), N($AQ$57:$AQ$66&gt;$AO121))
) / 1000</f>
        <v>0</v>
      </c>
      <c r="BW121" s="232">
        <f t="shared" si="252"/>
        <v>20</v>
      </c>
      <c r="BX121" s="230">
        <f t="shared" si="253"/>
        <v>33</v>
      </c>
      <c r="BY121" s="235">
        <f t="shared" si="254"/>
        <v>4.4702678571428569</v>
      </c>
      <c r="BZ121" s="235" cm="1">
        <f t="array" ref="BZ121">$BI121 * IF($AH121&lt;=2,
SUMPRODUCT(INDEX($AR$62:$AT$66,,$AI121), INDEX($AU$62:$BA$66,,$AH121), 1 / ($BB$62:$BB$66*BY121 + (1-$BB$62:$BB$66)*BU121), N($AQ$62:$AQ$66&gt;$AO121)),
SUMPRODUCT(INDEX($AR$47:$AT$56,,$AI121), INDEX($AU$47:$BA$56,,$AH121), 1 / ($BC$47:$BC$56*BY121 + (1-$BC$47:$BC$56)*BU121), N($AQ$47:$AQ$56&gt;$AO121))
) / 1000</f>
        <v>0</v>
      </c>
      <c r="CA121" s="235" cm="1">
        <f t="array" ref="CA121">$BI121 * IF($AH121&lt;=2,
SUMPRODUCT(INDEX($AR$23:$AT$61,,$AI121), INDEX($AU$23:$BA$61,,$AH121), 1 / ($BB$23:$BB$61*BY121), N($AQ$23:$AQ$61&gt;$AO121)),
SUMPRODUCT(INDEX($AR$23:$AT$46,,$AI121), INDEX($AU$23:$BA$46,,$AH121), 1 / ($BC$23:$BC$46*BY121), N($AQ$23:$AQ$46&gt;$AO121))
) / 1000</f>
        <v>0</v>
      </c>
      <c r="CB121" s="230">
        <f t="shared" si="255"/>
        <v>0</v>
      </c>
      <c r="CC121" s="238"/>
      <c r="CD121" s="229" cm="1">
        <f t="array" ref="CD121">IF(ISBLANK(Y121), INDEX(Use, $AH121, 4) - AN121*INDEX(Use, $AH121, 6) - (Q121-X121), Y121)</f>
        <v>7</v>
      </c>
      <c r="CE121" s="229">
        <f t="shared" si="256"/>
        <v>32</v>
      </c>
      <c r="CF121" s="230">
        <f t="shared" si="257"/>
        <v>0</v>
      </c>
      <c r="CG121" s="229">
        <v>35</v>
      </c>
      <c r="CH121" s="230">
        <f t="shared" si="258"/>
        <v>48</v>
      </c>
      <c r="CI121" s="235">
        <f t="shared" si="259"/>
        <v>3.0748170731707316</v>
      </c>
      <c r="CJ121" s="235" cm="1">
        <f t="array" ref="CJ121">$BI121 * SUMPRODUCT(INDEX($AR$77:$AT$82,,$AI121),INDEX($AU$77:$BA$82,,$AH121), N($AQ$77:$AQ$82&gt;$AO121)) / CI121 / 1000</f>
        <v>0</v>
      </c>
      <c r="CK121" s="232">
        <f t="shared" si="260"/>
        <v>30</v>
      </c>
      <c r="CL121" s="230">
        <f t="shared" si="261"/>
        <v>43</v>
      </c>
      <c r="CM121" s="235">
        <f t="shared" si="262"/>
        <v>3.5018750000000001</v>
      </c>
      <c r="CN121" s="235" cm="1">
        <f t="array" ref="CN121">$BI121 * IF($AH121&lt;=2,
SUMPRODUCT(INDEX($AR$72:$AT$76,,$AI121), INDEX($AU$72:$BA$76,,$AH121), 1 / ($BB$72:$BB$76*CM121 + (1-$BB$72:$BB$76)*CI121), N($AQ$72:$AQ$76&gt;$AO121)),
SUMPRODUCT(INDEX($AR$67:$AT$76,,$AI121), INDEX($AU$67:$BA$76,,$AH121), 1 / ($BC$67:$BC$76*CM121 + (1-$BC$67:$BC$76)*CI121), N($AQ$67:$AQ$76&gt;$AO121))
) / 1000</f>
        <v>0</v>
      </c>
      <c r="CO121" s="232">
        <f t="shared" si="263"/>
        <v>25</v>
      </c>
      <c r="CP121" s="230">
        <f t="shared" si="264"/>
        <v>38</v>
      </c>
      <c r="CQ121" s="235">
        <f t="shared" si="265"/>
        <v>4.0666935483870965</v>
      </c>
      <c r="CR121" s="235" cm="1">
        <f t="array" ref="CR121">$BI121 * IF($AH121&lt;=2,
SUMPRODUCT(INDEX($AR$67:$AT$71,,$AI121), INDEX($AU$67:$BA$71,,$AH121), 1 / ($BB$67:$BB$71*CQ121 + (1-$BB$67:$BB$71)*CM121), N($AQ$67:$AQ$71&gt;$AO121)),
SUMPRODUCT(INDEX($AR$57:$AT$66,,$AI121), INDEX($AU$57:$BA$66,,$AH121), 1 / ($BC$57:$BC$66*CQ121 + (1-$BC$57:$BC$66)*CM121), N($AQ$57:$AQ$66&gt;$AO121))
) / 1000</f>
        <v>0</v>
      </c>
      <c r="CS121" s="232">
        <f t="shared" si="266"/>
        <v>20</v>
      </c>
      <c r="CT121" s="230">
        <f t="shared" si="267"/>
        <v>33</v>
      </c>
      <c r="CU121" s="235">
        <f t="shared" si="268"/>
        <v>4.8487499999999999</v>
      </c>
      <c r="CV121" s="235" cm="1">
        <f t="array" ref="CV121">$BI121 * IF($AH121&lt;=2,
SUMPRODUCT(INDEX($AR$62:$AT$66,,$AI121), INDEX($AU$62:$BA$66,,$AH121), 1 / ($BB$62:$BB$66*CU121 + (1-$BB$62:$BB$66)*CQ121), N($AQ$62:$AQ$66&gt;$AO121)),
SUMPRODUCT(INDEX($AR$47:$AT$56,,$AI121), INDEX($AU$47:$BA$56,,$AH121), 1 / ($BC$47:$BC$56*CU121 + (1-$BC$47:$BC$56)*CQ121), N($AQ$47:$AQ$56&gt;$AO121))
) / 1000</f>
        <v>0</v>
      </c>
      <c r="CW121" s="235" cm="1">
        <f t="array" ref="CW121">$BI121 * IF($AH121&lt;=2,
SUMPRODUCT(INDEX($AR$23:$AT$61,,$AI121), INDEX($AU$23:$BA$61,,$AH121), 1 / ($BB$23:$BB$61*CU121), N($AQ$23:$AQ$61&gt;$AO121)),
SUMPRODUCT(INDEX($AR$23:$AT$46,,$AI121), INDEX($AU$23:$BA$46,,$AH121), 1 / ($BC$23:$BC$46*CU121), N($AQ$23:$AQ$46&gt;$AO121))
) / 1000</f>
        <v>0</v>
      </c>
      <c r="CX121" s="230">
        <f t="shared" si="269"/>
        <v>0</v>
      </c>
      <c r="CY121" s="238"/>
    </row>
    <row r="122" spans="1:103" s="76" customFormat="1" ht="14.25" customHeight="1" x14ac:dyDescent="0.2">
      <c r="A122" s="231" t="b">
        <f t="shared" si="229"/>
        <v>0</v>
      </c>
      <c r="B122" s="245">
        <v>100</v>
      </c>
      <c r="C122" s="258"/>
      <c r="D122" s="258"/>
      <c r="E122" s="246"/>
      <c r="F122" s="247" t="str">
        <f>IF(ISBLANK(E122), "", VLOOKUP(E122, Z!$A$2:$C$4127, 3, FALSE))</f>
        <v/>
      </c>
      <c r="G122" s="248"/>
      <c r="H122" s="248"/>
      <c r="I122" s="249"/>
      <c r="J122" s="250"/>
      <c r="K122" s="259"/>
      <c r="L122" s="260"/>
      <c r="M122" s="252" t="str" cm="1">
        <f t="array" ref="M122">INDEX(Trad, 53, $A$20)</f>
        <v>Verschmutzt</v>
      </c>
      <c r="N122" s="253"/>
      <c r="O122" s="253"/>
      <c r="P122" s="254"/>
      <c r="Q122" s="251"/>
      <c r="R122" s="251"/>
      <c r="S122" s="264">
        <f t="shared" si="235"/>
        <v>0</v>
      </c>
      <c r="T122" s="252" t="str" cm="1">
        <f t="array" ref="T122">INDEX(Trad, 52, $A$20)</f>
        <v>Sauber</v>
      </c>
      <c r="U122" s="253"/>
      <c r="V122" s="253"/>
      <c r="W122" s="254"/>
      <c r="X122" s="251"/>
      <c r="Y122" s="251"/>
      <c r="Z122" s="264">
        <f t="shared" si="236"/>
        <v>0</v>
      </c>
      <c r="AA122" s="261"/>
      <c r="AB122" s="258"/>
      <c r="AC122" s="246"/>
      <c r="AD122" s="247" t="str">
        <f>IF(ISBLANK(AC122), "", VLOOKUP(AC122, Z!$A$2:$C$4127, 3, FALSE))</f>
        <v/>
      </c>
      <c r="AE122" s="262"/>
      <c r="AF122" s="263">
        <f t="shared" si="230"/>
        <v>0</v>
      </c>
      <c r="AG122" s="238"/>
      <c r="AH122" s="229">
        <f t="shared" ref="AH122:AH123" si="369">IF(ISBLANK(H122), 1, IFERROR(MATCH(H122, INDEX(Use,,1), 0), IFERROR(MATCH(H122, INDEX(Use,,2), 0), MATCH(H122, INDEX(Use,,3), 0))))</f>
        <v>1</v>
      </c>
      <c r="AI122" s="229">
        <f t="shared" ref="AI122:AI123" si="370">IF(ISBLANK(G122), 1, IFERROR(MATCH(G122, INDEX(Loc,,1), 0), IFERROR(MATCH(G122, INDEX(Loc,,2), 0), MATCH(G122, INDEX(Loc,,3), 0))))</f>
        <v>1</v>
      </c>
      <c r="AJ122" s="229">
        <f t="shared" ref="AJ122:AJ123" si="371">_xlfn.IFNA(IF(IFERROR(MATCH(I122, INDEX(Medium,,1), 0), IFERROR(MATCH(I122, INDEX(Medium,,2), 0), MATCH(I122, INDEX(Medium,,3), 0))) = 2, 1, 0), 0)</f>
        <v>0</v>
      </c>
      <c r="AK122" s="229">
        <v>0</v>
      </c>
      <c r="AL122" s="229">
        <v>0</v>
      </c>
      <c r="AM122" s="229">
        <v>1</v>
      </c>
      <c r="AN122" s="229">
        <v>0</v>
      </c>
      <c r="AO122" s="229">
        <f t="shared" si="234"/>
        <v>-100</v>
      </c>
      <c r="AP122" s="238"/>
      <c r="AQ122" s="255"/>
      <c r="AR122" s="255"/>
      <c r="AS122" s="256"/>
      <c r="AT122" s="256"/>
      <c r="AU122" s="256"/>
      <c r="AV122" s="256"/>
      <c r="AW122" s="256"/>
      <c r="AX122" s="256"/>
      <c r="AY122" s="256"/>
      <c r="AZ122" s="256"/>
      <c r="BA122" s="256"/>
      <c r="BB122" s="256"/>
      <c r="BC122" s="256"/>
      <c r="BD122" s="238"/>
      <c r="BE122" s="229" cm="1">
        <f t="array" ref="BE122">IF(ISBLANK(R122), INDEX(Use, $AH122, 4) - AM122*INDEX(Use, $AH122, 6), R122)</f>
        <v>5</v>
      </c>
      <c r="BF122" s="229">
        <f t="shared" si="240"/>
        <v>30</v>
      </c>
      <c r="BG122" s="229">
        <f t="shared" si="241"/>
        <v>13</v>
      </c>
      <c r="BH122" s="229">
        <f t="shared" si="242"/>
        <v>0</v>
      </c>
      <c r="BI122" s="234" cm="1">
        <f t="array" ref="BI122">K122/IF($L122&gt;0, INDEX($AU$23:$BA$77, $L122+20, $AH122), 1)</f>
        <v>0</v>
      </c>
      <c r="BJ122" s="230">
        <f t="shared" si="243"/>
        <v>0</v>
      </c>
      <c r="BK122" s="229">
        <v>35</v>
      </c>
      <c r="BL122" s="230">
        <f t="shared" si="244"/>
        <v>48</v>
      </c>
      <c r="BM122" s="235">
        <f t="shared" si="245"/>
        <v>2.9108720930232557</v>
      </c>
      <c r="BN122" s="235" cm="1">
        <f t="array" ref="BN122">$BI122 * SUMPRODUCT(INDEX($AR$77:$AT$82,,$AI122),INDEX($AU$77:$BA$82,,$AH122), N($AQ$77:$AQ$82&gt;$AO122)) / BM122 / 1000</f>
        <v>0</v>
      </c>
      <c r="BO122" s="232">
        <f t="shared" si="246"/>
        <v>30</v>
      </c>
      <c r="BP122" s="230">
        <f t="shared" si="247"/>
        <v>43</v>
      </c>
      <c r="BQ122" s="235">
        <f t="shared" si="248"/>
        <v>3.2938815789473681</v>
      </c>
      <c r="BR122" s="235" cm="1">
        <f t="array" ref="BR122">$BI122 * IF($AH122&lt;=2,
SUMPRODUCT(INDEX($AR$72:$AT$76,,$AI122), INDEX($AU$72:$BA$76,,$AH122), 1 / ($BB$72:$BB$76*BQ122 + (1-$BB$72:$BB$76)*BM122), N($AQ$72:$AQ$76&gt;$AO122)),
SUMPRODUCT(INDEX($AR$67:$AT$76,,$AI122), INDEX($AU$67:$BA$76,,$AH122), 1 / ($BC$67:$BC$76*BQ122 + (1-$BC$67:$BC$76)*BM122), N($AQ$67:$AQ$76&gt;$AO122))
) / 1000</f>
        <v>0</v>
      </c>
      <c r="BS122" s="232">
        <f t="shared" si="249"/>
        <v>25</v>
      </c>
      <c r="BT122" s="230">
        <f t="shared" si="250"/>
        <v>38</v>
      </c>
      <c r="BU122" s="235">
        <f t="shared" si="251"/>
        <v>3.792954545454545</v>
      </c>
      <c r="BV122" s="235" cm="1">
        <f t="array" ref="BV122">$BI122 * IF($AH122&lt;=2,
SUMPRODUCT(INDEX($AR$67:$AT$71,,$AI122), INDEX($AU$67:$BA$71,,$AH122), 1 / ($BB$67:$BB$71*BU122 + (1-$BB$67:$BB$71)*BQ122), N($AQ$67:$AQ$71&gt;$AO122)),
SUMPRODUCT(INDEX($AR$57:$AT$66,,$AI122), INDEX($AU$57:$BA$66,,$AH122), 1 / ($BC$57:$BC$66*BU122 + (1-$BC$57:$BC$66)*BQ122), N($AQ$57:$AQ$66&gt;$AO122))
) / 1000</f>
        <v>0</v>
      </c>
      <c r="BW122" s="232">
        <f t="shared" si="252"/>
        <v>20</v>
      </c>
      <c r="BX122" s="230">
        <f t="shared" si="253"/>
        <v>33</v>
      </c>
      <c r="BY122" s="235">
        <f t="shared" si="254"/>
        <v>4.4702678571428569</v>
      </c>
      <c r="BZ122" s="235" cm="1">
        <f t="array" ref="BZ122">$BI122 * IF($AH122&lt;=2,
SUMPRODUCT(INDEX($AR$62:$AT$66,,$AI122), INDEX($AU$62:$BA$66,,$AH122), 1 / ($BB$62:$BB$66*BY122 + (1-$BB$62:$BB$66)*BU122), N($AQ$62:$AQ$66&gt;$AO122)),
SUMPRODUCT(INDEX($AR$47:$AT$56,,$AI122), INDEX($AU$47:$BA$56,,$AH122), 1 / ($BC$47:$BC$56*BY122 + (1-$BC$47:$BC$56)*BU122), N($AQ$47:$AQ$56&gt;$AO122))
) / 1000</f>
        <v>0</v>
      </c>
      <c r="CA122" s="235" cm="1">
        <f t="array" ref="CA122">$BI122 * IF($AH122&lt;=2,
SUMPRODUCT(INDEX($AR$23:$AT$61,,$AI122), INDEX($AU$23:$BA$61,,$AH122), 1 / ($BB$23:$BB$61*BY122), N($AQ$23:$AQ$61&gt;$AO122)),
SUMPRODUCT(INDEX($AR$23:$AT$46,,$AI122), INDEX($AU$23:$BA$46,,$AH122), 1 / ($BC$23:$BC$46*BY122), N($AQ$23:$AQ$46&gt;$AO122))
) / 1000</f>
        <v>0</v>
      </c>
      <c r="CB122" s="230">
        <f t="shared" si="255"/>
        <v>0</v>
      </c>
      <c r="CC122" s="238"/>
      <c r="CD122" s="229" cm="1">
        <f t="array" ref="CD122">IF(ISBLANK(Y122), INDEX(Use, $AH122, 4) - AN122*INDEX(Use, $AH122, 6) - (Q122-X122), Y122)</f>
        <v>7</v>
      </c>
      <c r="CE122" s="229">
        <f t="shared" si="256"/>
        <v>32</v>
      </c>
      <c r="CF122" s="230">
        <f t="shared" si="257"/>
        <v>0</v>
      </c>
      <c r="CG122" s="229">
        <v>35</v>
      </c>
      <c r="CH122" s="230">
        <f t="shared" si="258"/>
        <v>48</v>
      </c>
      <c r="CI122" s="235">
        <f t="shared" si="259"/>
        <v>3.0748170731707316</v>
      </c>
      <c r="CJ122" s="235" cm="1">
        <f t="array" ref="CJ122">$BI122 * SUMPRODUCT(INDEX($AR$77:$AT$82,,$AI122),INDEX($AU$77:$BA$82,,$AH122), N($AQ$77:$AQ$82&gt;$AO122)) / CI122 / 1000</f>
        <v>0</v>
      </c>
      <c r="CK122" s="232">
        <f t="shared" si="260"/>
        <v>30</v>
      </c>
      <c r="CL122" s="230">
        <f t="shared" si="261"/>
        <v>43</v>
      </c>
      <c r="CM122" s="235">
        <f t="shared" si="262"/>
        <v>3.5018750000000001</v>
      </c>
      <c r="CN122" s="235" cm="1">
        <f t="array" ref="CN122">$BI122 * IF($AH122&lt;=2,
SUMPRODUCT(INDEX($AR$72:$AT$76,,$AI122), INDEX($AU$72:$BA$76,,$AH122), 1 / ($BB$72:$BB$76*CM122 + (1-$BB$72:$BB$76)*CI122), N($AQ$72:$AQ$76&gt;$AO122)),
SUMPRODUCT(INDEX($AR$67:$AT$76,,$AI122), INDEX($AU$67:$BA$76,,$AH122), 1 / ($BC$67:$BC$76*CM122 + (1-$BC$67:$BC$76)*CI122), N($AQ$67:$AQ$76&gt;$AO122))
) / 1000</f>
        <v>0</v>
      </c>
      <c r="CO122" s="232">
        <f t="shared" si="263"/>
        <v>25</v>
      </c>
      <c r="CP122" s="230">
        <f t="shared" si="264"/>
        <v>38</v>
      </c>
      <c r="CQ122" s="235">
        <f t="shared" si="265"/>
        <v>4.0666935483870965</v>
      </c>
      <c r="CR122" s="235" cm="1">
        <f t="array" ref="CR122">$BI122 * IF($AH122&lt;=2,
SUMPRODUCT(INDEX($AR$67:$AT$71,,$AI122), INDEX($AU$67:$BA$71,,$AH122), 1 / ($BB$67:$BB$71*CQ122 + (1-$BB$67:$BB$71)*CM122), N($AQ$67:$AQ$71&gt;$AO122)),
SUMPRODUCT(INDEX($AR$57:$AT$66,,$AI122), INDEX($AU$57:$BA$66,,$AH122), 1 / ($BC$57:$BC$66*CQ122 + (1-$BC$57:$BC$66)*CM122), N($AQ$57:$AQ$66&gt;$AO122))
) / 1000</f>
        <v>0</v>
      </c>
      <c r="CS122" s="232">
        <f t="shared" si="266"/>
        <v>20</v>
      </c>
      <c r="CT122" s="230">
        <f t="shared" si="267"/>
        <v>33</v>
      </c>
      <c r="CU122" s="235">
        <f t="shared" si="268"/>
        <v>4.8487499999999999</v>
      </c>
      <c r="CV122" s="235" cm="1">
        <f t="array" ref="CV122">$BI122 * IF($AH122&lt;=2,
SUMPRODUCT(INDEX($AR$62:$AT$66,,$AI122), INDEX($AU$62:$BA$66,,$AH122), 1 / ($BB$62:$BB$66*CU122 + (1-$BB$62:$BB$66)*CQ122), N($AQ$62:$AQ$66&gt;$AO122)),
SUMPRODUCT(INDEX($AR$47:$AT$56,,$AI122), INDEX($AU$47:$BA$56,,$AH122), 1 / ($BC$47:$BC$56*CU122 + (1-$BC$47:$BC$56)*CQ122), N($AQ$47:$AQ$56&gt;$AO122))
) / 1000</f>
        <v>0</v>
      </c>
      <c r="CW122" s="235" cm="1">
        <f t="array" ref="CW122">$BI122 * IF($AH122&lt;=2,
SUMPRODUCT(INDEX($AR$23:$AT$61,,$AI122), INDEX($AU$23:$BA$61,,$AH122), 1 / ($BB$23:$BB$61*CU122), N($AQ$23:$AQ$61&gt;$AO122)),
SUMPRODUCT(INDEX($AR$23:$AT$46,,$AI122), INDEX($AU$23:$BA$46,,$AH122), 1 / ($BC$23:$BC$46*CU122), N($AQ$23:$AQ$46&gt;$AO122))
) / 1000</f>
        <v>0</v>
      </c>
      <c r="CX122" s="230">
        <f t="shared" si="269"/>
        <v>0</v>
      </c>
      <c r="CY122" s="238"/>
    </row>
    <row r="123" spans="1:103" s="76" customFormat="1" ht="14.25" customHeight="1" x14ac:dyDescent="0.2">
      <c r="A123" s="231" t="b">
        <f t="shared" si="229"/>
        <v>0</v>
      </c>
      <c r="B123" s="245">
        <v>101</v>
      </c>
      <c r="C123" s="258"/>
      <c r="D123" s="258"/>
      <c r="E123" s="246"/>
      <c r="F123" s="247" t="str">
        <f>IF(ISBLANK(E123), "", VLOOKUP(E123, Z!$A$2:$C$4127, 3, FALSE))</f>
        <v/>
      </c>
      <c r="G123" s="248"/>
      <c r="H123" s="248"/>
      <c r="I123" s="249"/>
      <c r="J123" s="250"/>
      <c r="K123" s="259"/>
      <c r="L123" s="260"/>
      <c r="M123" s="252" t="str" cm="1">
        <f t="array" ref="M123">INDEX(Trad, 53, $A$20)</f>
        <v>Verschmutzt</v>
      </c>
      <c r="N123" s="253"/>
      <c r="O123" s="253"/>
      <c r="P123" s="254"/>
      <c r="Q123" s="251"/>
      <c r="R123" s="251"/>
      <c r="S123" s="264">
        <f t="shared" ref="S123:S186" si="372">CB123*1000</f>
        <v>0</v>
      </c>
      <c r="T123" s="252" t="str" cm="1">
        <f t="array" ref="T123">INDEX(Trad, 52, $A$20)</f>
        <v>Sauber</v>
      </c>
      <c r="U123" s="253"/>
      <c r="V123" s="253"/>
      <c r="W123" s="254"/>
      <c r="X123" s="251"/>
      <c r="Y123" s="251"/>
      <c r="Z123" s="264">
        <f t="shared" ref="Z123:Z186" si="373">CX123*1000</f>
        <v>0</v>
      </c>
      <c r="AA123" s="261"/>
      <c r="AB123" s="258"/>
      <c r="AC123" s="246"/>
      <c r="AD123" s="247" t="str">
        <f>IF(ISBLANK(AC123), "", VLOOKUP(AC123, Z!$A$2:$C$4127, 3, FALSE))</f>
        <v/>
      </c>
      <c r="AE123" s="262"/>
      <c r="AF123" s="263">
        <f t="shared" ref="AF123:AF186" si="374">0.75*AP$23*(S123-Z123)</f>
        <v>0</v>
      </c>
      <c r="AG123" s="238"/>
      <c r="AH123" s="229">
        <f t="shared" si="369"/>
        <v>1</v>
      </c>
      <c r="AI123" s="229">
        <f t="shared" si="370"/>
        <v>1</v>
      </c>
      <c r="AJ123" s="229">
        <f t="shared" si="371"/>
        <v>0</v>
      </c>
      <c r="AK123" s="229">
        <v>0</v>
      </c>
      <c r="AL123" s="229">
        <v>0</v>
      </c>
      <c r="AM123" s="229">
        <v>1</v>
      </c>
      <c r="AN123" s="229">
        <v>0</v>
      </c>
      <c r="AO123" s="229">
        <f t="shared" ref="AO123:AO186" si="375">IF(AND(J123="x", AH123=5), 11, IF(AND(J123="x", AH123=6), 19, -100))</f>
        <v>-100</v>
      </c>
      <c r="AP123" s="238"/>
      <c r="AQ123" s="255"/>
      <c r="AR123" s="255"/>
      <c r="AS123" s="256"/>
      <c r="AT123" s="256"/>
      <c r="AU123" s="256"/>
      <c r="AV123" s="256"/>
      <c r="AW123" s="256"/>
      <c r="AX123" s="256"/>
      <c r="AY123" s="256"/>
      <c r="AZ123" s="256"/>
      <c r="BA123" s="256"/>
      <c r="BB123" s="256"/>
      <c r="BC123" s="256"/>
      <c r="BD123" s="238"/>
      <c r="BE123" s="229" cm="1">
        <f t="array" ref="BE123">IF(ISBLANK(R123), INDEX(Use, $AH123, 4) - AM123*INDEX(Use, $AH123, 6), R123)</f>
        <v>5</v>
      </c>
      <c r="BF123" s="229">
        <f t="shared" ref="BF123:BF186" si="376">MAX(25, BE123+25)</f>
        <v>30</v>
      </c>
      <c r="BG123" s="229">
        <f t="shared" si="241"/>
        <v>13</v>
      </c>
      <c r="BH123" s="229">
        <f t="shared" si="242"/>
        <v>0</v>
      </c>
      <c r="BI123" s="234" cm="1">
        <f t="array" ref="BI123">K123/IF($L123&gt;0, INDEX($AU$23:$BA$77, $L123+20, $AH123), 1)</f>
        <v>0</v>
      </c>
      <c r="BJ123" s="230">
        <f t="shared" ref="BJ123:BJ186" si="377">P123 /  IF(AH123&lt;=2, 0.7 + 0.3 * (O123-20)/(35-20), 0.4 + 0.6 * (O123-5)/(35-5))</f>
        <v>0</v>
      </c>
      <c r="BK123" s="229">
        <v>35</v>
      </c>
      <c r="BL123" s="230">
        <f t="shared" ref="BL123:BL186" si="378">MAX($N123, MAX($BF123, $BK123 + $BG123 + $BH123 + 0.35*$AK123*$BG123 + BJ123))</f>
        <v>48</v>
      </c>
      <c r="BM123" s="235">
        <f t="shared" ref="BM123:BM186" si="379">0.45*($BE123+273.15)/(BL123-$BE123)</f>
        <v>2.9108720930232557</v>
      </c>
      <c r="BN123" s="235" cm="1">
        <f t="array" ref="BN123">$BI123 * SUMPRODUCT(INDEX($AR$77:$AT$82,,$AI123),INDEX($AU$77:$BA$82,,$AH123), N($AQ$77:$AQ$82&gt;$AO123)) / BM123 / 1000</f>
        <v>0</v>
      </c>
      <c r="BO123" s="232">
        <f t="shared" si="246"/>
        <v>30</v>
      </c>
      <c r="BP123" s="230">
        <f t="shared" ref="BP123:BP186" si="380">MAX($N123, MAX($BF123, BO123 + $BG123 + $BH123 + IF($AH123&lt;=2, (BO123-20)/(35-20), 0.6+0.4*(BO123-5)/(35-5))*0.35*$AK123*$BG123) + IF($AH123&lt;=2,0.9,0.8)*$BJ123)</f>
        <v>43</v>
      </c>
      <c r="BQ123" s="235">
        <f t="shared" ref="BQ123:BQ186" si="381">0.45*($BE123+273.15)/(BP123-$BE123)</f>
        <v>3.2938815789473681</v>
      </c>
      <c r="BR123" s="235" cm="1">
        <f t="array" ref="BR123">$BI123 * IF($AH123&lt;=2,
SUMPRODUCT(INDEX($AR$72:$AT$76,,$AI123), INDEX($AU$72:$BA$76,,$AH123), 1 / ($BB$72:$BB$76*BQ123 + (1-$BB$72:$BB$76)*BM123), N($AQ$72:$AQ$76&gt;$AO123)),
SUMPRODUCT(INDEX($AR$67:$AT$76,,$AI123), INDEX($AU$67:$BA$76,,$AH123), 1 / ($BC$67:$BC$76*BQ123 + (1-$BC$67:$BC$76)*BM123), N($AQ$67:$AQ$76&gt;$AO123))
) / 1000</f>
        <v>0</v>
      </c>
      <c r="BS123" s="232">
        <f t="shared" si="249"/>
        <v>25</v>
      </c>
      <c r="BT123" s="230">
        <f t="shared" ref="BT123:BT186" si="382">MAX($N123, MAX($BF123, BS123 + $BG123 + $BH123 + IF($AH123&lt;=2, (BS123-20)/(35-20), 0.6+0.4*(BS123-5)/(35-5))*0.35*$AK123*$BG123) + IF($AH123&lt;=2,0.8,0.6)*$BJ123)</f>
        <v>38</v>
      </c>
      <c r="BU123" s="235">
        <f t="shared" ref="BU123:BU186" si="383">0.45*($BE123+273.15)/(BT123-$BE123)</f>
        <v>3.792954545454545</v>
      </c>
      <c r="BV123" s="235" cm="1">
        <f t="array" ref="BV123">$BI123 * IF($AH123&lt;=2,
SUMPRODUCT(INDEX($AR$67:$AT$71,,$AI123), INDEX($AU$67:$BA$71,,$AH123), 1 / ($BB$67:$BB$71*BU123 + (1-$BB$67:$BB$71)*BQ123), N($AQ$67:$AQ$71&gt;$AO123)),
SUMPRODUCT(INDEX($AR$57:$AT$66,,$AI123), INDEX($AU$57:$BA$66,,$AH123), 1 / ($BC$57:$BC$66*BU123 + (1-$BC$57:$BC$66)*BQ123), N($AQ$57:$AQ$66&gt;$AO123))
) / 1000</f>
        <v>0</v>
      </c>
      <c r="BW123" s="232">
        <f t="shared" si="252"/>
        <v>20</v>
      </c>
      <c r="BX123" s="230">
        <f t="shared" ref="BX123:BX186" si="384">MAX($N123, MAX($BF123, BW123 + $BG123 + $BH123 + IF($AH123&lt;=2, (BW123-20)/(35-20), 0.6+0.4*(BW123-5)/(35-5))*0.35*$AK123*$BG123) + IF($AH123&lt;=2,0.7,0.4)*$BJ123)</f>
        <v>33</v>
      </c>
      <c r="BY123" s="235">
        <f t="shared" ref="BY123:BY186" si="385">0.45*($BE123+273.15)/(BX123-$BE123)</f>
        <v>4.4702678571428569</v>
      </c>
      <c r="BZ123" s="235" cm="1">
        <f t="array" ref="BZ123">$BI123 * IF($AH123&lt;=2,
SUMPRODUCT(INDEX($AR$62:$AT$66,,$AI123), INDEX($AU$62:$BA$66,,$AH123), 1 / ($BB$62:$BB$66*BY123 + (1-$BB$62:$BB$66)*BU123), N($AQ$62:$AQ$66&gt;$AO123)),
SUMPRODUCT(INDEX($AR$47:$AT$56,,$AI123), INDEX($AU$47:$BA$56,,$AH123), 1 / ($BC$47:$BC$56*BY123 + (1-$BC$47:$BC$56)*BU123), N($AQ$47:$AQ$56&gt;$AO123))
) / 1000</f>
        <v>0</v>
      </c>
      <c r="CA123" s="235" cm="1">
        <f t="array" ref="CA123">$BI123 * IF($AH123&lt;=2,
SUMPRODUCT(INDEX($AR$23:$AT$61,,$AI123), INDEX($AU$23:$BA$61,,$AH123), 1 / ($BB$23:$BB$61*BY123), N($AQ$23:$AQ$61&gt;$AO123)),
SUMPRODUCT(INDEX($AR$23:$AT$46,,$AI123), INDEX($AU$23:$BA$46,,$AH123), 1 / ($BC$23:$BC$46*BY123), N($AQ$23:$AQ$46&gt;$AO123))
) / 1000</f>
        <v>0</v>
      </c>
      <c r="CB123" s="230">
        <f t="shared" ref="CB123:CB186" si="386">BN123+BR123+BV123+BZ123+CA123</f>
        <v>0</v>
      </c>
      <c r="CC123" s="238"/>
      <c r="CD123" s="229" cm="1">
        <f t="array" ref="CD123">IF(ISBLANK(Y123), INDEX(Use, $AH123, 4) - AN123*INDEX(Use, $AH123, 6) - (Q123-X123), Y123)</f>
        <v>7</v>
      </c>
      <c r="CE123" s="229">
        <f t="shared" ref="CE123:CE186" si="387">MAX(25, CD123+25)</f>
        <v>32</v>
      </c>
      <c r="CF123" s="230">
        <f t="shared" ref="CF123:CF186" si="388">W123 /  IF(AH123&lt;=2, 0.7 + 0.3 * (V123-20)/(35-20), 0.4 + 0.6 * (V123-5)/(35-5))</f>
        <v>0</v>
      </c>
      <c r="CG123" s="229">
        <v>35</v>
      </c>
      <c r="CH123" s="230">
        <f t="shared" ref="CH123:CH186" si="389">MAX($U123, MAX($CE123, $BK123 + $BG123 + $BH123 + 0.35*$AL123*$BG123 + CF123))</f>
        <v>48</v>
      </c>
      <c r="CI123" s="235">
        <f t="shared" ref="CI123:CI186" si="390">0.45*($CD123+273.15)/(CH123-$CD123)</f>
        <v>3.0748170731707316</v>
      </c>
      <c r="CJ123" s="235" cm="1">
        <f t="array" ref="CJ123">$BI123 * SUMPRODUCT(INDEX($AR$77:$AT$82,,$AI123),INDEX($AU$77:$BA$82,,$AH123), N($AQ$77:$AQ$82&gt;$AO123)) / CI123 / 1000</f>
        <v>0</v>
      </c>
      <c r="CK123" s="232">
        <f t="shared" si="260"/>
        <v>30</v>
      </c>
      <c r="CL123" s="230">
        <f t="shared" ref="CL123:CL186" si="391">MAX($U123, MAX($CE123, CK123 + $BG123 + $BH123 + IF($AH123&lt;=2, (CK123-20)/(35-20), 0.6+0.4*(CK123-5)/(35-5))*0.35*$AL123*$BG123) + IF($AH123&lt;=2,0.9,0.8)*$CF123)</f>
        <v>43</v>
      </c>
      <c r="CM123" s="235">
        <f t="shared" ref="CM123:CM186" si="392">0.45*($CD123+273.15)/(CL123-$CD123)</f>
        <v>3.5018750000000001</v>
      </c>
      <c r="CN123" s="235" cm="1">
        <f t="array" ref="CN123">$BI123 * IF($AH123&lt;=2,
SUMPRODUCT(INDEX($AR$72:$AT$76,,$AI123), INDEX($AU$72:$BA$76,,$AH123), 1 / ($BB$72:$BB$76*CM123 + (1-$BB$72:$BB$76)*CI123), N($AQ$72:$AQ$76&gt;$AO123)),
SUMPRODUCT(INDEX($AR$67:$AT$76,,$AI123), INDEX($AU$67:$BA$76,,$AH123), 1 / ($BC$67:$BC$76*CM123 + (1-$BC$67:$BC$76)*CI123), N($AQ$67:$AQ$76&gt;$AO123))
) / 1000</f>
        <v>0</v>
      </c>
      <c r="CO123" s="232">
        <f t="shared" si="263"/>
        <v>25</v>
      </c>
      <c r="CP123" s="230">
        <f t="shared" ref="CP123:CP186" si="393">MAX($U123, MAX($CE123, CO123 + $BG123 + $BH123 + IF($AH123&lt;=2, (CO123-20)/(35-20), 0.6+0.4*(CO123-5)/(35-5))*0.35*$AL123*$BG123) + IF($AH123&lt;=2,0.8,0.6)*$CF123)</f>
        <v>38</v>
      </c>
      <c r="CQ123" s="235">
        <f t="shared" ref="CQ123:CQ186" si="394">0.45*($CD123+273.15)/(CP123-$CD123)</f>
        <v>4.0666935483870965</v>
      </c>
      <c r="CR123" s="235" cm="1">
        <f t="array" ref="CR123">$BI123 * IF($AH123&lt;=2,
SUMPRODUCT(INDEX($AR$67:$AT$71,,$AI123), INDEX($AU$67:$BA$71,,$AH123), 1 / ($BB$67:$BB$71*CQ123 + (1-$BB$67:$BB$71)*CM123), N($AQ$67:$AQ$71&gt;$AO123)),
SUMPRODUCT(INDEX($AR$57:$AT$66,,$AI123), INDEX($AU$57:$BA$66,,$AH123), 1 / ($BC$57:$BC$66*CQ123 + (1-$BC$57:$BC$66)*CM123), N($AQ$57:$AQ$66&gt;$AO123))
) / 1000</f>
        <v>0</v>
      </c>
      <c r="CS123" s="232">
        <f t="shared" si="266"/>
        <v>20</v>
      </c>
      <c r="CT123" s="230">
        <f t="shared" ref="CT123:CT186" si="395">MAX($U123, MAX($CE123, CS123 + $BG123 + $BH123 + IF($AH123&lt;=2, (CS123-20)/(35-20), 0.6+0.4*(CS123-5)/(35-5))*0.35*$AL123*$BG123) + IF($AH123&lt;=2,0.7,0.4)*$CF123)</f>
        <v>33</v>
      </c>
      <c r="CU123" s="235">
        <f t="shared" ref="CU123:CU186" si="396">0.45*($CD123+273.15)/(CT123-$CD123)</f>
        <v>4.8487499999999999</v>
      </c>
      <c r="CV123" s="235" cm="1">
        <f t="array" ref="CV123">$BI123 * IF($AH123&lt;=2,
SUMPRODUCT(INDEX($AR$62:$AT$66,,$AI123), INDEX($AU$62:$BA$66,,$AH123), 1 / ($BB$62:$BB$66*CU123 + (1-$BB$62:$BB$66)*CQ123), N($AQ$62:$AQ$66&gt;$AO123)),
SUMPRODUCT(INDEX($AR$47:$AT$56,,$AI123), INDEX($AU$47:$BA$56,,$AH123), 1 / ($BC$47:$BC$56*CU123 + (1-$BC$47:$BC$56)*CQ123), N($AQ$47:$AQ$56&gt;$AO123))
) / 1000</f>
        <v>0</v>
      </c>
      <c r="CW123" s="235" cm="1">
        <f t="array" ref="CW123">$BI123 * IF($AH123&lt;=2,
SUMPRODUCT(INDEX($AR$23:$AT$61,,$AI123), INDEX($AU$23:$BA$61,,$AH123), 1 / ($BB$23:$BB$61*CU123), N($AQ$23:$AQ$61&gt;$AO123)),
SUMPRODUCT(INDEX($AR$23:$AT$46,,$AI123), INDEX($AU$23:$BA$46,,$AH123), 1 / ($BC$23:$BC$46*CU123), N($AQ$23:$AQ$46&gt;$AO123))
) / 1000</f>
        <v>0</v>
      </c>
      <c r="CX123" s="230">
        <f t="shared" ref="CX123:CX186" si="397">CJ123+CN123+CR123+CV123+CW123</f>
        <v>0</v>
      </c>
      <c r="CY123" s="238"/>
    </row>
    <row r="124" spans="1:103" s="76" customFormat="1" ht="14.25" customHeight="1" x14ac:dyDescent="0.2">
      <c r="A124" s="231" t="b">
        <f t="shared" si="229"/>
        <v>0</v>
      </c>
      <c r="B124" s="245">
        <v>102</v>
      </c>
      <c r="C124" s="258"/>
      <c r="D124" s="258"/>
      <c r="E124" s="246"/>
      <c r="F124" s="247" t="str">
        <f>IF(ISBLANK(E124), "", VLOOKUP(E124, Z!$A$2:$C$4127, 3, FALSE))</f>
        <v/>
      </c>
      <c r="G124" s="248"/>
      <c r="H124" s="248"/>
      <c r="I124" s="249"/>
      <c r="J124" s="250"/>
      <c r="K124" s="259"/>
      <c r="L124" s="260"/>
      <c r="M124" s="252" t="str" cm="1">
        <f t="array" ref="M124">INDEX(Trad, 53, $A$20)</f>
        <v>Verschmutzt</v>
      </c>
      <c r="N124" s="253"/>
      <c r="O124" s="253"/>
      <c r="P124" s="254"/>
      <c r="Q124" s="251"/>
      <c r="R124" s="251"/>
      <c r="S124" s="264">
        <f t="shared" si="372"/>
        <v>0</v>
      </c>
      <c r="T124" s="252" t="str" cm="1">
        <f t="array" ref="T124">INDEX(Trad, 52, $A$20)</f>
        <v>Sauber</v>
      </c>
      <c r="U124" s="253"/>
      <c r="V124" s="253"/>
      <c r="W124" s="254"/>
      <c r="X124" s="251"/>
      <c r="Y124" s="251"/>
      <c r="Z124" s="264">
        <f t="shared" si="373"/>
        <v>0</v>
      </c>
      <c r="AA124" s="261"/>
      <c r="AB124" s="258"/>
      <c r="AC124" s="246"/>
      <c r="AD124" s="247" t="str">
        <f>IF(ISBLANK(AC124), "", VLOOKUP(AC124, Z!$A$2:$C$4127, 3, FALSE))</f>
        <v/>
      </c>
      <c r="AE124" s="262"/>
      <c r="AF124" s="263">
        <f t="shared" si="374"/>
        <v>0</v>
      </c>
      <c r="AG124" s="238"/>
      <c r="AH124" s="229">
        <f t="shared" ref="AH124:AH187" si="398">IF(ISBLANK(H124), 1, IFERROR(MATCH(H124, INDEX(Use,,1), 0), IFERROR(MATCH(H124, INDEX(Use,,2), 0), MATCH(H124, INDEX(Use,,3), 0))))</f>
        <v>1</v>
      </c>
      <c r="AI124" s="229">
        <f t="shared" ref="AI124:AI187" si="399">IF(ISBLANK(G124), 1, IFERROR(MATCH(G124, INDEX(Loc,,1), 0), IFERROR(MATCH(G124, INDEX(Loc,,2), 0), MATCH(G124, INDEX(Loc,,3), 0))))</f>
        <v>1</v>
      </c>
      <c r="AJ124" s="229">
        <f t="shared" ref="AJ124:AJ187" si="400">_xlfn.IFNA(IF(IFERROR(MATCH(I124, INDEX(Medium,,1), 0), IFERROR(MATCH(I124, INDEX(Medium,,2), 0), MATCH(I124, INDEX(Medium,,3), 0))) = 2, 1, 0), 0)</f>
        <v>0</v>
      </c>
      <c r="AK124" s="229">
        <v>0</v>
      </c>
      <c r="AL124" s="229">
        <v>0</v>
      </c>
      <c r="AM124" s="229">
        <v>1</v>
      </c>
      <c r="AN124" s="229">
        <v>0</v>
      </c>
      <c r="AO124" s="229">
        <f t="shared" si="375"/>
        <v>-100</v>
      </c>
      <c r="AP124" s="238"/>
      <c r="AQ124" s="255"/>
      <c r="AR124" s="255"/>
      <c r="AS124" s="256"/>
      <c r="AT124" s="256"/>
      <c r="AU124" s="256"/>
      <c r="AV124" s="256"/>
      <c r="AW124" s="256"/>
      <c r="AX124" s="256"/>
      <c r="AY124" s="256"/>
      <c r="AZ124" s="256"/>
      <c r="BA124" s="256"/>
      <c r="BB124" s="256"/>
      <c r="BC124" s="256"/>
      <c r="BD124" s="238"/>
      <c r="BE124" s="229" cm="1">
        <f t="array" ref="BE124">IF(ISBLANK(R124), INDEX(Use, $AH124, 4) - AM124*INDEX(Use, $AH124, 6), R124)</f>
        <v>5</v>
      </c>
      <c r="BF124" s="229">
        <f t="shared" si="376"/>
        <v>30</v>
      </c>
      <c r="BG124" s="229">
        <f t="shared" si="241"/>
        <v>13</v>
      </c>
      <c r="BH124" s="229">
        <f t="shared" si="242"/>
        <v>0</v>
      </c>
      <c r="BI124" s="234" cm="1">
        <f t="array" ref="BI124">K124/IF($L124&gt;0, INDEX($AU$23:$BA$77, $L124+20, $AH124), 1)</f>
        <v>0</v>
      </c>
      <c r="BJ124" s="230">
        <f t="shared" si="377"/>
        <v>0</v>
      </c>
      <c r="BK124" s="229">
        <v>35</v>
      </c>
      <c r="BL124" s="230">
        <f t="shared" si="378"/>
        <v>48</v>
      </c>
      <c r="BM124" s="235">
        <f t="shared" si="379"/>
        <v>2.9108720930232557</v>
      </c>
      <c r="BN124" s="235" cm="1">
        <f t="array" ref="BN124">$BI124 * SUMPRODUCT(INDEX($AR$77:$AT$82,,$AI124),INDEX($AU$77:$BA$82,,$AH124), N($AQ$77:$AQ$82&gt;$AO124)) / BM124 / 1000</f>
        <v>0</v>
      </c>
      <c r="BO124" s="232">
        <f t="shared" si="246"/>
        <v>30</v>
      </c>
      <c r="BP124" s="230">
        <f t="shared" si="380"/>
        <v>43</v>
      </c>
      <c r="BQ124" s="235">
        <f t="shared" si="381"/>
        <v>3.2938815789473681</v>
      </c>
      <c r="BR124" s="235" cm="1">
        <f t="array" ref="BR124">$BI124 * IF($AH124&lt;=2,
SUMPRODUCT(INDEX($AR$72:$AT$76,,$AI124), INDEX($AU$72:$BA$76,,$AH124), 1 / ($BB$72:$BB$76*BQ124 + (1-$BB$72:$BB$76)*BM124), N($AQ$72:$AQ$76&gt;$AO124)),
SUMPRODUCT(INDEX($AR$67:$AT$76,,$AI124), INDEX($AU$67:$BA$76,,$AH124), 1 / ($BC$67:$BC$76*BQ124 + (1-$BC$67:$BC$76)*BM124), N($AQ$67:$AQ$76&gt;$AO124))
) / 1000</f>
        <v>0</v>
      </c>
      <c r="BS124" s="232">
        <f t="shared" si="249"/>
        <v>25</v>
      </c>
      <c r="BT124" s="230">
        <f t="shared" si="382"/>
        <v>38</v>
      </c>
      <c r="BU124" s="235">
        <f t="shared" si="383"/>
        <v>3.792954545454545</v>
      </c>
      <c r="BV124" s="235" cm="1">
        <f t="array" ref="BV124">$BI124 * IF($AH124&lt;=2,
SUMPRODUCT(INDEX($AR$67:$AT$71,,$AI124), INDEX($AU$67:$BA$71,,$AH124), 1 / ($BB$67:$BB$71*BU124 + (1-$BB$67:$BB$71)*BQ124), N($AQ$67:$AQ$71&gt;$AO124)),
SUMPRODUCT(INDEX($AR$57:$AT$66,,$AI124), INDEX($AU$57:$BA$66,,$AH124), 1 / ($BC$57:$BC$66*BU124 + (1-$BC$57:$BC$66)*BQ124), N($AQ$57:$AQ$66&gt;$AO124))
) / 1000</f>
        <v>0</v>
      </c>
      <c r="BW124" s="232">
        <f t="shared" si="252"/>
        <v>20</v>
      </c>
      <c r="BX124" s="230">
        <f t="shared" si="384"/>
        <v>33</v>
      </c>
      <c r="BY124" s="235">
        <f t="shared" si="385"/>
        <v>4.4702678571428569</v>
      </c>
      <c r="BZ124" s="235" cm="1">
        <f t="array" ref="BZ124">$BI124 * IF($AH124&lt;=2,
SUMPRODUCT(INDEX($AR$62:$AT$66,,$AI124), INDEX($AU$62:$BA$66,,$AH124), 1 / ($BB$62:$BB$66*BY124 + (1-$BB$62:$BB$66)*BU124), N($AQ$62:$AQ$66&gt;$AO124)),
SUMPRODUCT(INDEX($AR$47:$AT$56,,$AI124), INDEX($AU$47:$BA$56,,$AH124), 1 / ($BC$47:$BC$56*BY124 + (1-$BC$47:$BC$56)*BU124), N($AQ$47:$AQ$56&gt;$AO124))
) / 1000</f>
        <v>0</v>
      </c>
      <c r="CA124" s="235" cm="1">
        <f t="array" ref="CA124">$BI124 * IF($AH124&lt;=2,
SUMPRODUCT(INDEX($AR$23:$AT$61,,$AI124), INDEX($AU$23:$BA$61,,$AH124), 1 / ($BB$23:$BB$61*BY124), N($AQ$23:$AQ$61&gt;$AO124)),
SUMPRODUCT(INDEX($AR$23:$AT$46,,$AI124), INDEX($AU$23:$BA$46,,$AH124), 1 / ($BC$23:$BC$46*BY124), N($AQ$23:$AQ$46&gt;$AO124))
) / 1000</f>
        <v>0</v>
      </c>
      <c r="CB124" s="230">
        <f t="shared" si="386"/>
        <v>0</v>
      </c>
      <c r="CC124" s="238"/>
      <c r="CD124" s="229" cm="1">
        <f t="array" ref="CD124">IF(ISBLANK(Y124), INDEX(Use, $AH124, 4) - AN124*INDEX(Use, $AH124, 6) - (Q124-X124), Y124)</f>
        <v>7</v>
      </c>
      <c r="CE124" s="229">
        <f t="shared" si="387"/>
        <v>32</v>
      </c>
      <c r="CF124" s="230">
        <f t="shared" si="388"/>
        <v>0</v>
      </c>
      <c r="CG124" s="229">
        <v>35</v>
      </c>
      <c r="CH124" s="230">
        <f t="shared" si="389"/>
        <v>48</v>
      </c>
      <c r="CI124" s="235">
        <f t="shared" si="390"/>
        <v>3.0748170731707316</v>
      </c>
      <c r="CJ124" s="235" cm="1">
        <f t="array" ref="CJ124">$BI124 * SUMPRODUCT(INDEX($AR$77:$AT$82,,$AI124),INDEX($AU$77:$BA$82,,$AH124), N($AQ$77:$AQ$82&gt;$AO124)) / CI124 / 1000</f>
        <v>0</v>
      </c>
      <c r="CK124" s="232">
        <f t="shared" si="260"/>
        <v>30</v>
      </c>
      <c r="CL124" s="230">
        <f t="shared" si="391"/>
        <v>43</v>
      </c>
      <c r="CM124" s="235">
        <f t="shared" si="392"/>
        <v>3.5018750000000001</v>
      </c>
      <c r="CN124" s="235" cm="1">
        <f t="array" ref="CN124">$BI124 * IF($AH124&lt;=2,
SUMPRODUCT(INDEX($AR$72:$AT$76,,$AI124), INDEX($AU$72:$BA$76,,$AH124), 1 / ($BB$72:$BB$76*CM124 + (1-$BB$72:$BB$76)*CI124), N($AQ$72:$AQ$76&gt;$AO124)),
SUMPRODUCT(INDEX($AR$67:$AT$76,,$AI124), INDEX($AU$67:$BA$76,,$AH124), 1 / ($BC$67:$BC$76*CM124 + (1-$BC$67:$BC$76)*CI124), N($AQ$67:$AQ$76&gt;$AO124))
) / 1000</f>
        <v>0</v>
      </c>
      <c r="CO124" s="232">
        <f t="shared" si="263"/>
        <v>25</v>
      </c>
      <c r="CP124" s="230">
        <f t="shared" si="393"/>
        <v>38</v>
      </c>
      <c r="CQ124" s="235">
        <f t="shared" si="394"/>
        <v>4.0666935483870965</v>
      </c>
      <c r="CR124" s="235" cm="1">
        <f t="array" ref="CR124">$BI124 * IF($AH124&lt;=2,
SUMPRODUCT(INDEX($AR$67:$AT$71,,$AI124), INDEX($AU$67:$BA$71,,$AH124), 1 / ($BB$67:$BB$71*CQ124 + (1-$BB$67:$BB$71)*CM124), N($AQ$67:$AQ$71&gt;$AO124)),
SUMPRODUCT(INDEX($AR$57:$AT$66,,$AI124), INDEX($AU$57:$BA$66,,$AH124), 1 / ($BC$57:$BC$66*CQ124 + (1-$BC$57:$BC$66)*CM124), N($AQ$57:$AQ$66&gt;$AO124))
) / 1000</f>
        <v>0</v>
      </c>
      <c r="CS124" s="232">
        <f t="shared" si="266"/>
        <v>20</v>
      </c>
      <c r="CT124" s="230">
        <f t="shared" si="395"/>
        <v>33</v>
      </c>
      <c r="CU124" s="235">
        <f t="shared" si="396"/>
        <v>4.8487499999999999</v>
      </c>
      <c r="CV124" s="235" cm="1">
        <f t="array" ref="CV124">$BI124 * IF($AH124&lt;=2,
SUMPRODUCT(INDEX($AR$62:$AT$66,,$AI124), INDEX($AU$62:$BA$66,,$AH124), 1 / ($BB$62:$BB$66*CU124 + (1-$BB$62:$BB$66)*CQ124), N($AQ$62:$AQ$66&gt;$AO124)),
SUMPRODUCT(INDEX($AR$47:$AT$56,,$AI124), INDEX($AU$47:$BA$56,,$AH124), 1 / ($BC$47:$BC$56*CU124 + (1-$BC$47:$BC$56)*CQ124), N($AQ$47:$AQ$56&gt;$AO124))
) / 1000</f>
        <v>0</v>
      </c>
      <c r="CW124" s="235" cm="1">
        <f t="array" ref="CW124">$BI124 * IF($AH124&lt;=2,
SUMPRODUCT(INDEX($AR$23:$AT$61,,$AI124), INDEX($AU$23:$BA$61,,$AH124), 1 / ($BB$23:$BB$61*CU124), N($AQ$23:$AQ$61&gt;$AO124)),
SUMPRODUCT(INDEX($AR$23:$AT$46,,$AI124), INDEX($AU$23:$BA$46,,$AH124), 1 / ($BC$23:$BC$46*CU124), N($AQ$23:$AQ$46&gt;$AO124))
) / 1000</f>
        <v>0</v>
      </c>
      <c r="CX124" s="230">
        <f t="shared" si="397"/>
        <v>0</v>
      </c>
      <c r="CY124" s="238"/>
    </row>
    <row r="125" spans="1:103" s="76" customFormat="1" ht="14.25" customHeight="1" x14ac:dyDescent="0.2">
      <c r="A125" s="231" t="b">
        <f t="shared" si="229"/>
        <v>0</v>
      </c>
      <c r="B125" s="245">
        <v>103</v>
      </c>
      <c r="C125" s="258"/>
      <c r="D125" s="258"/>
      <c r="E125" s="246"/>
      <c r="F125" s="247" t="str">
        <f>IF(ISBLANK(E125), "", VLOOKUP(E125, Z!$A$2:$C$4127, 3, FALSE))</f>
        <v/>
      </c>
      <c r="G125" s="248"/>
      <c r="H125" s="248"/>
      <c r="I125" s="249"/>
      <c r="J125" s="250"/>
      <c r="K125" s="259"/>
      <c r="L125" s="260"/>
      <c r="M125" s="252" t="str" cm="1">
        <f t="array" ref="M125">INDEX(Trad, 53, $A$20)</f>
        <v>Verschmutzt</v>
      </c>
      <c r="N125" s="253"/>
      <c r="O125" s="253"/>
      <c r="P125" s="254"/>
      <c r="Q125" s="251"/>
      <c r="R125" s="251"/>
      <c r="S125" s="264">
        <f t="shared" si="372"/>
        <v>0</v>
      </c>
      <c r="T125" s="252" t="str" cm="1">
        <f t="array" ref="T125">INDEX(Trad, 52, $A$20)</f>
        <v>Sauber</v>
      </c>
      <c r="U125" s="253"/>
      <c r="V125" s="253"/>
      <c r="W125" s="254"/>
      <c r="X125" s="251"/>
      <c r="Y125" s="251"/>
      <c r="Z125" s="264">
        <f t="shared" si="373"/>
        <v>0</v>
      </c>
      <c r="AA125" s="261"/>
      <c r="AB125" s="258"/>
      <c r="AC125" s="246"/>
      <c r="AD125" s="247" t="str">
        <f>IF(ISBLANK(AC125), "", VLOOKUP(AC125, Z!$A$2:$C$4127, 3, FALSE))</f>
        <v/>
      </c>
      <c r="AE125" s="262"/>
      <c r="AF125" s="263">
        <f t="shared" si="374"/>
        <v>0</v>
      </c>
      <c r="AG125" s="238"/>
      <c r="AH125" s="229">
        <f t="shared" si="398"/>
        <v>1</v>
      </c>
      <c r="AI125" s="229">
        <f t="shared" si="399"/>
        <v>1</v>
      </c>
      <c r="AJ125" s="229">
        <f t="shared" si="400"/>
        <v>0</v>
      </c>
      <c r="AK125" s="229">
        <v>0</v>
      </c>
      <c r="AL125" s="229">
        <v>0</v>
      </c>
      <c r="AM125" s="229">
        <v>1</v>
      </c>
      <c r="AN125" s="229">
        <v>0</v>
      </c>
      <c r="AO125" s="229">
        <f t="shared" si="375"/>
        <v>-100</v>
      </c>
      <c r="AP125" s="238"/>
      <c r="AQ125" s="255"/>
      <c r="AR125" s="255"/>
      <c r="AS125" s="256"/>
      <c r="AT125" s="256"/>
      <c r="AU125" s="256"/>
      <c r="AV125" s="256"/>
      <c r="AW125" s="256"/>
      <c r="AX125" s="256"/>
      <c r="AY125" s="256"/>
      <c r="AZ125" s="256"/>
      <c r="BA125" s="256"/>
      <c r="BB125" s="256"/>
      <c r="BC125" s="256"/>
      <c r="BD125" s="238"/>
      <c r="BE125" s="229" cm="1">
        <f t="array" ref="BE125">IF(ISBLANK(R125), INDEX(Use, $AH125, 4) - AM125*INDEX(Use, $AH125, 6), R125)</f>
        <v>5</v>
      </c>
      <c r="BF125" s="229">
        <f t="shared" si="376"/>
        <v>30</v>
      </c>
      <c r="BG125" s="229">
        <f t="shared" si="241"/>
        <v>13</v>
      </c>
      <c r="BH125" s="229">
        <f t="shared" si="242"/>
        <v>0</v>
      </c>
      <c r="BI125" s="234" cm="1">
        <f t="array" ref="BI125">K125/IF($L125&gt;0, INDEX($AU$23:$BA$77, $L125+20, $AH125), 1)</f>
        <v>0</v>
      </c>
      <c r="BJ125" s="230">
        <f t="shared" si="377"/>
        <v>0</v>
      </c>
      <c r="BK125" s="229">
        <v>35</v>
      </c>
      <c r="BL125" s="230">
        <f t="shared" si="378"/>
        <v>48</v>
      </c>
      <c r="BM125" s="235">
        <f t="shared" si="379"/>
        <v>2.9108720930232557</v>
      </c>
      <c r="BN125" s="235" cm="1">
        <f t="array" ref="BN125">$BI125 * SUMPRODUCT(INDEX($AR$77:$AT$82,,$AI125),INDEX($AU$77:$BA$82,,$AH125), N($AQ$77:$AQ$82&gt;$AO125)) / BM125 / 1000</f>
        <v>0</v>
      </c>
      <c r="BO125" s="232">
        <f t="shared" si="246"/>
        <v>30</v>
      </c>
      <c r="BP125" s="230">
        <f t="shared" si="380"/>
        <v>43</v>
      </c>
      <c r="BQ125" s="235">
        <f t="shared" si="381"/>
        <v>3.2938815789473681</v>
      </c>
      <c r="BR125" s="235" cm="1">
        <f t="array" ref="BR125">$BI125 * IF($AH125&lt;=2,
SUMPRODUCT(INDEX($AR$72:$AT$76,,$AI125), INDEX($AU$72:$BA$76,,$AH125), 1 / ($BB$72:$BB$76*BQ125 + (1-$BB$72:$BB$76)*BM125), N($AQ$72:$AQ$76&gt;$AO125)),
SUMPRODUCT(INDEX($AR$67:$AT$76,,$AI125), INDEX($AU$67:$BA$76,,$AH125), 1 / ($BC$67:$BC$76*BQ125 + (1-$BC$67:$BC$76)*BM125), N($AQ$67:$AQ$76&gt;$AO125))
) / 1000</f>
        <v>0</v>
      </c>
      <c r="BS125" s="232">
        <f t="shared" si="249"/>
        <v>25</v>
      </c>
      <c r="BT125" s="230">
        <f t="shared" si="382"/>
        <v>38</v>
      </c>
      <c r="BU125" s="235">
        <f t="shared" si="383"/>
        <v>3.792954545454545</v>
      </c>
      <c r="BV125" s="235" cm="1">
        <f t="array" ref="BV125">$BI125 * IF($AH125&lt;=2,
SUMPRODUCT(INDEX($AR$67:$AT$71,,$AI125), INDEX($AU$67:$BA$71,,$AH125), 1 / ($BB$67:$BB$71*BU125 + (1-$BB$67:$BB$71)*BQ125), N($AQ$67:$AQ$71&gt;$AO125)),
SUMPRODUCT(INDEX($AR$57:$AT$66,,$AI125), INDEX($AU$57:$BA$66,,$AH125), 1 / ($BC$57:$BC$66*BU125 + (1-$BC$57:$BC$66)*BQ125), N($AQ$57:$AQ$66&gt;$AO125))
) / 1000</f>
        <v>0</v>
      </c>
      <c r="BW125" s="232">
        <f t="shared" si="252"/>
        <v>20</v>
      </c>
      <c r="BX125" s="230">
        <f t="shared" si="384"/>
        <v>33</v>
      </c>
      <c r="BY125" s="235">
        <f t="shared" si="385"/>
        <v>4.4702678571428569</v>
      </c>
      <c r="BZ125" s="235" cm="1">
        <f t="array" ref="BZ125">$BI125 * IF($AH125&lt;=2,
SUMPRODUCT(INDEX($AR$62:$AT$66,,$AI125), INDEX($AU$62:$BA$66,,$AH125), 1 / ($BB$62:$BB$66*BY125 + (1-$BB$62:$BB$66)*BU125), N($AQ$62:$AQ$66&gt;$AO125)),
SUMPRODUCT(INDEX($AR$47:$AT$56,,$AI125), INDEX($AU$47:$BA$56,,$AH125), 1 / ($BC$47:$BC$56*BY125 + (1-$BC$47:$BC$56)*BU125), N($AQ$47:$AQ$56&gt;$AO125))
) / 1000</f>
        <v>0</v>
      </c>
      <c r="CA125" s="235" cm="1">
        <f t="array" ref="CA125">$BI125 * IF($AH125&lt;=2,
SUMPRODUCT(INDEX($AR$23:$AT$61,,$AI125), INDEX($AU$23:$BA$61,,$AH125), 1 / ($BB$23:$BB$61*BY125), N($AQ$23:$AQ$61&gt;$AO125)),
SUMPRODUCT(INDEX($AR$23:$AT$46,,$AI125), INDEX($AU$23:$BA$46,,$AH125), 1 / ($BC$23:$BC$46*BY125), N($AQ$23:$AQ$46&gt;$AO125))
) / 1000</f>
        <v>0</v>
      </c>
      <c r="CB125" s="230">
        <f t="shared" si="386"/>
        <v>0</v>
      </c>
      <c r="CC125" s="238"/>
      <c r="CD125" s="229" cm="1">
        <f t="array" ref="CD125">IF(ISBLANK(Y125), INDEX(Use, $AH125, 4) - AN125*INDEX(Use, $AH125, 6) - (Q125-X125), Y125)</f>
        <v>7</v>
      </c>
      <c r="CE125" s="229">
        <f t="shared" si="387"/>
        <v>32</v>
      </c>
      <c r="CF125" s="230">
        <f t="shared" si="388"/>
        <v>0</v>
      </c>
      <c r="CG125" s="229">
        <v>35</v>
      </c>
      <c r="CH125" s="230">
        <f t="shared" si="389"/>
        <v>48</v>
      </c>
      <c r="CI125" s="235">
        <f t="shared" si="390"/>
        <v>3.0748170731707316</v>
      </c>
      <c r="CJ125" s="235" cm="1">
        <f t="array" ref="CJ125">$BI125 * SUMPRODUCT(INDEX($AR$77:$AT$82,,$AI125),INDEX($AU$77:$BA$82,,$AH125), N($AQ$77:$AQ$82&gt;$AO125)) / CI125 / 1000</f>
        <v>0</v>
      </c>
      <c r="CK125" s="232">
        <f t="shared" si="260"/>
        <v>30</v>
      </c>
      <c r="CL125" s="230">
        <f t="shared" si="391"/>
        <v>43</v>
      </c>
      <c r="CM125" s="235">
        <f t="shared" si="392"/>
        <v>3.5018750000000001</v>
      </c>
      <c r="CN125" s="235" cm="1">
        <f t="array" ref="CN125">$BI125 * IF($AH125&lt;=2,
SUMPRODUCT(INDEX($AR$72:$AT$76,,$AI125), INDEX($AU$72:$BA$76,,$AH125), 1 / ($BB$72:$BB$76*CM125 + (1-$BB$72:$BB$76)*CI125), N($AQ$72:$AQ$76&gt;$AO125)),
SUMPRODUCT(INDEX($AR$67:$AT$76,,$AI125), INDEX($AU$67:$BA$76,,$AH125), 1 / ($BC$67:$BC$76*CM125 + (1-$BC$67:$BC$76)*CI125), N($AQ$67:$AQ$76&gt;$AO125))
) / 1000</f>
        <v>0</v>
      </c>
      <c r="CO125" s="232">
        <f t="shared" si="263"/>
        <v>25</v>
      </c>
      <c r="CP125" s="230">
        <f t="shared" si="393"/>
        <v>38</v>
      </c>
      <c r="CQ125" s="235">
        <f t="shared" si="394"/>
        <v>4.0666935483870965</v>
      </c>
      <c r="CR125" s="235" cm="1">
        <f t="array" ref="CR125">$BI125 * IF($AH125&lt;=2,
SUMPRODUCT(INDEX($AR$67:$AT$71,,$AI125), INDEX($AU$67:$BA$71,,$AH125), 1 / ($BB$67:$BB$71*CQ125 + (1-$BB$67:$BB$71)*CM125), N($AQ$67:$AQ$71&gt;$AO125)),
SUMPRODUCT(INDEX($AR$57:$AT$66,,$AI125), INDEX($AU$57:$BA$66,,$AH125), 1 / ($BC$57:$BC$66*CQ125 + (1-$BC$57:$BC$66)*CM125), N($AQ$57:$AQ$66&gt;$AO125))
) / 1000</f>
        <v>0</v>
      </c>
      <c r="CS125" s="232">
        <f t="shared" si="266"/>
        <v>20</v>
      </c>
      <c r="CT125" s="230">
        <f t="shared" si="395"/>
        <v>33</v>
      </c>
      <c r="CU125" s="235">
        <f t="shared" si="396"/>
        <v>4.8487499999999999</v>
      </c>
      <c r="CV125" s="235" cm="1">
        <f t="array" ref="CV125">$BI125 * IF($AH125&lt;=2,
SUMPRODUCT(INDEX($AR$62:$AT$66,,$AI125), INDEX($AU$62:$BA$66,,$AH125), 1 / ($BB$62:$BB$66*CU125 + (1-$BB$62:$BB$66)*CQ125), N($AQ$62:$AQ$66&gt;$AO125)),
SUMPRODUCT(INDEX($AR$47:$AT$56,,$AI125), INDEX($AU$47:$BA$56,,$AH125), 1 / ($BC$47:$BC$56*CU125 + (1-$BC$47:$BC$56)*CQ125), N($AQ$47:$AQ$56&gt;$AO125))
) / 1000</f>
        <v>0</v>
      </c>
      <c r="CW125" s="235" cm="1">
        <f t="array" ref="CW125">$BI125 * IF($AH125&lt;=2,
SUMPRODUCT(INDEX($AR$23:$AT$61,,$AI125), INDEX($AU$23:$BA$61,,$AH125), 1 / ($BB$23:$BB$61*CU125), N($AQ$23:$AQ$61&gt;$AO125)),
SUMPRODUCT(INDEX($AR$23:$AT$46,,$AI125), INDEX($AU$23:$BA$46,,$AH125), 1 / ($BC$23:$BC$46*CU125), N($AQ$23:$AQ$46&gt;$AO125))
) / 1000</f>
        <v>0</v>
      </c>
      <c r="CX125" s="230">
        <f t="shared" si="397"/>
        <v>0</v>
      </c>
      <c r="CY125" s="238"/>
    </row>
    <row r="126" spans="1:103" s="76" customFormat="1" ht="14.25" customHeight="1" x14ac:dyDescent="0.2">
      <c r="A126" s="231" t="b">
        <f t="shared" si="229"/>
        <v>0</v>
      </c>
      <c r="B126" s="245">
        <v>104</v>
      </c>
      <c r="C126" s="258"/>
      <c r="D126" s="258"/>
      <c r="E126" s="246"/>
      <c r="F126" s="247" t="str">
        <f>IF(ISBLANK(E126), "", VLOOKUP(E126, Z!$A$2:$C$4127, 3, FALSE))</f>
        <v/>
      </c>
      <c r="G126" s="248"/>
      <c r="H126" s="248"/>
      <c r="I126" s="249"/>
      <c r="J126" s="250"/>
      <c r="K126" s="259"/>
      <c r="L126" s="260"/>
      <c r="M126" s="252" t="str" cm="1">
        <f t="array" ref="M126">INDEX(Trad, 53, $A$20)</f>
        <v>Verschmutzt</v>
      </c>
      <c r="N126" s="253"/>
      <c r="O126" s="253"/>
      <c r="P126" s="254"/>
      <c r="Q126" s="251"/>
      <c r="R126" s="251"/>
      <c r="S126" s="264">
        <f t="shared" si="372"/>
        <v>0</v>
      </c>
      <c r="T126" s="252" t="str" cm="1">
        <f t="array" ref="T126">INDEX(Trad, 52, $A$20)</f>
        <v>Sauber</v>
      </c>
      <c r="U126" s="253"/>
      <c r="V126" s="253"/>
      <c r="W126" s="254"/>
      <c r="X126" s="251"/>
      <c r="Y126" s="251"/>
      <c r="Z126" s="264">
        <f t="shared" si="373"/>
        <v>0</v>
      </c>
      <c r="AA126" s="261"/>
      <c r="AB126" s="258"/>
      <c r="AC126" s="246"/>
      <c r="AD126" s="247" t="str">
        <f>IF(ISBLANK(AC126), "", VLOOKUP(AC126, Z!$A$2:$C$4127, 3, FALSE))</f>
        <v/>
      </c>
      <c r="AE126" s="262"/>
      <c r="AF126" s="263">
        <f t="shared" si="374"/>
        <v>0</v>
      </c>
      <c r="AG126" s="238"/>
      <c r="AH126" s="229">
        <f t="shared" si="398"/>
        <v>1</v>
      </c>
      <c r="AI126" s="229">
        <f t="shared" si="399"/>
        <v>1</v>
      </c>
      <c r="AJ126" s="229">
        <f t="shared" si="400"/>
        <v>0</v>
      </c>
      <c r="AK126" s="229">
        <v>0</v>
      </c>
      <c r="AL126" s="229">
        <v>0</v>
      </c>
      <c r="AM126" s="229">
        <v>1</v>
      </c>
      <c r="AN126" s="229">
        <v>0</v>
      </c>
      <c r="AO126" s="229">
        <f t="shared" si="375"/>
        <v>-100</v>
      </c>
      <c r="AP126" s="238"/>
      <c r="AQ126" s="255"/>
      <c r="AR126" s="255"/>
      <c r="AS126" s="256"/>
      <c r="AT126" s="256"/>
      <c r="AU126" s="256"/>
      <c r="AV126" s="256"/>
      <c r="AW126" s="256"/>
      <c r="AX126" s="256"/>
      <c r="AY126" s="256"/>
      <c r="AZ126" s="256"/>
      <c r="BA126" s="256"/>
      <c r="BB126" s="256"/>
      <c r="BC126" s="256"/>
      <c r="BD126" s="238"/>
      <c r="BE126" s="229" cm="1">
        <f t="array" ref="BE126">IF(ISBLANK(R126), INDEX(Use, $AH126, 4) - AM126*INDEX(Use, $AH126, 6), R126)</f>
        <v>5</v>
      </c>
      <c r="BF126" s="229">
        <f t="shared" si="376"/>
        <v>30</v>
      </c>
      <c r="BG126" s="229">
        <f t="shared" si="241"/>
        <v>13</v>
      </c>
      <c r="BH126" s="229">
        <f t="shared" si="242"/>
        <v>0</v>
      </c>
      <c r="BI126" s="234" cm="1">
        <f t="array" ref="BI126">K126/IF($L126&gt;0, INDEX($AU$23:$BA$77, $L126+20, $AH126), 1)</f>
        <v>0</v>
      </c>
      <c r="BJ126" s="230">
        <f t="shared" si="377"/>
        <v>0</v>
      </c>
      <c r="BK126" s="229">
        <v>35</v>
      </c>
      <c r="BL126" s="230">
        <f t="shared" si="378"/>
        <v>48</v>
      </c>
      <c r="BM126" s="235">
        <f t="shared" si="379"/>
        <v>2.9108720930232557</v>
      </c>
      <c r="BN126" s="235" cm="1">
        <f t="array" ref="BN126">$BI126 * SUMPRODUCT(INDEX($AR$77:$AT$82,,$AI126),INDEX($AU$77:$BA$82,,$AH126), N($AQ$77:$AQ$82&gt;$AO126)) / BM126 / 1000</f>
        <v>0</v>
      </c>
      <c r="BO126" s="232">
        <f t="shared" si="246"/>
        <v>30</v>
      </c>
      <c r="BP126" s="230">
        <f t="shared" si="380"/>
        <v>43</v>
      </c>
      <c r="BQ126" s="235">
        <f t="shared" si="381"/>
        <v>3.2938815789473681</v>
      </c>
      <c r="BR126" s="235" cm="1">
        <f t="array" ref="BR126">$BI126 * IF($AH126&lt;=2,
SUMPRODUCT(INDEX($AR$72:$AT$76,,$AI126), INDEX($AU$72:$BA$76,,$AH126), 1 / ($BB$72:$BB$76*BQ126 + (1-$BB$72:$BB$76)*BM126), N($AQ$72:$AQ$76&gt;$AO126)),
SUMPRODUCT(INDEX($AR$67:$AT$76,,$AI126), INDEX($AU$67:$BA$76,,$AH126), 1 / ($BC$67:$BC$76*BQ126 + (1-$BC$67:$BC$76)*BM126), N($AQ$67:$AQ$76&gt;$AO126))
) / 1000</f>
        <v>0</v>
      </c>
      <c r="BS126" s="232">
        <f t="shared" si="249"/>
        <v>25</v>
      </c>
      <c r="BT126" s="230">
        <f t="shared" si="382"/>
        <v>38</v>
      </c>
      <c r="BU126" s="235">
        <f t="shared" si="383"/>
        <v>3.792954545454545</v>
      </c>
      <c r="BV126" s="235" cm="1">
        <f t="array" ref="BV126">$BI126 * IF($AH126&lt;=2,
SUMPRODUCT(INDEX($AR$67:$AT$71,,$AI126), INDEX($AU$67:$BA$71,,$AH126), 1 / ($BB$67:$BB$71*BU126 + (1-$BB$67:$BB$71)*BQ126), N($AQ$67:$AQ$71&gt;$AO126)),
SUMPRODUCT(INDEX($AR$57:$AT$66,,$AI126), INDEX($AU$57:$BA$66,,$AH126), 1 / ($BC$57:$BC$66*BU126 + (1-$BC$57:$BC$66)*BQ126), N($AQ$57:$AQ$66&gt;$AO126))
) / 1000</f>
        <v>0</v>
      </c>
      <c r="BW126" s="232">
        <f t="shared" si="252"/>
        <v>20</v>
      </c>
      <c r="BX126" s="230">
        <f t="shared" si="384"/>
        <v>33</v>
      </c>
      <c r="BY126" s="235">
        <f t="shared" si="385"/>
        <v>4.4702678571428569</v>
      </c>
      <c r="BZ126" s="235" cm="1">
        <f t="array" ref="BZ126">$BI126 * IF($AH126&lt;=2,
SUMPRODUCT(INDEX($AR$62:$AT$66,,$AI126), INDEX($AU$62:$BA$66,,$AH126), 1 / ($BB$62:$BB$66*BY126 + (1-$BB$62:$BB$66)*BU126), N($AQ$62:$AQ$66&gt;$AO126)),
SUMPRODUCT(INDEX($AR$47:$AT$56,,$AI126), INDEX($AU$47:$BA$56,,$AH126), 1 / ($BC$47:$BC$56*BY126 + (1-$BC$47:$BC$56)*BU126), N($AQ$47:$AQ$56&gt;$AO126))
) / 1000</f>
        <v>0</v>
      </c>
      <c r="CA126" s="235" cm="1">
        <f t="array" ref="CA126">$BI126 * IF($AH126&lt;=2,
SUMPRODUCT(INDEX($AR$23:$AT$61,,$AI126), INDEX($AU$23:$BA$61,,$AH126), 1 / ($BB$23:$BB$61*BY126), N($AQ$23:$AQ$61&gt;$AO126)),
SUMPRODUCT(INDEX($AR$23:$AT$46,,$AI126), INDEX($AU$23:$BA$46,,$AH126), 1 / ($BC$23:$BC$46*BY126), N($AQ$23:$AQ$46&gt;$AO126))
) / 1000</f>
        <v>0</v>
      </c>
      <c r="CB126" s="230">
        <f t="shared" si="386"/>
        <v>0</v>
      </c>
      <c r="CC126" s="238"/>
      <c r="CD126" s="229" cm="1">
        <f t="array" ref="CD126">IF(ISBLANK(Y126), INDEX(Use, $AH126, 4) - AN126*INDEX(Use, $AH126, 6) - (Q126-X126), Y126)</f>
        <v>7</v>
      </c>
      <c r="CE126" s="229">
        <f t="shared" si="387"/>
        <v>32</v>
      </c>
      <c r="CF126" s="230">
        <f t="shared" si="388"/>
        <v>0</v>
      </c>
      <c r="CG126" s="229">
        <v>35</v>
      </c>
      <c r="CH126" s="230">
        <f t="shared" si="389"/>
        <v>48</v>
      </c>
      <c r="CI126" s="235">
        <f t="shared" si="390"/>
        <v>3.0748170731707316</v>
      </c>
      <c r="CJ126" s="235" cm="1">
        <f t="array" ref="CJ126">$BI126 * SUMPRODUCT(INDEX($AR$77:$AT$82,,$AI126),INDEX($AU$77:$BA$82,,$AH126), N($AQ$77:$AQ$82&gt;$AO126)) / CI126 / 1000</f>
        <v>0</v>
      </c>
      <c r="CK126" s="232">
        <f t="shared" si="260"/>
        <v>30</v>
      </c>
      <c r="CL126" s="230">
        <f t="shared" si="391"/>
        <v>43</v>
      </c>
      <c r="CM126" s="235">
        <f t="shared" si="392"/>
        <v>3.5018750000000001</v>
      </c>
      <c r="CN126" s="235" cm="1">
        <f t="array" ref="CN126">$BI126 * IF($AH126&lt;=2,
SUMPRODUCT(INDEX($AR$72:$AT$76,,$AI126), INDEX($AU$72:$BA$76,,$AH126), 1 / ($BB$72:$BB$76*CM126 + (1-$BB$72:$BB$76)*CI126), N($AQ$72:$AQ$76&gt;$AO126)),
SUMPRODUCT(INDEX($AR$67:$AT$76,,$AI126), INDEX($AU$67:$BA$76,,$AH126), 1 / ($BC$67:$BC$76*CM126 + (1-$BC$67:$BC$76)*CI126), N($AQ$67:$AQ$76&gt;$AO126))
) / 1000</f>
        <v>0</v>
      </c>
      <c r="CO126" s="232">
        <f t="shared" si="263"/>
        <v>25</v>
      </c>
      <c r="CP126" s="230">
        <f t="shared" si="393"/>
        <v>38</v>
      </c>
      <c r="CQ126" s="235">
        <f t="shared" si="394"/>
        <v>4.0666935483870965</v>
      </c>
      <c r="CR126" s="235" cm="1">
        <f t="array" ref="CR126">$BI126 * IF($AH126&lt;=2,
SUMPRODUCT(INDEX($AR$67:$AT$71,,$AI126), INDEX($AU$67:$BA$71,,$AH126), 1 / ($BB$67:$BB$71*CQ126 + (1-$BB$67:$BB$71)*CM126), N($AQ$67:$AQ$71&gt;$AO126)),
SUMPRODUCT(INDEX($AR$57:$AT$66,,$AI126), INDEX($AU$57:$BA$66,,$AH126), 1 / ($BC$57:$BC$66*CQ126 + (1-$BC$57:$BC$66)*CM126), N($AQ$57:$AQ$66&gt;$AO126))
) / 1000</f>
        <v>0</v>
      </c>
      <c r="CS126" s="232">
        <f t="shared" si="266"/>
        <v>20</v>
      </c>
      <c r="CT126" s="230">
        <f t="shared" si="395"/>
        <v>33</v>
      </c>
      <c r="CU126" s="235">
        <f t="shared" si="396"/>
        <v>4.8487499999999999</v>
      </c>
      <c r="CV126" s="235" cm="1">
        <f t="array" ref="CV126">$BI126 * IF($AH126&lt;=2,
SUMPRODUCT(INDEX($AR$62:$AT$66,,$AI126), INDEX($AU$62:$BA$66,,$AH126), 1 / ($BB$62:$BB$66*CU126 + (1-$BB$62:$BB$66)*CQ126), N($AQ$62:$AQ$66&gt;$AO126)),
SUMPRODUCT(INDEX($AR$47:$AT$56,,$AI126), INDEX($AU$47:$BA$56,,$AH126), 1 / ($BC$47:$BC$56*CU126 + (1-$BC$47:$BC$56)*CQ126), N($AQ$47:$AQ$56&gt;$AO126))
) / 1000</f>
        <v>0</v>
      </c>
      <c r="CW126" s="235" cm="1">
        <f t="array" ref="CW126">$BI126 * IF($AH126&lt;=2,
SUMPRODUCT(INDEX($AR$23:$AT$61,,$AI126), INDEX($AU$23:$BA$61,,$AH126), 1 / ($BB$23:$BB$61*CU126), N($AQ$23:$AQ$61&gt;$AO126)),
SUMPRODUCT(INDEX($AR$23:$AT$46,,$AI126), INDEX($AU$23:$BA$46,,$AH126), 1 / ($BC$23:$BC$46*CU126), N($AQ$23:$AQ$46&gt;$AO126))
) / 1000</f>
        <v>0</v>
      </c>
      <c r="CX126" s="230">
        <f t="shared" si="397"/>
        <v>0</v>
      </c>
      <c r="CY126" s="238"/>
    </row>
    <row r="127" spans="1:103" s="76" customFormat="1" ht="14.25" customHeight="1" x14ac:dyDescent="0.2">
      <c r="A127" s="231" t="b">
        <f t="shared" si="229"/>
        <v>0</v>
      </c>
      <c r="B127" s="245">
        <v>105</v>
      </c>
      <c r="C127" s="258"/>
      <c r="D127" s="258"/>
      <c r="E127" s="246"/>
      <c r="F127" s="247" t="str">
        <f>IF(ISBLANK(E127), "", VLOOKUP(E127, Z!$A$2:$C$4127, 3, FALSE))</f>
        <v/>
      </c>
      <c r="G127" s="248"/>
      <c r="H127" s="248"/>
      <c r="I127" s="249"/>
      <c r="J127" s="250"/>
      <c r="K127" s="259"/>
      <c r="L127" s="260"/>
      <c r="M127" s="252" t="str" cm="1">
        <f t="array" ref="M127">INDEX(Trad, 53, $A$20)</f>
        <v>Verschmutzt</v>
      </c>
      <c r="N127" s="253"/>
      <c r="O127" s="253"/>
      <c r="P127" s="254"/>
      <c r="Q127" s="251"/>
      <c r="R127" s="251"/>
      <c r="S127" s="264">
        <f t="shared" si="372"/>
        <v>0</v>
      </c>
      <c r="T127" s="252" t="str" cm="1">
        <f t="array" ref="T127">INDEX(Trad, 52, $A$20)</f>
        <v>Sauber</v>
      </c>
      <c r="U127" s="253"/>
      <c r="V127" s="253"/>
      <c r="W127" s="254"/>
      <c r="X127" s="251"/>
      <c r="Y127" s="251"/>
      <c r="Z127" s="264">
        <f t="shared" si="373"/>
        <v>0</v>
      </c>
      <c r="AA127" s="261"/>
      <c r="AB127" s="258"/>
      <c r="AC127" s="246"/>
      <c r="AD127" s="247" t="str">
        <f>IF(ISBLANK(AC127), "", VLOOKUP(AC127, Z!$A$2:$C$4127, 3, FALSE))</f>
        <v/>
      </c>
      <c r="AE127" s="262"/>
      <c r="AF127" s="263">
        <f t="shared" si="374"/>
        <v>0</v>
      </c>
      <c r="AG127" s="238"/>
      <c r="AH127" s="229">
        <f t="shared" si="398"/>
        <v>1</v>
      </c>
      <c r="AI127" s="229">
        <f t="shared" si="399"/>
        <v>1</v>
      </c>
      <c r="AJ127" s="229">
        <f t="shared" si="400"/>
        <v>0</v>
      </c>
      <c r="AK127" s="229">
        <v>0</v>
      </c>
      <c r="AL127" s="229">
        <v>0</v>
      </c>
      <c r="AM127" s="229">
        <v>1</v>
      </c>
      <c r="AN127" s="229">
        <v>0</v>
      </c>
      <c r="AO127" s="229">
        <f t="shared" si="375"/>
        <v>-100</v>
      </c>
      <c r="AP127" s="238"/>
      <c r="AQ127" s="255"/>
      <c r="AR127" s="255"/>
      <c r="AS127" s="256"/>
      <c r="AT127" s="256"/>
      <c r="AU127" s="256"/>
      <c r="AV127" s="256"/>
      <c r="AW127" s="256"/>
      <c r="AX127" s="256"/>
      <c r="AY127" s="256"/>
      <c r="AZ127" s="256"/>
      <c r="BA127" s="256"/>
      <c r="BB127" s="256"/>
      <c r="BC127" s="256"/>
      <c r="BD127" s="238"/>
      <c r="BE127" s="229" cm="1">
        <f t="array" ref="BE127">IF(ISBLANK(R127), INDEX(Use, $AH127, 4) - AM127*INDEX(Use, $AH127, 6), R127)</f>
        <v>5</v>
      </c>
      <c r="BF127" s="229">
        <f t="shared" si="376"/>
        <v>30</v>
      </c>
      <c r="BG127" s="229">
        <f t="shared" si="241"/>
        <v>13</v>
      </c>
      <c r="BH127" s="229">
        <f t="shared" si="242"/>
        <v>0</v>
      </c>
      <c r="BI127" s="234" cm="1">
        <f t="array" ref="BI127">K127/IF($L127&gt;0, INDEX($AU$23:$BA$77, $L127+20, $AH127), 1)</f>
        <v>0</v>
      </c>
      <c r="BJ127" s="230">
        <f t="shared" si="377"/>
        <v>0</v>
      </c>
      <c r="BK127" s="229">
        <v>35</v>
      </c>
      <c r="BL127" s="230">
        <f t="shared" si="378"/>
        <v>48</v>
      </c>
      <c r="BM127" s="235">
        <f t="shared" si="379"/>
        <v>2.9108720930232557</v>
      </c>
      <c r="BN127" s="235" cm="1">
        <f t="array" ref="BN127">$BI127 * SUMPRODUCT(INDEX($AR$77:$AT$82,,$AI127),INDEX($AU$77:$BA$82,,$AH127), N($AQ$77:$AQ$82&gt;$AO127)) / BM127 / 1000</f>
        <v>0</v>
      </c>
      <c r="BO127" s="232">
        <f t="shared" si="246"/>
        <v>30</v>
      </c>
      <c r="BP127" s="230">
        <f t="shared" si="380"/>
        <v>43</v>
      </c>
      <c r="BQ127" s="235">
        <f t="shared" si="381"/>
        <v>3.2938815789473681</v>
      </c>
      <c r="BR127" s="235" cm="1">
        <f t="array" ref="BR127">$BI127 * IF($AH127&lt;=2,
SUMPRODUCT(INDEX($AR$72:$AT$76,,$AI127), INDEX($AU$72:$BA$76,,$AH127), 1 / ($BB$72:$BB$76*BQ127 + (1-$BB$72:$BB$76)*BM127), N($AQ$72:$AQ$76&gt;$AO127)),
SUMPRODUCT(INDEX($AR$67:$AT$76,,$AI127), INDEX($AU$67:$BA$76,,$AH127), 1 / ($BC$67:$BC$76*BQ127 + (1-$BC$67:$BC$76)*BM127), N($AQ$67:$AQ$76&gt;$AO127))
) / 1000</f>
        <v>0</v>
      </c>
      <c r="BS127" s="232">
        <f t="shared" si="249"/>
        <v>25</v>
      </c>
      <c r="BT127" s="230">
        <f t="shared" si="382"/>
        <v>38</v>
      </c>
      <c r="BU127" s="235">
        <f t="shared" si="383"/>
        <v>3.792954545454545</v>
      </c>
      <c r="BV127" s="235" cm="1">
        <f t="array" ref="BV127">$BI127 * IF($AH127&lt;=2,
SUMPRODUCT(INDEX($AR$67:$AT$71,,$AI127), INDEX($AU$67:$BA$71,,$AH127), 1 / ($BB$67:$BB$71*BU127 + (1-$BB$67:$BB$71)*BQ127), N($AQ$67:$AQ$71&gt;$AO127)),
SUMPRODUCT(INDEX($AR$57:$AT$66,,$AI127), INDEX($AU$57:$BA$66,,$AH127), 1 / ($BC$57:$BC$66*BU127 + (1-$BC$57:$BC$66)*BQ127), N($AQ$57:$AQ$66&gt;$AO127))
) / 1000</f>
        <v>0</v>
      </c>
      <c r="BW127" s="232">
        <f t="shared" si="252"/>
        <v>20</v>
      </c>
      <c r="BX127" s="230">
        <f t="shared" si="384"/>
        <v>33</v>
      </c>
      <c r="BY127" s="235">
        <f t="shared" si="385"/>
        <v>4.4702678571428569</v>
      </c>
      <c r="BZ127" s="235" cm="1">
        <f t="array" ref="BZ127">$BI127 * IF($AH127&lt;=2,
SUMPRODUCT(INDEX($AR$62:$AT$66,,$AI127), INDEX($AU$62:$BA$66,,$AH127), 1 / ($BB$62:$BB$66*BY127 + (1-$BB$62:$BB$66)*BU127), N($AQ$62:$AQ$66&gt;$AO127)),
SUMPRODUCT(INDEX($AR$47:$AT$56,,$AI127), INDEX($AU$47:$BA$56,,$AH127), 1 / ($BC$47:$BC$56*BY127 + (1-$BC$47:$BC$56)*BU127), N($AQ$47:$AQ$56&gt;$AO127))
) / 1000</f>
        <v>0</v>
      </c>
      <c r="CA127" s="235" cm="1">
        <f t="array" ref="CA127">$BI127 * IF($AH127&lt;=2,
SUMPRODUCT(INDEX($AR$23:$AT$61,,$AI127), INDEX($AU$23:$BA$61,,$AH127), 1 / ($BB$23:$BB$61*BY127), N($AQ$23:$AQ$61&gt;$AO127)),
SUMPRODUCT(INDEX($AR$23:$AT$46,,$AI127), INDEX($AU$23:$BA$46,,$AH127), 1 / ($BC$23:$BC$46*BY127), N($AQ$23:$AQ$46&gt;$AO127))
) / 1000</f>
        <v>0</v>
      </c>
      <c r="CB127" s="230">
        <f t="shared" si="386"/>
        <v>0</v>
      </c>
      <c r="CC127" s="238"/>
      <c r="CD127" s="229" cm="1">
        <f t="array" ref="CD127">IF(ISBLANK(Y127), INDEX(Use, $AH127, 4) - AN127*INDEX(Use, $AH127, 6) - (Q127-X127), Y127)</f>
        <v>7</v>
      </c>
      <c r="CE127" s="229">
        <f t="shared" si="387"/>
        <v>32</v>
      </c>
      <c r="CF127" s="230">
        <f t="shared" si="388"/>
        <v>0</v>
      </c>
      <c r="CG127" s="229">
        <v>35</v>
      </c>
      <c r="CH127" s="230">
        <f t="shared" si="389"/>
        <v>48</v>
      </c>
      <c r="CI127" s="235">
        <f t="shared" si="390"/>
        <v>3.0748170731707316</v>
      </c>
      <c r="CJ127" s="235" cm="1">
        <f t="array" ref="CJ127">$BI127 * SUMPRODUCT(INDEX($AR$77:$AT$82,,$AI127),INDEX($AU$77:$BA$82,,$AH127), N($AQ$77:$AQ$82&gt;$AO127)) / CI127 / 1000</f>
        <v>0</v>
      </c>
      <c r="CK127" s="232">
        <f t="shared" si="260"/>
        <v>30</v>
      </c>
      <c r="CL127" s="230">
        <f t="shared" si="391"/>
        <v>43</v>
      </c>
      <c r="CM127" s="235">
        <f t="shared" si="392"/>
        <v>3.5018750000000001</v>
      </c>
      <c r="CN127" s="235" cm="1">
        <f t="array" ref="CN127">$BI127 * IF($AH127&lt;=2,
SUMPRODUCT(INDEX($AR$72:$AT$76,,$AI127), INDEX($AU$72:$BA$76,,$AH127), 1 / ($BB$72:$BB$76*CM127 + (1-$BB$72:$BB$76)*CI127), N($AQ$72:$AQ$76&gt;$AO127)),
SUMPRODUCT(INDEX($AR$67:$AT$76,,$AI127), INDEX($AU$67:$BA$76,,$AH127), 1 / ($BC$67:$BC$76*CM127 + (1-$BC$67:$BC$76)*CI127), N($AQ$67:$AQ$76&gt;$AO127))
) / 1000</f>
        <v>0</v>
      </c>
      <c r="CO127" s="232">
        <f t="shared" si="263"/>
        <v>25</v>
      </c>
      <c r="CP127" s="230">
        <f t="shared" si="393"/>
        <v>38</v>
      </c>
      <c r="CQ127" s="235">
        <f t="shared" si="394"/>
        <v>4.0666935483870965</v>
      </c>
      <c r="CR127" s="235" cm="1">
        <f t="array" ref="CR127">$BI127 * IF($AH127&lt;=2,
SUMPRODUCT(INDEX($AR$67:$AT$71,,$AI127), INDEX($AU$67:$BA$71,,$AH127), 1 / ($BB$67:$BB$71*CQ127 + (1-$BB$67:$BB$71)*CM127), N($AQ$67:$AQ$71&gt;$AO127)),
SUMPRODUCT(INDEX($AR$57:$AT$66,,$AI127), INDEX($AU$57:$BA$66,,$AH127), 1 / ($BC$57:$BC$66*CQ127 + (1-$BC$57:$BC$66)*CM127), N($AQ$57:$AQ$66&gt;$AO127))
) / 1000</f>
        <v>0</v>
      </c>
      <c r="CS127" s="232">
        <f t="shared" si="266"/>
        <v>20</v>
      </c>
      <c r="CT127" s="230">
        <f t="shared" si="395"/>
        <v>33</v>
      </c>
      <c r="CU127" s="235">
        <f t="shared" si="396"/>
        <v>4.8487499999999999</v>
      </c>
      <c r="CV127" s="235" cm="1">
        <f t="array" ref="CV127">$BI127 * IF($AH127&lt;=2,
SUMPRODUCT(INDEX($AR$62:$AT$66,,$AI127), INDEX($AU$62:$BA$66,,$AH127), 1 / ($BB$62:$BB$66*CU127 + (1-$BB$62:$BB$66)*CQ127), N($AQ$62:$AQ$66&gt;$AO127)),
SUMPRODUCT(INDEX($AR$47:$AT$56,,$AI127), INDEX($AU$47:$BA$56,,$AH127), 1 / ($BC$47:$BC$56*CU127 + (1-$BC$47:$BC$56)*CQ127), N($AQ$47:$AQ$56&gt;$AO127))
) / 1000</f>
        <v>0</v>
      </c>
      <c r="CW127" s="235" cm="1">
        <f t="array" ref="CW127">$BI127 * IF($AH127&lt;=2,
SUMPRODUCT(INDEX($AR$23:$AT$61,,$AI127), INDEX($AU$23:$BA$61,,$AH127), 1 / ($BB$23:$BB$61*CU127), N($AQ$23:$AQ$61&gt;$AO127)),
SUMPRODUCT(INDEX($AR$23:$AT$46,,$AI127), INDEX($AU$23:$BA$46,,$AH127), 1 / ($BC$23:$BC$46*CU127), N($AQ$23:$AQ$46&gt;$AO127))
) / 1000</f>
        <v>0</v>
      </c>
      <c r="CX127" s="230">
        <f t="shared" si="397"/>
        <v>0</v>
      </c>
      <c r="CY127" s="238"/>
    </row>
    <row r="128" spans="1:103" s="76" customFormat="1" ht="14.25" customHeight="1" x14ac:dyDescent="0.2">
      <c r="A128" s="231" t="b">
        <f t="shared" si="229"/>
        <v>0</v>
      </c>
      <c r="B128" s="245">
        <v>106</v>
      </c>
      <c r="C128" s="258"/>
      <c r="D128" s="258"/>
      <c r="E128" s="246"/>
      <c r="F128" s="247" t="str">
        <f>IF(ISBLANK(E128), "", VLOOKUP(E128, Z!$A$2:$C$4127, 3, FALSE))</f>
        <v/>
      </c>
      <c r="G128" s="248"/>
      <c r="H128" s="248"/>
      <c r="I128" s="249"/>
      <c r="J128" s="250"/>
      <c r="K128" s="259"/>
      <c r="L128" s="260"/>
      <c r="M128" s="252" t="str" cm="1">
        <f t="array" ref="M128">INDEX(Trad, 53, $A$20)</f>
        <v>Verschmutzt</v>
      </c>
      <c r="N128" s="253"/>
      <c r="O128" s="253"/>
      <c r="P128" s="254"/>
      <c r="Q128" s="251"/>
      <c r="R128" s="251"/>
      <c r="S128" s="264">
        <f t="shared" si="372"/>
        <v>0</v>
      </c>
      <c r="T128" s="252" t="str" cm="1">
        <f t="array" ref="T128">INDEX(Trad, 52, $A$20)</f>
        <v>Sauber</v>
      </c>
      <c r="U128" s="253"/>
      <c r="V128" s="253"/>
      <c r="W128" s="254"/>
      <c r="X128" s="251"/>
      <c r="Y128" s="251"/>
      <c r="Z128" s="264">
        <f t="shared" si="373"/>
        <v>0</v>
      </c>
      <c r="AA128" s="261"/>
      <c r="AB128" s="258"/>
      <c r="AC128" s="246"/>
      <c r="AD128" s="247" t="str">
        <f>IF(ISBLANK(AC128), "", VLOOKUP(AC128, Z!$A$2:$C$4127, 3, FALSE))</f>
        <v/>
      </c>
      <c r="AE128" s="262"/>
      <c r="AF128" s="263">
        <f t="shared" si="374"/>
        <v>0</v>
      </c>
      <c r="AG128" s="238"/>
      <c r="AH128" s="229">
        <f t="shared" si="398"/>
        <v>1</v>
      </c>
      <c r="AI128" s="229">
        <f t="shared" si="399"/>
        <v>1</v>
      </c>
      <c r="AJ128" s="229">
        <f t="shared" si="400"/>
        <v>0</v>
      </c>
      <c r="AK128" s="229">
        <v>0</v>
      </c>
      <c r="AL128" s="229">
        <v>0</v>
      </c>
      <c r="AM128" s="229">
        <v>1</v>
      </c>
      <c r="AN128" s="229">
        <v>0</v>
      </c>
      <c r="AO128" s="229">
        <f t="shared" si="375"/>
        <v>-100</v>
      </c>
      <c r="AP128" s="238"/>
      <c r="AQ128" s="255"/>
      <c r="AR128" s="255"/>
      <c r="AS128" s="256"/>
      <c r="AT128" s="256"/>
      <c r="AU128" s="256"/>
      <c r="AV128" s="256"/>
      <c r="AW128" s="256"/>
      <c r="AX128" s="256"/>
      <c r="AY128" s="256"/>
      <c r="AZ128" s="256"/>
      <c r="BA128" s="256"/>
      <c r="BB128" s="256"/>
      <c r="BC128" s="256"/>
      <c r="BD128" s="238"/>
      <c r="BE128" s="229" cm="1">
        <f t="array" ref="BE128">IF(ISBLANK(R128), INDEX(Use, $AH128, 4) - AM128*INDEX(Use, $AH128, 6), R128)</f>
        <v>5</v>
      </c>
      <c r="BF128" s="229">
        <f t="shared" si="376"/>
        <v>30</v>
      </c>
      <c r="BG128" s="229">
        <f t="shared" si="241"/>
        <v>13</v>
      </c>
      <c r="BH128" s="229">
        <f t="shared" si="242"/>
        <v>0</v>
      </c>
      <c r="BI128" s="234" cm="1">
        <f t="array" ref="BI128">K128/IF($L128&gt;0, INDEX($AU$23:$BA$77, $L128+20, $AH128), 1)</f>
        <v>0</v>
      </c>
      <c r="BJ128" s="230">
        <f t="shared" si="377"/>
        <v>0</v>
      </c>
      <c r="BK128" s="229">
        <v>35</v>
      </c>
      <c r="BL128" s="230">
        <f t="shared" si="378"/>
        <v>48</v>
      </c>
      <c r="BM128" s="235">
        <f t="shared" si="379"/>
        <v>2.9108720930232557</v>
      </c>
      <c r="BN128" s="235" cm="1">
        <f t="array" ref="BN128">$BI128 * SUMPRODUCT(INDEX($AR$77:$AT$82,,$AI128),INDEX($AU$77:$BA$82,,$AH128), N($AQ$77:$AQ$82&gt;$AO128)) / BM128 / 1000</f>
        <v>0</v>
      </c>
      <c r="BO128" s="232">
        <f t="shared" si="246"/>
        <v>30</v>
      </c>
      <c r="BP128" s="230">
        <f t="shared" si="380"/>
        <v>43</v>
      </c>
      <c r="BQ128" s="235">
        <f t="shared" si="381"/>
        <v>3.2938815789473681</v>
      </c>
      <c r="BR128" s="235" cm="1">
        <f t="array" ref="BR128">$BI128 * IF($AH128&lt;=2,
SUMPRODUCT(INDEX($AR$72:$AT$76,,$AI128), INDEX($AU$72:$BA$76,,$AH128), 1 / ($BB$72:$BB$76*BQ128 + (1-$BB$72:$BB$76)*BM128), N($AQ$72:$AQ$76&gt;$AO128)),
SUMPRODUCT(INDEX($AR$67:$AT$76,,$AI128), INDEX($AU$67:$BA$76,,$AH128), 1 / ($BC$67:$BC$76*BQ128 + (1-$BC$67:$BC$76)*BM128), N($AQ$67:$AQ$76&gt;$AO128))
) / 1000</f>
        <v>0</v>
      </c>
      <c r="BS128" s="232">
        <f t="shared" si="249"/>
        <v>25</v>
      </c>
      <c r="BT128" s="230">
        <f t="shared" si="382"/>
        <v>38</v>
      </c>
      <c r="BU128" s="235">
        <f t="shared" si="383"/>
        <v>3.792954545454545</v>
      </c>
      <c r="BV128" s="235" cm="1">
        <f t="array" ref="BV128">$BI128 * IF($AH128&lt;=2,
SUMPRODUCT(INDEX($AR$67:$AT$71,,$AI128), INDEX($AU$67:$BA$71,,$AH128), 1 / ($BB$67:$BB$71*BU128 + (1-$BB$67:$BB$71)*BQ128), N($AQ$67:$AQ$71&gt;$AO128)),
SUMPRODUCT(INDEX($AR$57:$AT$66,,$AI128), INDEX($AU$57:$BA$66,,$AH128), 1 / ($BC$57:$BC$66*BU128 + (1-$BC$57:$BC$66)*BQ128), N($AQ$57:$AQ$66&gt;$AO128))
) / 1000</f>
        <v>0</v>
      </c>
      <c r="BW128" s="232">
        <f t="shared" si="252"/>
        <v>20</v>
      </c>
      <c r="BX128" s="230">
        <f t="shared" si="384"/>
        <v>33</v>
      </c>
      <c r="BY128" s="235">
        <f t="shared" si="385"/>
        <v>4.4702678571428569</v>
      </c>
      <c r="BZ128" s="235" cm="1">
        <f t="array" ref="BZ128">$BI128 * IF($AH128&lt;=2,
SUMPRODUCT(INDEX($AR$62:$AT$66,,$AI128), INDEX($AU$62:$BA$66,,$AH128), 1 / ($BB$62:$BB$66*BY128 + (1-$BB$62:$BB$66)*BU128), N($AQ$62:$AQ$66&gt;$AO128)),
SUMPRODUCT(INDEX($AR$47:$AT$56,,$AI128), INDEX($AU$47:$BA$56,,$AH128), 1 / ($BC$47:$BC$56*BY128 + (1-$BC$47:$BC$56)*BU128), N($AQ$47:$AQ$56&gt;$AO128))
) / 1000</f>
        <v>0</v>
      </c>
      <c r="CA128" s="235" cm="1">
        <f t="array" ref="CA128">$BI128 * IF($AH128&lt;=2,
SUMPRODUCT(INDEX($AR$23:$AT$61,,$AI128), INDEX($AU$23:$BA$61,,$AH128), 1 / ($BB$23:$BB$61*BY128), N($AQ$23:$AQ$61&gt;$AO128)),
SUMPRODUCT(INDEX($AR$23:$AT$46,,$AI128), INDEX($AU$23:$BA$46,,$AH128), 1 / ($BC$23:$BC$46*BY128), N($AQ$23:$AQ$46&gt;$AO128))
) / 1000</f>
        <v>0</v>
      </c>
      <c r="CB128" s="230">
        <f t="shared" si="386"/>
        <v>0</v>
      </c>
      <c r="CC128" s="238"/>
      <c r="CD128" s="229" cm="1">
        <f t="array" ref="CD128">IF(ISBLANK(Y128), INDEX(Use, $AH128, 4) - AN128*INDEX(Use, $AH128, 6) - (Q128-X128), Y128)</f>
        <v>7</v>
      </c>
      <c r="CE128" s="229">
        <f t="shared" si="387"/>
        <v>32</v>
      </c>
      <c r="CF128" s="230">
        <f t="shared" si="388"/>
        <v>0</v>
      </c>
      <c r="CG128" s="229">
        <v>35</v>
      </c>
      <c r="CH128" s="230">
        <f t="shared" si="389"/>
        <v>48</v>
      </c>
      <c r="CI128" s="235">
        <f t="shared" si="390"/>
        <v>3.0748170731707316</v>
      </c>
      <c r="CJ128" s="235" cm="1">
        <f t="array" ref="CJ128">$BI128 * SUMPRODUCT(INDEX($AR$77:$AT$82,,$AI128),INDEX($AU$77:$BA$82,,$AH128), N($AQ$77:$AQ$82&gt;$AO128)) / CI128 / 1000</f>
        <v>0</v>
      </c>
      <c r="CK128" s="232">
        <f t="shared" si="260"/>
        <v>30</v>
      </c>
      <c r="CL128" s="230">
        <f t="shared" si="391"/>
        <v>43</v>
      </c>
      <c r="CM128" s="235">
        <f t="shared" si="392"/>
        <v>3.5018750000000001</v>
      </c>
      <c r="CN128" s="235" cm="1">
        <f t="array" ref="CN128">$BI128 * IF($AH128&lt;=2,
SUMPRODUCT(INDEX($AR$72:$AT$76,,$AI128), INDEX($AU$72:$BA$76,,$AH128), 1 / ($BB$72:$BB$76*CM128 + (1-$BB$72:$BB$76)*CI128), N($AQ$72:$AQ$76&gt;$AO128)),
SUMPRODUCT(INDEX($AR$67:$AT$76,,$AI128), INDEX($AU$67:$BA$76,,$AH128), 1 / ($BC$67:$BC$76*CM128 + (1-$BC$67:$BC$76)*CI128), N($AQ$67:$AQ$76&gt;$AO128))
) / 1000</f>
        <v>0</v>
      </c>
      <c r="CO128" s="232">
        <f t="shared" si="263"/>
        <v>25</v>
      </c>
      <c r="CP128" s="230">
        <f t="shared" si="393"/>
        <v>38</v>
      </c>
      <c r="CQ128" s="235">
        <f t="shared" si="394"/>
        <v>4.0666935483870965</v>
      </c>
      <c r="CR128" s="235" cm="1">
        <f t="array" ref="CR128">$BI128 * IF($AH128&lt;=2,
SUMPRODUCT(INDEX($AR$67:$AT$71,,$AI128), INDEX($AU$67:$BA$71,,$AH128), 1 / ($BB$67:$BB$71*CQ128 + (1-$BB$67:$BB$71)*CM128), N($AQ$67:$AQ$71&gt;$AO128)),
SUMPRODUCT(INDEX($AR$57:$AT$66,,$AI128), INDEX($AU$57:$BA$66,,$AH128), 1 / ($BC$57:$BC$66*CQ128 + (1-$BC$57:$BC$66)*CM128), N($AQ$57:$AQ$66&gt;$AO128))
) / 1000</f>
        <v>0</v>
      </c>
      <c r="CS128" s="232">
        <f t="shared" si="266"/>
        <v>20</v>
      </c>
      <c r="CT128" s="230">
        <f t="shared" si="395"/>
        <v>33</v>
      </c>
      <c r="CU128" s="235">
        <f t="shared" si="396"/>
        <v>4.8487499999999999</v>
      </c>
      <c r="CV128" s="235" cm="1">
        <f t="array" ref="CV128">$BI128 * IF($AH128&lt;=2,
SUMPRODUCT(INDEX($AR$62:$AT$66,,$AI128), INDEX($AU$62:$BA$66,,$AH128), 1 / ($BB$62:$BB$66*CU128 + (1-$BB$62:$BB$66)*CQ128), N($AQ$62:$AQ$66&gt;$AO128)),
SUMPRODUCT(INDEX($AR$47:$AT$56,,$AI128), INDEX($AU$47:$BA$56,,$AH128), 1 / ($BC$47:$BC$56*CU128 + (1-$BC$47:$BC$56)*CQ128), N($AQ$47:$AQ$56&gt;$AO128))
) / 1000</f>
        <v>0</v>
      </c>
      <c r="CW128" s="235" cm="1">
        <f t="array" ref="CW128">$BI128 * IF($AH128&lt;=2,
SUMPRODUCT(INDEX($AR$23:$AT$61,,$AI128), INDEX($AU$23:$BA$61,,$AH128), 1 / ($BB$23:$BB$61*CU128), N($AQ$23:$AQ$61&gt;$AO128)),
SUMPRODUCT(INDEX($AR$23:$AT$46,,$AI128), INDEX($AU$23:$BA$46,,$AH128), 1 / ($BC$23:$BC$46*CU128), N($AQ$23:$AQ$46&gt;$AO128))
) / 1000</f>
        <v>0</v>
      </c>
      <c r="CX128" s="230">
        <f t="shared" si="397"/>
        <v>0</v>
      </c>
      <c r="CY128" s="238"/>
    </row>
    <row r="129" spans="1:103" s="76" customFormat="1" ht="14.25" customHeight="1" x14ac:dyDescent="0.2">
      <c r="A129" s="231" t="b">
        <f t="shared" si="229"/>
        <v>0</v>
      </c>
      <c r="B129" s="245">
        <v>107</v>
      </c>
      <c r="C129" s="258"/>
      <c r="D129" s="258"/>
      <c r="E129" s="246"/>
      <c r="F129" s="247" t="str">
        <f>IF(ISBLANK(E129), "", VLOOKUP(E129, Z!$A$2:$C$4127, 3, FALSE))</f>
        <v/>
      </c>
      <c r="G129" s="248"/>
      <c r="H129" s="248"/>
      <c r="I129" s="249"/>
      <c r="J129" s="250"/>
      <c r="K129" s="259"/>
      <c r="L129" s="260"/>
      <c r="M129" s="252" t="str" cm="1">
        <f t="array" ref="M129">INDEX(Trad, 53, $A$20)</f>
        <v>Verschmutzt</v>
      </c>
      <c r="N129" s="253"/>
      <c r="O129" s="253"/>
      <c r="P129" s="254"/>
      <c r="Q129" s="251"/>
      <c r="R129" s="251"/>
      <c r="S129" s="264">
        <f t="shared" si="372"/>
        <v>0</v>
      </c>
      <c r="T129" s="252" t="str" cm="1">
        <f t="array" ref="T129">INDEX(Trad, 52, $A$20)</f>
        <v>Sauber</v>
      </c>
      <c r="U129" s="253"/>
      <c r="V129" s="253"/>
      <c r="W129" s="254"/>
      <c r="X129" s="251"/>
      <c r="Y129" s="251"/>
      <c r="Z129" s="264">
        <f t="shared" si="373"/>
        <v>0</v>
      </c>
      <c r="AA129" s="261"/>
      <c r="AB129" s="258"/>
      <c r="AC129" s="246"/>
      <c r="AD129" s="247" t="str">
        <f>IF(ISBLANK(AC129), "", VLOOKUP(AC129, Z!$A$2:$C$4127, 3, FALSE))</f>
        <v/>
      </c>
      <c r="AE129" s="262"/>
      <c r="AF129" s="263">
        <f t="shared" si="374"/>
        <v>0</v>
      </c>
      <c r="AG129" s="238"/>
      <c r="AH129" s="229">
        <f t="shared" si="398"/>
        <v>1</v>
      </c>
      <c r="AI129" s="229">
        <f t="shared" si="399"/>
        <v>1</v>
      </c>
      <c r="AJ129" s="229">
        <f t="shared" si="400"/>
        <v>0</v>
      </c>
      <c r="AK129" s="229">
        <v>0</v>
      </c>
      <c r="AL129" s="229">
        <v>0</v>
      </c>
      <c r="AM129" s="229">
        <v>1</v>
      </c>
      <c r="AN129" s="229">
        <v>0</v>
      </c>
      <c r="AO129" s="229">
        <f t="shared" si="375"/>
        <v>-100</v>
      </c>
      <c r="AP129" s="238"/>
      <c r="AQ129" s="255"/>
      <c r="AR129" s="255"/>
      <c r="AS129" s="256"/>
      <c r="AT129" s="256"/>
      <c r="AU129" s="256"/>
      <c r="AV129" s="256"/>
      <c r="AW129" s="256"/>
      <c r="AX129" s="256"/>
      <c r="AY129" s="256"/>
      <c r="AZ129" s="256"/>
      <c r="BA129" s="256"/>
      <c r="BB129" s="256"/>
      <c r="BC129" s="256"/>
      <c r="BD129" s="238"/>
      <c r="BE129" s="229" cm="1">
        <f t="array" ref="BE129">IF(ISBLANK(R129), INDEX(Use, $AH129, 4) - AM129*INDEX(Use, $AH129, 6), R129)</f>
        <v>5</v>
      </c>
      <c r="BF129" s="229">
        <f t="shared" si="376"/>
        <v>30</v>
      </c>
      <c r="BG129" s="229">
        <f t="shared" si="241"/>
        <v>13</v>
      </c>
      <c r="BH129" s="229">
        <f t="shared" si="242"/>
        <v>0</v>
      </c>
      <c r="BI129" s="234" cm="1">
        <f t="array" ref="BI129">K129/IF($L129&gt;0, INDEX($AU$23:$BA$77, $L129+20, $AH129), 1)</f>
        <v>0</v>
      </c>
      <c r="BJ129" s="230">
        <f t="shared" si="377"/>
        <v>0</v>
      </c>
      <c r="BK129" s="229">
        <v>35</v>
      </c>
      <c r="BL129" s="230">
        <f t="shared" si="378"/>
        <v>48</v>
      </c>
      <c r="BM129" s="235">
        <f t="shared" si="379"/>
        <v>2.9108720930232557</v>
      </c>
      <c r="BN129" s="235" cm="1">
        <f t="array" ref="BN129">$BI129 * SUMPRODUCT(INDEX($AR$77:$AT$82,,$AI129),INDEX($AU$77:$BA$82,,$AH129), N($AQ$77:$AQ$82&gt;$AO129)) / BM129 / 1000</f>
        <v>0</v>
      </c>
      <c r="BO129" s="232">
        <f t="shared" si="246"/>
        <v>30</v>
      </c>
      <c r="BP129" s="230">
        <f t="shared" si="380"/>
        <v>43</v>
      </c>
      <c r="BQ129" s="235">
        <f t="shared" si="381"/>
        <v>3.2938815789473681</v>
      </c>
      <c r="BR129" s="235" cm="1">
        <f t="array" ref="BR129">$BI129 * IF($AH129&lt;=2,
SUMPRODUCT(INDEX($AR$72:$AT$76,,$AI129), INDEX($AU$72:$BA$76,,$AH129), 1 / ($BB$72:$BB$76*BQ129 + (1-$BB$72:$BB$76)*BM129), N($AQ$72:$AQ$76&gt;$AO129)),
SUMPRODUCT(INDEX($AR$67:$AT$76,,$AI129), INDEX($AU$67:$BA$76,,$AH129), 1 / ($BC$67:$BC$76*BQ129 + (1-$BC$67:$BC$76)*BM129), N($AQ$67:$AQ$76&gt;$AO129))
) / 1000</f>
        <v>0</v>
      </c>
      <c r="BS129" s="232">
        <f t="shared" si="249"/>
        <v>25</v>
      </c>
      <c r="BT129" s="230">
        <f t="shared" si="382"/>
        <v>38</v>
      </c>
      <c r="BU129" s="235">
        <f t="shared" si="383"/>
        <v>3.792954545454545</v>
      </c>
      <c r="BV129" s="235" cm="1">
        <f t="array" ref="BV129">$BI129 * IF($AH129&lt;=2,
SUMPRODUCT(INDEX($AR$67:$AT$71,,$AI129), INDEX($AU$67:$BA$71,,$AH129), 1 / ($BB$67:$BB$71*BU129 + (1-$BB$67:$BB$71)*BQ129), N($AQ$67:$AQ$71&gt;$AO129)),
SUMPRODUCT(INDEX($AR$57:$AT$66,,$AI129), INDEX($AU$57:$BA$66,,$AH129), 1 / ($BC$57:$BC$66*BU129 + (1-$BC$57:$BC$66)*BQ129), N($AQ$57:$AQ$66&gt;$AO129))
) / 1000</f>
        <v>0</v>
      </c>
      <c r="BW129" s="232">
        <f t="shared" si="252"/>
        <v>20</v>
      </c>
      <c r="BX129" s="230">
        <f t="shared" si="384"/>
        <v>33</v>
      </c>
      <c r="BY129" s="235">
        <f t="shared" si="385"/>
        <v>4.4702678571428569</v>
      </c>
      <c r="BZ129" s="235" cm="1">
        <f t="array" ref="BZ129">$BI129 * IF($AH129&lt;=2,
SUMPRODUCT(INDEX($AR$62:$AT$66,,$AI129), INDEX($AU$62:$BA$66,,$AH129), 1 / ($BB$62:$BB$66*BY129 + (1-$BB$62:$BB$66)*BU129), N($AQ$62:$AQ$66&gt;$AO129)),
SUMPRODUCT(INDEX($AR$47:$AT$56,,$AI129), INDEX($AU$47:$BA$56,,$AH129), 1 / ($BC$47:$BC$56*BY129 + (1-$BC$47:$BC$56)*BU129), N($AQ$47:$AQ$56&gt;$AO129))
) / 1000</f>
        <v>0</v>
      </c>
      <c r="CA129" s="235" cm="1">
        <f t="array" ref="CA129">$BI129 * IF($AH129&lt;=2,
SUMPRODUCT(INDEX($AR$23:$AT$61,,$AI129), INDEX($AU$23:$BA$61,,$AH129), 1 / ($BB$23:$BB$61*BY129), N($AQ$23:$AQ$61&gt;$AO129)),
SUMPRODUCT(INDEX($AR$23:$AT$46,,$AI129), INDEX($AU$23:$BA$46,,$AH129), 1 / ($BC$23:$BC$46*BY129), N($AQ$23:$AQ$46&gt;$AO129))
) / 1000</f>
        <v>0</v>
      </c>
      <c r="CB129" s="230">
        <f t="shared" si="386"/>
        <v>0</v>
      </c>
      <c r="CC129" s="238"/>
      <c r="CD129" s="229" cm="1">
        <f t="array" ref="CD129">IF(ISBLANK(Y129), INDEX(Use, $AH129, 4) - AN129*INDEX(Use, $AH129, 6) - (Q129-X129), Y129)</f>
        <v>7</v>
      </c>
      <c r="CE129" s="229">
        <f t="shared" si="387"/>
        <v>32</v>
      </c>
      <c r="CF129" s="230">
        <f t="shared" si="388"/>
        <v>0</v>
      </c>
      <c r="CG129" s="229">
        <v>35</v>
      </c>
      <c r="CH129" s="230">
        <f t="shared" si="389"/>
        <v>48</v>
      </c>
      <c r="CI129" s="235">
        <f t="shared" si="390"/>
        <v>3.0748170731707316</v>
      </c>
      <c r="CJ129" s="235" cm="1">
        <f t="array" ref="CJ129">$BI129 * SUMPRODUCT(INDEX($AR$77:$AT$82,,$AI129),INDEX($AU$77:$BA$82,,$AH129), N($AQ$77:$AQ$82&gt;$AO129)) / CI129 / 1000</f>
        <v>0</v>
      </c>
      <c r="CK129" s="232">
        <f t="shared" si="260"/>
        <v>30</v>
      </c>
      <c r="CL129" s="230">
        <f t="shared" si="391"/>
        <v>43</v>
      </c>
      <c r="CM129" s="235">
        <f t="shared" si="392"/>
        <v>3.5018750000000001</v>
      </c>
      <c r="CN129" s="235" cm="1">
        <f t="array" ref="CN129">$BI129 * IF($AH129&lt;=2,
SUMPRODUCT(INDEX($AR$72:$AT$76,,$AI129), INDEX($AU$72:$BA$76,,$AH129), 1 / ($BB$72:$BB$76*CM129 + (1-$BB$72:$BB$76)*CI129), N($AQ$72:$AQ$76&gt;$AO129)),
SUMPRODUCT(INDEX($AR$67:$AT$76,,$AI129), INDEX($AU$67:$BA$76,,$AH129), 1 / ($BC$67:$BC$76*CM129 + (1-$BC$67:$BC$76)*CI129), N($AQ$67:$AQ$76&gt;$AO129))
) / 1000</f>
        <v>0</v>
      </c>
      <c r="CO129" s="232">
        <f t="shared" si="263"/>
        <v>25</v>
      </c>
      <c r="CP129" s="230">
        <f t="shared" si="393"/>
        <v>38</v>
      </c>
      <c r="CQ129" s="235">
        <f t="shared" si="394"/>
        <v>4.0666935483870965</v>
      </c>
      <c r="CR129" s="235" cm="1">
        <f t="array" ref="CR129">$BI129 * IF($AH129&lt;=2,
SUMPRODUCT(INDEX($AR$67:$AT$71,,$AI129), INDEX($AU$67:$BA$71,,$AH129), 1 / ($BB$67:$BB$71*CQ129 + (1-$BB$67:$BB$71)*CM129), N($AQ$67:$AQ$71&gt;$AO129)),
SUMPRODUCT(INDEX($AR$57:$AT$66,,$AI129), INDEX($AU$57:$BA$66,,$AH129), 1 / ($BC$57:$BC$66*CQ129 + (1-$BC$57:$BC$66)*CM129), N($AQ$57:$AQ$66&gt;$AO129))
) / 1000</f>
        <v>0</v>
      </c>
      <c r="CS129" s="232">
        <f t="shared" si="266"/>
        <v>20</v>
      </c>
      <c r="CT129" s="230">
        <f t="shared" si="395"/>
        <v>33</v>
      </c>
      <c r="CU129" s="235">
        <f t="shared" si="396"/>
        <v>4.8487499999999999</v>
      </c>
      <c r="CV129" s="235" cm="1">
        <f t="array" ref="CV129">$BI129 * IF($AH129&lt;=2,
SUMPRODUCT(INDEX($AR$62:$AT$66,,$AI129), INDEX($AU$62:$BA$66,,$AH129), 1 / ($BB$62:$BB$66*CU129 + (1-$BB$62:$BB$66)*CQ129), N($AQ$62:$AQ$66&gt;$AO129)),
SUMPRODUCT(INDEX($AR$47:$AT$56,,$AI129), INDEX($AU$47:$BA$56,,$AH129), 1 / ($BC$47:$BC$56*CU129 + (1-$BC$47:$BC$56)*CQ129), N($AQ$47:$AQ$56&gt;$AO129))
) / 1000</f>
        <v>0</v>
      </c>
      <c r="CW129" s="235" cm="1">
        <f t="array" ref="CW129">$BI129 * IF($AH129&lt;=2,
SUMPRODUCT(INDEX($AR$23:$AT$61,,$AI129), INDEX($AU$23:$BA$61,,$AH129), 1 / ($BB$23:$BB$61*CU129), N($AQ$23:$AQ$61&gt;$AO129)),
SUMPRODUCT(INDEX($AR$23:$AT$46,,$AI129), INDEX($AU$23:$BA$46,,$AH129), 1 / ($BC$23:$BC$46*CU129), N($AQ$23:$AQ$46&gt;$AO129))
) / 1000</f>
        <v>0</v>
      </c>
      <c r="CX129" s="230">
        <f t="shared" si="397"/>
        <v>0</v>
      </c>
      <c r="CY129" s="238"/>
    </row>
    <row r="130" spans="1:103" s="76" customFormat="1" ht="14.25" customHeight="1" x14ac:dyDescent="0.2">
      <c r="A130" s="231" t="b">
        <f t="shared" si="229"/>
        <v>0</v>
      </c>
      <c r="B130" s="245">
        <v>108</v>
      </c>
      <c r="C130" s="258"/>
      <c r="D130" s="258"/>
      <c r="E130" s="246"/>
      <c r="F130" s="247" t="str">
        <f>IF(ISBLANK(E130), "", VLOOKUP(E130, Z!$A$2:$C$4127, 3, FALSE))</f>
        <v/>
      </c>
      <c r="G130" s="248"/>
      <c r="H130" s="248"/>
      <c r="I130" s="249"/>
      <c r="J130" s="250"/>
      <c r="K130" s="259"/>
      <c r="L130" s="260"/>
      <c r="M130" s="252" t="str" cm="1">
        <f t="array" ref="M130">INDEX(Trad, 53, $A$20)</f>
        <v>Verschmutzt</v>
      </c>
      <c r="N130" s="253"/>
      <c r="O130" s="253"/>
      <c r="P130" s="254"/>
      <c r="Q130" s="251"/>
      <c r="R130" s="251"/>
      <c r="S130" s="264">
        <f t="shared" si="372"/>
        <v>0</v>
      </c>
      <c r="T130" s="252" t="str" cm="1">
        <f t="array" ref="T130">INDEX(Trad, 52, $A$20)</f>
        <v>Sauber</v>
      </c>
      <c r="U130" s="253"/>
      <c r="V130" s="253"/>
      <c r="W130" s="254"/>
      <c r="X130" s="251"/>
      <c r="Y130" s="251"/>
      <c r="Z130" s="264">
        <f t="shared" si="373"/>
        <v>0</v>
      </c>
      <c r="AA130" s="261"/>
      <c r="AB130" s="258"/>
      <c r="AC130" s="246"/>
      <c r="AD130" s="247" t="str">
        <f>IF(ISBLANK(AC130), "", VLOOKUP(AC130, Z!$A$2:$C$4127, 3, FALSE))</f>
        <v/>
      </c>
      <c r="AE130" s="262"/>
      <c r="AF130" s="263">
        <f t="shared" si="374"/>
        <v>0</v>
      </c>
      <c r="AG130" s="238"/>
      <c r="AH130" s="229">
        <f t="shared" si="398"/>
        <v>1</v>
      </c>
      <c r="AI130" s="229">
        <f t="shared" si="399"/>
        <v>1</v>
      </c>
      <c r="AJ130" s="229">
        <f t="shared" si="400"/>
        <v>0</v>
      </c>
      <c r="AK130" s="229">
        <v>0</v>
      </c>
      <c r="AL130" s="229">
        <v>0</v>
      </c>
      <c r="AM130" s="229">
        <v>1</v>
      </c>
      <c r="AN130" s="229">
        <v>0</v>
      </c>
      <c r="AO130" s="229">
        <f t="shared" si="375"/>
        <v>-100</v>
      </c>
      <c r="AP130" s="238"/>
      <c r="AQ130" s="255"/>
      <c r="AR130" s="255"/>
      <c r="AS130" s="256"/>
      <c r="AT130" s="256"/>
      <c r="AU130" s="256"/>
      <c r="AV130" s="256"/>
      <c r="AW130" s="256"/>
      <c r="AX130" s="256"/>
      <c r="AY130" s="256"/>
      <c r="AZ130" s="256"/>
      <c r="BA130" s="256"/>
      <c r="BB130" s="256"/>
      <c r="BC130" s="256"/>
      <c r="BD130" s="238"/>
      <c r="BE130" s="229" cm="1">
        <f t="array" ref="BE130">IF(ISBLANK(R130), INDEX(Use, $AH130, 4) - AM130*INDEX(Use, $AH130, 6), R130)</f>
        <v>5</v>
      </c>
      <c r="BF130" s="229">
        <f t="shared" si="376"/>
        <v>30</v>
      </c>
      <c r="BG130" s="229">
        <f t="shared" si="241"/>
        <v>13</v>
      </c>
      <c r="BH130" s="229">
        <f t="shared" si="242"/>
        <v>0</v>
      </c>
      <c r="BI130" s="234" cm="1">
        <f t="array" ref="BI130">K130/IF($L130&gt;0, INDEX($AU$23:$BA$77, $L130+20, $AH130), 1)</f>
        <v>0</v>
      </c>
      <c r="BJ130" s="230">
        <f t="shared" si="377"/>
        <v>0</v>
      </c>
      <c r="BK130" s="229">
        <v>35</v>
      </c>
      <c r="BL130" s="230">
        <f t="shared" si="378"/>
        <v>48</v>
      </c>
      <c r="BM130" s="235">
        <f t="shared" si="379"/>
        <v>2.9108720930232557</v>
      </c>
      <c r="BN130" s="235" cm="1">
        <f t="array" ref="BN130">$BI130 * SUMPRODUCT(INDEX($AR$77:$AT$82,,$AI130),INDEX($AU$77:$BA$82,,$AH130), N($AQ$77:$AQ$82&gt;$AO130)) / BM130 / 1000</f>
        <v>0</v>
      </c>
      <c r="BO130" s="232">
        <f t="shared" si="246"/>
        <v>30</v>
      </c>
      <c r="BP130" s="230">
        <f t="shared" si="380"/>
        <v>43</v>
      </c>
      <c r="BQ130" s="235">
        <f t="shared" si="381"/>
        <v>3.2938815789473681</v>
      </c>
      <c r="BR130" s="235" cm="1">
        <f t="array" ref="BR130">$BI130 * IF($AH130&lt;=2,
SUMPRODUCT(INDEX($AR$72:$AT$76,,$AI130), INDEX($AU$72:$BA$76,,$AH130), 1 / ($BB$72:$BB$76*BQ130 + (1-$BB$72:$BB$76)*BM130), N($AQ$72:$AQ$76&gt;$AO130)),
SUMPRODUCT(INDEX($AR$67:$AT$76,,$AI130), INDEX($AU$67:$BA$76,,$AH130), 1 / ($BC$67:$BC$76*BQ130 + (1-$BC$67:$BC$76)*BM130), N($AQ$67:$AQ$76&gt;$AO130))
) / 1000</f>
        <v>0</v>
      </c>
      <c r="BS130" s="232">
        <f t="shared" si="249"/>
        <v>25</v>
      </c>
      <c r="BT130" s="230">
        <f t="shared" si="382"/>
        <v>38</v>
      </c>
      <c r="BU130" s="235">
        <f t="shared" si="383"/>
        <v>3.792954545454545</v>
      </c>
      <c r="BV130" s="235" cm="1">
        <f t="array" ref="BV130">$BI130 * IF($AH130&lt;=2,
SUMPRODUCT(INDEX($AR$67:$AT$71,,$AI130), INDEX($AU$67:$BA$71,,$AH130), 1 / ($BB$67:$BB$71*BU130 + (1-$BB$67:$BB$71)*BQ130), N($AQ$67:$AQ$71&gt;$AO130)),
SUMPRODUCT(INDEX($AR$57:$AT$66,,$AI130), INDEX($AU$57:$BA$66,,$AH130), 1 / ($BC$57:$BC$66*BU130 + (1-$BC$57:$BC$66)*BQ130), N($AQ$57:$AQ$66&gt;$AO130))
) / 1000</f>
        <v>0</v>
      </c>
      <c r="BW130" s="232">
        <f t="shared" si="252"/>
        <v>20</v>
      </c>
      <c r="BX130" s="230">
        <f t="shared" si="384"/>
        <v>33</v>
      </c>
      <c r="BY130" s="235">
        <f t="shared" si="385"/>
        <v>4.4702678571428569</v>
      </c>
      <c r="BZ130" s="235" cm="1">
        <f t="array" ref="BZ130">$BI130 * IF($AH130&lt;=2,
SUMPRODUCT(INDEX($AR$62:$AT$66,,$AI130), INDEX($AU$62:$BA$66,,$AH130), 1 / ($BB$62:$BB$66*BY130 + (1-$BB$62:$BB$66)*BU130), N($AQ$62:$AQ$66&gt;$AO130)),
SUMPRODUCT(INDEX($AR$47:$AT$56,,$AI130), INDEX($AU$47:$BA$56,,$AH130), 1 / ($BC$47:$BC$56*BY130 + (1-$BC$47:$BC$56)*BU130), N($AQ$47:$AQ$56&gt;$AO130))
) / 1000</f>
        <v>0</v>
      </c>
      <c r="CA130" s="235" cm="1">
        <f t="array" ref="CA130">$BI130 * IF($AH130&lt;=2,
SUMPRODUCT(INDEX($AR$23:$AT$61,,$AI130), INDEX($AU$23:$BA$61,,$AH130), 1 / ($BB$23:$BB$61*BY130), N($AQ$23:$AQ$61&gt;$AO130)),
SUMPRODUCT(INDEX($AR$23:$AT$46,,$AI130), INDEX($AU$23:$BA$46,,$AH130), 1 / ($BC$23:$BC$46*BY130), N($AQ$23:$AQ$46&gt;$AO130))
) / 1000</f>
        <v>0</v>
      </c>
      <c r="CB130" s="230">
        <f t="shared" si="386"/>
        <v>0</v>
      </c>
      <c r="CC130" s="238"/>
      <c r="CD130" s="229" cm="1">
        <f t="array" ref="CD130">IF(ISBLANK(Y130), INDEX(Use, $AH130, 4) - AN130*INDEX(Use, $AH130, 6) - (Q130-X130), Y130)</f>
        <v>7</v>
      </c>
      <c r="CE130" s="229">
        <f t="shared" si="387"/>
        <v>32</v>
      </c>
      <c r="CF130" s="230">
        <f t="shared" si="388"/>
        <v>0</v>
      </c>
      <c r="CG130" s="229">
        <v>35</v>
      </c>
      <c r="CH130" s="230">
        <f t="shared" si="389"/>
        <v>48</v>
      </c>
      <c r="CI130" s="235">
        <f t="shared" si="390"/>
        <v>3.0748170731707316</v>
      </c>
      <c r="CJ130" s="235" cm="1">
        <f t="array" ref="CJ130">$BI130 * SUMPRODUCT(INDEX($AR$77:$AT$82,,$AI130),INDEX($AU$77:$BA$82,,$AH130), N($AQ$77:$AQ$82&gt;$AO130)) / CI130 / 1000</f>
        <v>0</v>
      </c>
      <c r="CK130" s="232">
        <f t="shared" si="260"/>
        <v>30</v>
      </c>
      <c r="CL130" s="230">
        <f t="shared" si="391"/>
        <v>43</v>
      </c>
      <c r="CM130" s="235">
        <f t="shared" si="392"/>
        <v>3.5018750000000001</v>
      </c>
      <c r="CN130" s="235" cm="1">
        <f t="array" ref="CN130">$BI130 * IF($AH130&lt;=2,
SUMPRODUCT(INDEX($AR$72:$AT$76,,$AI130), INDEX($AU$72:$BA$76,,$AH130), 1 / ($BB$72:$BB$76*CM130 + (1-$BB$72:$BB$76)*CI130), N($AQ$72:$AQ$76&gt;$AO130)),
SUMPRODUCT(INDEX($AR$67:$AT$76,,$AI130), INDEX($AU$67:$BA$76,,$AH130), 1 / ($BC$67:$BC$76*CM130 + (1-$BC$67:$BC$76)*CI130), N($AQ$67:$AQ$76&gt;$AO130))
) / 1000</f>
        <v>0</v>
      </c>
      <c r="CO130" s="232">
        <f t="shared" si="263"/>
        <v>25</v>
      </c>
      <c r="CP130" s="230">
        <f t="shared" si="393"/>
        <v>38</v>
      </c>
      <c r="CQ130" s="235">
        <f t="shared" si="394"/>
        <v>4.0666935483870965</v>
      </c>
      <c r="CR130" s="235" cm="1">
        <f t="array" ref="CR130">$BI130 * IF($AH130&lt;=2,
SUMPRODUCT(INDEX($AR$67:$AT$71,,$AI130), INDEX($AU$67:$BA$71,,$AH130), 1 / ($BB$67:$BB$71*CQ130 + (1-$BB$67:$BB$71)*CM130), N($AQ$67:$AQ$71&gt;$AO130)),
SUMPRODUCT(INDEX($AR$57:$AT$66,,$AI130), INDEX($AU$57:$BA$66,,$AH130), 1 / ($BC$57:$BC$66*CQ130 + (1-$BC$57:$BC$66)*CM130), N($AQ$57:$AQ$66&gt;$AO130))
) / 1000</f>
        <v>0</v>
      </c>
      <c r="CS130" s="232">
        <f t="shared" si="266"/>
        <v>20</v>
      </c>
      <c r="CT130" s="230">
        <f t="shared" si="395"/>
        <v>33</v>
      </c>
      <c r="CU130" s="235">
        <f t="shared" si="396"/>
        <v>4.8487499999999999</v>
      </c>
      <c r="CV130" s="235" cm="1">
        <f t="array" ref="CV130">$BI130 * IF($AH130&lt;=2,
SUMPRODUCT(INDEX($AR$62:$AT$66,,$AI130), INDEX($AU$62:$BA$66,,$AH130), 1 / ($BB$62:$BB$66*CU130 + (1-$BB$62:$BB$66)*CQ130), N($AQ$62:$AQ$66&gt;$AO130)),
SUMPRODUCT(INDEX($AR$47:$AT$56,,$AI130), INDEX($AU$47:$BA$56,,$AH130), 1 / ($BC$47:$BC$56*CU130 + (1-$BC$47:$BC$56)*CQ130), N($AQ$47:$AQ$56&gt;$AO130))
) / 1000</f>
        <v>0</v>
      </c>
      <c r="CW130" s="235" cm="1">
        <f t="array" ref="CW130">$BI130 * IF($AH130&lt;=2,
SUMPRODUCT(INDEX($AR$23:$AT$61,,$AI130), INDEX($AU$23:$BA$61,,$AH130), 1 / ($BB$23:$BB$61*CU130), N($AQ$23:$AQ$61&gt;$AO130)),
SUMPRODUCT(INDEX($AR$23:$AT$46,,$AI130), INDEX($AU$23:$BA$46,,$AH130), 1 / ($BC$23:$BC$46*CU130), N($AQ$23:$AQ$46&gt;$AO130))
) / 1000</f>
        <v>0</v>
      </c>
      <c r="CX130" s="230">
        <f t="shared" si="397"/>
        <v>0</v>
      </c>
      <c r="CY130" s="238"/>
    </row>
    <row r="131" spans="1:103" s="76" customFormat="1" ht="14.25" customHeight="1" x14ac:dyDescent="0.2">
      <c r="A131" s="231" t="b">
        <f t="shared" si="229"/>
        <v>0</v>
      </c>
      <c r="B131" s="245">
        <v>109</v>
      </c>
      <c r="C131" s="258"/>
      <c r="D131" s="258"/>
      <c r="E131" s="246"/>
      <c r="F131" s="247" t="str">
        <f>IF(ISBLANK(E131), "", VLOOKUP(E131, Z!$A$2:$C$4127, 3, FALSE))</f>
        <v/>
      </c>
      <c r="G131" s="248"/>
      <c r="H131" s="248"/>
      <c r="I131" s="249"/>
      <c r="J131" s="250"/>
      <c r="K131" s="259"/>
      <c r="L131" s="260"/>
      <c r="M131" s="252" t="str" cm="1">
        <f t="array" ref="M131">INDEX(Trad, 53, $A$20)</f>
        <v>Verschmutzt</v>
      </c>
      <c r="N131" s="253"/>
      <c r="O131" s="253"/>
      <c r="P131" s="254"/>
      <c r="Q131" s="251"/>
      <c r="R131" s="251"/>
      <c r="S131" s="264">
        <f t="shared" si="372"/>
        <v>0</v>
      </c>
      <c r="T131" s="252" t="str" cm="1">
        <f t="array" ref="T131">INDEX(Trad, 52, $A$20)</f>
        <v>Sauber</v>
      </c>
      <c r="U131" s="253"/>
      <c r="V131" s="253"/>
      <c r="W131" s="254"/>
      <c r="X131" s="251"/>
      <c r="Y131" s="251"/>
      <c r="Z131" s="264">
        <f t="shared" si="373"/>
        <v>0</v>
      </c>
      <c r="AA131" s="261"/>
      <c r="AB131" s="258"/>
      <c r="AC131" s="246"/>
      <c r="AD131" s="247" t="str">
        <f>IF(ISBLANK(AC131), "", VLOOKUP(AC131, Z!$A$2:$C$4127, 3, FALSE))</f>
        <v/>
      </c>
      <c r="AE131" s="262"/>
      <c r="AF131" s="263">
        <f t="shared" si="374"/>
        <v>0</v>
      </c>
      <c r="AG131" s="238"/>
      <c r="AH131" s="229">
        <f t="shared" si="398"/>
        <v>1</v>
      </c>
      <c r="AI131" s="229">
        <f t="shared" si="399"/>
        <v>1</v>
      </c>
      <c r="AJ131" s="229">
        <f t="shared" si="400"/>
        <v>0</v>
      </c>
      <c r="AK131" s="229">
        <v>0</v>
      </c>
      <c r="AL131" s="229">
        <v>0</v>
      </c>
      <c r="AM131" s="229">
        <v>1</v>
      </c>
      <c r="AN131" s="229">
        <v>0</v>
      </c>
      <c r="AO131" s="229">
        <f t="shared" si="375"/>
        <v>-100</v>
      </c>
      <c r="AP131" s="238"/>
      <c r="AQ131" s="255"/>
      <c r="AR131" s="255"/>
      <c r="AS131" s="256"/>
      <c r="AT131" s="256"/>
      <c r="AU131" s="256"/>
      <c r="AV131" s="256"/>
      <c r="AW131" s="256"/>
      <c r="AX131" s="256"/>
      <c r="AY131" s="256"/>
      <c r="AZ131" s="256"/>
      <c r="BA131" s="256"/>
      <c r="BB131" s="256"/>
      <c r="BC131" s="256"/>
      <c r="BD131" s="238"/>
      <c r="BE131" s="229" cm="1">
        <f t="array" ref="BE131">IF(ISBLANK(R131), INDEX(Use, $AH131, 4) - AM131*INDEX(Use, $AH131, 6), R131)</f>
        <v>5</v>
      </c>
      <c r="BF131" s="229">
        <f t="shared" si="376"/>
        <v>30</v>
      </c>
      <c r="BG131" s="229">
        <f t="shared" si="241"/>
        <v>13</v>
      </c>
      <c r="BH131" s="229">
        <f t="shared" si="242"/>
        <v>0</v>
      </c>
      <c r="BI131" s="234" cm="1">
        <f t="array" ref="BI131">K131/IF($L131&gt;0, INDEX($AU$23:$BA$77, $L131+20, $AH131), 1)</f>
        <v>0</v>
      </c>
      <c r="BJ131" s="230">
        <f t="shared" si="377"/>
        <v>0</v>
      </c>
      <c r="BK131" s="229">
        <v>35</v>
      </c>
      <c r="BL131" s="230">
        <f t="shared" si="378"/>
        <v>48</v>
      </c>
      <c r="BM131" s="235">
        <f t="shared" si="379"/>
        <v>2.9108720930232557</v>
      </c>
      <c r="BN131" s="235" cm="1">
        <f t="array" ref="BN131">$BI131 * SUMPRODUCT(INDEX($AR$77:$AT$82,,$AI131),INDEX($AU$77:$BA$82,,$AH131), N($AQ$77:$AQ$82&gt;$AO131)) / BM131 / 1000</f>
        <v>0</v>
      </c>
      <c r="BO131" s="232">
        <f t="shared" si="246"/>
        <v>30</v>
      </c>
      <c r="BP131" s="230">
        <f t="shared" si="380"/>
        <v>43</v>
      </c>
      <c r="BQ131" s="235">
        <f t="shared" si="381"/>
        <v>3.2938815789473681</v>
      </c>
      <c r="BR131" s="235" cm="1">
        <f t="array" ref="BR131">$BI131 * IF($AH131&lt;=2,
SUMPRODUCT(INDEX($AR$72:$AT$76,,$AI131), INDEX($AU$72:$BA$76,,$AH131), 1 / ($BB$72:$BB$76*BQ131 + (1-$BB$72:$BB$76)*BM131), N($AQ$72:$AQ$76&gt;$AO131)),
SUMPRODUCT(INDEX($AR$67:$AT$76,,$AI131), INDEX($AU$67:$BA$76,,$AH131), 1 / ($BC$67:$BC$76*BQ131 + (1-$BC$67:$BC$76)*BM131), N($AQ$67:$AQ$76&gt;$AO131))
) / 1000</f>
        <v>0</v>
      </c>
      <c r="BS131" s="232">
        <f t="shared" si="249"/>
        <v>25</v>
      </c>
      <c r="BT131" s="230">
        <f t="shared" si="382"/>
        <v>38</v>
      </c>
      <c r="BU131" s="235">
        <f t="shared" si="383"/>
        <v>3.792954545454545</v>
      </c>
      <c r="BV131" s="235" cm="1">
        <f t="array" ref="BV131">$BI131 * IF($AH131&lt;=2,
SUMPRODUCT(INDEX($AR$67:$AT$71,,$AI131), INDEX($AU$67:$BA$71,,$AH131), 1 / ($BB$67:$BB$71*BU131 + (1-$BB$67:$BB$71)*BQ131), N($AQ$67:$AQ$71&gt;$AO131)),
SUMPRODUCT(INDEX($AR$57:$AT$66,,$AI131), INDEX($AU$57:$BA$66,,$AH131), 1 / ($BC$57:$BC$66*BU131 + (1-$BC$57:$BC$66)*BQ131), N($AQ$57:$AQ$66&gt;$AO131))
) / 1000</f>
        <v>0</v>
      </c>
      <c r="BW131" s="232">
        <f t="shared" si="252"/>
        <v>20</v>
      </c>
      <c r="BX131" s="230">
        <f t="shared" si="384"/>
        <v>33</v>
      </c>
      <c r="BY131" s="235">
        <f t="shared" si="385"/>
        <v>4.4702678571428569</v>
      </c>
      <c r="BZ131" s="235" cm="1">
        <f t="array" ref="BZ131">$BI131 * IF($AH131&lt;=2,
SUMPRODUCT(INDEX($AR$62:$AT$66,,$AI131), INDEX($AU$62:$BA$66,,$AH131), 1 / ($BB$62:$BB$66*BY131 + (1-$BB$62:$BB$66)*BU131), N($AQ$62:$AQ$66&gt;$AO131)),
SUMPRODUCT(INDEX($AR$47:$AT$56,,$AI131), INDEX($AU$47:$BA$56,,$AH131), 1 / ($BC$47:$BC$56*BY131 + (1-$BC$47:$BC$56)*BU131), N($AQ$47:$AQ$56&gt;$AO131))
) / 1000</f>
        <v>0</v>
      </c>
      <c r="CA131" s="235" cm="1">
        <f t="array" ref="CA131">$BI131 * IF($AH131&lt;=2,
SUMPRODUCT(INDEX($AR$23:$AT$61,,$AI131), INDEX($AU$23:$BA$61,,$AH131), 1 / ($BB$23:$BB$61*BY131), N($AQ$23:$AQ$61&gt;$AO131)),
SUMPRODUCT(INDEX($AR$23:$AT$46,,$AI131), INDEX($AU$23:$BA$46,,$AH131), 1 / ($BC$23:$BC$46*BY131), N($AQ$23:$AQ$46&gt;$AO131))
) / 1000</f>
        <v>0</v>
      </c>
      <c r="CB131" s="230">
        <f t="shared" si="386"/>
        <v>0</v>
      </c>
      <c r="CC131" s="238"/>
      <c r="CD131" s="229" cm="1">
        <f t="array" ref="CD131">IF(ISBLANK(Y131), INDEX(Use, $AH131, 4) - AN131*INDEX(Use, $AH131, 6) - (Q131-X131), Y131)</f>
        <v>7</v>
      </c>
      <c r="CE131" s="229">
        <f t="shared" si="387"/>
        <v>32</v>
      </c>
      <c r="CF131" s="230">
        <f t="shared" si="388"/>
        <v>0</v>
      </c>
      <c r="CG131" s="229">
        <v>35</v>
      </c>
      <c r="CH131" s="230">
        <f t="shared" si="389"/>
        <v>48</v>
      </c>
      <c r="CI131" s="235">
        <f t="shared" si="390"/>
        <v>3.0748170731707316</v>
      </c>
      <c r="CJ131" s="235" cm="1">
        <f t="array" ref="CJ131">$BI131 * SUMPRODUCT(INDEX($AR$77:$AT$82,,$AI131),INDEX($AU$77:$BA$82,,$AH131), N($AQ$77:$AQ$82&gt;$AO131)) / CI131 / 1000</f>
        <v>0</v>
      </c>
      <c r="CK131" s="232">
        <f t="shared" si="260"/>
        <v>30</v>
      </c>
      <c r="CL131" s="230">
        <f t="shared" si="391"/>
        <v>43</v>
      </c>
      <c r="CM131" s="235">
        <f t="shared" si="392"/>
        <v>3.5018750000000001</v>
      </c>
      <c r="CN131" s="235" cm="1">
        <f t="array" ref="CN131">$BI131 * IF($AH131&lt;=2,
SUMPRODUCT(INDEX($AR$72:$AT$76,,$AI131), INDEX($AU$72:$BA$76,,$AH131), 1 / ($BB$72:$BB$76*CM131 + (1-$BB$72:$BB$76)*CI131), N($AQ$72:$AQ$76&gt;$AO131)),
SUMPRODUCT(INDEX($AR$67:$AT$76,,$AI131), INDEX($AU$67:$BA$76,,$AH131), 1 / ($BC$67:$BC$76*CM131 + (1-$BC$67:$BC$76)*CI131), N($AQ$67:$AQ$76&gt;$AO131))
) / 1000</f>
        <v>0</v>
      </c>
      <c r="CO131" s="232">
        <f t="shared" si="263"/>
        <v>25</v>
      </c>
      <c r="CP131" s="230">
        <f t="shared" si="393"/>
        <v>38</v>
      </c>
      <c r="CQ131" s="235">
        <f t="shared" si="394"/>
        <v>4.0666935483870965</v>
      </c>
      <c r="CR131" s="235" cm="1">
        <f t="array" ref="CR131">$BI131 * IF($AH131&lt;=2,
SUMPRODUCT(INDEX($AR$67:$AT$71,,$AI131), INDEX($AU$67:$BA$71,,$AH131), 1 / ($BB$67:$BB$71*CQ131 + (1-$BB$67:$BB$71)*CM131), N($AQ$67:$AQ$71&gt;$AO131)),
SUMPRODUCT(INDEX($AR$57:$AT$66,,$AI131), INDEX($AU$57:$BA$66,,$AH131), 1 / ($BC$57:$BC$66*CQ131 + (1-$BC$57:$BC$66)*CM131), N($AQ$57:$AQ$66&gt;$AO131))
) / 1000</f>
        <v>0</v>
      </c>
      <c r="CS131" s="232">
        <f t="shared" si="266"/>
        <v>20</v>
      </c>
      <c r="CT131" s="230">
        <f t="shared" si="395"/>
        <v>33</v>
      </c>
      <c r="CU131" s="235">
        <f t="shared" si="396"/>
        <v>4.8487499999999999</v>
      </c>
      <c r="CV131" s="235" cm="1">
        <f t="array" ref="CV131">$BI131 * IF($AH131&lt;=2,
SUMPRODUCT(INDEX($AR$62:$AT$66,,$AI131), INDEX($AU$62:$BA$66,,$AH131), 1 / ($BB$62:$BB$66*CU131 + (1-$BB$62:$BB$66)*CQ131), N($AQ$62:$AQ$66&gt;$AO131)),
SUMPRODUCT(INDEX($AR$47:$AT$56,,$AI131), INDEX($AU$47:$BA$56,,$AH131), 1 / ($BC$47:$BC$56*CU131 + (1-$BC$47:$BC$56)*CQ131), N($AQ$47:$AQ$56&gt;$AO131))
) / 1000</f>
        <v>0</v>
      </c>
      <c r="CW131" s="235" cm="1">
        <f t="array" ref="CW131">$BI131 * IF($AH131&lt;=2,
SUMPRODUCT(INDEX($AR$23:$AT$61,,$AI131), INDEX($AU$23:$BA$61,,$AH131), 1 / ($BB$23:$BB$61*CU131), N($AQ$23:$AQ$61&gt;$AO131)),
SUMPRODUCT(INDEX($AR$23:$AT$46,,$AI131), INDEX($AU$23:$BA$46,,$AH131), 1 / ($BC$23:$BC$46*CU131), N($AQ$23:$AQ$46&gt;$AO131))
) / 1000</f>
        <v>0</v>
      </c>
      <c r="CX131" s="230">
        <f t="shared" si="397"/>
        <v>0</v>
      </c>
      <c r="CY131" s="238"/>
    </row>
    <row r="132" spans="1:103" s="76" customFormat="1" ht="14.25" customHeight="1" x14ac:dyDescent="0.2">
      <c r="A132" s="231" t="b">
        <f t="shared" si="229"/>
        <v>0</v>
      </c>
      <c r="B132" s="245">
        <v>110</v>
      </c>
      <c r="C132" s="258"/>
      <c r="D132" s="258"/>
      <c r="E132" s="246"/>
      <c r="F132" s="247" t="str">
        <f>IF(ISBLANK(E132), "", VLOOKUP(E132, Z!$A$2:$C$4127, 3, FALSE))</f>
        <v/>
      </c>
      <c r="G132" s="248"/>
      <c r="H132" s="248"/>
      <c r="I132" s="249"/>
      <c r="J132" s="250"/>
      <c r="K132" s="259"/>
      <c r="L132" s="260"/>
      <c r="M132" s="252" t="str" cm="1">
        <f t="array" ref="M132">INDEX(Trad, 53, $A$20)</f>
        <v>Verschmutzt</v>
      </c>
      <c r="N132" s="253"/>
      <c r="O132" s="253"/>
      <c r="P132" s="254"/>
      <c r="Q132" s="251"/>
      <c r="R132" s="251"/>
      <c r="S132" s="264">
        <f t="shared" si="372"/>
        <v>0</v>
      </c>
      <c r="T132" s="252" t="str" cm="1">
        <f t="array" ref="T132">INDEX(Trad, 52, $A$20)</f>
        <v>Sauber</v>
      </c>
      <c r="U132" s="253"/>
      <c r="V132" s="253"/>
      <c r="W132" s="254"/>
      <c r="X132" s="251"/>
      <c r="Y132" s="251"/>
      <c r="Z132" s="264">
        <f t="shared" si="373"/>
        <v>0</v>
      </c>
      <c r="AA132" s="261"/>
      <c r="AB132" s="258"/>
      <c r="AC132" s="246"/>
      <c r="AD132" s="247" t="str">
        <f>IF(ISBLANK(AC132), "", VLOOKUP(AC132, Z!$A$2:$C$4127, 3, FALSE))</f>
        <v/>
      </c>
      <c r="AE132" s="262"/>
      <c r="AF132" s="263">
        <f t="shared" si="374"/>
        <v>0</v>
      </c>
      <c r="AG132" s="238"/>
      <c r="AH132" s="229">
        <f t="shared" si="398"/>
        <v>1</v>
      </c>
      <c r="AI132" s="229">
        <f t="shared" si="399"/>
        <v>1</v>
      </c>
      <c r="AJ132" s="229">
        <f t="shared" si="400"/>
        <v>0</v>
      </c>
      <c r="AK132" s="229">
        <v>0</v>
      </c>
      <c r="AL132" s="229">
        <v>0</v>
      </c>
      <c r="AM132" s="229">
        <v>1</v>
      </c>
      <c r="AN132" s="229">
        <v>0</v>
      </c>
      <c r="AO132" s="229">
        <f t="shared" si="375"/>
        <v>-100</v>
      </c>
      <c r="AP132" s="238"/>
      <c r="AQ132" s="255"/>
      <c r="AR132" s="255"/>
      <c r="AS132" s="256"/>
      <c r="AT132" s="256"/>
      <c r="AU132" s="256"/>
      <c r="AV132" s="256"/>
      <c r="AW132" s="256"/>
      <c r="AX132" s="256"/>
      <c r="AY132" s="256"/>
      <c r="AZ132" s="256"/>
      <c r="BA132" s="256"/>
      <c r="BB132" s="256"/>
      <c r="BC132" s="256"/>
      <c r="BD132" s="238"/>
      <c r="BE132" s="229" cm="1">
        <f t="array" ref="BE132">IF(ISBLANK(R132), INDEX(Use, $AH132, 4) - AM132*INDEX(Use, $AH132, 6), R132)</f>
        <v>5</v>
      </c>
      <c r="BF132" s="229">
        <f t="shared" si="376"/>
        <v>30</v>
      </c>
      <c r="BG132" s="229">
        <f t="shared" si="241"/>
        <v>13</v>
      </c>
      <c r="BH132" s="229">
        <f t="shared" si="242"/>
        <v>0</v>
      </c>
      <c r="BI132" s="234" cm="1">
        <f t="array" ref="BI132">K132/IF($L132&gt;0, INDEX($AU$23:$BA$77, $L132+20, $AH132), 1)</f>
        <v>0</v>
      </c>
      <c r="BJ132" s="230">
        <f t="shared" si="377"/>
        <v>0</v>
      </c>
      <c r="BK132" s="229">
        <v>35</v>
      </c>
      <c r="BL132" s="230">
        <f t="shared" si="378"/>
        <v>48</v>
      </c>
      <c r="BM132" s="235">
        <f t="shared" si="379"/>
        <v>2.9108720930232557</v>
      </c>
      <c r="BN132" s="235" cm="1">
        <f t="array" ref="BN132">$BI132 * SUMPRODUCT(INDEX($AR$77:$AT$82,,$AI132),INDEX($AU$77:$BA$82,,$AH132), N($AQ$77:$AQ$82&gt;$AO132)) / BM132 / 1000</f>
        <v>0</v>
      </c>
      <c r="BO132" s="232">
        <f t="shared" si="246"/>
        <v>30</v>
      </c>
      <c r="BP132" s="230">
        <f t="shared" si="380"/>
        <v>43</v>
      </c>
      <c r="BQ132" s="235">
        <f t="shared" si="381"/>
        <v>3.2938815789473681</v>
      </c>
      <c r="BR132" s="235" cm="1">
        <f t="array" ref="BR132">$BI132 * IF($AH132&lt;=2,
SUMPRODUCT(INDEX($AR$72:$AT$76,,$AI132), INDEX($AU$72:$BA$76,,$AH132), 1 / ($BB$72:$BB$76*BQ132 + (1-$BB$72:$BB$76)*BM132), N($AQ$72:$AQ$76&gt;$AO132)),
SUMPRODUCT(INDEX($AR$67:$AT$76,,$AI132), INDEX($AU$67:$BA$76,,$AH132), 1 / ($BC$67:$BC$76*BQ132 + (1-$BC$67:$BC$76)*BM132), N($AQ$67:$AQ$76&gt;$AO132))
) / 1000</f>
        <v>0</v>
      </c>
      <c r="BS132" s="232">
        <f t="shared" si="249"/>
        <v>25</v>
      </c>
      <c r="BT132" s="230">
        <f t="shared" si="382"/>
        <v>38</v>
      </c>
      <c r="BU132" s="235">
        <f t="shared" si="383"/>
        <v>3.792954545454545</v>
      </c>
      <c r="BV132" s="235" cm="1">
        <f t="array" ref="BV132">$BI132 * IF($AH132&lt;=2,
SUMPRODUCT(INDEX($AR$67:$AT$71,,$AI132), INDEX($AU$67:$BA$71,,$AH132), 1 / ($BB$67:$BB$71*BU132 + (1-$BB$67:$BB$71)*BQ132), N($AQ$67:$AQ$71&gt;$AO132)),
SUMPRODUCT(INDEX($AR$57:$AT$66,,$AI132), INDEX($AU$57:$BA$66,,$AH132), 1 / ($BC$57:$BC$66*BU132 + (1-$BC$57:$BC$66)*BQ132), N($AQ$57:$AQ$66&gt;$AO132))
) / 1000</f>
        <v>0</v>
      </c>
      <c r="BW132" s="232">
        <f t="shared" si="252"/>
        <v>20</v>
      </c>
      <c r="BX132" s="230">
        <f t="shared" si="384"/>
        <v>33</v>
      </c>
      <c r="BY132" s="235">
        <f t="shared" si="385"/>
        <v>4.4702678571428569</v>
      </c>
      <c r="BZ132" s="235" cm="1">
        <f t="array" ref="BZ132">$BI132 * IF($AH132&lt;=2,
SUMPRODUCT(INDEX($AR$62:$AT$66,,$AI132), INDEX($AU$62:$BA$66,,$AH132), 1 / ($BB$62:$BB$66*BY132 + (1-$BB$62:$BB$66)*BU132), N($AQ$62:$AQ$66&gt;$AO132)),
SUMPRODUCT(INDEX($AR$47:$AT$56,,$AI132), INDEX($AU$47:$BA$56,,$AH132), 1 / ($BC$47:$BC$56*BY132 + (1-$BC$47:$BC$56)*BU132), N($AQ$47:$AQ$56&gt;$AO132))
) / 1000</f>
        <v>0</v>
      </c>
      <c r="CA132" s="235" cm="1">
        <f t="array" ref="CA132">$BI132 * IF($AH132&lt;=2,
SUMPRODUCT(INDEX($AR$23:$AT$61,,$AI132), INDEX($AU$23:$BA$61,,$AH132), 1 / ($BB$23:$BB$61*BY132), N($AQ$23:$AQ$61&gt;$AO132)),
SUMPRODUCT(INDEX($AR$23:$AT$46,,$AI132), INDEX($AU$23:$BA$46,,$AH132), 1 / ($BC$23:$BC$46*BY132), N($AQ$23:$AQ$46&gt;$AO132))
) / 1000</f>
        <v>0</v>
      </c>
      <c r="CB132" s="230">
        <f t="shared" si="386"/>
        <v>0</v>
      </c>
      <c r="CC132" s="238"/>
      <c r="CD132" s="229" cm="1">
        <f t="array" ref="CD132">IF(ISBLANK(Y132), INDEX(Use, $AH132, 4) - AN132*INDEX(Use, $AH132, 6) - (Q132-X132), Y132)</f>
        <v>7</v>
      </c>
      <c r="CE132" s="229">
        <f t="shared" si="387"/>
        <v>32</v>
      </c>
      <c r="CF132" s="230">
        <f t="shared" si="388"/>
        <v>0</v>
      </c>
      <c r="CG132" s="229">
        <v>35</v>
      </c>
      <c r="CH132" s="230">
        <f t="shared" si="389"/>
        <v>48</v>
      </c>
      <c r="CI132" s="235">
        <f t="shared" si="390"/>
        <v>3.0748170731707316</v>
      </c>
      <c r="CJ132" s="235" cm="1">
        <f t="array" ref="CJ132">$BI132 * SUMPRODUCT(INDEX($AR$77:$AT$82,,$AI132),INDEX($AU$77:$BA$82,,$AH132), N($AQ$77:$AQ$82&gt;$AO132)) / CI132 / 1000</f>
        <v>0</v>
      </c>
      <c r="CK132" s="232">
        <f t="shared" si="260"/>
        <v>30</v>
      </c>
      <c r="CL132" s="230">
        <f t="shared" si="391"/>
        <v>43</v>
      </c>
      <c r="CM132" s="235">
        <f t="shared" si="392"/>
        <v>3.5018750000000001</v>
      </c>
      <c r="CN132" s="235" cm="1">
        <f t="array" ref="CN132">$BI132 * IF($AH132&lt;=2,
SUMPRODUCT(INDEX($AR$72:$AT$76,,$AI132), INDEX($AU$72:$BA$76,,$AH132), 1 / ($BB$72:$BB$76*CM132 + (1-$BB$72:$BB$76)*CI132), N($AQ$72:$AQ$76&gt;$AO132)),
SUMPRODUCT(INDEX($AR$67:$AT$76,,$AI132), INDEX($AU$67:$BA$76,,$AH132), 1 / ($BC$67:$BC$76*CM132 + (1-$BC$67:$BC$76)*CI132), N($AQ$67:$AQ$76&gt;$AO132))
) / 1000</f>
        <v>0</v>
      </c>
      <c r="CO132" s="232">
        <f t="shared" si="263"/>
        <v>25</v>
      </c>
      <c r="CP132" s="230">
        <f t="shared" si="393"/>
        <v>38</v>
      </c>
      <c r="CQ132" s="235">
        <f t="shared" si="394"/>
        <v>4.0666935483870965</v>
      </c>
      <c r="CR132" s="235" cm="1">
        <f t="array" ref="CR132">$BI132 * IF($AH132&lt;=2,
SUMPRODUCT(INDEX($AR$67:$AT$71,,$AI132), INDEX($AU$67:$BA$71,,$AH132), 1 / ($BB$67:$BB$71*CQ132 + (1-$BB$67:$BB$71)*CM132), N($AQ$67:$AQ$71&gt;$AO132)),
SUMPRODUCT(INDEX($AR$57:$AT$66,,$AI132), INDEX($AU$57:$BA$66,,$AH132), 1 / ($BC$57:$BC$66*CQ132 + (1-$BC$57:$BC$66)*CM132), N($AQ$57:$AQ$66&gt;$AO132))
) / 1000</f>
        <v>0</v>
      </c>
      <c r="CS132" s="232">
        <f t="shared" si="266"/>
        <v>20</v>
      </c>
      <c r="CT132" s="230">
        <f t="shared" si="395"/>
        <v>33</v>
      </c>
      <c r="CU132" s="235">
        <f t="shared" si="396"/>
        <v>4.8487499999999999</v>
      </c>
      <c r="CV132" s="235" cm="1">
        <f t="array" ref="CV132">$BI132 * IF($AH132&lt;=2,
SUMPRODUCT(INDEX($AR$62:$AT$66,,$AI132), INDEX($AU$62:$BA$66,,$AH132), 1 / ($BB$62:$BB$66*CU132 + (1-$BB$62:$BB$66)*CQ132), N($AQ$62:$AQ$66&gt;$AO132)),
SUMPRODUCT(INDEX($AR$47:$AT$56,,$AI132), INDEX($AU$47:$BA$56,,$AH132), 1 / ($BC$47:$BC$56*CU132 + (1-$BC$47:$BC$56)*CQ132), N($AQ$47:$AQ$56&gt;$AO132))
) / 1000</f>
        <v>0</v>
      </c>
      <c r="CW132" s="235" cm="1">
        <f t="array" ref="CW132">$BI132 * IF($AH132&lt;=2,
SUMPRODUCT(INDEX($AR$23:$AT$61,,$AI132), INDEX($AU$23:$BA$61,,$AH132), 1 / ($BB$23:$BB$61*CU132), N($AQ$23:$AQ$61&gt;$AO132)),
SUMPRODUCT(INDEX($AR$23:$AT$46,,$AI132), INDEX($AU$23:$BA$46,,$AH132), 1 / ($BC$23:$BC$46*CU132), N($AQ$23:$AQ$46&gt;$AO132))
) / 1000</f>
        <v>0</v>
      </c>
      <c r="CX132" s="230">
        <f t="shared" si="397"/>
        <v>0</v>
      </c>
      <c r="CY132" s="238"/>
    </row>
    <row r="133" spans="1:103" s="76" customFormat="1" ht="14.25" customHeight="1" x14ac:dyDescent="0.2">
      <c r="A133" s="231" t="b">
        <f t="shared" si="229"/>
        <v>0</v>
      </c>
      <c r="B133" s="245">
        <v>111</v>
      </c>
      <c r="C133" s="258"/>
      <c r="D133" s="258"/>
      <c r="E133" s="246"/>
      <c r="F133" s="247" t="str">
        <f>IF(ISBLANK(E133), "", VLOOKUP(E133, Z!$A$2:$C$4127, 3, FALSE))</f>
        <v/>
      </c>
      <c r="G133" s="248"/>
      <c r="H133" s="248"/>
      <c r="I133" s="249"/>
      <c r="J133" s="250"/>
      <c r="K133" s="259"/>
      <c r="L133" s="260"/>
      <c r="M133" s="252" t="str" cm="1">
        <f t="array" ref="M133">INDEX(Trad, 53, $A$20)</f>
        <v>Verschmutzt</v>
      </c>
      <c r="N133" s="253"/>
      <c r="O133" s="253"/>
      <c r="P133" s="254"/>
      <c r="Q133" s="251"/>
      <c r="R133" s="251"/>
      <c r="S133" s="264">
        <f t="shared" si="372"/>
        <v>0</v>
      </c>
      <c r="T133" s="252" t="str" cm="1">
        <f t="array" ref="T133">INDEX(Trad, 52, $A$20)</f>
        <v>Sauber</v>
      </c>
      <c r="U133" s="253"/>
      <c r="V133" s="253"/>
      <c r="W133" s="254"/>
      <c r="X133" s="251"/>
      <c r="Y133" s="251"/>
      <c r="Z133" s="264">
        <f t="shared" si="373"/>
        <v>0</v>
      </c>
      <c r="AA133" s="261"/>
      <c r="AB133" s="258"/>
      <c r="AC133" s="246"/>
      <c r="AD133" s="247" t="str">
        <f>IF(ISBLANK(AC133), "", VLOOKUP(AC133, Z!$A$2:$C$4127, 3, FALSE))</f>
        <v/>
      </c>
      <c r="AE133" s="262"/>
      <c r="AF133" s="263">
        <f t="shared" si="374"/>
        <v>0</v>
      </c>
      <c r="AG133" s="238"/>
      <c r="AH133" s="229">
        <f t="shared" si="398"/>
        <v>1</v>
      </c>
      <c r="AI133" s="229">
        <f t="shared" si="399"/>
        <v>1</v>
      </c>
      <c r="AJ133" s="229">
        <f t="shared" si="400"/>
        <v>0</v>
      </c>
      <c r="AK133" s="229">
        <v>0</v>
      </c>
      <c r="AL133" s="229">
        <v>0</v>
      </c>
      <c r="AM133" s="229">
        <v>1</v>
      </c>
      <c r="AN133" s="229">
        <v>0</v>
      </c>
      <c r="AO133" s="229">
        <f t="shared" si="375"/>
        <v>-100</v>
      </c>
      <c r="AP133" s="238"/>
      <c r="AQ133" s="255"/>
      <c r="AR133" s="255"/>
      <c r="AS133" s="256"/>
      <c r="AT133" s="256"/>
      <c r="AU133" s="256"/>
      <c r="AV133" s="256"/>
      <c r="AW133" s="256"/>
      <c r="AX133" s="256"/>
      <c r="AY133" s="256"/>
      <c r="AZ133" s="256"/>
      <c r="BA133" s="256"/>
      <c r="BB133" s="256"/>
      <c r="BC133" s="256"/>
      <c r="BD133" s="238"/>
      <c r="BE133" s="229" cm="1">
        <f t="array" ref="BE133">IF(ISBLANK(R133), INDEX(Use, $AH133, 4) - AM133*INDEX(Use, $AH133, 6), R133)</f>
        <v>5</v>
      </c>
      <c r="BF133" s="229">
        <f t="shared" si="376"/>
        <v>30</v>
      </c>
      <c r="BG133" s="229">
        <f t="shared" si="241"/>
        <v>13</v>
      </c>
      <c r="BH133" s="229">
        <f t="shared" si="242"/>
        <v>0</v>
      </c>
      <c r="BI133" s="234" cm="1">
        <f t="array" ref="BI133">K133/IF($L133&gt;0, INDEX($AU$23:$BA$77, $L133+20, $AH133), 1)</f>
        <v>0</v>
      </c>
      <c r="BJ133" s="230">
        <f t="shared" si="377"/>
        <v>0</v>
      </c>
      <c r="BK133" s="229">
        <v>35</v>
      </c>
      <c r="BL133" s="230">
        <f t="shared" si="378"/>
        <v>48</v>
      </c>
      <c r="BM133" s="235">
        <f t="shared" si="379"/>
        <v>2.9108720930232557</v>
      </c>
      <c r="BN133" s="235" cm="1">
        <f t="array" ref="BN133">$BI133 * SUMPRODUCT(INDEX($AR$77:$AT$82,,$AI133),INDEX($AU$77:$BA$82,,$AH133), N($AQ$77:$AQ$82&gt;$AO133)) / BM133 / 1000</f>
        <v>0</v>
      </c>
      <c r="BO133" s="232">
        <f t="shared" si="246"/>
        <v>30</v>
      </c>
      <c r="BP133" s="230">
        <f t="shared" si="380"/>
        <v>43</v>
      </c>
      <c r="BQ133" s="235">
        <f t="shared" si="381"/>
        <v>3.2938815789473681</v>
      </c>
      <c r="BR133" s="235" cm="1">
        <f t="array" ref="BR133">$BI133 * IF($AH133&lt;=2,
SUMPRODUCT(INDEX($AR$72:$AT$76,,$AI133), INDEX($AU$72:$BA$76,,$AH133), 1 / ($BB$72:$BB$76*BQ133 + (1-$BB$72:$BB$76)*BM133), N($AQ$72:$AQ$76&gt;$AO133)),
SUMPRODUCT(INDEX($AR$67:$AT$76,,$AI133), INDEX($AU$67:$BA$76,,$AH133), 1 / ($BC$67:$BC$76*BQ133 + (1-$BC$67:$BC$76)*BM133), N($AQ$67:$AQ$76&gt;$AO133))
) / 1000</f>
        <v>0</v>
      </c>
      <c r="BS133" s="232">
        <f t="shared" si="249"/>
        <v>25</v>
      </c>
      <c r="BT133" s="230">
        <f t="shared" si="382"/>
        <v>38</v>
      </c>
      <c r="BU133" s="235">
        <f t="shared" si="383"/>
        <v>3.792954545454545</v>
      </c>
      <c r="BV133" s="235" cm="1">
        <f t="array" ref="BV133">$BI133 * IF($AH133&lt;=2,
SUMPRODUCT(INDEX($AR$67:$AT$71,,$AI133), INDEX($AU$67:$BA$71,,$AH133), 1 / ($BB$67:$BB$71*BU133 + (1-$BB$67:$BB$71)*BQ133), N($AQ$67:$AQ$71&gt;$AO133)),
SUMPRODUCT(INDEX($AR$57:$AT$66,,$AI133), INDEX($AU$57:$BA$66,,$AH133), 1 / ($BC$57:$BC$66*BU133 + (1-$BC$57:$BC$66)*BQ133), N($AQ$57:$AQ$66&gt;$AO133))
) / 1000</f>
        <v>0</v>
      </c>
      <c r="BW133" s="232">
        <f t="shared" si="252"/>
        <v>20</v>
      </c>
      <c r="BX133" s="230">
        <f t="shared" si="384"/>
        <v>33</v>
      </c>
      <c r="BY133" s="235">
        <f t="shared" si="385"/>
        <v>4.4702678571428569</v>
      </c>
      <c r="BZ133" s="235" cm="1">
        <f t="array" ref="BZ133">$BI133 * IF($AH133&lt;=2,
SUMPRODUCT(INDEX($AR$62:$AT$66,,$AI133), INDEX($AU$62:$BA$66,,$AH133), 1 / ($BB$62:$BB$66*BY133 + (1-$BB$62:$BB$66)*BU133), N($AQ$62:$AQ$66&gt;$AO133)),
SUMPRODUCT(INDEX($AR$47:$AT$56,,$AI133), INDEX($AU$47:$BA$56,,$AH133), 1 / ($BC$47:$BC$56*BY133 + (1-$BC$47:$BC$56)*BU133), N($AQ$47:$AQ$56&gt;$AO133))
) / 1000</f>
        <v>0</v>
      </c>
      <c r="CA133" s="235" cm="1">
        <f t="array" ref="CA133">$BI133 * IF($AH133&lt;=2,
SUMPRODUCT(INDEX($AR$23:$AT$61,,$AI133), INDEX($AU$23:$BA$61,,$AH133), 1 / ($BB$23:$BB$61*BY133), N($AQ$23:$AQ$61&gt;$AO133)),
SUMPRODUCT(INDEX($AR$23:$AT$46,,$AI133), INDEX($AU$23:$BA$46,,$AH133), 1 / ($BC$23:$BC$46*BY133), N($AQ$23:$AQ$46&gt;$AO133))
) / 1000</f>
        <v>0</v>
      </c>
      <c r="CB133" s="230">
        <f t="shared" si="386"/>
        <v>0</v>
      </c>
      <c r="CC133" s="238"/>
      <c r="CD133" s="229" cm="1">
        <f t="array" ref="CD133">IF(ISBLANK(Y133), INDEX(Use, $AH133, 4) - AN133*INDEX(Use, $AH133, 6) - (Q133-X133), Y133)</f>
        <v>7</v>
      </c>
      <c r="CE133" s="229">
        <f t="shared" si="387"/>
        <v>32</v>
      </c>
      <c r="CF133" s="230">
        <f t="shared" si="388"/>
        <v>0</v>
      </c>
      <c r="CG133" s="229">
        <v>35</v>
      </c>
      <c r="CH133" s="230">
        <f t="shared" si="389"/>
        <v>48</v>
      </c>
      <c r="CI133" s="235">
        <f t="shared" si="390"/>
        <v>3.0748170731707316</v>
      </c>
      <c r="CJ133" s="235" cm="1">
        <f t="array" ref="CJ133">$BI133 * SUMPRODUCT(INDEX($AR$77:$AT$82,,$AI133),INDEX($AU$77:$BA$82,,$AH133), N($AQ$77:$AQ$82&gt;$AO133)) / CI133 / 1000</f>
        <v>0</v>
      </c>
      <c r="CK133" s="232">
        <f t="shared" si="260"/>
        <v>30</v>
      </c>
      <c r="CL133" s="230">
        <f t="shared" si="391"/>
        <v>43</v>
      </c>
      <c r="CM133" s="235">
        <f t="shared" si="392"/>
        <v>3.5018750000000001</v>
      </c>
      <c r="CN133" s="235" cm="1">
        <f t="array" ref="CN133">$BI133 * IF($AH133&lt;=2,
SUMPRODUCT(INDEX($AR$72:$AT$76,,$AI133), INDEX($AU$72:$BA$76,,$AH133), 1 / ($BB$72:$BB$76*CM133 + (1-$BB$72:$BB$76)*CI133), N($AQ$72:$AQ$76&gt;$AO133)),
SUMPRODUCT(INDEX($AR$67:$AT$76,,$AI133), INDEX($AU$67:$BA$76,,$AH133), 1 / ($BC$67:$BC$76*CM133 + (1-$BC$67:$BC$76)*CI133), N($AQ$67:$AQ$76&gt;$AO133))
) / 1000</f>
        <v>0</v>
      </c>
      <c r="CO133" s="232">
        <f t="shared" si="263"/>
        <v>25</v>
      </c>
      <c r="CP133" s="230">
        <f t="shared" si="393"/>
        <v>38</v>
      </c>
      <c r="CQ133" s="235">
        <f t="shared" si="394"/>
        <v>4.0666935483870965</v>
      </c>
      <c r="CR133" s="235" cm="1">
        <f t="array" ref="CR133">$BI133 * IF($AH133&lt;=2,
SUMPRODUCT(INDEX($AR$67:$AT$71,,$AI133), INDEX($AU$67:$BA$71,,$AH133), 1 / ($BB$67:$BB$71*CQ133 + (1-$BB$67:$BB$71)*CM133), N($AQ$67:$AQ$71&gt;$AO133)),
SUMPRODUCT(INDEX($AR$57:$AT$66,,$AI133), INDEX($AU$57:$BA$66,,$AH133), 1 / ($BC$57:$BC$66*CQ133 + (1-$BC$57:$BC$66)*CM133), N($AQ$57:$AQ$66&gt;$AO133))
) / 1000</f>
        <v>0</v>
      </c>
      <c r="CS133" s="232">
        <f t="shared" si="266"/>
        <v>20</v>
      </c>
      <c r="CT133" s="230">
        <f t="shared" si="395"/>
        <v>33</v>
      </c>
      <c r="CU133" s="235">
        <f t="shared" si="396"/>
        <v>4.8487499999999999</v>
      </c>
      <c r="CV133" s="235" cm="1">
        <f t="array" ref="CV133">$BI133 * IF($AH133&lt;=2,
SUMPRODUCT(INDEX($AR$62:$AT$66,,$AI133), INDEX($AU$62:$BA$66,,$AH133), 1 / ($BB$62:$BB$66*CU133 + (1-$BB$62:$BB$66)*CQ133), N($AQ$62:$AQ$66&gt;$AO133)),
SUMPRODUCT(INDEX($AR$47:$AT$56,,$AI133), INDEX($AU$47:$BA$56,,$AH133), 1 / ($BC$47:$BC$56*CU133 + (1-$BC$47:$BC$56)*CQ133), N($AQ$47:$AQ$56&gt;$AO133))
) / 1000</f>
        <v>0</v>
      </c>
      <c r="CW133" s="235" cm="1">
        <f t="array" ref="CW133">$BI133 * IF($AH133&lt;=2,
SUMPRODUCT(INDEX($AR$23:$AT$61,,$AI133), INDEX($AU$23:$BA$61,,$AH133), 1 / ($BB$23:$BB$61*CU133), N($AQ$23:$AQ$61&gt;$AO133)),
SUMPRODUCT(INDEX($AR$23:$AT$46,,$AI133), INDEX($AU$23:$BA$46,,$AH133), 1 / ($BC$23:$BC$46*CU133), N($AQ$23:$AQ$46&gt;$AO133))
) / 1000</f>
        <v>0</v>
      </c>
      <c r="CX133" s="230">
        <f t="shared" si="397"/>
        <v>0</v>
      </c>
      <c r="CY133" s="238"/>
    </row>
    <row r="134" spans="1:103" s="76" customFormat="1" ht="14.25" customHeight="1" x14ac:dyDescent="0.2">
      <c r="A134" s="231" t="b">
        <f t="shared" si="229"/>
        <v>0</v>
      </c>
      <c r="B134" s="245">
        <v>112</v>
      </c>
      <c r="C134" s="258"/>
      <c r="D134" s="258"/>
      <c r="E134" s="246"/>
      <c r="F134" s="247" t="str">
        <f>IF(ISBLANK(E134), "", VLOOKUP(E134, Z!$A$2:$C$4127, 3, FALSE))</f>
        <v/>
      </c>
      <c r="G134" s="248"/>
      <c r="H134" s="248"/>
      <c r="I134" s="249"/>
      <c r="J134" s="250"/>
      <c r="K134" s="259"/>
      <c r="L134" s="260"/>
      <c r="M134" s="252" t="str" cm="1">
        <f t="array" ref="M134">INDEX(Trad, 53, $A$20)</f>
        <v>Verschmutzt</v>
      </c>
      <c r="N134" s="253"/>
      <c r="O134" s="253"/>
      <c r="P134" s="254"/>
      <c r="Q134" s="251"/>
      <c r="R134" s="251"/>
      <c r="S134" s="264">
        <f t="shared" si="372"/>
        <v>0</v>
      </c>
      <c r="T134" s="252" t="str" cm="1">
        <f t="array" ref="T134">INDEX(Trad, 52, $A$20)</f>
        <v>Sauber</v>
      </c>
      <c r="U134" s="253"/>
      <c r="V134" s="253"/>
      <c r="W134" s="254"/>
      <c r="X134" s="251"/>
      <c r="Y134" s="251"/>
      <c r="Z134" s="264">
        <f t="shared" si="373"/>
        <v>0</v>
      </c>
      <c r="AA134" s="261"/>
      <c r="AB134" s="258"/>
      <c r="AC134" s="246"/>
      <c r="AD134" s="247" t="str">
        <f>IF(ISBLANK(AC134), "", VLOOKUP(AC134, Z!$A$2:$C$4127, 3, FALSE))</f>
        <v/>
      </c>
      <c r="AE134" s="262"/>
      <c r="AF134" s="263">
        <f t="shared" si="374"/>
        <v>0</v>
      </c>
      <c r="AG134" s="238"/>
      <c r="AH134" s="229">
        <f t="shared" si="398"/>
        <v>1</v>
      </c>
      <c r="AI134" s="229">
        <f t="shared" si="399"/>
        <v>1</v>
      </c>
      <c r="AJ134" s="229">
        <f t="shared" si="400"/>
        <v>0</v>
      </c>
      <c r="AK134" s="229">
        <v>0</v>
      </c>
      <c r="AL134" s="229">
        <v>0</v>
      </c>
      <c r="AM134" s="229">
        <v>1</v>
      </c>
      <c r="AN134" s="229">
        <v>0</v>
      </c>
      <c r="AO134" s="229">
        <f t="shared" si="375"/>
        <v>-100</v>
      </c>
      <c r="AP134" s="238"/>
      <c r="AQ134" s="255"/>
      <c r="AR134" s="255"/>
      <c r="AS134" s="256"/>
      <c r="AT134" s="256"/>
      <c r="AU134" s="256"/>
      <c r="AV134" s="256"/>
      <c r="AW134" s="256"/>
      <c r="AX134" s="256"/>
      <c r="AY134" s="256"/>
      <c r="AZ134" s="256"/>
      <c r="BA134" s="256"/>
      <c r="BB134" s="256"/>
      <c r="BC134" s="256"/>
      <c r="BD134" s="238"/>
      <c r="BE134" s="229" cm="1">
        <f t="array" ref="BE134">IF(ISBLANK(R134), INDEX(Use, $AH134, 4) - AM134*INDEX(Use, $AH134, 6), R134)</f>
        <v>5</v>
      </c>
      <c r="BF134" s="229">
        <f t="shared" si="376"/>
        <v>30</v>
      </c>
      <c r="BG134" s="229">
        <f t="shared" si="241"/>
        <v>13</v>
      </c>
      <c r="BH134" s="229">
        <f t="shared" si="242"/>
        <v>0</v>
      </c>
      <c r="BI134" s="234" cm="1">
        <f t="array" ref="BI134">K134/IF($L134&gt;0, INDEX($AU$23:$BA$77, $L134+20, $AH134), 1)</f>
        <v>0</v>
      </c>
      <c r="BJ134" s="230">
        <f t="shared" si="377"/>
        <v>0</v>
      </c>
      <c r="BK134" s="229">
        <v>35</v>
      </c>
      <c r="BL134" s="230">
        <f t="shared" si="378"/>
        <v>48</v>
      </c>
      <c r="BM134" s="235">
        <f t="shared" si="379"/>
        <v>2.9108720930232557</v>
      </c>
      <c r="BN134" s="235" cm="1">
        <f t="array" ref="BN134">$BI134 * SUMPRODUCT(INDEX($AR$77:$AT$82,,$AI134),INDEX($AU$77:$BA$82,,$AH134), N($AQ$77:$AQ$82&gt;$AO134)) / BM134 / 1000</f>
        <v>0</v>
      </c>
      <c r="BO134" s="232">
        <f t="shared" si="246"/>
        <v>30</v>
      </c>
      <c r="BP134" s="230">
        <f t="shared" si="380"/>
        <v>43</v>
      </c>
      <c r="BQ134" s="235">
        <f t="shared" si="381"/>
        <v>3.2938815789473681</v>
      </c>
      <c r="BR134" s="235" cm="1">
        <f t="array" ref="BR134">$BI134 * IF($AH134&lt;=2,
SUMPRODUCT(INDEX($AR$72:$AT$76,,$AI134), INDEX($AU$72:$BA$76,,$AH134), 1 / ($BB$72:$BB$76*BQ134 + (1-$BB$72:$BB$76)*BM134), N($AQ$72:$AQ$76&gt;$AO134)),
SUMPRODUCT(INDEX($AR$67:$AT$76,,$AI134), INDEX($AU$67:$BA$76,,$AH134), 1 / ($BC$67:$BC$76*BQ134 + (1-$BC$67:$BC$76)*BM134), N($AQ$67:$AQ$76&gt;$AO134))
) / 1000</f>
        <v>0</v>
      </c>
      <c r="BS134" s="232">
        <f t="shared" si="249"/>
        <v>25</v>
      </c>
      <c r="BT134" s="230">
        <f t="shared" si="382"/>
        <v>38</v>
      </c>
      <c r="BU134" s="235">
        <f t="shared" si="383"/>
        <v>3.792954545454545</v>
      </c>
      <c r="BV134" s="235" cm="1">
        <f t="array" ref="BV134">$BI134 * IF($AH134&lt;=2,
SUMPRODUCT(INDEX($AR$67:$AT$71,,$AI134), INDEX($AU$67:$BA$71,,$AH134), 1 / ($BB$67:$BB$71*BU134 + (1-$BB$67:$BB$71)*BQ134), N($AQ$67:$AQ$71&gt;$AO134)),
SUMPRODUCT(INDEX($AR$57:$AT$66,,$AI134), INDEX($AU$57:$BA$66,,$AH134), 1 / ($BC$57:$BC$66*BU134 + (1-$BC$57:$BC$66)*BQ134), N($AQ$57:$AQ$66&gt;$AO134))
) / 1000</f>
        <v>0</v>
      </c>
      <c r="BW134" s="232">
        <f t="shared" si="252"/>
        <v>20</v>
      </c>
      <c r="BX134" s="230">
        <f t="shared" si="384"/>
        <v>33</v>
      </c>
      <c r="BY134" s="235">
        <f t="shared" si="385"/>
        <v>4.4702678571428569</v>
      </c>
      <c r="BZ134" s="235" cm="1">
        <f t="array" ref="BZ134">$BI134 * IF($AH134&lt;=2,
SUMPRODUCT(INDEX($AR$62:$AT$66,,$AI134), INDEX($AU$62:$BA$66,,$AH134), 1 / ($BB$62:$BB$66*BY134 + (1-$BB$62:$BB$66)*BU134), N($AQ$62:$AQ$66&gt;$AO134)),
SUMPRODUCT(INDEX($AR$47:$AT$56,,$AI134), INDEX($AU$47:$BA$56,,$AH134), 1 / ($BC$47:$BC$56*BY134 + (1-$BC$47:$BC$56)*BU134), N($AQ$47:$AQ$56&gt;$AO134))
) / 1000</f>
        <v>0</v>
      </c>
      <c r="CA134" s="235" cm="1">
        <f t="array" ref="CA134">$BI134 * IF($AH134&lt;=2,
SUMPRODUCT(INDEX($AR$23:$AT$61,,$AI134), INDEX($AU$23:$BA$61,,$AH134), 1 / ($BB$23:$BB$61*BY134), N($AQ$23:$AQ$61&gt;$AO134)),
SUMPRODUCT(INDEX($AR$23:$AT$46,,$AI134), INDEX($AU$23:$BA$46,,$AH134), 1 / ($BC$23:$BC$46*BY134), N($AQ$23:$AQ$46&gt;$AO134))
) / 1000</f>
        <v>0</v>
      </c>
      <c r="CB134" s="230">
        <f t="shared" si="386"/>
        <v>0</v>
      </c>
      <c r="CC134" s="238"/>
      <c r="CD134" s="229" cm="1">
        <f t="array" ref="CD134">IF(ISBLANK(Y134), INDEX(Use, $AH134, 4) - AN134*INDEX(Use, $AH134, 6) - (Q134-X134), Y134)</f>
        <v>7</v>
      </c>
      <c r="CE134" s="229">
        <f t="shared" si="387"/>
        <v>32</v>
      </c>
      <c r="CF134" s="230">
        <f t="shared" si="388"/>
        <v>0</v>
      </c>
      <c r="CG134" s="229">
        <v>35</v>
      </c>
      <c r="CH134" s="230">
        <f t="shared" si="389"/>
        <v>48</v>
      </c>
      <c r="CI134" s="235">
        <f t="shared" si="390"/>
        <v>3.0748170731707316</v>
      </c>
      <c r="CJ134" s="235" cm="1">
        <f t="array" ref="CJ134">$BI134 * SUMPRODUCT(INDEX($AR$77:$AT$82,,$AI134),INDEX($AU$77:$BA$82,,$AH134), N($AQ$77:$AQ$82&gt;$AO134)) / CI134 / 1000</f>
        <v>0</v>
      </c>
      <c r="CK134" s="232">
        <f t="shared" si="260"/>
        <v>30</v>
      </c>
      <c r="CL134" s="230">
        <f t="shared" si="391"/>
        <v>43</v>
      </c>
      <c r="CM134" s="235">
        <f t="shared" si="392"/>
        <v>3.5018750000000001</v>
      </c>
      <c r="CN134" s="235" cm="1">
        <f t="array" ref="CN134">$BI134 * IF($AH134&lt;=2,
SUMPRODUCT(INDEX($AR$72:$AT$76,,$AI134), INDEX($AU$72:$BA$76,,$AH134), 1 / ($BB$72:$BB$76*CM134 + (1-$BB$72:$BB$76)*CI134), N($AQ$72:$AQ$76&gt;$AO134)),
SUMPRODUCT(INDEX($AR$67:$AT$76,,$AI134), INDEX($AU$67:$BA$76,,$AH134), 1 / ($BC$67:$BC$76*CM134 + (1-$BC$67:$BC$76)*CI134), N($AQ$67:$AQ$76&gt;$AO134))
) / 1000</f>
        <v>0</v>
      </c>
      <c r="CO134" s="232">
        <f t="shared" si="263"/>
        <v>25</v>
      </c>
      <c r="CP134" s="230">
        <f t="shared" si="393"/>
        <v>38</v>
      </c>
      <c r="CQ134" s="235">
        <f t="shared" si="394"/>
        <v>4.0666935483870965</v>
      </c>
      <c r="CR134" s="235" cm="1">
        <f t="array" ref="CR134">$BI134 * IF($AH134&lt;=2,
SUMPRODUCT(INDEX($AR$67:$AT$71,,$AI134), INDEX($AU$67:$BA$71,,$AH134), 1 / ($BB$67:$BB$71*CQ134 + (1-$BB$67:$BB$71)*CM134), N($AQ$67:$AQ$71&gt;$AO134)),
SUMPRODUCT(INDEX($AR$57:$AT$66,,$AI134), INDEX($AU$57:$BA$66,,$AH134), 1 / ($BC$57:$BC$66*CQ134 + (1-$BC$57:$BC$66)*CM134), N($AQ$57:$AQ$66&gt;$AO134))
) / 1000</f>
        <v>0</v>
      </c>
      <c r="CS134" s="232">
        <f t="shared" si="266"/>
        <v>20</v>
      </c>
      <c r="CT134" s="230">
        <f t="shared" si="395"/>
        <v>33</v>
      </c>
      <c r="CU134" s="235">
        <f t="shared" si="396"/>
        <v>4.8487499999999999</v>
      </c>
      <c r="CV134" s="235" cm="1">
        <f t="array" ref="CV134">$BI134 * IF($AH134&lt;=2,
SUMPRODUCT(INDEX($AR$62:$AT$66,,$AI134), INDEX($AU$62:$BA$66,,$AH134), 1 / ($BB$62:$BB$66*CU134 + (1-$BB$62:$BB$66)*CQ134), N($AQ$62:$AQ$66&gt;$AO134)),
SUMPRODUCT(INDEX($AR$47:$AT$56,,$AI134), INDEX($AU$47:$BA$56,,$AH134), 1 / ($BC$47:$BC$56*CU134 + (1-$BC$47:$BC$56)*CQ134), N($AQ$47:$AQ$56&gt;$AO134))
) / 1000</f>
        <v>0</v>
      </c>
      <c r="CW134" s="235" cm="1">
        <f t="array" ref="CW134">$BI134 * IF($AH134&lt;=2,
SUMPRODUCT(INDEX($AR$23:$AT$61,,$AI134), INDEX($AU$23:$BA$61,,$AH134), 1 / ($BB$23:$BB$61*CU134), N($AQ$23:$AQ$61&gt;$AO134)),
SUMPRODUCT(INDEX($AR$23:$AT$46,,$AI134), INDEX($AU$23:$BA$46,,$AH134), 1 / ($BC$23:$BC$46*CU134), N($AQ$23:$AQ$46&gt;$AO134))
) / 1000</f>
        <v>0</v>
      </c>
      <c r="CX134" s="230">
        <f t="shared" si="397"/>
        <v>0</v>
      </c>
      <c r="CY134" s="238"/>
    </row>
    <row r="135" spans="1:103" s="76" customFormat="1" ht="14.25" customHeight="1" x14ac:dyDescent="0.2">
      <c r="A135" s="231" t="b">
        <f t="shared" si="229"/>
        <v>0</v>
      </c>
      <c r="B135" s="245">
        <v>113</v>
      </c>
      <c r="C135" s="258"/>
      <c r="D135" s="258"/>
      <c r="E135" s="246"/>
      <c r="F135" s="247" t="str">
        <f>IF(ISBLANK(E135), "", VLOOKUP(E135, Z!$A$2:$C$4127, 3, FALSE))</f>
        <v/>
      </c>
      <c r="G135" s="248"/>
      <c r="H135" s="248"/>
      <c r="I135" s="249"/>
      <c r="J135" s="250"/>
      <c r="K135" s="259"/>
      <c r="L135" s="260"/>
      <c r="M135" s="252" t="str" cm="1">
        <f t="array" ref="M135">INDEX(Trad, 53, $A$20)</f>
        <v>Verschmutzt</v>
      </c>
      <c r="N135" s="253"/>
      <c r="O135" s="253"/>
      <c r="P135" s="254"/>
      <c r="Q135" s="251"/>
      <c r="R135" s="251"/>
      <c r="S135" s="264">
        <f t="shared" si="372"/>
        <v>0</v>
      </c>
      <c r="T135" s="252" t="str" cm="1">
        <f t="array" ref="T135">INDEX(Trad, 52, $A$20)</f>
        <v>Sauber</v>
      </c>
      <c r="U135" s="253"/>
      <c r="V135" s="253"/>
      <c r="W135" s="254"/>
      <c r="X135" s="251"/>
      <c r="Y135" s="251"/>
      <c r="Z135" s="264">
        <f t="shared" si="373"/>
        <v>0</v>
      </c>
      <c r="AA135" s="261"/>
      <c r="AB135" s="258"/>
      <c r="AC135" s="246"/>
      <c r="AD135" s="247" t="str">
        <f>IF(ISBLANK(AC135), "", VLOOKUP(AC135, Z!$A$2:$C$4127, 3, FALSE))</f>
        <v/>
      </c>
      <c r="AE135" s="262"/>
      <c r="AF135" s="263">
        <f t="shared" si="374"/>
        <v>0</v>
      </c>
      <c r="AG135" s="238"/>
      <c r="AH135" s="229">
        <f t="shared" si="398"/>
        <v>1</v>
      </c>
      <c r="AI135" s="229">
        <f t="shared" si="399"/>
        <v>1</v>
      </c>
      <c r="AJ135" s="229">
        <f t="shared" si="400"/>
        <v>0</v>
      </c>
      <c r="AK135" s="229">
        <v>0</v>
      </c>
      <c r="AL135" s="229">
        <v>0</v>
      </c>
      <c r="AM135" s="229">
        <v>1</v>
      </c>
      <c r="AN135" s="229">
        <v>0</v>
      </c>
      <c r="AO135" s="229">
        <f t="shared" si="375"/>
        <v>-100</v>
      </c>
      <c r="AP135" s="238"/>
      <c r="AQ135" s="255"/>
      <c r="AR135" s="255"/>
      <c r="AS135" s="256"/>
      <c r="AT135" s="256"/>
      <c r="AU135" s="256"/>
      <c r="AV135" s="256"/>
      <c r="AW135" s="256"/>
      <c r="AX135" s="256"/>
      <c r="AY135" s="256"/>
      <c r="AZ135" s="256"/>
      <c r="BA135" s="256"/>
      <c r="BB135" s="256"/>
      <c r="BC135" s="256"/>
      <c r="BD135" s="238"/>
      <c r="BE135" s="229" cm="1">
        <f t="array" ref="BE135">IF(ISBLANK(R135), INDEX(Use, $AH135, 4) - AM135*INDEX(Use, $AH135, 6), R135)</f>
        <v>5</v>
      </c>
      <c r="BF135" s="229">
        <f t="shared" si="376"/>
        <v>30</v>
      </c>
      <c r="BG135" s="229">
        <f t="shared" si="241"/>
        <v>13</v>
      </c>
      <c r="BH135" s="229">
        <f t="shared" si="242"/>
        <v>0</v>
      </c>
      <c r="BI135" s="234" cm="1">
        <f t="array" ref="BI135">K135/IF($L135&gt;0, INDEX($AU$23:$BA$77, $L135+20, $AH135), 1)</f>
        <v>0</v>
      </c>
      <c r="BJ135" s="230">
        <f t="shared" si="377"/>
        <v>0</v>
      </c>
      <c r="BK135" s="229">
        <v>35</v>
      </c>
      <c r="BL135" s="230">
        <f t="shared" si="378"/>
        <v>48</v>
      </c>
      <c r="BM135" s="235">
        <f t="shared" si="379"/>
        <v>2.9108720930232557</v>
      </c>
      <c r="BN135" s="235" cm="1">
        <f t="array" ref="BN135">$BI135 * SUMPRODUCT(INDEX($AR$77:$AT$82,,$AI135),INDEX($AU$77:$BA$82,,$AH135), N($AQ$77:$AQ$82&gt;$AO135)) / BM135 / 1000</f>
        <v>0</v>
      </c>
      <c r="BO135" s="232">
        <f t="shared" si="246"/>
        <v>30</v>
      </c>
      <c r="BP135" s="230">
        <f t="shared" si="380"/>
        <v>43</v>
      </c>
      <c r="BQ135" s="235">
        <f t="shared" si="381"/>
        <v>3.2938815789473681</v>
      </c>
      <c r="BR135" s="235" cm="1">
        <f t="array" ref="BR135">$BI135 * IF($AH135&lt;=2,
SUMPRODUCT(INDEX($AR$72:$AT$76,,$AI135), INDEX($AU$72:$BA$76,,$AH135), 1 / ($BB$72:$BB$76*BQ135 + (1-$BB$72:$BB$76)*BM135), N($AQ$72:$AQ$76&gt;$AO135)),
SUMPRODUCT(INDEX($AR$67:$AT$76,,$AI135), INDEX($AU$67:$BA$76,,$AH135), 1 / ($BC$67:$BC$76*BQ135 + (1-$BC$67:$BC$76)*BM135), N($AQ$67:$AQ$76&gt;$AO135))
) / 1000</f>
        <v>0</v>
      </c>
      <c r="BS135" s="232">
        <f t="shared" si="249"/>
        <v>25</v>
      </c>
      <c r="BT135" s="230">
        <f t="shared" si="382"/>
        <v>38</v>
      </c>
      <c r="BU135" s="235">
        <f t="shared" si="383"/>
        <v>3.792954545454545</v>
      </c>
      <c r="BV135" s="235" cm="1">
        <f t="array" ref="BV135">$BI135 * IF($AH135&lt;=2,
SUMPRODUCT(INDEX($AR$67:$AT$71,,$AI135), INDEX($AU$67:$BA$71,,$AH135), 1 / ($BB$67:$BB$71*BU135 + (1-$BB$67:$BB$71)*BQ135), N($AQ$67:$AQ$71&gt;$AO135)),
SUMPRODUCT(INDEX($AR$57:$AT$66,,$AI135), INDEX($AU$57:$BA$66,,$AH135), 1 / ($BC$57:$BC$66*BU135 + (1-$BC$57:$BC$66)*BQ135), N($AQ$57:$AQ$66&gt;$AO135))
) / 1000</f>
        <v>0</v>
      </c>
      <c r="BW135" s="232">
        <f t="shared" si="252"/>
        <v>20</v>
      </c>
      <c r="BX135" s="230">
        <f t="shared" si="384"/>
        <v>33</v>
      </c>
      <c r="BY135" s="235">
        <f t="shared" si="385"/>
        <v>4.4702678571428569</v>
      </c>
      <c r="BZ135" s="235" cm="1">
        <f t="array" ref="BZ135">$BI135 * IF($AH135&lt;=2,
SUMPRODUCT(INDEX($AR$62:$AT$66,,$AI135), INDEX($AU$62:$BA$66,,$AH135), 1 / ($BB$62:$BB$66*BY135 + (1-$BB$62:$BB$66)*BU135), N($AQ$62:$AQ$66&gt;$AO135)),
SUMPRODUCT(INDEX($AR$47:$AT$56,,$AI135), INDEX($AU$47:$BA$56,,$AH135), 1 / ($BC$47:$BC$56*BY135 + (1-$BC$47:$BC$56)*BU135), N($AQ$47:$AQ$56&gt;$AO135))
) / 1000</f>
        <v>0</v>
      </c>
      <c r="CA135" s="235" cm="1">
        <f t="array" ref="CA135">$BI135 * IF($AH135&lt;=2,
SUMPRODUCT(INDEX($AR$23:$AT$61,,$AI135), INDEX($AU$23:$BA$61,,$AH135), 1 / ($BB$23:$BB$61*BY135), N($AQ$23:$AQ$61&gt;$AO135)),
SUMPRODUCT(INDEX($AR$23:$AT$46,,$AI135), INDEX($AU$23:$BA$46,,$AH135), 1 / ($BC$23:$BC$46*BY135), N($AQ$23:$AQ$46&gt;$AO135))
) / 1000</f>
        <v>0</v>
      </c>
      <c r="CB135" s="230">
        <f t="shared" si="386"/>
        <v>0</v>
      </c>
      <c r="CC135" s="238"/>
      <c r="CD135" s="229" cm="1">
        <f t="array" ref="CD135">IF(ISBLANK(Y135), INDEX(Use, $AH135, 4) - AN135*INDEX(Use, $AH135, 6) - (Q135-X135), Y135)</f>
        <v>7</v>
      </c>
      <c r="CE135" s="229">
        <f t="shared" si="387"/>
        <v>32</v>
      </c>
      <c r="CF135" s="230">
        <f t="shared" si="388"/>
        <v>0</v>
      </c>
      <c r="CG135" s="229">
        <v>35</v>
      </c>
      <c r="CH135" s="230">
        <f t="shared" si="389"/>
        <v>48</v>
      </c>
      <c r="CI135" s="235">
        <f t="shared" si="390"/>
        <v>3.0748170731707316</v>
      </c>
      <c r="CJ135" s="235" cm="1">
        <f t="array" ref="CJ135">$BI135 * SUMPRODUCT(INDEX($AR$77:$AT$82,,$AI135),INDEX($AU$77:$BA$82,,$AH135), N($AQ$77:$AQ$82&gt;$AO135)) / CI135 / 1000</f>
        <v>0</v>
      </c>
      <c r="CK135" s="232">
        <f t="shared" si="260"/>
        <v>30</v>
      </c>
      <c r="CL135" s="230">
        <f t="shared" si="391"/>
        <v>43</v>
      </c>
      <c r="CM135" s="235">
        <f t="shared" si="392"/>
        <v>3.5018750000000001</v>
      </c>
      <c r="CN135" s="235" cm="1">
        <f t="array" ref="CN135">$BI135 * IF($AH135&lt;=2,
SUMPRODUCT(INDEX($AR$72:$AT$76,,$AI135), INDEX($AU$72:$BA$76,,$AH135), 1 / ($BB$72:$BB$76*CM135 + (1-$BB$72:$BB$76)*CI135), N($AQ$72:$AQ$76&gt;$AO135)),
SUMPRODUCT(INDEX($AR$67:$AT$76,,$AI135), INDEX($AU$67:$BA$76,,$AH135), 1 / ($BC$67:$BC$76*CM135 + (1-$BC$67:$BC$76)*CI135), N($AQ$67:$AQ$76&gt;$AO135))
) / 1000</f>
        <v>0</v>
      </c>
      <c r="CO135" s="232">
        <f t="shared" si="263"/>
        <v>25</v>
      </c>
      <c r="CP135" s="230">
        <f t="shared" si="393"/>
        <v>38</v>
      </c>
      <c r="CQ135" s="235">
        <f t="shared" si="394"/>
        <v>4.0666935483870965</v>
      </c>
      <c r="CR135" s="235" cm="1">
        <f t="array" ref="CR135">$BI135 * IF($AH135&lt;=2,
SUMPRODUCT(INDEX($AR$67:$AT$71,,$AI135), INDEX($AU$67:$BA$71,,$AH135), 1 / ($BB$67:$BB$71*CQ135 + (1-$BB$67:$BB$71)*CM135), N($AQ$67:$AQ$71&gt;$AO135)),
SUMPRODUCT(INDEX($AR$57:$AT$66,,$AI135), INDEX($AU$57:$BA$66,,$AH135), 1 / ($BC$57:$BC$66*CQ135 + (1-$BC$57:$BC$66)*CM135), N($AQ$57:$AQ$66&gt;$AO135))
) / 1000</f>
        <v>0</v>
      </c>
      <c r="CS135" s="232">
        <f t="shared" si="266"/>
        <v>20</v>
      </c>
      <c r="CT135" s="230">
        <f t="shared" si="395"/>
        <v>33</v>
      </c>
      <c r="CU135" s="235">
        <f t="shared" si="396"/>
        <v>4.8487499999999999</v>
      </c>
      <c r="CV135" s="235" cm="1">
        <f t="array" ref="CV135">$BI135 * IF($AH135&lt;=2,
SUMPRODUCT(INDEX($AR$62:$AT$66,,$AI135), INDEX($AU$62:$BA$66,,$AH135), 1 / ($BB$62:$BB$66*CU135 + (1-$BB$62:$BB$66)*CQ135), N($AQ$62:$AQ$66&gt;$AO135)),
SUMPRODUCT(INDEX($AR$47:$AT$56,,$AI135), INDEX($AU$47:$BA$56,,$AH135), 1 / ($BC$47:$BC$56*CU135 + (1-$BC$47:$BC$56)*CQ135), N($AQ$47:$AQ$56&gt;$AO135))
) / 1000</f>
        <v>0</v>
      </c>
      <c r="CW135" s="235" cm="1">
        <f t="array" ref="CW135">$BI135 * IF($AH135&lt;=2,
SUMPRODUCT(INDEX($AR$23:$AT$61,,$AI135), INDEX($AU$23:$BA$61,,$AH135), 1 / ($BB$23:$BB$61*CU135), N($AQ$23:$AQ$61&gt;$AO135)),
SUMPRODUCT(INDEX($AR$23:$AT$46,,$AI135), INDEX($AU$23:$BA$46,,$AH135), 1 / ($BC$23:$BC$46*CU135), N($AQ$23:$AQ$46&gt;$AO135))
) / 1000</f>
        <v>0</v>
      </c>
      <c r="CX135" s="230">
        <f t="shared" si="397"/>
        <v>0</v>
      </c>
      <c r="CY135" s="238"/>
    </row>
    <row r="136" spans="1:103" s="76" customFormat="1" ht="14.25" customHeight="1" x14ac:dyDescent="0.2">
      <c r="A136" s="231" t="b">
        <f t="shared" si="229"/>
        <v>0</v>
      </c>
      <c r="B136" s="245">
        <v>114</v>
      </c>
      <c r="C136" s="258"/>
      <c r="D136" s="258"/>
      <c r="E136" s="246"/>
      <c r="F136" s="247" t="str">
        <f>IF(ISBLANK(E136), "", VLOOKUP(E136, Z!$A$2:$C$4127, 3, FALSE))</f>
        <v/>
      </c>
      <c r="G136" s="248"/>
      <c r="H136" s="248"/>
      <c r="I136" s="249"/>
      <c r="J136" s="250"/>
      <c r="K136" s="259"/>
      <c r="L136" s="260"/>
      <c r="M136" s="252" t="str" cm="1">
        <f t="array" ref="M136">INDEX(Trad, 53, $A$20)</f>
        <v>Verschmutzt</v>
      </c>
      <c r="N136" s="253"/>
      <c r="O136" s="253"/>
      <c r="P136" s="254"/>
      <c r="Q136" s="251"/>
      <c r="R136" s="251"/>
      <c r="S136" s="264">
        <f t="shared" si="372"/>
        <v>0</v>
      </c>
      <c r="T136" s="252" t="str" cm="1">
        <f t="array" ref="T136">INDEX(Trad, 52, $A$20)</f>
        <v>Sauber</v>
      </c>
      <c r="U136" s="253"/>
      <c r="V136" s="253"/>
      <c r="W136" s="254"/>
      <c r="X136" s="251"/>
      <c r="Y136" s="251"/>
      <c r="Z136" s="264">
        <f t="shared" si="373"/>
        <v>0</v>
      </c>
      <c r="AA136" s="261"/>
      <c r="AB136" s="258"/>
      <c r="AC136" s="246"/>
      <c r="AD136" s="247" t="str">
        <f>IF(ISBLANK(AC136), "", VLOOKUP(AC136, Z!$A$2:$C$4127, 3, FALSE))</f>
        <v/>
      </c>
      <c r="AE136" s="262"/>
      <c r="AF136" s="263">
        <f t="shared" si="374"/>
        <v>0</v>
      </c>
      <c r="AG136" s="238"/>
      <c r="AH136" s="229">
        <f t="shared" si="398"/>
        <v>1</v>
      </c>
      <c r="AI136" s="229">
        <f t="shared" si="399"/>
        <v>1</v>
      </c>
      <c r="AJ136" s="229">
        <f t="shared" si="400"/>
        <v>0</v>
      </c>
      <c r="AK136" s="229">
        <v>0</v>
      </c>
      <c r="AL136" s="229">
        <v>0</v>
      </c>
      <c r="AM136" s="229">
        <v>1</v>
      </c>
      <c r="AN136" s="229">
        <v>0</v>
      </c>
      <c r="AO136" s="229">
        <f t="shared" si="375"/>
        <v>-100</v>
      </c>
      <c r="AP136" s="238"/>
      <c r="AQ136" s="255"/>
      <c r="AR136" s="255"/>
      <c r="AS136" s="256"/>
      <c r="AT136" s="256"/>
      <c r="AU136" s="256"/>
      <c r="AV136" s="256"/>
      <c r="AW136" s="256"/>
      <c r="AX136" s="256"/>
      <c r="AY136" s="256"/>
      <c r="AZ136" s="256"/>
      <c r="BA136" s="256"/>
      <c r="BB136" s="256"/>
      <c r="BC136" s="256"/>
      <c r="BD136" s="238"/>
      <c r="BE136" s="229" cm="1">
        <f t="array" ref="BE136">IF(ISBLANK(R136), INDEX(Use, $AH136, 4) - AM136*INDEX(Use, $AH136, 6), R136)</f>
        <v>5</v>
      </c>
      <c r="BF136" s="229">
        <f t="shared" si="376"/>
        <v>30</v>
      </c>
      <c r="BG136" s="229">
        <f t="shared" si="241"/>
        <v>13</v>
      </c>
      <c r="BH136" s="229">
        <f t="shared" si="242"/>
        <v>0</v>
      </c>
      <c r="BI136" s="234" cm="1">
        <f t="array" ref="BI136">K136/IF($L136&gt;0, INDEX($AU$23:$BA$77, $L136+20, $AH136), 1)</f>
        <v>0</v>
      </c>
      <c r="BJ136" s="230">
        <f t="shared" si="377"/>
        <v>0</v>
      </c>
      <c r="BK136" s="229">
        <v>35</v>
      </c>
      <c r="BL136" s="230">
        <f t="shared" si="378"/>
        <v>48</v>
      </c>
      <c r="BM136" s="235">
        <f t="shared" si="379"/>
        <v>2.9108720930232557</v>
      </c>
      <c r="BN136" s="235" cm="1">
        <f t="array" ref="BN136">$BI136 * SUMPRODUCT(INDEX($AR$77:$AT$82,,$AI136),INDEX($AU$77:$BA$82,,$AH136), N($AQ$77:$AQ$82&gt;$AO136)) / BM136 / 1000</f>
        <v>0</v>
      </c>
      <c r="BO136" s="232">
        <f t="shared" si="246"/>
        <v>30</v>
      </c>
      <c r="BP136" s="230">
        <f t="shared" si="380"/>
        <v>43</v>
      </c>
      <c r="BQ136" s="235">
        <f t="shared" si="381"/>
        <v>3.2938815789473681</v>
      </c>
      <c r="BR136" s="235" cm="1">
        <f t="array" ref="BR136">$BI136 * IF($AH136&lt;=2,
SUMPRODUCT(INDEX($AR$72:$AT$76,,$AI136), INDEX($AU$72:$BA$76,,$AH136), 1 / ($BB$72:$BB$76*BQ136 + (1-$BB$72:$BB$76)*BM136), N($AQ$72:$AQ$76&gt;$AO136)),
SUMPRODUCT(INDEX($AR$67:$AT$76,,$AI136), INDEX($AU$67:$BA$76,,$AH136), 1 / ($BC$67:$BC$76*BQ136 + (1-$BC$67:$BC$76)*BM136), N($AQ$67:$AQ$76&gt;$AO136))
) / 1000</f>
        <v>0</v>
      </c>
      <c r="BS136" s="232">
        <f t="shared" si="249"/>
        <v>25</v>
      </c>
      <c r="BT136" s="230">
        <f t="shared" si="382"/>
        <v>38</v>
      </c>
      <c r="BU136" s="235">
        <f t="shared" si="383"/>
        <v>3.792954545454545</v>
      </c>
      <c r="BV136" s="235" cm="1">
        <f t="array" ref="BV136">$BI136 * IF($AH136&lt;=2,
SUMPRODUCT(INDEX($AR$67:$AT$71,,$AI136), INDEX($AU$67:$BA$71,,$AH136), 1 / ($BB$67:$BB$71*BU136 + (1-$BB$67:$BB$71)*BQ136), N($AQ$67:$AQ$71&gt;$AO136)),
SUMPRODUCT(INDEX($AR$57:$AT$66,,$AI136), INDEX($AU$57:$BA$66,,$AH136), 1 / ($BC$57:$BC$66*BU136 + (1-$BC$57:$BC$66)*BQ136), N($AQ$57:$AQ$66&gt;$AO136))
) / 1000</f>
        <v>0</v>
      </c>
      <c r="BW136" s="232">
        <f t="shared" si="252"/>
        <v>20</v>
      </c>
      <c r="BX136" s="230">
        <f t="shared" si="384"/>
        <v>33</v>
      </c>
      <c r="BY136" s="235">
        <f t="shared" si="385"/>
        <v>4.4702678571428569</v>
      </c>
      <c r="BZ136" s="235" cm="1">
        <f t="array" ref="BZ136">$BI136 * IF($AH136&lt;=2,
SUMPRODUCT(INDEX($AR$62:$AT$66,,$AI136), INDEX($AU$62:$BA$66,,$AH136), 1 / ($BB$62:$BB$66*BY136 + (1-$BB$62:$BB$66)*BU136), N($AQ$62:$AQ$66&gt;$AO136)),
SUMPRODUCT(INDEX($AR$47:$AT$56,,$AI136), INDEX($AU$47:$BA$56,,$AH136), 1 / ($BC$47:$BC$56*BY136 + (1-$BC$47:$BC$56)*BU136), N($AQ$47:$AQ$56&gt;$AO136))
) / 1000</f>
        <v>0</v>
      </c>
      <c r="CA136" s="235" cm="1">
        <f t="array" ref="CA136">$BI136 * IF($AH136&lt;=2,
SUMPRODUCT(INDEX($AR$23:$AT$61,,$AI136), INDEX($AU$23:$BA$61,,$AH136), 1 / ($BB$23:$BB$61*BY136), N($AQ$23:$AQ$61&gt;$AO136)),
SUMPRODUCT(INDEX($AR$23:$AT$46,,$AI136), INDEX($AU$23:$BA$46,,$AH136), 1 / ($BC$23:$BC$46*BY136), N($AQ$23:$AQ$46&gt;$AO136))
) / 1000</f>
        <v>0</v>
      </c>
      <c r="CB136" s="230">
        <f t="shared" si="386"/>
        <v>0</v>
      </c>
      <c r="CC136" s="238"/>
      <c r="CD136" s="229" cm="1">
        <f t="array" ref="CD136">IF(ISBLANK(Y136), INDEX(Use, $AH136, 4) - AN136*INDEX(Use, $AH136, 6) - (Q136-X136), Y136)</f>
        <v>7</v>
      </c>
      <c r="CE136" s="229">
        <f t="shared" si="387"/>
        <v>32</v>
      </c>
      <c r="CF136" s="230">
        <f t="shared" si="388"/>
        <v>0</v>
      </c>
      <c r="CG136" s="229">
        <v>35</v>
      </c>
      <c r="CH136" s="230">
        <f t="shared" si="389"/>
        <v>48</v>
      </c>
      <c r="CI136" s="235">
        <f t="shared" si="390"/>
        <v>3.0748170731707316</v>
      </c>
      <c r="CJ136" s="235" cm="1">
        <f t="array" ref="CJ136">$BI136 * SUMPRODUCT(INDEX($AR$77:$AT$82,,$AI136),INDEX($AU$77:$BA$82,,$AH136), N($AQ$77:$AQ$82&gt;$AO136)) / CI136 / 1000</f>
        <v>0</v>
      </c>
      <c r="CK136" s="232">
        <f t="shared" si="260"/>
        <v>30</v>
      </c>
      <c r="CL136" s="230">
        <f t="shared" si="391"/>
        <v>43</v>
      </c>
      <c r="CM136" s="235">
        <f t="shared" si="392"/>
        <v>3.5018750000000001</v>
      </c>
      <c r="CN136" s="235" cm="1">
        <f t="array" ref="CN136">$BI136 * IF($AH136&lt;=2,
SUMPRODUCT(INDEX($AR$72:$AT$76,,$AI136), INDEX($AU$72:$BA$76,,$AH136), 1 / ($BB$72:$BB$76*CM136 + (1-$BB$72:$BB$76)*CI136), N($AQ$72:$AQ$76&gt;$AO136)),
SUMPRODUCT(INDEX($AR$67:$AT$76,,$AI136), INDEX($AU$67:$BA$76,,$AH136), 1 / ($BC$67:$BC$76*CM136 + (1-$BC$67:$BC$76)*CI136), N($AQ$67:$AQ$76&gt;$AO136))
) / 1000</f>
        <v>0</v>
      </c>
      <c r="CO136" s="232">
        <f t="shared" si="263"/>
        <v>25</v>
      </c>
      <c r="CP136" s="230">
        <f t="shared" si="393"/>
        <v>38</v>
      </c>
      <c r="CQ136" s="235">
        <f t="shared" si="394"/>
        <v>4.0666935483870965</v>
      </c>
      <c r="CR136" s="235" cm="1">
        <f t="array" ref="CR136">$BI136 * IF($AH136&lt;=2,
SUMPRODUCT(INDEX($AR$67:$AT$71,,$AI136), INDEX($AU$67:$BA$71,,$AH136), 1 / ($BB$67:$BB$71*CQ136 + (1-$BB$67:$BB$71)*CM136), N($AQ$67:$AQ$71&gt;$AO136)),
SUMPRODUCT(INDEX($AR$57:$AT$66,,$AI136), INDEX($AU$57:$BA$66,,$AH136), 1 / ($BC$57:$BC$66*CQ136 + (1-$BC$57:$BC$66)*CM136), N($AQ$57:$AQ$66&gt;$AO136))
) / 1000</f>
        <v>0</v>
      </c>
      <c r="CS136" s="232">
        <f t="shared" si="266"/>
        <v>20</v>
      </c>
      <c r="CT136" s="230">
        <f t="shared" si="395"/>
        <v>33</v>
      </c>
      <c r="CU136" s="235">
        <f t="shared" si="396"/>
        <v>4.8487499999999999</v>
      </c>
      <c r="CV136" s="235" cm="1">
        <f t="array" ref="CV136">$BI136 * IF($AH136&lt;=2,
SUMPRODUCT(INDEX($AR$62:$AT$66,,$AI136), INDEX($AU$62:$BA$66,,$AH136), 1 / ($BB$62:$BB$66*CU136 + (1-$BB$62:$BB$66)*CQ136), N($AQ$62:$AQ$66&gt;$AO136)),
SUMPRODUCT(INDEX($AR$47:$AT$56,,$AI136), INDEX($AU$47:$BA$56,,$AH136), 1 / ($BC$47:$BC$56*CU136 + (1-$BC$47:$BC$56)*CQ136), N($AQ$47:$AQ$56&gt;$AO136))
) / 1000</f>
        <v>0</v>
      </c>
      <c r="CW136" s="235" cm="1">
        <f t="array" ref="CW136">$BI136 * IF($AH136&lt;=2,
SUMPRODUCT(INDEX($AR$23:$AT$61,,$AI136), INDEX($AU$23:$BA$61,,$AH136), 1 / ($BB$23:$BB$61*CU136), N($AQ$23:$AQ$61&gt;$AO136)),
SUMPRODUCT(INDEX($AR$23:$AT$46,,$AI136), INDEX($AU$23:$BA$46,,$AH136), 1 / ($BC$23:$BC$46*CU136), N($AQ$23:$AQ$46&gt;$AO136))
) / 1000</f>
        <v>0</v>
      </c>
      <c r="CX136" s="230">
        <f t="shared" si="397"/>
        <v>0</v>
      </c>
      <c r="CY136" s="238"/>
    </row>
    <row r="137" spans="1:103" s="76" customFormat="1" ht="14.25" customHeight="1" x14ac:dyDescent="0.2">
      <c r="A137" s="231" t="b">
        <f t="shared" si="229"/>
        <v>0</v>
      </c>
      <c r="B137" s="245">
        <v>115</v>
      </c>
      <c r="C137" s="258"/>
      <c r="D137" s="258"/>
      <c r="E137" s="246"/>
      <c r="F137" s="247" t="str">
        <f>IF(ISBLANK(E137), "", VLOOKUP(E137, Z!$A$2:$C$4127, 3, FALSE))</f>
        <v/>
      </c>
      <c r="G137" s="248"/>
      <c r="H137" s="248"/>
      <c r="I137" s="249"/>
      <c r="J137" s="250"/>
      <c r="K137" s="259"/>
      <c r="L137" s="260"/>
      <c r="M137" s="252" t="str" cm="1">
        <f t="array" ref="M137">INDEX(Trad, 53, $A$20)</f>
        <v>Verschmutzt</v>
      </c>
      <c r="N137" s="253"/>
      <c r="O137" s="253"/>
      <c r="P137" s="254"/>
      <c r="Q137" s="251"/>
      <c r="R137" s="251"/>
      <c r="S137" s="264">
        <f t="shared" si="372"/>
        <v>0</v>
      </c>
      <c r="T137" s="252" t="str" cm="1">
        <f t="array" ref="T137">INDEX(Trad, 52, $A$20)</f>
        <v>Sauber</v>
      </c>
      <c r="U137" s="253"/>
      <c r="V137" s="253"/>
      <c r="W137" s="254"/>
      <c r="X137" s="251"/>
      <c r="Y137" s="251"/>
      <c r="Z137" s="264">
        <f t="shared" si="373"/>
        <v>0</v>
      </c>
      <c r="AA137" s="261"/>
      <c r="AB137" s="258"/>
      <c r="AC137" s="246"/>
      <c r="AD137" s="247" t="str">
        <f>IF(ISBLANK(AC137), "", VLOOKUP(AC137, Z!$A$2:$C$4127, 3, FALSE))</f>
        <v/>
      </c>
      <c r="AE137" s="262"/>
      <c r="AF137" s="263">
        <f t="shared" si="374"/>
        <v>0</v>
      </c>
      <c r="AG137" s="238"/>
      <c r="AH137" s="229">
        <f t="shared" si="398"/>
        <v>1</v>
      </c>
      <c r="AI137" s="229">
        <f t="shared" si="399"/>
        <v>1</v>
      </c>
      <c r="AJ137" s="229">
        <f t="shared" si="400"/>
        <v>0</v>
      </c>
      <c r="AK137" s="229">
        <v>0</v>
      </c>
      <c r="AL137" s="229">
        <v>0</v>
      </c>
      <c r="AM137" s="229">
        <v>1</v>
      </c>
      <c r="AN137" s="229">
        <v>0</v>
      </c>
      <c r="AO137" s="229">
        <f t="shared" si="375"/>
        <v>-100</v>
      </c>
      <c r="AP137" s="238"/>
      <c r="AQ137" s="255"/>
      <c r="AR137" s="255"/>
      <c r="AS137" s="256"/>
      <c r="AT137" s="256"/>
      <c r="AU137" s="256"/>
      <c r="AV137" s="256"/>
      <c r="AW137" s="256"/>
      <c r="AX137" s="256"/>
      <c r="AY137" s="256"/>
      <c r="AZ137" s="256"/>
      <c r="BA137" s="256"/>
      <c r="BB137" s="256"/>
      <c r="BC137" s="256"/>
      <c r="BD137" s="238"/>
      <c r="BE137" s="229" cm="1">
        <f t="array" ref="BE137">IF(ISBLANK(R137), INDEX(Use, $AH137, 4) - AM137*INDEX(Use, $AH137, 6), R137)</f>
        <v>5</v>
      </c>
      <c r="BF137" s="229">
        <f t="shared" si="376"/>
        <v>30</v>
      </c>
      <c r="BG137" s="229">
        <f t="shared" si="241"/>
        <v>13</v>
      </c>
      <c r="BH137" s="229">
        <f t="shared" si="242"/>
        <v>0</v>
      </c>
      <c r="BI137" s="234" cm="1">
        <f t="array" ref="BI137">K137/IF($L137&gt;0, INDEX($AU$23:$BA$77, $L137+20, $AH137), 1)</f>
        <v>0</v>
      </c>
      <c r="BJ137" s="230">
        <f t="shared" si="377"/>
        <v>0</v>
      </c>
      <c r="BK137" s="229">
        <v>35</v>
      </c>
      <c r="BL137" s="230">
        <f t="shared" si="378"/>
        <v>48</v>
      </c>
      <c r="BM137" s="235">
        <f t="shared" si="379"/>
        <v>2.9108720930232557</v>
      </c>
      <c r="BN137" s="235" cm="1">
        <f t="array" ref="BN137">$BI137 * SUMPRODUCT(INDEX($AR$77:$AT$82,,$AI137),INDEX($AU$77:$BA$82,,$AH137), N($AQ$77:$AQ$82&gt;$AO137)) / BM137 / 1000</f>
        <v>0</v>
      </c>
      <c r="BO137" s="232">
        <f t="shared" si="246"/>
        <v>30</v>
      </c>
      <c r="BP137" s="230">
        <f t="shared" si="380"/>
        <v>43</v>
      </c>
      <c r="BQ137" s="235">
        <f t="shared" si="381"/>
        <v>3.2938815789473681</v>
      </c>
      <c r="BR137" s="235" cm="1">
        <f t="array" ref="BR137">$BI137 * IF($AH137&lt;=2,
SUMPRODUCT(INDEX($AR$72:$AT$76,,$AI137), INDEX($AU$72:$BA$76,,$AH137), 1 / ($BB$72:$BB$76*BQ137 + (1-$BB$72:$BB$76)*BM137), N($AQ$72:$AQ$76&gt;$AO137)),
SUMPRODUCT(INDEX($AR$67:$AT$76,,$AI137), INDEX($AU$67:$BA$76,,$AH137), 1 / ($BC$67:$BC$76*BQ137 + (1-$BC$67:$BC$76)*BM137), N($AQ$67:$AQ$76&gt;$AO137))
) / 1000</f>
        <v>0</v>
      </c>
      <c r="BS137" s="232">
        <f t="shared" si="249"/>
        <v>25</v>
      </c>
      <c r="BT137" s="230">
        <f t="shared" si="382"/>
        <v>38</v>
      </c>
      <c r="BU137" s="235">
        <f t="shared" si="383"/>
        <v>3.792954545454545</v>
      </c>
      <c r="BV137" s="235" cm="1">
        <f t="array" ref="BV137">$BI137 * IF($AH137&lt;=2,
SUMPRODUCT(INDEX($AR$67:$AT$71,,$AI137), INDEX($AU$67:$BA$71,,$AH137), 1 / ($BB$67:$BB$71*BU137 + (1-$BB$67:$BB$71)*BQ137), N($AQ$67:$AQ$71&gt;$AO137)),
SUMPRODUCT(INDEX($AR$57:$AT$66,,$AI137), INDEX($AU$57:$BA$66,,$AH137), 1 / ($BC$57:$BC$66*BU137 + (1-$BC$57:$BC$66)*BQ137), N($AQ$57:$AQ$66&gt;$AO137))
) / 1000</f>
        <v>0</v>
      </c>
      <c r="BW137" s="232">
        <f t="shared" si="252"/>
        <v>20</v>
      </c>
      <c r="BX137" s="230">
        <f t="shared" si="384"/>
        <v>33</v>
      </c>
      <c r="BY137" s="235">
        <f t="shared" si="385"/>
        <v>4.4702678571428569</v>
      </c>
      <c r="BZ137" s="235" cm="1">
        <f t="array" ref="BZ137">$BI137 * IF($AH137&lt;=2,
SUMPRODUCT(INDEX($AR$62:$AT$66,,$AI137), INDEX($AU$62:$BA$66,,$AH137), 1 / ($BB$62:$BB$66*BY137 + (1-$BB$62:$BB$66)*BU137), N($AQ$62:$AQ$66&gt;$AO137)),
SUMPRODUCT(INDEX($AR$47:$AT$56,,$AI137), INDEX($AU$47:$BA$56,,$AH137), 1 / ($BC$47:$BC$56*BY137 + (1-$BC$47:$BC$56)*BU137), N($AQ$47:$AQ$56&gt;$AO137))
) / 1000</f>
        <v>0</v>
      </c>
      <c r="CA137" s="235" cm="1">
        <f t="array" ref="CA137">$BI137 * IF($AH137&lt;=2,
SUMPRODUCT(INDEX($AR$23:$AT$61,,$AI137), INDEX($AU$23:$BA$61,,$AH137), 1 / ($BB$23:$BB$61*BY137), N($AQ$23:$AQ$61&gt;$AO137)),
SUMPRODUCT(INDEX($AR$23:$AT$46,,$AI137), INDEX($AU$23:$BA$46,,$AH137), 1 / ($BC$23:$BC$46*BY137), N($AQ$23:$AQ$46&gt;$AO137))
) / 1000</f>
        <v>0</v>
      </c>
      <c r="CB137" s="230">
        <f t="shared" si="386"/>
        <v>0</v>
      </c>
      <c r="CC137" s="238"/>
      <c r="CD137" s="229" cm="1">
        <f t="array" ref="CD137">IF(ISBLANK(Y137), INDEX(Use, $AH137, 4) - AN137*INDEX(Use, $AH137, 6) - (Q137-X137), Y137)</f>
        <v>7</v>
      </c>
      <c r="CE137" s="229">
        <f t="shared" si="387"/>
        <v>32</v>
      </c>
      <c r="CF137" s="230">
        <f t="shared" si="388"/>
        <v>0</v>
      </c>
      <c r="CG137" s="229">
        <v>35</v>
      </c>
      <c r="CH137" s="230">
        <f t="shared" si="389"/>
        <v>48</v>
      </c>
      <c r="CI137" s="235">
        <f t="shared" si="390"/>
        <v>3.0748170731707316</v>
      </c>
      <c r="CJ137" s="235" cm="1">
        <f t="array" ref="CJ137">$BI137 * SUMPRODUCT(INDEX($AR$77:$AT$82,,$AI137),INDEX($AU$77:$BA$82,,$AH137), N($AQ$77:$AQ$82&gt;$AO137)) / CI137 / 1000</f>
        <v>0</v>
      </c>
      <c r="CK137" s="232">
        <f t="shared" si="260"/>
        <v>30</v>
      </c>
      <c r="CL137" s="230">
        <f t="shared" si="391"/>
        <v>43</v>
      </c>
      <c r="CM137" s="235">
        <f t="shared" si="392"/>
        <v>3.5018750000000001</v>
      </c>
      <c r="CN137" s="235" cm="1">
        <f t="array" ref="CN137">$BI137 * IF($AH137&lt;=2,
SUMPRODUCT(INDEX($AR$72:$AT$76,,$AI137), INDEX($AU$72:$BA$76,,$AH137), 1 / ($BB$72:$BB$76*CM137 + (1-$BB$72:$BB$76)*CI137), N($AQ$72:$AQ$76&gt;$AO137)),
SUMPRODUCT(INDEX($AR$67:$AT$76,,$AI137), INDEX($AU$67:$BA$76,,$AH137), 1 / ($BC$67:$BC$76*CM137 + (1-$BC$67:$BC$76)*CI137), N($AQ$67:$AQ$76&gt;$AO137))
) / 1000</f>
        <v>0</v>
      </c>
      <c r="CO137" s="232">
        <f t="shared" si="263"/>
        <v>25</v>
      </c>
      <c r="CP137" s="230">
        <f t="shared" si="393"/>
        <v>38</v>
      </c>
      <c r="CQ137" s="235">
        <f t="shared" si="394"/>
        <v>4.0666935483870965</v>
      </c>
      <c r="CR137" s="235" cm="1">
        <f t="array" ref="CR137">$BI137 * IF($AH137&lt;=2,
SUMPRODUCT(INDEX($AR$67:$AT$71,,$AI137), INDEX($AU$67:$BA$71,,$AH137), 1 / ($BB$67:$BB$71*CQ137 + (1-$BB$67:$BB$71)*CM137), N($AQ$67:$AQ$71&gt;$AO137)),
SUMPRODUCT(INDEX($AR$57:$AT$66,,$AI137), INDEX($AU$57:$BA$66,,$AH137), 1 / ($BC$57:$BC$66*CQ137 + (1-$BC$57:$BC$66)*CM137), N($AQ$57:$AQ$66&gt;$AO137))
) / 1000</f>
        <v>0</v>
      </c>
      <c r="CS137" s="232">
        <f t="shared" si="266"/>
        <v>20</v>
      </c>
      <c r="CT137" s="230">
        <f t="shared" si="395"/>
        <v>33</v>
      </c>
      <c r="CU137" s="235">
        <f t="shared" si="396"/>
        <v>4.8487499999999999</v>
      </c>
      <c r="CV137" s="235" cm="1">
        <f t="array" ref="CV137">$BI137 * IF($AH137&lt;=2,
SUMPRODUCT(INDEX($AR$62:$AT$66,,$AI137), INDEX($AU$62:$BA$66,,$AH137), 1 / ($BB$62:$BB$66*CU137 + (1-$BB$62:$BB$66)*CQ137), N($AQ$62:$AQ$66&gt;$AO137)),
SUMPRODUCT(INDEX($AR$47:$AT$56,,$AI137), INDEX($AU$47:$BA$56,,$AH137), 1 / ($BC$47:$BC$56*CU137 + (1-$BC$47:$BC$56)*CQ137), N($AQ$47:$AQ$56&gt;$AO137))
) / 1000</f>
        <v>0</v>
      </c>
      <c r="CW137" s="235" cm="1">
        <f t="array" ref="CW137">$BI137 * IF($AH137&lt;=2,
SUMPRODUCT(INDEX($AR$23:$AT$61,,$AI137), INDEX($AU$23:$BA$61,,$AH137), 1 / ($BB$23:$BB$61*CU137), N($AQ$23:$AQ$61&gt;$AO137)),
SUMPRODUCT(INDEX($AR$23:$AT$46,,$AI137), INDEX($AU$23:$BA$46,,$AH137), 1 / ($BC$23:$BC$46*CU137), N($AQ$23:$AQ$46&gt;$AO137))
) / 1000</f>
        <v>0</v>
      </c>
      <c r="CX137" s="230">
        <f t="shared" si="397"/>
        <v>0</v>
      </c>
      <c r="CY137" s="238"/>
    </row>
    <row r="138" spans="1:103" s="76" customFormat="1" ht="14.25" customHeight="1" x14ac:dyDescent="0.2">
      <c r="A138" s="231" t="b">
        <f t="shared" si="229"/>
        <v>0</v>
      </c>
      <c r="B138" s="245">
        <v>116</v>
      </c>
      <c r="C138" s="258"/>
      <c r="D138" s="258"/>
      <c r="E138" s="246"/>
      <c r="F138" s="247" t="str">
        <f>IF(ISBLANK(E138), "", VLOOKUP(E138, Z!$A$2:$C$4127, 3, FALSE))</f>
        <v/>
      </c>
      <c r="G138" s="248"/>
      <c r="H138" s="248"/>
      <c r="I138" s="249"/>
      <c r="J138" s="250"/>
      <c r="K138" s="259"/>
      <c r="L138" s="260"/>
      <c r="M138" s="252" t="str" cm="1">
        <f t="array" ref="M138">INDEX(Trad, 53, $A$20)</f>
        <v>Verschmutzt</v>
      </c>
      <c r="N138" s="253"/>
      <c r="O138" s="253"/>
      <c r="P138" s="254"/>
      <c r="Q138" s="251"/>
      <c r="R138" s="251"/>
      <c r="S138" s="264">
        <f t="shared" si="372"/>
        <v>0</v>
      </c>
      <c r="T138" s="252" t="str" cm="1">
        <f t="array" ref="T138">INDEX(Trad, 52, $A$20)</f>
        <v>Sauber</v>
      </c>
      <c r="U138" s="253"/>
      <c r="V138" s="253"/>
      <c r="W138" s="254"/>
      <c r="X138" s="251"/>
      <c r="Y138" s="251"/>
      <c r="Z138" s="264">
        <f t="shared" si="373"/>
        <v>0</v>
      </c>
      <c r="AA138" s="261"/>
      <c r="AB138" s="258"/>
      <c r="AC138" s="246"/>
      <c r="AD138" s="247" t="str">
        <f>IF(ISBLANK(AC138), "", VLOOKUP(AC138, Z!$A$2:$C$4127, 3, FALSE))</f>
        <v/>
      </c>
      <c r="AE138" s="262"/>
      <c r="AF138" s="263">
        <f t="shared" si="374"/>
        <v>0</v>
      </c>
      <c r="AG138" s="238"/>
      <c r="AH138" s="229">
        <f t="shared" si="398"/>
        <v>1</v>
      </c>
      <c r="AI138" s="229">
        <f t="shared" si="399"/>
        <v>1</v>
      </c>
      <c r="AJ138" s="229">
        <f t="shared" si="400"/>
        <v>0</v>
      </c>
      <c r="AK138" s="229">
        <v>0</v>
      </c>
      <c r="AL138" s="229">
        <v>0</v>
      </c>
      <c r="AM138" s="229">
        <v>1</v>
      </c>
      <c r="AN138" s="229">
        <v>0</v>
      </c>
      <c r="AO138" s="229">
        <f t="shared" si="375"/>
        <v>-100</v>
      </c>
      <c r="AP138" s="238"/>
      <c r="AQ138" s="255"/>
      <c r="AR138" s="255"/>
      <c r="AS138" s="256"/>
      <c r="AT138" s="256"/>
      <c r="AU138" s="256"/>
      <c r="AV138" s="256"/>
      <c r="AW138" s="256"/>
      <c r="AX138" s="256"/>
      <c r="AY138" s="256"/>
      <c r="AZ138" s="256"/>
      <c r="BA138" s="256"/>
      <c r="BB138" s="256"/>
      <c r="BC138" s="256"/>
      <c r="BD138" s="238"/>
      <c r="BE138" s="229" cm="1">
        <f t="array" ref="BE138">IF(ISBLANK(R138), INDEX(Use, $AH138, 4) - AM138*INDEX(Use, $AH138, 6), R138)</f>
        <v>5</v>
      </c>
      <c r="BF138" s="229">
        <f t="shared" si="376"/>
        <v>30</v>
      </c>
      <c r="BG138" s="229">
        <f t="shared" si="241"/>
        <v>13</v>
      </c>
      <c r="BH138" s="229">
        <f t="shared" si="242"/>
        <v>0</v>
      </c>
      <c r="BI138" s="234" cm="1">
        <f t="array" ref="BI138">K138/IF($L138&gt;0, INDEX($AU$23:$BA$77, $L138+20, $AH138), 1)</f>
        <v>0</v>
      </c>
      <c r="BJ138" s="230">
        <f t="shared" si="377"/>
        <v>0</v>
      </c>
      <c r="BK138" s="229">
        <v>35</v>
      </c>
      <c r="BL138" s="230">
        <f t="shared" si="378"/>
        <v>48</v>
      </c>
      <c r="BM138" s="235">
        <f t="shared" si="379"/>
        <v>2.9108720930232557</v>
      </c>
      <c r="BN138" s="235" cm="1">
        <f t="array" ref="BN138">$BI138 * SUMPRODUCT(INDEX($AR$77:$AT$82,,$AI138),INDEX($AU$77:$BA$82,,$AH138), N($AQ$77:$AQ$82&gt;$AO138)) / BM138 / 1000</f>
        <v>0</v>
      </c>
      <c r="BO138" s="232">
        <f t="shared" si="246"/>
        <v>30</v>
      </c>
      <c r="BP138" s="230">
        <f t="shared" si="380"/>
        <v>43</v>
      </c>
      <c r="BQ138" s="235">
        <f t="shared" si="381"/>
        <v>3.2938815789473681</v>
      </c>
      <c r="BR138" s="235" cm="1">
        <f t="array" ref="BR138">$BI138 * IF($AH138&lt;=2,
SUMPRODUCT(INDEX($AR$72:$AT$76,,$AI138), INDEX($AU$72:$BA$76,,$AH138), 1 / ($BB$72:$BB$76*BQ138 + (1-$BB$72:$BB$76)*BM138), N($AQ$72:$AQ$76&gt;$AO138)),
SUMPRODUCT(INDEX($AR$67:$AT$76,,$AI138), INDEX($AU$67:$BA$76,,$AH138), 1 / ($BC$67:$BC$76*BQ138 + (1-$BC$67:$BC$76)*BM138), N($AQ$67:$AQ$76&gt;$AO138))
) / 1000</f>
        <v>0</v>
      </c>
      <c r="BS138" s="232">
        <f t="shared" si="249"/>
        <v>25</v>
      </c>
      <c r="BT138" s="230">
        <f t="shared" si="382"/>
        <v>38</v>
      </c>
      <c r="BU138" s="235">
        <f t="shared" si="383"/>
        <v>3.792954545454545</v>
      </c>
      <c r="BV138" s="235" cm="1">
        <f t="array" ref="BV138">$BI138 * IF($AH138&lt;=2,
SUMPRODUCT(INDEX($AR$67:$AT$71,,$AI138), INDEX($AU$67:$BA$71,,$AH138), 1 / ($BB$67:$BB$71*BU138 + (1-$BB$67:$BB$71)*BQ138), N($AQ$67:$AQ$71&gt;$AO138)),
SUMPRODUCT(INDEX($AR$57:$AT$66,,$AI138), INDEX($AU$57:$BA$66,,$AH138), 1 / ($BC$57:$BC$66*BU138 + (1-$BC$57:$BC$66)*BQ138), N($AQ$57:$AQ$66&gt;$AO138))
) / 1000</f>
        <v>0</v>
      </c>
      <c r="BW138" s="232">
        <f t="shared" si="252"/>
        <v>20</v>
      </c>
      <c r="BX138" s="230">
        <f t="shared" si="384"/>
        <v>33</v>
      </c>
      <c r="BY138" s="235">
        <f t="shared" si="385"/>
        <v>4.4702678571428569</v>
      </c>
      <c r="BZ138" s="235" cm="1">
        <f t="array" ref="BZ138">$BI138 * IF($AH138&lt;=2,
SUMPRODUCT(INDEX($AR$62:$AT$66,,$AI138), INDEX($AU$62:$BA$66,,$AH138), 1 / ($BB$62:$BB$66*BY138 + (1-$BB$62:$BB$66)*BU138), N($AQ$62:$AQ$66&gt;$AO138)),
SUMPRODUCT(INDEX($AR$47:$AT$56,,$AI138), INDEX($AU$47:$BA$56,,$AH138), 1 / ($BC$47:$BC$56*BY138 + (1-$BC$47:$BC$56)*BU138), N($AQ$47:$AQ$56&gt;$AO138))
) / 1000</f>
        <v>0</v>
      </c>
      <c r="CA138" s="235" cm="1">
        <f t="array" ref="CA138">$BI138 * IF($AH138&lt;=2,
SUMPRODUCT(INDEX($AR$23:$AT$61,,$AI138), INDEX($AU$23:$BA$61,,$AH138), 1 / ($BB$23:$BB$61*BY138), N($AQ$23:$AQ$61&gt;$AO138)),
SUMPRODUCT(INDEX($AR$23:$AT$46,,$AI138), INDEX($AU$23:$BA$46,,$AH138), 1 / ($BC$23:$BC$46*BY138), N($AQ$23:$AQ$46&gt;$AO138))
) / 1000</f>
        <v>0</v>
      </c>
      <c r="CB138" s="230">
        <f t="shared" si="386"/>
        <v>0</v>
      </c>
      <c r="CC138" s="238"/>
      <c r="CD138" s="229" cm="1">
        <f t="array" ref="CD138">IF(ISBLANK(Y138), INDEX(Use, $AH138, 4) - AN138*INDEX(Use, $AH138, 6) - (Q138-X138), Y138)</f>
        <v>7</v>
      </c>
      <c r="CE138" s="229">
        <f t="shared" si="387"/>
        <v>32</v>
      </c>
      <c r="CF138" s="230">
        <f t="shared" si="388"/>
        <v>0</v>
      </c>
      <c r="CG138" s="229">
        <v>35</v>
      </c>
      <c r="CH138" s="230">
        <f t="shared" si="389"/>
        <v>48</v>
      </c>
      <c r="CI138" s="235">
        <f t="shared" si="390"/>
        <v>3.0748170731707316</v>
      </c>
      <c r="CJ138" s="235" cm="1">
        <f t="array" ref="CJ138">$BI138 * SUMPRODUCT(INDEX($AR$77:$AT$82,,$AI138),INDEX($AU$77:$BA$82,,$AH138), N($AQ$77:$AQ$82&gt;$AO138)) / CI138 / 1000</f>
        <v>0</v>
      </c>
      <c r="CK138" s="232">
        <f t="shared" si="260"/>
        <v>30</v>
      </c>
      <c r="CL138" s="230">
        <f t="shared" si="391"/>
        <v>43</v>
      </c>
      <c r="CM138" s="235">
        <f t="shared" si="392"/>
        <v>3.5018750000000001</v>
      </c>
      <c r="CN138" s="235" cm="1">
        <f t="array" ref="CN138">$BI138 * IF($AH138&lt;=2,
SUMPRODUCT(INDEX($AR$72:$AT$76,,$AI138), INDEX($AU$72:$BA$76,,$AH138), 1 / ($BB$72:$BB$76*CM138 + (1-$BB$72:$BB$76)*CI138), N($AQ$72:$AQ$76&gt;$AO138)),
SUMPRODUCT(INDEX($AR$67:$AT$76,,$AI138), INDEX($AU$67:$BA$76,,$AH138), 1 / ($BC$67:$BC$76*CM138 + (1-$BC$67:$BC$76)*CI138), N($AQ$67:$AQ$76&gt;$AO138))
) / 1000</f>
        <v>0</v>
      </c>
      <c r="CO138" s="232">
        <f t="shared" si="263"/>
        <v>25</v>
      </c>
      <c r="CP138" s="230">
        <f t="shared" si="393"/>
        <v>38</v>
      </c>
      <c r="CQ138" s="235">
        <f t="shared" si="394"/>
        <v>4.0666935483870965</v>
      </c>
      <c r="CR138" s="235" cm="1">
        <f t="array" ref="CR138">$BI138 * IF($AH138&lt;=2,
SUMPRODUCT(INDEX($AR$67:$AT$71,,$AI138), INDEX($AU$67:$BA$71,,$AH138), 1 / ($BB$67:$BB$71*CQ138 + (1-$BB$67:$BB$71)*CM138), N($AQ$67:$AQ$71&gt;$AO138)),
SUMPRODUCT(INDEX($AR$57:$AT$66,,$AI138), INDEX($AU$57:$BA$66,,$AH138), 1 / ($BC$57:$BC$66*CQ138 + (1-$BC$57:$BC$66)*CM138), N($AQ$57:$AQ$66&gt;$AO138))
) / 1000</f>
        <v>0</v>
      </c>
      <c r="CS138" s="232">
        <f t="shared" si="266"/>
        <v>20</v>
      </c>
      <c r="CT138" s="230">
        <f t="shared" si="395"/>
        <v>33</v>
      </c>
      <c r="CU138" s="235">
        <f t="shared" si="396"/>
        <v>4.8487499999999999</v>
      </c>
      <c r="CV138" s="235" cm="1">
        <f t="array" ref="CV138">$BI138 * IF($AH138&lt;=2,
SUMPRODUCT(INDEX($AR$62:$AT$66,,$AI138), INDEX($AU$62:$BA$66,,$AH138), 1 / ($BB$62:$BB$66*CU138 + (1-$BB$62:$BB$66)*CQ138), N($AQ$62:$AQ$66&gt;$AO138)),
SUMPRODUCT(INDEX($AR$47:$AT$56,,$AI138), INDEX($AU$47:$BA$56,,$AH138), 1 / ($BC$47:$BC$56*CU138 + (1-$BC$47:$BC$56)*CQ138), N($AQ$47:$AQ$56&gt;$AO138))
) / 1000</f>
        <v>0</v>
      </c>
      <c r="CW138" s="235" cm="1">
        <f t="array" ref="CW138">$BI138 * IF($AH138&lt;=2,
SUMPRODUCT(INDEX($AR$23:$AT$61,,$AI138), INDEX($AU$23:$BA$61,,$AH138), 1 / ($BB$23:$BB$61*CU138), N($AQ$23:$AQ$61&gt;$AO138)),
SUMPRODUCT(INDEX($AR$23:$AT$46,,$AI138), INDEX($AU$23:$BA$46,,$AH138), 1 / ($BC$23:$BC$46*CU138), N($AQ$23:$AQ$46&gt;$AO138))
) / 1000</f>
        <v>0</v>
      </c>
      <c r="CX138" s="230">
        <f t="shared" si="397"/>
        <v>0</v>
      </c>
      <c r="CY138" s="238"/>
    </row>
    <row r="139" spans="1:103" s="76" customFormat="1" ht="14.25" customHeight="1" x14ac:dyDescent="0.2">
      <c r="A139" s="231" t="b">
        <f t="shared" si="229"/>
        <v>0</v>
      </c>
      <c r="B139" s="245">
        <v>117</v>
      </c>
      <c r="C139" s="258"/>
      <c r="D139" s="258"/>
      <c r="E139" s="246"/>
      <c r="F139" s="247" t="str">
        <f>IF(ISBLANK(E139), "", VLOOKUP(E139, Z!$A$2:$C$4127, 3, FALSE))</f>
        <v/>
      </c>
      <c r="G139" s="248"/>
      <c r="H139" s="248"/>
      <c r="I139" s="249"/>
      <c r="J139" s="250"/>
      <c r="K139" s="259"/>
      <c r="L139" s="260"/>
      <c r="M139" s="252" t="str" cm="1">
        <f t="array" ref="M139">INDEX(Trad, 53, $A$20)</f>
        <v>Verschmutzt</v>
      </c>
      <c r="N139" s="253"/>
      <c r="O139" s="253"/>
      <c r="P139" s="254"/>
      <c r="Q139" s="251"/>
      <c r="R139" s="251"/>
      <c r="S139" s="264">
        <f t="shared" si="372"/>
        <v>0</v>
      </c>
      <c r="T139" s="252" t="str" cm="1">
        <f t="array" ref="T139">INDEX(Trad, 52, $A$20)</f>
        <v>Sauber</v>
      </c>
      <c r="U139" s="253"/>
      <c r="V139" s="253"/>
      <c r="W139" s="254"/>
      <c r="X139" s="251"/>
      <c r="Y139" s="251"/>
      <c r="Z139" s="264">
        <f t="shared" si="373"/>
        <v>0</v>
      </c>
      <c r="AA139" s="261"/>
      <c r="AB139" s="258"/>
      <c r="AC139" s="246"/>
      <c r="AD139" s="247" t="str">
        <f>IF(ISBLANK(AC139), "", VLOOKUP(AC139, Z!$A$2:$C$4127, 3, FALSE))</f>
        <v/>
      </c>
      <c r="AE139" s="262"/>
      <c r="AF139" s="263">
        <f t="shared" si="374"/>
        <v>0</v>
      </c>
      <c r="AG139" s="238"/>
      <c r="AH139" s="229">
        <f t="shared" si="398"/>
        <v>1</v>
      </c>
      <c r="AI139" s="229">
        <f t="shared" si="399"/>
        <v>1</v>
      </c>
      <c r="AJ139" s="229">
        <f t="shared" si="400"/>
        <v>0</v>
      </c>
      <c r="AK139" s="229">
        <v>0</v>
      </c>
      <c r="AL139" s="229">
        <v>0</v>
      </c>
      <c r="AM139" s="229">
        <v>1</v>
      </c>
      <c r="AN139" s="229">
        <v>0</v>
      </c>
      <c r="AO139" s="229">
        <f t="shared" si="375"/>
        <v>-100</v>
      </c>
      <c r="AP139" s="238"/>
      <c r="AQ139" s="255"/>
      <c r="AR139" s="255"/>
      <c r="AS139" s="256"/>
      <c r="AT139" s="256"/>
      <c r="AU139" s="256"/>
      <c r="AV139" s="256"/>
      <c r="AW139" s="256"/>
      <c r="AX139" s="256"/>
      <c r="AY139" s="256"/>
      <c r="AZ139" s="256"/>
      <c r="BA139" s="256"/>
      <c r="BB139" s="256"/>
      <c r="BC139" s="256"/>
      <c r="BD139" s="238"/>
      <c r="BE139" s="229" cm="1">
        <f t="array" ref="BE139">IF(ISBLANK(R139), INDEX(Use, $AH139, 4) - AM139*INDEX(Use, $AH139, 6), R139)</f>
        <v>5</v>
      </c>
      <c r="BF139" s="229">
        <f t="shared" si="376"/>
        <v>30</v>
      </c>
      <c r="BG139" s="229">
        <f t="shared" si="241"/>
        <v>13</v>
      </c>
      <c r="BH139" s="229">
        <f t="shared" si="242"/>
        <v>0</v>
      </c>
      <c r="BI139" s="234" cm="1">
        <f t="array" ref="BI139">K139/IF($L139&gt;0, INDEX($AU$23:$BA$77, $L139+20, $AH139), 1)</f>
        <v>0</v>
      </c>
      <c r="BJ139" s="230">
        <f t="shared" si="377"/>
        <v>0</v>
      </c>
      <c r="BK139" s="229">
        <v>35</v>
      </c>
      <c r="BL139" s="230">
        <f t="shared" si="378"/>
        <v>48</v>
      </c>
      <c r="BM139" s="235">
        <f t="shared" si="379"/>
        <v>2.9108720930232557</v>
      </c>
      <c r="BN139" s="235" cm="1">
        <f t="array" ref="BN139">$BI139 * SUMPRODUCT(INDEX($AR$77:$AT$82,,$AI139),INDEX($AU$77:$BA$82,,$AH139), N($AQ$77:$AQ$82&gt;$AO139)) / BM139 / 1000</f>
        <v>0</v>
      </c>
      <c r="BO139" s="232">
        <f t="shared" si="246"/>
        <v>30</v>
      </c>
      <c r="BP139" s="230">
        <f t="shared" si="380"/>
        <v>43</v>
      </c>
      <c r="BQ139" s="235">
        <f t="shared" si="381"/>
        <v>3.2938815789473681</v>
      </c>
      <c r="BR139" s="235" cm="1">
        <f t="array" ref="BR139">$BI139 * IF($AH139&lt;=2,
SUMPRODUCT(INDEX($AR$72:$AT$76,,$AI139), INDEX($AU$72:$BA$76,,$AH139), 1 / ($BB$72:$BB$76*BQ139 + (1-$BB$72:$BB$76)*BM139), N($AQ$72:$AQ$76&gt;$AO139)),
SUMPRODUCT(INDEX($AR$67:$AT$76,,$AI139), INDEX($AU$67:$BA$76,,$AH139), 1 / ($BC$67:$BC$76*BQ139 + (1-$BC$67:$BC$76)*BM139), N($AQ$67:$AQ$76&gt;$AO139))
) / 1000</f>
        <v>0</v>
      </c>
      <c r="BS139" s="232">
        <f t="shared" si="249"/>
        <v>25</v>
      </c>
      <c r="BT139" s="230">
        <f t="shared" si="382"/>
        <v>38</v>
      </c>
      <c r="BU139" s="235">
        <f t="shared" si="383"/>
        <v>3.792954545454545</v>
      </c>
      <c r="BV139" s="235" cm="1">
        <f t="array" ref="BV139">$BI139 * IF($AH139&lt;=2,
SUMPRODUCT(INDEX($AR$67:$AT$71,,$AI139), INDEX($AU$67:$BA$71,,$AH139), 1 / ($BB$67:$BB$71*BU139 + (1-$BB$67:$BB$71)*BQ139), N($AQ$67:$AQ$71&gt;$AO139)),
SUMPRODUCT(INDEX($AR$57:$AT$66,,$AI139), INDEX($AU$57:$BA$66,,$AH139), 1 / ($BC$57:$BC$66*BU139 + (1-$BC$57:$BC$66)*BQ139), N($AQ$57:$AQ$66&gt;$AO139))
) / 1000</f>
        <v>0</v>
      </c>
      <c r="BW139" s="232">
        <f t="shared" si="252"/>
        <v>20</v>
      </c>
      <c r="BX139" s="230">
        <f t="shared" si="384"/>
        <v>33</v>
      </c>
      <c r="BY139" s="235">
        <f t="shared" si="385"/>
        <v>4.4702678571428569</v>
      </c>
      <c r="BZ139" s="235" cm="1">
        <f t="array" ref="BZ139">$BI139 * IF($AH139&lt;=2,
SUMPRODUCT(INDEX($AR$62:$AT$66,,$AI139), INDEX($AU$62:$BA$66,,$AH139), 1 / ($BB$62:$BB$66*BY139 + (1-$BB$62:$BB$66)*BU139), N($AQ$62:$AQ$66&gt;$AO139)),
SUMPRODUCT(INDEX($AR$47:$AT$56,,$AI139), INDEX($AU$47:$BA$56,,$AH139), 1 / ($BC$47:$BC$56*BY139 + (1-$BC$47:$BC$56)*BU139), N($AQ$47:$AQ$56&gt;$AO139))
) / 1000</f>
        <v>0</v>
      </c>
      <c r="CA139" s="235" cm="1">
        <f t="array" ref="CA139">$BI139 * IF($AH139&lt;=2,
SUMPRODUCT(INDEX($AR$23:$AT$61,,$AI139), INDEX($AU$23:$BA$61,,$AH139), 1 / ($BB$23:$BB$61*BY139), N($AQ$23:$AQ$61&gt;$AO139)),
SUMPRODUCT(INDEX($AR$23:$AT$46,,$AI139), INDEX($AU$23:$BA$46,,$AH139), 1 / ($BC$23:$BC$46*BY139), N($AQ$23:$AQ$46&gt;$AO139))
) / 1000</f>
        <v>0</v>
      </c>
      <c r="CB139" s="230">
        <f t="shared" si="386"/>
        <v>0</v>
      </c>
      <c r="CC139" s="238"/>
      <c r="CD139" s="229" cm="1">
        <f t="array" ref="CD139">IF(ISBLANK(Y139), INDEX(Use, $AH139, 4) - AN139*INDEX(Use, $AH139, 6) - (Q139-X139), Y139)</f>
        <v>7</v>
      </c>
      <c r="CE139" s="229">
        <f t="shared" si="387"/>
        <v>32</v>
      </c>
      <c r="CF139" s="230">
        <f t="shared" si="388"/>
        <v>0</v>
      </c>
      <c r="CG139" s="229">
        <v>35</v>
      </c>
      <c r="CH139" s="230">
        <f t="shared" si="389"/>
        <v>48</v>
      </c>
      <c r="CI139" s="235">
        <f t="shared" si="390"/>
        <v>3.0748170731707316</v>
      </c>
      <c r="CJ139" s="235" cm="1">
        <f t="array" ref="CJ139">$BI139 * SUMPRODUCT(INDEX($AR$77:$AT$82,,$AI139),INDEX($AU$77:$BA$82,,$AH139), N($AQ$77:$AQ$82&gt;$AO139)) / CI139 / 1000</f>
        <v>0</v>
      </c>
      <c r="CK139" s="232">
        <f t="shared" si="260"/>
        <v>30</v>
      </c>
      <c r="CL139" s="230">
        <f t="shared" si="391"/>
        <v>43</v>
      </c>
      <c r="CM139" s="235">
        <f t="shared" si="392"/>
        <v>3.5018750000000001</v>
      </c>
      <c r="CN139" s="235" cm="1">
        <f t="array" ref="CN139">$BI139 * IF($AH139&lt;=2,
SUMPRODUCT(INDEX($AR$72:$AT$76,,$AI139), INDEX($AU$72:$BA$76,,$AH139), 1 / ($BB$72:$BB$76*CM139 + (1-$BB$72:$BB$76)*CI139), N($AQ$72:$AQ$76&gt;$AO139)),
SUMPRODUCT(INDEX($AR$67:$AT$76,,$AI139), INDEX($AU$67:$BA$76,,$AH139), 1 / ($BC$67:$BC$76*CM139 + (1-$BC$67:$BC$76)*CI139), N($AQ$67:$AQ$76&gt;$AO139))
) / 1000</f>
        <v>0</v>
      </c>
      <c r="CO139" s="232">
        <f t="shared" si="263"/>
        <v>25</v>
      </c>
      <c r="CP139" s="230">
        <f t="shared" si="393"/>
        <v>38</v>
      </c>
      <c r="CQ139" s="235">
        <f t="shared" si="394"/>
        <v>4.0666935483870965</v>
      </c>
      <c r="CR139" s="235" cm="1">
        <f t="array" ref="CR139">$BI139 * IF($AH139&lt;=2,
SUMPRODUCT(INDEX($AR$67:$AT$71,,$AI139), INDEX($AU$67:$BA$71,,$AH139), 1 / ($BB$67:$BB$71*CQ139 + (1-$BB$67:$BB$71)*CM139), N($AQ$67:$AQ$71&gt;$AO139)),
SUMPRODUCT(INDEX($AR$57:$AT$66,,$AI139), INDEX($AU$57:$BA$66,,$AH139), 1 / ($BC$57:$BC$66*CQ139 + (1-$BC$57:$BC$66)*CM139), N($AQ$57:$AQ$66&gt;$AO139))
) / 1000</f>
        <v>0</v>
      </c>
      <c r="CS139" s="232">
        <f t="shared" si="266"/>
        <v>20</v>
      </c>
      <c r="CT139" s="230">
        <f t="shared" si="395"/>
        <v>33</v>
      </c>
      <c r="CU139" s="235">
        <f t="shared" si="396"/>
        <v>4.8487499999999999</v>
      </c>
      <c r="CV139" s="235" cm="1">
        <f t="array" ref="CV139">$BI139 * IF($AH139&lt;=2,
SUMPRODUCT(INDEX($AR$62:$AT$66,,$AI139), INDEX($AU$62:$BA$66,,$AH139), 1 / ($BB$62:$BB$66*CU139 + (1-$BB$62:$BB$66)*CQ139), N($AQ$62:$AQ$66&gt;$AO139)),
SUMPRODUCT(INDEX($AR$47:$AT$56,,$AI139), INDEX($AU$47:$BA$56,,$AH139), 1 / ($BC$47:$BC$56*CU139 + (1-$BC$47:$BC$56)*CQ139), N($AQ$47:$AQ$56&gt;$AO139))
) / 1000</f>
        <v>0</v>
      </c>
      <c r="CW139" s="235" cm="1">
        <f t="array" ref="CW139">$BI139 * IF($AH139&lt;=2,
SUMPRODUCT(INDEX($AR$23:$AT$61,,$AI139), INDEX($AU$23:$BA$61,,$AH139), 1 / ($BB$23:$BB$61*CU139), N($AQ$23:$AQ$61&gt;$AO139)),
SUMPRODUCT(INDEX($AR$23:$AT$46,,$AI139), INDEX($AU$23:$BA$46,,$AH139), 1 / ($BC$23:$BC$46*CU139), N($AQ$23:$AQ$46&gt;$AO139))
) / 1000</f>
        <v>0</v>
      </c>
      <c r="CX139" s="230">
        <f t="shared" si="397"/>
        <v>0</v>
      </c>
      <c r="CY139" s="238"/>
    </row>
    <row r="140" spans="1:103" s="76" customFormat="1" ht="14.25" customHeight="1" x14ac:dyDescent="0.2">
      <c r="A140" s="231" t="b">
        <f t="shared" si="229"/>
        <v>0</v>
      </c>
      <c r="B140" s="245">
        <v>118</v>
      </c>
      <c r="C140" s="258"/>
      <c r="D140" s="258"/>
      <c r="E140" s="246"/>
      <c r="F140" s="247" t="str">
        <f>IF(ISBLANK(E140), "", VLOOKUP(E140, Z!$A$2:$C$4127, 3, FALSE))</f>
        <v/>
      </c>
      <c r="G140" s="248"/>
      <c r="H140" s="248"/>
      <c r="I140" s="249"/>
      <c r="J140" s="250"/>
      <c r="K140" s="259"/>
      <c r="L140" s="260"/>
      <c r="M140" s="252" t="str" cm="1">
        <f t="array" ref="M140">INDEX(Trad, 53, $A$20)</f>
        <v>Verschmutzt</v>
      </c>
      <c r="N140" s="253"/>
      <c r="O140" s="253"/>
      <c r="P140" s="254"/>
      <c r="Q140" s="251"/>
      <c r="R140" s="251"/>
      <c r="S140" s="264">
        <f t="shared" si="372"/>
        <v>0</v>
      </c>
      <c r="T140" s="252" t="str" cm="1">
        <f t="array" ref="T140">INDEX(Trad, 52, $A$20)</f>
        <v>Sauber</v>
      </c>
      <c r="U140" s="253"/>
      <c r="V140" s="253"/>
      <c r="W140" s="254"/>
      <c r="X140" s="251"/>
      <c r="Y140" s="251"/>
      <c r="Z140" s="264">
        <f t="shared" si="373"/>
        <v>0</v>
      </c>
      <c r="AA140" s="261"/>
      <c r="AB140" s="258"/>
      <c r="AC140" s="246"/>
      <c r="AD140" s="247" t="str">
        <f>IF(ISBLANK(AC140), "", VLOOKUP(AC140, Z!$A$2:$C$4127, 3, FALSE))</f>
        <v/>
      </c>
      <c r="AE140" s="262"/>
      <c r="AF140" s="263">
        <f t="shared" si="374"/>
        <v>0</v>
      </c>
      <c r="AG140" s="238"/>
      <c r="AH140" s="229">
        <f t="shared" si="398"/>
        <v>1</v>
      </c>
      <c r="AI140" s="229">
        <f t="shared" si="399"/>
        <v>1</v>
      </c>
      <c r="AJ140" s="229">
        <f t="shared" si="400"/>
        <v>0</v>
      </c>
      <c r="AK140" s="229">
        <v>0</v>
      </c>
      <c r="AL140" s="229">
        <v>0</v>
      </c>
      <c r="AM140" s="229">
        <v>1</v>
      </c>
      <c r="AN140" s="229">
        <v>0</v>
      </c>
      <c r="AO140" s="229">
        <f t="shared" si="375"/>
        <v>-100</v>
      </c>
      <c r="AP140" s="238"/>
      <c r="AQ140" s="255"/>
      <c r="AR140" s="255"/>
      <c r="AS140" s="256"/>
      <c r="AT140" s="256"/>
      <c r="AU140" s="256"/>
      <c r="AV140" s="256"/>
      <c r="AW140" s="256"/>
      <c r="AX140" s="256"/>
      <c r="AY140" s="256"/>
      <c r="AZ140" s="256"/>
      <c r="BA140" s="256"/>
      <c r="BB140" s="256"/>
      <c r="BC140" s="256"/>
      <c r="BD140" s="238"/>
      <c r="BE140" s="229" cm="1">
        <f t="array" ref="BE140">IF(ISBLANK(R140), INDEX(Use, $AH140, 4) - AM140*INDEX(Use, $AH140, 6), R140)</f>
        <v>5</v>
      </c>
      <c r="BF140" s="229">
        <f t="shared" si="376"/>
        <v>30</v>
      </c>
      <c r="BG140" s="229">
        <f t="shared" si="241"/>
        <v>13</v>
      </c>
      <c r="BH140" s="229">
        <f t="shared" si="242"/>
        <v>0</v>
      </c>
      <c r="BI140" s="234" cm="1">
        <f t="array" ref="BI140">K140/IF($L140&gt;0, INDEX($AU$23:$BA$77, $L140+20, $AH140), 1)</f>
        <v>0</v>
      </c>
      <c r="BJ140" s="230">
        <f t="shared" si="377"/>
        <v>0</v>
      </c>
      <c r="BK140" s="229">
        <v>35</v>
      </c>
      <c r="BL140" s="230">
        <f t="shared" si="378"/>
        <v>48</v>
      </c>
      <c r="BM140" s="235">
        <f t="shared" si="379"/>
        <v>2.9108720930232557</v>
      </c>
      <c r="BN140" s="235" cm="1">
        <f t="array" ref="BN140">$BI140 * SUMPRODUCT(INDEX($AR$77:$AT$82,,$AI140),INDEX($AU$77:$BA$82,,$AH140), N($AQ$77:$AQ$82&gt;$AO140)) / BM140 / 1000</f>
        <v>0</v>
      </c>
      <c r="BO140" s="232">
        <f t="shared" si="246"/>
        <v>30</v>
      </c>
      <c r="BP140" s="230">
        <f t="shared" si="380"/>
        <v>43</v>
      </c>
      <c r="BQ140" s="235">
        <f t="shared" si="381"/>
        <v>3.2938815789473681</v>
      </c>
      <c r="BR140" s="235" cm="1">
        <f t="array" ref="BR140">$BI140 * IF($AH140&lt;=2,
SUMPRODUCT(INDEX($AR$72:$AT$76,,$AI140), INDEX($AU$72:$BA$76,,$AH140), 1 / ($BB$72:$BB$76*BQ140 + (1-$BB$72:$BB$76)*BM140), N($AQ$72:$AQ$76&gt;$AO140)),
SUMPRODUCT(INDEX($AR$67:$AT$76,,$AI140), INDEX($AU$67:$BA$76,,$AH140), 1 / ($BC$67:$BC$76*BQ140 + (1-$BC$67:$BC$76)*BM140), N($AQ$67:$AQ$76&gt;$AO140))
) / 1000</f>
        <v>0</v>
      </c>
      <c r="BS140" s="232">
        <f t="shared" si="249"/>
        <v>25</v>
      </c>
      <c r="BT140" s="230">
        <f t="shared" si="382"/>
        <v>38</v>
      </c>
      <c r="BU140" s="235">
        <f t="shared" si="383"/>
        <v>3.792954545454545</v>
      </c>
      <c r="BV140" s="235" cm="1">
        <f t="array" ref="BV140">$BI140 * IF($AH140&lt;=2,
SUMPRODUCT(INDEX($AR$67:$AT$71,,$AI140), INDEX($AU$67:$BA$71,,$AH140), 1 / ($BB$67:$BB$71*BU140 + (1-$BB$67:$BB$71)*BQ140), N($AQ$67:$AQ$71&gt;$AO140)),
SUMPRODUCT(INDEX($AR$57:$AT$66,,$AI140), INDEX($AU$57:$BA$66,,$AH140), 1 / ($BC$57:$BC$66*BU140 + (1-$BC$57:$BC$66)*BQ140), N($AQ$57:$AQ$66&gt;$AO140))
) / 1000</f>
        <v>0</v>
      </c>
      <c r="BW140" s="232">
        <f t="shared" si="252"/>
        <v>20</v>
      </c>
      <c r="BX140" s="230">
        <f t="shared" si="384"/>
        <v>33</v>
      </c>
      <c r="BY140" s="235">
        <f t="shared" si="385"/>
        <v>4.4702678571428569</v>
      </c>
      <c r="BZ140" s="235" cm="1">
        <f t="array" ref="BZ140">$BI140 * IF($AH140&lt;=2,
SUMPRODUCT(INDEX($AR$62:$AT$66,,$AI140), INDEX($AU$62:$BA$66,,$AH140), 1 / ($BB$62:$BB$66*BY140 + (1-$BB$62:$BB$66)*BU140), N($AQ$62:$AQ$66&gt;$AO140)),
SUMPRODUCT(INDEX($AR$47:$AT$56,,$AI140), INDEX($AU$47:$BA$56,,$AH140), 1 / ($BC$47:$BC$56*BY140 + (1-$BC$47:$BC$56)*BU140), N($AQ$47:$AQ$56&gt;$AO140))
) / 1000</f>
        <v>0</v>
      </c>
      <c r="CA140" s="235" cm="1">
        <f t="array" ref="CA140">$BI140 * IF($AH140&lt;=2,
SUMPRODUCT(INDEX($AR$23:$AT$61,,$AI140), INDEX($AU$23:$BA$61,,$AH140), 1 / ($BB$23:$BB$61*BY140), N($AQ$23:$AQ$61&gt;$AO140)),
SUMPRODUCT(INDEX($AR$23:$AT$46,,$AI140), INDEX($AU$23:$BA$46,,$AH140), 1 / ($BC$23:$BC$46*BY140), N($AQ$23:$AQ$46&gt;$AO140))
) / 1000</f>
        <v>0</v>
      </c>
      <c r="CB140" s="230">
        <f t="shared" si="386"/>
        <v>0</v>
      </c>
      <c r="CC140" s="238"/>
      <c r="CD140" s="229" cm="1">
        <f t="array" ref="CD140">IF(ISBLANK(Y140), INDEX(Use, $AH140, 4) - AN140*INDEX(Use, $AH140, 6) - (Q140-X140), Y140)</f>
        <v>7</v>
      </c>
      <c r="CE140" s="229">
        <f t="shared" si="387"/>
        <v>32</v>
      </c>
      <c r="CF140" s="230">
        <f t="shared" si="388"/>
        <v>0</v>
      </c>
      <c r="CG140" s="229">
        <v>35</v>
      </c>
      <c r="CH140" s="230">
        <f t="shared" si="389"/>
        <v>48</v>
      </c>
      <c r="CI140" s="235">
        <f t="shared" si="390"/>
        <v>3.0748170731707316</v>
      </c>
      <c r="CJ140" s="235" cm="1">
        <f t="array" ref="CJ140">$BI140 * SUMPRODUCT(INDEX($AR$77:$AT$82,,$AI140),INDEX($AU$77:$BA$82,,$AH140), N($AQ$77:$AQ$82&gt;$AO140)) / CI140 / 1000</f>
        <v>0</v>
      </c>
      <c r="CK140" s="232">
        <f t="shared" si="260"/>
        <v>30</v>
      </c>
      <c r="CL140" s="230">
        <f t="shared" si="391"/>
        <v>43</v>
      </c>
      <c r="CM140" s="235">
        <f t="shared" si="392"/>
        <v>3.5018750000000001</v>
      </c>
      <c r="CN140" s="235" cm="1">
        <f t="array" ref="CN140">$BI140 * IF($AH140&lt;=2,
SUMPRODUCT(INDEX($AR$72:$AT$76,,$AI140), INDEX($AU$72:$BA$76,,$AH140), 1 / ($BB$72:$BB$76*CM140 + (1-$BB$72:$BB$76)*CI140), N($AQ$72:$AQ$76&gt;$AO140)),
SUMPRODUCT(INDEX($AR$67:$AT$76,,$AI140), INDEX($AU$67:$BA$76,,$AH140), 1 / ($BC$67:$BC$76*CM140 + (1-$BC$67:$BC$76)*CI140), N($AQ$67:$AQ$76&gt;$AO140))
) / 1000</f>
        <v>0</v>
      </c>
      <c r="CO140" s="232">
        <f t="shared" si="263"/>
        <v>25</v>
      </c>
      <c r="CP140" s="230">
        <f t="shared" si="393"/>
        <v>38</v>
      </c>
      <c r="CQ140" s="235">
        <f t="shared" si="394"/>
        <v>4.0666935483870965</v>
      </c>
      <c r="CR140" s="235" cm="1">
        <f t="array" ref="CR140">$BI140 * IF($AH140&lt;=2,
SUMPRODUCT(INDEX($AR$67:$AT$71,,$AI140), INDEX($AU$67:$BA$71,,$AH140), 1 / ($BB$67:$BB$71*CQ140 + (1-$BB$67:$BB$71)*CM140), N($AQ$67:$AQ$71&gt;$AO140)),
SUMPRODUCT(INDEX($AR$57:$AT$66,,$AI140), INDEX($AU$57:$BA$66,,$AH140), 1 / ($BC$57:$BC$66*CQ140 + (1-$BC$57:$BC$66)*CM140), N($AQ$57:$AQ$66&gt;$AO140))
) / 1000</f>
        <v>0</v>
      </c>
      <c r="CS140" s="232">
        <f t="shared" si="266"/>
        <v>20</v>
      </c>
      <c r="CT140" s="230">
        <f t="shared" si="395"/>
        <v>33</v>
      </c>
      <c r="CU140" s="235">
        <f t="shared" si="396"/>
        <v>4.8487499999999999</v>
      </c>
      <c r="CV140" s="235" cm="1">
        <f t="array" ref="CV140">$BI140 * IF($AH140&lt;=2,
SUMPRODUCT(INDEX($AR$62:$AT$66,,$AI140), INDEX($AU$62:$BA$66,,$AH140), 1 / ($BB$62:$BB$66*CU140 + (1-$BB$62:$BB$66)*CQ140), N($AQ$62:$AQ$66&gt;$AO140)),
SUMPRODUCT(INDEX($AR$47:$AT$56,,$AI140), INDEX($AU$47:$BA$56,,$AH140), 1 / ($BC$47:$BC$56*CU140 + (1-$BC$47:$BC$56)*CQ140), N($AQ$47:$AQ$56&gt;$AO140))
) / 1000</f>
        <v>0</v>
      </c>
      <c r="CW140" s="235" cm="1">
        <f t="array" ref="CW140">$BI140 * IF($AH140&lt;=2,
SUMPRODUCT(INDEX($AR$23:$AT$61,,$AI140), INDEX($AU$23:$BA$61,,$AH140), 1 / ($BB$23:$BB$61*CU140), N($AQ$23:$AQ$61&gt;$AO140)),
SUMPRODUCT(INDEX($AR$23:$AT$46,,$AI140), INDEX($AU$23:$BA$46,,$AH140), 1 / ($BC$23:$BC$46*CU140), N($AQ$23:$AQ$46&gt;$AO140))
) / 1000</f>
        <v>0</v>
      </c>
      <c r="CX140" s="230">
        <f t="shared" si="397"/>
        <v>0</v>
      </c>
      <c r="CY140" s="238"/>
    </row>
    <row r="141" spans="1:103" s="76" customFormat="1" ht="14.25" customHeight="1" x14ac:dyDescent="0.2">
      <c r="A141" s="231" t="b">
        <f t="shared" si="229"/>
        <v>0</v>
      </c>
      <c r="B141" s="245">
        <v>119</v>
      </c>
      <c r="C141" s="258"/>
      <c r="D141" s="258"/>
      <c r="E141" s="246"/>
      <c r="F141" s="247" t="str">
        <f>IF(ISBLANK(E141), "", VLOOKUP(E141, Z!$A$2:$C$4127, 3, FALSE))</f>
        <v/>
      </c>
      <c r="G141" s="248"/>
      <c r="H141" s="248"/>
      <c r="I141" s="249"/>
      <c r="J141" s="250"/>
      <c r="K141" s="259"/>
      <c r="L141" s="260"/>
      <c r="M141" s="252" t="str" cm="1">
        <f t="array" ref="M141">INDEX(Trad, 53, $A$20)</f>
        <v>Verschmutzt</v>
      </c>
      <c r="N141" s="253"/>
      <c r="O141" s="253"/>
      <c r="P141" s="254"/>
      <c r="Q141" s="251"/>
      <c r="R141" s="251"/>
      <c r="S141" s="264">
        <f t="shared" si="372"/>
        <v>0</v>
      </c>
      <c r="T141" s="252" t="str" cm="1">
        <f t="array" ref="T141">INDEX(Trad, 52, $A$20)</f>
        <v>Sauber</v>
      </c>
      <c r="U141" s="253"/>
      <c r="V141" s="253"/>
      <c r="W141" s="254"/>
      <c r="X141" s="251"/>
      <c r="Y141" s="251"/>
      <c r="Z141" s="264">
        <f t="shared" si="373"/>
        <v>0</v>
      </c>
      <c r="AA141" s="261"/>
      <c r="AB141" s="258"/>
      <c r="AC141" s="246"/>
      <c r="AD141" s="247" t="str">
        <f>IF(ISBLANK(AC141), "", VLOOKUP(AC141, Z!$A$2:$C$4127, 3, FALSE))</f>
        <v/>
      </c>
      <c r="AE141" s="262"/>
      <c r="AF141" s="263">
        <f t="shared" si="374"/>
        <v>0</v>
      </c>
      <c r="AG141" s="238"/>
      <c r="AH141" s="229">
        <f t="shared" si="398"/>
        <v>1</v>
      </c>
      <c r="AI141" s="229">
        <f t="shared" si="399"/>
        <v>1</v>
      </c>
      <c r="AJ141" s="229">
        <f t="shared" si="400"/>
        <v>0</v>
      </c>
      <c r="AK141" s="229">
        <v>0</v>
      </c>
      <c r="AL141" s="229">
        <v>0</v>
      </c>
      <c r="AM141" s="229">
        <v>1</v>
      </c>
      <c r="AN141" s="229">
        <v>0</v>
      </c>
      <c r="AO141" s="229">
        <f t="shared" si="375"/>
        <v>-100</v>
      </c>
      <c r="AP141" s="238"/>
      <c r="AQ141" s="255"/>
      <c r="AR141" s="255"/>
      <c r="AS141" s="256"/>
      <c r="AT141" s="256"/>
      <c r="AU141" s="256"/>
      <c r="AV141" s="256"/>
      <c r="AW141" s="256"/>
      <c r="AX141" s="256"/>
      <c r="AY141" s="256"/>
      <c r="AZ141" s="256"/>
      <c r="BA141" s="256"/>
      <c r="BB141" s="256"/>
      <c r="BC141" s="256"/>
      <c r="BD141" s="238"/>
      <c r="BE141" s="229" cm="1">
        <f t="array" ref="BE141">IF(ISBLANK(R141), INDEX(Use, $AH141, 4) - AM141*INDEX(Use, $AH141, 6), R141)</f>
        <v>5</v>
      </c>
      <c r="BF141" s="229">
        <f t="shared" si="376"/>
        <v>30</v>
      </c>
      <c r="BG141" s="229">
        <f t="shared" si="241"/>
        <v>13</v>
      </c>
      <c r="BH141" s="229">
        <f t="shared" si="242"/>
        <v>0</v>
      </c>
      <c r="BI141" s="234" cm="1">
        <f t="array" ref="BI141">K141/IF($L141&gt;0, INDEX($AU$23:$BA$77, $L141+20, $AH141), 1)</f>
        <v>0</v>
      </c>
      <c r="BJ141" s="230">
        <f t="shared" si="377"/>
        <v>0</v>
      </c>
      <c r="BK141" s="229">
        <v>35</v>
      </c>
      <c r="BL141" s="230">
        <f t="shared" si="378"/>
        <v>48</v>
      </c>
      <c r="BM141" s="235">
        <f t="shared" si="379"/>
        <v>2.9108720930232557</v>
      </c>
      <c r="BN141" s="235" cm="1">
        <f t="array" ref="BN141">$BI141 * SUMPRODUCT(INDEX($AR$77:$AT$82,,$AI141),INDEX($AU$77:$BA$82,,$AH141), N($AQ$77:$AQ$82&gt;$AO141)) / BM141 / 1000</f>
        <v>0</v>
      </c>
      <c r="BO141" s="232">
        <f t="shared" si="246"/>
        <v>30</v>
      </c>
      <c r="BP141" s="230">
        <f t="shared" si="380"/>
        <v>43</v>
      </c>
      <c r="BQ141" s="235">
        <f t="shared" si="381"/>
        <v>3.2938815789473681</v>
      </c>
      <c r="BR141" s="235" cm="1">
        <f t="array" ref="BR141">$BI141 * IF($AH141&lt;=2,
SUMPRODUCT(INDEX($AR$72:$AT$76,,$AI141), INDEX($AU$72:$BA$76,,$AH141), 1 / ($BB$72:$BB$76*BQ141 + (1-$BB$72:$BB$76)*BM141), N($AQ$72:$AQ$76&gt;$AO141)),
SUMPRODUCT(INDEX($AR$67:$AT$76,,$AI141), INDEX($AU$67:$BA$76,,$AH141), 1 / ($BC$67:$BC$76*BQ141 + (1-$BC$67:$BC$76)*BM141), N($AQ$67:$AQ$76&gt;$AO141))
) / 1000</f>
        <v>0</v>
      </c>
      <c r="BS141" s="232">
        <f t="shared" si="249"/>
        <v>25</v>
      </c>
      <c r="BT141" s="230">
        <f t="shared" si="382"/>
        <v>38</v>
      </c>
      <c r="BU141" s="235">
        <f t="shared" si="383"/>
        <v>3.792954545454545</v>
      </c>
      <c r="BV141" s="235" cm="1">
        <f t="array" ref="BV141">$BI141 * IF($AH141&lt;=2,
SUMPRODUCT(INDEX($AR$67:$AT$71,,$AI141), INDEX($AU$67:$BA$71,,$AH141), 1 / ($BB$67:$BB$71*BU141 + (1-$BB$67:$BB$71)*BQ141), N($AQ$67:$AQ$71&gt;$AO141)),
SUMPRODUCT(INDEX($AR$57:$AT$66,,$AI141), INDEX($AU$57:$BA$66,,$AH141), 1 / ($BC$57:$BC$66*BU141 + (1-$BC$57:$BC$66)*BQ141), N($AQ$57:$AQ$66&gt;$AO141))
) / 1000</f>
        <v>0</v>
      </c>
      <c r="BW141" s="232">
        <f t="shared" si="252"/>
        <v>20</v>
      </c>
      <c r="BX141" s="230">
        <f t="shared" si="384"/>
        <v>33</v>
      </c>
      <c r="BY141" s="235">
        <f t="shared" si="385"/>
        <v>4.4702678571428569</v>
      </c>
      <c r="BZ141" s="235" cm="1">
        <f t="array" ref="BZ141">$BI141 * IF($AH141&lt;=2,
SUMPRODUCT(INDEX($AR$62:$AT$66,,$AI141), INDEX($AU$62:$BA$66,,$AH141), 1 / ($BB$62:$BB$66*BY141 + (1-$BB$62:$BB$66)*BU141), N($AQ$62:$AQ$66&gt;$AO141)),
SUMPRODUCT(INDEX($AR$47:$AT$56,,$AI141), INDEX($AU$47:$BA$56,,$AH141), 1 / ($BC$47:$BC$56*BY141 + (1-$BC$47:$BC$56)*BU141), N($AQ$47:$AQ$56&gt;$AO141))
) / 1000</f>
        <v>0</v>
      </c>
      <c r="CA141" s="235" cm="1">
        <f t="array" ref="CA141">$BI141 * IF($AH141&lt;=2,
SUMPRODUCT(INDEX($AR$23:$AT$61,,$AI141), INDEX($AU$23:$BA$61,,$AH141), 1 / ($BB$23:$BB$61*BY141), N($AQ$23:$AQ$61&gt;$AO141)),
SUMPRODUCT(INDEX($AR$23:$AT$46,,$AI141), INDEX($AU$23:$BA$46,,$AH141), 1 / ($BC$23:$BC$46*BY141), N($AQ$23:$AQ$46&gt;$AO141))
) / 1000</f>
        <v>0</v>
      </c>
      <c r="CB141" s="230">
        <f t="shared" si="386"/>
        <v>0</v>
      </c>
      <c r="CC141" s="238"/>
      <c r="CD141" s="229" cm="1">
        <f t="array" ref="CD141">IF(ISBLANK(Y141), INDEX(Use, $AH141, 4) - AN141*INDEX(Use, $AH141, 6) - (Q141-X141), Y141)</f>
        <v>7</v>
      </c>
      <c r="CE141" s="229">
        <f t="shared" si="387"/>
        <v>32</v>
      </c>
      <c r="CF141" s="230">
        <f t="shared" si="388"/>
        <v>0</v>
      </c>
      <c r="CG141" s="229">
        <v>35</v>
      </c>
      <c r="CH141" s="230">
        <f t="shared" si="389"/>
        <v>48</v>
      </c>
      <c r="CI141" s="235">
        <f t="shared" si="390"/>
        <v>3.0748170731707316</v>
      </c>
      <c r="CJ141" s="235" cm="1">
        <f t="array" ref="CJ141">$BI141 * SUMPRODUCT(INDEX($AR$77:$AT$82,,$AI141),INDEX($AU$77:$BA$82,,$AH141), N($AQ$77:$AQ$82&gt;$AO141)) / CI141 / 1000</f>
        <v>0</v>
      </c>
      <c r="CK141" s="232">
        <f t="shared" si="260"/>
        <v>30</v>
      </c>
      <c r="CL141" s="230">
        <f t="shared" si="391"/>
        <v>43</v>
      </c>
      <c r="CM141" s="235">
        <f t="shared" si="392"/>
        <v>3.5018750000000001</v>
      </c>
      <c r="CN141" s="235" cm="1">
        <f t="array" ref="CN141">$BI141 * IF($AH141&lt;=2,
SUMPRODUCT(INDEX($AR$72:$AT$76,,$AI141), INDEX($AU$72:$BA$76,,$AH141), 1 / ($BB$72:$BB$76*CM141 + (1-$BB$72:$BB$76)*CI141), N($AQ$72:$AQ$76&gt;$AO141)),
SUMPRODUCT(INDEX($AR$67:$AT$76,,$AI141), INDEX($AU$67:$BA$76,,$AH141), 1 / ($BC$67:$BC$76*CM141 + (1-$BC$67:$BC$76)*CI141), N($AQ$67:$AQ$76&gt;$AO141))
) / 1000</f>
        <v>0</v>
      </c>
      <c r="CO141" s="232">
        <f t="shared" si="263"/>
        <v>25</v>
      </c>
      <c r="CP141" s="230">
        <f t="shared" si="393"/>
        <v>38</v>
      </c>
      <c r="CQ141" s="235">
        <f t="shared" si="394"/>
        <v>4.0666935483870965</v>
      </c>
      <c r="CR141" s="235" cm="1">
        <f t="array" ref="CR141">$BI141 * IF($AH141&lt;=2,
SUMPRODUCT(INDEX($AR$67:$AT$71,,$AI141), INDEX($AU$67:$BA$71,,$AH141), 1 / ($BB$67:$BB$71*CQ141 + (1-$BB$67:$BB$71)*CM141), N($AQ$67:$AQ$71&gt;$AO141)),
SUMPRODUCT(INDEX($AR$57:$AT$66,,$AI141), INDEX($AU$57:$BA$66,,$AH141), 1 / ($BC$57:$BC$66*CQ141 + (1-$BC$57:$BC$66)*CM141), N($AQ$57:$AQ$66&gt;$AO141))
) / 1000</f>
        <v>0</v>
      </c>
      <c r="CS141" s="232">
        <f t="shared" si="266"/>
        <v>20</v>
      </c>
      <c r="CT141" s="230">
        <f t="shared" si="395"/>
        <v>33</v>
      </c>
      <c r="CU141" s="235">
        <f t="shared" si="396"/>
        <v>4.8487499999999999</v>
      </c>
      <c r="CV141" s="235" cm="1">
        <f t="array" ref="CV141">$BI141 * IF($AH141&lt;=2,
SUMPRODUCT(INDEX($AR$62:$AT$66,,$AI141), INDEX($AU$62:$BA$66,,$AH141), 1 / ($BB$62:$BB$66*CU141 + (1-$BB$62:$BB$66)*CQ141), N($AQ$62:$AQ$66&gt;$AO141)),
SUMPRODUCT(INDEX($AR$47:$AT$56,,$AI141), INDEX($AU$47:$BA$56,,$AH141), 1 / ($BC$47:$BC$56*CU141 + (1-$BC$47:$BC$56)*CQ141), N($AQ$47:$AQ$56&gt;$AO141))
) / 1000</f>
        <v>0</v>
      </c>
      <c r="CW141" s="235" cm="1">
        <f t="array" ref="CW141">$BI141 * IF($AH141&lt;=2,
SUMPRODUCT(INDEX($AR$23:$AT$61,,$AI141), INDEX($AU$23:$BA$61,,$AH141), 1 / ($BB$23:$BB$61*CU141), N($AQ$23:$AQ$61&gt;$AO141)),
SUMPRODUCT(INDEX($AR$23:$AT$46,,$AI141), INDEX($AU$23:$BA$46,,$AH141), 1 / ($BC$23:$BC$46*CU141), N($AQ$23:$AQ$46&gt;$AO141))
) / 1000</f>
        <v>0</v>
      </c>
      <c r="CX141" s="230">
        <f t="shared" si="397"/>
        <v>0</v>
      </c>
      <c r="CY141" s="238"/>
    </row>
    <row r="142" spans="1:103" s="76" customFormat="1" ht="14.25" customHeight="1" x14ac:dyDescent="0.2">
      <c r="A142" s="231" t="b">
        <f t="shared" si="229"/>
        <v>0</v>
      </c>
      <c r="B142" s="245">
        <v>120</v>
      </c>
      <c r="C142" s="258"/>
      <c r="D142" s="258"/>
      <c r="E142" s="246"/>
      <c r="F142" s="247" t="str">
        <f>IF(ISBLANK(E142), "", VLOOKUP(E142, Z!$A$2:$C$4127, 3, FALSE))</f>
        <v/>
      </c>
      <c r="G142" s="248"/>
      <c r="H142" s="248"/>
      <c r="I142" s="249"/>
      <c r="J142" s="250"/>
      <c r="K142" s="259"/>
      <c r="L142" s="260"/>
      <c r="M142" s="252" t="str" cm="1">
        <f t="array" ref="M142">INDEX(Trad, 53, $A$20)</f>
        <v>Verschmutzt</v>
      </c>
      <c r="N142" s="253"/>
      <c r="O142" s="253"/>
      <c r="P142" s="254"/>
      <c r="Q142" s="251"/>
      <c r="R142" s="251"/>
      <c r="S142" s="264">
        <f t="shared" si="372"/>
        <v>0</v>
      </c>
      <c r="T142" s="252" t="str" cm="1">
        <f t="array" ref="T142">INDEX(Trad, 52, $A$20)</f>
        <v>Sauber</v>
      </c>
      <c r="U142" s="253"/>
      <c r="V142" s="253"/>
      <c r="W142" s="254"/>
      <c r="X142" s="251"/>
      <c r="Y142" s="251"/>
      <c r="Z142" s="264">
        <f t="shared" si="373"/>
        <v>0</v>
      </c>
      <c r="AA142" s="261"/>
      <c r="AB142" s="258"/>
      <c r="AC142" s="246"/>
      <c r="AD142" s="247" t="str">
        <f>IF(ISBLANK(AC142), "", VLOOKUP(AC142, Z!$A$2:$C$4127, 3, FALSE))</f>
        <v/>
      </c>
      <c r="AE142" s="262"/>
      <c r="AF142" s="263">
        <f t="shared" si="374"/>
        <v>0</v>
      </c>
      <c r="AG142" s="238"/>
      <c r="AH142" s="229">
        <f t="shared" si="398"/>
        <v>1</v>
      </c>
      <c r="AI142" s="229">
        <f t="shared" si="399"/>
        <v>1</v>
      </c>
      <c r="AJ142" s="229">
        <f t="shared" si="400"/>
        <v>0</v>
      </c>
      <c r="AK142" s="229">
        <v>0</v>
      </c>
      <c r="AL142" s="229">
        <v>0</v>
      </c>
      <c r="AM142" s="229">
        <v>1</v>
      </c>
      <c r="AN142" s="229">
        <v>0</v>
      </c>
      <c r="AO142" s="229">
        <f t="shared" si="375"/>
        <v>-100</v>
      </c>
      <c r="AP142" s="238"/>
      <c r="AQ142" s="255"/>
      <c r="AR142" s="255"/>
      <c r="AS142" s="256"/>
      <c r="AT142" s="256"/>
      <c r="AU142" s="256"/>
      <c r="AV142" s="256"/>
      <c r="AW142" s="256"/>
      <c r="AX142" s="256"/>
      <c r="AY142" s="256"/>
      <c r="AZ142" s="256"/>
      <c r="BA142" s="256"/>
      <c r="BB142" s="256"/>
      <c r="BC142" s="256"/>
      <c r="BD142" s="238"/>
      <c r="BE142" s="229" cm="1">
        <f t="array" ref="BE142">IF(ISBLANK(R142), INDEX(Use, $AH142, 4) - AM142*INDEX(Use, $AH142, 6), R142)</f>
        <v>5</v>
      </c>
      <c r="BF142" s="229">
        <f t="shared" si="376"/>
        <v>30</v>
      </c>
      <c r="BG142" s="229">
        <f t="shared" si="241"/>
        <v>13</v>
      </c>
      <c r="BH142" s="229">
        <f t="shared" si="242"/>
        <v>0</v>
      </c>
      <c r="BI142" s="234" cm="1">
        <f t="array" ref="BI142">K142/IF($L142&gt;0, INDEX($AU$23:$BA$77, $L142+20, $AH142), 1)</f>
        <v>0</v>
      </c>
      <c r="BJ142" s="230">
        <f t="shared" si="377"/>
        <v>0</v>
      </c>
      <c r="BK142" s="229">
        <v>35</v>
      </c>
      <c r="BL142" s="230">
        <f t="shared" si="378"/>
        <v>48</v>
      </c>
      <c r="BM142" s="235">
        <f t="shared" si="379"/>
        <v>2.9108720930232557</v>
      </c>
      <c r="BN142" s="235" cm="1">
        <f t="array" ref="BN142">$BI142 * SUMPRODUCT(INDEX($AR$77:$AT$82,,$AI142),INDEX($AU$77:$BA$82,,$AH142), N($AQ$77:$AQ$82&gt;$AO142)) / BM142 / 1000</f>
        <v>0</v>
      </c>
      <c r="BO142" s="232">
        <f t="shared" si="246"/>
        <v>30</v>
      </c>
      <c r="BP142" s="230">
        <f t="shared" si="380"/>
        <v>43</v>
      </c>
      <c r="BQ142" s="235">
        <f t="shared" si="381"/>
        <v>3.2938815789473681</v>
      </c>
      <c r="BR142" s="235" cm="1">
        <f t="array" ref="BR142">$BI142 * IF($AH142&lt;=2,
SUMPRODUCT(INDEX($AR$72:$AT$76,,$AI142), INDEX($AU$72:$BA$76,,$AH142), 1 / ($BB$72:$BB$76*BQ142 + (1-$BB$72:$BB$76)*BM142), N($AQ$72:$AQ$76&gt;$AO142)),
SUMPRODUCT(INDEX($AR$67:$AT$76,,$AI142), INDEX($AU$67:$BA$76,,$AH142), 1 / ($BC$67:$BC$76*BQ142 + (1-$BC$67:$BC$76)*BM142), N($AQ$67:$AQ$76&gt;$AO142))
) / 1000</f>
        <v>0</v>
      </c>
      <c r="BS142" s="232">
        <f t="shared" si="249"/>
        <v>25</v>
      </c>
      <c r="BT142" s="230">
        <f t="shared" si="382"/>
        <v>38</v>
      </c>
      <c r="BU142" s="235">
        <f t="shared" si="383"/>
        <v>3.792954545454545</v>
      </c>
      <c r="BV142" s="235" cm="1">
        <f t="array" ref="BV142">$BI142 * IF($AH142&lt;=2,
SUMPRODUCT(INDEX($AR$67:$AT$71,,$AI142), INDEX($AU$67:$BA$71,,$AH142), 1 / ($BB$67:$BB$71*BU142 + (1-$BB$67:$BB$71)*BQ142), N($AQ$67:$AQ$71&gt;$AO142)),
SUMPRODUCT(INDEX($AR$57:$AT$66,,$AI142), INDEX($AU$57:$BA$66,,$AH142), 1 / ($BC$57:$BC$66*BU142 + (1-$BC$57:$BC$66)*BQ142), N($AQ$57:$AQ$66&gt;$AO142))
) / 1000</f>
        <v>0</v>
      </c>
      <c r="BW142" s="232">
        <f t="shared" si="252"/>
        <v>20</v>
      </c>
      <c r="BX142" s="230">
        <f t="shared" si="384"/>
        <v>33</v>
      </c>
      <c r="BY142" s="235">
        <f t="shared" si="385"/>
        <v>4.4702678571428569</v>
      </c>
      <c r="BZ142" s="235" cm="1">
        <f t="array" ref="BZ142">$BI142 * IF($AH142&lt;=2,
SUMPRODUCT(INDEX($AR$62:$AT$66,,$AI142), INDEX($AU$62:$BA$66,,$AH142), 1 / ($BB$62:$BB$66*BY142 + (1-$BB$62:$BB$66)*BU142), N($AQ$62:$AQ$66&gt;$AO142)),
SUMPRODUCT(INDEX($AR$47:$AT$56,,$AI142), INDEX($AU$47:$BA$56,,$AH142), 1 / ($BC$47:$BC$56*BY142 + (1-$BC$47:$BC$56)*BU142), N($AQ$47:$AQ$56&gt;$AO142))
) / 1000</f>
        <v>0</v>
      </c>
      <c r="CA142" s="235" cm="1">
        <f t="array" ref="CA142">$BI142 * IF($AH142&lt;=2,
SUMPRODUCT(INDEX($AR$23:$AT$61,,$AI142), INDEX($AU$23:$BA$61,,$AH142), 1 / ($BB$23:$BB$61*BY142), N($AQ$23:$AQ$61&gt;$AO142)),
SUMPRODUCT(INDEX($AR$23:$AT$46,,$AI142), INDEX($AU$23:$BA$46,,$AH142), 1 / ($BC$23:$BC$46*BY142), N($AQ$23:$AQ$46&gt;$AO142))
) / 1000</f>
        <v>0</v>
      </c>
      <c r="CB142" s="230">
        <f t="shared" si="386"/>
        <v>0</v>
      </c>
      <c r="CC142" s="238"/>
      <c r="CD142" s="229" cm="1">
        <f t="array" ref="CD142">IF(ISBLANK(Y142), INDEX(Use, $AH142, 4) - AN142*INDEX(Use, $AH142, 6) - (Q142-X142), Y142)</f>
        <v>7</v>
      </c>
      <c r="CE142" s="229">
        <f t="shared" si="387"/>
        <v>32</v>
      </c>
      <c r="CF142" s="230">
        <f t="shared" si="388"/>
        <v>0</v>
      </c>
      <c r="CG142" s="229">
        <v>35</v>
      </c>
      <c r="CH142" s="230">
        <f t="shared" si="389"/>
        <v>48</v>
      </c>
      <c r="CI142" s="235">
        <f t="shared" si="390"/>
        <v>3.0748170731707316</v>
      </c>
      <c r="CJ142" s="235" cm="1">
        <f t="array" ref="CJ142">$BI142 * SUMPRODUCT(INDEX($AR$77:$AT$82,,$AI142),INDEX($AU$77:$BA$82,,$AH142), N($AQ$77:$AQ$82&gt;$AO142)) / CI142 / 1000</f>
        <v>0</v>
      </c>
      <c r="CK142" s="232">
        <f t="shared" si="260"/>
        <v>30</v>
      </c>
      <c r="CL142" s="230">
        <f t="shared" si="391"/>
        <v>43</v>
      </c>
      <c r="CM142" s="235">
        <f t="shared" si="392"/>
        <v>3.5018750000000001</v>
      </c>
      <c r="CN142" s="235" cm="1">
        <f t="array" ref="CN142">$BI142 * IF($AH142&lt;=2,
SUMPRODUCT(INDEX($AR$72:$AT$76,,$AI142), INDEX($AU$72:$BA$76,,$AH142), 1 / ($BB$72:$BB$76*CM142 + (1-$BB$72:$BB$76)*CI142), N($AQ$72:$AQ$76&gt;$AO142)),
SUMPRODUCT(INDEX($AR$67:$AT$76,,$AI142), INDEX($AU$67:$BA$76,,$AH142), 1 / ($BC$67:$BC$76*CM142 + (1-$BC$67:$BC$76)*CI142), N($AQ$67:$AQ$76&gt;$AO142))
) / 1000</f>
        <v>0</v>
      </c>
      <c r="CO142" s="232">
        <f t="shared" si="263"/>
        <v>25</v>
      </c>
      <c r="CP142" s="230">
        <f t="shared" si="393"/>
        <v>38</v>
      </c>
      <c r="CQ142" s="235">
        <f t="shared" si="394"/>
        <v>4.0666935483870965</v>
      </c>
      <c r="CR142" s="235" cm="1">
        <f t="array" ref="CR142">$BI142 * IF($AH142&lt;=2,
SUMPRODUCT(INDEX($AR$67:$AT$71,,$AI142), INDEX($AU$67:$BA$71,,$AH142), 1 / ($BB$67:$BB$71*CQ142 + (1-$BB$67:$BB$71)*CM142), N($AQ$67:$AQ$71&gt;$AO142)),
SUMPRODUCT(INDEX($AR$57:$AT$66,,$AI142), INDEX($AU$57:$BA$66,,$AH142), 1 / ($BC$57:$BC$66*CQ142 + (1-$BC$57:$BC$66)*CM142), N($AQ$57:$AQ$66&gt;$AO142))
) / 1000</f>
        <v>0</v>
      </c>
      <c r="CS142" s="232">
        <f t="shared" si="266"/>
        <v>20</v>
      </c>
      <c r="CT142" s="230">
        <f t="shared" si="395"/>
        <v>33</v>
      </c>
      <c r="CU142" s="235">
        <f t="shared" si="396"/>
        <v>4.8487499999999999</v>
      </c>
      <c r="CV142" s="235" cm="1">
        <f t="array" ref="CV142">$BI142 * IF($AH142&lt;=2,
SUMPRODUCT(INDEX($AR$62:$AT$66,,$AI142), INDEX($AU$62:$BA$66,,$AH142), 1 / ($BB$62:$BB$66*CU142 + (1-$BB$62:$BB$66)*CQ142), N($AQ$62:$AQ$66&gt;$AO142)),
SUMPRODUCT(INDEX($AR$47:$AT$56,,$AI142), INDEX($AU$47:$BA$56,,$AH142), 1 / ($BC$47:$BC$56*CU142 + (1-$BC$47:$BC$56)*CQ142), N($AQ$47:$AQ$56&gt;$AO142))
) / 1000</f>
        <v>0</v>
      </c>
      <c r="CW142" s="235" cm="1">
        <f t="array" ref="CW142">$BI142 * IF($AH142&lt;=2,
SUMPRODUCT(INDEX($AR$23:$AT$61,,$AI142), INDEX($AU$23:$BA$61,,$AH142), 1 / ($BB$23:$BB$61*CU142), N($AQ$23:$AQ$61&gt;$AO142)),
SUMPRODUCT(INDEX($AR$23:$AT$46,,$AI142), INDEX($AU$23:$BA$46,,$AH142), 1 / ($BC$23:$BC$46*CU142), N($AQ$23:$AQ$46&gt;$AO142))
) / 1000</f>
        <v>0</v>
      </c>
      <c r="CX142" s="230">
        <f t="shared" si="397"/>
        <v>0</v>
      </c>
      <c r="CY142" s="238"/>
    </row>
    <row r="143" spans="1:103" s="76" customFormat="1" ht="14.25" customHeight="1" x14ac:dyDescent="0.2">
      <c r="A143" s="231" t="b">
        <f t="shared" si="229"/>
        <v>0</v>
      </c>
      <c r="B143" s="245">
        <v>121</v>
      </c>
      <c r="C143" s="258"/>
      <c r="D143" s="258"/>
      <c r="E143" s="246"/>
      <c r="F143" s="247" t="str">
        <f>IF(ISBLANK(E143), "", VLOOKUP(E143, Z!$A$2:$C$4127, 3, FALSE))</f>
        <v/>
      </c>
      <c r="G143" s="248"/>
      <c r="H143" s="248"/>
      <c r="I143" s="249"/>
      <c r="J143" s="250"/>
      <c r="K143" s="259"/>
      <c r="L143" s="260"/>
      <c r="M143" s="252" t="str" cm="1">
        <f t="array" ref="M143">INDEX(Trad, 53, $A$20)</f>
        <v>Verschmutzt</v>
      </c>
      <c r="N143" s="253"/>
      <c r="O143" s="253"/>
      <c r="P143" s="254"/>
      <c r="Q143" s="251"/>
      <c r="R143" s="251"/>
      <c r="S143" s="264">
        <f t="shared" si="372"/>
        <v>0</v>
      </c>
      <c r="T143" s="252" t="str" cm="1">
        <f t="array" ref="T143">INDEX(Trad, 52, $A$20)</f>
        <v>Sauber</v>
      </c>
      <c r="U143" s="253"/>
      <c r="V143" s="253"/>
      <c r="W143" s="254"/>
      <c r="X143" s="251"/>
      <c r="Y143" s="251"/>
      <c r="Z143" s="264">
        <f t="shared" si="373"/>
        <v>0</v>
      </c>
      <c r="AA143" s="261"/>
      <c r="AB143" s="258"/>
      <c r="AC143" s="246"/>
      <c r="AD143" s="247" t="str">
        <f>IF(ISBLANK(AC143), "", VLOOKUP(AC143, Z!$A$2:$C$4127, 3, FALSE))</f>
        <v/>
      </c>
      <c r="AE143" s="262"/>
      <c r="AF143" s="263">
        <f t="shared" si="374"/>
        <v>0</v>
      </c>
      <c r="AG143" s="238"/>
      <c r="AH143" s="229">
        <f t="shared" si="398"/>
        <v>1</v>
      </c>
      <c r="AI143" s="229">
        <f t="shared" si="399"/>
        <v>1</v>
      </c>
      <c r="AJ143" s="229">
        <f t="shared" si="400"/>
        <v>0</v>
      </c>
      <c r="AK143" s="229">
        <v>0</v>
      </c>
      <c r="AL143" s="229">
        <v>0</v>
      </c>
      <c r="AM143" s="229">
        <v>1</v>
      </c>
      <c r="AN143" s="229">
        <v>0</v>
      </c>
      <c r="AO143" s="229">
        <f t="shared" si="375"/>
        <v>-100</v>
      </c>
      <c r="AP143" s="238"/>
      <c r="AQ143" s="255"/>
      <c r="AR143" s="255"/>
      <c r="AS143" s="256"/>
      <c r="AT143" s="256"/>
      <c r="AU143" s="256"/>
      <c r="AV143" s="256"/>
      <c r="AW143" s="256"/>
      <c r="AX143" s="256"/>
      <c r="AY143" s="256"/>
      <c r="AZ143" s="256"/>
      <c r="BA143" s="256"/>
      <c r="BB143" s="256"/>
      <c r="BC143" s="256"/>
      <c r="BD143" s="238"/>
      <c r="BE143" s="229" cm="1">
        <f t="array" ref="BE143">IF(ISBLANK(R143), INDEX(Use, $AH143, 4) - AM143*INDEX(Use, $AH143, 6), R143)</f>
        <v>5</v>
      </c>
      <c r="BF143" s="229">
        <f t="shared" si="376"/>
        <v>30</v>
      </c>
      <c r="BG143" s="229">
        <f t="shared" si="241"/>
        <v>13</v>
      </c>
      <c r="BH143" s="229">
        <f t="shared" si="242"/>
        <v>0</v>
      </c>
      <c r="BI143" s="234" cm="1">
        <f t="array" ref="BI143">K143/IF($L143&gt;0, INDEX($AU$23:$BA$77, $L143+20, $AH143), 1)</f>
        <v>0</v>
      </c>
      <c r="BJ143" s="230">
        <f t="shared" si="377"/>
        <v>0</v>
      </c>
      <c r="BK143" s="229">
        <v>35</v>
      </c>
      <c r="BL143" s="230">
        <f t="shared" si="378"/>
        <v>48</v>
      </c>
      <c r="BM143" s="235">
        <f t="shared" si="379"/>
        <v>2.9108720930232557</v>
      </c>
      <c r="BN143" s="235" cm="1">
        <f t="array" ref="BN143">$BI143 * SUMPRODUCT(INDEX($AR$77:$AT$82,,$AI143),INDEX($AU$77:$BA$82,,$AH143), N($AQ$77:$AQ$82&gt;$AO143)) / BM143 / 1000</f>
        <v>0</v>
      </c>
      <c r="BO143" s="232">
        <f t="shared" si="246"/>
        <v>30</v>
      </c>
      <c r="BP143" s="230">
        <f t="shared" si="380"/>
        <v>43</v>
      </c>
      <c r="BQ143" s="235">
        <f t="shared" si="381"/>
        <v>3.2938815789473681</v>
      </c>
      <c r="BR143" s="235" cm="1">
        <f t="array" ref="BR143">$BI143 * IF($AH143&lt;=2,
SUMPRODUCT(INDEX($AR$72:$AT$76,,$AI143), INDEX($AU$72:$BA$76,,$AH143), 1 / ($BB$72:$BB$76*BQ143 + (1-$BB$72:$BB$76)*BM143), N($AQ$72:$AQ$76&gt;$AO143)),
SUMPRODUCT(INDEX($AR$67:$AT$76,,$AI143), INDEX($AU$67:$BA$76,,$AH143), 1 / ($BC$67:$BC$76*BQ143 + (1-$BC$67:$BC$76)*BM143), N($AQ$67:$AQ$76&gt;$AO143))
) / 1000</f>
        <v>0</v>
      </c>
      <c r="BS143" s="232">
        <f t="shared" si="249"/>
        <v>25</v>
      </c>
      <c r="BT143" s="230">
        <f t="shared" si="382"/>
        <v>38</v>
      </c>
      <c r="BU143" s="235">
        <f t="shared" si="383"/>
        <v>3.792954545454545</v>
      </c>
      <c r="BV143" s="235" cm="1">
        <f t="array" ref="BV143">$BI143 * IF($AH143&lt;=2,
SUMPRODUCT(INDEX($AR$67:$AT$71,,$AI143), INDEX($AU$67:$BA$71,,$AH143), 1 / ($BB$67:$BB$71*BU143 + (1-$BB$67:$BB$71)*BQ143), N($AQ$67:$AQ$71&gt;$AO143)),
SUMPRODUCT(INDEX($AR$57:$AT$66,,$AI143), INDEX($AU$57:$BA$66,,$AH143), 1 / ($BC$57:$BC$66*BU143 + (1-$BC$57:$BC$66)*BQ143), N($AQ$57:$AQ$66&gt;$AO143))
) / 1000</f>
        <v>0</v>
      </c>
      <c r="BW143" s="232">
        <f t="shared" si="252"/>
        <v>20</v>
      </c>
      <c r="BX143" s="230">
        <f t="shared" si="384"/>
        <v>33</v>
      </c>
      <c r="BY143" s="235">
        <f t="shared" si="385"/>
        <v>4.4702678571428569</v>
      </c>
      <c r="BZ143" s="235" cm="1">
        <f t="array" ref="BZ143">$BI143 * IF($AH143&lt;=2,
SUMPRODUCT(INDEX($AR$62:$AT$66,,$AI143), INDEX($AU$62:$BA$66,,$AH143), 1 / ($BB$62:$BB$66*BY143 + (1-$BB$62:$BB$66)*BU143), N($AQ$62:$AQ$66&gt;$AO143)),
SUMPRODUCT(INDEX($AR$47:$AT$56,,$AI143), INDEX($AU$47:$BA$56,,$AH143), 1 / ($BC$47:$BC$56*BY143 + (1-$BC$47:$BC$56)*BU143), N($AQ$47:$AQ$56&gt;$AO143))
) / 1000</f>
        <v>0</v>
      </c>
      <c r="CA143" s="235" cm="1">
        <f t="array" ref="CA143">$BI143 * IF($AH143&lt;=2,
SUMPRODUCT(INDEX($AR$23:$AT$61,,$AI143), INDEX($AU$23:$BA$61,,$AH143), 1 / ($BB$23:$BB$61*BY143), N($AQ$23:$AQ$61&gt;$AO143)),
SUMPRODUCT(INDEX($AR$23:$AT$46,,$AI143), INDEX($AU$23:$BA$46,,$AH143), 1 / ($BC$23:$BC$46*BY143), N($AQ$23:$AQ$46&gt;$AO143))
) / 1000</f>
        <v>0</v>
      </c>
      <c r="CB143" s="230">
        <f t="shared" si="386"/>
        <v>0</v>
      </c>
      <c r="CC143" s="238"/>
      <c r="CD143" s="229" cm="1">
        <f t="array" ref="CD143">IF(ISBLANK(Y143), INDEX(Use, $AH143, 4) - AN143*INDEX(Use, $AH143, 6) - (Q143-X143), Y143)</f>
        <v>7</v>
      </c>
      <c r="CE143" s="229">
        <f t="shared" si="387"/>
        <v>32</v>
      </c>
      <c r="CF143" s="230">
        <f t="shared" si="388"/>
        <v>0</v>
      </c>
      <c r="CG143" s="229">
        <v>35</v>
      </c>
      <c r="CH143" s="230">
        <f t="shared" si="389"/>
        <v>48</v>
      </c>
      <c r="CI143" s="235">
        <f t="shared" si="390"/>
        <v>3.0748170731707316</v>
      </c>
      <c r="CJ143" s="235" cm="1">
        <f t="array" ref="CJ143">$BI143 * SUMPRODUCT(INDEX($AR$77:$AT$82,,$AI143),INDEX($AU$77:$BA$82,,$AH143), N($AQ$77:$AQ$82&gt;$AO143)) / CI143 / 1000</f>
        <v>0</v>
      </c>
      <c r="CK143" s="232">
        <f t="shared" si="260"/>
        <v>30</v>
      </c>
      <c r="CL143" s="230">
        <f t="shared" si="391"/>
        <v>43</v>
      </c>
      <c r="CM143" s="235">
        <f t="shared" si="392"/>
        <v>3.5018750000000001</v>
      </c>
      <c r="CN143" s="235" cm="1">
        <f t="array" ref="CN143">$BI143 * IF($AH143&lt;=2,
SUMPRODUCT(INDEX($AR$72:$AT$76,,$AI143), INDEX($AU$72:$BA$76,,$AH143), 1 / ($BB$72:$BB$76*CM143 + (1-$BB$72:$BB$76)*CI143), N($AQ$72:$AQ$76&gt;$AO143)),
SUMPRODUCT(INDEX($AR$67:$AT$76,,$AI143), INDEX($AU$67:$BA$76,,$AH143), 1 / ($BC$67:$BC$76*CM143 + (1-$BC$67:$BC$76)*CI143), N($AQ$67:$AQ$76&gt;$AO143))
) / 1000</f>
        <v>0</v>
      </c>
      <c r="CO143" s="232">
        <f t="shared" si="263"/>
        <v>25</v>
      </c>
      <c r="CP143" s="230">
        <f t="shared" si="393"/>
        <v>38</v>
      </c>
      <c r="CQ143" s="235">
        <f t="shared" si="394"/>
        <v>4.0666935483870965</v>
      </c>
      <c r="CR143" s="235" cm="1">
        <f t="array" ref="CR143">$BI143 * IF($AH143&lt;=2,
SUMPRODUCT(INDEX($AR$67:$AT$71,,$AI143), INDEX($AU$67:$BA$71,,$AH143), 1 / ($BB$67:$BB$71*CQ143 + (1-$BB$67:$BB$71)*CM143), N($AQ$67:$AQ$71&gt;$AO143)),
SUMPRODUCT(INDEX($AR$57:$AT$66,,$AI143), INDEX($AU$57:$BA$66,,$AH143), 1 / ($BC$57:$BC$66*CQ143 + (1-$BC$57:$BC$66)*CM143), N($AQ$57:$AQ$66&gt;$AO143))
) / 1000</f>
        <v>0</v>
      </c>
      <c r="CS143" s="232">
        <f t="shared" si="266"/>
        <v>20</v>
      </c>
      <c r="CT143" s="230">
        <f t="shared" si="395"/>
        <v>33</v>
      </c>
      <c r="CU143" s="235">
        <f t="shared" si="396"/>
        <v>4.8487499999999999</v>
      </c>
      <c r="CV143" s="235" cm="1">
        <f t="array" ref="CV143">$BI143 * IF($AH143&lt;=2,
SUMPRODUCT(INDEX($AR$62:$AT$66,,$AI143), INDEX($AU$62:$BA$66,,$AH143), 1 / ($BB$62:$BB$66*CU143 + (1-$BB$62:$BB$66)*CQ143), N($AQ$62:$AQ$66&gt;$AO143)),
SUMPRODUCT(INDEX($AR$47:$AT$56,,$AI143), INDEX($AU$47:$BA$56,,$AH143), 1 / ($BC$47:$BC$56*CU143 + (1-$BC$47:$BC$56)*CQ143), N($AQ$47:$AQ$56&gt;$AO143))
) / 1000</f>
        <v>0</v>
      </c>
      <c r="CW143" s="235" cm="1">
        <f t="array" ref="CW143">$BI143 * IF($AH143&lt;=2,
SUMPRODUCT(INDEX($AR$23:$AT$61,,$AI143), INDEX($AU$23:$BA$61,,$AH143), 1 / ($BB$23:$BB$61*CU143), N($AQ$23:$AQ$61&gt;$AO143)),
SUMPRODUCT(INDEX($AR$23:$AT$46,,$AI143), INDEX($AU$23:$BA$46,,$AH143), 1 / ($BC$23:$BC$46*CU143), N($AQ$23:$AQ$46&gt;$AO143))
) / 1000</f>
        <v>0</v>
      </c>
      <c r="CX143" s="230">
        <f t="shared" si="397"/>
        <v>0</v>
      </c>
      <c r="CY143" s="238"/>
    </row>
    <row r="144" spans="1:103" s="76" customFormat="1" ht="14.25" customHeight="1" x14ac:dyDescent="0.2">
      <c r="A144" s="231" t="b">
        <f t="shared" si="229"/>
        <v>0</v>
      </c>
      <c r="B144" s="245">
        <v>122</v>
      </c>
      <c r="C144" s="258"/>
      <c r="D144" s="258"/>
      <c r="E144" s="246"/>
      <c r="F144" s="247" t="str">
        <f>IF(ISBLANK(E144), "", VLOOKUP(E144, Z!$A$2:$C$4127, 3, FALSE))</f>
        <v/>
      </c>
      <c r="G144" s="248"/>
      <c r="H144" s="248"/>
      <c r="I144" s="249"/>
      <c r="J144" s="250"/>
      <c r="K144" s="259"/>
      <c r="L144" s="260"/>
      <c r="M144" s="252" t="str" cm="1">
        <f t="array" ref="M144">INDEX(Trad, 53, $A$20)</f>
        <v>Verschmutzt</v>
      </c>
      <c r="N144" s="253"/>
      <c r="O144" s="253"/>
      <c r="P144" s="254"/>
      <c r="Q144" s="251"/>
      <c r="R144" s="251"/>
      <c r="S144" s="264">
        <f t="shared" si="372"/>
        <v>0</v>
      </c>
      <c r="T144" s="252" t="str" cm="1">
        <f t="array" ref="T144">INDEX(Trad, 52, $A$20)</f>
        <v>Sauber</v>
      </c>
      <c r="U144" s="253"/>
      <c r="V144" s="253"/>
      <c r="W144" s="254"/>
      <c r="X144" s="251"/>
      <c r="Y144" s="251"/>
      <c r="Z144" s="264">
        <f t="shared" si="373"/>
        <v>0</v>
      </c>
      <c r="AA144" s="261"/>
      <c r="AB144" s="258"/>
      <c r="AC144" s="246"/>
      <c r="AD144" s="247" t="str">
        <f>IF(ISBLANK(AC144), "", VLOOKUP(AC144, Z!$A$2:$C$4127, 3, FALSE))</f>
        <v/>
      </c>
      <c r="AE144" s="262"/>
      <c r="AF144" s="263">
        <f t="shared" si="374"/>
        <v>0</v>
      </c>
      <c r="AG144" s="238"/>
      <c r="AH144" s="229">
        <f t="shared" si="398"/>
        <v>1</v>
      </c>
      <c r="AI144" s="229">
        <f t="shared" si="399"/>
        <v>1</v>
      </c>
      <c r="AJ144" s="229">
        <f t="shared" si="400"/>
        <v>0</v>
      </c>
      <c r="AK144" s="229">
        <v>0</v>
      </c>
      <c r="AL144" s="229">
        <v>0</v>
      </c>
      <c r="AM144" s="229">
        <v>1</v>
      </c>
      <c r="AN144" s="229">
        <v>0</v>
      </c>
      <c r="AO144" s="229">
        <f t="shared" si="375"/>
        <v>-100</v>
      </c>
      <c r="AP144" s="238"/>
      <c r="AQ144" s="255"/>
      <c r="AR144" s="255"/>
      <c r="AS144" s="256"/>
      <c r="AT144" s="256"/>
      <c r="AU144" s="256"/>
      <c r="AV144" s="256"/>
      <c r="AW144" s="256"/>
      <c r="AX144" s="256"/>
      <c r="AY144" s="256"/>
      <c r="AZ144" s="256"/>
      <c r="BA144" s="256"/>
      <c r="BB144" s="256"/>
      <c r="BC144" s="256"/>
      <c r="BD144" s="238"/>
      <c r="BE144" s="229" cm="1">
        <f t="array" ref="BE144">IF(ISBLANK(R144), INDEX(Use, $AH144, 4) - AM144*INDEX(Use, $AH144, 6), R144)</f>
        <v>5</v>
      </c>
      <c r="BF144" s="229">
        <f t="shared" si="376"/>
        <v>30</v>
      </c>
      <c r="BG144" s="229">
        <f t="shared" si="241"/>
        <v>13</v>
      </c>
      <c r="BH144" s="229">
        <f t="shared" si="242"/>
        <v>0</v>
      </c>
      <c r="BI144" s="234" cm="1">
        <f t="array" ref="BI144">K144/IF($L144&gt;0, INDEX($AU$23:$BA$77, $L144+20, $AH144), 1)</f>
        <v>0</v>
      </c>
      <c r="BJ144" s="230">
        <f t="shared" si="377"/>
        <v>0</v>
      </c>
      <c r="BK144" s="229">
        <v>35</v>
      </c>
      <c r="BL144" s="230">
        <f t="shared" si="378"/>
        <v>48</v>
      </c>
      <c r="BM144" s="235">
        <f t="shared" si="379"/>
        <v>2.9108720930232557</v>
      </c>
      <c r="BN144" s="235" cm="1">
        <f t="array" ref="BN144">$BI144 * SUMPRODUCT(INDEX($AR$77:$AT$82,,$AI144),INDEX($AU$77:$BA$82,,$AH144), N($AQ$77:$AQ$82&gt;$AO144)) / BM144 / 1000</f>
        <v>0</v>
      </c>
      <c r="BO144" s="232">
        <f t="shared" si="246"/>
        <v>30</v>
      </c>
      <c r="BP144" s="230">
        <f t="shared" si="380"/>
        <v>43</v>
      </c>
      <c r="BQ144" s="235">
        <f t="shared" si="381"/>
        <v>3.2938815789473681</v>
      </c>
      <c r="BR144" s="235" cm="1">
        <f t="array" ref="BR144">$BI144 * IF($AH144&lt;=2,
SUMPRODUCT(INDEX($AR$72:$AT$76,,$AI144), INDEX($AU$72:$BA$76,,$AH144), 1 / ($BB$72:$BB$76*BQ144 + (1-$BB$72:$BB$76)*BM144), N($AQ$72:$AQ$76&gt;$AO144)),
SUMPRODUCT(INDEX($AR$67:$AT$76,,$AI144), INDEX($AU$67:$BA$76,,$AH144), 1 / ($BC$67:$BC$76*BQ144 + (1-$BC$67:$BC$76)*BM144), N($AQ$67:$AQ$76&gt;$AO144))
) / 1000</f>
        <v>0</v>
      </c>
      <c r="BS144" s="232">
        <f t="shared" si="249"/>
        <v>25</v>
      </c>
      <c r="BT144" s="230">
        <f t="shared" si="382"/>
        <v>38</v>
      </c>
      <c r="BU144" s="235">
        <f t="shared" si="383"/>
        <v>3.792954545454545</v>
      </c>
      <c r="BV144" s="235" cm="1">
        <f t="array" ref="BV144">$BI144 * IF($AH144&lt;=2,
SUMPRODUCT(INDEX($AR$67:$AT$71,,$AI144), INDEX($AU$67:$BA$71,,$AH144), 1 / ($BB$67:$BB$71*BU144 + (1-$BB$67:$BB$71)*BQ144), N($AQ$67:$AQ$71&gt;$AO144)),
SUMPRODUCT(INDEX($AR$57:$AT$66,,$AI144), INDEX($AU$57:$BA$66,,$AH144), 1 / ($BC$57:$BC$66*BU144 + (1-$BC$57:$BC$66)*BQ144), N($AQ$57:$AQ$66&gt;$AO144))
) / 1000</f>
        <v>0</v>
      </c>
      <c r="BW144" s="232">
        <f t="shared" si="252"/>
        <v>20</v>
      </c>
      <c r="BX144" s="230">
        <f t="shared" si="384"/>
        <v>33</v>
      </c>
      <c r="BY144" s="235">
        <f t="shared" si="385"/>
        <v>4.4702678571428569</v>
      </c>
      <c r="BZ144" s="235" cm="1">
        <f t="array" ref="BZ144">$BI144 * IF($AH144&lt;=2,
SUMPRODUCT(INDEX($AR$62:$AT$66,,$AI144), INDEX($AU$62:$BA$66,,$AH144), 1 / ($BB$62:$BB$66*BY144 + (1-$BB$62:$BB$66)*BU144), N($AQ$62:$AQ$66&gt;$AO144)),
SUMPRODUCT(INDEX($AR$47:$AT$56,,$AI144), INDEX($AU$47:$BA$56,,$AH144), 1 / ($BC$47:$BC$56*BY144 + (1-$BC$47:$BC$56)*BU144), N($AQ$47:$AQ$56&gt;$AO144))
) / 1000</f>
        <v>0</v>
      </c>
      <c r="CA144" s="235" cm="1">
        <f t="array" ref="CA144">$BI144 * IF($AH144&lt;=2,
SUMPRODUCT(INDEX($AR$23:$AT$61,,$AI144), INDEX($AU$23:$BA$61,,$AH144), 1 / ($BB$23:$BB$61*BY144), N($AQ$23:$AQ$61&gt;$AO144)),
SUMPRODUCT(INDEX($AR$23:$AT$46,,$AI144), INDEX($AU$23:$BA$46,,$AH144), 1 / ($BC$23:$BC$46*BY144), N($AQ$23:$AQ$46&gt;$AO144))
) / 1000</f>
        <v>0</v>
      </c>
      <c r="CB144" s="230">
        <f t="shared" si="386"/>
        <v>0</v>
      </c>
      <c r="CC144" s="238"/>
      <c r="CD144" s="229" cm="1">
        <f t="array" ref="CD144">IF(ISBLANK(Y144), INDEX(Use, $AH144, 4) - AN144*INDEX(Use, $AH144, 6) - (Q144-X144), Y144)</f>
        <v>7</v>
      </c>
      <c r="CE144" s="229">
        <f t="shared" si="387"/>
        <v>32</v>
      </c>
      <c r="CF144" s="230">
        <f t="shared" si="388"/>
        <v>0</v>
      </c>
      <c r="CG144" s="229">
        <v>35</v>
      </c>
      <c r="CH144" s="230">
        <f t="shared" si="389"/>
        <v>48</v>
      </c>
      <c r="CI144" s="235">
        <f t="shared" si="390"/>
        <v>3.0748170731707316</v>
      </c>
      <c r="CJ144" s="235" cm="1">
        <f t="array" ref="CJ144">$BI144 * SUMPRODUCT(INDEX($AR$77:$AT$82,,$AI144),INDEX($AU$77:$BA$82,,$AH144), N($AQ$77:$AQ$82&gt;$AO144)) / CI144 / 1000</f>
        <v>0</v>
      </c>
      <c r="CK144" s="232">
        <f t="shared" si="260"/>
        <v>30</v>
      </c>
      <c r="CL144" s="230">
        <f t="shared" si="391"/>
        <v>43</v>
      </c>
      <c r="CM144" s="235">
        <f t="shared" si="392"/>
        <v>3.5018750000000001</v>
      </c>
      <c r="CN144" s="235" cm="1">
        <f t="array" ref="CN144">$BI144 * IF($AH144&lt;=2,
SUMPRODUCT(INDEX($AR$72:$AT$76,,$AI144), INDEX($AU$72:$BA$76,,$AH144), 1 / ($BB$72:$BB$76*CM144 + (1-$BB$72:$BB$76)*CI144), N($AQ$72:$AQ$76&gt;$AO144)),
SUMPRODUCT(INDEX($AR$67:$AT$76,,$AI144), INDEX($AU$67:$BA$76,,$AH144), 1 / ($BC$67:$BC$76*CM144 + (1-$BC$67:$BC$76)*CI144), N($AQ$67:$AQ$76&gt;$AO144))
) / 1000</f>
        <v>0</v>
      </c>
      <c r="CO144" s="232">
        <f t="shared" si="263"/>
        <v>25</v>
      </c>
      <c r="CP144" s="230">
        <f t="shared" si="393"/>
        <v>38</v>
      </c>
      <c r="CQ144" s="235">
        <f t="shared" si="394"/>
        <v>4.0666935483870965</v>
      </c>
      <c r="CR144" s="235" cm="1">
        <f t="array" ref="CR144">$BI144 * IF($AH144&lt;=2,
SUMPRODUCT(INDEX($AR$67:$AT$71,,$AI144), INDEX($AU$67:$BA$71,,$AH144), 1 / ($BB$67:$BB$71*CQ144 + (1-$BB$67:$BB$71)*CM144), N($AQ$67:$AQ$71&gt;$AO144)),
SUMPRODUCT(INDEX($AR$57:$AT$66,,$AI144), INDEX($AU$57:$BA$66,,$AH144), 1 / ($BC$57:$BC$66*CQ144 + (1-$BC$57:$BC$66)*CM144), N($AQ$57:$AQ$66&gt;$AO144))
) / 1000</f>
        <v>0</v>
      </c>
      <c r="CS144" s="232">
        <f t="shared" si="266"/>
        <v>20</v>
      </c>
      <c r="CT144" s="230">
        <f t="shared" si="395"/>
        <v>33</v>
      </c>
      <c r="CU144" s="235">
        <f t="shared" si="396"/>
        <v>4.8487499999999999</v>
      </c>
      <c r="CV144" s="235" cm="1">
        <f t="array" ref="CV144">$BI144 * IF($AH144&lt;=2,
SUMPRODUCT(INDEX($AR$62:$AT$66,,$AI144), INDEX($AU$62:$BA$66,,$AH144), 1 / ($BB$62:$BB$66*CU144 + (1-$BB$62:$BB$66)*CQ144), N($AQ$62:$AQ$66&gt;$AO144)),
SUMPRODUCT(INDEX($AR$47:$AT$56,,$AI144), INDEX($AU$47:$BA$56,,$AH144), 1 / ($BC$47:$BC$56*CU144 + (1-$BC$47:$BC$56)*CQ144), N($AQ$47:$AQ$56&gt;$AO144))
) / 1000</f>
        <v>0</v>
      </c>
      <c r="CW144" s="235" cm="1">
        <f t="array" ref="CW144">$BI144 * IF($AH144&lt;=2,
SUMPRODUCT(INDEX($AR$23:$AT$61,,$AI144), INDEX($AU$23:$BA$61,,$AH144), 1 / ($BB$23:$BB$61*CU144), N($AQ$23:$AQ$61&gt;$AO144)),
SUMPRODUCT(INDEX($AR$23:$AT$46,,$AI144), INDEX($AU$23:$BA$46,,$AH144), 1 / ($BC$23:$BC$46*CU144), N($AQ$23:$AQ$46&gt;$AO144))
) / 1000</f>
        <v>0</v>
      </c>
      <c r="CX144" s="230">
        <f t="shared" si="397"/>
        <v>0</v>
      </c>
      <c r="CY144" s="238"/>
    </row>
    <row r="145" spans="1:103" s="76" customFormat="1" ht="14.25" customHeight="1" x14ac:dyDescent="0.2">
      <c r="A145" s="231" t="b">
        <f t="shared" si="229"/>
        <v>0</v>
      </c>
      <c r="B145" s="245">
        <v>123</v>
      </c>
      <c r="C145" s="258"/>
      <c r="D145" s="258"/>
      <c r="E145" s="246"/>
      <c r="F145" s="247" t="str">
        <f>IF(ISBLANK(E145), "", VLOOKUP(E145, Z!$A$2:$C$4127, 3, FALSE))</f>
        <v/>
      </c>
      <c r="G145" s="248"/>
      <c r="H145" s="248"/>
      <c r="I145" s="249"/>
      <c r="J145" s="250"/>
      <c r="K145" s="259"/>
      <c r="L145" s="260"/>
      <c r="M145" s="252" t="str" cm="1">
        <f t="array" ref="M145">INDEX(Trad, 53, $A$20)</f>
        <v>Verschmutzt</v>
      </c>
      <c r="N145" s="253"/>
      <c r="O145" s="253"/>
      <c r="P145" s="254"/>
      <c r="Q145" s="251"/>
      <c r="R145" s="251"/>
      <c r="S145" s="264">
        <f t="shared" si="372"/>
        <v>0</v>
      </c>
      <c r="T145" s="252" t="str" cm="1">
        <f t="array" ref="T145">INDEX(Trad, 52, $A$20)</f>
        <v>Sauber</v>
      </c>
      <c r="U145" s="253"/>
      <c r="V145" s="253"/>
      <c r="W145" s="254"/>
      <c r="X145" s="251"/>
      <c r="Y145" s="251"/>
      <c r="Z145" s="264">
        <f t="shared" si="373"/>
        <v>0</v>
      </c>
      <c r="AA145" s="261"/>
      <c r="AB145" s="258"/>
      <c r="AC145" s="246"/>
      <c r="AD145" s="247" t="str">
        <f>IF(ISBLANK(AC145), "", VLOOKUP(AC145, Z!$A$2:$C$4127, 3, FALSE))</f>
        <v/>
      </c>
      <c r="AE145" s="262"/>
      <c r="AF145" s="263">
        <f t="shared" si="374"/>
        <v>0</v>
      </c>
      <c r="AG145" s="238"/>
      <c r="AH145" s="229">
        <f t="shared" si="398"/>
        <v>1</v>
      </c>
      <c r="AI145" s="229">
        <f t="shared" si="399"/>
        <v>1</v>
      </c>
      <c r="AJ145" s="229">
        <f t="shared" si="400"/>
        <v>0</v>
      </c>
      <c r="AK145" s="229">
        <v>0</v>
      </c>
      <c r="AL145" s="229">
        <v>0</v>
      </c>
      <c r="AM145" s="229">
        <v>1</v>
      </c>
      <c r="AN145" s="229">
        <v>0</v>
      </c>
      <c r="AO145" s="229">
        <f t="shared" si="375"/>
        <v>-100</v>
      </c>
      <c r="AP145" s="238"/>
      <c r="AQ145" s="255"/>
      <c r="AR145" s="255"/>
      <c r="AS145" s="256"/>
      <c r="AT145" s="256"/>
      <c r="AU145" s="256"/>
      <c r="AV145" s="256"/>
      <c r="AW145" s="256"/>
      <c r="AX145" s="256"/>
      <c r="AY145" s="256"/>
      <c r="AZ145" s="256"/>
      <c r="BA145" s="256"/>
      <c r="BB145" s="256"/>
      <c r="BC145" s="256"/>
      <c r="BD145" s="238"/>
      <c r="BE145" s="229" cm="1">
        <f t="array" ref="BE145">IF(ISBLANK(R145), INDEX(Use, $AH145, 4) - AM145*INDEX(Use, $AH145, 6), R145)</f>
        <v>5</v>
      </c>
      <c r="BF145" s="229">
        <f t="shared" si="376"/>
        <v>30</v>
      </c>
      <c r="BG145" s="229">
        <f t="shared" si="241"/>
        <v>13</v>
      </c>
      <c r="BH145" s="229">
        <f t="shared" si="242"/>
        <v>0</v>
      </c>
      <c r="BI145" s="234" cm="1">
        <f t="array" ref="BI145">K145/IF($L145&gt;0, INDEX($AU$23:$BA$77, $L145+20, $AH145), 1)</f>
        <v>0</v>
      </c>
      <c r="BJ145" s="230">
        <f t="shared" si="377"/>
        <v>0</v>
      </c>
      <c r="BK145" s="229">
        <v>35</v>
      </c>
      <c r="BL145" s="230">
        <f t="shared" si="378"/>
        <v>48</v>
      </c>
      <c r="BM145" s="235">
        <f t="shared" si="379"/>
        <v>2.9108720930232557</v>
      </c>
      <c r="BN145" s="235" cm="1">
        <f t="array" ref="BN145">$BI145 * SUMPRODUCT(INDEX($AR$77:$AT$82,,$AI145),INDEX($AU$77:$BA$82,,$AH145), N($AQ$77:$AQ$82&gt;$AO145)) / BM145 / 1000</f>
        <v>0</v>
      </c>
      <c r="BO145" s="232">
        <f t="shared" si="246"/>
        <v>30</v>
      </c>
      <c r="BP145" s="230">
        <f t="shared" si="380"/>
        <v>43</v>
      </c>
      <c r="BQ145" s="235">
        <f t="shared" si="381"/>
        <v>3.2938815789473681</v>
      </c>
      <c r="BR145" s="235" cm="1">
        <f t="array" ref="BR145">$BI145 * IF($AH145&lt;=2,
SUMPRODUCT(INDEX($AR$72:$AT$76,,$AI145), INDEX($AU$72:$BA$76,,$AH145), 1 / ($BB$72:$BB$76*BQ145 + (1-$BB$72:$BB$76)*BM145), N($AQ$72:$AQ$76&gt;$AO145)),
SUMPRODUCT(INDEX($AR$67:$AT$76,,$AI145), INDEX($AU$67:$BA$76,,$AH145), 1 / ($BC$67:$BC$76*BQ145 + (1-$BC$67:$BC$76)*BM145), N($AQ$67:$AQ$76&gt;$AO145))
) / 1000</f>
        <v>0</v>
      </c>
      <c r="BS145" s="232">
        <f t="shared" si="249"/>
        <v>25</v>
      </c>
      <c r="BT145" s="230">
        <f t="shared" si="382"/>
        <v>38</v>
      </c>
      <c r="BU145" s="235">
        <f t="shared" si="383"/>
        <v>3.792954545454545</v>
      </c>
      <c r="BV145" s="235" cm="1">
        <f t="array" ref="BV145">$BI145 * IF($AH145&lt;=2,
SUMPRODUCT(INDEX($AR$67:$AT$71,,$AI145), INDEX($AU$67:$BA$71,,$AH145), 1 / ($BB$67:$BB$71*BU145 + (1-$BB$67:$BB$71)*BQ145), N($AQ$67:$AQ$71&gt;$AO145)),
SUMPRODUCT(INDEX($AR$57:$AT$66,,$AI145), INDEX($AU$57:$BA$66,,$AH145), 1 / ($BC$57:$BC$66*BU145 + (1-$BC$57:$BC$66)*BQ145), N($AQ$57:$AQ$66&gt;$AO145))
) / 1000</f>
        <v>0</v>
      </c>
      <c r="BW145" s="232">
        <f t="shared" si="252"/>
        <v>20</v>
      </c>
      <c r="BX145" s="230">
        <f t="shared" si="384"/>
        <v>33</v>
      </c>
      <c r="BY145" s="235">
        <f t="shared" si="385"/>
        <v>4.4702678571428569</v>
      </c>
      <c r="BZ145" s="235" cm="1">
        <f t="array" ref="BZ145">$BI145 * IF($AH145&lt;=2,
SUMPRODUCT(INDEX($AR$62:$AT$66,,$AI145), INDEX($AU$62:$BA$66,,$AH145), 1 / ($BB$62:$BB$66*BY145 + (1-$BB$62:$BB$66)*BU145), N($AQ$62:$AQ$66&gt;$AO145)),
SUMPRODUCT(INDEX($AR$47:$AT$56,,$AI145), INDEX($AU$47:$BA$56,,$AH145), 1 / ($BC$47:$BC$56*BY145 + (1-$BC$47:$BC$56)*BU145), N($AQ$47:$AQ$56&gt;$AO145))
) / 1000</f>
        <v>0</v>
      </c>
      <c r="CA145" s="235" cm="1">
        <f t="array" ref="CA145">$BI145 * IF($AH145&lt;=2,
SUMPRODUCT(INDEX($AR$23:$AT$61,,$AI145), INDEX($AU$23:$BA$61,,$AH145), 1 / ($BB$23:$BB$61*BY145), N($AQ$23:$AQ$61&gt;$AO145)),
SUMPRODUCT(INDEX($AR$23:$AT$46,,$AI145), INDEX($AU$23:$BA$46,,$AH145), 1 / ($BC$23:$BC$46*BY145), N($AQ$23:$AQ$46&gt;$AO145))
) / 1000</f>
        <v>0</v>
      </c>
      <c r="CB145" s="230">
        <f t="shared" si="386"/>
        <v>0</v>
      </c>
      <c r="CC145" s="238"/>
      <c r="CD145" s="229" cm="1">
        <f t="array" ref="CD145">IF(ISBLANK(Y145), INDEX(Use, $AH145, 4) - AN145*INDEX(Use, $AH145, 6) - (Q145-X145), Y145)</f>
        <v>7</v>
      </c>
      <c r="CE145" s="229">
        <f t="shared" si="387"/>
        <v>32</v>
      </c>
      <c r="CF145" s="230">
        <f t="shared" si="388"/>
        <v>0</v>
      </c>
      <c r="CG145" s="229">
        <v>35</v>
      </c>
      <c r="CH145" s="230">
        <f t="shared" si="389"/>
        <v>48</v>
      </c>
      <c r="CI145" s="235">
        <f t="shared" si="390"/>
        <v>3.0748170731707316</v>
      </c>
      <c r="CJ145" s="235" cm="1">
        <f t="array" ref="CJ145">$BI145 * SUMPRODUCT(INDEX($AR$77:$AT$82,,$AI145),INDEX($AU$77:$BA$82,,$AH145), N($AQ$77:$AQ$82&gt;$AO145)) / CI145 / 1000</f>
        <v>0</v>
      </c>
      <c r="CK145" s="232">
        <f t="shared" si="260"/>
        <v>30</v>
      </c>
      <c r="CL145" s="230">
        <f t="shared" si="391"/>
        <v>43</v>
      </c>
      <c r="CM145" s="235">
        <f t="shared" si="392"/>
        <v>3.5018750000000001</v>
      </c>
      <c r="CN145" s="235" cm="1">
        <f t="array" ref="CN145">$BI145 * IF($AH145&lt;=2,
SUMPRODUCT(INDEX($AR$72:$AT$76,,$AI145), INDEX($AU$72:$BA$76,,$AH145), 1 / ($BB$72:$BB$76*CM145 + (1-$BB$72:$BB$76)*CI145), N($AQ$72:$AQ$76&gt;$AO145)),
SUMPRODUCT(INDEX($AR$67:$AT$76,,$AI145), INDEX($AU$67:$BA$76,,$AH145), 1 / ($BC$67:$BC$76*CM145 + (1-$BC$67:$BC$76)*CI145), N($AQ$67:$AQ$76&gt;$AO145))
) / 1000</f>
        <v>0</v>
      </c>
      <c r="CO145" s="232">
        <f t="shared" si="263"/>
        <v>25</v>
      </c>
      <c r="CP145" s="230">
        <f t="shared" si="393"/>
        <v>38</v>
      </c>
      <c r="CQ145" s="235">
        <f t="shared" si="394"/>
        <v>4.0666935483870965</v>
      </c>
      <c r="CR145" s="235" cm="1">
        <f t="array" ref="CR145">$BI145 * IF($AH145&lt;=2,
SUMPRODUCT(INDEX($AR$67:$AT$71,,$AI145), INDEX($AU$67:$BA$71,,$AH145), 1 / ($BB$67:$BB$71*CQ145 + (1-$BB$67:$BB$71)*CM145), N($AQ$67:$AQ$71&gt;$AO145)),
SUMPRODUCT(INDEX($AR$57:$AT$66,,$AI145), INDEX($AU$57:$BA$66,,$AH145), 1 / ($BC$57:$BC$66*CQ145 + (1-$BC$57:$BC$66)*CM145), N($AQ$57:$AQ$66&gt;$AO145))
) / 1000</f>
        <v>0</v>
      </c>
      <c r="CS145" s="232">
        <f t="shared" si="266"/>
        <v>20</v>
      </c>
      <c r="CT145" s="230">
        <f t="shared" si="395"/>
        <v>33</v>
      </c>
      <c r="CU145" s="235">
        <f t="shared" si="396"/>
        <v>4.8487499999999999</v>
      </c>
      <c r="CV145" s="235" cm="1">
        <f t="array" ref="CV145">$BI145 * IF($AH145&lt;=2,
SUMPRODUCT(INDEX($AR$62:$AT$66,,$AI145), INDEX($AU$62:$BA$66,,$AH145), 1 / ($BB$62:$BB$66*CU145 + (1-$BB$62:$BB$66)*CQ145), N($AQ$62:$AQ$66&gt;$AO145)),
SUMPRODUCT(INDEX($AR$47:$AT$56,,$AI145), INDEX($AU$47:$BA$56,,$AH145), 1 / ($BC$47:$BC$56*CU145 + (1-$BC$47:$BC$56)*CQ145), N($AQ$47:$AQ$56&gt;$AO145))
) / 1000</f>
        <v>0</v>
      </c>
      <c r="CW145" s="235" cm="1">
        <f t="array" ref="CW145">$BI145 * IF($AH145&lt;=2,
SUMPRODUCT(INDEX($AR$23:$AT$61,,$AI145), INDEX($AU$23:$BA$61,,$AH145), 1 / ($BB$23:$BB$61*CU145), N($AQ$23:$AQ$61&gt;$AO145)),
SUMPRODUCT(INDEX($AR$23:$AT$46,,$AI145), INDEX($AU$23:$BA$46,,$AH145), 1 / ($BC$23:$BC$46*CU145), N($AQ$23:$AQ$46&gt;$AO145))
) / 1000</f>
        <v>0</v>
      </c>
      <c r="CX145" s="230">
        <f t="shared" si="397"/>
        <v>0</v>
      </c>
      <c r="CY145" s="238"/>
    </row>
    <row r="146" spans="1:103" s="76" customFormat="1" ht="14.25" customHeight="1" x14ac:dyDescent="0.2">
      <c r="A146" s="231" t="b">
        <f t="shared" si="229"/>
        <v>0</v>
      </c>
      <c r="B146" s="245">
        <v>124</v>
      </c>
      <c r="C146" s="258"/>
      <c r="D146" s="258"/>
      <c r="E146" s="246"/>
      <c r="F146" s="247" t="str">
        <f>IF(ISBLANK(E146), "", VLOOKUP(E146, Z!$A$2:$C$4127, 3, FALSE))</f>
        <v/>
      </c>
      <c r="G146" s="248"/>
      <c r="H146" s="248"/>
      <c r="I146" s="249"/>
      <c r="J146" s="250"/>
      <c r="K146" s="259"/>
      <c r="L146" s="260"/>
      <c r="M146" s="252" t="str" cm="1">
        <f t="array" ref="M146">INDEX(Trad, 53, $A$20)</f>
        <v>Verschmutzt</v>
      </c>
      <c r="N146" s="253"/>
      <c r="O146" s="253"/>
      <c r="P146" s="254"/>
      <c r="Q146" s="251"/>
      <c r="R146" s="251"/>
      <c r="S146" s="264">
        <f t="shared" si="372"/>
        <v>0</v>
      </c>
      <c r="T146" s="252" t="str" cm="1">
        <f t="array" ref="T146">INDEX(Trad, 52, $A$20)</f>
        <v>Sauber</v>
      </c>
      <c r="U146" s="253"/>
      <c r="V146" s="253"/>
      <c r="W146" s="254"/>
      <c r="X146" s="251"/>
      <c r="Y146" s="251"/>
      <c r="Z146" s="264">
        <f t="shared" si="373"/>
        <v>0</v>
      </c>
      <c r="AA146" s="261"/>
      <c r="AB146" s="258"/>
      <c r="AC146" s="246"/>
      <c r="AD146" s="247" t="str">
        <f>IF(ISBLANK(AC146), "", VLOOKUP(AC146, Z!$A$2:$C$4127, 3, FALSE))</f>
        <v/>
      </c>
      <c r="AE146" s="262"/>
      <c r="AF146" s="263">
        <f t="shared" si="374"/>
        <v>0</v>
      </c>
      <c r="AG146" s="238"/>
      <c r="AH146" s="229">
        <f t="shared" si="398"/>
        <v>1</v>
      </c>
      <c r="AI146" s="229">
        <f t="shared" si="399"/>
        <v>1</v>
      </c>
      <c r="AJ146" s="229">
        <f t="shared" si="400"/>
        <v>0</v>
      </c>
      <c r="AK146" s="229">
        <v>0</v>
      </c>
      <c r="AL146" s="229">
        <v>0</v>
      </c>
      <c r="AM146" s="229">
        <v>1</v>
      </c>
      <c r="AN146" s="229">
        <v>0</v>
      </c>
      <c r="AO146" s="229">
        <f t="shared" si="375"/>
        <v>-100</v>
      </c>
      <c r="AP146" s="238"/>
      <c r="AQ146" s="255"/>
      <c r="AR146" s="255"/>
      <c r="AS146" s="256"/>
      <c r="AT146" s="256"/>
      <c r="AU146" s="256"/>
      <c r="AV146" s="256"/>
      <c r="AW146" s="256"/>
      <c r="AX146" s="256"/>
      <c r="AY146" s="256"/>
      <c r="AZ146" s="256"/>
      <c r="BA146" s="256"/>
      <c r="BB146" s="256"/>
      <c r="BC146" s="256"/>
      <c r="BD146" s="238"/>
      <c r="BE146" s="229" cm="1">
        <f t="array" ref="BE146">IF(ISBLANK(R146), INDEX(Use, $AH146, 4) - AM146*INDEX(Use, $AH146, 6), R146)</f>
        <v>5</v>
      </c>
      <c r="BF146" s="229">
        <f t="shared" si="376"/>
        <v>30</v>
      </c>
      <c r="BG146" s="229">
        <f t="shared" si="241"/>
        <v>13</v>
      </c>
      <c r="BH146" s="229">
        <f t="shared" si="242"/>
        <v>0</v>
      </c>
      <c r="BI146" s="234" cm="1">
        <f t="array" ref="BI146">K146/IF($L146&gt;0, INDEX($AU$23:$BA$77, $L146+20, $AH146), 1)</f>
        <v>0</v>
      </c>
      <c r="BJ146" s="230">
        <f t="shared" si="377"/>
        <v>0</v>
      </c>
      <c r="BK146" s="229">
        <v>35</v>
      </c>
      <c r="BL146" s="230">
        <f t="shared" si="378"/>
        <v>48</v>
      </c>
      <c r="BM146" s="235">
        <f t="shared" si="379"/>
        <v>2.9108720930232557</v>
      </c>
      <c r="BN146" s="235" cm="1">
        <f t="array" ref="BN146">$BI146 * SUMPRODUCT(INDEX($AR$77:$AT$82,,$AI146),INDEX($AU$77:$BA$82,,$AH146), N($AQ$77:$AQ$82&gt;$AO146)) / BM146 / 1000</f>
        <v>0</v>
      </c>
      <c r="BO146" s="232">
        <f t="shared" si="246"/>
        <v>30</v>
      </c>
      <c r="BP146" s="230">
        <f t="shared" si="380"/>
        <v>43</v>
      </c>
      <c r="BQ146" s="235">
        <f t="shared" si="381"/>
        <v>3.2938815789473681</v>
      </c>
      <c r="BR146" s="235" cm="1">
        <f t="array" ref="BR146">$BI146 * IF($AH146&lt;=2,
SUMPRODUCT(INDEX($AR$72:$AT$76,,$AI146), INDEX($AU$72:$BA$76,,$AH146), 1 / ($BB$72:$BB$76*BQ146 + (1-$BB$72:$BB$76)*BM146), N($AQ$72:$AQ$76&gt;$AO146)),
SUMPRODUCT(INDEX($AR$67:$AT$76,,$AI146), INDEX($AU$67:$BA$76,,$AH146), 1 / ($BC$67:$BC$76*BQ146 + (1-$BC$67:$BC$76)*BM146), N($AQ$67:$AQ$76&gt;$AO146))
) / 1000</f>
        <v>0</v>
      </c>
      <c r="BS146" s="232">
        <f t="shared" si="249"/>
        <v>25</v>
      </c>
      <c r="BT146" s="230">
        <f t="shared" si="382"/>
        <v>38</v>
      </c>
      <c r="BU146" s="235">
        <f t="shared" si="383"/>
        <v>3.792954545454545</v>
      </c>
      <c r="BV146" s="235" cm="1">
        <f t="array" ref="BV146">$BI146 * IF($AH146&lt;=2,
SUMPRODUCT(INDEX($AR$67:$AT$71,,$AI146), INDEX($AU$67:$BA$71,,$AH146), 1 / ($BB$67:$BB$71*BU146 + (1-$BB$67:$BB$71)*BQ146), N($AQ$67:$AQ$71&gt;$AO146)),
SUMPRODUCT(INDEX($AR$57:$AT$66,,$AI146), INDEX($AU$57:$BA$66,,$AH146), 1 / ($BC$57:$BC$66*BU146 + (1-$BC$57:$BC$66)*BQ146), N($AQ$57:$AQ$66&gt;$AO146))
) / 1000</f>
        <v>0</v>
      </c>
      <c r="BW146" s="232">
        <f t="shared" si="252"/>
        <v>20</v>
      </c>
      <c r="BX146" s="230">
        <f t="shared" si="384"/>
        <v>33</v>
      </c>
      <c r="BY146" s="235">
        <f t="shared" si="385"/>
        <v>4.4702678571428569</v>
      </c>
      <c r="BZ146" s="235" cm="1">
        <f t="array" ref="BZ146">$BI146 * IF($AH146&lt;=2,
SUMPRODUCT(INDEX($AR$62:$AT$66,,$AI146), INDEX($AU$62:$BA$66,,$AH146), 1 / ($BB$62:$BB$66*BY146 + (1-$BB$62:$BB$66)*BU146), N($AQ$62:$AQ$66&gt;$AO146)),
SUMPRODUCT(INDEX($AR$47:$AT$56,,$AI146), INDEX($AU$47:$BA$56,,$AH146), 1 / ($BC$47:$BC$56*BY146 + (1-$BC$47:$BC$56)*BU146), N($AQ$47:$AQ$56&gt;$AO146))
) / 1000</f>
        <v>0</v>
      </c>
      <c r="CA146" s="235" cm="1">
        <f t="array" ref="CA146">$BI146 * IF($AH146&lt;=2,
SUMPRODUCT(INDEX($AR$23:$AT$61,,$AI146), INDEX($AU$23:$BA$61,,$AH146), 1 / ($BB$23:$BB$61*BY146), N($AQ$23:$AQ$61&gt;$AO146)),
SUMPRODUCT(INDEX($AR$23:$AT$46,,$AI146), INDEX($AU$23:$BA$46,,$AH146), 1 / ($BC$23:$BC$46*BY146), N($AQ$23:$AQ$46&gt;$AO146))
) / 1000</f>
        <v>0</v>
      </c>
      <c r="CB146" s="230">
        <f t="shared" si="386"/>
        <v>0</v>
      </c>
      <c r="CC146" s="238"/>
      <c r="CD146" s="229" cm="1">
        <f t="array" ref="CD146">IF(ISBLANK(Y146), INDEX(Use, $AH146, 4) - AN146*INDEX(Use, $AH146, 6) - (Q146-X146), Y146)</f>
        <v>7</v>
      </c>
      <c r="CE146" s="229">
        <f t="shared" si="387"/>
        <v>32</v>
      </c>
      <c r="CF146" s="230">
        <f t="shared" si="388"/>
        <v>0</v>
      </c>
      <c r="CG146" s="229">
        <v>35</v>
      </c>
      <c r="CH146" s="230">
        <f t="shared" si="389"/>
        <v>48</v>
      </c>
      <c r="CI146" s="235">
        <f t="shared" si="390"/>
        <v>3.0748170731707316</v>
      </c>
      <c r="CJ146" s="235" cm="1">
        <f t="array" ref="CJ146">$BI146 * SUMPRODUCT(INDEX($AR$77:$AT$82,,$AI146),INDEX($AU$77:$BA$82,,$AH146), N($AQ$77:$AQ$82&gt;$AO146)) / CI146 / 1000</f>
        <v>0</v>
      </c>
      <c r="CK146" s="232">
        <f t="shared" si="260"/>
        <v>30</v>
      </c>
      <c r="CL146" s="230">
        <f t="shared" si="391"/>
        <v>43</v>
      </c>
      <c r="CM146" s="235">
        <f t="shared" si="392"/>
        <v>3.5018750000000001</v>
      </c>
      <c r="CN146" s="235" cm="1">
        <f t="array" ref="CN146">$BI146 * IF($AH146&lt;=2,
SUMPRODUCT(INDEX($AR$72:$AT$76,,$AI146), INDEX($AU$72:$BA$76,,$AH146), 1 / ($BB$72:$BB$76*CM146 + (1-$BB$72:$BB$76)*CI146), N($AQ$72:$AQ$76&gt;$AO146)),
SUMPRODUCT(INDEX($AR$67:$AT$76,,$AI146), INDEX($AU$67:$BA$76,,$AH146), 1 / ($BC$67:$BC$76*CM146 + (1-$BC$67:$BC$76)*CI146), N($AQ$67:$AQ$76&gt;$AO146))
) / 1000</f>
        <v>0</v>
      </c>
      <c r="CO146" s="232">
        <f t="shared" si="263"/>
        <v>25</v>
      </c>
      <c r="CP146" s="230">
        <f t="shared" si="393"/>
        <v>38</v>
      </c>
      <c r="CQ146" s="235">
        <f t="shared" si="394"/>
        <v>4.0666935483870965</v>
      </c>
      <c r="CR146" s="235" cm="1">
        <f t="array" ref="CR146">$BI146 * IF($AH146&lt;=2,
SUMPRODUCT(INDEX($AR$67:$AT$71,,$AI146), INDEX($AU$67:$BA$71,,$AH146), 1 / ($BB$67:$BB$71*CQ146 + (1-$BB$67:$BB$71)*CM146), N($AQ$67:$AQ$71&gt;$AO146)),
SUMPRODUCT(INDEX($AR$57:$AT$66,,$AI146), INDEX($AU$57:$BA$66,,$AH146), 1 / ($BC$57:$BC$66*CQ146 + (1-$BC$57:$BC$66)*CM146), N($AQ$57:$AQ$66&gt;$AO146))
) / 1000</f>
        <v>0</v>
      </c>
      <c r="CS146" s="232">
        <f t="shared" si="266"/>
        <v>20</v>
      </c>
      <c r="CT146" s="230">
        <f t="shared" si="395"/>
        <v>33</v>
      </c>
      <c r="CU146" s="235">
        <f t="shared" si="396"/>
        <v>4.8487499999999999</v>
      </c>
      <c r="CV146" s="235" cm="1">
        <f t="array" ref="CV146">$BI146 * IF($AH146&lt;=2,
SUMPRODUCT(INDEX($AR$62:$AT$66,,$AI146), INDEX($AU$62:$BA$66,,$AH146), 1 / ($BB$62:$BB$66*CU146 + (1-$BB$62:$BB$66)*CQ146), N($AQ$62:$AQ$66&gt;$AO146)),
SUMPRODUCT(INDEX($AR$47:$AT$56,,$AI146), INDEX($AU$47:$BA$56,,$AH146), 1 / ($BC$47:$BC$56*CU146 + (1-$BC$47:$BC$56)*CQ146), N($AQ$47:$AQ$56&gt;$AO146))
) / 1000</f>
        <v>0</v>
      </c>
      <c r="CW146" s="235" cm="1">
        <f t="array" ref="CW146">$BI146 * IF($AH146&lt;=2,
SUMPRODUCT(INDEX($AR$23:$AT$61,,$AI146), INDEX($AU$23:$BA$61,,$AH146), 1 / ($BB$23:$BB$61*CU146), N($AQ$23:$AQ$61&gt;$AO146)),
SUMPRODUCT(INDEX($AR$23:$AT$46,,$AI146), INDEX($AU$23:$BA$46,,$AH146), 1 / ($BC$23:$BC$46*CU146), N($AQ$23:$AQ$46&gt;$AO146))
) / 1000</f>
        <v>0</v>
      </c>
      <c r="CX146" s="230">
        <f t="shared" si="397"/>
        <v>0</v>
      </c>
      <c r="CY146" s="238"/>
    </row>
    <row r="147" spans="1:103" s="76" customFormat="1" ht="14.25" customHeight="1" x14ac:dyDescent="0.2">
      <c r="A147" s="231" t="b">
        <f t="shared" si="229"/>
        <v>0</v>
      </c>
      <c r="B147" s="245">
        <v>125</v>
      </c>
      <c r="C147" s="258"/>
      <c r="D147" s="258"/>
      <c r="E147" s="246"/>
      <c r="F147" s="247" t="str">
        <f>IF(ISBLANK(E147), "", VLOOKUP(E147, Z!$A$2:$C$4127, 3, FALSE))</f>
        <v/>
      </c>
      <c r="G147" s="248"/>
      <c r="H147" s="248"/>
      <c r="I147" s="249"/>
      <c r="J147" s="250"/>
      <c r="K147" s="259"/>
      <c r="L147" s="260"/>
      <c r="M147" s="252" t="str" cm="1">
        <f t="array" ref="M147">INDEX(Trad, 53, $A$20)</f>
        <v>Verschmutzt</v>
      </c>
      <c r="N147" s="253"/>
      <c r="O147" s="253"/>
      <c r="P147" s="254"/>
      <c r="Q147" s="251"/>
      <c r="R147" s="251"/>
      <c r="S147" s="264">
        <f t="shared" si="372"/>
        <v>0</v>
      </c>
      <c r="T147" s="252" t="str" cm="1">
        <f t="array" ref="T147">INDEX(Trad, 52, $A$20)</f>
        <v>Sauber</v>
      </c>
      <c r="U147" s="253"/>
      <c r="V147" s="253"/>
      <c r="W147" s="254"/>
      <c r="X147" s="251"/>
      <c r="Y147" s="251"/>
      <c r="Z147" s="264">
        <f t="shared" si="373"/>
        <v>0</v>
      </c>
      <c r="AA147" s="261"/>
      <c r="AB147" s="258"/>
      <c r="AC147" s="246"/>
      <c r="AD147" s="247" t="str">
        <f>IF(ISBLANK(AC147), "", VLOOKUP(AC147, Z!$A$2:$C$4127, 3, FALSE))</f>
        <v/>
      </c>
      <c r="AE147" s="262"/>
      <c r="AF147" s="263">
        <f t="shared" si="374"/>
        <v>0</v>
      </c>
      <c r="AG147" s="238"/>
      <c r="AH147" s="229">
        <f t="shared" si="398"/>
        <v>1</v>
      </c>
      <c r="AI147" s="229">
        <f t="shared" si="399"/>
        <v>1</v>
      </c>
      <c r="AJ147" s="229">
        <f t="shared" si="400"/>
        <v>0</v>
      </c>
      <c r="AK147" s="229">
        <v>0</v>
      </c>
      <c r="AL147" s="229">
        <v>0</v>
      </c>
      <c r="AM147" s="229">
        <v>1</v>
      </c>
      <c r="AN147" s="229">
        <v>0</v>
      </c>
      <c r="AO147" s="229">
        <f t="shared" si="375"/>
        <v>-100</v>
      </c>
      <c r="AP147" s="238"/>
      <c r="AQ147" s="255"/>
      <c r="AR147" s="255"/>
      <c r="AS147" s="256"/>
      <c r="AT147" s="256"/>
      <c r="AU147" s="256"/>
      <c r="AV147" s="256"/>
      <c r="AW147" s="256"/>
      <c r="AX147" s="256"/>
      <c r="AY147" s="256"/>
      <c r="AZ147" s="256"/>
      <c r="BA147" s="256"/>
      <c r="BB147" s="256"/>
      <c r="BC147" s="256"/>
      <c r="BD147" s="238"/>
      <c r="BE147" s="229" cm="1">
        <f t="array" ref="BE147">IF(ISBLANK(R147), INDEX(Use, $AH147, 4) - AM147*INDEX(Use, $AH147, 6), R147)</f>
        <v>5</v>
      </c>
      <c r="BF147" s="229">
        <f t="shared" si="376"/>
        <v>30</v>
      </c>
      <c r="BG147" s="229">
        <f t="shared" si="241"/>
        <v>13</v>
      </c>
      <c r="BH147" s="229">
        <f t="shared" si="242"/>
        <v>0</v>
      </c>
      <c r="BI147" s="234" cm="1">
        <f t="array" ref="BI147">K147/IF($L147&gt;0, INDEX($AU$23:$BA$77, $L147+20, $AH147), 1)</f>
        <v>0</v>
      </c>
      <c r="BJ147" s="230">
        <f t="shared" si="377"/>
        <v>0</v>
      </c>
      <c r="BK147" s="229">
        <v>35</v>
      </c>
      <c r="BL147" s="230">
        <f t="shared" si="378"/>
        <v>48</v>
      </c>
      <c r="BM147" s="235">
        <f t="shared" si="379"/>
        <v>2.9108720930232557</v>
      </c>
      <c r="BN147" s="235" cm="1">
        <f t="array" ref="BN147">$BI147 * SUMPRODUCT(INDEX($AR$77:$AT$82,,$AI147),INDEX($AU$77:$BA$82,,$AH147), N($AQ$77:$AQ$82&gt;$AO147)) / BM147 / 1000</f>
        <v>0</v>
      </c>
      <c r="BO147" s="232">
        <f t="shared" si="246"/>
        <v>30</v>
      </c>
      <c r="BP147" s="230">
        <f t="shared" si="380"/>
        <v>43</v>
      </c>
      <c r="BQ147" s="235">
        <f t="shared" si="381"/>
        <v>3.2938815789473681</v>
      </c>
      <c r="BR147" s="235" cm="1">
        <f t="array" ref="BR147">$BI147 * IF($AH147&lt;=2,
SUMPRODUCT(INDEX($AR$72:$AT$76,,$AI147), INDEX($AU$72:$BA$76,,$AH147), 1 / ($BB$72:$BB$76*BQ147 + (1-$BB$72:$BB$76)*BM147), N($AQ$72:$AQ$76&gt;$AO147)),
SUMPRODUCT(INDEX($AR$67:$AT$76,,$AI147), INDEX($AU$67:$BA$76,,$AH147), 1 / ($BC$67:$BC$76*BQ147 + (1-$BC$67:$BC$76)*BM147), N($AQ$67:$AQ$76&gt;$AO147))
) / 1000</f>
        <v>0</v>
      </c>
      <c r="BS147" s="232">
        <f t="shared" si="249"/>
        <v>25</v>
      </c>
      <c r="BT147" s="230">
        <f t="shared" si="382"/>
        <v>38</v>
      </c>
      <c r="BU147" s="235">
        <f t="shared" si="383"/>
        <v>3.792954545454545</v>
      </c>
      <c r="BV147" s="235" cm="1">
        <f t="array" ref="BV147">$BI147 * IF($AH147&lt;=2,
SUMPRODUCT(INDEX($AR$67:$AT$71,,$AI147), INDEX($AU$67:$BA$71,,$AH147), 1 / ($BB$67:$BB$71*BU147 + (1-$BB$67:$BB$71)*BQ147), N($AQ$67:$AQ$71&gt;$AO147)),
SUMPRODUCT(INDEX($AR$57:$AT$66,,$AI147), INDEX($AU$57:$BA$66,,$AH147), 1 / ($BC$57:$BC$66*BU147 + (1-$BC$57:$BC$66)*BQ147), N($AQ$57:$AQ$66&gt;$AO147))
) / 1000</f>
        <v>0</v>
      </c>
      <c r="BW147" s="232">
        <f t="shared" si="252"/>
        <v>20</v>
      </c>
      <c r="BX147" s="230">
        <f t="shared" si="384"/>
        <v>33</v>
      </c>
      <c r="BY147" s="235">
        <f t="shared" si="385"/>
        <v>4.4702678571428569</v>
      </c>
      <c r="BZ147" s="235" cm="1">
        <f t="array" ref="BZ147">$BI147 * IF($AH147&lt;=2,
SUMPRODUCT(INDEX($AR$62:$AT$66,,$AI147), INDEX($AU$62:$BA$66,,$AH147), 1 / ($BB$62:$BB$66*BY147 + (1-$BB$62:$BB$66)*BU147), N($AQ$62:$AQ$66&gt;$AO147)),
SUMPRODUCT(INDEX($AR$47:$AT$56,,$AI147), INDEX($AU$47:$BA$56,,$AH147), 1 / ($BC$47:$BC$56*BY147 + (1-$BC$47:$BC$56)*BU147), N($AQ$47:$AQ$56&gt;$AO147))
) / 1000</f>
        <v>0</v>
      </c>
      <c r="CA147" s="235" cm="1">
        <f t="array" ref="CA147">$BI147 * IF($AH147&lt;=2,
SUMPRODUCT(INDEX($AR$23:$AT$61,,$AI147), INDEX($AU$23:$BA$61,,$AH147), 1 / ($BB$23:$BB$61*BY147), N($AQ$23:$AQ$61&gt;$AO147)),
SUMPRODUCT(INDEX($AR$23:$AT$46,,$AI147), INDEX($AU$23:$BA$46,,$AH147), 1 / ($BC$23:$BC$46*BY147), N($AQ$23:$AQ$46&gt;$AO147))
) / 1000</f>
        <v>0</v>
      </c>
      <c r="CB147" s="230">
        <f t="shared" si="386"/>
        <v>0</v>
      </c>
      <c r="CC147" s="238"/>
      <c r="CD147" s="229" cm="1">
        <f t="array" ref="CD147">IF(ISBLANK(Y147), INDEX(Use, $AH147, 4) - AN147*INDEX(Use, $AH147, 6) - (Q147-X147), Y147)</f>
        <v>7</v>
      </c>
      <c r="CE147" s="229">
        <f t="shared" si="387"/>
        <v>32</v>
      </c>
      <c r="CF147" s="230">
        <f t="shared" si="388"/>
        <v>0</v>
      </c>
      <c r="CG147" s="229">
        <v>35</v>
      </c>
      <c r="CH147" s="230">
        <f t="shared" si="389"/>
        <v>48</v>
      </c>
      <c r="CI147" s="235">
        <f t="shared" si="390"/>
        <v>3.0748170731707316</v>
      </c>
      <c r="CJ147" s="235" cm="1">
        <f t="array" ref="CJ147">$BI147 * SUMPRODUCT(INDEX($AR$77:$AT$82,,$AI147),INDEX($AU$77:$BA$82,,$AH147), N($AQ$77:$AQ$82&gt;$AO147)) / CI147 / 1000</f>
        <v>0</v>
      </c>
      <c r="CK147" s="232">
        <f t="shared" si="260"/>
        <v>30</v>
      </c>
      <c r="CL147" s="230">
        <f t="shared" si="391"/>
        <v>43</v>
      </c>
      <c r="CM147" s="235">
        <f t="shared" si="392"/>
        <v>3.5018750000000001</v>
      </c>
      <c r="CN147" s="235" cm="1">
        <f t="array" ref="CN147">$BI147 * IF($AH147&lt;=2,
SUMPRODUCT(INDEX($AR$72:$AT$76,,$AI147), INDEX($AU$72:$BA$76,,$AH147), 1 / ($BB$72:$BB$76*CM147 + (1-$BB$72:$BB$76)*CI147), N($AQ$72:$AQ$76&gt;$AO147)),
SUMPRODUCT(INDEX($AR$67:$AT$76,,$AI147), INDEX($AU$67:$BA$76,,$AH147), 1 / ($BC$67:$BC$76*CM147 + (1-$BC$67:$BC$76)*CI147), N($AQ$67:$AQ$76&gt;$AO147))
) / 1000</f>
        <v>0</v>
      </c>
      <c r="CO147" s="232">
        <f t="shared" si="263"/>
        <v>25</v>
      </c>
      <c r="CP147" s="230">
        <f t="shared" si="393"/>
        <v>38</v>
      </c>
      <c r="CQ147" s="235">
        <f t="shared" si="394"/>
        <v>4.0666935483870965</v>
      </c>
      <c r="CR147" s="235" cm="1">
        <f t="array" ref="CR147">$BI147 * IF($AH147&lt;=2,
SUMPRODUCT(INDEX($AR$67:$AT$71,,$AI147), INDEX($AU$67:$BA$71,,$AH147), 1 / ($BB$67:$BB$71*CQ147 + (1-$BB$67:$BB$71)*CM147), N($AQ$67:$AQ$71&gt;$AO147)),
SUMPRODUCT(INDEX($AR$57:$AT$66,,$AI147), INDEX($AU$57:$BA$66,,$AH147), 1 / ($BC$57:$BC$66*CQ147 + (1-$BC$57:$BC$66)*CM147), N($AQ$57:$AQ$66&gt;$AO147))
) / 1000</f>
        <v>0</v>
      </c>
      <c r="CS147" s="232">
        <f t="shared" si="266"/>
        <v>20</v>
      </c>
      <c r="CT147" s="230">
        <f t="shared" si="395"/>
        <v>33</v>
      </c>
      <c r="CU147" s="235">
        <f t="shared" si="396"/>
        <v>4.8487499999999999</v>
      </c>
      <c r="CV147" s="235" cm="1">
        <f t="array" ref="CV147">$BI147 * IF($AH147&lt;=2,
SUMPRODUCT(INDEX($AR$62:$AT$66,,$AI147), INDEX($AU$62:$BA$66,,$AH147), 1 / ($BB$62:$BB$66*CU147 + (1-$BB$62:$BB$66)*CQ147), N($AQ$62:$AQ$66&gt;$AO147)),
SUMPRODUCT(INDEX($AR$47:$AT$56,,$AI147), INDEX($AU$47:$BA$56,,$AH147), 1 / ($BC$47:$BC$56*CU147 + (1-$BC$47:$BC$56)*CQ147), N($AQ$47:$AQ$56&gt;$AO147))
) / 1000</f>
        <v>0</v>
      </c>
      <c r="CW147" s="235" cm="1">
        <f t="array" ref="CW147">$BI147 * IF($AH147&lt;=2,
SUMPRODUCT(INDEX($AR$23:$AT$61,,$AI147), INDEX($AU$23:$BA$61,,$AH147), 1 / ($BB$23:$BB$61*CU147), N($AQ$23:$AQ$61&gt;$AO147)),
SUMPRODUCT(INDEX($AR$23:$AT$46,,$AI147), INDEX($AU$23:$BA$46,,$AH147), 1 / ($BC$23:$BC$46*CU147), N($AQ$23:$AQ$46&gt;$AO147))
) / 1000</f>
        <v>0</v>
      </c>
      <c r="CX147" s="230">
        <f t="shared" si="397"/>
        <v>0</v>
      </c>
      <c r="CY147" s="238"/>
    </row>
    <row r="148" spans="1:103" s="76" customFormat="1" ht="14.25" customHeight="1" x14ac:dyDescent="0.2">
      <c r="A148" s="231" t="b">
        <f t="shared" si="229"/>
        <v>0</v>
      </c>
      <c r="B148" s="245">
        <v>126</v>
      </c>
      <c r="C148" s="258"/>
      <c r="D148" s="258"/>
      <c r="E148" s="246"/>
      <c r="F148" s="247" t="str">
        <f>IF(ISBLANK(E148), "", VLOOKUP(E148, Z!$A$2:$C$4127, 3, FALSE))</f>
        <v/>
      </c>
      <c r="G148" s="248"/>
      <c r="H148" s="248"/>
      <c r="I148" s="249"/>
      <c r="J148" s="250"/>
      <c r="K148" s="259"/>
      <c r="L148" s="260"/>
      <c r="M148" s="252" t="str" cm="1">
        <f t="array" ref="M148">INDEX(Trad, 53, $A$20)</f>
        <v>Verschmutzt</v>
      </c>
      <c r="N148" s="253"/>
      <c r="O148" s="253"/>
      <c r="P148" s="254"/>
      <c r="Q148" s="251"/>
      <c r="R148" s="251"/>
      <c r="S148" s="264">
        <f t="shared" si="372"/>
        <v>0</v>
      </c>
      <c r="T148" s="252" t="str" cm="1">
        <f t="array" ref="T148">INDEX(Trad, 52, $A$20)</f>
        <v>Sauber</v>
      </c>
      <c r="U148" s="253"/>
      <c r="V148" s="253"/>
      <c r="W148" s="254"/>
      <c r="X148" s="251"/>
      <c r="Y148" s="251"/>
      <c r="Z148" s="264">
        <f t="shared" si="373"/>
        <v>0</v>
      </c>
      <c r="AA148" s="261"/>
      <c r="AB148" s="258"/>
      <c r="AC148" s="246"/>
      <c r="AD148" s="247" t="str">
        <f>IF(ISBLANK(AC148), "", VLOOKUP(AC148, Z!$A$2:$C$4127, 3, FALSE))</f>
        <v/>
      </c>
      <c r="AE148" s="262"/>
      <c r="AF148" s="263">
        <f t="shared" si="374"/>
        <v>0</v>
      </c>
      <c r="AG148" s="238"/>
      <c r="AH148" s="229">
        <f t="shared" si="398"/>
        <v>1</v>
      </c>
      <c r="AI148" s="229">
        <f t="shared" si="399"/>
        <v>1</v>
      </c>
      <c r="AJ148" s="229">
        <f t="shared" si="400"/>
        <v>0</v>
      </c>
      <c r="AK148" s="229">
        <v>0</v>
      </c>
      <c r="AL148" s="229">
        <v>0</v>
      </c>
      <c r="AM148" s="229">
        <v>1</v>
      </c>
      <c r="AN148" s="229">
        <v>0</v>
      </c>
      <c r="AO148" s="229">
        <f t="shared" si="375"/>
        <v>-100</v>
      </c>
      <c r="AP148" s="238"/>
      <c r="AQ148" s="255"/>
      <c r="AR148" s="255"/>
      <c r="AS148" s="256"/>
      <c r="AT148" s="256"/>
      <c r="AU148" s="256"/>
      <c r="AV148" s="256"/>
      <c r="AW148" s="256"/>
      <c r="AX148" s="256"/>
      <c r="AY148" s="256"/>
      <c r="AZ148" s="256"/>
      <c r="BA148" s="256"/>
      <c r="BB148" s="256"/>
      <c r="BC148" s="256"/>
      <c r="BD148" s="238"/>
      <c r="BE148" s="229" cm="1">
        <f t="array" ref="BE148">IF(ISBLANK(R148), INDEX(Use, $AH148, 4) - AM148*INDEX(Use, $AH148, 6), R148)</f>
        <v>5</v>
      </c>
      <c r="BF148" s="229">
        <f t="shared" si="376"/>
        <v>30</v>
      </c>
      <c r="BG148" s="229">
        <f t="shared" si="241"/>
        <v>13</v>
      </c>
      <c r="BH148" s="229">
        <f t="shared" si="242"/>
        <v>0</v>
      </c>
      <c r="BI148" s="234" cm="1">
        <f t="array" ref="BI148">K148/IF($L148&gt;0, INDEX($AU$23:$BA$77, $L148+20, $AH148), 1)</f>
        <v>0</v>
      </c>
      <c r="BJ148" s="230">
        <f t="shared" si="377"/>
        <v>0</v>
      </c>
      <c r="BK148" s="229">
        <v>35</v>
      </c>
      <c r="BL148" s="230">
        <f t="shared" si="378"/>
        <v>48</v>
      </c>
      <c r="BM148" s="235">
        <f t="shared" si="379"/>
        <v>2.9108720930232557</v>
      </c>
      <c r="BN148" s="235" cm="1">
        <f t="array" ref="BN148">$BI148 * SUMPRODUCT(INDEX($AR$77:$AT$82,,$AI148),INDEX($AU$77:$BA$82,,$AH148), N($AQ$77:$AQ$82&gt;$AO148)) / BM148 / 1000</f>
        <v>0</v>
      </c>
      <c r="BO148" s="232">
        <f t="shared" si="246"/>
        <v>30</v>
      </c>
      <c r="BP148" s="230">
        <f t="shared" si="380"/>
        <v>43</v>
      </c>
      <c r="BQ148" s="235">
        <f t="shared" si="381"/>
        <v>3.2938815789473681</v>
      </c>
      <c r="BR148" s="235" cm="1">
        <f t="array" ref="BR148">$BI148 * IF($AH148&lt;=2,
SUMPRODUCT(INDEX($AR$72:$AT$76,,$AI148), INDEX($AU$72:$BA$76,,$AH148), 1 / ($BB$72:$BB$76*BQ148 + (1-$BB$72:$BB$76)*BM148), N($AQ$72:$AQ$76&gt;$AO148)),
SUMPRODUCT(INDEX($AR$67:$AT$76,,$AI148), INDEX($AU$67:$BA$76,,$AH148), 1 / ($BC$67:$BC$76*BQ148 + (1-$BC$67:$BC$76)*BM148), N($AQ$67:$AQ$76&gt;$AO148))
) / 1000</f>
        <v>0</v>
      </c>
      <c r="BS148" s="232">
        <f t="shared" si="249"/>
        <v>25</v>
      </c>
      <c r="BT148" s="230">
        <f t="shared" si="382"/>
        <v>38</v>
      </c>
      <c r="BU148" s="235">
        <f t="shared" si="383"/>
        <v>3.792954545454545</v>
      </c>
      <c r="BV148" s="235" cm="1">
        <f t="array" ref="BV148">$BI148 * IF($AH148&lt;=2,
SUMPRODUCT(INDEX($AR$67:$AT$71,,$AI148), INDEX($AU$67:$BA$71,,$AH148), 1 / ($BB$67:$BB$71*BU148 + (1-$BB$67:$BB$71)*BQ148), N($AQ$67:$AQ$71&gt;$AO148)),
SUMPRODUCT(INDEX($AR$57:$AT$66,,$AI148), INDEX($AU$57:$BA$66,,$AH148), 1 / ($BC$57:$BC$66*BU148 + (1-$BC$57:$BC$66)*BQ148), N($AQ$57:$AQ$66&gt;$AO148))
) / 1000</f>
        <v>0</v>
      </c>
      <c r="BW148" s="232">
        <f t="shared" si="252"/>
        <v>20</v>
      </c>
      <c r="BX148" s="230">
        <f t="shared" si="384"/>
        <v>33</v>
      </c>
      <c r="BY148" s="235">
        <f t="shared" si="385"/>
        <v>4.4702678571428569</v>
      </c>
      <c r="BZ148" s="235" cm="1">
        <f t="array" ref="BZ148">$BI148 * IF($AH148&lt;=2,
SUMPRODUCT(INDEX($AR$62:$AT$66,,$AI148), INDEX($AU$62:$BA$66,,$AH148), 1 / ($BB$62:$BB$66*BY148 + (1-$BB$62:$BB$66)*BU148), N($AQ$62:$AQ$66&gt;$AO148)),
SUMPRODUCT(INDEX($AR$47:$AT$56,,$AI148), INDEX($AU$47:$BA$56,,$AH148), 1 / ($BC$47:$BC$56*BY148 + (1-$BC$47:$BC$56)*BU148), N($AQ$47:$AQ$56&gt;$AO148))
) / 1000</f>
        <v>0</v>
      </c>
      <c r="CA148" s="235" cm="1">
        <f t="array" ref="CA148">$BI148 * IF($AH148&lt;=2,
SUMPRODUCT(INDEX($AR$23:$AT$61,,$AI148), INDEX($AU$23:$BA$61,,$AH148), 1 / ($BB$23:$BB$61*BY148), N($AQ$23:$AQ$61&gt;$AO148)),
SUMPRODUCT(INDEX($AR$23:$AT$46,,$AI148), INDEX($AU$23:$BA$46,,$AH148), 1 / ($BC$23:$BC$46*BY148), N($AQ$23:$AQ$46&gt;$AO148))
) / 1000</f>
        <v>0</v>
      </c>
      <c r="CB148" s="230">
        <f t="shared" si="386"/>
        <v>0</v>
      </c>
      <c r="CC148" s="238"/>
      <c r="CD148" s="229" cm="1">
        <f t="array" ref="CD148">IF(ISBLANK(Y148), INDEX(Use, $AH148, 4) - AN148*INDEX(Use, $AH148, 6) - (Q148-X148), Y148)</f>
        <v>7</v>
      </c>
      <c r="CE148" s="229">
        <f t="shared" si="387"/>
        <v>32</v>
      </c>
      <c r="CF148" s="230">
        <f t="shared" si="388"/>
        <v>0</v>
      </c>
      <c r="CG148" s="229">
        <v>35</v>
      </c>
      <c r="CH148" s="230">
        <f t="shared" si="389"/>
        <v>48</v>
      </c>
      <c r="CI148" s="235">
        <f t="shared" si="390"/>
        <v>3.0748170731707316</v>
      </c>
      <c r="CJ148" s="235" cm="1">
        <f t="array" ref="CJ148">$BI148 * SUMPRODUCT(INDEX($AR$77:$AT$82,,$AI148),INDEX($AU$77:$BA$82,,$AH148), N($AQ$77:$AQ$82&gt;$AO148)) / CI148 / 1000</f>
        <v>0</v>
      </c>
      <c r="CK148" s="232">
        <f t="shared" si="260"/>
        <v>30</v>
      </c>
      <c r="CL148" s="230">
        <f t="shared" si="391"/>
        <v>43</v>
      </c>
      <c r="CM148" s="235">
        <f t="shared" si="392"/>
        <v>3.5018750000000001</v>
      </c>
      <c r="CN148" s="235" cm="1">
        <f t="array" ref="CN148">$BI148 * IF($AH148&lt;=2,
SUMPRODUCT(INDEX($AR$72:$AT$76,,$AI148), INDEX($AU$72:$BA$76,,$AH148), 1 / ($BB$72:$BB$76*CM148 + (1-$BB$72:$BB$76)*CI148), N($AQ$72:$AQ$76&gt;$AO148)),
SUMPRODUCT(INDEX($AR$67:$AT$76,,$AI148), INDEX($AU$67:$BA$76,,$AH148), 1 / ($BC$67:$BC$76*CM148 + (1-$BC$67:$BC$76)*CI148), N($AQ$67:$AQ$76&gt;$AO148))
) / 1000</f>
        <v>0</v>
      </c>
      <c r="CO148" s="232">
        <f t="shared" si="263"/>
        <v>25</v>
      </c>
      <c r="CP148" s="230">
        <f t="shared" si="393"/>
        <v>38</v>
      </c>
      <c r="CQ148" s="235">
        <f t="shared" si="394"/>
        <v>4.0666935483870965</v>
      </c>
      <c r="CR148" s="235" cm="1">
        <f t="array" ref="CR148">$BI148 * IF($AH148&lt;=2,
SUMPRODUCT(INDEX($AR$67:$AT$71,,$AI148), INDEX($AU$67:$BA$71,,$AH148), 1 / ($BB$67:$BB$71*CQ148 + (1-$BB$67:$BB$71)*CM148), N($AQ$67:$AQ$71&gt;$AO148)),
SUMPRODUCT(INDEX($AR$57:$AT$66,,$AI148), INDEX($AU$57:$BA$66,,$AH148), 1 / ($BC$57:$BC$66*CQ148 + (1-$BC$57:$BC$66)*CM148), N($AQ$57:$AQ$66&gt;$AO148))
) / 1000</f>
        <v>0</v>
      </c>
      <c r="CS148" s="232">
        <f t="shared" si="266"/>
        <v>20</v>
      </c>
      <c r="CT148" s="230">
        <f t="shared" si="395"/>
        <v>33</v>
      </c>
      <c r="CU148" s="235">
        <f t="shared" si="396"/>
        <v>4.8487499999999999</v>
      </c>
      <c r="CV148" s="235" cm="1">
        <f t="array" ref="CV148">$BI148 * IF($AH148&lt;=2,
SUMPRODUCT(INDEX($AR$62:$AT$66,,$AI148), INDEX($AU$62:$BA$66,,$AH148), 1 / ($BB$62:$BB$66*CU148 + (1-$BB$62:$BB$66)*CQ148), N($AQ$62:$AQ$66&gt;$AO148)),
SUMPRODUCT(INDEX($AR$47:$AT$56,,$AI148), INDEX($AU$47:$BA$56,,$AH148), 1 / ($BC$47:$BC$56*CU148 + (1-$BC$47:$BC$56)*CQ148), N($AQ$47:$AQ$56&gt;$AO148))
) / 1000</f>
        <v>0</v>
      </c>
      <c r="CW148" s="235" cm="1">
        <f t="array" ref="CW148">$BI148 * IF($AH148&lt;=2,
SUMPRODUCT(INDEX($AR$23:$AT$61,,$AI148), INDEX($AU$23:$BA$61,,$AH148), 1 / ($BB$23:$BB$61*CU148), N($AQ$23:$AQ$61&gt;$AO148)),
SUMPRODUCT(INDEX($AR$23:$AT$46,,$AI148), INDEX($AU$23:$BA$46,,$AH148), 1 / ($BC$23:$BC$46*CU148), N($AQ$23:$AQ$46&gt;$AO148))
) / 1000</f>
        <v>0</v>
      </c>
      <c r="CX148" s="230">
        <f t="shared" si="397"/>
        <v>0</v>
      </c>
      <c r="CY148" s="238"/>
    </row>
    <row r="149" spans="1:103" s="76" customFormat="1" ht="14.25" customHeight="1" x14ac:dyDescent="0.2">
      <c r="A149" s="231" t="b">
        <f t="shared" si="229"/>
        <v>0</v>
      </c>
      <c r="B149" s="245">
        <v>127</v>
      </c>
      <c r="C149" s="258"/>
      <c r="D149" s="258"/>
      <c r="E149" s="246"/>
      <c r="F149" s="247" t="str">
        <f>IF(ISBLANK(E149), "", VLOOKUP(E149, Z!$A$2:$C$4127, 3, FALSE))</f>
        <v/>
      </c>
      <c r="G149" s="248"/>
      <c r="H149" s="248"/>
      <c r="I149" s="249"/>
      <c r="J149" s="250"/>
      <c r="K149" s="259"/>
      <c r="L149" s="260"/>
      <c r="M149" s="252" t="str" cm="1">
        <f t="array" ref="M149">INDEX(Trad, 53, $A$20)</f>
        <v>Verschmutzt</v>
      </c>
      <c r="N149" s="253"/>
      <c r="O149" s="253"/>
      <c r="P149" s="254"/>
      <c r="Q149" s="251"/>
      <c r="R149" s="251"/>
      <c r="S149" s="264">
        <f t="shared" si="372"/>
        <v>0</v>
      </c>
      <c r="T149" s="252" t="str" cm="1">
        <f t="array" ref="T149">INDEX(Trad, 52, $A$20)</f>
        <v>Sauber</v>
      </c>
      <c r="U149" s="253"/>
      <c r="V149" s="253"/>
      <c r="W149" s="254"/>
      <c r="X149" s="251"/>
      <c r="Y149" s="251"/>
      <c r="Z149" s="264">
        <f t="shared" si="373"/>
        <v>0</v>
      </c>
      <c r="AA149" s="261"/>
      <c r="AB149" s="258"/>
      <c r="AC149" s="246"/>
      <c r="AD149" s="247" t="str">
        <f>IF(ISBLANK(AC149), "", VLOOKUP(AC149, Z!$A$2:$C$4127, 3, FALSE))</f>
        <v/>
      </c>
      <c r="AE149" s="262"/>
      <c r="AF149" s="263">
        <f t="shared" si="374"/>
        <v>0</v>
      </c>
      <c r="AG149" s="238"/>
      <c r="AH149" s="229">
        <f t="shared" si="398"/>
        <v>1</v>
      </c>
      <c r="AI149" s="229">
        <f t="shared" si="399"/>
        <v>1</v>
      </c>
      <c r="AJ149" s="229">
        <f t="shared" si="400"/>
        <v>0</v>
      </c>
      <c r="AK149" s="229">
        <v>0</v>
      </c>
      <c r="AL149" s="229">
        <v>0</v>
      </c>
      <c r="AM149" s="229">
        <v>1</v>
      </c>
      <c r="AN149" s="229">
        <v>0</v>
      </c>
      <c r="AO149" s="229">
        <f t="shared" si="375"/>
        <v>-100</v>
      </c>
      <c r="AP149" s="238"/>
      <c r="AQ149" s="255"/>
      <c r="AR149" s="255"/>
      <c r="AS149" s="256"/>
      <c r="AT149" s="256"/>
      <c r="AU149" s="256"/>
      <c r="AV149" s="256"/>
      <c r="AW149" s="256"/>
      <c r="AX149" s="256"/>
      <c r="AY149" s="256"/>
      <c r="AZ149" s="256"/>
      <c r="BA149" s="256"/>
      <c r="BB149" s="256"/>
      <c r="BC149" s="256"/>
      <c r="BD149" s="238"/>
      <c r="BE149" s="229" cm="1">
        <f t="array" ref="BE149">IF(ISBLANK(R149), INDEX(Use, $AH149, 4) - AM149*INDEX(Use, $AH149, 6), R149)</f>
        <v>5</v>
      </c>
      <c r="BF149" s="229">
        <f t="shared" si="376"/>
        <v>30</v>
      </c>
      <c r="BG149" s="229">
        <f t="shared" si="241"/>
        <v>13</v>
      </c>
      <c r="BH149" s="229">
        <f t="shared" si="242"/>
        <v>0</v>
      </c>
      <c r="BI149" s="234" cm="1">
        <f t="array" ref="BI149">K149/IF($L149&gt;0, INDEX($AU$23:$BA$77, $L149+20, $AH149), 1)</f>
        <v>0</v>
      </c>
      <c r="BJ149" s="230">
        <f t="shared" si="377"/>
        <v>0</v>
      </c>
      <c r="BK149" s="229">
        <v>35</v>
      </c>
      <c r="BL149" s="230">
        <f t="shared" si="378"/>
        <v>48</v>
      </c>
      <c r="BM149" s="235">
        <f t="shared" si="379"/>
        <v>2.9108720930232557</v>
      </c>
      <c r="BN149" s="235" cm="1">
        <f t="array" ref="BN149">$BI149 * SUMPRODUCT(INDEX($AR$77:$AT$82,,$AI149),INDEX($AU$77:$BA$82,,$AH149), N($AQ$77:$AQ$82&gt;$AO149)) / BM149 / 1000</f>
        <v>0</v>
      </c>
      <c r="BO149" s="232">
        <f t="shared" si="246"/>
        <v>30</v>
      </c>
      <c r="BP149" s="230">
        <f t="shared" si="380"/>
        <v>43</v>
      </c>
      <c r="BQ149" s="235">
        <f t="shared" si="381"/>
        <v>3.2938815789473681</v>
      </c>
      <c r="BR149" s="235" cm="1">
        <f t="array" ref="BR149">$BI149 * IF($AH149&lt;=2,
SUMPRODUCT(INDEX($AR$72:$AT$76,,$AI149), INDEX($AU$72:$BA$76,,$AH149), 1 / ($BB$72:$BB$76*BQ149 + (1-$BB$72:$BB$76)*BM149), N($AQ$72:$AQ$76&gt;$AO149)),
SUMPRODUCT(INDEX($AR$67:$AT$76,,$AI149), INDEX($AU$67:$BA$76,,$AH149), 1 / ($BC$67:$BC$76*BQ149 + (1-$BC$67:$BC$76)*BM149), N($AQ$67:$AQ$76&gt;$AO149))
) / 1000</f>
        <v>0</v>
      </c>
      <c r="BS149" s="232">
        <f t="shared" si="249"/>
        <v>25</v>
      </c>
      <c r="BT149" s="230">
        <f t="shared" si="382"/>
        <v>38</v>
      </c>
      <c r="BU149" s="235">
        <f t="shared" si="383"/>
        <v>3.792954545454545</v>
      </c>
      <c r="BV149" s="235" cm="1">
        <f t="array" ref="BV149">$BI149 * IF($AH149&lt;=2,
SUMPRODUCT(INDEX($AR$67:$AT$71,,$AI149), INDEX($AU$67:$BA$71,,$AH149), 1 / ($BB$67:$BB$71*BU149 + (1-$BB$67:$BB$71)*BQ149), N($AQ$67:$AQ$71&gt;$AO149)),
SUMPRODUCT(INDEX($AR$57:$AT$66,,$AI149), INDEX($AU$57:$BA$66,,$AH149), 1 / ($BC$57:$BC$66*BU149 + (1-$BC$57:$BC$66)*BQ149), N($AQ$57:$AQ$66&gt;$AO149))
) / 1000</f>
        <v>0</v>
      </c>
      <c r="BW149" s="232">
        <f t="shared" si="252"/>
        <v>20</v>
      </c>
      <c r="BX149" s="230">
        <f t="shared" si="384"/>
        <v>33</v>
      </c>
      <c r="BY149" s="235">
        <f t="shared" si="385"/>
        <v>4.4702678571428569</v>
      </c>
      <c r="BZ149" s="235" cm="1">
        <f t="array" ref="BZ149">$BI149 * IF($AH149&lt;=2,
SUMPRODUCT(INDEX($AR$62:$AT$66,,$AI149), INDEX($AU$62:$BA$66,,$AH149), 1 / ($BB$62:$BB$66*BY149 + (1-$BB$62:$BB$66)*BU149), N($AQ$62:$AQ$66&gt;$AO149)),
SUMPRODUCT(INDEX($AR$47:$AT$56,,$AI149), INDEX($AU$47:$BA$56,,$AH149), 1 / ($BC$47:$BC$56*BY149 + (1-$BC$47:$BC$56)*BU149), N($AQ$47:$AQ$56&gt;$AO149))
) / 1000</f>
        <v>0</v>
      </c>
      <c r="CA149" s="235" cm="1">
        <f t="array" ref="CA149">$BI149 * IF($AH149&lt;=2,
SUMPRODUCT(INDEX($AR$23:$AT$61,,$AI149), INDEX($AU$23:$BA$61,,$AH149), 1 / ($BB$23:$BB$61*BY149), N($AQ$23:$AQ$61&gt;$AO149)),
SUMPRODUCT(INDEX($AR$23:$AT$46,,$AI149), INDEX($AU$23:$BA$46,,$AH149), 1 / ($BC$23:$BC$46*BY149), N($AQ$23:$AQ$46&gt;$AO149))
) / 1000</f>
        <v>0</v>
      </c>
      <c r="CB149" s="230">
        <f t="shared" si="386"/>
        <v>0</v>
      </c>
      <c r="CC149" s="238"/>
      <c r="CD149" s="229" cm="1">
        <f t="array" ref="CD149">IF(ISBLANK(Y149), INDEX(Use, $AH149, 4) - AN149*INDEX(Use, $AH149, 6) - (Q149-X149), Y149)</f>
        <v>7</v>
      </c>
      <c r="CE149" s="229">
        <f t="shared" si="387"/>
        <v>32</v>
      </c>
      <c r="CF149" s="230">
        <f t="shared" si="388"/>
        <v>0</v>
      </c>
      <c r="CG149" s="229">
        <v>35</v>
      </c>
      <c r="CH149" s="230">
        <f t="shared" si="389"/>
        <v>48</v>
      </c>
      <c r="CI149" s="235">
        <f t="shared" si="390"/>
        <v>3.0748170731707316</v>
      </c>
      <c r="CJ149" s="235" cm="1">
        <f t="array" ref="CJ149">$BI149 * SUMPRODUCT(INDEX($AR$77:$AT$82,,$AI149),INDEX($AU$77:$BA$82,,$AH149), N($AQ$77:$AQ$82&gt;$AO149)) / CI149 / 1000</f>
        <v>0</v>
      </c>
      <c r="CK149" s="232">
        <f t="shared" si="260"/>
        <v>30</v>
      </c>
      <c r="CL149" s="230">
        <f t="shared" si="391"/>
        <v>43</v>
      </c>
      <c r="CM149" s="235">
        <f t="shared" si="392"/>
        <v>3.5018750000000001</v>
      </c>
      <c r="CN149" s="235" cm="1">
        <f t="array" ref="CN149">$BI149 * IF($AH149&lt;=2,
SUMPRODUCT(INDEX($AR$72:$AT$76,,$AI149), INDEX($AU$72:$BA$76,,$AH149), 1 / ($BB$72:$BB$76*CM149 + (1-$BB$72:$BB$76)*CI149), N($AQ$72:$AQ$76&gt;$AO149)),
SUMPRODUCT(INDEX($AR$67:$AT$76,,$AI149), INDEX($AU$67:$BA$76,,$AH149), 1 / ($BC$67:$BC$76*CM149 + (1-$BC$67:$BC$76)*CI149), N($AQ$67:$AQ$76&gt;$AO149))
) / 1000</f>
        <v>0</v>
      </c>
      <c r="CO149" s="232">
        <f t="shared" si="263"/>
        <v>25</v>
      </c>
      <c r="CP149" s="230">
        <f t="shared" si="393"/>
        <v>38</v>
      </c>
      <c r="CQ149" s="235">
        <f t="shared" si="394"/>
        <v>4.0666935483870965</v>
      </c>
      <c r="CR149" s="235" cm="1">
        <f t="array" ref="CR149">$BI149 * IF($AH149&lt;=2,
SUMPRODUCT(INDEX($AR$67:$AT$71,,$AI149), INDEX($AU$67:$BA$71,,$AH149), 1 / ($BB$67:$BB$71*CQ149 + (1-$BB$67:$BB$71)*CM149), N($AQ$67:$AQ$71&gt;$AO149)),
SUMPRODUCT(INDEX($AR$57:$AT$66,,$AI149), INDEX($AU$57:$BA$66,,$AH149), 1 / ($BC$57:$BC$66*CQ149 + (1-$BC$57:$BC$66)*CM149), N($AQ$57:$AQ$66&gt;$AO149))
) / 1000</f>
        <v>0</v>
      </c>
      <c r="CS149" s="232">
        <f t="shared" si="266"/>
        <v>20</v>
      </c>
      <c r="CT149" s="230">
        <f t="shared" si="395"/>
        <v>33</v>
      </c>
      <c r="CU149" s="235">
        <f t="shared" si="396"/>
        <v>4.8487499999999999</v>
      </c>
      <c r="CV149" s="235" cm="1">
        <f t="array" ref="CV149">$BI149 * IF($AH149&lt;=2,
SUMPRODUCT(INDEX($AR$62:$AT$66,,$AI149), INDEX($AU$62:$BA$66,,$AH149), 1 / ($BB$62:$BB$66*CU149 + (1-$BB$62:$BB$66)*CQ149), N($AQ$62:$AQ$66&gt;$AO149)),
SUMPRODUCT(INDEX($AR$47:$AT$56,,$AI149), INDEX($AU$47:$BA$56,,$AH149), 1 / ($BC$47:$BC$56*CU149 + (1-$BC$47:$BC$56)*CQ149), N($AQ$47:$AQ$56&gt;$AO149))
) / 1000</f>
        <v>0</v>
      </c>
      <c r="CW149" s="235" cm="1">
        <f t="array" ref="CW149">$BI149 * IF($AH149&lt;=2,
SUMPRODUCT(INDEX($AR$23:$AT$61,,$AI149), INDEX($AU$23:$BA$61,,$AH149), 1 / ($BB$23:$BB$61*CU149), N($AQ$23:$AQ$61&gt;$AO149)),
SUMPRODUCT(INDEX($AR$23:$AT$46,,$AI149), INDEX($AU$23:$BA$46,,$AH149), 1 / ($BC$23:$BC$46*CU149), N($AQ$23:$AQ$46&gt;$AO149))
) / 1000</f>
        <v>0</v>
      </c>
      <c r="CX149" s="230">
        <f t="shared" si="397"/>
        <v>0</v>
      </c>
      <c r="CY149" s="238"/>
    </row>
    <row r="150" spans="1:103" s="76" customFormat="1" ht="14.25" customHeight="1" x14ac:dyDescent="0.2">
      <c r="A150" s="231" t="b">
        <f t="shared" si="229"/>
        <v>0</v>
      </c>
      <c r="B150" s="245">
        <v>128</v>
      </c>
      <c r="C150" s="258"/>
      <c r="D150" s="258"/>
      <c r="E150" s="246"/>
      <c r="F150" s="247" t="str">
        <f>IF(ISBLANK(E150), "", VLOOKUP(E150, Z!$A$2:$C$4127, 3, FALSE))</f>
        <v/>
      </c>
      <c r="G150" s="248"/>
      <c r="H150" s="248"/>
      <c r="I150" s="249"/>
      <c r="J150" s="250"/>
      <c r="K150" s="259"/>
      <c r="L150" s="260"/>
      <c r="M150" s="252" t="str" cm="1">
        <f t="array" ref="M150">INDEX(Trad, 53, $A$20)</f>
        <v>Verschmutzt</v>
      </c>
      <c r="N150" s="253"/>
      <c r="O150" s="253"/>
      <c r="P150" s="254"/>
      <c r="Q150" s="251"/>
      <c r="R150" s="251"/>
      <c r="S150" s="264">
        <f t="shared" si="372"/>
        <v>0</v>
      </c>
      <c r="T150" s="252" t="str" cm="1">
        <f t="array" ref="T150">INDEX(Trad, 52, $A$20)</f>
        <v>Sauber</v>
      </c>
      <c r="U150" s="253"/>
      <c r="V150" s="253"/>
      <c r="W150" s="254"/>
      <c r="X150" s="251"/>
      <c r="Y150" s="251"/>
      <c r="Z150" s="264">
        <f t="shared" si="373"/>
        <v>0</v>
      </c>
      <c r="AA150" s="261"/>
      <c r="AB150" s="258"/>
      <c r="AC150" s="246"/>
      <c r="AD150" s="247" t="str">
        <f>IF(ISBLANK(AC150), "", VLOOKUP(AC150, Z!$A$2:$C$4127, 3, FALSE))</f>
        <v/>
      </c>
      <c r="AE150" s="262"/>
      <c r="AF150" s="263">
        <f t="shared" si="374"/>
        <v>0</v>
      </c>
      <c r="AG150" s="238"/>
      <c r="AH150" s="229">
        <f t="shared" si="398"/>
        <v>1</v>
      </c>
      <c r="AI150" s="229">
        <f t="shared" si="399"/>
        <v>1</v>
      </c>
      <c r="AJ150" s="229">
        <f t="shared" si="400"/>
        <v>0</v>
      </c>
      <c r="AK150" s="229">
        <v>0</v>
      </c>
      <c r="AL150" s="229">
        <v>0</v>
      </c>
      <c r="AM150" s="229">
        <v>1</v>
      </c>
      <c r="AN150" s="229">
        <v>0</v>
      </c>
      <c r="AO150" s="229">
        <f t="shared" si="375"/>
        <v>-100</v>
      </c>
      <c r="AP150" s="238"/>
      <c r="AQ150" s="255"/>
      <c r="AR150" s="255"/>
      <c r="AS150" s="256"/>
      <c r="AT150" s="256"/>
      <c r="AU150" s="256"/>
      <c r="AV150" s="256"/>
      <c r="AW150" s="256"/>
      <c r="AX150" s="256"/>
      <c r="AY150" s="256"/>
      <c r="AZ150" s="256"/>
      <c r="BA150" s="256"/>
      <c r="BB150" s="256"/>
      <c r="BC150" s="256"/>
      <c r="BD150" s="238"/>
      <c r="BE150" s="229" cm="1">
        <f t="array" ref="BE150">IF(ISBLANK(R150), INDEX(Use, $AH150, 4) - AM150*INDEX(Use, $AH150, 6), R150)</f>
        <v>5</v>
      </c>
      <c r="BF150" s="229">
        <f t="shared" si="376"/>
        <v>30</v>
      </c>
      <c r="BG150" s="229">
        <f t="shared" si="241"/>
        <v>13</v>
      </c>
      <c r="BH150" s="229">
        <f t="shared" si="242"/>
        <v>0</v>
      </c>
      <c r="BI150" s="234" cm="1">
        <f t="array" ref="BI150">K150/IF($L150&gt;0, INDEX($AU$23:$BA$77, $L150+20, $AH150), 1)</f>
        <v>0</v>
      </c>
      <c r="BJ150" s="230">
        <f t="shared" si="377"/>
        <v>0</v>
      </c>
      <c r="BK150" s="229">
        <v>35</v>
      </c>
      <c r="BL150" s="230">
        <f t="shared" si="378"/>
        <v>48</v>
      </c>
      <c r="BM150" s="235">
        <f t="shared" si="379"/>
        <v>2.9108720930232557</v>
      </c>
      <c r="BN150" s="235" cm="1">
        <f t="array" ref="BN150">$BI150 * SUMPRODUCT(INDEX($AR$77:$AT$82,,$AI150),INDEX($AU$77:$BA$82,,$AH150), N($AQ$77:$AQ$82&gt;$AO150)) / BM150 / 1000</f>
        <v>0</v>
      </c>
      <c r="BO150" s="232">
        <f t="shared" si="246"/>
        <v>30</v>
      </c>
      <c r="BP150" s="230">
        <f t="shared" si="380"/>
        <v>43</v>
      </c>
      <c r="BQ150" s="235">
        <f t="shared" si="381"/>
        <v>3.2938815789473681</v>
      </c>
      <c r="BR150" s="235" cm="1">
        <f t="array" ref="BR150">$BI150 * IF($AH150&lt;=2,
SUMPRODUCT(INDEX($AR$72:$AT$76,,$AI150), INDEX($AU$72:$BA$76,,$AH150), 1 / ($BB$72:$BB$76*BQ150 + (1-$BB$72:$BB$76)*BM150), N($AQ$72:$AQ$76&gt;$AO150)),
SUMPRODUCT(INDEX($AR$67:$AT$76,,$AI150), INDEX($AU$67:$BA$76,,$AH150), 1 / ($BC$67:$BC$76*BQ150 + (1-$BC$67:$BC$76)*BM150), N($AQ$67:$AQ$76&gt;$AO150))
) / 1000</f>
        <v>0</v>
      </c>
      <c r="BS150" s="232">
        <f t="shared" si="249"/>
        <v>25</v>
      </c>
      <c r="BT150" s="230">
        <f t="shared" si="382"/>
        <v>38</v>
      </c>
      <c r="BU150" s="235">
        <f t="shared" si="383"/>
        <v>3.792954545454545</v>
      </c>
      <c r="BV150" s="235" cm="1">
        <f t="array" ref="BV150">$BI150 * IF($AH150&lt;=2,
SUMPRODUCT(INDEX($AR$67:$AT$71,,$AI150), INDEX($AU$67:$BA$71,,$AH150), 1 / ($BB$67:$BB$71*BU150 + (1-$BB$67:$BB$71)*BQ150), N($AQ$67:$AQ$71&gt;$AO150)),
SUMPRODUCT(INDEX($AR$57:$AT$66,,$AI150), INDEX($AU$57:$BA$66,,$AH150), 1 / ($BC$57:$BC$66*BU150 + (1-$BC$57:$BC$66)*BQ150), N($AQ$57:$AQ$66&gt;$AO150))
) / 1000</f>
        <v>0</v>
      </c>
      <c r="BW150" s="232">
        <f t="shared" si="252"/>
        <v>20</v>
      </c>
      <c r="BX150" s="230">
        <f t="shared" si="384"/>
        <v>33</v>
      </c>
      <c r="BY150" s="235">
        <f t="shared" si="385"/>
        <v>4.4702678571428569</v>
      </c>
      <c r="BZ150" s="235" cm="1">
        <f t="array" ref="BZ150">$BI150 * IF($AH150&lt;=2,
SUMPRODUCT(INDEX($AR$62:$AT$66,,$AI150), INDEX($AU$62:$BA$66,,$AH150), 1 / ($BB$62:$BB$66*BY150 + (1-$BB$62:$BB$66)*BU150), N($AQ$62:$AQ$66&gt;$AO150)),
SUMPRODUCT(INDEX($AR$47:$AT$56,,$AI150), INDEX($AU$47:$BA$56,,$AH150), 1 / ($BC$47:$BC$56*BY150 + (1-$BC$47:$BC$56)*BU150), N($AQ$47:$AQ$56&gt;$AO150))
) / 1000</f>
        <v>0</v>
      </c>
      <c r="CA150" s="235" cm="1">
        <f t="array" ref="CA150">$BI150 * IF($AH150&lt;=2,
SUMPRODUCT(INDEX($AR$23:$AT$61,,$AI150), INDEX($AU$23:$BA$61,,$AH150), 1 / ($BB$23:$BB$61*BY150), N($AQ$23:$AQ$61&gt;$AO150)),
SUMPRODUCT(INDEX($AR$23:$AT$46,,$AI150), INDEX($AU$23:$BA$46,,$AH150), 1 / ($BC$23:$BC$46*BY150), N($AQ$23:$AQ$46&gt;$AO150))
) / 1000</f>
        <v>0</v>
      </c>
      <c r="CB150" s="230">
        <f t="shared" si="386"/>
        <v>0</v>
      </c>
      <c r="CC150" s="238"/>
      <c r="CD150" s="229" cm="1">
        <f t="array" ref="CD150">IF(ISBLANK(Y150), INDEX(Use, $AH150, 4) - AN150*INDEX(Use, $AH150, 6) - (Q150-X150), Y150)</f>
        <v>7</v>
      </c>
      <c r="CE150" s="229">
        <f t="shared" si="387"/>
        <v>32</v>
      </c>
      <c r="CF150" s="230">
        <f t="shared" si="388"/>
        <v>0</v>
      </c>
      <c r="CG150" s="229">
        <v>35</v>
      </c>
      <c r="CH150" s="230">
        <f t="shared" si="389"/>
        <v>48</v>
      </c>
      <c r="CI150" s="235">
        <f t="shared" si="390"/>
        <v>3.0748170731707316</v>
      </c>
      <c r="CJ150" s="235" cm="1">
        <f t="array" ref="CJ150">$BI150 * SUMPRODUCT(INDEX($AR$77:$AT$82,,$AI150),INDEX($AU$77:$BA$82,,$AH150), N($AQ$77:$AQ$82&gt;$AO150)) / CI150 / 1000</f>
        <v>0</v>
      </c>
      <c r="CK150" s="232">
        <f t="shared" si="260"/>
        <v>30</v>
      </c>
      <c r="CL150" s="230">
        <f t="shared" si="391"/>
        <v>43</v>
      </c>
      <c r="CM150" s="235">
        <f t="shared" si="392"/>
        <v>3.5018750000000001</v>
      </c>
      <c r="CN150" s="235" cm="1">
        <f t="array" ref="CN150">$BI150 * IF($AH150&lt;=2,
SUMPRODUCT(INDEX($AR$72:$AT$76,,$AI150), INDEX($AU$72:$BA$76,,$AH150), 1 / ($BB$72:$BB$76*CM150 + (1-$BB$72:$BB$76)*CI150), N($AQ$72:$AQ$76&gt;$AO150)),
SUMPRODUCT(INDEX($AR$67:$AT$76,,$AI150), INDEX($AU$67:$BA$76,,$AH150), 1 / ($BC$67:$BC$76*CM150 + (1-$BC$67:$BC$76)*CI150), N($AQ$67:$AQ$76&gt;$AO150))
) / 1000</f>
        <v>0</v>
      </c>
      <c r="CO150" s="232">
        <f t="shared" si="263"/>
        <v>25</v>
      </c>
      <c r="CP150" s="230">
        <f t="shared" si="393"/>
        <v>38</v>
      </c>
      <c r="CQ150" s="235">
        <f t="shared" si="394"/>
        <v>4.0666935483870965</v>
      </c>
      <c r="CR150" s="235" cm="1">
        <f t="array" ref="CR150">$BI150 * IF($AH150&lt;=2,
SUMPRODUCT(INDEX($AR$67:$AT$71,,$AI150), INDEX($AU$67:$BA$71,,$AH150), 1 / ($BB$67:$BB$71*CQ150 + (1-$BB$67:$BB$71)*CM150), N($AQ$67:$AQ$71&gt;$AO150)),
SUMPRODUCT(INDEX($AR$57:$AT$66,,$AI150), INDEX($AU$57:$BA$66,,$AH150), 1 / ($BC$57:$BC$66*CQ150 + (1-$BC$57:$BC$66)*CM150), N($AQ$57:$AQ$66&gt;$AO150))
) / 1000</f>
        <v>0</v>
      </c>
      <c r="CS150" s="232">
        <f t="shared" si="266"/>
        <v>20</v>
      </c>
      <c r="CT150" s="230">
        <f t="shared" si="395"/>
        <v>33</v>
      </c>
      <c r="CU150" s="235">
        <f t="shared" si="396"/>
        <v>4.8487499999999999</v>
      </c>
      <c r="CV150" s="235" cm="1">
        <f t="array" ref="CV150">$BI150 * IF($AH150&lt;=2,
SUMPRODUCT(INDEX($AR$62:$AT$66,,$AI150), INDEX($AU$62:$BA$66,,$AH150), 1 / ($BB$62:$BB$66*CU150 + (1-$BB$62:$BB$66)*CQ150), N($AQ$62:$AQ$66&gt;$AO150)),
SUMPRODUCT(INDEX($AR$47:$AT$56,,$AI150), INDEX($AU$47:$BA$56,,$AH150), 1 / ($BC$47:$BC$56*CU150 + (1-$BC$47:$BC$56)*CQ150), N($AQ$47:$AQ$56&gt;$AO150))
) / 1000</f>
        <v>0</v>
      </c>
      <c r="CW150" s="235" cm="1">
        <f t="array" ref="CW150">$BI150 * IF($AH150&lt;=2,
SUMPRODUCT(INDEX($AR$23:$AT$61,,$AI150), INDEX($AU$23:$BA$61,,$AH150), 1 / ($BB$23:$BB$61*CU150), N($AQ$23:$AQ$61&gt;$AO150)),
SUMPRODUCT(INDEX($AR$23:$AT$46,,$AI150), INDEX($AU$23:$BA$46,,$AH150), 1 / ($BC$23:$BC$46*CU150), N($AQ$23:$AQ$46&gt;$AO150))
) / 1000</f>
        <v>0</v>
      </c>
      <c r="CX150" s="230">
        <f t="shared" si="397"/>
        <v>0</v>
      </c>
      <c r="CY150" s="238"/>
    </row>
    <row r="151" spans="1:103" s="76" customFormat="1" ht="14.25" customHeight="1" x14ac:dyDescent="0.2">
      <c r="A151" s="231" t="b">
        <f t="shared" si="229"/>
        <v>0</v>
      </c>
      <c r="B151" s="245">
        <v>129</v>
      </c>
      <c r="C151" s="258"/>
      <c r="D151" s="258"/>
      <c r="E151" s="246"/>
      <c r="F151" s="247" t="str">
        <f>IF(ISBLANK(E151), "", VLOOKUP(E151, Z!$A$2:$C$4127, 3, FALSE))</f>
        <v/>
      </c>
      <c r="G151" s="248"/>
      <c r="H151" s="248"/>
      <c r="I151" s="249"/>
      <c r="J151" s="250"/>
      <c r="K151" s="259"/>
      <c r="L151" s="260"/>
      <c r="M151" s="252" t="str" cm="1">
        <f t="array" ref="M151">INDEX(Trad, 53, $A$20)</f>
        <v>Verschmutzt</v>
      </c>
      <c r="N151" s="253"/>
      <c r="O151" s="253"/>
      <c r="P151" s="254"/>
      <c r="Q151" s="251"/>
      <c r="R151" s="251"/>
      <c r="S151" s="264">
        <f t="shared" si="372"/>
        <v>0</v>
      </c>
      <c r="T151" s="252" t="str" cm="1">
        <f t="array" ref="T151">INDEX(Trad, 52, $A$20)</f>
        <v>Sauber</v>
      </c>
      <c r="U151" s="253"/>
      <c r="V151" s="253"/>
      <c r="W151" s="254"/>
      <c r="X151" s="251"/>
      <c r="Y151" s="251"/>
      <c r="Z151" s="264">
        <f t="shared" si="373"/>
        <v>0</v>
      </c>
      <c r="AA151" s="261"/>
      <c r="AB151" s="258"/>
      <c r="AC151" s="246"/>
      <c r="AD151" s="247" t="str">
        <f>IF(ISBLANK(AC151), "", VLOOKUP(AC151, Z!$A$2:$C$4127, 3, FALSE))</f>
        <v/>
      </c>
      <c r="AE151" s="262"/>
      <c r="AF151" s="263">
        <f t="shared" si="374"/>
        <v>0</v>
      </c>
      <c r="AG151" s="238"/>
      <c r="AH151" s="229">
        <f t="shared" si="398"/>
        <v>1</v>
      </c>
      <c r="AI151" s="229">
        <f t="shared" si="399"/>
        <v>1</v>
      </c>
      <c r="AJ151" s="229">
        <f t="shared" si="400"/>
        <v>0</v>
      </c>
      <c r="AK151" s="229">
        <v>0</v>
      </c>
      <c r="AL151" s="229">
        <v>0</v>
      </c>
      <c r="AM151" s="229">
        <v>1</v>
      </c>
      <c r="AN151" s="229">
        <v>0</v>
      </c>
      <c r="AO151" s="229">
        <f t="shared" si="375"/>
        <v>-100</v>
      </c>
      <c r="AP151" s="238"/>
      <c r="AQ151" s="255"/>
      <c r="AR151" s="255"/>
      <c r="AS151" s="256"/>
      <c r="AT151" s="256"/>
      <c r="AU151" s="256"/>
      <c r="AV151" s="256"/>
      <c r="AW151" s="256"/>
      <c r="AX151" s="256"/>
      <c r="AY151" s="256"/>
      <c r="AZ151" s="256"/>
      <c r="BA151" s="256"/>
      <c r="BB151" s="256"/>
      <c r="BC151" s="256"/>
      <c r="BD151" s="238"/>
      <c r="BE151" s="229" cm="1">
        <f t="array" ref="BE151">IF(ISBLANK(R151), INDEX(Use, $AH151, 4) - AM151*INDEX(Use, $AH151, 6), R151)</f>
        <v>5</v>
      </c>
      <c r="BF151" s="229">
        <f t="shared" si="376"/>
        <v>30</v>
      </c>
      <c r="BG151" s="229">
        <f t="shared" si="241"/>
        <v>13</v>
      </c>
      <c r="BH151" s="229">
        <f t="shared" si="242"/>
        <v>0</v>
      </c>
      <c r="BI151" s="234" cm="1">
        <f t="array" ref="BI151">K151/IF($L151&gt;0, INDEX($AU$23:$BA$77, $L151+20, $AH151), 1)</f>
        <v>0</v>
      </c>
      <c r="BJ151" s="230">
        <f t="shared" si="377"/>
        <v>0</v>
      </c>
      <c r="BK151" s="229">
        <v>35</v>
      </c>
      <c r="BL151" s="230">
        <f t="shared" si="378"/>
        <v>48</v>
      </c>
      <c r="BM151" s="235">
        <f t="shared" si="379"/>
        <v>2.9108720930232557</v>
      </c>
      <c r="BN151" s="235" cm="1">
        <f t="array" ref="BN151">$BI151 * SUMPRODUCT(INDEX($AR$77:$AT$82,,$AI151),INDEX($AU$77:$BA$82,,$AH151), N($AQ$77:$AQ$82&gt;$AO151)) / BM151 / 1000</f>
        <v>0</v>
      </c>
      <c r="BO151" s="232">
        <f t="shared" si="246"/>
        <v>30</v>
      </c>
      <c r="BP151" s="230">
        <f t="shared" si="380"/>
        <v>43</v>
      </c>
      <c r="BQ151" s="235">
        <f t="shared" si="381"/>
        <v>3.2938815789473681</v>
      </c>
      <c r="BR151" s="235" cm="1">
        <f t="array" ref="BR151">$BI151 * IF($AH151&lt;=2,
SUMPRODUCT(INDEX($AR$72:$AT$76,,$AI151), INDEX($AU$72:$BA$76,,$AH151), 1 / ($BB$72:$BB$76*BQ151 + (1-$BB$72:$BB$76)*BM151), N($AQ$72:$AQ$76&gt;$AO151)),
SUMPRODUCT(INDEX($AR$67:$AT$76,,$AI151), INDEX($AU$67:$BA$76,,$AH151), 1 / ($BC$67:$BC$76*BQ151 + (1-$BC$67:$BC$76)*BM151), N($AQ$67:$AQ$76&gt;$AO151))
) / 1000</f>
        <v>0</v>
      </c>
      <c r="BS151" s="232">
        <f t="shared" si="249"/>
        <v>25</v>
      </c>
      <c r="BT151" s="230">
        <f t="shared" si="382"/>
        <v>38</v>
      </c>
      <c r="BU151" s="235">
        <f t="shared" si="383"/>
        <v>3.792954545454545</v>
      </c>
      <c r="BV151" s="235" cm="1">
        <f t="array" ref="BV151">$BI151 * IF($AH151&lt;=2,
SUMPRODUCT(INDEX($AR$67:$AT$71,,$AI151), INDEX($AU$67:$BA$71,,$AH151), 1 / ($BB$67:$BB$71*BU151 + (1-$BB$67:$BB$71)*BQ151), N($AQ$67:$AQ$71&gt;$AO151)),
SUMPRODUCT(INDEX($AR$57:$AT$66,,$AI151), INDEX($AU$57:$BA$66,,$AH151), 1 / ($BC$57:$BC$66*BU151 + (1-$BC$57:$BC$66)*BQ151), N($AQ$57:$AQ$66&gt;$AO151))
) / 1000</f>
        <v>0</v>
      </c>
      <c r="BW151" s="232">
        <f t="shared" si="252"/>
        <v>20</v>
      </c>
      <c r="BX151" s="230">
        <f t="shared" si="384"/>
        <v>33</v>
      </c>
      <c r="BY151" s="235">
        <f t="shared" si="385"/>
        <v>4.4702678571428569</v>
      </c>
      <c r="BZ151" s="235" cm="1">
        <f t="array" ref="BZ151">$BI151 * IF($AH151&lt;=2,
SUMPRODUCT(INDEX($AR$62:$AT$66,,$AI151), INDEX($AU$62:$BA$66,,$AH151), 1 / ($BB$62:$BB$66*BY151 + (1-$BB$62:$BB$66)*BU151), N($AQ$62:$AQ$66&gt;$AO151)),
SUMPRODUCT(INDEX($AR$47:$AT$56,,$AI151), INDEX($AU$47:$BA$56,,$AH151), 1 / ($BC$47:$BC$56*BY151 + (1-$BC$47:$BC$56)*BU151), N($AQ$47:$AQ$56&gt;$AO151))
) / 1000</f>
        <v>0</v>
      </c>
      <c r="CA151" s="235" cm="1">
        <f t="array" ref="CA151">$BI151 * IF($AH151&lt;=2,
SUMPRODUCT(INDEX($AR$23:$AT$61,,$AI151), INDEX($AU$23:$BA$61,,$AH151), 1 / ($BB$23:$BB$61*BY151), N($AQ$23:$AQ$61&gt;$AO151)),
SUMPRODUCT(INDEX($AR$23:$AT$46,,$AI151), INDEX($AU$23:$BA$46,,$AH151), 1 / ($BC$23:$BC$46*BY151), N($AQ$23:$AQ$46&gt;$AO151))
) / 1000</f>
        <v>0</v>
      </c>
      <c r="CB151" s="230">
        <f t="shared" si="386"/>
        <v>0</v>
      </c>
      <c r="CC151" s="238"/>
      <c r="CD151" s="229" cm="1">
        <f t="array" ref="CD151">IF(ISBLANK(Y151), INDEX(Use, $AH151, 4) - AN151*INDEX(Use, $AH151, 6) - (Q151-X151), Y151)</f>
        <v>7</v>
      </c>
      <c r="CE151" s="229">
        <f t="shared" si="387"/>
        <v>32</v>
      </c>
      <c r="CF151" s="230">
        <f t="shared" si="388"/>
        <v>0</v>
      </c>
      <c r="CG151" s="229">
        <v>35</v>
      </c>
      <c r="CH151" s="230">
        <f t="shared" si="389"/>
        <v>48</v>
      </c>
      <c r="CI151" s="235">
        <f t="shared" si="390"/>
        <v>3.0748170731707316</v>
      </c>
      <c r="CJ151" s="235" cm="1">
        <f t="array" ref="CJ151">$BI151 * SUMPRODUCT(INDEX($AR$77:$AT$82,,$AI151),INDEX($AU$77:$BA$82,,$AH151), N($AQ$77:$AQ$82&gt;$AO151)) / CI151 / 1000</f>
        <v>0</v>
      </c>
      <c r="CK151" s="232">
        <f t="shared" si="260"/>
        <v>30</v>
      </c>
      <c r="CL151" s="230">
        <f t="shared" si="391"/>
        <v>43</v>
      </c>
      <c r="CM151" s="235">
        <f t="shared" si="392"/>
        <v>3.5018750000000001</v>
      </c>
      <c r="CN151" s="235" cm="1">
        <f t="array" ref="CN151">$BI151 * IF($AH151&lt;=2,
SUMPRODUCT(INDEX($AR$72:$AT$76,,$AI151), INDEX($AU$72:$BA$76,,$AH151), 1 / ($BB$72:$BB$76*CM151 + (1-$BB$72:$BB$76)*CI151), N($AQ$72:$AQ$76&gt;$AO151)),
SUMPRODUCT(INDEX($AR$67:$AT$76,,$AI151), INDEX($AU$67:$BA$76,,$AH151), 1 / ($BC$67:$BC$76*CM151 + (1-$BC$67:$BC$76)*CI151), N($AQ$67:$AQ$76&gt;$AO151))
) / 1000</f>
        <v>0</v>
      </c>
      <c r="CO151" s="232">
        <f t="shared" si="263"/>
        <v>25</v>
      </c>
      <c r="CP151" s="230">
        <f t="shared" si="393"/>
        <v>38</v>
      </c>
      <c r="CQ151" s="235">
        <f t="shared" si="394"/>
        <v>4.0666935483870965</v>
      </c>
      <c r="CR151" s="235" cm="1">
        <f t="array" ref="CR151">$BI151 * IF($AH151&lt;=2,
SUMPRODUCT(INDEX($AR$67:$AT$71,,$AI151), INDEX($AU$67:$BA$71,,$AH151), 1 / ($BB$67:$BB$71*CQ151 + (1-$BB$67:$BB$71)*CM151), N($AQ$67:$AQ$71&gt;$AO151)),
SUMPRODUCT(INDEX($AR$57:$AT$66,,$AI151), INDEX($AU$57:$BA$66,,$AH151), 1 / ($BC$57:$BC$66*CQ151 + (1-$BC$57:$BC$66)*CM151), N($AQ$57:$AQ$66&gt;$AO151))
) / 1000</f>
        <v>0</v>
      </c>
      <c r="CS151" s="232">
        <f t="shared" si="266"/>
        <v>20</v>
      </c>
      <c r="CT151" s="230">
        <f t="shared" si="395"/>
        <v>33</v>
      </c>
      <c r="CU151" s="235">
        <f t="shared" si="396"/>
        <v>4.8487499999999999</v>
      </c>
      <c r="CV151" s="235" cm="1">
        <f t="array" ref="CV151">$BI151 * IF($AH151&lt;=2,
SUMPRODUCT(INDEX($AR$62:$AT$66,,$AI151), INDEX($AU$62:$BA$66,,$AH151), 1 / ($BB$62:$BB$66*CU151 + (1-$BB$62:$BB$66)*CQ151), N($AQ$62:$AQ$66&gt;$AO151)),
SUMPRODUCT(INDEX($AR$47:$AT$56,,$AI151), INDEX($AU$47:$BA$56,,$AH151), 1 / ($BC$47:$BC$56*CU151 + (1-$BC$47:$BC$56)*CQ151), N($AQ$47:$AQ$56&gt;$AO151))
) / 1000</f>
        <v>0</v>
      </c>
      <c r="CW151" s="235" cm="1">
        <f t="array" ref="CW151">$BI151 * IF($AH151&lt;=2,
SUMPRODUCT(INDEX($AR$23:$AT$61,,$AI151), INDEX($AU$23:$BA$61,,$AH151), 1 / ($BB$23:$BB$61*CU151), N($AQ$23:$AQ$61&gt;$AO151)),
SUMPRODUCT(INDEX($AR$23:$AT$46,,$AI151), INDEX($AU$23:$BA$46,,$AH151), 1 / ($BC$23:$BC$46*CU151), N($AQ$23:$AQ$46&gt;$AO151))
) / 1000</f>
        <v>0</v>
      </c>
      <c r="CX151" s="230">
        <f t="shared" si="397"/>
        <v>0</v>
      </c>
      <c r="CY151" s="238"/>
    </row>
    <row r="152" spans="1:103" s="76" customFormat="1" ht="14.25" customHeight="1" x14ac:dyDescent="0.2">
      <c r="A152" s="231" t="b">
        <f t="shared" si="229"/>
        <v>0</v>
      </c>
      <c r="B152" s="245">
        <v>130</v>
      </c>
      <c r="C152" s="258"/>
      <c r="D152" s="258"/>
      <c r="E152" s="246"/>
      <c r="F152" s="247" t="str">
        <f>IF(ISBLANK(E152), "", VLOOKUP(E152, Z!$A$2:$C$4127, 3, FALSE))</f>
        <v/>
      </c>
      <c r="G152" s="248"/>
      <c r="H152" s="248"/>
      <c r="I152" s="249"/>
      <c r="J152" s="250"/>
      <c r="K152" s="259"/>
      <c r="L152" s="260"/>
      <c r="M152" s="252" t="str" cm="1">
        <f t="array" ref="M152">INDEX(Trad, 53, $A$20)</f>
        <v>Verschmutzt</v>
      </c>
      <c r="N152" s="253"/>
      <c r="O152" s="253"/>
      <c r="P152" s="254"/>
      <c r="Q152" s="251"/>
      <c r="R152" s="251"/>
      <c r="S152" s="264">
        <f t="shared" si="372"/>
        <v>0</v>
      </c>
      <c r="T152" s="252" t="str" cm="1">
        <f t="array" ref="T152">INDEX(Trad, 52, $A$20)</f>
        <v>Sauber</v>
      </c>
      <c r="U152" s="253"/>
      <c r="V152" s="253"/>
      <c r="W152" s="254"/>
      <c r="X152" s="251"/>
      <c r="Y152" s="251"/>
      <c r="Z152" s="264">
        <f t="shared" si="373"/>
        <v>0</v>
      </c>
      <c r="AA152" s="261"/>
      <c r="AB152" s="258"/>
      <c r="AC152" s="246"/>
      <c r="AD152" s="247" t="str">
        <f>IF(ISBLANK(AC152), "", VLOOKUP(AC152, Z!$A$2:$C$4127, 3, FALSE))</f>
        <v/>
      </c>
      <c r="AE152" s="262"/>
      <c r="AF152" s="263">
        <f t="shared" si="374"/>
        <v>0</v>
      </c>
      <c r="AG152" s="238"/>
      <c r="AH152" s="229">
        <f t="shared" si="398"/>
        <v>1</v>
      </c>
      <c r="AI152" s="229">
        <f t="shared" si="399"/>
        <v>1</v>
      </c>
      <c r="AJ152" s="229">
        <f t="shared" si="400"/>
        <v>0</v>
      </c>
      <c r="AK152" s="229">
        <v>0</v>
      </c>
      <c r="AL152" s="229">
        <v>0</v>
      </c>
      <c r="AM152" s="229">
        <v>1</v>
      </c>
      <c r="AN152" s="229">
        <v>0</v>
      </c>
      <c r="AO152" s="229">
        <f t="shared" si="375"/>
        <v>-100</v>
      </c>
      <c r="AP152" s="238"/>
      <c r="AQ152" s="255"/>
      <c r="AR152" s="255"/>
      <c r="AS152" s="256"/>
      <c r="AT152" s="256"/>
      <c r="AU152" s="256"/>
      <c r="AV152" s="256"/>
      <c r="AW152" s="256"/>
      <c r="AX152" s="256"/>
      <c r="AY152" s="256"/>
      <c r="AZ152" s="256"/>
      <c r="BA152" s="256"/>
      <c r="BB152" s="256"/>
      <c r="BC152" s="256"/>
      <c r="BD152" s="238"/>
      <c r="BE152" s="229" cm="1">
        <f t="array" ref="BE152">IF(ISBLANK(R152), INDEX(Use, $AH152, 4) - AM152*INDEX(Use, $AH152, 6), R152)</f>
        <v>5</v>
      </c>
      <c r="BF152" s="229">
        <f t="shared" si="376"/>
        <v>30</v>
      </c>
      <c r="BG152" s="229">
        <f t="shared" si="241"/>
        <v>13</v>
      </c>
      <c r="BH152" s="229">
        <f t="shared" si="242"/>
        <v>0</v>
      </c>
      <c r="BI152" s="234" cm="1">
        <f t="array" ref="BI152">K152/IF($L152&gt;0, INDEX($AU$23:$BA$77, $L152+20, $AH152), 1)</f>
        <v>0</v>
      </c>
      <c r="BJ152" s="230">
        <f t="shared" si="377"/>
        <v>0</v>
      </c>
      <c r="BK152" s="229">
        <v>35</v>
      </c>
      <c r="BL152" s="230">
        <f t="shared" si="378"/>
        <v>48</v>
      </c>
      <c r="BM152" s="235">
        <f t="shared" si="379"/>
        <v>2.9108720930232557</v>
      </c>
      <c r="BN152" s="235" cm="1">
        <f t="array" ref="BN152">$BI152 * SUMPRODUCT(INDEX($AR$77:$AT$82,,$AI152),INDEX($AU$77:$BA$82,,$AH152), N($AQ$77:$AQ$82&gt;$AO152)) / BM152 / 1000</f>
        <v>0</v>
      </c>
      <c r="BO152" s="232">
        <f t="shared" si="246"/>
        <v>30</v>
      </c>
      <c r="BP152" s="230">
        <f t="shared" si="380"/>
        <v>43</v>
      </c>
      <c r="BQ152" s="235">
        <f t="shared" si="381"/>
        <v>3.2938815789473681</v>
      </c>
      <c r="BR152" s="235" cm="1">
        <f t="array" ref="BR152">$BI152 * IF($AH152&lt;=2,
SUMPRODUCT(INDEX($AR$72:$AT$76,,$AI152), INDEX($AU$72:$BA$76,,$AH152), 1 / ($BB$72:$BB$76*BQ152 + (1-$BB$72:$BB$76)*BM152), N($AQ$72:$AQ$76&gt;$AO152)),
SUMPRODUCT(INDEX($AR$67:$AT$76,,$AI152), INDEX($AU$67:$BA$76,,$AH152), 1 / ($BC$67:$BC$76*BQ152 + (1-$BC$67:$BC$76)*BM152), N($AQ$67:$AQ$76&gt;$AO152))
) / 1000</f>
        <v>0</v>
      </c>
      <c r="BS152" s="232">
        <f t="shared" si="249"/>
        <v>25</v>
      </c>
      <c r="BT152" s="230">
        <f t="shared" si="382"/>
        <v>38</v>
      </c>
      <c r="BU152" s="235">
        <f t="shared" si="383"/>
        <v>3.792954545454545</v>
      </c>
      <c r="BV152" s="235" cm="1">
        <f t="array" ref="BV152">$BI152 * IF($AH152&lt;=2,
SUMPRODUCT(INDEX($AR$67:$AT$71,,$AI152), INDEX($AU$67:$BA$71,,$AH152), 1 / ($BB$67:$BB$71*BU152 + (1-$BB$67:$BB$71)*BQ152), N($AQ$67:$AQ$71&gt;$AO152)),
SUMPRODUCT(INDEX($AR$57:$AT$66,,$AI152), INDEX($AU$57:$BA$66,,$AH152), 1 / ($BC$57:$BC$66*BU152 + (1-$BC$57:$BC$66)*BQ152), N($AQ$57:$AQ$66&gt;$AO152))
) / 1000</f>
        <v>0</v>
      </c>
      <c r="BW152" s="232">
        <f t="shared" si="252"/>
        <v>20</v>
      </c>
      <c r="BX152" s="230">
        <f t="shared" si="384"/>
        <v>33</v>
      </c>
      <c r="BY152" s="235">
        <f t="shared" si="385"/>
        <v>4.4702678571428569</v>
      </c>
      <c r="BZ152" s="235" cm="1">
        <f t="array" ref="BZ152">$BI152 * IF($AH152&lt;=2,
SUMPRODUCT(INDEX($AR$62:$AT$66,,$AI152), INDEX($AU$62:$BA$66,,$AH152), 1 / ($BB$62:$BB$66*BY152 + (1-$BB$62:$BB$66)*BU152), N($AQ$62:$AQ$66&gt;$AO152)),
SUMPRODUCT(INDEX($AR$47:$AT$56,,$AI152), INDEX($AU$47:$BA$56,,$AH152), 1 / ($BC$47:$BC$56*BY152 + (1-$BC$47:$BC$56)*BU152), N($AQ$47:$AQ$56&gt;$AO152))
) / 1000</f>
        <v>0</v>
      </c>
      <c r="CA152" s="235" cm="1">
        <f t="array" ref="CA152">$BI152 * IF($AH152&lt;=2,
SUMPRODUCT(INDEX($AR$23:$AT$61,,$AI152), INDEX($AU$23:$BA$61,,$AH152), 1 / ($BB$23:$BB$61*BY152), N($AQ$23:$AQ$61&gt;$AO152)),
SUMPRODUCT(INDEX($AR$23:$AT$46,,$AI152), INDEX($AU$23:$BA$46,,$AH152), 1 / ($BC$23:$BC$46*BY152), N($AQ$23:$AQ$46&gt;$AO152))
) / 1000</f>
        <v>0</v>
      </c>
      <c r="CB152" s="230">
        <f t="shared" si="386"/>
        <v>0</v>
      </c>
      <c r="CC152" s="238"/>
      <c r="CD152" s="229" cm="1">
        <f t="array" ref="CD152">IF(ISBLANK(Y152), INDEX(Use, $AH152, 4) - AN152*INDEX(Use, $AH152, 6) - (Q152-X152), Y152)</f>
        <v>7</v>
      </c>
      <c r="CE152" s="229">
        <f t="shared" si="387"/>
        <v>32</v>
      </c>
      <c r="CF152" s="230">
        <f t="shared" si="388"/>
        <v>0</v>
      </c>
      <c r="CG152" s="229">
        <v>35</v>
      </c>
      <c r="CH152" s="230">
        <f t="shared" si="389"/>
        <v>48</v>
      </c>
      <c r="CI152" s="235">
        <f t="shared" si="390"/>
        <v>3.0748170731707316</v>
      </c>
      <c r="CJ152" s="235" cm="1">
        <f t="array" ref="CJ152">$BI152 * SUMPRODUCT(INDEX($AR$77:$AT$82,,$AI152),INDEX($AU$77:$BA$82,,$AH152), N($AQ$77:$AQ$82&gt;$AO152)) / CI152 / 1000</f>
        <v>0</v>
      </c>
      <c r="CK152" s="232">
        <f t="shared" si="260"/>
        <v>30</v>
      </c>
      <c r="CL152" s="230">
        <f t="shared" si="391"/>
        <v>43</v>
      </c>
      <c r="CM152" s="235">
        <f t="shared" si="392"/>
        <v>3.5018750000000001</v>
      </c>
      <c r="CN152" s="235" cm="1">
        <f t="array" ref="CN152">$BI152 * IF($AH152&lt;=2,
SUMPRODUCT(INDEX($AR$72:$AT$76,,$AI152), INDEX($AU$72:$BA$76,,$AH152), 1 / ($BB$72:$BB$76*CM152 + (1-$BB$72:$BB$76)*CI152), N($AQ$72:$AQ$76&gt;$AO152)),
SUMPRODUCT(INDEX($AR$67:$AT$76,,$AI152), INDEX($AU$67:$BA$76,,$AH152), 1 / ($BC$67:$BC$76*CM152 + (1-$BC$67:$BC$76)*CI152), N($AQ$67:$AQ$76&gt;$AO152))
) / 1000</f>
        <v>0</v>
      </c>
      <c r="CO152" s="232">
        <f t="shared" si="263"/>
        <v>25</v>
      </c>
      <c r="CP152" s="230">
        <f t="shared" si="393"/>
        <v>38</v>
      </c>
      <c r="CQ152" s="235">
        <f t="shared" si="394"/>
        <v>4.0666935483870965</v>
      </c>
      <c r="CR152" s="235" cm="1">
        <f t="array" ref="CR152">$BI152 * IF($AH152&lt;=2,
SUMPRODUCT(INDEX($AR$67:$AT$71,,$AI152), INDEX($AU$67:$BA$71,,$AH152), 1 / ($BB$67:$BB$71*CQ152 + (1-$BB$67:$BB$71)*CM152), N($AQ$67:$AQ$71&gt;$AO152)),
SUMPRODUCT(INDEX($AR$57:$AT$66,,$AI152), INDEX($AU$57:$BA$66,,$AH152), 1 / ($BC$57:$BC$66*CQ152 + (1-$BC$57:$BC$66)*CM152), N($AQ$57:$AQ$66&gt;$AO152))
) / 1000</f>
        <v>0</v>
      </c>
      <c r="CS152" s="232">
        <f t="shared" si="266"/>
        <v>20</v>
      </c>
      <c r="CT152" s="230">
        <f t="shared" si="395"/>
        <v>33</v>
      </c>
      <c r="CU152" s="235">
        <f t="shared" si="396"/>
        <v>4.8487499999999999</v>
      </c>
      <c r="CV152" s="235" cm="1">
        <f t="array" ref="CV152">$BI152 * IF($AH152&lt;=2,
SUMPRODUCT(INDEX($AR$62:$AT$66,,$AI152), INDEX($AU$62:$BA$66,,$AH152), 1 / ($BB$62:$BB$66*CU152 + (1-$BB$62:$BB$66)*CQ152), N($AQ$62:$AQ$66&gt;$AO152)),
SUMPRODUCT(INDEX($AR$47:$AT$56,,$AI152), INDEX($AU$47:$BA$56,,$AH152), 1 / ($BC$47:$BC$56*CU152 + (1-$BC$47:$BC$56)*CQ152), N($AQ$47:$AQ$56&gt;$AO152))
) / 1000</f>
        <v>0</v>
      </c>
      <c r="CW152" s="235" cm="1">
        <f t="array" ref="CW152">$BI152 * IF($AH152&lt;=2,
SUMPRODUCT(INDEX($AR$23:$AT$61,,$AI152), INDEX($AU$23:$BA$61,,$AH152), 1 / ($BB$23:$BB$61*CU152), N($AQ$23:$AQ$61&gt;$AO152)),
SUMPRODUCT(INDEX($AR$23:$AT$46,,$AI152), INDEX($AU$23:$BA$46,,$AH152), 1 / ($BC$23:$BC$46*CU152), N($AQ$23:$AQ$46&gt;$AO152))
) / 1000</f>
        <v>0</v>
      </c>
      <c r="CX152" s="230">
        <f t="shared" si="397"/>
        <v>0</v>
      </c>
      <c r="CY152" s="238"/>
    </row>
    <row r="153" spans="1:103" s="76" customFormat="1" ht="14.25" customHeight="1" x14ac:dyDescent="0.2">
      <c r="A153" s="231" t="b">
        <f t="shared" si="229"/>
        <v>0</v>
      </c>
      <c r="B153" s="245">
        <v>131</v>
      </c>
      <c r="C153" s="258"/>
      <c r="D153" s="258"/>
      <c r="E153" s="246"/>
      <c r="F153" s="247" t="str">
        <f>IF(ISBLANK(E153), "", VLOOKUP(E153, Z!$A$2:$C$4127, 3, FALSE))</f>
        <v/>
      </c>
      <c r="G153" s="248"/>
      <c r="H153" s="248"/>
      <c r="I153" s="249"/>
      <c r="J153" s="250"/>
      <c r="K153" s="259"/>
      <c r="L153" s="260"/>
      <c r="M153" s="252" t="str" cm="1">
        <f t="array" ref="M153">INDEX(Trad, 53, $A$20)</f>
        <v>Verschmutzt</v>
      </c>
      <c r="N153" s="253"/>
      <c r="O153" s="253"/>
      <c r="P153" s="254"/>
      <c r="Q153" s="251"/>
      <c r="R153" s="251"/>
      <c r="S153" s="264">
        <f t="shared" si="372"/>
        <v>0</v>
      </c>
      <c r="T153" s="252" t="str" cm="1">
        <f t="array" ref="T153">INDEX(Trad, 52, $A$20)</f>
        <v>Sauber</v>
      </c>
      <c r="U153" s="253"/>
      <c r="V153" s="253"/>
      <c r="W153" s="254"/>
      <c r="X153" s="251"/>
      <c r="Y153" s="251"/>
      <c r="Z153" s="264">
        <f t="shared" si="373"/>
        <v>0</v>
      </c>
      <c r="AA153" s="261"/>
      <c r="AB153" s="258"/>
      <c r="AC153" s="246"/>
      <c r="AD153" s="247" t="str">
        <f>IF(ISBLANK(AC153), "", VLOOKUP(AC153, Z!$A$2:$C$4127, 3, FALSE))</f>
        <v/>
      </c>
      <c r="AE153" s="262"/>
      <c r="AF153" s="263">
        <f t="shared" si="374"/>
        <v>0</v>
      </c>
      <c r="AG153" s="238"/>
      <c r="AH153" s="229">
        <f t="shared" si="398"/>
        <v>1</v>
      </c>
      <c r="AI153" s="229">
        <f t="shared" si="399"/>
        <v>1</v>
      </c>
      <c r="AJ153" s="229">
        <f t="shared" si="400"/>
        <v>0</v>
      </c>
      <c r="AK153" s="229">
        <v>0</v>
      </c>
      <c r="AL153" s="229">
        <v>0</v>
      </c>
      <c r="AM153" s="229">
        <v>1</v>
      </c>
      <c r="AN153" s="229">
        <v>0</v>
      </c>
      <c r="AO153" s="229">
        <f t="shared" si="375"/>
        <v>-100</v>
      </c>
      <c r="AP153" s="238"/>
      <c r="AQ153" s="255"/>
      <c r="AR153" s="255"/>
      <c r="AS153" s="256"/>
      <c r="AT153" s="256"/>
      <c r="AU153" s="256"/>
      <c r="AV153" s="256"/>
      <c r="AW153" s="256"/>
      <c r="AX153" s="256"/>
      <c r="AY153" s="256"/>
      <c r="AZ153" s="256"/>
      <c r="BA153" s="256"/>
      <c r="BB153" s="256"/>
      <c r="BC153" s="256"/>
      <c r="BD153" s="238"/>
      <c r="BE153" s="229" cm="1">
        <f t="array" ref="BE153">IF(ISBLANK(R153), INDEX(Use, $AH153, 4) - AM153*INDEX(Use, $AH153, 6), R153)</f>
        <v>5</v>
      </c>
      <c r="BF153" s="229">
        <f t="shared" si="376"/>
        <v>30</v>
      </c>
      <c r="BG153" s="229">
        <f t="shared" si="241"/>
        <v>13</v>
      </c>
      <c r="BH153" s="229">
        <f t="shared" si="242"/>
        <v>0</v>
      </c>
      <c r="BI153" s="234" cm="1">
        <f t="array" ref="BI153">K153/IF($L153&gt;0, INDEX($AU$23:$BA$77, $L153+20, $AH153), 1)</f>
        <v>0</v>
      </c>
      <c r="BJ153" s="230">
        <f t="shared" si="377"/>
        <v>0</v>
      </c>
      <c r="BK153" s="229">
        <v>35</v>
      </c>
      <c r="BL153" s="230">
        <f t="shared" si="378"/>
        <v>48</v>
      </c>
      <c r="BM153" s="235">
        <f t="shared" si="379"/>
        <v>2.9108720930232557</v>
      </c>
      <c r="BN153" s="235" cm="1">
        <f t="array" ref="BN153">$BI153 * SUMPRODUCT(INDEX($AR$77:$AT$82,,$AI153),INDEX($AU$77:$BA$82,,$AH153), N($AQ$77:$AQ$82&gt;$AO153)) / BM153 / 1000</f>
        <v>0</v>
      </c>
      <c r="BO153" s="232">
        <f t="shared" si="246"/>
        <v>30</v>
      </c>
      <c r="BP153" s="230">
        <f t="shared" si="380"/>
        <v>43</v>
      </c>
      <c r="BQ153" s="235">
        <f t="shared" si="381"/>
        <v>3.2938815789473681</v>
      </c>
      <c r="BR153" s="235" cm="1">
        <f t="array" ref="BR153">$BI153 * IF($AH153&lt;=2,
SUMPRODUCT(INDEX($AR$72:$AT$76,,$AI153), INDEX($AU$72:$BA$76,,$AH153), 1 / ($BB$72:$BB$76*BQ153 + (1-$BB$72:$BB$76)*BM153), N($AQ$72:$AQ$76&gt;$AO153)),
SUMPRODUCT(INDEX($AR$67:$AT$76,,$AI153), INDEX($AU$67:$BA$76,,$AH153), 1 / ($BC$67:$BC$76*BQ153 + (1-$BC$67:$BC$76)*BM153), N($AQ$67:$AQ$76&gt;$AO153))
) / 1000</f>
        <v>0</v>
      </c>
      <c r="BS153" s="232">
        <f t="shared" si="249"/>
        <v>25</v>
      </c>
      <c r="BT153" s="230">
        <f t="shared" si="382"/>
        <v>38</v>
      </c>
      <c r="BU153" s="235">
        <f t="shared" si="383"/>
        <v>3.792954545454545</v>
      </c>
      <c r="BV153" s="235" cm="1">
        <f t="array" ref="BV153">$BI153 * IF($AH153&lt;=2,
SUMPRODUCT(INDEX($AR$67:$AT$71,,$AI153), INDEX($AU$67:$BA$71,,$AH153), 1 / ($BB$67:$BB$71*BU153 + (1-$BB$67:$BB$71)*BQ153), N($AQ$67:$AQ$71&gt;$AO153)),
SUMPRODUCT(INDEX($AR$57:$AT$66,,$AI153), INDEX($AU$57:$BA$66,,$AH153), 1 / ($BC$57:$BC$66*BU153 + (1-$BC$57:$BC$66)*BQ153), N($AQ$57:$AQ$66&gt;$AO153))
) / 1000</f>
        <v>0</v>
      </c>
      <c r="BW153" s="232">
        <f t="shared" si="252"/>
        <v>20</v>
      </c>
      <c r="BX153" s="230">
        <f t="shared" si="384"/>
        <v>33</v>
      </c>
      <c r="BY153" s="235">
        <f t="shared" si="385"/>
        <v>4.4702678571428569</v>
      </c>
      <c r="BZ153" s="235" cm="1">
        <f t="array" ref="BZ153">$BI153 * IF($AH153&lt;=2,
SUMPRODUCT(INDEX($AR$62:$AT$66,,$AI153), INDEX($AU$62:$BA$66,,$AH153), 1 / ($BB$62:$BB$66*BY153 + (1-$BB$62:$BB$66)*BU153), N($AQ$62:$AQ$66&gt;$AO153)),
SUMPRODUCT(INDEX($AR$47:$AT$56,,$AI153), INDEX($AU$47:$BA$56,,$AH153), 1 / ($BC$47:$BC$56*BY153 + (1-$BC$47:$BC$56)*BU153), N($AQ$47:$AQ$56&gt;$AO153))
) / 1000</f>
        <v>0</v>
      </c>
      <c r="CA153" s="235" cm="1">
        <f t="array" ref="CA153">$BI153 * IF($AH153&lt;=2,
SUMPRODUCT(INDEX($AR$23:$AT$61,,$AI153), INDEX($AU$23:$BA$61,,$AH153), 1 / ($BB$23:$BB$61*BY153), N($AQ$23:$AQ$61&gt;$AO153)),
SUMPRODUCT(INDEX($AR$23:$AT$46,,$AI153), INDEX($AU$23:$BA$46,,$AH153), 1 / ($BC$23:$BC$46*BY153), N($AQ$23:$AQ$46&gt;$AO153))
) / 1000</f>
        <v>0</v>
      </c>
      <c r="CB153" s="230">
        <f t="shared" si="386"/>
        <v>0</v>
      </c>
      <c r="CC153" s="238"/>
      <c r="CD153" s="229" cm="1">
        <f t="array" ref="CD153">IF(ISBLANK(Y153), INDEX(Use, $AH153, 4) - AN153*INDEX(Use, $AH153, 6) - (Q153-X153), Y153)</f>
        <v>7</v>
      </c>
      <c r="CE153" s="229">
        <f t="shared" si="387"/>
        <v>32</v>
      </c>
      <c r="CF153" s="230">
        <f t="shared" si="388"/>
        <v>0</v>
      </c>
      <c r="CG153" s="229">
        <v>35</v>
      </c>
      <c r="CH153" s="230">
        <f t="shared" si="389"/>
        <v>48</v>
      </c>
      <c r="CI153" s="235">
        <f t="shared" si="390"/>
        <v>3.0748170731707316</v>
      </c>
      <c r="CJ153" s="235" cm="1">
        <f t="array" ref="CJ153">$BI153 * SUMPRODUCT(INDEX($AR$77:$AT$82,,$AI153),INDEX($AU$77:$BA$82,,$AH153), N($AQ$77:$AQ$82&gt;$AO153)) / CI153 / 1000</f>
        <v>0</v>
      </c>
      <c r="CK153" s="232">
        <f t="shared" si="260"/>
        <v>30</v>
      </c>
      <c r="CL153" s="230">
        <f t="shared" si="391"/>
        <v>43</v>
      </c>
      <c r="CM153" s="235">
        <f t="shared" si="392"/>
        <v>3.5018750000000001</v>
      </c>
      <c r="CN153" s="235" cm="1">
        <f t="array" ref="CN153">$BI153 * IF($AH153&lt;=2,
SUMPRODUCT(INDEX($AR$72:$AT$76,,$AI153), INDEX($AU$72:$BA$76,,$AH153), 1 / ($BB$72:$BB$76*CM153 + (1-$BB$72:$BB$76)*CI153), N($AQ$72:$AQ$76&gt;$AO153)),
SUMPRODUCT(INDEX($AR$67:$AT$76,,$AI153), INDEX($AU$67:$BA$76,,$AH153), 1 / ($BC$67:$BC$76*CM153 + (1-$BC$67:$BC$76)*CI153), N($AQ$67:$AQ$76&gt;$AO153))
) / 1000</f>
        <v>0</v>
      </c>
      <c r="CO153" s="232">
        <f t="shared" si="263"/>
        <v>25</v>
      </c>
      <c r="CP153" s="230">
        <f t="shared" si="393"/>
        <v>38</v>
      </c>
      <c r="CQ153" s="235">
        <f t="shared" si="394"/>
        <v>4.0666935483870965</v>
      </c>
      <c r="CR153" s="235" cm="1">
        <f t="array" ref="CR153">$BI153 * IF($AH153&lt;=2,
SUMPRODUCT(INDEX($AR$67:$AT$71,,$AI153), INDEX($AU$67:$BA$71,,$AH153), 1 / ($BB$67:$BB$71*CQ153 + (1-$BB$67:$BB$71)*CM153), N($AQ$67:$AQ$71&gt;$AO153)),
SUMPRODUCT(INDEX($AR$57:$AT$66,,$AI153), INDEX($AU$57:$BA$66,,$AH153), 1 / ($BC$57:$BC$66*CQ153 + (1-$BC$57:$BC$66)*CM153), N($AQ$57:$AQ$66&gt;$AO153))
) / 1000</f>
        <v>0</v>
      </c>
      <c r="CS153" s="232">
        <f t="shared" si="266"/>
        <v>20</v>
      </c>
      <c r="CT153" s="230">
        <f t="shared" si="395"/>
        <v>33</v>
      </c>
      <c r="CU153" s="235">
        <f t="shared" si="396"/>
        <v>4.8487499999999999</v>
      </c>
      <c r="CV153" s="235" cm="1">
        <f t="array" ref="CV153">$BI153 * IF($AH153&lt;=2,
SUMPRODUCT(INDEX($AR$62:$AT$66,,$AI153), INDEX($AU$62:$BA$66,,$AH153), 1 / ($BB$62:$BB$66*CU153 + (1-$BB$62:$BB$66)*CQ153), N($AQ$62:$AQ$66&gt;$AO153)),
SUMPRODUCT(INDEX($AR$47:$AT$56,,$AI153), INDEX($AU$47:$BA$56,,$AH153), 1 / ($BC$47:$BC$56*CU153 + (1-$BC$47:$BC$56)*CQ153), N($AQ$47:$AQ$56&gt;$AO153))
) / 1000</f>
        <v>0</v>
      </c>
      <c r="CW153" s="235" cm="1">
        <f t="array" ref="CW153">$BI153 * IF($AH153&lt;=2,
SUMPRODUCT(INDEX($AR$23:$AT$61,,$AI153), INDEX($AU$23:$BA$61,,$AH153), 1 / ($BB$23:$BB$61*CU153), N($AQ$23:$AQ$61&gt;$AO153)),
SUMPRODUCT(INDEX($AR$23:$AT$46,,$AI153), INDEX($AU$23:$BA$46,,$AH153), 1 / ($BC$23:$BC$46*CU153), N($AQ$23:$AQ$46&gt;$AO153))
) / 1000</f>
        <v>0</v>
      </c>
      <c r="CX153" s="230">
        <f t="shared" si="397"/>
        <v>0</v>
      </c>
      <c r="CY153" s="238"/>
    </row>
    <row r="154" spans="1:103" s="76" customFormat="1" ht="14.25" customHeight="1" x14ac:dyDescent="0.2">
      <c r="A154" s="231" t="b">
        <f t="shared" si="229"/>
        <v>0</v>
      </c>
      <c r="B154" s="245">
        <v>132</v>
      </c>
      <c r="C154" s="258"/>
      <c r="D154" s="258"/>
      <c r="E154" s="246"/>
      <c r="F154" s="247" t="str">
        <f>IF(ISBLANK(E154), "", VLOOKUP(E154, Z!$A$2:$C$4127, 3, FALSE))</f>
        <v/>
      </c>
      <c r="G154" s="248"/>
      <c r="H154" s="248"/>
      <c r="I154" s="249"/>
      <c r="J154" s="250"/>
      <c r="K154" s="259"/>
      <c r="L154" s="260"/>
      <c r="M154" s="252" t="str" cm="1">
        <f t="array" ref="M154">INDEX(Trad, 53, $A$20)</f>
        <v>Verschmutzt</v>
      </c>
      <c r="N154" s="253"/>
      <c r="O154" s="253"/>
      <c r="P154" s="254"/>
      <c r="Q154" s="251"/>
      <c r="R154" s="251"/>
      <c r="S154" s="264">
        <f t="shared" si="372"/>
        <v>0</v>
      </c>
      <c r="T154" s="252" t="str" cm="1">
        <f t="array" ref="T154">INDEX(Trad, 52, $A$20)</f>
        <v>Sauber</v>
      </c>
      <c r="U154" s="253"/>
      <c r="V154" s="253"/>
      <c r="W154" s="254"/>
      <c r="X154" s="251"/>
      <c r="Y154" s="251"/>
      <c r="Z154" s="264">
        <f t="shared" si="373"/>
        <v>0</v>
      </c>
      <c r="AA154" s="261"/>
      <c r="AB154" s="258"/>
      <c r="AC154" s="246"/>
      <c r="AD154" s="247" t="str">
        <f>IF(ISBLANK(AC154), "", VLOOKUP(AC154, Z!$A$2:$C$4127, 3, FALSE))</f>
        <v/>
      </c>
      <c r="AE154" s="262"/>
      <c r="AF154" s="263">
        <f t="shared" si="374"/>
        <v>0</v>
      </c>
      <c r="AG154" s="238"/>
      <c r="AH154" s="229">
        <f t="shared" si="398"/>
        <v>1</v>
      </c>
      <c r="AI154" s="229">
        <f t="shared" si="399"/>
        <v>1</v>
      </c>
      <c r="AJ154" s="229">
        <f t="shared" si="400"/>
        <v>0</v>
      </c>
      <c r="AK154" s="229">
        <v>0</v>
      </c>
      <c r="AL154" s="229">
        <v>0</v>
      </c>
      <c r="AM154" s="229">
        <v>1</v>
      </c>
      <c r="AN154" s="229">
        <v>0</v>
      </c>
      <c r="AO154" s="229">
        <f t="shared" si="375"/>
        <v>-100</v>
      </c>
      <c r="AP154" s="238"/>
      <c r="AQ154" s="255"/>
      <c r="AR154" s="255"/>
      <c r="AS154" s="256"/>
      <c r="AT154" s="256"/>
      <c r="AU154" s="256"/>
      <c r="AV154" s="256"/>
      <c r="AW154" s="256"/>
      <c r="AX154" s="256"/>
      <c r="AY154" s="256"/>
      <c r="AZ154" s="256"/>
      <c r="BA154" s="256"/>
      <c r="BB154" s="256"/>
      <c r="BC154" s="256"/>
      <c r="BD154" s="238"/>
      <c r="BE154" s="229" cm="1">
        <f t="array" ref="BE154">IF(ISBLANK(R154), INDEX(Use, $AH154, 4) - AM154*INDEX(Use, $AH154, 6), R154)</f>
        <v>5</v>
      </c>
      <c r="BF154" s="229">
        <f t="shared" si="376"/>
        <v>30</v>
      </c>
      <c r="BG154" s="229">
        <f t="shared" si="241"/>
        <v>13</v>
      </c>
      <c r="BH154" s="229">
        <f t="shared" si="242"/>
        <v>0</v>
      </c>
      <c r="BI154" s="234" cm="1">
        <f t="array" ref="BI154">K154/IF($L154&gt;0, INDEX($AU$23:$BA$77, $L154+20, $AH154), 1)</f>
        <v>0</v>
      </c>
      <c r="BJ154" s="230">
        <f t="shared" si="377"/>
        <v>0</v>
      </c>
      <c r="BK154" s="229">
        <v>35</v>
      </c>
      <c r="BL154" s="230">
        <f t="shared" si="378"/>
        <v>48</v>
      </c>
      <c r="BM154" s="235">
        <f t="shared" si="379"/>
        <v>2.9108720930232557</v>
      </c>
      <c r="BN154" s="235" cm="1">
        <f t="array" ref="BN154">$BI154 * SUMPRODUCT(INDEX($AR$77:$AT$82,,$AI154),INDEX($AU$77:$BA$82,,$AH154), N($AQ$77:$AQ$82&gt;$AO154)) / BM154 / 1000</f>
        <v>0</v>
      </c>
      <c r="BO154" s="232">
        <f t="shared" si="246"/>
        <v>30</v>
      </c>
      <c r="BP154" s="230">
        <f t="shared" si="380"/>
        <v>43</v>
      </c>
      <c r="BQ154" s="235">
        <f t="shared" si="381"/>
        <v>3.2938815789473681</v>
      </c>
      <c r="BR154" s="235" cm="1">
        <f t="array" ref="BR154">$BI154 * IF($AH154&lt;=2,
SUMPRODUCT(INDEX($AR$72:$AT$76,,$AI154), INDEX($AU$72:$BA$76,,$AH154), 1 / ($BB$72:$BB$76*BQ154 + (1-$BB$72:$BB$76)*BM154), N($AQ$72:$AQ$76&gt;$AO154)),
SUMPRODUCT(INDEX($AR$67:$AT$76,,$AI154), INDEX($AU$67:$BA$76,,$AH154), 1 / ($BC$67:$BC$76*BQ154 + (1-$BC$67:$BC$76)*BM154), N($AQ$67:$AQ$76&gt;$AO154))
) / 1000</f>
        <v>0</v>
      </c>
      <c r="BS154" s="232">
        <f t="shared" si="249"/>
        <v>25</v>
      </c>
      <c r="BT154" s="230">
        <f t="shared" si="382"/>
        <v>38</v>
      </c>
      <c r="BU154" s="235">
        <f t="shared" si="383"/>
        <v>3.792954545454545</v>
      </c>
      <c r="BV154" s="235" cm="1">
        <f t="array" ref="BV154">$BI154 * IF($AH154&lt;=2,
SUMPRODUCT(INDEX($AR$67:$AT$71,,$AI154), INDEX($AU$67:$BA$71,,$AH154), 1 / ($BB$67:$BB$71*BU154 + (1-$BB$67:$BB$71)*BQ154), N($AQ$67:$AQ$71&gt;$AO154)),
SUMPRODUCT(INDEX($AR$57:$AT$66,,$AI154), INDEX($AU$57:$BA$66,,$AH154), 1 / ($BC$57:$BC$66*BU154 + (1-$BC$57:$BC$66)*BQ154), N($AQ$57:$AQ$66&gt;$AO154))
) / 1000</f>
        <v>0</v>
      </c>
      <c r="BW154" s="232">
        <f t="shared" si="252"/>
        <v>20</v>
      </c>
      <c r="BX154" s="230">
        <f t="shared" si="384"/>
        <v>33</v>
      </c>
      <c r="BY154" s="235">
        <f t="shared" si="385"/>
        <v>4.4702678571428569</v>
      </c>
      <c r="BZ154" s="235" cm="1">
        <f t="array" ref="BZ154">$BI154 * IF($AH154&lt;=2,
SUMPRODUCT(INDEX($AR$62:$AT$66,,$AI154), INDEX($AU$62:$BA$66,,$AH154), 1 / ($BB$62:$BB$66*BY154 + (1-$BB$62:$BB$66)*BU154), N($AQ$62:$AQ$66&gt;$AO154)),
SUMPRODUCT(INDEX($AR$47:$AT$56,,$AI154), INDEX($AU$47:$BA$56,,$AH154), 1 / ($BC$47:$BC$56*BY154 + (1-$BC$47:$BC$56)*BU154), N($AQ$47:$AQ$56&gt;$AO154))
) / 1000</f>
        <v>0</v>
      </c>
      <c r="CA154" s="235" cm="1">
        <f t="array" ref="CA154">$BI154 * IF($AH154&lt;=2,
SUMPRODUCT(INDEX($AR$23:$AT$61,,$AI154), INDEX($AU$23:$BA$61,,$AH154), 1 / ($BB$23:$BB$61*BY154), N($AQ$23:$AQ$61&gt;$AO154)),
SUMPRODUCT(INDEX($AR$23:$AT$46,,$AI154), INDEX($AU$23:$BA$46,,$AH154), 1 / ($BC$23:$BC$46*BY154), N($AQ$23:$AQ$46&gt;$AO154))
) / 1000</f>
        <v>0</v>
      </c>
      <c r="CB154" s="230">
        <f t="shared" si="386"/>
        <v>0</v>
      </c>
      <c r="CC154" s="238"/>
      <c r="CD154" s="229" cm="1">
        <f t="array" ref="CD154">IF(ISBLANK(Y154), INDEX(Use, $AH154, 4) - AN154*INDEX(Use, $AH154, 6) - (Q154-X154), Y154)</f>
        <v>7</v>
      </c>
      <c r="CE154" s="229">
        <f t="shared" si="387"/>
        <v>32</v>
      </c>
      <c r="CF154" s="230">
        <f t="shared" si="388"/>
        <v>0</v>
      </c>
      <c r="CG154" s="229">
        <v>35</v>
      </c>
      <c r="CH154" s="230">
        <f t="shared" si="389"/>
        <v>48</v>
      </c>
      <c r="CI154" s="235">
        <f t="shared" si="390"/>
        <v>3.0748170731707316</v>
      </c>
      <c r="CJ154" s="235" cm="1">
        <f t="array" ref="CJ154">$BI154 * SUMPRODUCT(INDEX($AR$77:$AT$82,,$AI154),INDEX($AU$77:$BA$82,,$AH154), N($AQ$77:$AQ$82&gt;$AO154)) / CI154 / 1000</f>
        <v>0</v>
      </c>
      <c r="CK154" s="232">
        <f t="shared" si="260"/>
        <v>30</v>
      </c>
      <c r="CL154" s="230">
        <f t="shared" si="391"/>
        <v>43</v>
      </c>
      <c r="CM154" s="235">
        <f t="shared" si="392"/>
        <v>3.5018750000000001</v>
      </c>
      <c r="CN154" s="235" cm="1">
        <f t="array" ref="CN154">$BI154 * IF($AH154&lt;=2,
SUMPRODUCT(INDEX($AR$72:$AT$76,,$AI154), INDEX($AU$72:$BA$76,,$AH154), 1 / ($BB$72:$BB$76*CM154 + (1-$BB$72:$BB$76)*CI154), N($AQ$72:$AQ$76&gt;$AO154)),
SUMPRODUCT(INDEX($AR$67:$AT$76,,$AI154), INDEX($AU$67:$BA$76,,$AH154), 1 / ($BC$67:$BC$76*CM154 + (1-$BC$67:$BC$76)*CI154), N($AQ$67:$AQ$76&gt;$AO154))
) / 1000</f>
        <v>0</v>
      </c>
      <c r="CO154" s="232">
        <f t="shared" si="263"/>
        <v>25</v>
      </c>
      <c r="CP154" s="230">
        <f t="shared" si="393"/>
        <v>38</v>
      </c>
      <c r="CQ154" s="235">
        <f t="shared" si="394"/>
        <v>4.0666935483870965</v>
      </c>
      <c r="CR154" s="235" cm="1">
        <f t="array" ref="CR154">$BI154 * IF($AH154&lt;=2,
SUMPRODUCT(INDEX($AR$67:$AT$71,,$AI154), INDEX($AU$67:$BA$71,,$AH154), 1 / ($BB$67:$BB$71*CQ154 + (1-$BB$67:$BB$71)*CM154), N($AQ$67:$AQ$71&gt;$AO154)),
SUMPRODUCT(INDEX($AR$57:$AT$66,,$AI154), INDEX($AU$57:$BA$66,,$AH154), 1 / ($BC$57:$BC$66*CQ154 + (1-$BC$57:$BC$66)*CM154), N($AQ$57:$AQ$66&gt;$AO154))
) / 1000</f>
        <v>0</v>
      </c>
      <c r="CS154" s="232">
        <f t="shared" si="266"/>
        <v>20</v>
      </c>
      <c r="CT154" s="230">
        <f t="shared" si="395"/>
        <v>33</v>
      </c>
      <c r="CU154" s="235">
        <f t="shared" si="396"/>
        <v>4.8487499999999999</v>
      </c>
      <c r="CV154" s="235" cm="1">
        <f t="array" ref="CV154">$BI154 * IF($AH154&lt;=2,
SUMPRODUCT(INDEX($AR$62:$AT$66,,$AI154), INDEX($AU$62:$BA$66,,$AH154), 1 / ($BB$62:$BB$66*CU154 + (1-$BB$62:$BB$66)*CQ154), N($AQ$62:$AQ$66&gt;$AO154)),
SUMPRODUCT(INDEX($AR$47:$AT$56,,$AI154), INDEX($AU$47:$BA$56,,$AH154), 1 / ($BC$47:$BC$56*CU154 + (1-$BC$47:$BC$56)*CQ154), N($AQ$47:$AQ$56&gt;$AO154))
) / 1000</f>
        <v>0</v>
      </c>
      <c r="CW154" s="235" cm="1">
        <f t="array" ref="CW154">$BI154 * IF($AH154&lt;=2,
SUMPRODUCT(INDEX($AR$23:$AT$61,,$AI154), INDEX($AU$23:$BA$61,,$AH154), 1 / ($BB$23:$BB$61*CU154), N($AQ$23:$AQ$61&gt;$AO154)),
SUMPRODUCT(INDEX($AR$23:$AT$46,,$AI154), INDEX($AU$23:$BA$46,,$AH154), 1 / ($BC$23:$BC$46*CU154), N($AQ$23:$AQ$46&gt;$AO154))
) / 1000</f>
        <v>0</v>
      </c>
      <c r="CX154" s="230">
        <f t="shared" si="397"/>
        <v>0</v>
      </c>
      <c r="CY154" s="238"/>
    </row>
    <row r="155" spans="1:103" s="76" customFormat="1" ht="14.25" customHeight="1" x14ac:dyDescent="0.2">
      <c r="A155" s="231" t="b">
        <f t="shared" si="229"/>
        <v>0</v>
      </c>
      <c r="B155" s="245">
        <v>133</v>
      </c>
      <c r="C155" s="258"/>
      <c r="D155" s="258"/>
      <c r="E155" s="246"/>
      <c r="F155" s="247" t="str">
        <f>IF(ISBLANK(E155), "", VLOOKUP(E155, Z!$A$2:$C$4127, 3, FALSE))</f>
        <v/>
      </c>
      <c r="G155" s="248"/>
      <c r="H155" s="248"/>
      <c r="I155" s="249"/>
      <c r="J155" s="250"/>
      <c r="K155" s="259"/>
      <c r="L155" s="260"/>
      <c r="M155" s="252" t="str" cm="1">
        <f t="array" ref="M155">INDEX(Trad, 53, $A$20)</f>
        <v>Verschmutzt</v>
      </c>
      <c r="N155" s="253"/>
      <c r="O155" s="253"/>
      <c r="P155" s="254"/>
      <c r="Q155" s="251"/>
      <c r="R155" s="251"/>
      <c r="S155" s="264">
        <f t="shared" si="372"/>
        <v>0</v>
      </c>
      <c r="T155" s="252" t="str" cm="1">
        <f t="array" ref="T155">INDEX(Trad, 52, $A$20)</f>
        <v>Sauber</v>
      </c>
      <c r="U155" s="253"/>
      <c r="V155" s="253"/>
      <c r="W155" s="254"/>
      <c r="X155" s="251"/>
      <c r="Y155" s="251"/>
      <c r="Z155" s="264">
        <f t="shared" si="373"/>
        <v>0</v>
      </c>
      <c r="AA155" s="261"/>
      <c r="AB155" s="258"/>
      <c r="AC155" s="246"/>
      <c r="AD155" s="247" t="str">
        <f>IF(ISBLANK(AC155), "", VLOOKUP(AC155, Z!$A$2:$C$4127, 3, FALSE))</f>
        <v/>
      </c>
      <c r="AE155" s="262"/>
      <c r="AF155" s="263">
        <f t="shared" si="374"/>
        <v>0</v>
      </c>
      <c r="AG155" s="238"/>
      <c r="AH155" s="229">
        <f t="shared" si="398"/>
        <v>1</v>
      </c>
      <c r="AI155" s="229">
        <f t="shared" si="399"/>
        <v>1</v>
      </c>
      <c r="AJ155" s="229">
        <f t="shared" si="400"/>
        <v>0</v>
      </c>
      <c r="AK155" s="229">
        <v>0</v>
      </c>
      <c r="AL155" s="229">
        <v>0</v>
      </c>
      <c r="AM155" s="229">
        <v>1</v>
      </c>
      <c r="AN155" s="229">
        <v>0</v>
      </c>
      <c r="AO155" s="229">
        <f t="shared" si="375"/>
        <v>-100</v>
      </c>
      <c r="AP155" s="238"/>
      <c r="AQ155" s="255"/>
      <c r="AR155" s="255"/>
      <c r="AS155" s="256"/>
      <c r="AT155" s="256"/>
      <c r="AU155" s="256"/>
      <c r="AV155" s="256"/>
      <c r="AW155" s="256"/>
      <c r="AX155" s="256"/>
      <c r="AY155" s="256"/>
      <c r="AZ155" s="256"/>
      <c r="BA155" s="256"/>
      <c r="BB155" s="256"/>
      <c r="BC155" s="256"/>
      <c r="BD155" s="238"/>
      <c r="BE155" s="229" cm="1">
        <f t="array" ref="BE155">IF(ISBLANK(R155), INDEX(Use, $AH155, 4) - AM155*INDEX(Use, $AH155, 6), R155)</f>
        <v>5</v>
      </c>
      <c r="BF155" s="229">
        <f t="shared" si="376"/>
        <v>30</v>
      </c>
      <c r="BG155" s="229">
        <f t="shared" si="241"/>
        <v>13</v>
      </c>
      <c r="BH155" s="229">
        <f t="shared" si="242"/>
        <v>0</v>
      </c>
      <c r="BI155" s="234" cm="1">
        <f t="array" ref="BI155">K155/IF($L155&gt;0, INDEX($AU$23:$BA$77, $L155+20, $AH155), 1)</f>
        <v>0</v>
      </c>
      <c r="BJ155" s="230">
        <f t="shared" si="377"/>
        <v>0</v>
      </c>
      <c r="BK155" s="229">
        <v>35</v>
      </c>
      <c r="BL155" s="230">
        <f t="shared" si="378"/>
        <v>48</v>
      </c>
      <c r="BM155" s="235">
        <f t="shared" si="379"/>
        <v>2.9108720930232557</v>
      </c>
      <c r="BN155" s="235" cm="1">
        <f t="array" ref="BN155">$BI155 * SUMPRODUCT(INDEX($AR$77:$AT$82,,$AI155),INDEX($AU$77:$BA$82,,$AH155), N($AQ$77:$AQ$82&gt;$AO155)) / BM155 / 1000</f>
        <v>0</v>
      </c>
      <c r="BO155" s="232">
        <f t="shared" si="246"/>
        <v>30</v>
      </c>
      <c r="BP155" s="230">
        <f t="shared" si="380"/>
        <v>43</v>
      </c>
      <c r="BQ155" s="235">
        <f t="shared" si="381"/>
        <v>3.2938815789473681</v>
      </c>
      <c r="BR155" s="235" cm="1">
        <f t="array" ref="BR155">$BI155 * IF($AH155&lt;=2,
SUMPRODUCT(INDEX($AR$72:$AT$76,,$AI155), INDEX($AU$72:$BA$76,,$AH155), 1 / ($BB$72:$BB$76*BQ155 + (1-$BB$72:$BB$76)*BM155), N($AQ$72:$AQ$76&gt;$AO155)),
SUMPRODUCT(INDEX($AR$67:$AT$76,,$AI155), INDEX($AU$67:$BA$76,,$AH155), 1 / ($BC$67:$BC$76*BQ155 + (1-$BC$67:$BC$76)*BM155), N($AQ$67:$AQ$76&gt;$AO155))
) / 1000</f>
        <v>0</v>
      </c>
      <c r="BS155" s="232">
        <f t="shared" si="249"/>
        <v>25</v>
      </c>
      <c r="BT155" s="230">
        <f t="shared" si="382"/>
        <v>38</v>
      </c>
      <c r="BU155" s="235">
        <f t="shared" si="383"/>
        <v>3.792954545454545</v>
      </c>
      <c r="BV155" s="235" cm="1">
        <f t="array" ref="BV155">$BI155 * IF($AH155&lt;=2,
SUMPRODUCT(INDEX($AR$67:$AT$71,,$AI155), INDEX($AU$67:$BA$71,,$AH155), 1 / ($BB$67:$BB$71*BU155 + (1-$BB$67:$BB$71)*BQ155), N($AQ$67:$AQ$71&gt;$AO155)),
SUMPRODUCT(INDEX($AR$57:$AT$66,,$AI155), INDEX($AU$57:$BA$66,,$AH155), 1 / ($BC$57:$BC$66*BU155 + (1-$BC$57:$BC$66)*BQ155), N($AQ$57:$AQ$66&gt;$AO155))
) / 1000</f>
        <v>0</v>
      </c>
      <c r="BW155" s="232">
        <f t="shared" si="252"/>
        <v>20</v>
      </c>
      <c r="BX155" s="230">
        <f t="shared" si="384"/>
        <v>33</v>
      </c>
      <c r="BY155" s="235">
        <f t="shared" si="385"/>
        <v>4.4702678571428569</v>
      </c>
      <c r="BZ155" s="235" cm="1">
        <f t="array" ref="BZ155">$BI155 * IF($AH155&lt;=2,
SUMPRODUCT(INDEX($AR$62:$AT$66,,$AI155), INDEX($AU$62:$BA$66,,$AH155), 1 / ($BB$62:$BB$66*BY155 + (1-$BB$62:$BB$66)*BU155), N($AQ$62:$AQ$66&gt;$AO155)),
SUMPRODUCT(INDEX($AR$47:$AT$56,,$AI155), INDEX($AU$47:$BA$56,,$AH155), 1 / ($BC$47:$BC$56*BY155 + (1-$BC$47:$BC$56)*BU155), N($AQ$47:$AQ$56&gt;$AO155))
) / 1000</f>
        <v>0</v>
      </c>
      <c r="CA155" s="235" cm="1">
        <f t="array" ref="CA155">$BI155 * IF($AH155&lt;=2,
SUMPRODUCT(INDEX($AR$23:$AT$61,,$AI155), INDEX($AU$23:$BA$61,,$AH155), 1 / ($BB$23:$BB$61*BY155), N($AQ$23:$AQ$61&gt;$AO155)),
SUMPRODUCT(INDEX($AR$23:$AT$46,,$AI155), INDEX($AU$23:$BA$46,,$AH155), 1 / ($BC$23:$BC$46*BY155), N($AQ$23:$AQ$46&gt;$AO155))
) / 1000</f>
        <v>0</v>
      </c>
      <c r="CB155" s="230">
        <f t="shared" si="386"/>
        <v>0</v>
      </c>
      <c r="CC155" s="238"/>
      <c r="CD155" s="229" cm="1">
        <f t="array" ref="CD155">IF(ISBLANK(Y155), INDEX(Use, $AH155, 4) - AN155*INDEX(Use, $AH155, 6) - (Q155-X155), Y155)</f>
        <v>7</v>
      </c>
      <c r="CE155" s="229">
        <f t="shared" si="387"/>
        <v>32</v>
      </c>
      <c r="CF155" s="230">
        <f t="shared" si="388"/>
        <v>0</v>
      </c>
      <c r="CG155" s="229">
        <v>35</v>
      </c>
      <c r="CH155" s="230">
        <f t="shared" si="389"/>
        <v>48</v>
      </c>
      <c r="CI155" s="235">
        <f t="shared" si="390"/>
        <v>3.0748170731707316</v>
      </c>
      <c r="CJ155" s="235" cm="1">
        <f t="array" ref="CJ155">$BI155 * SUMPRODUCT(INDEX($AR$77:$AT$82,,$AI155),INDEX($AU$77:$BA$82,,$AH155), N($AQ$77:$AQ$82&gt;$AO155)) / CI155 / 1000</f>
        <v>0</v>
      </c>
      <c r="CK155" s="232">
        <f t="shared" si="260"/>
        <v>30</v>
      </c>
      <c r="CL155" s="230">
        <f t="shared" si="391"/>
        <v>43</v>
      </c>
      <c r="CM155" s="235">
        <f t="shared" si="392"/>
        <v>3.5018750000000001</v>
      </c>
      <c r="CN155" s="235" cm="1">
        <f t="array" ref="CN155">$BI155 * IF($AH155&lt;=2,
SUMPRODUCT(INDEX($AR$72:$AT$76,,$AI155), INDEX($AU$72:$BA$76,,$AH155), 1 / ($BB$72:$BB$76*CM155 + (1-$BB$72:$BB$76)*CI155), N($AQ$72:$AQ$76&gt;$AO155)),
SUMPRODUCT(INDEX($AR$67:$AT$76,,$AI155), INDEX($AU$67:$BA$76,,$AH155), 1 / ($BC$67:$BC$76*CM155 + (1-$BC$67:$BC$76)*CI155), N($AQ$67:$AQ$76&gt;$AO155))
) / 1000</f>
        <v>0</v>
      </c>
      <c r="CO155" s="232">
        <f t="shared" si="263"/>
        <v>25</v>
      </c>
      <c r="CP155" s="230">
        <f t="shared" si="393"/>
        <v>38</v>
      </c>
      <c r="CQ155" s="235">
        <f t="shared" si="394"/>
        <v>4.0666935483870965</v>
      </c>
      <c r="CR155" s="235" cm="1">
        <f t="array" ref="CR155">$BI155 * IF($AH155&lt;=2,
SUMPRODUCT(INDEX($AR$67:$AT$71,,$AI155), INDEX($AU$67:$BA$71,,$AH155), 1 / ($BB$67:$BB$71*CQ155 + (1-$BB$67:$BB$71)*CM155), N($AQ$67:$AQ$71&gt;$AO155)),
SUMPRODUCT(INDEX($AR$57:$AT$66,,$AI155), INDEX($AU$57:$BA$66,,$AH155), 1 / ($BC$57:$BC$66*CQ155 + (1-$BC$57:$BC$66)*CM155), N($AQ$57:$AQ$66&gt;$AO155))
) / 1000</f>
        <v>0</v>
      </c>
      <c r="CS155" s="232">
        <f t="shared" si="266"/>
        <v>20</v>
      </c>
      <c r="CT155" s="230">
        <f t="shared" si="395"/>
        <v>33</v>
      </c>
      <c r="CU155" s="235">
        <f t="shared" si="396"/>
        <v>4.8487499999999999</v>
      </c>
      <c r="CV155" s="235" cm="1">
        <f t="array" ref="CV155">$BI155 * IF($AH155&lt;=2,
SUMPRODUCT(INDEX($AR$62:$AT$66,,$AI155), INDEX($AU$62:$BA$66,,$AH155), 1 / ($BB$62:$BB$66*CU155 + (1-$BB$62:$BB$66)*CQ155), N($AQ$62:$AQ$66&gt;$AO155)),
SUMPRODUCT(INDEX($AR$47:$AT$56,,$AI155), INDEX($AU$47:$BA$56,,$AH155), 1 / ($BC$47:$BC$56*CU155 + (1-$BC$47:$BC$56)*CQ155), N($AQ$47:$AQ$56&gt;$AO155))
) / 1000</f>
        <v>0</v>
      </c>
      <c r="CW155" s="235" cm="1">
        <f t="array" ref="CW155">$BI155 * IF($AH155&lt;=2,
SUMPRODUCT(INDEX($AR$23:$AT$61,,$AI155), INDEX($AU$23:$BA$61,,$AH155), 1 / ($BB$23:$BB$61*CU155), N($AQ$23:$AQ$61&gt;$AO155)),
SUMPRODUCT(INDEX($AR$23:$AT$46,,$AI155), INDEX($AU$23:$BA$46,,$AH155), 1 / ($BC$23:$BC$46*CU155), N($AQ$23:$AQ$46&gt;$AO155))
) / 1000</f>
        <v>0</v>
      </c>
      <c r="CX155" s="230">
        <f t="shared" si="397"/>
        <v>0</v>
      </c>
      <c r="CY155" s="238"/>
    </row>
    <row r="156" spans="1:103" s="76" customFormat="1" ht="14.25" customHeight="1" x14ac:dyDescent="0.2">
      <c r="A156" s="231" t="b">
        <f t="shared" si="229"/>
        <v>0</v>
      </c>
      <c r="B156" s="245">
        <v>134</v>
      </c>
      <c r="C156" s="258"/>
      <c r="D156" s="258"/>
      <c r="E156" s="246"/>
      <c r="F156" s="247" t="str">
        <f>IF(ISBLANK(E156), "", VLOOKUP(E156, Z!$A$2:$C$4127, 3, FALSE))</f>
        <v/>
      </c>
      <c r="G156" s="248"/>
      <c r="H156" s="248"/>
      <c r="I156" s="249"/>
      <c r="J156" s="250"/>
      <c r="K156" s="259"/>
      <c r="L156" s="260"/>
      <c r="M156" s="252" t="str" cm="1">
        <f t="array" ref="M156">INDEX(Trad, 53, $A$20)</f>
        <v>Verschmutzt</v>
      </c>
      <c r="N156" s="253"/>
      <c r="O156" s="253"/>
      <c r="P156" s="254"/>
      <c r="Q156" s="251"/>
      <c r="R156" s="251"/>
      <c r="S156" s="264">
        <f t="shared" si="372"/>
        <v>0</v>
      </c>
      <c r="T156" s="252" t="str" cm="1">
        <f t="array" ref="T156">INDEX(Trad, 52, $A$20)</f>
        <v>Sauber</v>
      </c>
      <c r="U156" s="253"/>
      <c r="V156" s="253"/>
      <c r="W156" s="254"/>
      <c r="X156" s="251"/>
      <c r="Y156" s="251"/>
      <c r="Z156" s="264">
        <f t="shared" si="373"/>
        <v>0</v>
      </c>
      <c r="AA156" s="261"/>
      <c r="AB156" s="258"/>
      <c r="AC156" s="246"/>
      <c r="AD156" s="247" t="str">
        <f>IF(ISBLANK(AC156), "", VLOOKUP(AC156, Z!$A$2:$C$4127, 3, FALSE))</f>
        <v/>
      </c>
      <c r="AE156" s="262"/>
      <c r="AF156" s="263">
        <f t="shared" si="374"/>
        <v>0</v>
      </c>
      <c r="AG156" s="238"/>
      <c r="AH156" s="229">
        <f t="shared" si="398"/>
        <v>1</v>
      </c>
      <c r="AI156" s="229">
        <f t="shared" si="399"/>
        <v>1</v>
      </c>
      <c r="AJ156" s="229">
        <f t="shared" si="400"/>
        <v>0</v>
      </c>
      <c r="AK156" s="229">
        <v>0</v>
      </c>
      <c r="AL156" s="229">
        <v>0</v>
      </c>
      <c r="AM156" s="229">
        <v>1</v>
      </c>
      <c r="AN156" s="229">
        <v>0</v>
      </c>
      <c r="AO156" s="229">
        <f t="shared" si="375"/>
        <v>-100</v>
      </c>
      <c r="AP156" s="238"/>
      <c r="AQ156" s="255"/>
      <c r="AR156" s="255"/>
      <c r="AS156" s="256"/>
      <c r="AT156" s="256"/>
      <c r="AU156" s="256"/>
      <c r="AV156" s="256"/>
      <c r="AW156" s="256"/>
      <c r="AX156" s="256"/>
      <c r="AY156" s="256"/>
      <c r="AZ156" s="256"/>
      <c r="BA156" s="256"/>
      <c r="BB156" s="256"/>
      <c r="BC156" s="256"/>
      <c r="BD156" s="238"/>
      <c r="BE156" s="229" cm="1">
        <f t="array" ref="BE156">IF(ISBLANK(R156), INDEX(Use, $AH156, 4) - AM156*INDEX(Use, $AH156, 6), R156)</f>
        <v>5</v>
      </c>
      <c r="BF156" s="229">
        <f t="shared" si="376"/>
        <v>30</v>
      </c>
      <c r="BG156" s="229">
        <f t="shared" si="241"/>
        <v>13</v>
      </c>
      <c r="BH156" s="229">
        <f t="shared" si="242"/>
        <v>0</v>
      </c>
      <c r="BI156" s="234" cm="1">
        <f t="array" ref="BI156">K156/IF($L156&gt;0, INDEX($AU$23:$BA$77, $L156+20, $AH156), 1)</f>
        <v>0</v>
      </c>
      <c r="BJ156" s="230">
        <f t="shared" si="377"/>
        <v>0</v>
      </c>
      <c r="BK156" s="229">
        <v>35</v>
      </c>
      <c r="BL156" s="230">
        <f t="shared" si="378"/>
        <v>48</v>
      </c>
      <c r="BM156" s="235">
        <f t="shared" si="379"/>
        <v>2.9108720930232557</v>
      </c>
      <c r="BN156" s="235" cm="1">
        <f t="array" ref="BN156">$BI156 * SUMPRODUCT(INDEX($AR$77:$AT$82,,$AI156),INDEX($AU$77:$BA$82,,$AH156), N($AQ$77:$AQ$82&gt;$AO156)) / BM156 / 1000</f>
        <v>0</v>
      </c>
      <c r="BO156" s="232">
        <f t="shared" si="246"/>
        <v>30</v>
      </c>
      <c r="BP156" s="230">
        <f t="shared" si="380"/>
        <v>43</v>
      </c>
      <c r="BQ156" s="235">
        <f t="shared" si="381"/>
        <v>3.2938815789473681</v>
      </c>
      <c r="BR156" s="235" cm="1">
        <f t="array" ref="BR156">$BI156 * IF($AH156&lt;=2,
SUMPRODUCT(INDEX($AR$72:$AT$76,,$AI156), INDEX($AU$72:$BA$76,,$AH156), 1 / ($BB$72:$BB$76*BQ156 + (1-$BB$72:$BB$76)*BM156), N($AQ$72:$AQ$76&gt;$AO156)),
SUMPRODUCT(INDEX($AR$67:$AT$76,,$AI156), INDEX($AU$67:$BA$76,,$AH156), 1 / ($BC$67:$BC$76*BQ156 + (1-$BC$67:$BC$76)*BM156), N($AQ$67:$AQ$76&gt;$AO156))
) / 1000</f>
        <v>0</v>
      </c>
      <c r="BS156" s="232">
        <f t="shared" si="249"/>
        <v>25</v>
      </c>
      <c r="BT156" s="230">
        <f t="shared" si="382"/>
        <v>38</v>
      </c>
      <c r="BU156" s="235">
        <f t="shared" si="383"/>
        <v>3.792954545454545</v>
      </c>
      <c r="BV156" s="235" cm="1">
        <f t="array" ref="BV156">$BI156 * IF($AH156&lt;=2,
SUMPRODUCT(INDEX($AR$67:$AT$71,,$AI156), INDEX($AU$67:$BA$71,,$AH156), 1 / ($BB$67:$BB$71*BU156 + (1-$BB$67:$BB$71)*BQ156), N($AQ$67:$AQ$71&gt;$AO156)),
SUMPRODUCT(INDEX($AR$57:$AT$66,,$AI156), INDEX($AU$57:$BA$66,,$AH156), 1 / ($BC$57:$BC$66*BU156 + (1-$BC$57:$BC$66)*BQ156), N($AQ$57:$AQ$66&gt;$AO156))
) / 1000</f>
        <v>0</v>
      </c>
      <c r="BW156" s="232">
        <f t="shared" si="252"/>
        <v>20</v>
      </c>
      <c r="BX156" s="230">
        <f t="shared" si="384"/>
        <v>33</v>
      </c>
      <c r="BY156" s="235">
        <f t="shared" si="385"/>
        <v>4.4702678571428569</v>
      </c>
      <c r="BZ156" s="235" cm="1">
        <f t="array" ref="BZ156">$BI156 * IF($AH156&lt;=2,
SUMPRODUCT(INDEX($AR$62:$AT$66,,$AI156), INDEX($AU$62:$BA$66,,$AH156), 1 / ($BB$62:$BB$66*BY156 + (1-$BB$62:$BB$66)*BU156), N($AQ$62:$AQ$66&gt;$AO156)),
SUMPRODUCT(INDEX($AR$47:$AT$56,,$AI156), INDEX($AU$47:$BA$56,,$AH156), 1 / ($BC$47:$BC$56*BY156 + (1-$BC$47:$BC$56)*BU156), N($AQ$47:$AQ$56&gt;$AO156))
) / 1000</f>
        <v>0</v>
      </c>
      <c r="CA156" s="235" cm="1">
        <f t="array" ref="CA156">$BI156 * IF($AH156&lt;=2,
SUMPRODUCT(INDEX($AR$23:$AT$61,,$AI156), INDEX($AU$23:$BA$61,,$AH156), 1 / ($BB$23:$BB$61*BY156), N($AQ$23:$AQ$61&gt;$AO156)),
SUMPRODUCT(INDEX($AR$23:$AT$46,,$AI156), INDEX($AU$23:$BA$46,,$AH156), 1 / ($BC$23:$BC$46*BY156), N($AQ$23:$AQ$46&gt;$AO156))
) / 1000</f>
        <v>0</v>
      </c>
      <c r="CB156" s="230">
        <f t="shared" si="386"/>
        <v>0</v>
      </c>
      <c r="CC156" s="238"/>
      <c r="CD156" s="229" cm="1">
        <f t="array" ref="CD156">IF(ISBLANK(Y156), INDEX(Use, $AH156, 4) - AN156*INDEX(Use, $AH156, 6) - (Q156-X156), Y156)</f>
        <v>7</v>
      </c>
      <c r="CE156" s="229">
        <f t="shared" si="387"/>
        <v>32</v>
      </c>
      <c r="CF156" s="230">
        <f t="shared" si="388"/>
        <v>0</v>
      </c>
      <c r="CG156" s="229">
        <v>35</v>
      </c>
      <c r="CH156" s="230">
        <f t="shared" si="389"/>
        <v>48</v>
      </c>
      <c r="CI156" s="235">
        <f t="shared" si="390"/>
        <v>3.0748170731707316</v>
      </c>
      <c r="CJ156" s="235" cm="1">
        <f t="array" ref="CJ156">$BI156 * SUMPRODUCT(INDEX($AR$77:$AT$82,,$AI156),INDEX($AU$77:$BA$82,,$AH156), N($AQ$77:$AQ$82&gt;$AO156)) / CI156 / 1000</f>
        <v>0</v>
      </c>
      <c r="CK156" s="232">
        <f t="shared" si="260"/>
        <v>30</v>
      </c>
      <c r="CL156" s="230">
        <f t="shared" si="391"/>
        <v>43</v>
      </c>
      <c r="CM156" s="235">
        <f t="shared" si="392"/>
        <v>3.5018750000000001</v>
      </c>
      <c r="CN156" s="235" cm="1">
        <f t="array" ref="CN156">$BI156 * IF($AH156&lt;=2,
SUMPRODUCT(INDEX($AR$72:$AT$76,,$AI156), INDEX($AU$72:$BA$76,,$AH156), 1 / ($BB$72:$BB$76*CM156 + (1-$BB$72:$BB$76)*CI156), N($AQ$72:$AQ$76&gt;$AO156)),
SUMPRODUCT(INDEX($AR$67:$AT$76,,$AI156), INDEX($AU$67:$BA$76,,$AH156), 1 / ($BC$67:$BC$76*CM156 + (1-$BC$67:$BC$76)*CI156), N($AQ$67:$AQ$76&gt;$AO156))
) / 1000</f>
        <v>0</v>
      </c>
      <c r="CO156" s="232">
        <f t="shared" si="263"/>
        <v>25</v>
      </c>
      <c r="CP156" s="230">
        <f t="shared" si="393"/>
        <v>38</v>
      </c>
      <c r="CQ156" s="235">
        <f t="shared" si="394"/>
        <v>4.0666935483870965</v>
      </c>
      <c r="CR156" s="235" cm="1">
        <f t="array" ref="CR156">$BI156 * IF($AH156&lt;=2,
SUMPRODUCT(INDEX($AR$67:$AT$71,,$AI156), INDEX($AU$67:$BA$71,,$AH156), 1 / ($BB$67:$BB$71*CQ156 + (1-$BB$67:$BB$71)*CM156), N($AQ$67:$AQ$71&gt;$AO156)),
SUMPRODUCT(INDEX($AR$57:$AT$66,,$AI156), INDEX($AU$57:$BA$66,,$AH156), 1 / ($BC$57:$BC$66*CQ156 + (1-$BC$57:$BC$66)*CM156), N($AQ$57:$AQ$66&gt;$AO156))
) / 1000</f>
        <v>0</v>
      </c>
      <c r="CS156" s="232">
        <f t="shared" si="266"/>
        <v>20</v>
      </c>
      <c r="CT156" s="230">
        <f t="shared" si="395"/>
        <v>33</v>
      </c>
      <c r="CU156" s="235">
        <f t="shared" si="396"/>
        <v>4.8487499999999999</v>
      </c>
      <c r="CV156" s="235" cm="1">
        <f t="array" ref="CV156">$BI156 * IF($AH156&lt;=2,
SUMPRODUCT(INDEX($AR$62:$AT$66,,$AI156), INDEX($AU$62:$BA$66,,$AH156), 1 / ($BB$62:$BB$66*CU156 + (1-$BB$62:$BB$66)*CQ156), N($AQ$62:$AQ$66&gt;$AO156)),
SUMPRODUCT(INDEX($AR$47:$AT$56,,$AI156), INDEX($AU$47:$BA$56,,$AH156), 1 / ($BC$47:$BC$56*CU156 + (1-$BC$47:$BC$56)*CQ156), N($AQ$47:$AQ$56&gt;$AO156))
) / 1000</f>
        <v>0</v>
      </c>
      <c r="CW156" s="235" cm="1">
        <f t="array" ref="CW156">$BI156 * IF($AH156&lt;=2,
SUMPRODUCT(INDEX($AR$23:$AT$61,,$AI156), INDEX($AU$23:$BA$61,,$AH156), 1 / ($BB$23:$BB$61*CU156), N($AQ$23:$AQ$61&gt;$AO156)),
SUMPRODUCT(INDEX($AR$23:$AT$46,,$AI156), INDEX($AU$23:$BA$46,,$AH156), 1 / ($BC$23:$BC$46*CU156), N($AQ$23:$AQ$46&gt;$AO156))
) / 1000</f>
        <v>0</v>
      </c>
      <c r="CX156" s="230">
        <f t="shared" si="397"/>
        <v>0</v>
      </c>
      <c r="CY156" s="238"/>
    </row>
    <row r="157" spans="1:103" s="76" customFormat="1" ht="14.25" customHeight="1" x14ac:dyDescent="0.2">
      <c r="A157" s="231" t="b">
        <f t="shared" si="229"/>
        <v>0</v>
      </c>
      <c r="B157" s="245">
        <v>135</v>
      </c>
      <c r="C157" s="258"/>
      <c r="D157" s="258"/>
      <c r="E157" s="246"/>
      <c r="F157" s="247" t="str">
        <f>IF(ISBLANK(E157), "", VLOOKUP(E157, Z!$A$2:$C$4127, 3, FALSE))</f>
        <v/>
      </c>
      <c r="G157" s="248"/>
      <c r="H157" s="248"/>
      <c r="I157" s="249"/>
      <c r="J157" s="250"/>
      <c r="K157" s="259"/>
      <c r="L157" s="260"/>
      <c r="M157" s="252" t="str" cm="1">
        <f t="array" ref="M157">INDEX(Trad, 53, $A$20)</f>
        <v>Verschmutzt</v>
      </c>
      <c r="N157" s="253"/>
      <c r="O157" s="253"/>
      <c r="P157" s="254"/>
      <c r="Q157" s="251"/>
      <c r="R157" s="251"/>
      <c r="S157" s="264">
        <f t="shared" si="372"/>
        <v>0</v>
      </c>
      <c r="T157" s="252" t="str" cm="1">
        <f t="array" ref="T157">INDEX(Trad, 52, $A$20)</f>
        <v>Sauber</v>
      </c>
      <c r="U157" s="253"/>
      <c r="V157" s="253"/>
      <c r="W157" s="254"/>
      <c r="X157" s="251"/>
      <c r="Y157" s="251"/>
      <c r="Z157" s="264">
        <f t="shared" si="373"/>
        <v>0</v>
      </c>
      <c r="AA157" s="261"/>
      <c r="AB157" s="258"/>
      <c r="AC157" s="246"/>
      <c r="AD157" s="247" t="str">
        <f>IF(ISBLANK(AC157), "", VLOOKUP(AC157, Z!$A$2:$C$4127, 3, FALSE))</f>
        <v/>
      </c>
      <c r="AE157" s="262"/>
      <c r="AF157" s="263">
        <f t="shared" si="374"/>
        <v>0</v>
      </c>
      <c r="AG157" s="238"/>
      <c r="AH157" s="229">
        <f t="shared" si="398"/>
        <v>1</v>
      </c>
      <c r="AI157" s="229">
        <f t="shared" si="399"/>
        <v>1</v>
      </c>
      <c r="AJ157" s="229">
        <f t="shared" si="400"/>
        <v>0</v>
      </c>
      <c r="AK157" s="229">
        <v>0</v>
      </c>
      <c r="AL157" s="229">
        <v>0</v>
      </c>
      <c r="AM157" s="229">
        <v>1</v>
      </c>
      <c r="AN157" s="229">
        <v>0</v>
      </c>
      <c r="AO157" s="229">
        <f t="shared" si="375"/>
        <v>-100</v>
      </c>
      <c r="AP157" s="238"/>
      <c r="AQ157" s="255"/>
      <c r="AR157" s="255"/>
      <c r="AS157" s="256"/>
      <c r="AT157" s="256"/>
      <c r="AU157" s="256"/>
      <c r="AV157" s="256"/>
      <c r="AW157" s="256"/>
      <c r="AX157" s="256"/>
      <c r="AY157" s="256"/>
      <c r="AZ157" s="256"/>
      <c r="BA157" s="256"/>
      <c r="BB157" s="256"/>
      <c r="BC157" s="256"/>
      <c r="BD157" s="238"/>
      <c r="BE157" s="229" cm="1">
        <f t="array" ref="BE157">IF(ISBLANK(R157), INDEX(Use, $AH157, 4) - AM157*INDEX(Use, $AH157, 6), R157)</f>
        <v>5</v>
      </c>
      <c r="BF157" s="229">
        <f t="shared" si="376"/>
        <v>30</v>
      </c>
      <c r="BG157" s="229">
        <f t="shared" si="241"/>
        <v>13</v>
      </c>
      <c r="BH157" s="229">
        <f t="shared" si="242"/>
        <v>0</v>
      </c>
      <c r="BI157" s="234" cm="1">
        <f t="array" ref="BI157">K157/IF($L157&gt;0, INDEX($AU$23:$BA$77, $L157+20, $AH157), 1)</f>
        <v>0</v>
      </c>
      <c r="BJ157" s="230">
        <f t="shared" si="377"/>
        <v>0</v>
      </c>
      <c r="BK157" s="229">
        <v>35</v>
      </c>
      <c r="BL157" s="230">
        <f t="shared" si="378"/>
        <v>48</v>
      </c>
      <c r="BM157" s="235">
        <f t="shared" si="379"/>
        <v>2.9108720930232557</v>
      </c>
      <c r="BN157" s="235" cm="1">
        <f t="array" ref="BN157">$BI157 * SUMPRODUCT(INDEX($AR$77:$AT$82,,$AI157),INDEX($AU$77:$BA$82,,$AH157), N($AQ$77:$AQ$82&gt;$AO157)) / BM157 / 1000</f>
        <v>0</v>
      </c>
      <c r="BO157" s="232">
        <f t="shared" si="246"/>
        <v>30</v>
      </c>
      <c r="BP157" s="230">
        <f t="shared" si="380"/>
        <v>43</v>
      </c>
      <c r="BQ157" s="235">
        <f t="shared" si="381"/>
        <v>3.2938815789473681</v>
      </c>
      <c r="BR157" s="235" cm="1">
        <f t="array" ref="BR157">$BI157 * IF($AH157&lt;=2,
SUMPRODUCT(INDEX($AR$72:$AT$76,,$AI157), INDEX($AU$72:$BA$76,,$AH157), 1 / ($BB$72:$BB$76*BQ157 + (1-$BB$72:$BB$76)*BM157), N($AQ$72:$AQ$76&gt;$AO157)),
SUMPRODUCT(INDEX($AR$67:$AT$76,,$AI157), INDEX($AU$67:$BA$76,,$AH157), 1 / ($BC$67:$BC$76*BQ157 + (1-$BC$67:$BC$76)*BM157), N($AQ$67:$AQ$76&gt;$AO157))
) / 1000</f>
        <v>0</v>
      </c>
      <c r="BS157" s="232">
        <f t="shared" si="249"/>
        <v>25</v>
      </c>
      <c r="BT157" s="230">
        <f t="shared" si="382"/>
        <v>38</v>
      </c>
      <c r="BU157" s="235">
        <f t="shared" si="383"/>
        <v>3.792954545454545</v>
      </c>
      <c r="BV157" s="235" cm="1">
        <f t="array" ref="BV157">$BI157 * IF($AH157&lt;=2,
SUMPRODUCT(INDEX($AR$67:$AT$71,,$AI157), INDEX($AU$67:$BA$71,,$AH157), 1 / ($BB$67:$BB$71*BU157 + (1-$BB$67:$BB$71)*BQ157), N($AQ$67:$AQ$71&gt;$AO157)),
SUMPRODUCT(INDEX($AR$57:$AT$66,,$AI157), INDEX($AU$57:$BA$66,,$AH157), 1 / ($BC$57:$BC$66*BU157 + (1-$BC$57:$BC$66)*BQ157), N($AQ$57:$AQ$66&gt;$AO157))
) / 1000</f>
        <v>0</v>
      </c>
      <c r="BW157" s="232">
        <f t="shared" si="252"/>
        <v>20</v>
      </c>
      <c r="BX157" s="230">
        <f t="shared" si="384"/>
        <v>33</v>
      </c>
      <c r="BY157" s="235">
        <f t="shared" si="385"/>
        <v>4.4702678571428569</v>
      </c>
      <c r="BZ157" s="235" cm="1">
        <f t="array" ref="BZ157">$BI157 * IF($AH157&lt;=2,
SUMPRODUCT(INDEX($AR$62:$AT$66,,$AI157), INDEX($AU$62:$BA$66,,$AH157), 1 / ($BB$62:$BB$66*BY157 + (1-$BB$62:$BB$66)*BU157), N($AQ$62:$AQ$66&gt;$AO157)),
SUMPRODUCT(INDEX($AR$47:$AT$56,,$AI157), INDEX($AU$47:$BA$56,,$AH157), 1 / ($BC$47:$BC$56*BY157 + (1-$BC$47:$BC$56)*BU157), N($AQ$47:$AQ$56&gt;$AO157))
) / 1000</f>
        <v>0</v>
      </c>
      <c r="CA157" s="235" cm="1">
        <f t="array" ref="CA157">$BI157 * IF($AH157&lt;=2,
SUMPRODUCT(INDEX($AR$23:$AT$61,,$AI157), INDEX($AU$23:$BA$61,,$AH157), 1 / ($BB$23:$BB$61*BY157), N($AQ$23:$AQ$61&gt;$AO157)),
SUMPRODUCT(INDEX($AR$23:$AT$46,,$AI157), INDEX($AU$23:$BA$46,,$AH157), 1 / ($BC$23:$BC$46*BY157), N($AQ$23:$AQ$46&gt;$AO157))
) / 1000</f>
        <v>0</v>
      </c>
      <c r="CB157" s="230">
        <f t="shared" si="386"/>
        <v>0</v>
      </c>
      <c r="CC157" s="238"/>
      <c r="CD157" s="229" cm="1">
        <f t="array" ref="CD157">IF(ISBLANK(Y157), INDEX(Use, $AH157, 4) - AN157*INDEX(Use, $AH157, 6) - (Q157-X157), Y157)</f>
        <v>7</v>
      </c>
      <c r="CE157" s="229">
        <f t="shared" si="387"/>
        <v>32</v>
      </c>
      <c r="CF157" s="230">
        <f t="shared" si="388"/>
        <v>0</v>
      </c>
      <c r="CG157" s="229">
        <v>35</v>
      </c>
      <c r="CH157" s="230">
        <f t="shared" si="389"/>
        <v>48</v>
      </c>
      <c r="CI157" s="235">
        <f t="shared" si="390"/>
        <v>3.0748170731707316</v>
      </c>
      <c r="CJ157" s="235" cm="1">
        <f t="array" ref="CJ157">$BI157 * SUMPRODUCT(INDEX($AR$77:$AT$82,,$AI157),INDEX($AU$77:$BA$82,,$AH157), N($AQ$77:$AQ$82&gt;$AO157)) / CI157 / 1000</f>
        <v>0</v>
      </c>
      <c r="CK157" s="232">
        <f t="shared" si="260"/>
        <v>30</v>
      </c>
      <c r="CL157" s="230">
        <f t="shared" si="391"/>
        <v>43</v>
      </c>
      <c r="CM157" s="235">
        <f t="shared" si="392"/>
        <v>3.5018750000000001</v>
      </c>
      <c r="CN157" s="235" cm="1">
        <f t="array" ref="CN157">$BI157 * IF($AH157&lt;=2,
SUMPRODUCT(INDEX($AR$72:$AT$76,,$AI157), INDEX($AU$72:$BA$76,,$AH157), 1 / ($BB$72:$BB$76*CM157 + (1-$BB$72:$BB$76)*CI157), N($AQ$72:$AQ$76&gt;$AO157)),
SUMPRODUCT(INDEX($AR$67:$AT$76,,$AI157), INDEX($AU$67:$BA$76,,$AH157), 1 / ($BC$67:$BC$76*CM157 + (1-$BC$67:$BC$76)*CI157), N($AQ$67:$AQ$76&gt;$AO157))
) / 1000</f>
        <v>0</v>
      </c>
      <c r="CO157" s="232">
        <f t="shared" si="263"/>
        <v>25</v>
      </c>
      <c r="CP157" s="230">
        <f t="shared" si="393"/>
        <v>38</v>
      </c>
      <c r="CQ157" s="235">
        <f t="shared" si="394"/>
        <v>4.0666935483870965</v>
      </c>
      <c r="CR157" s="235" cm="1">
        <f t="array" ref="CR157">$BI157 * IF($AH157&lt;=2,
SUMPRODUCT(INDEX($AR$67:$AT$71,,$AI157), INDEX($AU$67:$BA$71,,$AH157), 1 / ($BB$67:$BB$71*CQ157 + (1-$BB$67:$BB$71)*CM157), N($AQ$67:$AQ$71&gt;$AO157)),
SUMPRODUCT(INDEX($AR$57:$AT$66,,$AI157), INDEX($AU$57:$BA$66,,$AH157), 1 / ($BC$57:$BC$66*CQ157 + (1-$BC$57:$BC$66)*CM157), N($AQ$57:$AQ$66&gt;$AO157))
) / 1000</f>
        <v>0</v>
      </c>
      <c r="CS157" s="232">
        <f t="shared" si="266"/>
        <v>20</v>
      </c>
      <c r="CT157" s="230">
        <f t="shared" si="395"/>
        <v>33</v>
      </c>
      <c r="CU157" s="235">
        <f t="shared" si="396"/>
        <v>4.8487499999999999</v>
      </c>
      <c r="CV157" s="235" cm="1">
        <f t="array" ref="CV157">$BI157 * IF($AH157&lt;=2,
SUMPRODUCT(INDEX($AR$62:$AT$66,,$AI157), INDEX($AU$62:$BA$66,,$AH157), 1 / ($BB$62:$BB$66*CU157 + (1-$BB$62:$BB$66)*CQ157), N($AQ$62:$AQ$66&gt;$AO157)),
SUMPRODUCT(INDEX($AR$47:$AT$56,,$AI157), INDEX($AU$47:$BA$56,,$AH157), 1 / ($BC$47:$BC$56*CU157 + (1-$BC$47:$BC$56)*CQ157), N($AQ$47:$AQ$56&gt;$AO157))
) / 1000</f>
        <v>0</v>
      </c>
      <c r="CW157" s="235" cm="1">
        <f t="array" ref="CW157">$BI157 * IF($AH157&lt;=2,
SUMPRODUCT(INDEX($AR$23:$AT$61,,$AI157), INDEX($AU$23:$BA$61,,$AH157), 1 / ($BB$23:$BB$61*CU157), N($AQ$23:$AQ$61&gt;$AO157)),
SUMPRODUCT(INDEX($AR$23:$AT$46,,$AI157), INDEX($AU$23:$BA$46,,$AH157), 1 / ($BC$23:$BC$46*CU157), N($AQ$23:$AQ$46&gt;$AO157))
) / 1000</f>
        <v>0</v>
      </c>
      <c r="CX157" s="230">
        <f t="shared" si="397"/>
        <v>0</v>
      </c>
      <c r="CY157" s="238"/>
    </row>
    <row r="158" spans="1:103" s="76" customFormat="1" ht="14.25" customHeight="1" x14ac:dyDescent="0.2">
      <c r="A158" s="231" t="b">
        <f t="shared" si="229"/>
        <v>0</v>
      </c>
      <c r="B158" s="245">
        <v>136</v>
      </c>
      <c r="C158" s="258"/>
      <c r="D158" s="258"/>
      <c r="E158" s="246"/>
      <c r="F158" s="247" t="str">
        <f>IF(ISBLANK(E158), "", VLOOKUP(E158, Z!$A$2:$C$4127, 3, FALSE))</f>
        <v/>
      </c>
      <c r="G158" s="248"/>
      <c r="H158" s="248"/>
      <c r="I158" s="249"/>
      <c r="J158" s="250"/>
      <c r="K158" s="259"/>
      <c r="L158" s="260"/>
      <c r="M158" s="252" t="str" cm="1">
        <f t="array" ref="M158">INDEX(Trad, 53, $A$20)</f>
        <v>Verschmutzt</v>
      </c>
      <c r="N158" s="253"/>
      <c r="O158" s="253"/>
      <c r="P158" s="254"/>
      <c r="Q158" s="251"/>
      <c r="R158" s="251"/>
      <c r="S158" s="264">
        <f t="shared" si="372"/>
        <v>0</v>
      </c>
      <c r="T158" s="252" t="str" cm="1">
        <f t="array" ref="T158">INDEX(Trad, 52, $A$20)</f>
        <v>Sauber</v>
      </c>
      <c r="U158" s="253"/>
      <c r="V158" s="253"/>
      <c r="W158" s="254"/>
      <c r="X158" s="251"/>
      <c r="Y158" s="251"/>
      <c r="Z158" s="264">
        <f t="shared" si="373"/>
        <v>0</v>
      </c>
      <c r="AA158" s="261"/>
      <c r="AB158" s="258"/>
      <c r="AC158" s="246"/>
      <c r="AD158" s="247" t="str">
        <f>IF(ISBLANK(AC158), "", VLOOKUP(AC158, Z!$A$2:$C$4127, 3, FALSE))</f>
        <v/>
      </c>
      <c r="AE158" s="262"/>
      <c r="AF158" s="263">
        <f t="shared" si="374"/>
        <v>0</v>
      </c>
      <c r="AG158" s="238"/>
      <c r="AH158" s="229">
        <f t="shared" si="398"/>
        <v>1</v>
      </c>
      <c r="AI158" s="229">
        <f t="shared" si="399"/>
        <v>1</v>
      </c>
      <c r="AJ158" s="229">
        <f t="shared" si="400"/>
        <v>0</v>
      </c>
      <c r="AK158" s="229">
        <v>0</v>
      </c>
      <c r="AL158" s="229">
        <v>0</v>
      </c>
      <c r="AM158" s="229">
        <v>1</v>
      </c>
      <c r="AN158" s="229">
        <v>0</v>
      </c>
      <c r="AO158" s="229">
        <f t="shared" si="375"/>
        <v>-100</v>
      </c>
      <c r="AP158" s="238"/>
      <c r="AQ158" s="255"/>
      <c r="AR158" s="255"/>
      <c r="AS158" s="256"/>
      <c r="AT158" s="256"/>
      <c r="AU158" s="256"/>
      <c r="AV158" s="256"/>
      <c r="AW158" s="256"/>
      <c r="AX158" s="256"/>
      <c r="AY158" s="256"/>
      <c r="AZ158" s="256"/>
      <c r="BA158" s="256"/>
      <c r="BB158" s="256"/>
      <c r="BC158" s="256"/>
      <c r="BD158" s="238"/>
      <c r="BE158" s="229" cm="1">
        <f t="array" ref="BE158">IF(ISBLANK(R158), INDEX(Use, $AH158, 4) - AM158*INDEX(Use, $AH158, 6), R158)</f>
        <v>5</v>
      </c>
      <c r="BF158" s="229">
        <f t="shared" si="376"/>
        <v>30</v>
      </c>
      <c r="BG158" s="229">
        <f t="shared" si="241"/>
        <v>13</v>
      </c>
      <c r="BH158" s="229">
        <f t="shared" si="242"/>
        <v>0</v>
      </c>
      <c r="BI158" s="234" cm="1">
        <f t="array" ref="BI158">K158/IF($L158&gt;0, INDEX($AU$23:$BA$77, $L158+20, $AH158), 1)</f>
        <v>0</v>
      </c>
      <c r="BJ158" s="230">
        <f t="shared" si="377"/>
        <v>0</v>
      </c>
      <c r="BK158" s="229">
        <v>35</v>
      </c>
      <c r="BL158" s="230">
        <f t="shared" si="378"/>
        <v>48</v>
      </c>
      <c r="BM158" s="235">
        <f t="shared" si="379"/>
        <v>2.9108720930232557</v>
      </c>
      <c r="BN158" s="235" cm="1">
        <f t="array" ref="BN158">$BI158 * SUMPRODUCT(INDEX($AR$77:$AT$82,,$AI158),INDEX($AU$77:$BA$82,,$AH158), N($AQ$77:$AQ$82&gt;$AO158)) / BM158 / 1000</f>
        <v>0</v>
      </c>
      <c r="BO158" s="232">
        <f t="shared" si="246"/>
        <v>30</v>
      </c>
      <c r="BP158" s="230">
        <f t="shared" si="380"/>
        <v>43</v>
      </c>
      <c r="BQ158" s="235">
        <f t="shared" si="381"/>
        <v>3.2938815789473681</v>
      </c>
      <c r="BR158" s="235" cm="1">
        <f t="array" ref="BR158">$BI158 * IF($AH158&lt;=2,
SUMPRODUCT(INDEX($AR$72:$AT$76,,$AI158), INDEX($AU$72:$BA$76,,$AH158), 1 / ($BB$72:$BB$76*BQ158 + (1-$BB$72:$BB$76)*BM158), N($AQ$72:$AQ$76&gt;$AO158)),
SUMPRODUCT(INDEX($AR$67:$AT$76,,$AI158), INDEX($AU$67:$BA$76,,$AH158), 1 / ($BC$67:$BC$76*BQ158 + (1-$BC$67:$BC$76)*BM158), N($AQ$67:$AQ$76&gt;$AO158))
) / 1000</f>
        <v>0</v>
      </c>
      <c r="BS158" s="232">
        <f t="shared" si="249"/>
        <v>25</v>
      </c>
      <c r="BT158" s="230">
        <f t="shared" si="382"/>
        <v>38</v>
      </c>
      <c r="BU158" s="235">
        <f t="shared" si="383"/>
        <v>3.792954545454545</v>
      </c>
      <c r="BV158" s="235" cm="1">
        <f t="array" ref="BV158">$BI158 * IF($AH158&lt;=2,
SUMPRODUCT(INDEX($AR$67:$AT$71,,$AI158), INDEX($AU$67:$BA$71,,$AH158), 1 / ($BB$67:$BB$71*BU158 + (1-$BB$67:$BB$71)*BQ158), N($AQ$67:$AQ$71&gt;$AO158)),
SUMPRODUCT(INDEX($AR$57:$AT$66,,$AI158), INDEX($AU$57:$BA$66,,$AH158), 1 / ($BC$57:$BC$66*BU158 + (1-$BC$57:$BC$66)*BQ158), N($AQ$57:$AQ$66&gt;$AO158))
) / 1000</f>
        <v>0</v>
      </c>
      <c r="BW158" s="232">
        <f t="shared" si="252"/>
        <v>20</v>
      </c>
      <c r="BX158" s="230">
        <f t="shared" si="384"/>
        <v>33</v>
      </c>
      <c r="BY158" s="235">
        <f t="shared" si="385"/>
        <v>4.4702678571428569</v>
      </c>
      <c r="BZ158" s="235" cm="1">
        <f t="array" ref="BZ158">$BI158 * IF($AH158&lt;=2,
SUMPRODUCT(INDEX($AR$62:$AT$66,,$AI158), INDEX($AU$62:$BA$66,,$AH158), 1 / ($BB$62:$BB$66*BY158 + (1-$BB$62:$BB$66)*BU158), N($AQ$62:$AQ$66&gt;$AO158)),
SUMPRODUCT(INDEX($AR$47:$AT$56,,$AI158), INDEX($AU$47:$BA$56,,$AH158), 1 / ($BC$47:$BC$56*BY158 + (1-$BC$47:$BC$56)*BU158), N($AQ$47:$AQ$56&gt;$AO158))
) / 1000</f>
        <v>0</v>
      </c>
      <c r="CA158" s="235" cm="1">
        <f t="array" ref="CA158">$BI158 * IF($AH158&lt;=2,
SUMPRODUCT(INDEX($AR$23:$AT$61,,$AI158), INDEX($AU$23:$BA$61,,$AH158), 1 / ($BB$23:$BB$61*BY158), N($AQ$23:$AQ$61&gt;$AO158)),
SUMPRODUCT(INDEX($AR$23:$AT$46,,$AI158), INDEX($AU$23:$BA$46,,$AH158), 1 / ($BC$23:$BC$46*BY158), N($AQ$23:$AQ$46&gt;$AO158))
) / 1000</f>
        <v>0</v>
      </c>
      <c r="CB158" s="230">
        <f t="shared" si="386"/>
        <v>0</v>
      </c>
      <c r="CC158" s="238"/>
      <c r="CD158" s="229" cm="1">
        <f t="array" ref="CD158">IF(ISBLANK(Y158), INDEX(Use, $AH158, 4) - AN158*INDEX(Use, $AH158, 6) - (Q158-X158), Y158)</f>
        <v>7</v>
      </c>
      <c r="CE158" s="229">
        <f t="shared" si="387"/>
        <v>32</v>
      </c>
      <c r="CF158" s="230">
        <f t="shared" si="388"/>
        <v>0</v>
      </c>
      <c r="CG158" s="229">
        <v>35</v>
      </c>
      <c r="CH158" s="230">
        <f t="shared" si="389"/>
        <v>48</v>
      </c>
      <c r="CI158" s="235">
        <f t="shared" si="390"/>
        <v>3.0748170731707316</v>
      </c>
      <c r="CJ158" s="235" cm="1">
        <f t="array" ref="CJ158">$BI158 * SUMPRODUCT(INDEX($AR$77:$AT$82,,$AI158),INDEX($AU$77:$BA$82,,$AH158), N($AQ$77:$AQ$82&gt;$AO158)) / CI158 / 1000</f>
        <v>0</v>
      </c>
      <c r="CK158" s="232">
        <f t="shared" si="260"/>
        <v>30</v>
      </c>
      <c r="CL158" s="230">
        <f t="shared" si="391"/>
        <v>43</v>
      </c>
      <c r="CM158" s="235">
        <f t="shared" si="392"/>
        <v>3.5018750000000001</v>
      </c>
      <c r="CN158" s="235" cm="1">
        <f t="array" ref="CN158">$BI158 * IF($AH158&lt;=2,
SUMPRODUCT(INDEX($AR$72:$AT$76,,$AI158), INDEX($AU$72:$BA$76,,$AH158), 1 / ($BB$72:$BB$76*CM158 + (1-$BB$72:$BB$76)*CI158), N($AQ$72:$AQ$76&gt;$AO158)),
SUMPRODUCT(INDEX($AR$67:$AT$76,,$AI158), INDEX($AU$67:$BA$76,,$AH158), 1 / ($BC$67:$BC$76*CM158 + (1-$BC$67:$BC$76)*CI158), N($AQ$67:$AQ$76&gt;$AO158))
) / 1000</f>
        <v>0</v>
      </c>
      <c r="CO158" s="232">
        <f t="shared" si="263"/>
        <v>25</v>
      </c>
      <c r="CP158" s="230">
        <f t="shared" si="393"/>
        <v>38</v>
      </c>
      <c r="CQ158" s="235">
        <f t="shared" si="394"/>
        <v>4.0666935483870965</v>
      </c>
      <c r="CR158" s="235" cm="1">
        <f t="array" ref="CR158">$BI158 * IF($AH158&lt;=2,
SUMPRODUCT(INDEX($AR$67:$AT$71,,$AI158), INDEX($AU$67:$BA$71,,$AH158), 1 / ($BB$67:$BB$71*CQ158 + (1-$BB$67:$BB$71)*CM158), N($AQ$67:$AQ$71&gt;$AO158)),
SUMPRODUCT(INDEX($AR$57:$AT$66,,$AI158), INDEX($AU$57:$BA$66,,$AH158), 1 / ($BC$57:$BC$66*CQ158 + (1-$BC$57:$BC$66)*CM158), N($AQ$57:$AQ$66&gt;$AO158))
) / 1000</f>
        <v>0</v>
      </c>
      <c r="CS158" s="232">
        <f t="shared" si="266"/>
        <v>20</v>
      </c>
      <c r="CT158" s="230">
        <f t="shared" si="395"/>
        <v>33</v>
      </c>
      <c r="CU158" s="235">
        <f t="shared" si="396"/>
        <v>4.8487499999999999</v>
      </c>
      <c r="CV158" s="235" cm="1">
        <f t="array" ref="CV158">$BI158 * IF($AH158&lt;=2,
SUMPRODUCT(INDEX($AR$62:$AT$66,,$AI158), INDEX($AU$62:$BA$66,,$AH158), 1 / ($BB$62:$BB$66*CU158 + (1-$BB$62:$BB$66)*CQ158), N($AQ$62:$AQ$66&gt;$AO158)),
SUMPRODUCT(INDEX($AR$47:$AT$56,,$AI158), INDEX($AU$47:$BA$56,,$AH158), 1 / ($BC$47:$BC$56*CU158 + (1-$BC$47:$BC$56)*CQ158), N($AQ$47:$AQ$56&gt;$AO158))
) / 1000</f>
        <v>0</v>
      </c>
      <c r="CW158" s="235" cm="1">
        <f t="array" ref="CW158">$BI158 * IF($AH158&lt;=2,
SUMPRODUCT(INDEX($AR$23:$AT$61,,$AI158), INDEX($AU$23:$BA$61,,$AH158), 1 / ($BB$23:$BB$61*CU158), N($AQ$23:$AQ$61&gt;$AO158)),
SUMPRODUCT(INDEX($AR$23:$AT$46,,$AI158), INDEX($AU$23:$BA$46,,$AH158), 1 / ($BC$23:$BC$46*CU158), N($AQ$23:$AQ$46&gt;$AO158))
) / 1000</f>
        <v>0</v>
      </c>
      <c r="CX158" s="230">
        <f t="shared" si="397"/>
        <v>0</v>
      </c>
      <c r="CY158" s="238"/>
    </row>
    <row r="159" spans="1:103" s="76" customFormat="1" ht="14.25" customHeight="1" x14ac:dyDescent="0.2">
      <c r="A159" s="231" t="b">
        <f t="shared" si="229"/>
        <v>0</v>
      </c>
      <c r="B159" s="245">
        <v>137</v>
      </c>
      <c r="C159" s="258"/>
      <c r="D159" s="258"/>
      <c r="E159" s="246"/>
      <c r="F159" s="247" t="str">
        <f>IF(ISBLANK(E159), "", VLOOKUP(E159, Z!$A$2:$C$4127, 3, FALSE))</f>
        <v/>
      </c>
      <c r="G159" s="248"/>
      <c r="H159" s="248"/>
      <c r="I159" s="249"/>
      <c r="J159" s="250"/>
      <c r="K159" s="259"/>
      <c r="L159" s="260"/>
      <c r="M159" s="252" t="str" cm="1">
        <f t="array" ref="M159">INDEX(Trad, 53, $A$20)</f>
        <v>Verschmutzt</v>
      </c>
      <c r="N159" s="253"/>
      <c r="O159" s="253"/>
      <c r="P159" s="254"/>
      <c r="Q159" s="251"/>
      <c r="R159" s="251"/>
      <c r="S159" s="264">
        <f t="shared" si="372"/>
        <v>0</v>
      </c>
      <c r="T159" s="252" t="str" cm="1">
        <f t="array" ref="T159">INDEX(Trad, 52, $A$20)</f>
        <v>Sauber</v>
      </c>
      <c r="U159" s="253"/>
      <c r="V159" s="253"/>
      <c r="W159" s="254"/>
      <c r="X159" s="251"/>
      <c r="Y159" s="251"/>
      <c r="Z159" s="264">
        <f t="shared" si="373"/>
        <v>0</v>
      </c>
      <c r="AA159" s="261"/>
      <c r="AB159" s="258"/>
      <c r="AC159" s="246"/>
      <c r="AD159" s="247" t="str">
        <f>IF(ISBLANK(AC159), "", VLOOKUP(AC159, Z!$A$2:$C$4127, 3, FALSE))</f>
        <v/>
      </c>
      <c r="AE159" s="262"/>
      <c r="AF159" s="263">
        <f t="shared" si="374"/>
        <v>0</v>
      </c>
      <c r="AG159" s="238"/>
      <c r="AH159" s="229">
        <f t="shared" si="398"/>
        <v>1</v>
      </c>
      <c r="AI159" s="229">
        <f t="shared" si="399"/>
        <v>1</v>
      </c>
      <c r="AJ159" s="229">
        <f t="shared" si="400"/>
        <v>0</v>
      </c>
      <c r="AK159" s="229">
        <v>0</v>
      </c>
      <c r="AL159" s="229">
        <v>0</v>
      </c>
      <c r="AM159" s="229">
        <v>1</v>
      </c>
      <c r="AN159" s="229">
        <v>0</v>
      </c>
      <c r="AO159" s="229">
        <f t="shared" si="375"/>
        <v>-100</v>
      </c>
      <c r="AP159" s="238"/>
      <c r="AQ159" s="255"/>
      <c r="AR159" s="255"/>
      <c r="AS159" s="256"/>
      <c r="AT159" s="256"/>
      <c r="AU159" s="256"/>
      <c r="AV159" s="256"/>
      <c r="AW159" s="256"/>
      <c r="AX159" s="256"/>
      <c r="AY159" s="256"/>
      <c r="AZ159" s="256"/>
      <c r="BA159" s="256"/>
      <c r="BB159" s="256"/>
      <c r="BC159" s="256"/>
      <c r="BD159" s="238"/>
      <c r="BE159" s="229" cm="1">
        <f t="array" ref="BE159">IF(ISBLANK(R159), INDEX(Use, $AH159, 4) - AM159*INDEX(Use, $AH159, 6), R159)</f>
        <v>5</v>
      </c>
      <c r="BF159" s="229">
        <f t="shared" si="376"/>
        <v>30</v>
      </c>
      <c r="BG159" s="229">
        <f t="shared" si="241"/>
        <v>13</v>
      </c>
      <c r="BH159" s="229">
        <f t="shared" si="242"/>
        <v>0</v>
      </c>
      <c r="BI159" s="234" cm="1">
        <f t="array" ref="BI159">K159/IF($L159&gt;0, INDEX($AU$23:$BA$77, $L159+20, $AH159), 1)</f>
        <v>0</v>
      </c>
      <c r="BJ159" s="230">
        <f t="shared" si="377"/>
        <v>0</v>
      </c>
      <c r="BK159" s="229">
        <v>35</v>
      </c>
      <c r="BL159" s="230">
        <f t="shared" si="378"/>
        <v>48</v>
      </c>
      <c r="BM159" s="235">
        <f t="shared" si="379"/>
        <v>2.9108720930232557</v>
      </c>
      <c r="BN159" s="235" cm="1">
        <f t="array" ref="BN159">$BI159 * SUMPRODUCT(INDEX($AR$77:$AT$82,,$AI159),INDEX($AU$77:$BA$82,,$AH159), N($AQ$77:$AQ$82&gt;$AO159)) / BM159 / 1000</f>
        <v>0</v>
      </c>
      <c r="BO159" s="232">
        <f t="shared" si="246"/>
        <v>30</v>
      </c>
      <c r="BP159" s="230">
        <f t="shared" si="380"/>
        <v>43</v>
      </c>
      <c r="BQ159" s="235">
        <f t="shared" si="381"/>
        <v>3.2938815789473681</v>
      </c>
      <c r="BR159" s="235" cm="1">
        <f t="array" ref="BR159">$BI159 * IF($AH159&lt;=2,
SUMPRODUCT(INDEX($AR$72:$AT$76,,$AI159), INDEX($AU$72:$BA$76,,$AH159), 1 / ($BB$72:$BB$76*BQ159 + (1-$BB$72:$BB$76)*BM159), N($AQ$72:$AQ$76&gt;$AO159)),
SUMPRODUCT(INDEX($AR$67:$AT$76,,$AI159), INDEX($AU$67:$BA$76,,$AH159), 1 / ($BC$67:$BC$76*BQ159 + (1-$BC$67:$BC$76)*BM159), N($AQ$67:$AQ$76&gt;$AO159))
) / 1000</f>
        <v>0</v>
      </c>
      <c r="BS159" s="232">
        <f t="shared" si="249"/>
        <v>25</v>
      </c>
      <c r="BT159" s="230">
        <f t="shared" si="382"/>
        <v>38</v>
      </c>
      <c r="BU159" s="235">
        <f t="shared" si="383"/>
        <v>3.792954545454545</v>
      </c>
      <c r="BV159" s="235" cm="1">
        <f t="array" ref="BV159">$BI159 * IF($AH159&lt;=2,
SUMPRODUCT(INDEX($AR$67:$AT$71,,$AI159), INDEX($AU$67:$BA$71,,$AH159), 1 / ($BB$67:$BB$71*BU159 + (1-$BB$67:$BB$71)*BQ159), N($AQ$67:$AQ$71&gt;$AO159)),
SUMPRODUCT(INDEX($AR$57:$AT$66,,$AI159), INDEX($AU$57:$BA$66,,$AH159), 1 / ($BC$57:$BC$66*BU159 + (1-$BC$57:$BC$66)*BQ159), N($AQ$57:$AQ$66&gt;$AO159))
) / 1000</f>
        <v>0</v>
      </c>
      <c r="BW159" s="232">
        <f t="shared" si="252"/>
        <v>20</v>
      </c>
      <c r="BX159" s="230">
        <f t="shared" si="384"/>
        <v>33</v>
      </c>
      <c r="BY159" s="235">
        <f t="shared" si="385"/>
        <v>4.4702678571428569</v>
      </c>
      <c r="BZ159" s="235" cm="1">
        <f t="array" ref="BZ159">$BI159 * IF($AH159&lt;=2,
SUMPRODUCT(INDEX($AR$62:$AT$66,,$AI159), INDEX($AU$62:$BA$66,,$AH159), 1 / ($BB$62:$BB$66*BY159 + (1-$BB$62:$BB$66)*BU159), N($AQ$62:$AQ$66&gt;$AO159)),
SUMPRODUCT(INDEX($AR$47:$AT$56,,$AI159), INDEX($AU$47:$BA$56,,$AH159), 1 / ($BC$47:$BC$56*BY159 + (1-$BC$47:$BC$56)*BU159), N($AQ$47:$AQ$56&gt;$AO159))
) / 1000</f>
        <v>0</v>
      </c>
      <c r="CA159" s="235" cm="1">
        <f t="array" ref="CA159">$BI159 * IF($AH159&lt;=2,
SUMPRODUCT(INDEX($AR$23:$AT$61,,$AI159), INDEX($AU$23:$BA$61,,$AH159), 1 / ($BB$23:$BB$61*BY159), N($AQ$23:$AQ$61&gt;$AO159)),
SUMPRODUCT(INDEX($AR$23:$AT$46,,$AI159), INDEX($AU$23:$BA$46,,$AH159), 1 / ($BC$23:$BC$46*BY159), N($AQ$23:$AQ$46&gt;$AO159))
) / 1000</f>
        <v>0</v>
      </c>
      <c r="CB159" s="230">
        <f t="shared" si="386"/>
        <v>0</v>
      </c>
      <c r="CC159" s="238"/>
      <c r="CD159" s="229" cm="1">
        <f t="array" ref="CD159">IF(ISBLANK(Y159), INDEX(Use, $AH159, 4) - AN159*INDEX(Use, $AH159, 6) - (Q159-X159), Y159)</f>
        <v>7</v>
      </c>
      <c r="CE159" s="229">
        <f t="shared" si="387"/>
        <v>32</v>
      </c>
      <c r="CF159" s="230">
        <f t="shared" si="388"/>
        <v>0</v>
      </c>
      <c r="CG159" s="229">
        <v>35</v>
      </c>
      <c r="CH159" s="230">
        <f t="shared" si="389"/>
        <v>48</v>
      </c>
      <c r="CI159" s="235">
        <f t="shared" si="390"/>
        <v>3.0748170731707316</v>
      </c>
      <c r="CJ159" s="235" cm="1">
        <f t="array" ref="CJ159">$BI159 * SUMPRODUCT(INDEX($AR$77:$AT$82,,$AI159),INDEX($AU$77:$BA$82,,$AH159), N($AQ$77:$AQ$82&gt;$AO159)) / CI159 / 1000</f>
        <v>0</v>
      </c>
      <c r="CK159" s="232">
        <f t="shared" si="260"/>
        <v>30</v>
      </c>
      <c r="CL159" s="230">
        <f t="shared" si="391"/>
        <v>43</v>
      </c>
      <c r="CM159" s="235">
        <f t="shared" si="392"/>
        <v>3.5018750000000001</v>
      </c>
      <c r="CN159" s="235" cm="1">
        <f t="array" ref="CN159">$BI159 * IF($AH159&lt;=2,
SUMPRODUCT(INDEX($AR$72:$AT$76,,$AI159), INDEX($AU$72:$BA$76,,$AH159), 1 / ($BB$72:$BB$76*CM159 + (1-$BB$72:$BB$76)*CI159), N($AQ$72:$AQ$76&gt;$AO159)),
SUMPRODUCT(INDEX($AR$67:$AT$76,,$AI159), INDEX($AU$67:$BA$76,,$AH159), 1 / ($BC$67:$BC$76*CM159 + (1-$BC$67:$BC$76)*CI159), N($AQ$67:$AQ$76&gt;$AO159))
) / 1000</f>
        <v>0</v>
      </c>
      <c r="CO159" s="232">
        <f t="shared" si="263"/>
        <v>25</v>
      </c>
      <c r="CP159" s="230">
        <f t="shared" si="393"/>
        <v>38</v>
      </c>
      <c r="CQ159" s="235">
        <f t="shared" si="394"/>
        <v>4.0666935483870965</v>
      </c>
      <c r="CR159" s="235" cm="1">
        <f t="array" ref="CR159">$BI159 * IF($AH159&lt;=2,
SUMPRODUCT(INDEX($AR$67:$AT$71,,$AI159), INDEX($AU$67:$BA$71,,$AH159), 1 / ($BB$67:$BB$71*CQ159 + (1-$BB$67:$BB$71)*CM159), N($AQ$67:$AQ$71&gt;$AO159)),
SUMPRODUCT(INDEX($AR$57:$AT$66,,$AI159), INDEX($AU$57:$BA$66,,$AH159), 1 / ($BC$57:$BC$66*CQ159 + (1-$BC$57:$BC$66)*CM159), N($AQ$57:$AQ$66&gt;$AO159))
) / 1000</f>
        <v>0</v>
      </c>
      <c r="CS159" s="232">
        <f t="shared" si="266"/>
        <v>20</v>
      </c>
      <c r="CT159" s="230">
        <f t="shared" si="395"/>
        <v>33</v>
      </c>
      <c r="CU159" s="235">
        <f t="shared" si="396"/>
        <v>4.8487499999999999</v>
      </c>
      <c r="CV159" s="235" cm="1">
        <f t="array" ref="CV159">$BI159 * IF($AH159&lt;=2,
SUMPRODUCT(INDEX($AR$62:$AT$66,,$AI159), INDEX($AU$62:$BA$66,,$AH159), 1 / ($BB$62:$BB$66*CU159 + (1-$BB$62:$BB$66)*CQ159), N($AQ$62:$AQ$66&gt;$AO159)),
SUMPRODUCT(INDEX($AR$47:$AT$56,,$AI159), INDEX($AU$47:$BA$56,,$AH159), 1 / ($BC$47:$BC$56*CU159 + (1-$BC$47:$BC$56)*CQ159), N($AQ$47:$AQ$56&gt;$AO159))
) / 1000</f>
        <v>0</v>
      </c>
      <c r="CW159" s="235" cm="1">
        <f t="array" ref="CW159">$BI159 * IF($AH159&lt;=2,
SUMPRODUCT(INDEX($AR$23:$AT$61,,$AI159), INDEX($AU$23:$BA$61,,$AH159), 1 / ($BB$23:$BB$61*CU159), N($AQ$23:$AQ$61&gt;$AO159)),
SUMPRODUCT(INDEX($AR$23:$AT$46,,$AI159), INDEX($AU$23:$BA$46,,$AH159), 1 / ($BC$23:$BC$46*CU159), N($AQ$23:$AQ$46&gt;$AO159))
) / 1000</f>
        <v>0</v>
      </c>
      <c r="CX159" s="230">
        <f t="shared" si="397"/>
        <v>0</v>
      </c>
      <c r="CY159" s="238"/>
    </row>
    <row r="160" spans="1:103" s="76" customFormat="1" ht="14.25" customHeight="1" x14ac:dyDescent="0.2">
      <c r="A160" s="231" t="b">
        <f t="shared" si="229"/>
        <v>0</v>
      </c>
      <c r="B160" s="245">
        <v>138</v>
      </c>
      <c r="C160" s="258"/>
      <c r="D160" s="258"/>
      <c r="E160" s="246"/>
      <c r="F160" s="247" t="str">
        <f>IF(ISBLANK(E160), "", VLOOKUP(E160, Z!$A$2:$C$4127, 3, FALSE))</f>
        <v/>
      </c>
      <c r="G160" s="248"/>
      <c r="H160" s="248"/>
      <c r="I160" s="249"/>
      <c r="J160" s="250"/>
      <c r="K160" s="259"/>
      <c r="L160" s="260"/>
      <c r="M160" s="252" t="str" cm="1">
        <f t="array" ref="M160">INDEX(Trad, 53, $A$20)</f>
        <v>Verschmutzt</v>
      </c>
      <c r="N160" s="253"/>
      <c r="O160" s="253"/>
      <c r="P160" s="254"/>
      <c r="Q160" s="251"/>
      <c r="R160" s="251"/>
      <c r="S160" s="264">
        <f t="shared" si="372"/>
        <v>0</v>
      </c>
      <c r="T160" s="252" t="str" cm="1">
        <f t="array" ref="T160">INDEX(Trad, 52, $A$20)</f>
        <v>Sauber</v>
      </c>
      <c r="U160" s="253"/>
      <c r="V160" s="253"/>
      <c r="W160" s="254"/>
      <c r="X160" s="251"/>
      <c r="Y160" s="251"/>
      <c r="Z160" s="264">
        <f t="shared" si="373"/>
        <v>0</v>
      </c>
      <c r="AA160" s="261"/>
      <c r="AB160" s="258"/>
      <c r="AC160" s="246"/>
      <c r="AD160" s="247" t="str">
        <f>IF(ISBLANK(AC160), "", VLOOKUP(AC160, Z!$A$2:$C$4127, 3, FALSE))</f>
        <v/>
      </c>
      <c r="AE160" s="262"/>
      <c r="AF160" s="263">
        <f t="shared" si="374"/>
        <v>0</v>
      </c>
      <c r="AG160" s="238"/>
      <c r="AH160" s="229">
        <f t="shared" si="398"/>
        <v>1</v>
      </c>
      <c r="AI160" s="229">
        <f t="shared" si="399"/>
        <v>1</v>
      </c>
      <c r="AJ160" s="229">
        <f t="shared" si="400"/>
        <v>0</v>
      </c>
      <c r="AK160" s="229">
        <v>0</v>
      </c>
      <c r="AL160" s="229">
        <v>0</v>
      </c>
      <c r="AM160" s="229">
        <v>1</v>
      </c>
      <c r="AN160" s="229">
        <v>0</v>
      </c>
      <c r="AO160" s="229">
        <f t="shared" si="375"/>
        <v>-100</v>
      </c>
      <c r="AP160" s="238"/>
      <c r="AQ160" s="255"/>
      <c r="AR160" s="255"/>
      <c r="AS160" s="256"/>
      <c r="AT160" s="256"/>
      <c r="AU160" s="256"/>
      <c r="AV160" s="256"/>
      <c r="AW160" s="256"/>
      <c r="AX160" s="256"/>
      <c r="AY160" s="256"/>
      <c r="AZ160" s="256"/>
      <c r="BA160" s="256"/>
      <c r="BB160" s="256"/>
      <c r="BC160" s="256"/>
      <c r="BD160" s="238"/>
      <c r="BE160" s="229" cm="1">
        <f t="array" ref="BE160">IF(ISBLANK(R160), INDEX(Use, $AH160, 4) - AM160*INDEX(Use, $AH160, 6), R160)</f>
        <v>5</v>
      </c>
      <c r="BF160" s="229">
        <f t="shared" si="376"/>
        <v>30</v>
      </c>
      <c r="BG160" s="229">
        <f t="shared" si="241"/>
        <v>13</v>
      </c>
      <c r="BH160" s="229">
        <f t="shared" si="242"/>
        <v>0</v>
      </c>
      <c r="BI160" s="234" cm="1">
        <f t="array" ref="BI160">K160/IF($L160&gt;0, INDEX($AU$23:$BA$77, $L160+20, $AH160), 1)</f>
        <v>0</v>
      </c>
      <c r="BJ160" s="230">
        <f t="shared" si="377"/>
        <v>0</v>
      </c>
      <c r="BK160" s="229">
        <v>35</v>
      </c>
      <c r="BL160" s="230">
        <f t="shared" si="378"/>
        <v>48</v>
      </c>
      <c r="BM160" s="235">
        <f t="shared" si="379"/>
        <v>2.9108720930232557</v>
      </c>
      <c r="BN160" s="235" cm="1">
        <f t="array" ref="BN160">$BI160 * SUMPRODUCT(INDEX($AR$77:$AT$82,,$AI160),INDEX($AU$77:$BA$82,,$AH160), N($AQ$77:$AQ$82&gt;$AO160)) / BM160 / 1000</f>
        <v>0</v>
      </c>
      <c r="BO160" s="232">
        <f t="shared" si="246"/>
        <v>30</v>
      </c>
      <c r="BP160" s="230">
        <f t="shared" si="380"/>
        <v>43</v>
      </c>
      <c r="BQ160" s="235">
        <f t="shared" si="381"/>
        <v>3.2938815789473681</v>
      </c>
      <c r="BR160" s="235" cm="1">
        <f t="array" ref="BR160">$BI160 * IF($AH160&lt;=2,
SUMPRODUCT(INDEX($AR$72:$AT$76,,$AI160), INDEX($AU$72:$BA$76,,$AH160), 1 / ($BB$72:$BB$76*BQ160 + (1-$BB$72:$BB$76)*BM160), N($AQ$72:$AQ$76&gt;$AO160)),
SUMPRODUCT(INDEX($AR$67:$AT$76,,$AI160), INDEX($AU$67:$BA$76,,$AH160), 1 / ($BC$67:$BC$76*BQ160 + (1-$BC$67:$BC$76)*BM160), N($AQ$67:$AQ$76&gt;$AO160))
) / 1000</f>
        <v>0</v>
      </c>
      <c r="BS160" s="232">
        <f t="shared" si="249"/>
        <v>25</v>
      </c>
      <c r="BT160" s="230">
        <f t="shared" si="382"/>
        <v>38</v>
      </c>
      <c r="BU160" s="235">
        <f t="shared" si="383"/>
        <v>3.792954545454545</v>
      </c>
      <c r="BV160" s="235" cm="1">
        <f t="array" ref="BV160">$BI160 * IF($AH160&lt;=2,
SUMPRODUCT(INDEX($AR$67:$AT$71,,$AI160), INDEX($AU$67:$BA$71,,$AH160), 1 / ($BB$67:$BB$71*BU160 + (1-$BB$67:$BB$71)*BQ160), N($AQ$67:$AQ$71&gt;$AO160)),
SUMPRODUCT(INDEX($AR$57:$AT$66,,$AI160), INDEX($AU$57:$BA$66,,$AH160), 1 / ($BC$57:$BC$66*BU160 + (1-$BC$57:$BC$66)*BQ160), N($AQ$57:$AQ$66&gt;$AO160))
) / 1000</f>
        <v>0</v>
      </c>
      <c r="BW160" s="232">
        <f t="shared" si="252"/>
        <v>20</v>
      </c>
      <c r="BX160" s="230">
        <f t="shared" si="384"/>
        <v>33</v>
      </c>
      <c r="BY160" s="235">
        <f t="shared" si="385"/>
        <v>4.4702678571428569</v>
      </c>
      <c r="BZ160" s="235" cm="1">
        <f t="array" ref="BZ160">$BI160 * IF($AH160&lt;=2,
SUMPRODUCT(INDEX($AR$62:$AT$66,,$AI160), INDEX($AU$62:$BA$66,,$AH160), 1 / ($BB$62:$BB$66*BY160 + (1-$BB$62:$BB$66)*BU160), N($AQ$62:$AQ$66&gt;$AO160)),
SUMPRODUCT(INDEX($AR$47:$AT$56,,$AI160), INDEX($AU$47:$BA$56,,$AH160), 1 / ($BC$47:$BC$56*BY160 + (1-$BC$47:$BC$56)*BU160), N($AQ$47:$AQ$56&gt;$AO160))
) / 1000</f>
        <v>0</v>
      </c>
      <c r="CA160" s="235" cm="1">
        <f t="array" ref="CA160">$BI160 * IF($AH160&lt;=2,
SUMPRODUCT(INDEX($AR$23:$AT$61,,$AI160), INDEX($AU$23:$BA$61,,$AH160), 1 / ($BB$23:$BB$61*BY160), N($AQ$23:$AQ$61&gt;$AO160)),
SUMPRODUCT(INDEX($AR$23:$AT$46,,$AI160), INDEX($AU$23:$BA$46,,$AH160), 1 / ($BC$23:$BC$46*BY160), N($AQ$23:$AQ$46&gt;$AO160))
) / 1000</f>
        <v>0</v>
      </c>
      <c r="CB160" s="230">
        <f t="shared" si="386"/>
        <v>0</v>
      </c>
      <c r="CC160" s="238"/>
      <c r="CD160" s="229" cm="1">
        <f t="array" ref="CD160">IF(ISBLANK(Y160), INDEX(Use, $AH160, 4) - AN160*INDEX(Use, $AH160, 6) - (Q160-X160), Y160)</f>
        <v>7</v>
      </c>
      <c r="CE160" s="229">
        <f t="shared" si="387"/>
        <v>32</v>
      </c>
      <c r="CF160" s="230">
        <f t="shared" si="388"/>
        <v>0</v>
      </c>
      <c r="CG160" s="229">
        <v>35</v>
      </c>
      <c r="CH160" s="230">
        <f t="shared" si="389"/>
        <v>48</v>
      </c>
      <c r="CI160" s="235">
        <f t="shared" si="390"/>
        <v>3.0748170731707316</v>
      </c>
      <c r="CJ160" s="235" cm="1">
        <f t="array" ref="CJ160">$BI160 * SUMPRODUCT(INDEX($AR$77:$AT$82,,$AI160),INDEX($AU$77:$BA$82,,$AH160), N($AQ$77:$AQ$82&gt;$AO160)) / CI160 / 1000</f>
        <v>0</v>
      </c>
      <c r="CK160" s="232">
        <f t="shared" si="260"/>
        <v>30</v>
      </c>
      <c r="CL160" s="230">
        <f t="shared" si="391"/>
        <v>43</v>
      </c>
      <c r="CM160" s="235">
        <f t="shared" si="392"/>
        <v>3.5018750000000001</v>
      </c>
      <c r="CN160" s="235" cm="1">
        <f t="array" ref="CN160">$BI160 * IF($AH160&lt;=2,
SUMPRODUCT(INDEX($AR$72:$AT$76,,$AI160), INDEX($AU$72:$BA$76,,$AH160), 1 / ($BB$72:$BB$76*CM160 + (1-$BB$72:$BB$76)*CI160), N($AQ$72:$AQ$76&gt;$AO160)),
SUMPRODUCT(INDEX($AR$67:$AT$76,,$AI160), INDEX($AU$67:$BA$76,,$AH160), 1 / ($BC$67:$BC$76*CM160 + (1-$BC$67:$BC$76)*CI160), N($AQ$67:$AQ$76&gt;$AO160))
) / 1000</f>
        <v>0</v>
      </c>
      <c r="CO160" s="232">
        <f t="shared" si="263"/>
        <v>25</v>
      </c>
      <c r="CP160" s="230">
        <f t="shared" si="393"/>
        <v>38</v>
      </c>
      <c r="CQ160" s="235">
        <f t="shared" si="394"/>
        <v>4.0666935483870965</v>
      </c>
      <c r="CR160" s="235" cm="1">
        <f t="array" ref="CR160">$BI160 * IF($AH160&lt;=2,
SUMPRODUCT(INDEX($AR$67:$AT$71,,$AI160), INDEX($AU$67:$BA$71,,$AH160), 1 / ($BB$67:$BB$71*CQ160 + (1-$BB$67:$BB$71)*CM160), N($AQ$67:$AQ$71&gt;$AO160)),
SUMPRODUCT(INDEX($AR$57:$AT$66,,$AI160), INDEX($AU$57:$BA$66,,$AH160), 1 / ($BC$57:$BC$66*CQ160 + (1-$BC$57:$BC$66)*CM160), N($AQ$57:$AQ$66&gt;$AO160))
) / 1000</f>
        <v>0</v>
      </c>
      <c r="CS160" s="232">
        <f t="shared" si="266"/>
        <v>20</v>
      </c>
      <c r="CT160" s="230">
        <f t="shared" si="395"/>
        <v>33</v>
      </c>
      <c r="CU160" s="235">
        <f t="shared" si="396"/>
        <v>4.8487499999999999</v>
      </c>
      <c r="CV160" s="235" cm="1">
        <f t="array" ref="CV160">$BI160 * IF($AH160&lt;=2,
SUMPRODUCT(INDEX($AR$62:$AT$66,,$AI160), INDEX($AU$62:$BA$66,,$AH160), 1 / ($BB$62:$BB$66*CU160 + (1-$BB$62:$BB$66)*CQ160), N($AQ$62:$AQ$66&gt;$AO160)),
SUMPRODUCT(INDEX($AR$47:$AT$56,,$AI160), INDEX($AU$47:$BA$56,,$AH160), 1 / ($BC$47:$BC$56*CU160 + (1-$BC$47:$BC$56)*CQ160), N($AQ$47:$AQ$56&gt;$AO160))
) / 1000</f>
        <v>0</v>
      </c>
      <c r="CW160" s="235" cm="1">
        <f t="array" ref="CW160">$BI160 * IF($AH160&lt;=2,
SUMPRODUCT(INDEX($AR$23:$AT$61,,$AI160), INDEX($AU$23:$BA$61,,$AH160), 1 / ($BB$23:$BB$61*CU160), N($AQ$23:$AQ$61&gt;$AO160)),
SUMPRODUCT(INDEX($AR$23:$AT$46,,$AI160), INDEX($AU$23:$BA$46,,$AH160), 1 / ($BC$23:$BC$46*CU160), N($AQ$23:$AQ$46&gt;$AO160))
) / 1000</f>
        <v>0</v>
      </c>
      <c r="CX160" s="230">
        <f t="shared" si="397"/>
        <v>0</v>
      </c>
      <c r="CY160" s="238"/>
    </row>
    <row r="161" spans="1:103" s="76" customFormat="1" ht="14.25" customHeight="1" x14ac:dyDescent="0.2">
      <c r="A161" s="231" t="b">
        <f t="shared" si="229"/>
        <v>0</v>
      </c>
      <c r="B161" s="245">
        <v>139</v>
      </c>
      <c r="C161" s="258"/>
      <c r="D161" s="258"/>
      <c r="E161" s="246"/>
      <c r="F161" s="247" t="str">
        <f>IF(ISBLANK(E161), "", VLOOKUP(E161, Z!$A$2:$C$4127, 3, FALSE))</f>
        <v/>
      </c>
      <c r="G161" s="248"/>
      <c r="H161" s="248"/>
      <c r="I161" s="249"/>
      <c r="J161" s="250"/>
      <c r="K161" s="259"/>
      <c r="L161" s="260"/>
      <c r="M161" s="252" t="str" cm="1">
        <f t="array" ref="M161">INDEX(Trad, 53, $A$20)</f>
        <v>Verschmutzt</v>
      </c>
      <c r="N161" s="253"/>
      <c r="O161" s="253"/>
      <c r="P161" s="254"/>
      <c r="Q161" s="251"/>
      <c r="R161" s="251"/>
      <c r="S161" s="264">
        <f t="shared" si="372"/>
        <v>0</v>
      </c>
      <c r="T161" s="252" t="str" cm="1">
        <f t="array" ref="T161">INDEX(Trad, 52, $A$20)</f>
        <v>Sauber</v>
      </c>
      <c r="U161" s="253"/>
      <c r="V161" s="253"/>
      <c r="W161" s="254"/>
      <c r="X161" s="251"/>
      <c r="Y161" s="251"/>
      <c r="Z161" s="264">
        <f t="shared" si="373"/>
        <v>0</v>
      </c>
      <c r="AA161" s="261"/>
      <c r="AB161" s="258"/>
      <c r="AC161" s="246"/>
      <c r="AD161" s="247" t="str">
        <f>IF(ISBLANK(AC161), "", VLOOKUP(AC161, Z!$A$2:$C$4127, 3, FALSE))</f>
        <v/>
      </c>
      <c r="AE161" s="262"/>
      <c r="AF161" s="263">
        <f t="shared" si="374"/>
        <v>0</v>
      </c>
      <c r="AG161" s="238"/>
      <c r="AH161" s="229">
        <f t="shared" si="398"/>
        <v>1</v>
      </c>
      <c r="AI161" s="229">
        <f t="shared" si="399"/>
        <v>1</v>
      </c>
      <c r="AJ161" s="229">
        <f t="shared" si="400"/>
        <v>0</v>
      </c>
      <c r="AK161" s="229">
        <v>0</v>
      </c>
      <c r="AL161" s="229">
        <v>0</v>
      </c>
      <c r="AM161" s="229">
        <v>1</v>
      </c>
      <c r="AN161" s="229">
        <v>0</v>
      </c>
      <c r="AO161" s="229">
        <f t="shared" si="375"/>
        <v>-100</v>
      </c>
      <c r="AP161" s="238"/>
      <c r="AQ161" s="255"/>
      <c r="AR161" s="255"/>
      <c r="AS161" s="256"/>
      <c r="AT161" s="256"/>
      <c r="AU161" s="256"/>
      <c r="AV161" s="256"/>
      <c r="AW161" s="256"/>
      <c r="AX161" s="256"/>
      <c r="AY161" s="256"/>
      <c r="AZ161" s="256"/>
      <c r="BA161" s="256"/>
      <c r="BB161" s="256"/>
      <c r="BC161" s="256"/>
      <c r="BD161" s="238"/>
      <c r="BE161" s="229" cm="1">
        <f t="array" ref="BE161">IF(ISBLANK(R161), INDEX(Use, $AH161, 4) - AM161*INDEX(Use, $AH161, 6), R161)</f>
        <v>5</v>
      </c>
      <c r="BF161" s="229">
        <f t="shared" si="376"/>
        <v>30</v>
      </c>
      <c r="BG161" s="229">
        <f t="shared" si="241"/>
        <v>13</v>
      </c>
      <c r="BH161" s="229">
        <f t="shared" si="242"/>
        <v>0</v>
      </c>
      <c r="BI161" s="234" cm="1">
        <f t="array" ref="BI161">K161/IF($L161&gt;0, INDEX($AU$23:$BA$77, $L161+20, $AH161), 1)</f>
        <v>0</v>
      </c>
      <c r="BJ161" s="230">
        <f t="shared" si="377"/>
        <v>0</v>
      </c>
      <c r="BK161" s="229">
        <v>35</v>
      </c>
      <c r="BL161" s="230">
        <f t="shared" si="378"/>
        <v>48</v>
      </c>
      <c r="BM161" s="235">
        <f t="shared" si="379"/>
        <v>2.9108720930232557</v>
      </c>
      <c r="BN161" s="235" cm="1">
        <f t="array" ref="BN161">$BI161 * SUMPRODUCT(INDEX($AR$77:$AT$82,,$AI161),INDEX($AU$77:$BA$82,,$AH161), N($AQ$77:$AQ$82&gt;$AO161)) / BM161 / 1000</f>
        <v>0</v>
      </c>
      <c r="BO161" s="232">
        <f t="shared" si="246"/>
        <v>30</v>
      </c>
      <c r="BP161" s="230">
        <f t="shared" si="380"/>
        <v>43</v>
      </c>
      <c r="BQ161" s="235">
        <f t="shared" si="381"/>
        <v>3.2938815789473681</v>
      </c>
      <c r="BR161" s="235" cm="1">
        <f t="array" ref="BR161">$BI161 * IF($AH161&lt;=2,
SUMPRODUCT(INDEX($AR$72:$AT$76,,$AI161), INDEX($AU$72:$BA$76,,$AH161), 1 / ($BB$72:$BB$76*BQ161 + (1-$BB$72:$BB$76)*BM161), N($AQ$72:$AQ$76&gt;$AO161)),
SUMPRODUCT(INDEX($AR$67:$AT$76,,$AI161), INDEX($AU$67:$BA$76,,$AH161), 1 / ($BC$67:$BC$76*BQ161 + (1-$BC$67:$BC$76)*BM161), N($AQ$67:$AQ$76&gt;$AO161))
) / 1000</f>
        <v>0</v>
      </c>
      <c r="BS161" s="232">
        <f t="shared" si="249"/>
        <v>25</v>
      </c>
      <c r="BT161" s="230">
        <f t="shared" si="382"/>
        <v>38</v>
      </c>
      <c r="BU161" s="235">
        <f t="shared" si="383"/>
        <v>3.792954545454545</v>
      </c>
      <c r="BV161" s="235" cm="1">
        <f t="array" ref="BV161">$BI161 * IF($AH161&lt;=2,
SUMPRODUCT(INDEX($AR$67:$AT$71,,$AI161), INDEX($AU$67:$BA$71,,$AH161), 1 / ($BB$67:$BB$71*BU161 + (1-$BB$67:$BB$71)*BQ161), N($AQ$67:$AQ$71&gt;$AO161)),
SUMPRODUCT(INDEX($AR$57:$AT$66,,$AI161), INDEX($AU$57:$BA$66,,$AH161), 1 / ($BC$57:$BC$66*BU161 + (1-$BC$57:$BC$66)*BQ161), N($AQ$57:$AQ$66&gt;$AO161))
) / 1000</f>
        <v>0</v>
      </c>
      <c r="BW161" s="232">
        <f t="shared" si="252"/>
        <v>20</v>
      </c>
      <c r="BX161" s="230">
        <f t="shared" si="384"/>
        <v>33</v>
      </c>
      <c r="BY161" s="235">
        <f t="shared" si="385"/>
        <v>4.4702678571428569</v>
      </c>
      <c r="BZ161" s="235" cm="1">
        <f t="array" ref="BZ161">$BI161 * IF($AH161&lt;=2,
SUMPRODUCT(INDEX($AR$62:$AT$66,,$AI161), INDEX($AU$62:$BA$66,,$AH161), 1 / ($BB$62:$BB$66*BY161 + (1-$BB$62:$BB$66)*BU161), N($AQ$62:$AQ$66&gt;$AO161)),
SUMPRODUCT(INDEX($AR$47:$AT$56,,$AI161), INDEX($AU$47:$BA$56,,$AH161), 1 / ($BC$47:$BC$56*BY161 + (1-$BC$47:$BC$56)*BU161), N($AQ$47:$AQ$56&gt;$AO161))
) / 1000</f>
        <v>0</v>
      </c>
      <c r="CA161" s="235" cm="1">
        <f t="array" ref="CA161">$BI161 * IF($AH161&lt;=2,
SUMPRODUCT(INDEX($AR$23:$AT$61,,$AI161), INDEX($AU$23:$BA$61,,$AH161), 1 / ($BB$23:$BB$61*BY161), N($AQ$23:$AQ$61&gt;$AO161)),
SUMPRODUCT(INDEX($AR$23:$AT$46,,$AI161), INDEX($AU$23:$BA$46,,$AH161), 1 / ($BC$23:$BC$46*BY161), N($AQ$23:$AQ$46&gt;$AO161))
) / 1000</f>
        <v>0</v>
      </c>
      <c r="CB161" s="230">
        <f t="shared" si="386"/>
        <v>0</v>
      </c>
      <c r="CC161" s="238"/>
      <c r="CD161" s="229" cm="1">
        <f t="array" ref="CD161">IF(ISBLANK(Y161), INDEX(Use, $AH161, 4) - AN161*INDEX(Use, $AH161, 6) - (Q161-X161), Y161)</f>
        <v>7</v>
      </c>
      <c r="CE161" s="229">
        <f t="shared" si="387"/>
        <v>32</v>
      </c>
      <c r="CF161" s="230">
        <f t="shared" si="388"/>
        <v>0</v>
      </c>
      <c r="CG161" s="229">
        <v>35</v>
      </c>
      <c r="CH161" s="230">
        <f t="shared" si="389"/>
        <v>48</v>
      </c>
      <c r="CI161" s="235">
        <f t="shared" si="390"/>
        <v>3.0748170731707316</v>
      </c>
      <c r="CJ161" s="235" cm="1">
        <f t="array" ref="CJ161">$BI161 * SUMPRODUCT(INDEX($AR$77:$AT$82,,$AI161),INDEX($AU$77:$BA$82,,$AH161), N($AQ$77:$AQ$82&gt;$AO161)) / CI161 / 1000</f>
        <v>0</v>
      </c>
      <c r="CK161" s="232">
        <f t="shared" si="260"/>
        <v>30</v>
      </c>
      <c r="CL161" s="230">
        <f t="shared" si="391"/>
        <v>43</v>
      </c>
      <c r="CM161" s="235">
        <f t="shared" si="392"/>
        <v>3.5018750000000001</v>
      </c>
      <c r="CN161" s="235" cm="1">
        <f t="array" ref="CN161">$BI161 * IF($AH161&lt;=2,
SUMPRODUCT(INDEX($AR$72:$AT$76,,$AI161), INDEX($AU$72:$BA$76,,$AH161), 1 / ($BB$72:$BB$76*CM161 + (1-$BB$72:$BB$76)*CI161), N($AQ$72:$AQ$76&gt;$AO161)),
SUMPRODUCT(INDEX($AR$67:$AT$76,,$AI161), INDEX($AU$67:$BA$76,,$AH161), 1 / ($BC$67:$BC$76*CM161 + (1-$BC$67:$BC$76)*CI161), N($AQ$67:$AQ$76&gt;$AO161))
) / 1000</f>
        <v>0</v>
      </c>
      <c r="CO161" s="232">
        <f t="shared" si="263"/>
        <v>25</v>
      </c>
      <c r="CP161" s="230">
        <f t="shared" si="393"/>
        <v>38</v>
      </c>
      <c r="CQ161" s="235">
        <f t="shared" si="394"/>
        <v>4.0666935483870965</v>
      </c>
      <c r="CR161" s="235" cm="1">
        <f t="array" ref="CR161">$BI161 * IF($AH161&lt;=2,
SUMPRODUCT(INDEX($AR$67:$AT$71,,$AI161), INDEX($AU$67:$BA$71,,$AH161), 1 / ($BB$67:$BB$71*CQ161 + (1-$BB$67:$BB$71)*CM161), N($AQ$67:$AQ$71&gt;$AO161)),
SUMPRODUCT(INDEX($AR$57:$AT$66,,$AI161), INDEX($AU$57:$BA$66,,$AH161), 1 / ($BC$57:$BC$66*CQ161 + (1-$BC$57:$BC$66)*CM161), N($AQ$57:$AQ$66&gt;$AO161))
) / 1000</f>
        <v>0</v>
      </c>
      <c r="CS161" s="232">
        <f t="shared" si="266"/>
        <v>20</v>
      </c>
      <c r="CT161" s="230">
        <f t="shared" si="395"/>
        <v>33</v>
      </c>
      <c r="CU161" s="235">
        <f t="shared" si="396"/>
        <v>4.8487499999999999</v>
      </c>
      <c r="CV161" s="235" cm="1">
        <f t="array" ref="CV161">$BI161 * IF($AH161&lt;=2,
SUMPRODUCT(INDEX($AR$62:$AT$66,,$AI161), INDEX($AU$62:$BA$66,,$AH161), 1 / ($BB$62:$BB$66*CU161 + (1-$BB$62:$BB$66)*CQ161), N($AQ$62:$AQ$66&gt;$AO161)),
SUMPRODUCT(INDEX($AR$47:$AT$56,,$AI161), INDEX($AU$47:$BA$56,,$AH161), 1 / ($BC$47:$BC$56*CU161 + (1-$BC$47:$BC$56)*CQ161), N($AQ$47:$AQ$56&gt;$AO161))
) / 1000</f>
        <v>0</v>
      </c>
      <c r="CW161" s="235" cm="1">
        <f t="array" ref="CW161">$BI161 * IF($AH161&lt;=2,
SUMPRODUCT(INDEX($AR$23:$AT$61,,$AI161), INDEX($AU$23:$BA$61,,$AH161), 1 / ($BB$23:$BB$61*CU161), N($AQ$23:$AQ$61&gt;$AO161)),
SUMPRODUCT(INDEX($AR$23:$AT$46,,$AI161), INDEX($AU$23:$BA$46,,$AH161), 1 / ($BC$23:$BC$46*CU161), N($AQ$23:$AQ$46&gt;$AO161))
) / 1000</f>
        <v>0</v>
      </c>
      <c r="CX161" s="230">
        <f t="shared" si="397"/>
        <v>0</v>
      </c>
      <c r="CY161" s="238"/>
    </row>
    <row r="162" spans="1:103" s="76" customFormat="1" ht="14.25" customHeight="1" x14ac:dyDescent="0.2">
      <c r="A162" s="231" t="b">
        <f t="shared" si="229"/>
        <v>0</v>
      </c>
      <c r="B162" s="245">
        <v>140</v>
      </c>
      <c r="C162" s="258"/>
      <c r="D162" s="258"/>
      <c r="E162" s="246"/>
      <c r="F162" s="247" t="str">
        <f>IF(ISBLANK(E162), "", VLOOKUP(E162, Z!$A$2:$C$4127, 3, FALSE))</f>
        <v/>
      </c>
      <c r="G162" s="248"/>
      <c r="H162" s="248"/>
      <c r="I162" s="249"/>
      <c r="J162" s="250"/>
      <c r="K162" s="259"/>
      <c r="L162" s="260"/>
      <c r="M162" s="252" t="str" cm="1">
        <f t="array" ref="M162">INDEX(Trad, 53, $A$20)</f>
        <v>Verschmutzt</v>
      </c>
      <c r="N162" s="253"/>
      <c r="O162" s="253"/>
      <c r="P162" s="254"/>
      <c r="Q162" s="251"/>
      <c r="R162" s="251"/>
      <c r="S162" s="264">
        <f t="shared" si="372"/>
        <v>0</v>
      </c>
      <c r="T162" s="252" t="str" cm="1">
        <f t="array" ref="T162">INDEX(Trad, 52, $A$20)</f>
        <v>Sauber</v>
      </c>
      <c r="U162" s="253"/>
      <c r="V162" s="253"/>
      <c r="W162" s="254"/>
      <c r="X162" s="251"/>
      <c r="Y162" s="251"/>
      <c r="Z162" s="264">
        <f t="shared" si="373"/>
        <v>0</v>
      </c>
      <c r="AA162" s="261"/>
      <c r="AB162" s="258"/>
      <c r="AC162" s="246"/>
      <c r="AD162" s="247" t="str">
        <f>IF(ISBLANK(AC162), "", VLOOKUP(AC162, Z!$A$2:$C$4127, 3, FALSE))</f>
        <v/>
      </c>
      <c r="AE162" s="262"/>
      <c r="AF162" s="263">
        <f t="shared" si="374"/>
        <v>0</v>
      </c>
      <c r="AG162" s="238"/>
      <c r="AH162" s="229">
        <f t="shared" si="398"/>
        <v>1</v>
      </c>
      <c r="AI162" s="229">
        <f t="shared" si="399"/>
        <v>1</v>
      </c>
      <c r="AJ162" s="229">
        <f t="shared" si="400"/>
        <v>0</v>
      </c>
      <c r="AK162" s="229">
        <v>0</v>
      </c>
      <c r="AL162" s="229">
        <v>0</v>
      </c>
      <c r="AM162" s="229">
        <v>1</v>
      </c>
      <c r="AN162" s="229">
        <v>0</v>
      </c>
      <c r="AO162" s="229">
        <f t="shared" si="375"/>
        <v>-100</v>
      </c>
      <c r="AP162" s="238"/>
      <c r="AQ162" s="255"/>
      <c r="AR162" s="255"/>
      <c r="AS162" s="256"/>
      <c r="AT162" s="256"/>
      <c r="AU162" s="256"/>
      <c r="AV162" s="256"/>
      <c r="AW162" s="256"/>
      <c r="AX162" s="256"/>
      <c r="AY162" s="256"/>
      <c r="AZ162" s="256"/>
      <c r="BA162" s="256"/>
      <c r="BB162" s="256"/>
      <c r="BC162" s="256"/>
      <c r="BD162" s="238"/>
      <c r="BE162" s="229" cm="1">
        <f t="array" ref="BE162">IF(ISBLANK(R162), INDEX(Use, $AH162, 4) - AM162*INDEX(Use, $AH162, 6), R162)</f>
        <v>5</v>
      </c>
      <c r="BF162" s="229">
        <f t="shared" si="376"/>
        <v>30</v>
      </c>
      <c r="BG162" s="229">
        <f t="shared" si="241"/>
        <v>13</v>
      </c>
      <c r="BH162" s="229">
        <f t="shared" si="242"/>
        <v>0</v>
      </c>
      <c r="BI162" s="234" cm="1">
        <f t="array" ref="BI162">K162/IF($L162&gt;0, INDEX($AU$23:$BA$77, $L162+20, $AH162), 1)</f>
        <v>0</v>
      </c>
      <c r="BJ162" s="230">
        <f t="shared" si="377"/>
        <v>0</v>
      </c>
      <c r="BK162" s="229">
        <v>35</v>
      </c>
      <c r="BL162" s="230">
        <f t="shared" si="378"/>
        <v>48</v>
      </c>
      <c r="BM162" s="235">
        <f t="shared" si="379"/>
        <v>2.9108720930232557</v>
      </c>
      <c r="BN162" s="235" cm="1">
        <f t="array" ref="BN162">$BI162 * SUMPRODUCT(INDEX($AR$77:$AT$82,,$AI162),INDEX($AU$77:$BA$82,,$AH162), N($AQ$77:$AQ$82&gt;$AO162)) / BM162 / 1000</f>
        <v>0</v>
      </c>
      <c r="BO162" s="232">
        <f t="shared" si="246"/>
        <v>30</v>
      </c>
      <c r="BP162" s="230">
        <f t="shared" si="380"/>
        <v>43</v>
      </c>
      <c r="BQ162" s="235">
        <f t="shared" si="381"/>
        <v>3.2938815789473681</v>
      </c>
      <c r="BR162" s="235" cm="1">
        <f t="array" ref="BR162">$BI162 * IF($AH162&lt;=2,
SUMPRODUCT(INDEX($AR$72:$AT$76,,$AI162), INDEX($AU$72:$BA$76,,$AH162), 1 / ($BB$72:$BB$76*BQ162 + (1-$BB$72:$BB$76)*BM162), N($AQ$72:$AQ$76&gt;$AO162)),
SUMPRODUCT(INDEX($AR$67:$AT$76,,$AI162), INDEX($AU$67:$BA$76,,$AH162), 1 / ($BC$67:$BC$76*BQ162 + (1-$BC$67:$BC$76)*BM162), N($AQ$67:$AQ$76&gt;$AO162))
) / 1000</f>
        <v>0</v>
      </c>
      <c r="BS162" s="232">
        <f t="shared" si="249"/>
        <v>25</v>
      </c>
      <c r="BT162" s="230">
        <f t="shared" si="382"/>
        <v>38</v>
      </c>
      <c r="BU162" s="235">
        <f t="shared" si="383"/>
        <v>3.792954545454545</v>
      </c>
      <c r="BV162" s="235" cm="1">
        <f t="array" ref="BV162">$BI162 * IF($AH162&lt;=2,
SUMPRODUCT(INDEX($AR$67:$AT$71,,$AI162), INDEX($AU$67:$BA$71,,$AH162), 1 / ($BB$67:$BB$71*BU162 + (1-$BB$67:$BB$71)*BQ162), N($AQ$67:$AQ$71&gt;$AO162)),
SUMPRODUCT(INDEX($AR$57:$AT$66,,$AI162), INDEX($AU$57:$BA$66,,$AH162), 1 / ($BC$57:$BC$66*BU162 + (1-$BC$57:$BC$66)*BQ162), N($AQ$57:$AQ$66&gt;$AO162))
) / 1000</f>
        <v>0</v>
      </c>
      <c r="BW162" s="232">
        <f t="shared" si="252"/>
        <v>20</v>
      </c>
      <c r="BX162" s="230">
        <f t="shared" si="384"/>
        <v>33</v>
      </c>
      <c r="BY162" s="235">
        <f t="shared" si="385"/>
        <v>4.4702678571428569</v>
      </c>
      <c r="BZ162" s="235" cm="1">
        <f t="array" ref="BZ162">$BI162 * IF($AH162&lt;=2,
SUMPRODUCT(INDEX($AR$62:$AT$66,,$AI162), INDEX($AU$62:$BA$66,,$AH162), 1 / ($BB$62:$BB$66*BY162 + (1-$BB$62:$BB$66)*BU162), N($AQ$62:$AQ$66&gt;$AO162)),
SUMPRODUCT(INDEX($AR$47:$AT$56,,$AI162), INDEX($AU$47:$BA$56,,$AH162), 1 / ($BC$47:$BC$56*BY162 + (1-$BC$47:$BC$56)*BU162), N($AQ$47:$AQ$56&gt;$AO162))
) / 1000</f>
        <v>0</v>
      </c>
      <c r="CA162" s="235" cm="1">
        <f t="array" ref="CA162">$BI162 * IF($AH162&lt;=2,
SUMPRODUCT(INDEX($AR$23:$AT$61,,$AI162), INDEX($AU$23:$BA$61,,$AH162), 1 / ($BB$23:$BB$61*BY162), N($AQ$23:$AQ$61&gt;$AO162)),
SUMPRODUCT(INDEX($AR$23:$AT$46,,$AI162), INDEX($AU$23:$BA$46,,$AH162), 1 / ($BC$23:$BC$46*BY162), N($AQ$23:$AQ$46&gt;$AO162))
) / 1000</f>
        <v>0</v>
      </c>
      <c r="CB162" s="230">
        <f t="shared" si="386"/>
        <v>0</v>
      </c>
      <c r="CC162" s="238"/>
      <c r="CD162" s="229" cm="1">
        <f t="array" ref="CD162">IF(ISBLANK(Y162), INDEX(Use, $AH162, 4) - AN162*INDEX(Use, $AH162, 6) - (Q162-X162), Y162)</f>
        <v>7</v>
      </c>
      <c r="CE162" s="229">
        <f t="shared" si="387"/>
        <v>32</v>
      </c>
      <c r="CF162" s="230">
        <f t="shared" si="388"/>
        <v>0</v>
      </c>
      <c r="CG162" s="229">
        <v>35</v>
      </c>
      <c r="CH162" s="230">
        <f t="shared" si="389"/>
        <v>48</v>
      </c>
      <c r="CI162" s="235">
        <f t="shared" si="390"/>
        <v>3.0748170731707316</v>
      </c>
      <c r="CJ162" s="235" cm="1">
        <f t="array" ref="CJ162">$BI162 * SUMPRODUCT(INDEX($AR$77:$AT$82,,$AI162),INDEX($AU$77:$BA$82,,$AH162), N($AQ$77:$AQ$82&gt;$AO162)) / CI162 / 1000</f>
        <v>0</v>
      </c>
      <c r="CK162" s="232">
        <f t="shared" si="260"/>
        <v>30</v>
      </c>
      <c r="CL162" s="230">
        <f t="shared" si="391"/>
        <v>43</v>
      </c>
      <c r="CM162" s="235">
        <f t="shared" si="392"/>
        <v>3.5018750000000001</v>
      </c>
      <c r="CN162" s="235" cm="1">
        <f t="array" ref="CN162">$BI162 * IF($AH162&lt;=2,
SUMPRODUCT(INDEX($AR$72:$AT$76,,$AI162), INDEX($AU$72:$BA$76,,$AH162), 1 / ($BB$72:$BB$76*CM162 + (1-$BB$72:$BB$76)*CI162), N($AQ$72:$AQ$76&gt;$AO162)),
SUMPRODUCT(INDEX($AR$67:$AT$76,,$AI162), INDEX($AU$67:$BA$76,,$AH162), 1 / ($BC$67:$BC$76*CM162 + (1-$BC$67:$BC$76)*CI162), N($AQ$67:$AQ$76&gt;$AO162))
) / 1000</f>
        <v>0</v>
      </c>
      <c r="CO162" s="232">
        <f t="shared" si="263"/>
        <v>25</v>
      </c>
      <c r="CP162" s="230">
        <f t="shared" si="393"/>
        <v>38</v>
      </c>
      <c r="CQ162" s="235">
        <f t="shared" si="394"/>
        <v>4.0666935483870965</v>
      </c>
      <c r="CR162" s="235" cm="1">
        <f t="array" ref="CR162">$BI162 * IF($AH162&lt;=2,
SUMPRODUCT(INDEX($AR$67:$AT$71,,$AI162), INDEX($AU$67:$BA$71,,$AH162), 1 / ($BB$67:$BB$71*CQ162 + (1-$BB$67:$BB$71)*CM162), N($AQ$67:$AQ$71&gt;$AO162)),
SUMPRODUCT(INDEX($AR$57:$AT$66,,$AI162), INDEX($AU$57:$BA$66,,$AH162), 1 / ($BC$57:$BC$66*CQ162 + (1-$BC$57:$BC$66)*CM162), N($AQ$57:$AQ$66&gt;$AO162))
) / 1000</f>
        <v>0</v>
      </c>
      <c r="CS162" s="232">
        <f t="shared" si="266"/>
        <v>20</v>
      </c>
      <c r="CT162" s="230">
        <f t="shared" si="395"/>
        <v>33</v>
      </c>
      <c r="CU162" s="235">
        <f t="shared" si="396"/>
        <v>4.8487499999999999</v>
      </c>
      <c r="CV162" s="235" cm="1">
        <f t="array" ref="CV162">$BI162 * IF($AH162&lt;=2,
SUMPRODUCT(INDEX($AR$62:$AT$66,,$AI162), INDEX($AU$62:$BA$66,,$AH162), 1 / ($BB$62:$BB$66*CU162 + (1-$BB$62:$BB$66)*CQ162), N($AQ$62:$AQ$66&gt;$AO162)),
SUMPRODUCT(INDEX($AR$47:$AT$56,,$AI162), INDEX($AU$47:$BA$56,,$AH162), 1 / ($BC$47:$BC$56*CU162 + (1-$BC$47:$BC$56)*CQ162), N($AQ$47:$AQ$56&gt;$AO162))
) / 1000</f>
        <v>0</v>
      </c>
      <c r="CW162" s="235" cm="1">
        <f t="array" ref="CW162">$BI162 * IF($AH162&lt;=2,
SUMPRODUCT(INDEX($AR$23:$AT$61,,$AI162), INDEX($AU$23:$BA$61,,$AH162), 1 / ($BB$23:$BB$61*CU162), N($AQ$23:$AQ$61&gt;$AO162)),
SUMPRODUCT(INDEX($AR$23:$AT$46,,$AI162), INDEX($AU$23:$BA$46,,$AH162), 1 / ($BC$23:$BC$46*CU162), N($AQ$23:$AQ$46&gt;$AO162))
) / 1000</f>
        <v>0</v>
      </c>
      <c r="CX162" s="230">
        <f t="shared" si="397"/>
        <v>0</v>
      </c>
      <c r="CY162" s="238"/>
    </row>
    <row r="163" spans="1:103" s="76" customFormat="1" ht="14.25" customHeight="1" x14ac:dyDescent="0.2">
      <c r="A163" s="231" t="b">
        <f t="shared" si="229"/>
        <v>0</v>
      </c>
      <c r="B163" s="245">
        <v>141</v>
      </c>
      <c r="C163" s="258"/>
      <c r="D163" s="258"/>
      <c r="E163" s="246"/>
      <c r="F163" s="247" t="str">
        <f>IF(ISBLANK(E163), "", VLOOKUP(E163, Z!$A$2:$C$4127, 3, FALSE))</f>
        <v/>
      </c>
      <c r="G163" s="248"/>
      <c r="H163" s="248"/>
      <c r="I163" s="249"/>
      <c r="J163" s="250"/>
      <c r="K163" s="259"/>
      <c r="L163" s="260"/>
      <c r="M163" s="252" t="str" cm="1">
        <f t="array" ref="M163">INDEX(Trad, 53, $A$20)</f>
        <v>Verschmutzt</v>
      </c>
      <c r="N163" s="253"/>
      <c r="O163" s="253"/>
      <c r="P163" s="254"/>
      <c r="Q163" s="251"/>
      <c r="R163" s="251"/>
      <c r="S163" s="264">
        <f t="shared" si="372"/>
        <v>0</v>
      </c>
      <c r="T163" s="252" t="str" cm="1">
        <f t="array" ref="T163">INDEX(Trad, 52, $A$20)</f>
        <v>Sauber</v>
      </c>
      <c r="U163" s="253"/>
      <c r="V163" s="253"/>
      <c r="W163" s="254"/>
      <c r="X163" s="251"/>
      <c r="Y163" s="251"/>
      <c r="Z163" s="264">
        <f t="shared" si="373"/>
        <v>0</v>
      </c>
      <c r="AA163" s="261"/>
      <c r="AB163" s="258"/>
      <c r="AC163" s="246"/>
      <c r="AD163" s="247" t="str">
        <f>IF(ISBLANK(AC163), "", VLOOKUP(AC163, Z!$A$2:$C$4127, 3, FALSE))</f>
        <v/>
      </c>
      <c r="AE163" s="262"/>
      <c r="AF163" s="263">
        <f t="shared" si="374"/>
        <v>0</v>
      </c>
      <c r="AG163" s="238"/>
      <c r="AH163" s="229">
        <f t="shared" si="398"/>
        <v>1</v>
      </c>
      <c r="AI163" s="229">
        <f t="shared" si="399"/>
        <v>1</v>
      </c>
      <c r="AJ163" s="229">
        <f t="shared" si="400"/>
        <v>0</v>
      </c>
      <c r="AK163" s="229">
        <v>0</v>
      </c>
      <c r="AL163" s="229">
        <v>0</v>
      </c>
      <c r="AM163" s="229">
        <v>1</v>
      </c>
      <c r="AN163" s="229">
        <v>0</v>
      </c>
      <c r="AO163" s="229">
        <f t="shared" si="375"/>
        <v>-100</v>
      </c>
      <c r="AP163" s="238"/>
      <c r="AQ163" s="255"/>
      <c r="AR163" s="255"/>
      <c r="AS163" s="256"/>
      <c r="AT163" s="256"/>
      <c r="AU163" s="256"/>
      <c r="AV163" s="256"/>
      <c r="AW163" s="256"/>
      <c r="AX163" s="256"/>
      <c r="AY163" s="256"/>
      <c r="AZ163" s="256"/>
      <c r="BA163" s="256"/>
      <c r="BB163" s="256"/>
      <c r="BC163" s="256"/>
      <c r="BD163" s="238"/>
      <c r="BE163" s="229" cm="1">
        <f t="array" ref="BE163">IF(ISBLANK(R163), INDEX(Use, $AH163, 4) - AM163*INDEX(Use, $AH163, 6), R163)</f>
        <v>5</v>
      </c>
      <c r="BF163" s="229">
        <f t="shared" si="376"/>
        <v>30</v>
      </c>
      <c r="BG163" s="229">
        <f t="shared" si="241"/>
        <v>13</v>
      </c>
      <c r="BH163" s="229">
        <f t="shared" si="242"/>
        <v>0</v>
      </c>
      <c r="BI163" s="234" cm="1">
        <f t="array" ref="BI163">K163/IF($L163&gt;0, INDEX($AU$23:$BA$77, $L163+20, $AH163), 1)</f>
        <v>0</v>
      </c>
      <c r="BJ163" s="230">
        <f t="shared" si="377"/>
        <v>0</v>
      </c>
      <c r="BK163" s="229">
        <v>35</v>
      </c>
      <c r="BL163" s="230">
        <f t="shared" si="378"/>
        <v>48</v>
      </c>
      <c r="BM163" s="235">
        <f t="shared" si="379"/>
        <v>2.9108720930232557</v>
      </c>
      <c r="BN163" s="235" cm="1">
        <f t="array" ref="BN163">$BI163 * SUMPRODUCT(INDEX($AR$77:$AT$82,,$AI163),INDEX($AU$77:$BA$82,,$AH163), N($AQ$77:$AQ$82&gt;$AO163)) / BM163 / 1000</f>
        <v>0</v>
      </c>
      <c r="BO163" s="232">
        <f t="shared" si="246"/>
        <v>30</v>
      </c>
      <c r="BP163" s="230">
        <f t="shared" si="380"/>
        <v>43</v>
      </c>
      <c r="BQ163" s="235">
        <f t="shared" si="381"/>
        <v>3.2938815789473681</v>
      </c>
      <c r="BR163" s="235" cm="1">
        <f t="array" ref="BR163">$BI163 * IF($AH163&lt;=2,
SUMPRODUCT(INDEX($AR$72:$AT$76,,$AI163), INDEX($AU$72:$BA$76,,$AH163), 1 / ($BB$72:$BB$76*BQ163 + (1-$BB$72:$BB$76)*BM163), N($AQ$72:$AQ$76&gt;$AO163)),
SUMPRODUCT(INDEX($AR$67:$AT$76,,$AI163), INDEX($AU$67:$BA$76,,$AH163), 1 / ($BC$67:$BC$76*BQ163 + (1-$BC$67:$BC$76)*BM163), N($AQ$67:$AQ$76&gt;$AO163))
) / 1000</f>
        <v>0</v>
      </c>
      <c r="BS163" s="232">
        <f t="shared" si="249"/>
        <v>25</v>
      </c>
      <c r="BT163" s="230">
        <f t="shared" si="382"/>
        <v>38</v>
      </c>
      <c r="BU163" s="235">
        <f t="shared" si="383"/>
        <v>3.792954545454545</v>
      </c>
      <c r="BV163" s="235" cm="1">
        <f t="array" ref="BV163">$BI163 * IF($AH163&lt;=2,
SUMPRODUCT(INDEX($AR$67:$AT$71,,$AI163), INDEX($AU$67:$BA$71,,$AH163), 1 / ($BB$67:$BB$71*BU163 + (1-$BB$67:$BB$71)*BQ163), N($AQ$67:$AQ$71&gt;$AO163)),
SUMPRODUCT(INDEX($AR$57:$AT$66,,$AI163), INDEX($AU$57:$BA$66,,$AH163), 1 / ($BC$57:$BC$66*BU163 + (1-$BC$57:$BC$66)*BQ163), N($AQ$57:$AQ$66&gt;$AO163))
) / 1000</f>
        <v>0</v>
      </c>
      <c r="BW163" s="232">
        <f t="shared" si="252"/>
        <v>20</v>
      </c>
      <c r="BX163" s="230">
        <f t="shared" si="384"/>
        <v>33</v>
      </c>
      <c r="BY163" s="235">
        <f t="shared" si="385"/>
        <v>4.4702678571428569</v>
      </c>
      <c r="BZ163" s="235" cm="1">
        <f t="array" ref="BZ163">$BI163 * IF($AH163&lt;=2,
SUMPRODUCT(INDEX($AR$62:$AT$66,,$AI163), INDEX($AU$62:$BA$66,,$AH163), 1 / ($BB$62:$BB$66*BY163 + (1-$BB$62:$BB$66)*BU163), N($AQ$62:$AQ$66&gt;$AO163)),
SUMPRODUCT(INDEX($AR$47:$AT$56,,$AI163), INDEX($AU$47:$BA$56,,$AH163), 1 / ($BC$47:$BC$56*BY163 + (1-$BC$47:$BC$56)*BU163), N($AQ$47:$AQ$56&gt;$AO163))
) / 1000</f>
        <v>0</v>
      </c>
      <c r="CA163" s="235" cm="1">
        <f t="array" ref="CA163">$BI163 * IF($AH163&lt;=2,
SUMPRODUCT(INDEX($AR$23:$AT$61,,$AI163), INDEX($AU$23:$BA$61,,$AH163), 1 / ($BB$23:$BB$61*BY163), N($AQ$23:$AQ$61&gt;$AO163)),
SUMPRODUCT(INDEX($AR$23:$AT$46,,$AI163), INDEX($AU$23:$BA$46,,$AH163), 1 / ($BC$23:$BC$46*BY163), N($AQ$23:$AQ$46&gt;$AO163))
) / 1000</f>
        <v>0</v>
      </c>
      <c r="CB163" s="230">
        <f t="shared" si="386"/>
        <v>0</v>
      </c>
      <c r="CC163" s="238"/>
      <c r="CD163" s="229" cm="1">
        <f t="array" ref="CD163">IF(ISBLANK(Y163), INDEX(Use, $AH163, 4) - AN163*INDEX(Use, $AH163, 6) - (Q163-X163), Y163)</f>
        <v>7</v>
      </c>
      <c r="CE163" s="229">
        <f t="shared" si="387"/>
        <v>32</v>
      </c>
      <c r="CF163" s="230">
        <f t="shared" si="388"/>
        <v>0</v>
      </c>
      <c r="CG163" s="229">
        <v>35</v>
      </c>
      <c r="CH163" s="230">
        <f t="shared" si="389"/>
        <v>48</v>
      </c>
      <c r="CI163" s="235">
        <f t="shared" si="390"/>
        <v>3.0748170731707316</v>
      </c>
      <c r="CJ163" s="235" cm="1">
        <f t="array" ref="CJ163">$BI163 * SUMPRODUCT(INDEX($AR$77:$AT$82,,$AI163),INDEX($AU$77:$BA$82,,$AH163), N($AQ$77:$AQ$82&gt;$AO163)) / CI163 / 1000</f>
        <v>0</v>
      </c>
      <c r="CK163" s="232">
        <f t="shared" si="260"/>
        <v>30</v>
      </c>
      <c r="CL163" s="230">
        <f t="shared" si="391"/>
        <v>43</v>
      </c>
      <c r="CM163" s="235">
        <f t="shared" si="392"/>
        <v>3.5018750000000001</v>
      </c>
      <c r="CN163" s="235" cm="1">
        <f t="array" ref="CN163">$BI163 * IF($AH163&lt;=2,
SUMPRODUCT(INDEX($AR$72:$AT$76,,$AI163), INDEX($AU$72:$BA$76,,$AH163), 1 / ($BB$72:$BB$76*CM163 + (1-$BB$72:$BB$76)*CI163), N($AQ$72:$AQ$76&gt;$AO163)),
SUMPRODUCT(INDEX($AR$67:$AT$76,,$AI163), INDEX($AU$67:$BA$76,,$AH163), 1 / ($BC$67:$BC$76*CM163 + (1-$BC$67:$BC$76)*CI163), N($AQ$67:$AQ$76&gt;$AO163))
) / 1000</f>
        <v>0</v>
      </c>
      <c r="CO163" s="232">
        <f t="shared" si="263"/>
        <v>25</v>
      </c>
      <c r="CP163" s="230">
        <f t="shared" si="393"/>
        <v>38</v>
      </c>
      <c r="CQ163" s="235">
        <f t="shared" si="394"/>
        <v>4.0666935483870965</v>
      </c>
      <c r="CR163" s="235" cm="1">
        <f t="array" ref="CR163">$BI163 * IF($AH163&lt;=2,
SUMPRODUCT(INDEX($AR$67:$AT$71,,$AI163), INDEX($AU$67:$BA$71,,$AH163), 1 / ($BB$67:$BB$71*CQ163 + (1-$BB$67:$BB$71)*CM163), N($AQ$67:$AQ$71&gt;$AO163)),
SUMPRODUCT(INDEX($AR$57:$AT$66,,$AI163), INDEX($AU$57:$BA$66,,$AH163), 1 / ($BC$57:$BC$66*CQ163 + (1-$BC$57:$BC$66)*CM163), N($AQ$57:$AQ$66&gt;$AO163))
) / 1000</f>
        <v>0</v>
      </c>
      <c r="CS163" s="232">
        <f t="shared" si="266"/>
        <v>20</v>
      </c>
      <c r="CT163" s="230">
        <f t="shared" si="395"/>
        <v>33</v>
      </c>
      <c r="CU163" s="235">
        <f t="shared" si="396"/>
        <v>4.8487499999999999</v>
      </c>
      <c r="CV163" s="235" cm="1">
        <f t="array" ref="CV163">$BI163 * IF($AH163&lt;=2,
SUMPRODUCT(INDEX($AR$62:$AT$66,,$AI163), INDEX($AU$62:$BA$66,,$AH163), 1 / ($BB$62:$BB$66*CU163 + (1-$BB$62:$BB$66)*CQ163), N($AQ$62:$AQ$66&gt;$AO163)),
SUMPRODUCT(INDEX($AR$47:$AT$56,,$AI163), INDEX($AU$47:$BA$56,,$AH163), 1 / ($BC$47:$BC$56*CU163 + (1-$BC$47:$BC$56)*CQ163), N($AQ$47:$AQ$56&gt;$AO163))
) / 1000</f>
        <v>0</v>
      </c>
      <c r="CW163" s="235" cm="1">
        <f t="array" ref="CW163">$BI163 * IF($AH163&lt;=2,
SUMPRODUCT(INDEX($AR$23:$AT$61,,$AI163), INDEX($AU$23:$BA$61,,$AH163), 1 / ($BB$23:$BB$61*CU163), N($AQ$23:$AQ$61&gt;$AO163)),
SUMPRODUCT(INDEX($AR$23:$AT$46,,$AI163), INDEX($AU$23:$BA$46,,$AH163), 1 / ($BC$23:$BC$46*CU163), N($AQ$23:$AQ$46&gt;$AO163))
) / 1000</f>
        <v>0</v>
      </c>
      <c r="CX163" s="230">
        <f t="shared" si="397"/>
        <v>0</v>
      </c>
      <c r="CY163" s="238"/>
    </row>
    <row r="164" spans="1:103" s="76" customFormat="1" ht="14.25" customHeight="1" x14ac:dyDescent="0.2">
      <c r="A164" s="231" t="b">
        <f t="shared" si="229"/>
        <v>0</v>
      </c>
      <c r="B164" s="245">
        <v>142</v>
      </c>
      <c r="C164" s="258"/>
      <c r="D164" s="258"/>
      <c r="E164" s="246"/>
      <c r="F164" s="247" t="str">
        <f>IF(ISBLANK(E164), "", VLOOKUP(E164, Z!$A$2:$C$4127, 3, FALSE))</f>
        <v/>
      </c>
      <c r="G164" s="248"/>
      <c r="H164" s="248"/>
      <c r="I164" s="249"/>
      <c r="J164" s="250"/>
      <c r="K164" s="259"/>
      <c r="L164" s="260"/>
      <c r="M164" s="252" t="str" cm="1">
        <f t="array" ref="M164">INDEX(Trad, 53, $A$20)</f>
        <v>Verschmutzt</v>
      </c>
      <c r="N164" s="253"/>
      <c r="O164" s="253"/>
      <c r="P164" s="254"/>
      <c r="Q164" s="251"/>
      <c r="R164" s="251"/>
      <c r="S164" s="264">
        <f t="shared" si="372"/>
        <v>0</v>
      </c>
      <c r="T164" s="252" t="str" cm="1">
        <f t="array" ref="T164">INDEX(Trad, 52, $A$20)</f>
        <v>Sauber</v>
      </c>
      <c r="U164" s="253"/>
      <c r="V164" s="253"/>
      <c r="W164" s="254"/>
      <c r="X164" s="251"/>
      <c r="Y164" s="251"/>
      <c r="Z164" s="264">
        <f t="shared" si="373"/>
        <v>0</v>
      </c>
      <c r="AA164" s="261"/>
      <c r="AB164" s="258"/>
      <c r="AC164" s="246"/>
      <c r="AD164" s="247" t="str">
        <f>IF(ISBLANK(AC164), "", VLOOKUP(AC164, Z!$A$2:$C$4127, 3, FALSE))</f>
        <v/>
      </c>
      <c r="AE164" s="262"/>
      <c r="AF164" s="263">
        <f t="shared" si="374"/>
        <v>0</v>
      </c>
      <c r="AG164" s="238"/>
      <c r="AH164" s="229">
        <f t="shared" si="398"/>
        <v>1</v>
      </c>
      <c r="AI164" s="229">
        <f t="shared" si="399"/>
        <v>1</v>
      </c>
      <c r="AJ164" s="229">
        <f t="shared" si="400"/>
        <v>0</v>
      </c>
      <c r="AK164" s="229">
        <v>0</v>
      </c>
      <c r="AL164" s="229">
        <v>0</v>
      </c>
      <c r="AM164" s="229">
        <v>1</v>
      </c>
      <c r="AN164" s="229">
        <v>0</v>
      </c>
      <c r="AO164" s="229">
        <f t="shared" si="375"/>
        <v>-100</v>
      </c>
      <c r="AP164" s="238"/>
      <c r="AQ164" s="255"/>
      <c r="AR164" s="255"/>
      <c r="AS164" s="256"/>
      <c r="AT164" s="256"/>
      <c r="AU164" s="256"/>
      <c r="AV164" s="256"/>
      <c r="AW164" s="256"/>
      <c r="AX164" s="256"/>
      <c r="AY164" s="256"/>
      <c r="AZ164" s="256"/>
      <c r="BA164" s="256"/>
      <c r="BB164" s="256"/>
      <c r="BC164" s="256"/>
      <c r="BD164" s="238"/>
      <c r="BE164" s="229" cm="1">
        <f t="array" ref="BE164">IF(ISBLANK(R164), INDEX(Use, $AH164, 4) - AM164*INDEX(Use, $AH164, 6), R164)</f>
        <v>5</v>
      </c>
      <c r="BF164" s="229">
        <f t="shared" si="376"/>
        <v>30</v>
      </c>
      <c r="BG164" s="229">
        <f t="shared" si="241"/>
        <v>13</v>
      </c>
      <c r="BH164" s="229">
        <f t="shared" si="242"/>
        <v>0</v>
      </c>
      <c r="BI164" s="234" cm="1">
        <f t="array" ref="BI164">K164/IF($L164&gt;0, INDEX($AU$23:$BA$77, $L164+20, $AH164), 1)</f>
        <v>0</v>
      </c>
      <c r="BJ164" s="230">
        <f t="shared" si="377"/>
        <v>0</v>
      </c>
      <c r="BK164" s="229">
        <v>35</v>
      </c>
      <c r="BL164" s="230">
        <f t="shared" si="378"/>
        <v>48</v>
      </c>
      <c r="BM164" s="235">
        <f t="shared" si="379"/>
        <v>2.9108720930232557</v>
      </c>
      <c r="BN164" s="235" cm="1">
        <f t="array" ref="BN164">$BI164 * SUMPRODUCT(INDEX($AR$77:$AT$82,,$AI164),INDEX($AU$77:$BA$82,,$AH164), N($AQ$77:$AQ$82&gt;$AO164)) / BM164 / 1000</f>
        <v>0</v>
      </c>
      <c r="BO164" s="232">
        <f t="shared" si="246"/>
        <v>30</v>
      </c>
      <c r="BP164" s="230">
        <f t="shared" si="380"/>
        <v>43</v>
      </c>
      <c r="BQ164" s="235">
        <f t="shared" si="381"/>
        <v>3.2938815789473681</v>
      </c>
      <c r="BR164" s="235" cm="1">
        <f t="array" ref="BR164">$BI164 * IF($AH164&lt;=2,
SUMPRODUCT(INDEX($AR$72:$AT$76,,$AI164), INDEX($AU$72:$BA$76,,$AH164), 1 / ($BB$72:$BB$76*BQ164 + (1-$BB$72:$BB$76)*BM164), N($AQ$72:$AQ$76&gt;$AO164)),
SUMPRODUCT(INDEX($AR$67:$AT$76,,$AI164), INDEX($AU$67:$BA$76,,$AH164), 1 / ($BC$67:$BC$76*BQ164 + (1-$BC$67:$BC$76)*BM164), N($AQ$67:$AQ$76&gt;$AO164))
) / 1000</f>
        <v>0</v>
      </c>
      <c r="BS164" s="232">
        <f t="shared" si="249"/>
        <v>25</v>
      </c>
      <c r="BT164" s="230">
        <f t="shared" si="382"/>
        <v>38</v>
      </c>
      <c r="BU164" s="235">
        <f t="shared" si="383"/>
        <v>3.792954545454545</v>
      </c>
      <c r="BV164" s="235" cm="1">
        <f t="array" ref="BV164">$BI164 * IF($AH164&lt;=2,
SUMPRODUCT(INDEX($AR$67:$AT$71,,$AI164), INDEX($AU$67:$BA$71,,$AH164), 1 / ($BB$67:$BB$71*BU164 + (1-$BB$67:$BB$71)*BQ164), N($AQ$67:$AQ$71&gt;$AO164)),
SUMPRODUCT(INDEX($AR$57:$AT$66,,$AI164), INDEX($AU$57:$BA$66,,$AH164), 1 / ($BC$57:$BC$66*BU164 + (1-$BC$57:$BC$66)*BQ164), N($AQ$57:$AQ$66&gt;$AO164))
) / 1000</f>
        <v>0</v>
      </c>
      <c r="BW164" s="232">
        <f t="shared" si="252"/>
        <v>20</v>
      </c>
      <c r="BX164" s="230">
        <f t="shared" si="384"/>
        <v>33</v>
      </c>
      <c r="BY164" s="235">
        <f t="shared" si="385"/>
        <v>4.4702678571428569</v>
      </c>
      <c r="BZ164" s="235" cm="1">
        <f t="array" ref="BZ164">$BI164 * IF($AH164&lt;=2,
SUMPRODUCT(INDEX($AR$62:$AT$66,,$AI164), INDEX($AU$62:$BA$66,,$AH164), 1 / ($BB$62:$BB$66*BY164 + (1-$BB$62:$BB$66)*BU164), N($AQ$62:$AQ$66&gt;$AO164)),
SUMPRODUCT(INDEX($AR$47:$AT$56,,$AI164), INDEX($AU$47:$BA$56,,$AH164), 1 / ($BC$47:$BC$56*BY164 + (1-$BC$47:$BC$56)*BU164), N($AQ$47:$AQ$56&gt;$AO164))
) / 1000</f>
        <v>0</v>
      </c>
      <c r="CA164" s="235" cm="1">
        <f t="array" ref="CA164">$BI164 * IF($AH164&lt;=2,
SUMPRODUCT(INDEX($AR$23:$AT$61,,$AI164), INDEX($AU$23:$BA$61,,$AH164), 1 / ($BB$23:$BB$61*BY164), N($AQ$23:$AQ$61&gt;$AO164)),
SUMPRODUCT(INDEX($AR$23:$AT$46,,$AI164), INDEX($AU$23:$BA$46,,$AH164), 1 / ($BC$23:$BC$46*BY164), N($AQ$23:$AQ$46&gt;$AO164))
) / 1000</f>
        <v>0</v>
      </c>
      <c r="CB164" s="230">
        <f t="shared" si="386"/>
        <v>0</v>
      </c>
      <c r="CC164" s="238"/>
      <c r="CD164" s="229" cm="1">
        <f t="array" ref="CD164">IF(ISBLANK(Y164), INDEX(Use, $AH164, 4) - AN164*INDEX(Use, $AH164, 6) - (Q164-X164), Y164)</f>
        <v>7</v>
      </c>
      <c r="CE164" s="229">
        <f t="shared" si="387"/>
        <v>32</v>
      </c>
      <c r="CF164" s="230">
        <f t="shared" si="388"/>
        <v>0</v>
      </c>
      <c r="CG164" s="229">
        <v>35</v>
      </c>
      <c r="CH164" s="230">
        <f t="shared" si="389"/>
        <v>48</v>
      </c>
      <c r="CI164" s="235">
        <f t="shared" si="390"/>
        <v>3.0748170731707316</v>
      </c>
      <c r="CJ164" s="235" cm="1">
        <f t="array" ref="CJ164">$BI164 * SUMPRODUCT(INDEX($AR$77:$AT$82,,$AI164),INDEX($AU$77:$BA$82,,$AH164), N($AQ$77:$AQ$82&gt;$AO164)) / CI164 / 1000</f>
        <v>0</v>
      </c>
      <c r="CK164" s="232">
        <f t="shared" si="260"/>
        <v>30</v>
      </c>
      <c r="CL164" s="230">
        <f t="shared" si="391"/>
        <v>43</v>
      </c>
      <c r="CM164" s="235">
        <f t="shared" si="392"/>
        <v>3.5018750000000001</v>
      </c>
      <c r="CN164" s="235" cm="1">
        <f t="array" ref="CN164">$BI164 * IF($AH164&lt;=2,
SUMPRODUCT(INDEX($AR$72:$AT$76,,$AI164), INDEX($AU$72:$BA$76,,$AH164), 1 / ($BB$72:$BB$76*CM164 + (1-$BB$72:$BB$76)*CI164), N($AQ$72:$AQ$76&gt;$AO164)),
SUMPRODUCT(INDEX($AR$67:$AT$76,,$AI164), INDEX($AU$67:$BA$76,,$AH164), 1 / ($BC$67:$BC$76*CM164 + (1-$BC$67:$BC$76)*CI164), N($AQ$67:$AQ$76&gt;$AO164))
) / 1000</f>
        <v>0</v>
      </c>
      <c r="CO164" s="232">
        <f t="shared" si="263"/>
        <v>25</v>
      </c>
      <c r="CP164" s="230">
        <f t="shared" si="393"/>
        <v>38</v>
      </c>
      <c r="CQ164" s="235">
        <f t="shared" si="394"/>
        <v>4.0666935483870965</v>
      </c>
      <c r="CR164" s="235" cm="1">
        <f t="array" ref="CR164">$BI164 * IF($AH164&lt;=2,
SUMPRODUCT(INDEX($AR$67:$AT$71,,$AI164), INDEX($AU$67:$BA$71,,$AH164), 1 / ($BB$67:$BB$71*CQ164 + (1-$BB$67:$BB$71)*CM164), N($AQ$67:$AQ$71&gt;$AO164)),
SUMPRODUCT(INDEX($AR$57:$AT$66,,$AI164), INDEX($AU$57:$BA$66,,$AH164), 1 / ($BC$57:$BC$66*CQ164 + (1-$BC$57:$BC$66)*CM164), N($AQ$57:$AQ$66&gt;$AO164))
) / 1000</f>
        <v>0</v>
      </c>
      <c r="CS164" s="232">
        <f t="shared" si="266"/>
        <v>20</v>
      </c>
      <c r="CT164" s="230">
        <f t="shared" si="395"/>
        <v>33</v>
      </c>
      <c r="CU164" s="235">
        <f t="shared" si="396"/>
        <v>4.8487499999999999</v>
      </c>
      <c r="CV164" s="235" cm="1">
        <f t="array" ref="CV164">$BI164 * IF($AH164&lt;=2,
SUMPRODUCT(INDEX($AR$62:$AT$66,,$AI164), INDEX($AU$62:$BA$66,,$AH164), 1 / ($BB$62:$BB$66*CU164 + (1-$BB$62:$BB$66)*CQ164), N($AQ$62:$AQ$66&gt;$AO164)),
SUMPRODUCT(INDEX($AR$47:$AT$56,,$AI164), INDEX($AU$47:$BA$56,,$AH164), 1 / ($BC$47:$BC$56*CU164 + (1-$BC$47:$BC$56)*CQ164), N($AQ$47:$AQ$56&gt;$AO164))
) / 1000</f>
        <v>0</v>
      </c>
      <c r="CW164" s="235" cm="1">
        <f t="array" ref="CW164">$BI164 * IF($AH164&lt;=2,
SUMPRODUCT(INDEX($AR$23:$AT$61,,$AI164), INDEX($AU$23:$BA$61,,$AH164), 1 / ($BB$23:$BB$61*CU164), N($AQ$23:$AQ$61&gt;$AO164)),
SUMPRODUCT(INDEX($AR$23:$AT$46,,$AI164), INDEX($AU$23:$BA$46,,$AH164), 1 / ($BC$23:$BC$46*CU164), N($AQ$23:$AQ$46&gt;$AO164))
) / 1000</f>
        <v>0</v>
      </c>
      <c r="CX164" s="230">
        <f t="shared" si="397"/>
        <v>0</v>
      </c>
      <c r="CY164" s="238"/>
    </row>
    <row r="165" spans="1:103" s="76" customFormat="1" ht="14.25" customHeight="1" x14ac:dyDescent="0.2">
      <c r="A165" s="231" t="b">
        <f t="shared" si="229"/>
        <v>0</v>
      </c>
      <c r="B165" s="245">
        <v>143</v>
      </c>
      <c r="C165" s="258"/>
      <c r="D165" s="258"/>
      <c r="E165" s="246"/>
      <c r="F165" s="247" t="str">
        <f>IF(ISBLANK(E165), "", VLOOKUP(E165, Z!$A$2:$C$4127, 3, FALSE))</f>
        <v/>
      </c>
      <c r="G165" s="248"/>
      <c r="H165" s="248"/>
      <c r="I165" s="249"/>
      <c r="J165" s="250"/>
      <c r="K165" s="259"/>
      <c r="L165" s="260"/>
      <c r="M165" s="252" t="str" cm="1">
        <f t="array" ref="M165">INDEX(Trad, 53, $A$20)</f>
        <v>Verschmutzt</v>
      </c>
      <c r="N165" s="253"/>
      <c r="O165" s="253"/>
      <c r="P165" s="254"/>
      <c r="Q165" s="251"/>
      <c r="R165" s="251"/>
      <c r="S165" s="264">
        <f t="shared" si="372"/>
        <v>0</v>
      </c>
      <c r="T165" s="252" t="str" cm="1">
        <f t="array" ref="T165">INDEX(Trad, 52, $A$20)</f>
        <v>Sauber</v>
      </c>
      <c r="U165" s="253"/>
      <c r="V165" s="253"/>
      <c r="W165" s="254"/>
      <c r="X165" s="251"/>
      <c r="Y165" s="251"/>
      <c r="Z165" s="264">
        <f t="shared" si="373"/>
        <v>0</v>
      </c>
      <c r="AA165" s="261"/>
      <c r="AB165" s="258"/>
      <c r="AC165" s="246"/>
      <c r="AD165" s="247" t="str">
        <f>IF(ISBLANK(AC165), "", VLOOKUP(AC165, Z!$A$2:$C$4127, 3, FALSE))</f>
        <v/>
      </c>
      <c r="AE165" s="262"/>
      <c r="AF165" s="263">
        <f t="shared" si="374"/>
        <v>0</v>
      </c>
      <c r="AG165" s="238"/>
      <c r="AH165" s="229">
        <f t="shared" si="398"/>
        <v>1</v>
      </c>
      <c r="AI165" s="229">
        <f t="shared" si="399"/>
        <v>1</v>
      </c>
      <c r="AJ165" s="229">
        <f t="shared" si="400"/>
        <v>0</v>
      </c>
      <c r="AK165" s="229">
        <v>0</v>
      </c>
      <c r="AL165" s="229">
        <v>0</v>
      </c>
      <c r="AM165" s="229">
        <v>1</v>
      </c>
      <c r="AN165" s="229">
        <v>0</v>
      </c>
      <c r="AO165" s="229">
        <f t="shared" si="375"/>
        <v>-100</v>
      </c>
      <c r="AP165" s="238"/>
      <c r="AQ165" s="255"/>
      <c r="AR165" s="255"/>
      <c r="AS165" s="256"/>
      <c r="AT165" s="256"/>
      <c r="AU165" s="256"/>
      <c r="AV165" s="256"/>
      <c r="AW165" s="256"/>
      <c r="AX165" s="256"/>
      <c r="AY165" s="256"/>
      <c r="AZ165" s="256"/>
      <c r="BA165" s="256"/>
      <c r="BB165" s="256"/>
      <c r="BC165" s="256"/>
      <c r="BD165" s="238"/>
      <c r="BE165" s="229" cm="1">
        <f t="array" ref="BE165">IF(ISBLANK(R165), INDEX(Use, $AH165, 4) - AM165*INDEX(Use, $AH165, 6), R165)</f>
        <v>5</v>
      </c>
      <c r="BF165" s="229">
        <f t="shared" si="376"/>
        <v>30</v>
      </c>
      <c r="BG165" s="229">
        <f t="shared" si="241"/>
        <v>13</v>
      </c>
      <c r="BH165" s="229">
        <f t="shared" si="242"/>
        <v>0</v>
      </c>
      <c r="BI165" s="234" cm="1">
        <f t="array" ref="BI165">K165/IF($L165&gt;0, INDEX($AU$23:$BA$77, $L165+20, $AH165), 1)</f>
        <v>0</v>
      </c>
      <c r="BJ165" s="230">
        <f t="shared" si="377"/>
        <v>0</v>
      </c>
      <c r="BK165" s="229">
        <v>35</v>
      </c>
      <c r="BL165" s="230">
        <f t="shared" si="378"/>
        <v>48</v>
      </c>
      <c r="BM165" s="235">
        <f t="shared" si="379"/>
        <v>2.9108720930232557</v>
      </c>
      <c r="BN165" s="235" cm="1">
        <f t="array" ref="BN165">$BI165 * SUMPRODUCT(INDEX($AR$77:$AT$82,,$AI165),INDEX($AU$77:$BA$82,,$AH165), N($AQ$77:$AQ$82&gt;$AO165)) / BM165 / 1000</f>
        <v>0</v>
      </c>
      <c r="BO165" s="232">
        <f t="shared" si="246"/>
        <v>30</v>
      </c>
      <c r="BP165" s="230">
        <f t="shared" si="380"/>
        <v>43</v>
      </c>
      <c r="BQ165" s="235">
        <f t="shared" si="381"/>
        <v>3.2938815789473681</v>
      </c>
      <c r="BR165" s="235" cm="1">
        <f t="array" ref="BR165">$BI165 * IF($AH165&lt;=2,
SUMPRODUCT(INDEX($AR$72:$AT$76,,$AI165), INDEX($AU$72:$BA$76,,$AH165), 1 / ($BB$72:$BB$76*BQ165 + (1-$BB$72:$BB$76)*BM165), N($AQ$72:$AQ$76&gt;$AO165)),
SUMPRODUCT(INDEX($AR$67:$AT$76,,$AI165), INDEX($AU$67:$BA$76,,$AH165), 1 / ($BC$67:$BC$76*BQ165 + (1-$BC$67:$BC$76)*BM165), N($AQ$67:$AQ$76&gt;$AO165))
) / 1000</f>
        <v>0</v>
      </c>
      <c r="BS165" s="232">
        <f t="shared" si="249"/>
        <v>25</v>
      </c>
      <c r="BT165" s="230">
        <f t="shared" si="382"/>
        <v>38</v>
      </c>
      <c r="BU165" s="235">
        <f t="shared" si="383"/>
        <v>3.792954545454545</v>
      </c>
      <c r="BV165" s="235" cm="1">
        <f t="array" ref="BV165">$BI165 * IF($AH165&lt;=2,
SUMPRODUCT(INDEX($AR$67:$AT$71,,$AI165), INDEX($AU$67:$BA$71,,$AH165), 1 / ($BB$67:$BB$71*BU165 + (1-$BB$67:$BB$71)*BQ165), N($AQ$67:$AQ$71&gt;$AO165)),
SUMPRODUCT(INDEX($AR$57:$AT$66,,$AI165), INDEX($AU$57:$BA$66,,$AH165), 1 / ($BC$57:$BC$66*BU165 + (1-$BC$57:$BC$66)*BQ165), N($AQ$57:$AQ$66&gt;$AO165))
) / 1000</f>
        <v>0</v>
      </c>
      <c r="BW165" s="232">
        <f t="shared" si="252"/>
        <v>20</v>
      </c>
      <c r="BX165" s="230">
        <f t="shared" si="384"/>
        <v>33</v>
      </c>
      <c r="BY165" s="235">
        <f t="shared" si="385"/>
        <v>4.4702678571428569</v>
      </c>
      <c r="BZ165" s="235" cm="1">
        <f t="array" ref="BZ165">$BI165 * IF($AH165&lt;=2,
SUMPRODUCT(INDEX($AR$62:$AT$66,,$AI165), INDEX($AU$62:$BA$66,,$AH165), 1 / ($BB$62:$BB$66*BY165 + (1-$BB$62:$BB$66)*BU165), N($AQ$62:$AQ$66&gt;$AO165)),
SUMPRODUCT(INDEX($AR$47:$AT$56,,$AI165), INDEX($AU$47:$BA$56,,$AH165), 1 / ($BC$47:$BC$56*BY165 + (1-$BC$47:$BC$56)*BU165), N($AQ$47:$AQ$56&gt;$AO165))
) / 1000</f>
        <v>0</v>
      </c>
      <c r="CA165" s="235" cm="1">
        <f t="array" ref="CA165">$BI165 * IF($AH165&lt;=2,
SUMPRODUCT(INDEX($AR$23:$AT$61,,$AI165), INDEX($AU$23:$BA$61,,$AH165), 1 / ($BB$23:$BB$61*BY165), N($AQ$23:$AQ$61&gt;$AO165)),
SUMPRODUCT(INDEX($AR$23:$AT$46,,$AI165), INDEX($AU$23:$BA$46,,$AH165), 1 / ($BC$23:$BC$46*BY165), N($AQ$23:$AQ$46&gt;$AO165))
) / 1000</f>
        <v>0</v>
      </c>
      <c r="CB165" s="230">
        <f t="shared" si="386"/>
        <v>0</v>
      </c>
      <c r="CC165" s="238"/>
      <c r="CD165" s="229" cm="1">
        <f t="array" ref="CD165">IF(ISBLANK(Y165), INDEX(Use, $AH165, 4) - AN165*INDEX(Use, $AH165, 6) - (Q165-X165), Y165)</f>
        <v>7</v>
      </c>
      <c r="CE165" s="229">
        <f t="shared" si="387"/>
        <v>32</v>
      </c>
      <c r="CF165" s="230">
        <f t="shared" si="388"/>
        <v>0</v>
      </c>
      <c r="CG165" s="229">
        <v>35</v>
      </c>
      <c r="CH165" s="230">
        <f t="shared" si="389"/>
        <v>48</v>
      </c>
      <c r="CI165" s="235">
        <f t="shared" si="390"/>
        <v>3.0748170731707316</v>
      </c>
      <c r="CJ165" s="235" cm="1">
        <f t="array" ref="CJ165">$BI165 * SUMPRODUCT(INDEX($AR$77:$AT$82,,$AI165),INDEX($AU$77:$BA$82,,$AH165), N($AQ$77:$AQ$82&gt;$AO165)) / CI165 / 1000</f>
        <v>0</v>
      </c>
      <c r="CK165" s="232">
        <f t="shared" si="260"/>
        <v>30</v>
      </c>
      <c r="CL165" s="230">
        <f t="shared" si="391"/>
        <v>43</v>
      </c>
      <c r="CM165" s="235">
        <f t="shared" si="392"/>
        <v>3.5018750000000001</v>
      </c>
      <c r="CN165" s="235" cm="1">
        <f t="array" ref="CN165">$BI165 * IF($AH165&lt;=2,
SUMPRODUCT(INDEX($AR$72:$AT$76,,$AI165), INDEX($AU$72:$BA$76,,$AH165), 1 / ($BB$72:$BB$76*CM165 + (1-$BB$72:$BB$76)*CI165), N($AQ$72:$AQ$76&gt;$AO165)),
SUMPRODUCT(INDEX($AR$67:$AT$76,,$AI165), INDEX($AU$67:$BA$76,,$AH165), 1 / ($BC$67:$BC$76*CM165 + (1-$BC$67:$BC$76)*CI165), N($AQ$67:$AQ$76&gt;$AO165))
) / 1000</f>
        <v>0</v>
      </c>
      <c r="CO165" s="232">
        <f t="shared" si="263"/>
        <v>25</v>
      </c>
      <c r="CP165" s="230">
        <f t="shared" si="393"/>
        <v>38</v>
      </c>
      <c r="CQ165" s="235">
        <f t="shared" si="394"/>
        <v>4.0666935483870965</v>
      </c>
      <c r="CR165" s="235" cm="1">
        <f t="array" ref="CR165">$BI165 * IF($AH165&lt;=2,
SUMPRODUCT(INDEX($AR$67:$AT$71,,$AI165), INDEX($AU$67:$BA$71,,$AH165), 1 / ($BB$67:$BB$71*CQ165 + (1-$BB$67:$BB$71)*CM165), N($AQ$67:$AQ$71&gt;$AO165)),
SUMPRODUCT(INDEX($AR$57:$AT$66,,$AI165), INDEX($AU$57:$BA$66,,$AH165), 1 / ($BC$57:$BC$66*CQ165 + (1-$BC$57:$BC$66)*CM165), N($AQ$57:$AQ$66&gt;$AO165))
) / 1000</f>
        <v>0</v>
      </c>
      <c r="CS165" s="232">
        <f t="shared" si="266"/>
        <v>20</v>
      </c>
      <c r="CT165" s="230">
        <f t="shared" si="395"/>
        <v>33</v>
      </c>
      <c r="CU165" s="235">
        <f t="shared" si="396"/>
        <v>4.8487499999999999</v>
      </c>
      <c r="CV165" s="235" cm="1">
        <f t="array" ref="CV165">$BI165 * IF($AH165&lt;=2,
SUMPRODUCT(INDEX($AR$62:$AT$66,,$AI165), INDEX($AU$62:$BA$66,,$AH165), 1 / ($BB$62:$BB$66*CU165 + (1-$BB$62:$BB$66)*CQ165), N($AQ$62:$AQ$66&gt;$AO165)),
SUMPRODUCT(INDEX($AR$47:$AT$56,,$AI165), INDEX($AU$47:$BA$56,,$AH165), 1 / ($BC$47:$BC$56*CU165 + (1-$BC$47:$BC$56)*CQ165), N($AQ$47:$AQ$56&gt;$AO165))
) / 1000</f>
        <v>0</v>
      </c>
      <c r="CW165" s="235" cm="1">
        <f t="array" ref="CW165">$BI165 * IF($AH165&lt;=2,
SUMPRODUCT(INDEX($AR$23:$AT$61,,$AI165), INDEX($AU$23:$BA$61,,$AH165), 1 / ($BB$23:$BB$61*CU165), N($AQ$23:$AQ$61&gt;$AO165)),
SUMPRODUCT(INDEX($AR$23:$AT$46,,$AI165), INDEX($AU$23:$BA$46,,$AH165), 1 / ($BC$23:$BC$46*CU165), N($AQ$23:$AQ$46&gt;$AO165))
) / 1000</f>
        <v>0</v>
      </c>
      <c r="CX165" s="230">
        <f t="shared" si="397"/>
        <v>0</v>
      </c>
      <c r="CY165" s="238"/>
    </row>
    <row r="166" spans="1:103" s="76" customFormat="1" ht="14.25" customHeight="1" x14ac:dyDescent="0.2">
      <c r="A166" s="231" t="b">
        <f t="shared" si="229"/>
        <v>0</v>
      </c>
      <c r="B166" s="245">
        <v>144</v>
      </c>
      <c r="C166" s="258"/>
      <c r="D166" s="258"/>
      <c r="E166" s="246"/>
      <c r="F166" s="247" t="str">
        <f>IF(ISBLANK(E166), "", VLOOKUP(E166, Z!$A$2:$C$4127, 3, FALSE))</f>
        <v/>
      </c>
      <c r="G166" s="248"/>
      <c r="H166" s="248"/>
      <c r="I166" s="249"/>
      <c r="J166" s="250"/>
      <c r="K166" s="259"/>
      <c r="L166" s="260"/>
      <c r="M166" s="252" t="str" cm="1">
        <f t="array" ref="M166">INDEX(Trad, 53, $A$20)</f>
        <v>Verschmutzt</v>
      </c>
      <c r="N166" s="253"/>
      <c r="O166" s="253"/>
      <c r="P166" s="254"/>
      <c r="Q166" s="251"/>
      <c r="R166" s="251"/>
      <c r="S166" s="264">
        <f t="shared" si="372"/>
        <v>0</v>
      </c>
      <c r="T166" s="252" t="str" cm="1">
        <f t="array" ref="T166">INDEX(Trad, 52, $A$20)</f>
        <v>Sauber</v>
      </c>
      <c r="U166" s="253"/>
      <c r="V166" s="253"/>
      <c r="W166" s="254"/>
      <c r="X166" s="251"/>
      <c r="Y166" s="251"/>
      <c r="Z166" s="264">
        <f t="shared" si="373"/>
        <v>0</v>
      </c>
      <c r="AA166" s="261"/>
      <c r="AB166" s="258"/>
      <c r="AC166" s="246"/>
      <c r="AD166" s="247" t="str">
        <f>IF(ISBLANK(AC166), "", VLOOKUP(AC166, Z!$A$2:$C$4127, 3, FALSE))</f>
        <v/>
      </c>
      <c r="AE166" s="262"/>
      <c r="AF166" s="263">
        <f t="shared" si="374"/>
        <v>0</v>
      </c>
      <c r="AG166" s="238"/>
      <c r="AH166" s="229">
        <f t="shared" si="398"/>
        <v>1</v>
      </c>
      <c r="AI166" s="229">
        <f t="shared" si="399"/>
        <v>1</v>
      </c>
      <c r="AJ166" s="229">
        <f t="shared" si="400"/>
        <v>0</v>
      </c>
      <c r="AK166" s="229">
        <v>0</v>
      </c>
      <c r="AL166" s="229">
        <v>0</v>
      </c>
      <c r="AM166" s="229">
        <v>1</v>
      </c>
      <c r="AN166" s="229">
        <v>0</v>
      </c>
      <c r="AO166" s="229">
        <f t="shared" si="375"/>
        <v>-100</v>
      </c>
      <c r="AP166" s="238"/>
      <c r="AQ166" s="255"/>
      <c r="AR166" s="255"/>
      <c r="AS166" s="256"/>
      <c r="AT166" s="256"/>
      <c r="AU166" s="256"/>
      <c r="AV166" s="256"/>
      <c r="AW166" s="256"/>
      <c r="AX166" s="256"/>
      <c r="AY166" s="256"/>
      <c r="AZ166" s="256"/>
      <c r="BA166" s="256"/>
      <c r="BB166" s="256"/>
      <c r="BC166" s="256"/>
      <c r="BD166" s="238"/>
      <c r="BE166" s="229" cm="1">
        <f t="array" ref="BE166">IF(ISBLANK(R166), INDEX(Use, $AH166, 4) - AM166*INDEX(Use, $AH166, 6), R166)</f>
        <v>5</v>
      </c>
      <c r="BF166" s="229">
        <f t="shared" si="376"/>
        <v>30</v>
      </c>
      <c r="BG166" s="229">
        <f t="shared" si="241"/>
        <v>13</v>
      </c>
      <c r="BH166" s="229">
        <f t="shared" si="242"/>
        <v>0</v>
      </c>
      <c r="BI166" s="234" cm="1">
        <f t="array" ref="BI166">K166/IF($L166&gt;0, INDEX($AU$23:$BA$77, $L166+20, $AH166), 1)</f>
        <v>0</v>
      </c>
      <c r="BJ166" s="230">
        <f t="shared" si="377"/>
        <v>0</v>
      </c>
      <c r="BK166" s="229">
        <v>35</v>
      </c>
      <c r="BL166" s="230">
        <f t="shared" si="378"/>
        <v>48</v>
      </c>
      <c r="BM166" s="235">
        <f t="shared" si="379"/>
        <v>2.9108720930232557</v>
      </c>
      <c r="BN166" s="235" cm="1">
        <f t="array" ref="BN166">$BI166 * SUMPRODUCT(INDEX($AR$77:$AT$82,,$AI166),INDEX($AU$77:$BA$82,,$AH166), N($AQ$77:$AQ$82&gt;$AO166)) / BM166 / 1000</f>
        <v>0</v>
      </c>
      <c r="BO166" s="232">
        <f t="shared" si="246"/>
        <v>30</v>
      </c>
      <c r="BP166" s="230">
        <f t="shared" si="380"/>
        <v>43</v>
      </c>
      <c r="BQ166" s="235">
        <f t="shared" si="381"/>
        <v>3.2938815789473681</v>
      </c>
      <c r="BR166" s="235" cm="1">
        <f t="array" ref="BR166">$BI166 * IF($AH166&lt;=2,
SUMPRODUCT(INDEX($AR$72:$AT$76,,$AI166), INDEX($AU$72:$BA$76,,$AH166), 1 / ($BB$72:$BB$76*BQ166 + (1-$BB$72:$BB$76)*BM166), N($AQ$72:$AQ$76&gt;$AO166)),
SUMPRODUCT(INDEX($AR$67:$AT$76,,$AI166), INDEX($AU$67:$BA$76,,$AH166), 1 / ($BC$67:$BC$76*BQ166 + (1-$BC$67:$BC$76)*BM166), N($AQ$67:$AQ$76&gt;$AO166))
) / 1000</f>
        <v>0</v>
      </c>
      <c r="BS166" s="232">
        <f t="shared" si="249"/>
        <v>25</v>
      </c>
      <c r="BT166" s="230">
        <f t="shared" si="382"/>
        <v>38</v>
      </c>
      <c r="BU166" s="235">
        <f t="shared" si="383"/>
        <v>3.792954545454545</v>
      </c>
      <c r="BV166" s="235" cm="1">
        <f t="array" ref="BV166">$BI166 * IF($AH166&lt;=2,
SUMPRODUCT(INDEX($AR$67:$AT$71,,$AI166), INDEX($AU$67:$BA$71,,$AH166), 1 / ($BB$67:$BB$71*BU166 + (1-$BB$67:$BB$71)*BQ166), N($AQ$67:$AQ$71&gt;$AO166)),
SUMPRODUCT(INDEX($AR$57:$AT$66,,$AI166), INDEX($AU$57:$BA$66,,$AH166), 1 / ($BC$57:$BC$66*BU166 + (1-$BC$57:$BC$66)*BQ166), N($AQ$57:$AQ$66&gt;$AO166))
) / 1000</f>
        <v>0</v>
      </c>
      <c r="BW166" s="232">
        <f t="shared" si="252"/>
        <v>20</v>
      </c>
      <c r="BX166" s="230">
        <f t="shared" si="384"/>
        <v>33</v>
      </c>
      <c r="BY166" s="235">
        <f t="shared" si="385"/>
        <v>4.4702678571428569</v>
      </c>
      <c r="BZ166" s="235" cm="1">
        <f t="array" ref="BZ166">$BI166 * IF($AH166&lt;=2,
SUMPRODUCT(INDEX($AR$62:$AT$66,,$AI166), INDEX($AU$62:$BA$66,,$AH166), 1 / ($BB$62:$BB$66*BY166 + (1-$BB$62:$BB$66)*BU166), N($AQ$62:$AQ$66&gt;$AO166)),
SUMPRODUCT(INDEX($AR$47:$AT$56,,$AI166), INDEX($AU$47:$BA$56,,$AH166), 1 / ($BC$47:$BC$56*BY166 + (1-$BC$47:$BC$56)*BU166), N($AQ$47:$AQ$56&gt;$AO166))
) / 1000</f>
        <v>0</v>
      </c>
      <c r="CA166" s="235" cm="1">
        <f t="array" ref="CA166">$BI166 * IF($AH166&lt;=2,
SUMPRODUCT(INDEX($AR$23:$AT$61,,$AI166), INDEX($AU$23:$BA$61,,$AH166), 1 / ($BB$23:$BB$61*BY166), N($AQ$23:$AQ$61&gt;$AO166)),
SUMPRODUCT(INDEX($AR$23:$AT$46,,$AI166), INDEX($AU$23:$BA$46,,$AH166), 1 / ($BC$23:$BC$46*BY166), N($AQ$23:$AQ$46&gt;$AO166))
) / 1000</f>
        <v>0</v>
      </c>
      <c r="CB166" s="230">
        <f t="shared" si="386"/>
        <v>0</v>
      </c>
      <c r="CC166" s="238"/>
      <c r="CD166" s="229" cm="1">
        <f t="array" ref="CD166">IF(ISBLANK(Y166), INDEX(Use, $AH166, 4) - AN166*INDEX(Use, $AH166, 6) - (Q166-X166), Y166)</f>
        <v>7</v>
      </c>
      <c r="CE166" s="229">
        <f t="shared" si="387"/>
        <v>32</v>
      </c>
      <c r="CF166" s="230">
        <f t="shared" si="388"/>
        <v>0</v>
      </c>
      <c r="CG166" s="229">
        <v>35</v>
      </c>
      <c r="CH166" s="230">
        <f t="shared" si="389"/>
        <v>48</v>
      </c>
      <c r="CI166" s="235">
        <f t="shared" si="390"/>
        <v>3.0748170731707316</v>
      </c>
      <c r="CJ166" s="235" cm="1">
        <f t="array" ref="CJ166">$BI166 * SUMPRODUCT(INDEX($AR$77:$AT$82,,$AI166),INDEX($AU$77:$BA$82,,$AH166), N($AQ$77:$AQ$82&gt;$AO166)) / CI166 / 1000</f>
        <v>0</v>
      </c>
      <c r="CK166" s="232">
        <f t="shared" si="260"/>
        <v>30</v>
      </c>
      <c r="CL166" s="230">
        <f t="shared" si="391"/>
        <v>43</v>
      </c>
      <c r="CM166" s="235">
        <f t="shared" si="392"/>
        <v>3.5018750000000001</v>
      </c>
      <c r="CN166" s="235" cm="1">
        <f t="array" ref="CN166">$BI166 * IF($AH166&lt;=2,
SUMPRODUCT(INDEX($AR$72:$AT$76,,$AI166), INDEX($AU$72:$BA$76,,$AH166), 1 / ($BB$72:$BB$76*CM166 + (1-$BB$72:$BB$76)*CI166), N($AQ$72:$AQ$76&gt;$AO166)),
SUMPRODUCT(INDEX($AR$67:$AT$76,,$AI166), INDEX($AU$67:$BA$76,,$AH166), 1 / ($BC$67:$BC$76*CM166 + (1-$BC$67:$BC$76)*CI166), N($AQ$67:$AQ$76&gt;$AO166))
) / 1000</f>
        <v>0</v>
      </c>
      <c r="CO166" s="232">
        <f t="shared" si="263"/>
        <v>25</v>
      </c>
      <c r="CP166" s="230">
        <f t="shared" si="393"/>
        <v>38</v>
      </c>
      <c r="CQ166" s="235">
        <f t="shared" si="394"/>
        <v>4.0666935483870965</v>
      </c>
      <c r="CR166" s="235" cm="1">
        <f t="array" ref="CR166">$BI166 * IF($AH166&lt;=2,
SUMPRODUCT(INDEX($AR$67:$AT$71,,$AI166), INDEX($AU$67:$BA$71,,$AH166), 1 / ($BB$67:$BB$71*CQ166 + (1-$BB$67:$BB$71)*CM166), N($AQ$67:$AQ$71&gt;$AO166)),
SUMPRODUCT(INDEX($AR$57:$AT$66,,$AI166), INDEX($AU$57:$BA$66,,$AH166), 1 / ($BC$57:$BC$66*CQ166 + (1-$BC$57:$BC$66)*CM166), N($AQ$57:$AQ$66&gt;$AO166))
) / 1000</f>
        <v>0</v>
      </c>
      <c r="CS166" s="232">
        <f t="shared" si="266"/>
        <v>20</v>
      </c>
      <c r="CT166" s="230">
        <f t="shared" si="395"/>
        <v>33</v>
      </c>
      <c r="CU166" s="235">
        <f t="shared" si="396"/>
        <v>4.8487499999999999</v>
      </c>
      <c r="CV166" s="235" cm="1">
        <f t="array" ref="CV166">$BI166 * IF($AH166&lt;=2,
SUMPRODUCT(INDEX($AR$62:$AT$66,,$AI166), INDEX($AU$62:$BA$66,,$AH166), 1 / ($BB$62:$BB$66*CU166 + (1-$BB$62:$BB$66)*CQ166), N($AQ$62:$AQ$66&gt;$AO166)),
SUMPRODUCT(INDEX($AR$47:$AT$56,,$AI166), INDEX($AU$47:$BA$56,,$AH166), 1 / ($BC$47:$BC$56*CU166 + (1-$BC$47:$BC$56)*CQ166), N($AQ$47:$AQ$56&gt;$AO166))
) / 1000</f>
        <v>0</v>
      </c>
      <c r="CW166" s="235" cm="1">
        <f t="array" ref="CW166">$BI166 * IF($AH166&lt;=2,
SUMPRODUCT(INDEX($AR$23:$AT$61,,$AI166), INDEX($AU$23:$BA$61,,$AH166), 1 / ($BB$23:$BB$61*CU166), N($AQ$23:$AQ$61&gt;$AO166)),
SUMPRODUCT(INDEX($AR$23:$AT$46,,$AI166), INDEX($AU$23:$BA$46,,$AH166), 1 / ($BC$23:$BC$46*CU166), N($AQ$23:$AQ$46&gt;$AO166))
) / 1000</f>
        <v>0</v>
      </c>
      <c r="CX166" s="230">
        <f t="shared" si="397"/>
        <v>0</v>
      </c>
      <c r="CY166" s="238"/>
    </row>
    <row r="167" spans="1:103" s="76" customFormat="1" ht="14.25" customHeight="1" x14ac:dyDescent="0.2">
      <c r="A167" s="231" t="b">
        <f t="shared" si="229"/>
        <v>0</v>
      </c>
      <c r="B167" s="245">
        <v>145</v>
      </c>
      <c r="C167" s="258"/>
      <c r="D167" s="258"/>
      <c r="E167" s="246"/>
      <c r="F167" s="247" t="str">
        <f>IF(ISBLANK(E167), "", VLOOKUP(E167, Z!$A$2:$C$4127, 3, FALSE))</f>
        <v/>
      </c>
      <c r="G167" s="248"/>
      <c r="H167" s="248"/>
      <c r="I167" s="249"/>
      <c r="J167" s="250"/>
      <c r="K167" s="259"/>
      <c r="L167" s="260"/>
      <c r="M167" s="252" t="str" cm="1">
        <f t="array" ref="M167">INDEX(Trad, 53, $A$20)</f>
        <v>Verschmutzt</v>
      </c>
      <c r="N167" s="253"/>
      <c r="O167" s="253"/>
      <c r="P167" s="254"/>
      <c r="Q167" s="251"/>
      <c r="R167" s="251"/>
      <c r="S167" s="264">
        <f t="shared" si="372"/>
        <v>0</v>
      </c>
      <c r="T167" s="252" t="str" cm="1">
        <f t="array" ref="T167">INDEX(Trad, 52, $A$20)</f>
        <v>Sauber</v>
      </c>
      <c r="U167" s="253"/>
      <c r="V167" s="253"/>
      <c r="W167" s="254"/>
      <c r="X167" s="251"/>
      <c r="Y167" s="251"/>
      <c r="Z167" s="264">
        <f t="shared" si="373"/>
        <v>0</v>
      </c>
      <c r="AA167" s="261"/>
      <c r="AB167" s="258"/>
      <c r="AC167" s="246"/>
      <c r="AD167" s="247" t="str">
        <f>IF(ISBLANK(AC167), "", VLOOKUP(AC167, Z!$A$2:$C$4127, 3, FALSE))</f>
        <v/>
      </c>
      <c r="AE167" s="262"/>
      <c r="AF167" s="263">
        <f t="shared" si="374"/>
        <v>0</v>
      </c>
      <c r="AG167" s="238"/>
      <c r="AH167" s="229">
        <f t="shared" si="398"/>
        <v>1</v>
      </c>
      <c r="AI167" s="229">
        <f t="shared" si="399"/>
        <v>1</v>
      </c>
      <c r="AJ167" s="229">
        <f t="shared" si="400"/>
        <v>0</v>
      </c>
      <c r="AK167" s="229">
        <v>0</v>
      </c>
      <c r="AL167" s="229">
        <v>0</v>
      </c>
      <c r="AM167" s="229">
        <v>1</v>
      </c>
      <c r="AN167" s="229">
        <v>0</v>
      </c>
      <c r="AO167" s="229">
        <f t="shared" si="375"/>
        <v>-100</v>
      </c>
      <c r="AP167" s="238"/>
      <c r="AQ167" s="255"/>
      <c r="AR167" s="255"/>
      <c r="AS167" s="256"/>
      <c r="AT167" s="256"/>
      <c r="AU167" s="256"/>
      <c r="AV167" s="256"/>
      <c r="AW167" s="256"/>
      <c r="AX167" s="256"/>
      <c r="AY167" s="256"/>
      <c r="AZ167" s="256"/>
      <c r="BA167" s="256"/>
      <c r="BB167" s="256"/>
      <c r="BC167" s="256"/>
      <c r="BD167" s="238"/>
      <c r="BE167" s="229" cm="1">
        <f t="array" ref="BE167">IF(ISBLANK(R167), INDEX(Use, $AH167, 4) - AM167*INDEX(Use, $AH167, 6), R167)</f>
        <v>5</v>
      </c>
      <c r="BF167" s="229">
        <f t="shared" si="376"/>
        <v>30</v>
      </c>
      <c r="BG167" s="229">
        <f t="shared" si="241"/>
        <v>13</v>
      </c>
      <c r="BH167" s="229">
        <f t="shared" si="242"/>
        <v>0</v>
      </c>
      <c r="BI167" s="234" cm="1">
        <f t="array" ref="BI167">K167/IF($L167&gt;0, INDEX($AU$23:$BA$77, $L167+20, $AH167), 1)</f>
        <v>0</v>
      </c>
      <c r="BJ167" s="230">
        <f t="shared" si="377"/>
        <v>0</v>
      </c>
      <c r="BK167" s="229">
        <v>35</v>
      </c>
      <c r="BL167" s="230">
        <f t="shared" si="378"/>
        <v>48</v>
      </c>
      <c r="BM167" s="235">
        <f t="shared" si="379"/>
        <v>2.9108720930232557</v>
      </c>
      <c r="BN167" s="235" cm="1">
        <f t="array" ref="BN167">$BI167 * SUMPRODUCT(INDEX($AR$77:$AT$82,,$AI167),INDEX($AU$77:$BA$82,,$AH167), N($AQ$77:$AQ$82&gt;$AO167)) / BM167 / 1000</f>
        <v>0</v>
      </c>
      <c r="BO167" s="232">
        <f t="shared" si="246"/>
        <v>30</v>
      </c>
      <c r="BP167" s="230">
        <f t="shared" si="380"/>
        <v>43</v>
      </c>
      <c r="BQ167" s="235">
        <f t="shared" si="381"/>
        <v>3.2938815789473681</v>
      </c>
      <c r="BR167" s="235" cm="1">
        <f t="array" ref="BR167">$BI167 * IF($AH167&lt;=2,
SUMPRODUCT(INDEX($AR$72:$AT$76,,$AI167), INDEX($AU$72:$BA$76,,$AH167), 1 / ($BB$72:$BB$76*BQ167 + (1-$BB$72:$BB$76)*BM167), N($AQ$72:$AQ$76&gt;$AO167)),
SUMPRODUCT(INDEX($AR$67:$AT$76,,$AI167), INDEX($AU$67:$BA$76,,$AH167), 1 / ($BC$67:$BC$76*BQ167 + (1-$BC$67:$BC$76)*BM167), N($AQ$67:$AQ$76&gt;$AO167))
) / 1000</f>
        <v>0</v>
      </c>
      <c r="BS167" s="232">
        <f t="shared" si="249"/>
        <v>25</v>
      </c>
      <c r="BT167" s="230">
        <f t="shared" si="382"/>
        <v>38</v>
      </c>
      <c r="BU167" s="235">
        <f t="shared" si="383"/>
        <v>3.792954545454545</v>
      </c>
      <c r="BV167" s="235" cm="1">
        <f t="array" ref="BV167">$BI167 * IF($AH167&lt;=2,
SUMPRODUCT(INDEX($AR$67:$AT$71,,$AI167), INDEX($AU$67:$BA$71,,$AH167), 1 / ($BB$67:$BB$71*BU167 + (1-$BB$67:$BB$71)*BQ167), N($AQ$67:$AQ$71&gt;$AO167)),
SUMPRODUCT(INDEX($AR$57:$AT$66,,$AI167), INDEX($AU$57:$BA$66,,$AH167), 1 / ($BC$57:$BC$66*BU167 + (1-$BC$57:$BC$66)*BQ167), N($AQ$57:$AQ$66&gt;$AO167))
) / 1000</f>
        <v>0</v>
      </c>
      <c r="BW167" s="232">
        <f t="shared" si="252"/>
        <v>20</v>
      </c>
      <c r="BX167" s="230">
        <f t="shared" si="384"/>
        <v>33</v>
      </c>
      <c r="BY167" s="235">
        <f t="shared" si="385"/>
        <v>4.4702678571428569</v>
      </c>
      <c r="BZ167" s="235" cm="1">
        <f t="array" ref="BZ167">$BI167 * IF($AH167&lt;=2,
SUMPRODUCT(INDEX($AR$62:$AT$66,,$AI167), INDEX($AU$62:$BA$66,,$AH167), 1 / ($BB$62:$BB$66*BY167 + (1-$BB$62:$BB$66)*BU167), N($AQ$62:$AQ$66&gt;$AO167)),
SUMPRODUCT(INDEX($AR$47:$AT$56,,$AI167), INDEX($AU$47:$BA$56,,$AH167), 1 / ($BC$47:$BC$56*BY167 + (1-$BC$47:$BC$56)*BU167), N($AQ$47:$AQ$56&gt;$AO167))
) / 1000</f>
        <v>0</v>
      </c>
      <c r="CA167" s="235" cm="1">
        <f t="array" ref="CA167">$BI167 * IF($AH167&lt;=2,
SUMPRODUCT(INDEX($AR$23:$AT$61,,$AI167), INDEX($AU$23:$BA$61,,$AH167), 1 / ($BB$23:$BB$61*BY167), N($AQ$23:$AQ$61&gt;$AO167)),
SUMPRODUCT(INDEX($AR$23:$AT$46,,$AI167), INDEX($AU$23:$BA$46,,$AH167), 1 / ($BC$23:$BC$46*BY167), N($AQ$23:$AQ$46&gt;$AO167))
) / 1000</f>
        <v>0</v>
      </c>
      <c r="CB167" s="230">
        <f t="shared" si="386"/>
        <v>0</v>
      </c>
      <c r="CC167" s="238"/>
      <c r="CD167" s="229" cm="1">
        <f t="array" ref="CD167">IF(ISBLANK(Y167), INDEX(Use, $AH167, 4) - AN167*INDEX(Use, $AH167, 6) - (Q167-X167), Y167)</f>
        <v>7</v>
      </c>
      <c r="CE167" s="229">
        <f t="shared" si="387"/>
        <v>32</v>
      </c>
      <c r="CF167" s="230">
        <f t="shared" si="388"/>
        <v>0</v>
      </c>
      <c r="CG167" s="229">
        <v>35</v>
      </c>
      <c r="CH167" s="230">
        <f t="shared" si="389"/>
        <v>48</v>
      </c>
      <c r="CI167" s="235">
        <f t="shared" si="390"/>
        <v>3.0748170731707316</v>
      </c>
      <c r="CJ167" s="235" cm="1">
        <f t="array" ref="CJ167">$BI167 * SUMPRODUCT(INDEX($AR$77:$AT$82,,$AI167),INDEX($AU$77:$BA$82,,$AH167), N($AQ$77:$AQ$82&gt;$AO167)) / CI167 / 1000</f>
        <v>0</v>
      </c>
      <c r="CK167" s="232">
        <f t="shared" si="260"/>
        <v>30</v>
      </c>
      <c r="CL167" s="230">
        <f t="shared" si="391"/>
        <v>43</v>
      </c>
      <c r="CM167" s="235">
        <f t="shared" si="392"/>
        <v>3.5018750000000001</v>
      </c>
      <c r="CN167" s="235" cm="1">
        <f t="array" ref="CN167">$BI167 * IF($AH167&lt;=2,
SUMPRODUCT(INDEX($AR$72:$AT$76,,$AI167), INDEX($AU$72:$BA$76,,$AH167), 1 / ($BB$72:$BB$76*CM167 + (1-$BB$72:$BB$76)*CI167), N($AQ$72:$AQ$76&gt;$AO167)),
SUMPRODUCT(INDEX($AR$67:$AT$76,,$AI167), INDEX($AU$67:$BA$76,,$AH167), 1 / ($BC$67:$BC$76*CM167 + (1-$BC$67:$BC$76)*CI167), N($AQ$67:$AQ$76&gt;$AO167))
) / 1000</f>
        <v>0</v>
      </c>
      <c r="CO167" s="232">
        <f t="shared" si="263"/>
        <v>25</v>
      </c>
      <c r="CP167" s="230">
        <f t="shared" si="393"/>
        <v>38</v>
      </c>
      <c r="CQ167" s="235">
        <f t="shared" si="394"/>
        <v>4.0666935483870965</v>
      </c>
      <c r="CR167" s="235" cm="1">
        <f t="array" ref="CR167">$BI167 * IF($AH167&lt;=2,
SUMPRODUCT(INDEX($AR$67:$AT$71,,$AI167), INDEX($AU$67:$BA$71,,$AH167), 1 / ($BB$67:$BB$71*CQ167 + (1-$BB$67:$BB$71)*CM167), N($AQ$67:$AQ$71&gt;$AO167)),
SUMPRODUCT(INDEX($AR$57:$AT$66,,$AI167), INDEX($AU$57:$BA$66,,$AH167), 1 / ($BC$57:$BC$66*CQ167 + (1-$BC$57:$BC$66)*CM167), N($AQ$57:$AQ$66&gt;$AO167))
) / 1000</f>
        <v>0</v>
      </c>
      <c r="CS167" s="232">
        <f t="shared" si="266"/>
        <v>20</v>
      </c>
      <c r="CT167" s="230">
        <f t="shared" si="395"/>
        <v>33</v>
      </c>
      <c r="CU167" s="235">
        <f t="shared" si="396"/>
        <v>4.8487499999999999</v>
      </c>
      <c r="CV167" s="235" cm="1">
        <f t="array" ref="CV167">$BI167 * IF($AH167&lt;=2,
SUMPRODUCT(INDEX($AR$62:$AT$66,,$AI167), INDEX($AU$62:$BA$66,,$AH167), 1 / ($BB$62:$BB$66*CU167 + (1-$BB$62:$BB$66)*CQ167), N($AQ$62:$AQ$66&gt;$AO167)),
SUMPRODUCT(INDEX($AR$47:$AT$56,,$AI167), INDEX($AU$47:$BA$56,,$AH167), 1 / ($BC$47:$BC$56*CU167 + (1-$BC$47:$BC$56)*CQ167), N($AQ$47:$AQ$56&gt;$AO167))
) / 1000</f>
        <v>0</v>
      </c>
      <c r="CW167" s="235" cm="1">
        <f t="array" ref="CW167">$BI167 * IF($AH167&lt;=2,
SUMPRODUCT(INDEX($AR$23:$AT$61,,$AI167), INDEX($AU$23:$BA$61,,$AH167), 1 / ($BB$23:$BB$61*CU167), N($AQ$23:$AQ$61&gt;$AO167)),
SUMPRODUCT(INDEX($AR$23:$AT$46,,$AI167), INDEX($AU$23:$BA$46,,$AH167), 1 / ($BC$23:$BC$46*CU167), N($AQ$23:$AQ$46&gt;$AO167))
) / 1000</f>
        <v>0</v>
      </c>
      <c r="CX167" s="230">
        <f t="shared" si="397"/>
        <v>0</v>
      </c>
      <c r="CY167" s="238"/>
    </row>
    <row r="168" spans="1:103" s="76" customFormat="1" ht="14.25" customHeight="1" x14ac:dyDescent="0.2">
      <c r="A168" s="231" t="b">
        <f t="shared" si="229"/>
        <v>0</v>
      </c>
      <c r="B168" s="245">
        <v>146</v>
      </c>
      <c r="C168" s="258"/>
      <c r="D168" s="258"/>
      <c r="E168" s="246"/>
      <c r="F168" s="247" t="str">
        <f>IF(ISBLANK(E168), "", VLOOKUP(E168, Z!$A$2:$C$4127, 3, FALSE))</f>
        <v/>
      </c>
      <c r="G168" s="248"/>
      <c r="H168" s="248"/>
      <c r="I168" s="249"/>
      <c r="J168" s="250"/>
      <c r="K168" s="259"/>
      <c r="L168" s="260"/>
      <c r="M168" s="252" t="str" cm="1">
        <f t="array" ref="M168">INDEX(Trad, 53, $A$20)</f>
        <v>Verschmutzt</v>
      </c>
      <c r="N168" s="253"/>
      <c r="O168" s="253"/>
      <c r="P168" s="254"/>
      <c r="Q168" s="251"/>
      <c r="R168" s="251"/>
      <c r="S168" s="264">
        <f t="shared" si="372"/>
        <v>0</v>
      </c>
      <c r="T168" s="252" t="str" cm="1">
        <f t="array" ref="T168">INDEX(Trad, 52, $A$20)</f>
        <v>Sauber</v>
      </c>
      <c r="U168" s="253"/>
      <c r="V168" s="253"/>
      <c r="W168" s="254"/>
      <c r="X168" s="251"/>
      <c r="Y168" s="251"/>
      <c r="Z168" s="264">
        <f t="shared" si="373"/>
        <v>0</v>
      </c>
      <c r="AA168" s="261"/>
      <c r="AB168" s="258"/>
      <c r="AC168" s="246"/>
      <c r="AD168" s="247" t="str">
        <f>IF(ISBLANK(AC168), "", VLOOKUP(AC168, Z!$A$2:$C$4127, 3, FALSE))</f>
        <v/>
      </c>
      <c r="AE168" s="262"/>
      <c r="AF168" s="263">
        <f t="shared" si="374"/>
        <v>0</v>
      </c>
      <c r="AG168" s="238"/>
      <c r="AH168" s="229">
        <f t="shared" si="398"/>
        <v>1</v>
      </c>
      <c r="AI168" s="229">
        <f t="shared" si="399"/>
        <v>1</v>
      </c>
      <c r="AJ168" s="229">
        <f t="shared" si="400"/>
        <v>0</v>
      </c>
      <c r="AK168" s="229">
        <v>0</v>
      </c>
      <c r="AL168" s="229">
        <v>0</v>
      </c>
      <c r="AM168" s="229">
        <v>1</v>
      </c>
      <c r="AN168" s="229">
        <v>0</v>
      </c>
      <c r="AO168" s="229">
        <f t="shared" si="375"/>
        <v>-100</v>
      </c>
      <c r="AP168" s="238"/>
      <c r="AQ168" s="255"/>
      <c r="AR168" s="255"/>
      <c r="AS168" s="256"/>
      <c r="AT168" s="256"/>
      <c r="AU168" s="256"/>
      <c r="AV168" s="256"/>
      <c r="AW168" s="256"/>
      <c r="AX168" s="256"/>
      <c r="AY168" s="256"/>
      <c r="AZ168" s="256"/>
      <c r="BA168" s="256"/>
      <c r="BB168" s="256"/>
      <c r="BC168" s="256"/>
      <c r="BD168" s="238"/>
      <c r="BE168" s="229" cm="1">
        <f t="array" ref="BE168">IF(ISBLANK(R168), INDEX(Use, $AH168, 4) - AM168*INDEX(Use, $AH168, 6), R168)</f>
        <v>5</v>
      </c>
      <c r="BF168" s="229">
        <f t="shared" si="376"/>
        <v>30</v>
      </c>
      <c r="BG168" s="229">
        <f t="shared" si="241"/>
        <v>13</v>
      </c>
      <c r="BH168" s="229">
        <f t="shared" si="242"/>
        <v>0</v>
      </c>
      <c r="BI168" s="234" cm="1">
        <f t="array" ref="BI168">K168/IF($L168&gt;0, INDEX($AU$23:$BA$77, $L168+20, $AH168), 1)</f>
        <v>0</v>
      </c>
      <c r="BJ168" s="230">
        <f t="shared" si="377"/>
        <v>0</v>
      </c>
      <c r="BK168" s="229">
        <v>35</v>
      </c>
      <c r="BL168" s="230">
        <f t="shared" si="378"/>
        <v>48</v>
      </c>
      <c r="BM168" s="235">
        <f t="shared" si="379"/>
        <v>2.9108720930232557</v>
      </c>
      <c r="BN168" s="235" cm="1">
        <f t="array" ref="BN168">$BI168 * SUMPRODUCT(INDEX($AR$77:$AT$82,,$AI168),INDEX($AU$77:$BA$82,,$AH168), N($AQ$77:$AQ$82&gt;$AO168)) / BM168 / 1000</f>
        <v>0</v>
      </c>
      <c r="BO168" s="232">
        <f t="shared" si="246"/>
        <v>30</v>
      </c>
      <c r="BP168" s="230">
        <f t="shared" si="380"/>
        <v>43</v>
      </c>
      <c r="BQ168" s="235">
        <f t="shared" si="381"/>
        <v>3.2938815789473681</v>
      </c>
      <c r="BR168" s="235" cm="1">
        <f t="array" ref="BR168">$BI168 * IF($AH168&lt;=2,
SUMPRODUCT(INDEX($AR$72:$AT$76,,$AI168), INDEX($AU$72:$BA$76,,$AH168), 1 / ($BB$72:$BB$76*BQ168 + (1-$BB$72:$BB$76)*BM168), N($AQ$72:$AQ$76&gt;$AO168)),
SUMPRODUCT(INDEX($AR$67:$AT$76,,$AI168), INDEX($AU$67:$BA$76,,$AH168), 1 / ($BC$67:$BC$76*BQ168 + (1-$BC$67:$BC$76)*BM168), N($AQ$67:$AQ$76&gt;$AO168))
) / 1000</f>
        <v>0</v>
      </c>
      <c r="BS168" s="232">
        <f t="shared" si="249"/>
        <v>25</v>
      </c>
      <c r="BT168" s="230">
        <f t="shared" si="382"/>
        <v>38</v>
      </c>
      <c r="BU168" s="235">
        <f t="shared" si="383"/>
        <v>3.792954545454545</v>
      </c>
      <c r="BV168" s="235" cm="1">
        <f t="array" ref="BV168">$BI168 * IF($AH168&lt;=2,
SUMPRODUCT(INDEX($AR$67:$AT$71,,$AI168), INDEX($AU$67:$BA$71,,$AH168), 1 / ($BB$67:$BB$71*BU168 + (1-$BB$67:$BB$71)*BQ168), N($AQ$67:$AQ$71&gt;$AO168)),
SUMPRODUCT(INDEX($AR$57:$AT$66,,$AI168), INDEX($AU$57:$BA$66,,$AH168), 1 / ($BC$57:$BC$66*BU168 + (1-$BC$57:$BC$66)*BQ168), N($AQ$57:$AQ$66&gt;$AO168))
) / 1000</f>
        <v>0</v>
      </c>
      <c r="BW168" s="232">
        <f t="shared" si="252"/>
        <v>20</v>
      </c>
      <c r="BX168" s="230">
        <f t="shared" si="384"/>
        <v>33</v>
      </c>
      <c r="BY168" s="235">
        <f t="shared" si="385"/>
        <v>4.4702678571428569</v>
      </c>
      <c r="BZ168" s="235" cm="1">
        <f t="array" ref="BZ168">$BI168 * IF($AH168&lt;=2,
SUMPRODUCT(INDEX($AR$62:$AT$66,,$AI168), INDEX($AU$62:$BA$66,,$AH168), 1 / ($BB$62:$BB$66*BY168 + (1-$BB$62:$BB$66)*BU168), N($AQ$62:$AQ$66&gt;$AO168)),
SUMPRODUCT(INDEX($AR$47:$AT$56,,$AI168), INDEX($AU$47:$BA$56,,$AH168), 1 / ($BC$47:$BC$56*BY168 + (1-$BC$47:$BC$56)*BU168), N($AQ$47:$AQ$56&gt;$AO168))
) / 1000</f>
        <v>0</v>
      </c>
      <c r="CA168" s="235" cm="1">
        <f t="array" ref="CA168">$BI168 * IF($AH168&lt;=2,
SUMPRODUCT(INDEX($AR$23:$AT$61,,$AI168), INDEX($AU$23:$BA$61,,$AH168), 1 / ($BB$23:$BB$61*BY168), N($AQ$23:$AQ$61&gt;$AO168)),
SUMPRODUCT(INDEX($AR$23:$AT$46,,$AI168), INDEX($AU$23:$BA$46,,$AH168), 1 / ($BC$23:$BC$46*BY168), N($AQ$23:$AQ$46&gt;$AO168))
) / 1000</f>
        <v>0</v>
      </c>
      <c r="CB168" s="230">
        <f t="shared" si="386"/>
        <v>0</v>
      </c>
      <c r="CC168" s="238"/>
      <c r="CD168" s="229" cm="1">
        <f t="array" ref="CD168">IF(ISBLANK(Y168), INDEX(Use, $AH168, 4) - AN168*INDEX(Use, $AH168, 6) - (Q168-X168), Y168)</f>
        <v>7</v>
      </c>
      <c r="CE168" s="229">
        <f t="shared" si="387"/>
        <v>32</v>
      </c>
      <c r="CF168" s="230">
        <f t="shared" si="388"/>
        <v>0</v>
      </c>
      <c r="CG168" s="229">
        <v>35</v>
      </c>
      <c r="CH168" s="230">
        <f t="shared" si="389"/>
        <v>48</v>
      </c>
      <c r="CI168" s="235">
        <f t="shared" si="390"/>
        <v>3.0748170731707316</v>
      </c>
      <c r="CJ168" s="235" cm="1">
        <f t="array" ref="CJ168">$BI168 * SUMPRODUCT(INDEX($AR$77:$AT$82,,$AI168),INDEX($AU$77:$BA$82,,$AH168), N($AQ$77:$AQ$82&gt;$AO168)) / CI168 / 1000</f>
        <v>0</v>
      </c>
      <c r="CK168" s="232">
        <f t="shared" si="260"/>
        <v>30</v>
      </c>
      <c r="CL168" s="230">
        <f t="shared" si="391"/>
        <v>43</v>
      </c>
      <c r="CM168" s="235">
        <f t="shared" si="392"/>
        <v>3.5018750000000001</v>
      </c>
      <c r="CN168" s="235" cm="1">
        <f t="array" ref="CN168">$BI168 * IF($AH168&lt;=2,
SUMPRODUCT(INDEX($AR$72:$AT$76,,$AI168), INDEX($AU$72:$BA$76,,$AH168), 1 / ($BB$72:$BB$76*CM168 + (1-$BB$72:$BB$76)*CI168), N($AQ$72:$AQ$76&gt;$AO168)),
SUMPRODUCT(INDEX($AR$67:$AT$76,,$AI168), INDEX($AU$67:$BA$76,,$AH168), 1 / ($BC$67:$BC$76*CM168 + (1-$BC$67:$BC$76)*CI168), N($AQ$67:$AQ$76&gt;$AO168))
) / 1000</f>
        <v>0</v>
      </c>
      <c r="CO168" s="232">
        <f t="shared" si="263"/>
        <v>25</v>
      </c>
      <c r="CP168" s="230">
        <f t="shared" si="393"/>
        <v>38</v>
      </c>
      <c r="CQ168" s="235">
        <f t="shared" si="394"/>
        <v>4.0666935483870965</v>
      </c>
      <c r="CR168" s="235" cm="1">
        <f t="array" ref="CR168">$BI168 * IF($AH168&lt;=2,
SUMPRODUCT(INDEX($AR$67:$AT$71,,$AI168), INDEX($AU$67:$BA$71,,$AH168), 1 / ($BB$67:$BB$71*CQ168 + (1-$BB$67:$BB$71)*CM168), N($AQ$67:$AQ$71&gt;$AO168)),
SUMPRODUCT(INDEX($AR$57:$AT$66,,$AI168), INDEX($AU$57:$BA$66,,$AH168), 1 / ($BC$57:$BC$66*CQ168 + (1-$BC$57:$BC$66)*CM168), N($AQ$57:$AQ$66&gt;$AO168))
) / 1000</f>
        <v>0</v>
      </c>
      <c r="CS168" s="232">
        <f t="shared" si="266"/>
        <v>20</v>
      </c>
      <c r="CT168" s="230">
        <f t="shared" si="395"/>
        <v>33</v>
      </c>
      <c r="CU168" s="235">
        <f t="shared" si="396"/>
        <v>4.8487499999999999</v>
      </c>
      <c r="CV168" s="235" cm="1">
        <f t="array" ref="CV168">$BI168 * IF($AH168&lt;=2,
SUMPRODUCT(INDEX($AR$62:$AT$66,,$AI168), INDEX($AU$62:$BA$66,,$AH168), 1 / ($BB$62:$BB$66*CU168 + (1-$BB$62:$BB$66)*CQ168), N($AQ$62:$AQ$66&gt;$AO168)),
SUMPRODUCT(INDEX($AR$47:$AT$56,,$AI168), INDEX($AU$47:$BA$56,,$AH168), 1 / ($BC$47:$BC$56*CU168 + (1-$BC$47:$BC$56)*CQ168), N($AQ$47:$AQ$56&gt;$AO168))
) / 1000</f>
        <v>0</v>
      </c>
      <c r="CW168" s="235" cm="1">
        <f t="array" ref="CW168">$BI168 * IF($AH168&lt;=2,
SUMPRODUCT(INDEX($AR$23:$AT$61,,$AI168), INDEX($AU$23:$BA$61,,$AH168), 1 / ($BB$23:$BB$61*CU168), N($AQ$23:$AQ$61&gt;$AO168)),
SUMPRODUCT(INDEX($AR$23:$AT$46,,$AI168), INDEX($AU$23:$BA$46,,$AH168), 1 / ($BC$23:$BC$46*CU168), N($AQ$23:$AQ$46&gt;$AO168))
) / 1000</f>
        <v>0</v>
      </c>
      <c r="CX168" s="230">
        <f t="shared" si="397"/>
        <v>0</v>
      </c>
      <c r="CY168" s="238"/>
    </row>
    <row r="169" spans="1:103" s="76" customFormat="1" ht="14.25" customHeight="1" x14ac:dyDescent="0.2">
      <c r="A169" s="231" t="b">
        <f t="shared" si="229"/>
        <v>0</v>
      </c>
      <c r="B169" s="245">
        <v>147</v>
      </c>
      <c r="C169" s="258"/>
      <c r="D169" s="258"/>
      <c r="E169" s="246"/>
      <c r="F169" s="247" t="str">
        <f>IF(ISBLANK(E169), "", VLOOKUP(E169, Z!$A$2:$C$4127, 3, FALSE))</f>
        <v/>
      </c>
      <c r="G169" s="248"/>
      <c r="H169" s="248"/>
      <c r="I169" s="249"/>
      <c r="J169" s="250"/>
      <c r="K169" s="259"/>
      <c r="L169" s="260"/>
      <c r="M169" s="252" t="str" cm="1">
        <f t="array" ref="M169">INDEX(Trad, 53, $A$20)</f>
        <v>Verschmutzt</v>
      </c>
      <c r="N169" s="253"/>
      <c r="O169" s="253"/>
      <c r="P169" s="254"/>
      <c r="Q169" s="251"/>
      <c r="R169" s="251"/>
      <c r="S169" s="264">
        <f t="shared" si="372"/>
        <v>0</v>
      </c>
      <c r="T169" s="252" t="str" cm="1">
        <f t="array" ref="T169">INDEX(Trad, 52, $A$20)</f>
        <v>Sauber</v>
      </c>
      <c r="U169" s="253"/>
      <c r="V169" s="253"/>
      <c r="W169" s="254"/>
      <c r="X169" s="251"/>
      <c r="Y169" s="251"/>
      <c r="Z169" s="264">
        <f t="shared" si="373"/>
        <v>0</v>
      </c>
      <c r="AA169" s="261"/>
      <c r="AB169" s="258"/>
      <c r="AC169" s="246"/>
      <c r="AD169" s="247" t="str">
        <f>IF(ISBLANK(AC169), "", VLOOKUP(AC169, Z!$A$2:$C$4127, 3, FALSE))</f>
        <v/>
      </c>
      <c r="AE169" s="262"/>
      <c r="AF169" s="263">
        <f t="shared" si="374"/>
        <v>0</v>
      </c>
      <c r="AG169" s="238"/>
      <c r="AH169" s="229">
        <f t="shared" si="398"/>
        <v>1</v>
      </c>
      <c r="AI169" s="229">
        <f t="shared" si="399"/>
        <v>1</v>
      </c>
      <c r="AJ169" s="229">
        <f t="shared" si="400"/>
        <v>0</v>
      </c>
      <c r="AK169" s="229">
        <v>0</v>
      </c>
      <c r="AL169" s="229">
        <v>0</v>
      </c>
      <c r="AM169" s="229">
        <v>1</v>
      </c>
      <c r="AN169" s="229">
        <v>0</v>
      </c>
      <c r="AO169" s="229">
        <f t="shared" si="375"/>
        <v>-100</v>
      </c>
      <c r="AP169" s="238"/>
      <c r="AQ169" s="255"/>
      <c r="AR169" s="255"/>
      <c r="AS169" s="256"/>
      <c r="AT169" s="256"/>
      <c r="AU169" s="256"/>
      <c r="AV169" s="256"/>
      <c r="AW169" s="256"/>
      <c r="AX169" s="256"/>
      <c r="AY169" s="256"/>
      <c r="AZ169" s="256"/>
      <c r="BA169" s="256"/>
      <c r="BB169" s="256"/>
      <c r="BC169" s="256"/>
      <c r="BD169" s="238"/>
      <c r="BE169" s="229" cm="1">
        <f t="array" ref="BE169">IF(ISBLANK(R169), INDEX(Use, $AH169, 4) - AM169*INDEX(Use, $AH169, 6), R169)</f>
        <v>5</v>
      </c>
      <c r="BF169" s="229">
        <f t="shared" si="376"/>
        <v>30</v>
      </c>
      <c r="BG169" s="229">
        <f t="shared" si="241"/>
        <v>13</v>
      </c>
      <c r="BH169" s="229">
        <f t="shared" si="242"/>
        <v>0</v>
      </c>
      <c r="BI169" s="234" cm="1">
        <f t="array" ref="BI169">K169/IF($L169&gt;0, INDEX($AU$23:$BA$77, $L169+20, $AH169), 1)</f>
        <v>0</v>
      </c>
      <c r="BJ169" s="230">
        <f t="shared" si="377"/>
        <v>0</v>
      </c>
      <c r="BK169" s="229">
        <v>35</v>
      </c>
      <c r="BL169" s="230">
        <f t="shared" si="378"/>
        <v>48</v>
      </c>
      <c r="BM169" s="235">
        <f t="shared" si="379"/>
        <v>2.9108720930232557</v>
      </c>
      <c r="BN169" s="235" cm="1">
        <f t="array" ref="BN169">$BI169 * SUMPRODUCT(INDEX($AR$77:$AT$82,,$AI169),INDEX($AU$77:$BA$82,,$AH169), N($AQ$77:$AQ$82&gt;$AO169)) / BM169 / 1000</f>
        <v>0</v>
      </c>
      <c r="BO169" s="232">
        <f t="shared" si="246"/>
        <v>30</v>
      </c>
      <c r="BP169" s="230">
        <f t="shared" si="380"/>
        <v>43</v>
      </c>
      <c r="BQ169" s="235">
        <f t="shared" si="381"/>
        <v>3.2938815789473681</v>
      </c>
      <c r="BR169" s="235" cm="1">
        <f t="array" ref="BR169">$BI169 * IF($AH169&lt;=2,
SUMPRODUCT(INDEX($AR$72:$AT$76,,$AI169), INDEX($AU$72:$BA$76,,$AH169), 1 / ($BB$72:$BB$76*BQ169 + (1-$BB$72:$BB$76)*BM169), N($AQ$72:$AQ$76&gt;$AO169)),
SUMPRODUCT(INDEX($AR$67:$AT$76,,$AI169), INDEX($AU$67:$BA$76,,$AH169), 1 / ($BC$67:$BC$76*BQ169 + (1-$BC$67:$BC$76)*BM169), N($AQ$67:$AQ$76&gt;$AO169))
) / 1000</f>
        <v>0</v>
      </c>
      <c r="BS169" s="232">
        <f t="shared" si="249"/>
        <v>25</v>
      </c>
      <c r="BT169" s="230">
        <f t="shared" si="382"/>
        <v>38</v>
      </c>
      <c r="BU169" s="235">
        <f t="shared" si="383"/>
        <v>3.792954545454545</v>
      </c>
      <c r="BV169" s="235" cm="1">
        <f t="array" ref="BV169">$BI169 * IF($AH169&lt;=2,
SUMPRODUCT(INDEX($AR$67:$AT$71,,$AI169), INDEX($AU$67:$BA$71,,$AH169), 1 / ($BB$67:$BB$71*BU169 + (1-$BB$67:$BB$71)*BQ169), N($AQ$67:$AQ$71&gt;$AO169)),
SUMPRODUCT(INDEX($AR$57:$AT$66,,$AI169), INDEX($AU$57:$BA$66,,$AH169), 1 / ($BC$57:$BC$66*BU169 + (1-$BC$57:$BC$66)*BQ169), N($AQ$57:$AQ$66&gt;$AO169))
) / 1000</f>
        <v>0</v>
      </c>
      <c r="BW169" s="232">
        <f t="shared" si="252"/>
        <v>20</v>
      </c>
      <c r="BX169" s="230">
        <f t="shared" si="384"/>
        <v>33</v>
      </c>
      <c r="BY169" s="235">
        <f t="shared" si="385"/>
        <v>4.4702678571428569</v>
      </c>
      <c r="BZ169" s="235" cm="1">
        <f t="array" ref="BZ169">$BI169 * IF($AH169&lt;=2,
SUMPRODUCT(INDEX($AR$62:$AT$66,,$AI169), INDEX($AU$62:$BA$66,,$AH169), 1 / ($BB$62:$BB$66*BY169 + (1-$BB$62:$BB$66)*BU169), N($AQ$62:$AQ$66&gt;$AO169)),
SUMPRODUCT(INDEX($AR$47:$AT$56,,$AI169), INDEX($AU$47:$BA$56,,$AH169), 1 / ($BC$47:$BC$56*BY169 + (1-$BC$47:$BC$56)*BU169), N($AQ$47:$AQ$56&gt;$AO169))
) / 1000</f>
        <v>0</v>
      </c>
      <c r="CA169" s="235" cm="1">
        <f t="array" ref="CA169">$BI169 * IF($AH169&lt;=2,
SUMPRODUCT(INDEX($AR$23:$AT$61,,$AI169), INDEX($AU$23:$BA$61,,$AH169), 1 / ($BB$23:$BB$61*BY169), N($AQ$23:$AQ$61&gt;$AO169)),
SUMPRODUCT(INDEX($AR$23:$AT$46,,$AI169), INDEX($AU$23:$BA$46,,$AH169), 1 / ($BC$23:$BC$46*BY169), N($AQ$23:$AQ$46&gt;$AO169))
) / 1000</f>
        <v>0</v>
      </c>
      <c r="CB169" s="230">
        <f t="shared" si="386"/>
        <v>0</v>
      </c>
      <c r="CC169" s="238"/>
      <c r="CD169" s="229" cm="1">
        <f t="array" ref="CD169">IF(ISBLANK(Y169), INDEX(Use, $AH169, 4) - AN169*INDEX(Use, $AH169, 6) - (Q169-X169), Y169)</f>
        <v>7</v>
      </c>
      <c r="CE169" s="229">
        <f t="shared" si="387"/>
        <v>32</v>
      </c>
      <c r="CF169" s="230">
        <f t="shared" si="388"/>
        <v>0</v>
      </c>
      <c r="CG169" s="229">
        <v>35</v>
      </c>
      <c r="CH169" s="230">
        <f t="shared" si="389"/>
        <v>48</v>
      </c>
      <c r="CI169" s="235">
        <f t="shared" si="390"/>
        <v>3.0748170731707316</v>
      </c>
      <c r="CJ169" s="235" cm="1">
        <f t="array" ref="CJ169">$BI169 * SUMPRODUCT(INDEX($AR$77:$AT$82,,$AI169),INDEX($AU$77:$BA$82,,$AH169), N($AQ$77:$AQ$82&gt;$AO169)) / CI169 / 1000</f>
        <v>0</v>
      </c>
      <c r="CK169" s="232">
        <f t="shared" si="260"/>
        <v>30</v>
      </c>
      <c r="CL169" s="230">
        <f t="shared" si="391"/>
        <v>43</v>
      </c>
      <c r="CM169" s="235">
        <f t="shared" si="392"/>
        <v>3.5018750000000001</v>
      </c>
      <c r="CN169" s="235" cm="1">
        <f t="array" ref="CN169">$BI169 * IF($AH169&lt;=2,
SUMPRODUCT(INDEX($AR$72:$AT$76,,$AI169), INDEX($AU$72:$BA$76,,$AH169), 1 / ($BB$72:$BB$76*CM169 + (1-$BB$72:$BB$76)*CI169), N($AQ$72:$AQ$76&gt;$AO169)),
SUMPRODUCT(INDEX($AR$67:$AT$76,,$AI169), INDEX($AU$67:$BA$76,,$AH169), 1 / ($BC$67:$BC$76*CM169 + (1-$BC$67:$BC$76)*CI169), N($AQ$67:$AQ$76&gt;$AO169))
) / 1000</f>
        <v>0</v>
      </c>
      <c r="CO169" s="232">
        <f t="shared" si="263"/>
        <v>25</v>
      </c>
      <c r="CP169" s="230">
        <f t="shared" si="393"/>
        <v>38</v>
      </c>
      <c r="CQ169" s="235">
        <f t="shared" si="394"/>
        <v>4.0666935483870965</v>
      </c>
      <c r="CR169" s="235" cm="1">
        <f t="array" ref="CR169">$BI169 * IF($AH169&lt;=2,
SUMPRODUCT(INDEX($AR$67:$AT$71,,$AI169), INDEX($AU$67:$BA$71,,$AH169), 1 / ($BB$67:$BB$71*CQ169 + (1-$BB$67:$BB$71)*CM169), N($AQ$67:$AQ$71&gt;$AO169)),
SUMPRODUCT(INDEX($AR$57:$AT$66,,$AI169), INDEX($AU$57:$BA$66,,$AH169), 1 / ($BC$57:$BC$66*CQ169 + (1-$BC$57:$BC$66)*CM169), N($AQ$57:$AQ$66&gt;$AO169))
) / 1000</f>
        <v>0</v>
      </c>
      <c r="CS169" s="232">
        <f t="shared" si="266"/>
        <v>20</v>
      </c>
      <c r="CT169" s="230">
        <f t="shared" si="395"/>
        <v>33</v>
      </c>
      <c r="CU169" s="235">
        <f t="shared" si="396"/>
        <v>4.8487499999999999</v>
      </c>
      <c r="CV169" s="235" cm="1">
        <f t="array" ref="CV169">$BI169 * IF($AH169&lt;=2,
SUMPRODUCT(INDEX($AR$62:$AT$66,,$AI169), INDEX($AU$62:$BA$66,,$AH169), 1 / ($BB$62:$BB$66*CU169 + (1-$BB$62:$BB$66)*CQ169), N($AQ$62:$AQ$66&gt;$AO169)),
SUMPRODUCT(INDEX($AR$47:$AT$56,,$AI169), INDEX($AU$47:$BA$56,,$AH169), 1 / ($BC$47:$BC$56*CU169 + (1-$BC$47:$BC$56)*CQ169), N($AQ$47:$AQ$56&gt;$AO169))
) / 1000</f>
        <v>0</v>
      </c>
      <c r="CW169" s="235" cm="1">
        <f t="array" ref="CW169">$BI169 * IF($AH169&lt;=2,
SUMPRODUCT(INDEX($AR$23:$AT$61,,$AI169), INDEX($AU$23:$BA$61,,$AH169), 1 / ($BB$23:$BB$61*CU169), N($AQ$23:$AQ$61&gt;$AO169)),
SUMPRODUCT(INDEX($AR$23:$AT$46,,$AI169), INDEX($AU$23:$BA$46,,$AH169), 1 / ($BC$23:$BC$46*CU169), N($AQ$23:$AQ$46&gt;$AO169))
) / 1000</f>
        <v>0</v>
      </c>
      <c r="CX169" s="230">
        <f t="shared" si="397"/>
        <v>0</v>
      </c>
      <c r="CY169" s="238"/>
    </row>
    <row r="170" spans="1:103" s="76" customFormat="1" ht="14.25" customHeight="1" x14ac:dyDescent="0.2">
      <c r="A170" s="231" t="b">
        <f t="shared" si="229"/>
        <v>0</v>
      </c>
      <c r="B170" s="245">
        <v>148</v>
      </c>
      <c r="C170" s="258"/>
      <c r="D170" s="258"/>
      <c r="E170" s="246"/>
      <c r="F170" s="247" t="str">
        <f>IF(ISBLANK(E170), "", VLOOKUP(E170, Z!$A$2:$C$4127, 3, FALSE))</f>
        <v/>
      </c>
      <c r="G170" s="248"/>
      <c r="H170" s="248"/>
      <c r="I170" s="249"/>
      <c r="J170" s="250"/>
      <c r="K170" s="259"/>
      <c r="L170" s="260"/>
      <c r="M170" s="252" t="str" cm="1">
        <f t="array" ref="M170">INDEX(Trad, 53, $A$20)</f>
        <v>Verschmutzt</v>
      </c>
      <c r="N170" s="253"/>
      <c r="O170" s="253"/>
      <c r="P170" s="254"/>
      <c r="Q170" s="251"/>
      <c r="R170" s="251"/>
      <c r="S170" s="264">
        <f t="shared" si="372"/>
        <v>0</v>
      </c>
      <c r="T170" s="252" t="str" cm="1">
        <f t="array" ref="T170">INDEX(Trad, 52, $A$20)</f>
        <v>Sauber</v>
      </c>
      <c r="U170" s="253"/>
      <c r="V170" s="253"/>
      <c r="W170" s="254"/>
      <c r="X170" s="251"/>
      <c r="Y170" s="251"/>
      <c r="Z170" s="264">
        <f t="shared" si="373"/>
        <v>0</v>
      </c>
      <c r="AA170" s="261"/>
      <c r="AB170" s="258"/>
      <c r="AC170" s="246"/>
      <c r="AD170" s="247" t="str">
        <f>IF(ISBLANK(AC170), "", VLOOKUP(AC170, Z!$A$2:$C$4127, 3, FALSE))</f>
        <v/>
      </c>
      <c r="AE170" s="262"/>
      <c r="AF170" s="263">
        <f t="shared" si="374"/>
        <v>0</v>
      </c>
      <c r="AG170" s="238"/>
      <c r="AH170" s="229">
        <f t="shared" si="398"/>
        <v>1</v>
      </c>
      <c r="AI170" s="229">
        <f t="shared" si="399"/>
        <v>1</v>
      </c>
      <c r="AJ170" s="229">
        <f t="shared" si="400"/>
        <v>0</v>
      </c>
      <c r="AK170" s="229">
        <v>0</v>
      </c>
      <c r="AL170" s="229">
        <v>0</v>
      </c>
      <c r="AM170" s="229">
        <v>1</v>
      </c>
      <c r="AN170" s="229">
        <v>0</v>
      </c>
      <c r="AO170" s="229">
        <f t="shared" si="375"/>
        <v>-100</v>
      </c>
      <c r="AP170" s="238"/>
      <c r="AQ170" s="255"/>
      <c r="AR170" s="255"/>
      <c r="AS170" s="256"/>
      <c r="AT170" s="256"/>
      <c r="AU170" s="256"/>
      <c r="AV170" s="256"/>
      <c r="AW170" s="256"/>
      <c r="AX170" s="256"/>
      <c r="AY170" s="256"/>
      <c r="AZ170" s="256"/>
      <c r="BA170" s="256"/>
      <c r="BB170" s="256"/>
      <c r="BC170" s="256"/>
      <c r="BD170" s="238"/>
      <c r="BE170" s="229" cm="1">
        <f t="array" ref="BE170">IF(ISBLANK(R170), INDEX(Use, $AH170, 4) - AM170*INDEX(Use, $AH170, 6), R170)</f>
        <v>5</v>
      </c>
      <c r="BF170" s="229">
        <f t="shared" si="376"/>
        <v>30</v>
      </c>
      <c r="BG170" s="229">
        <f t="shared" si="241"/>
        <v>13</v>
      </c>
      <c r="BH170" s="229">
        <f t="shared" si="242"/>
        <v>0</v>
      </c>
      <c r="BI170" s="234" cm="1">
        <f t="array" ref="BI170">K170/IF($L170&gt;0, INDEX($AU$23:$BA$77, $L170+20, $AH170), 1)</f>
        <v>0</v>
      </c>
      <c r="BJ170" s="230">
        <f t="shared" si="377"/>
        <v>0</v>
      </c>
      <c r="BK170" s="229">
        <v>35</v>
      </c>
      <c r="BL170" s="230">
        <f t="shared" si="378"/>
        <v>48</v>
      </c>
      <c r="BM170" s="235">
        <f t="shared" si="379"/>
        <v>2.9108720930232557</v>
      </c>
      <c r="BN170" s="235" cm="1">
        <f t="array" ref="BN170">$BI170 * SUMPRODUCT(INDEX($AR$77:$AT$82,,$AI170),INDEX($AU$77:$BA$82,,$AH170), N($AQ$77:$AQ$82&gt;$AO170)) / BM170 / 1000</f>
        <v>0</v>
      </c>
      <c r="BO170" s="232">
        <f t="shared" si="246"/>
        <v>30</v>
      </c>
      <c r="BP170" s="230">
        <f t="shared" si="380"/>
        <v>43</v>
      </c>
      <c r="BQ170" s="235">
        <f t="shared" si="381"/>
        <v>3.2938815789473681</v>
      </c>
      <c r="BR170" s="235" cm="1">
        <f t="array" ref="BR170">$BI170 * IF($AH170&lt;=2,
SUMPRODUCT(INDEX($AR$72:$AT$76,,$AI170), INDEX($AU$72:$BA$76,,$AH170), 1 / ($BB$72:$BB$76*BQ170 + (1-$BB$72:$BB$76)*BM170), N($AQ$72:$AQ$76&gt;$AO170)),
SUMPRODUCT(INDEX($AR$67:$AT$76,,$AI170), INDEX($AU$67:$BA$76,,$AH170), 1 / ($BC$67:$BC$76*BQ170 + (1-$BC$67:$BC$76)*BM170), N($AQ$67:$AQ$76&gt;$AO170))
) / 1000</f>
        <v>0</v>
      </c>
      <c r="BS170" s="232">
        <f t="shared" si="249"/>
        <v>25</v>
      </c>
      <c r="BT170" s="230">
        <f t="shared" si="382"/>
        <v>38</v>
      </c>
      <c r="BU170" s="235">
        <f t="shared" si="383"/>
        <v>3.792954545454545</v>
      </c>
      <c r="BV170" s="235" cm="1">
        <f t="array" ref="BV170">$BI170 * IF($AH170&lt;=2,
SUMPRODUCT(INDEX($AR$67:$AT$71,,$AI170), INDEX($AU$67:$BA$71,,$AH170), 1 / ($BB$67:$BB$71*BU170 + (1-$BB$67:$BB$71)*BQ170), N($AQ$67:$AQ$71&gt;$AO170)),
SUMPRODUCT(INDEX($AR$57:$AT$66,,$AI170), INDEX($AU$57:$BA$66,,$AH170), 1 / ($BC$57:$BC$66*BU170 + (1-$BC$57:$BC$66)*BQ170), N($AQ$57:$AQ$66&gt;$AO170))
) / 1000</f>
        <v>0</v>
      </c>
      <c r="BW170" s="232">
        <f t="shared" si="252"/>
        <v>20</v>
      </c>
      <c r="BX170" s="230">
        <f t="shared" si="384"/>
        <v>33</v>
      </c>
      <c r="BY170" s="235">
        <f t="shared" si="385"/>
        <v>4.4702678571428569</v>
      </c>
      <c r="BZ170" s="235" cm="1">
        <f t="array" ref="BZ170">$BI170 * IF($AH170&lt;=2,
SUMPRODUCT(INDEX($AR$62:$AT$66,,$AI170), INDEX($AU$62:$BA$66,,$AH170), 1 / ($BB$62:$BB$66*BY170 + (1-$BB$62:$BB$66)*BU170), N($AQ$62:$AQ$66&gt;$AO170)),
SUMPRODUCT(INDEX($AR$47:$AT$56,,$AI170), INDEX($AU$47:$BA$56,,$AH170), 1 / ($BC$47:$BC$56*BY170 + (1-$BC$47:$BC$56)*BU170), N($AQ$47:$AQ$56&gt;$AO170))
) / 1000</f>
        <v>0</v>
      </c>
      <c r="CA170" s="235" cm="1">
        <f t="array" ref="CA170">$BI170 * IF($AH170&lt;=2,
SUMPRODUCT(INDEX($AR$23:$AT$61,,$AI170), INDEX($AU$23:$BA$61,,$AH170), 1 / ($BB$23:$BB$61*BY170), N($AQ$23:$AQ$61&gt;$AO170)),
SUMPRODUCT(INDEX($AR$23:$AT$46,,$AI170), INDEX($AU$23:$BA$46,,$AH170), 1 / ($BC$23:$BC$46*BY170), N($AQ$23:$AQ$46&gt;$AO170))
) / 1000</f>
        <v>0</v>
      </c>
      <c r="CB170" s="230">
        <f t="shared" si="386"/>
        <v>0</v>
      </c>
      <c r="CC170" s="238"/>
      <c r="CD170" s="229" cm="1">
        <f t="array" ref="CD170">IF(ISBLANK(Y170), INDEX(Use, $AH170, 4) - AN170*INDEX(Use, $AH170, 6) - (Q170-X170), Y170)</f>
        <v>7</v>
      </c>
      <c r="CE170" s="229">
        <f t="shared" si="387"/>
        <v>32</v>
      </c>
      <c r="CF170" s="230">
        <f t="shared" si="388"/>
        <v>0</v>
      </c>
      <c r="CG170" s="229">
        <v>35</v>
      </c>
      <c r="CH170" s="230">
        <f t="shared" si="389"/>
        <v>48</v>
      </c>
      <c r="CI170" s="235">
        <f t="shared" si="390"/>
        <v>3.0748170731707316</v>
      </c>
      <c r="CJ170" s="235" cm="1">
        <f t="array" ref="CJ170">$BI170 * SUMPRODUCT(INDEX($AR$77:$AT$82,,$AI170),INDEX($AU$77:$BA$82,,$AH170), N($AQ$77:$AQ$82&gt;$AO170)) / CI170 / 1000</f>
        <v>0</v>
      </c>
      <c r="CK170" s="232">
        <f t="shared" si="260"/>
        <v>30</v>
      </c>
      <c r="CL170" s="230">
        <f t="shared" si="391"/>
        <v>43</v>
      </c>
      <c r="CM170" s="235">
        <f t="shared" si="392"/>
        <v>3.5018750000000001</v>
      </c>
      <c r="CN170" s="235" cm="1">
        <f t="array" ref="CN170">$BI170 * IF($AH170&lt;=2,
SUMPRODUCT(INDEX($AR$72:$AT$76,,$AI170), INDEX($AU$72:$BA$76,,$AH170), 1 / ($BB$72:$BB$76*CM170 + (1-$BB$72:$BB$76)*CI170), N($AQ$72:$AQ$76&gt;$AO170)),
SUMPRODUCT(INDEX($AR$67:$AT$76,,$AI170), INDEX($AU$67:$BA$76,,$AH170), 1 / ($BC$67:$BC$76*CM170 + (1-$BC$67:$BC$76)*CI170), N($AQ$67:$AQ$76&gt;$AO170))
) / 1000</f>
        <v>0</v>
      </c>
      <c r="CO170" s="232">
        <f t="shared" si="263"/>
        <v>25</v>
      </c>
      <c r="CP170" s="230">
        <f t="shared" si="393"/>
        <v>38</v>
      </c>
      <c r="CQ170" s="235">
        <f t="shared" si="394"/>
        <v>4.0666935483870965</v>
      </c>
      <c r="CR170" s="235" cm="1">
        <f t="array" ref="CR170">$BI170 * IF($AH170&lt;=2,
SUMPRODUCT(INDEX($AR$67:$AT$71,,$AI170), INDEX($AU$67:$BA$71,,$AH170), 1 / ($BB$67:$BB$71*CQ170 + (1-$BB$67:$BB$71)*CM170), N($AQ$67:$AQ$71&gt;$AO170)),
SUMPRODUCT(INDEX($AR$57:$AT$66,,$AI170), INDEX($AU$57:$BA$66,,$AH170), 1 / ($BC$57:$BC$66*CQ170 + (1-$BC$57:$BC$66)*CM170), N($AQ$57:$AQ$66&gt;$AO170))
) / 1000</f>
        <v>0</v>
      </c>
      <c r="CS170" s="232">
        <f t="shared" si="266"/>
        <v>20</v>
      </c>
      <c r="CT170" s="230">
        <f t="shared" si="395"/>
        <v>33</v>
      </c>
      <c r="CU170" s="235">
        <f t="shared" si="396"/>
        <v>4.8487499999999999</v>
      </c>
      <c r="CV170" s="235" cm="1">
        <f t="array" ref="CV170">$BI170 * IF($AH170&lt;=2,
SUMPRODUCT(INDEX($AR$62:$AT$66,,$AI170), INDEX($AU$62:$BA$66,,$AH170), 1 / ($BB$62:$BB$66*CU170 + (1-$BB$62:$BB$66)*CQ170), N($AQ$62:$AQ$66&gt;$AO170)),
SUMPRODUCT(INDEX($AR$47:$AT$56,,$AI170), INDEX($AU$47:$BA$56,,$AH170), 1 / ($BC$47:$BC$56*CU170 + (1-$BC$47:$BC$56)*CQ170), N($AQ$47:$AQ$56&gt;$AO170))
) / 1000</f>
        <v>0</v>
      </c>
      <c r="CW170" s="235" cm="1">
        <f t="array" ref="CW170">$BI170 * IF($AH170&lt;=2,
SUMPRODUCT(INDEX($AR$23:$AT$61,,$AI170), INDEX($AU$23:$BA$61,,$AH170), 1 / ($BB$23:$BB$61*CU170), N($AQ$23:$AQ$61&gt;$AO170)),
SUMPRODUCT(INDEX($AR$23:$AT$46,,$AI170), INDEX($AU$23:$BA$46,,$AH170), 1 / ($BC$23:$BC$46*CU170), N($AQ$23:$AQ$46&gt;$AO170))
) / 1000</f>
        <v>0</v>
      </c>
      <c r="CX170" s="230">
        <f t="shared" si="397"/>
        <v>0</v>
      </c>
      <c r="CY170" s="238"/>
    </row>
    <row r="171" spans="1:103" s="76" customFormat="1" ht="14.25" customHeight="1" x14ac:dyDescent="0.2">
      <c r="A171" s="231" t="b">
        <f t="shared" si="229"/>
        <v>0</v>
      </c>
      <c r="B171" s="245">
        <v>149</v>
      </c>
      <c r="C171" s="258"/>
      <c r="D171" s="258"/>
      <c r="E171" s="246"/>
      <c r="F171" s="247" t="str">
        <f>IF(ISBLANK(E171), "", VLOOKUP(E171, Z!$A$2:$C$4127, 3, FALSE))</f>
        <v/>
      </c>
      <c r="G171" s="248"/>
      <c r="H171" s="248"/>
      <c r="I171" s="249"/>
      <c r="J171" s="250"/>
      <c r="K171" s="259"/>
      <c r="L171" s="260"/>
      <c r="M171" s="252" t="str" cm="1">
        <f t="array" ref="M171">INDEX(Trad, 53, $A$20)</f>
        <v>Verschmutzt</v>
      </c>
      <c r="N171" s="253"/>
      <c r="O171" s="253"/>
      <c r="P171" s="254"/>
      <c r="Q171" s="251"/>
      <c r="R171" s="251"/>
      <c r="S171" s="264">
        <f t="shared" si="372"/>
        <v>0</v>
      </c>
      <c r="T171" s="252" t="str" cm="1">
        <f t="array" ref="T171">INDEX(Trad, 52, $A$20)</f>
        <v>Sauber</v>
      </c>
      <c r="U171" s="253"/>
      <c r="V171" s="253"/>
      <c r="W171" s="254"/>
      <c r="X171" s="251"/>
      <c r="Y171" s="251"/>
      <c r="Z171" s="264">
        <f t="shared" si="373"/>
        <v>0</v>
      </c>
      <c r="AA171" s="261"/>
      <c r="AB171" s="258"/>
      <c r="AC171" s="246"/>
      <c r="AD171" s="247" t="str">
        <f>IF(ISBLANK(AC171), "", VLOOKUP(AC171, Z!$A$2:$C$4127, 3, FALSE))</f>
        <v/>
      </c>
      <c r="AE171" s="262"/>
      <c r="AF171" s="263">
        <f t="shared" si="374"/>
        <v>0</v>
      </c>
      <c r="AG171" s="238"/>
      <c r="AH171" s="229">
        <f t="shared" si="398"/>
        <v>1</v>
      </c>
      <c r="AI171" s="229">
        <f t="shared" si="399"/>
        <v>1</v>
      </c>
      <c r="AJ171" s="229">
        <f t="shared" si="400"/>
        <v>0</v>
      </c>
      <c r="AK171" s="229">
        <v>0</v>
      </c>
      <c r="AL171" s="229">
        <v>0</v>
      </c>
      <c r="AM171" s="229">
        <v>1</v>
      </c>
      <c r="AN171" s="229">
        <v>0</v>
      </c>
      <c r="AO171" s="229">
        <f t="shared" si="375"/>
        <v>-100</v>
      </c>
      <c r="AP171" s="238"/>
      <c r="AQ171" s="255"/>
      <c r="AR171" s="255"/>
      <c r="AS171" s="256"/>
      <c r="AT171" s="256"/>
      <c r="AU171" s="256"/>
      <c r="AV171" s="256"/>
      <c r="AW171" s="256"/>
      <c r="AX171" s="256"/>
      <c r="AY171" s="256"/>
      <c r="AZ171" s="256"/>
      <c r="BA171" s="256"/>
      <c r="BB171" s="256"/>
      <c r="BC171" s="256"/>
      <c r="BD171" s="238"/>
      <c r="BE171" s="229" cm="1">
        <f t="array" ref="BE171">IF(ISBLANK(R171), INDEX(Use, $AH171, 4) - AM171*INDEX(Use, $AH171, 6), R171)</f>
        <v>5</v>
      </c>
      <c r="BF171" s="229">
        <f t="shared" si="376"/>
        <v>30</v>
      </c>
      <c r="BG171" s="229">
        <f t="shared" si="241"/>
        <v>13</v>
      </c>
      <c r="BH171" s="229">
        <f t="shared" si="242"/>
        <v>0</v>
      </c>
      <c r="BI171" s="234" cm="1">
        <f t="array" ref="BI171">K171/IF($L171&gt;0, INDEX($AU$23:$BA$77, $L171+20, $AH171), 1)</f>
        <v>0</v>
      </c>
      <c r="BJ171" s="230">
        <f t="shared" si="377"/>
        <v>0</v>
      </c>
      <c r="BK171" s="229">
        <v>35</v>
      </c>
      <c r="BL171" s="230">
        <f t="shared" si="378"/>
        <v>48</v>
      </c>
      <c r="BM171" s="235">
        <f t="shared" si="379"/>
        <v>2.9108720930232557</v>
      </c>
      <c r="BN171" s="235" cm="1">
        <f t="array" ref="BN171">$BI171 * SUMPRODUCT(INDEX($AR$77:$AT$82,,$AI171),INDEX($AU$77:$BA$82,,$AH171), N($AQ$77:$AQ$82&gt;$AO171)) / BM171 / 1000</f>
        <v>0</v>
      </c>
      <c r="BO171" s="232">
        <f t="shared" si="246"/>
        <v>30</v>
      </c>
      <c r="BP171" s="230">
        <f t="shared" si="380"/>
        <v>43</v>
      </c>
      <c r="BQ171" s="235">
        <f t="shared" si="381"/>
        <v>3.2938815789473681</v>
      </c>
      <c r="BR171" s="235" cm="1">
        <f t="array" ref="BR171">$BI171 * IF($AH171&lt;=2,
SUMPRODUCT(INDEX($AR$72:$AT$76,,$AI171), INDEX($AU$72:$BA$76,,$AH171), 1 / ($BB$72:$BB$76*BQ171 + (1-$BB$72:$BB$76)*BM171), N($AQ$72:$AQ$76&gt;$AO171)),
SUMPRODUCT(INDEX($AR$67:$AT$76,,$AI171), INDEX($AU$67:$BA$76,,$AH171), 1 / ($BC$67:$BC$76*BQ171 + (1-$BC$67:$BC$76)*BM171), N($AQ$67:$AQ$76&gt;$AO171))
) / 1000</f>
        <v>0</v>
      </c>
      <c r="BS171" s="232">
        <f t="shared" si="249"/>
        <v>25</v>
      </c>
      <c r="BT171" s="230">
        <f t="shared" si="382"/>
        <v>38</v>
      </c>
      <c r="BU171" s="235">
        <f t="shared" si="383"/>
        <v>3.792954545454545</v>
      </c>
      <c r="BV171" s="235" cm="1">
        <f t="array" ref="BV171">$BI171 * IF($AH171&lt;=2,
SUMPRODUCT(INDEX($AR$67:$AT$71,,$AI171), INDEX($AU$67:$BA$71,,$AH171), 1 / ($BB$67:$BB$71*BU171 + (1-$BB$67:$BB$71)*BQ171), N($AQ$67:$AQ$71&gt;$AO171)),
SUMPRODUCT(INDEX($AR$57:$AT$66,,$AI171), INDEX($AU$57:$BA$66,,$AH171), 1 / ($BC$57:$BC$66*BU171 + (1-$BC$57:$BC$66)*BQ171), N($AQ$57:$AQ$66&gt;$AO171))
) / 1000</f>
        <v>0</v>
      </c>
      <c r="BW171" s="232">
        <f t="shared" si="252"/>
        <v>20</v>
      </c>
      <c r="BX171" s="230">
        <f t="shared" si="384"/>
        <v>33</v>
      </c>
      <c r="BY171" s="235">
        <f t="shared" si="385"/>
        <v>4.4702678571428569</v>
      </c>
      <c r="BZ171" s="235" cm="1">
        <f t="array" ref="BZ171">$BI171 * IF($AH171&lt;=2,
SUMPRODUCT(INDEX($AR$62:$AT$66,,$AI171), INDEX($AU$62:$BA$66,,$AH171), 1 / ($BB$62:$BB$66*BY171 + (1-$BB$62:$BB$66)*BU171), N($AQ$62:$AQ$66&gt;$AO171)),
SUMPRODUCT(INDEX($AR$47:$AT$56,,$AI171), INDEX($AU$47:$BA$56,,$AH171), 1 / ($BC$47:$BC$56*BY171 + (1-$BC$47:$BC$56)*BU171), N($AQ$47:$AQ$56&gt;$AO171))
) / 1000</f>
        <v>0</v>
      </c>
      <c r="CA171" s="235" cm="1">
        <f t="array" ref="CA171">$BI171 * IF($AH171&lt;=2,
SUMPRODUCT(INDEX($AR$23:$AT$61,,$AI171), INDEX($AU$23:$BA$61,,$AH171), 1 / ($BB$23:$BB$61*BY171), N($AQ$23:$AQ$61&gt;$AO171)),
SUMPRODUCT(INDEX($AR$23:$AT$46,,$AI171), INDEX($AU$23:$BA$46,,$AH171), 1 / ($BC$23:$BC$46*BY171), N($AQ$23:$AQ$46&gt;$AO171))
) / 1000</f>
        <v>0</v>
      </c>
      <c r="CB171" s="230">
        <f t="shared" si="386"/>
        <v>0</v>
      </c>
      <c r="CC171" s="238"/>
      <c r="CD171" s="229" cm="1">
        <f t="array" ref="CD171">IF(ISBLANK(Y171), INDEX(Use, $AH171, 4) - AN171*INDEX(Use, $AH171, 6) - (Q171-X171), Y171)</f>
        <v>7</v>
      </c>
      <c r="CE171" s="229">
        <f t="shared" si="387"/>
        <v>32</v>
      </c>
      <c r="CF171" s="230">
        <f t="shared" si="388"/>
        <v>0</v>
      </c>
      <c r="CG171" s="229">
        <v>35</v>
      </c>
      <c r="CH171" s="230">
        <f t="shared" si="389"/>
        <v>48</v>
      </c>
      <c r="CI171" s="235">
        <f t="shared" si="390"/>
        <v>3.0748170731707316</v>
      </c>
      <c r="CJ171" s="235" cm="1">
        <f t="array" ref="CJ171">$BI171 * SUMPRODUCT(INDEX($AR$77:$AT$82,,$AI171),INDEX($AU$77:$BA$82,,$AH171), N($AQ$77:$AQ$82&gt;$AO171)) / CI171 / 1000</f>
        <v>0</v>
      </c>
      <c r="CK171" s="232">
        <f t="shared" si="260"/>
        <v>30</v>
      </c>
      <c r="CL171" s="230">
        <f t="shared" si="391"/>
        <v>43</v>
      </c>
      <c r="CM171" s="235">
        <f t="shared" si="392"/>
        <v>3.5018750000000001</v>
      </c>
      <c r="CN171" s="235" cm="1">
        <f t="array" ref="CN171">$BI171 * IF($AH171&lt;=2,
SUMPRODUCT(INDEX($AR$72:$AT$76,,$AI171), INDEX($AU$72:$BA$76,,$AH171), 1 / ($BB$72:$BB$76*CM171 + (1-$BB$72:$BB$76)*CI171), N($AQ$72:$AQ$76&gt;$AO171)),
SUMPRODUCT(INDEX($AR$67:$AT$76,,$AI171), INDEX($AU$67:$BA$76,,$AH171), 1 / ($BC$67:$BC$76*CM171 + (1-$BC$67:$BC$76)*CI171), N($AQ$67:$AQ$76&gt;$AO171))
) / 1000</f>
        <v>0</v>
      </c>
      <c r="CO171" s="232">
        <f t="shared" si="263"/>
        <v>25</v>
      </c>
      <c r="CP171" s="230">
        <f t="shared" si="393"/>
        <v>38</v>
      </c>
      <c r="CQ171" s="235">
        <f t="shared" si="394"/>
        <v>4.0666935483870965</v>
      </c>
      <c r="CR171" s="235" cm="1">
        <f t="array" ref="CR171">$BI171 * IF($AH171&lt;=2,
SUMPRODUCT(INDEX($AR$67:$AT$71,,$AI171), INDEX($AU$67:$BA$71,,$AH171), 1 / ($BB$67:$BB$71*CQ171 + (1-$BB$67:$BB$71)*CM171), N($AQ$67:$AQ$71&gt;$AO171)),
SUMPRODUCT(INDEX($AR$57:$AT$66,,$AI171), INDEX($AU$57:$BA$66,,$AH171), 1 / ($BC$57:$BC$66*CQ171 + (1-$BC$57:$BC$66)*CM171), N($AQ$57:$AQ$66&gt;$AO171))
) / 1000</f>
        <v>0</v>
      </c>
      <c r="CS171" s="232">
        <f t="shared" si="266"/>
        <v>20</v>
      </c>
      <c r="CT171" s="230">
        <f t="shared" si="395"/>
        <v>33</v>
      </c>
      <c r="CU171" s="235">
        <f t="shared" si="396"/>
        <v>4.8487499999999999</v>
      </c>
      <c r="CV171" s="235" cm="1">
        <f t="array" ref="CV171">$BI171 * IF($AH171&lt;=2,
SUMPRODUCT(INDEX($AR$62:$AT$66,,$AI171), INDEX($AU$62:$BA$66,,$AH171), 1 / ($BB$62:$BB$66*CU171 + (1-$BB$62:$BB$66)*CQ171), N($AQ$62:$AQ$66&gt;$AO171)),
SUMPRODUCT(INDEX($AR$47:$AT$56,,$AI171), INDEX($AU$47:$BA$56,,$AH171), 1 / ($BC$47:$BC$56*CU171 + (1-$BC$47:$BC$56)*CQ171), N($AQ$47:$AQ$56&gt;$AO171))
) / 1000</f>
        <v>0</v>
      </c>
      <c r="CW171" s="235" cm="1">
        <f t="array" ref="CW171">$BI171 * IF($AH171&lt;=2,
SUMPRODUCT(INDEX($AR$23:$AT$61,,$AI171), INDEX($AU$23:$BA$61,,$AH171), 1 / ($BB$23:$BB$61*CU171), N($AQ$23:$AQ$61&gt;$AO171)),
SUMPRODUCT(INDEX($AR$23:$AT$46,,$AI171), INDEX($AU$23:$BA$46,,$AH171), 1 / ($BC$23:$BC$46*CU171), N($AQ$23:$AQ$46&gt;$AO171))
) / 1000</f>
        <v>0</v>
      </c>
      <c r="CX171" s="230">
        <f t="shared" si="397"/>
        <v>0</v>
      </c>
      <c r="CY171" s="238"/>
    </row>
    <row r="172" spans="1:103" s="76" customFormat="1" ht="14.25" customHeight="1" x14ac:dyDescent="0.2">
      <c r="A172" s="231" t="b">
        <f t="shared" si="229"/>
        <v>0</v>
      </c>
      <c r="B172" s="245">
        <v>150</v>
      </c>
      <c r="C172" s="258"/>
      <c r="D172" s="258"/>
      <c r="E172" s="246"/>
      <c r="F172" s="247" t="str">
        <f>IF(ISBLANK(E172), "", VLOOKUP(E172, Z!$A$2:$C$4127, 3, FALSE))</f>
        <v/>
      </c>
      <c r="G172" s="248"/>
      <c r="H172" s="248"/>
      <c r="I172" s="249"/>
      <c r="J172" s="250"/>
      <c r="K172" s="259"/>
      <c r="L172" s="260"/>
      <c r="M172" s="252" t="str" cm="1">
        <f t="array" ref="M172">INDEX(Trad, 53, $A$20)</f>
        <v>Verschmutzt</v>
      </c>
      <c r="N172" s="253"/>
      <c r="O172" s="253"/>
      <c r="P172" s="254"/>
      <c r="Q172" s="251"/>
      <c r="R172" s="251"/>
      <c r="S172" s="264">
        <f t="shared" si="372"/>
        <v>0</v>
      </c>
      <c r="T172" s="252" t="str" cm="1">
        <f t="array" ref="T172">INDEX(Trad, 52, $A$20)</f>
        <v>Sauber</v>
      </c>
      <c r="U172" s="253"/>
      <c r="V172" s="253"/>
      <c r="W172" s="254"/>
      <c r="X172" s="251"/>
      <c r="Y172" s="251"/>
      <c r="Z172" s="264">
        <f t="shared" si="373"/>
        <v>0</v>
      </c>
      <c r="AA172" s="261"/>
      <c r="AB172" s="258"/>
      <c r="AC172" s="246"/>
      <c r="AD172" s="247" t="str">
        <f>IF(ISBLANK(AC172), "", VLOOKUP(AC172, Z!$A$2:$C$4127, 3, FALSE))</f>
        <v/>
      </c>
      <c r="AE172" s="262"/>
      <c r="AF172" s="263">
        <f t="shared" si="374"/>
        <v>0</v>
      </c>
      <c r="AG172" s="238"/>
      <c r="AH172" s="229">
        <f t="shared" si="398"/>
        <v>1</v>
      </c>
      <c r="AI172" s="229">
        <f t="shared" si="399"/>
        <v>1</v>
      </c>
      <c r="AJ172" s="229">
        <f t="shared" si="400"/>
        <v>0</v>
      </c>
      <c r="AK172" s="229">
        <v>0</v>
      </c>
      <c r="AL172" s="229">
        <v>0</v>
      </c>
      <c r="AM172" s="229">
        <v>1</v>
      </c>
      <c r="AN172" s="229">
        <v>0</v>
      </c>
      <c r="AO172" s="229">
        <f t="shared" si="375"/>
        <v>-100</v>
      </c>
      <c r="AP172" s="238"/>
      <c r="AQ172" s="255"/>
      <c r="AR172" s="255"/>
      <c r="AS172" s="256"/>
      <c r="AT172" s="256"/>
      <c r="AU172" s="256"/>
      <c r="AV172" s="256"/>
      <c r="AW172" s="256"/>
      <c r="AX172" s="256"/>
      <c r="AY172" s="256"/>
      <c r="AZ172" s="256"/>
      <c r="BA172" s="256"/>
      <c r="BB172" s="256"/>
      <c r="BC172" s="256"/>
      <c r="BD172" s="238"/>
      <c r="BE172" s="229" cm="1">
        <f t="array" ref="BE172">IF(ISBLANK(R172), INDEX(Use, $AH172, 4) - AM172*INDEX(Use, $AH172, 6), R172)</f>
        <v>5</v>
      </c>
      <c r="BF172" s="229">
        <f t="shared" si="376"/>
        <v>30</v>
      </c>
      <c r="BG172" s="229">
        <f t="shared" si="241"/>
        <v>13</v>
      </c>
      <c r="BH172" s="229">
        <f t="shared" si="242"/>
        <v>0</v>
      </c>
      <c r="BI172" s="234" cm="1">
        <f t="array" ref="BI172">K172/IF($L172&gt;0, INDEX($AU$23:$BA$77, $L172+20, $AH172), 1)</f>
        <v>0</v>
      </c>
      <c r="BJ172" s="230">
        <f t="shared" si="377"/>
        <v>0</v>
      </c>
      <c r="BK172" s="229">
        <v>35</v>
      </c>
      <c r="BL172" s="230">
        <f t="shared" si="378"/>
        <v>48</v>
      </c>
      <c r="BM172" s="235">
        <f t="shared" si="379"/>
        <v>2.9108720930232557</v>
      </c>
      <c r="BN172" s="235" cm="1">
        <f t="array" ref="BN172">$BI172 * SUMPRODUCT(INDEX($AR$77:$AT$82,,$AI172),INDEX($AU$77:$BA$82,,$AH172), N($AQ$77:$AQ$82&gt;$AO172)) / BM172 / 1000</f>
        <v>0</v>
      </c>
      <c r="BO172" s="232">
        <f t="shared" si="246"/>
        <v>30</v>
      </c>
      <c r="BP172" s="230">
        <f t="shared" si="380"/>
        <v>43</v>
      </c>
      <c r="BQ172" s="235">
        <f t="shared" si="381"/>
        <v>3.2938815789473681</v>
      </c>
      <c r="BR172" s="235" cm="1">
        <f t="array" ref="BR172">$BI172 * IF($AH172&lt;=2,
SUMPRODUCT(INDEX($AR$72:$AT$76,,$AI172), INDEX($AU$72:$BA$76,,$AH172), 1 / ($BB$72:$BB$76*BQ172 + (1-$BB$72:$BB$76)*BM172), N($AQ$72:$AQ$76&gt;$AO172)),
SUMPRODUCT(INDEX($AR$67:$AT$76,,$AI172), INDEX($AU$67:$BA$76,,$AH172), 1 / ($BC$67:$BC$76*BQ172 + (1-$BC$67:$BC$76)*BM172), N($AQ$67:$AQ$76&gt;$AO172))
) / 1000</f>
        <v>0</v>
      </c>
      <c r="BS172" s="232">
        <f t="shared" si="249"/>
        <v>25</v>
      </c>
      <c r="BT172" s="230">
        <f t="shared" si="382"/>
        <v>38</v>
      </c>
      <c r="BU172" s="235">
        <f t="shared" si="383"/>
        <v>3.792954545454545</v>
      </c>
      <c r="BV172" s="235" cm="1">
        <f t="array" ref="BV172">$BI172 * IF($AH172&lt;=2,
SUMPRODUCT(INDEX($AR$67:$AT$71,,$AI172), INDEX($AU$67:$BA$71,,$AH172), 1 / ($BB$67:$BB$71*BU172 + (1-$BB$67:$BB$71)*BQ172), N($AQ$67:$AQ$71&gt;$AO172)),
SUMPRODUCT(INDEX($AR$57:$AT$66,,$AI172), INDEX($AU$57:$BA$66,,$AH172), 1 / ($BC$57:$BC$66*BU172 + (1-$BC$57:$BC$66)*BQ172), N($AQ$57:$AQ$66&gt;$AO172))
) / 1000</f>
        <v>0</v>
      </c>
      <c r="BW172" s="232">
        <f t="shared" si="252"/>
        <v>20</v>
      </c>
      <c r="BX172" s="230">
        <f t="shared" si="384"/>
        <v>33</v>
      </c>
      <c r="BY172" s="235">
        <f t="shared" si="385"/>
        <v>4.4702678571428569</v>
      </c>
      <c r="BZ172" s="235" cm="1">
        <f t="array" ref="BZ172">$BI172 * IF($AH172&lt;=2,
SUMPRODUCT(INDEX($AR$62:$AT$66,,$AI172), INDEX($AU$62:$BA$66,,$AH172), 1 / ($BB$62:$BB$66*BY172 + (1-$BB$62:$BB$66)*BU172), N($AQ$62:$AQ$66&gt;$AO172)),
SUMPRODUCT(INDEX($AR$47:$AT$56,,$AI172), INDEX($AU$47:$BA$56,,$AH172), 1 / ($BC$47:$BC$56*BY172 + (1-$BC$47:$BC$56)*BU172), N($AQ$47:$AQ$56&gt;$AO172))
) / 1000</f>
        <v>0</v>
      </c>
      <c r="CA172" s="235" cm="1">
        <f t="array" ref="CA172">$BI172 * IF($AH172&lt;=2,
SUMPRODUCT(INDEX($AR$23:$AT$61,,$AI172), INDEX($AU$23:$BA$61,,$AH172), 1 / ($BB$23:$BB$61*BY172), N($AQ$23:$AQ$61&gt;$AO172)),
SUMPRODUCT(INDEX($AR$23:$AT$46,,$AI172), INDEX($AU$23:$BA$46,,$AH172), 1 / ($BC$23:$BC$46*BY172), N($AQ$23:$AQ$46&gt;$AO172))
) / 1000</f>
        <v>0</v>
      </c>
      <c r="CB172" s="230">
        <f t="shared" si="386"/>
        <v>0</v>
      </c>
      <c r="CC172" s="238"/>
      <c r="CD172" s="229" cm="1">
        <f t="array" ref="CD172">IF(ISBLANK(Y172), INDEX(Use, $AH172, 4) - AN172*INDEX(Use, $AH172, 6) - (Q172-X172), Y172)</f>
        <v>7</v>
      </c>
      <c r="CE172" s="229">
        <f t="shared" si="387"/>
        <v>32</v>
      </c>
      <c r="CF172" s="230">
        <f t="shared" si="388"/>
        <v>0</v>
      </c>
      <c r="CG172" s="229">
        <v>35</v>
      </c>
      <c r="CH172" s="230">
        <f t="shared" si="389"/>
        <v>48</v>
      </c>
      <c r="CI172" s="235">
        <f t="shared" si="390"/>
        <v>3.0748170731707316</v>
      </c>
      <c r="CJ172" s="235" cm="1">
        <f t="array" ref="CJ172">$BI172 * SUMPRODUCT(INDEX($AR$77:$AT$82,,$AI172),INDEX($AU$77:$BA$82,,$AH172), N($AQ$77:$AQ$82&gt;$AO172)) / CI172 / 1000</f>
        <v>0</v>
      </c>
      <c r="CK172" s="232">
        <f t="shared" si="260"/>
        <v>30</v>
      </c>
      <c r="CL172" s="230">
        <f t="shared" si="391"/>
        <v>43</v>
      </c>
      <c r="CM172" s="235">
        <f t="shared" si="392"/>
        <v>3.5018750000000001</v>
      </c>
      <c r="CN172" s="235" cm="1">
        <f t="array" ref="CN172">$BI172 * IF($AH172&lt;=2,
SUMPRODUCT(INDEX($AR$72:$AT$76,,$AI172), INDEX($AU$72:$BA$76,,$AH172), 1 / ($BB$72:$BB$76*CM172 + (1-$BB$72:$BB$76)*CI172), N($AQ$72:$AQ$76&gt;$AO172)),
SUMPRODUCT(INDEX($AR$67:$AT$76,,$AI172), INDEX($AU$67:$BA$76,,$AH172), 1 / ($BC$67:$BC$76*CM172 + (1-$BC$67:$BC$76)*CI172), N($AQ$67:$AQ$76&gt;$AO172))
) / 1000</f>
        <v>0</v>
      </c>
      <c r="CO172" s="232">
        <f t="shared" si="263"/>
        <v>25</v>
      </c>
      <c r="CP172" s="230">
        <f t="shared" si="393"/>
        <v>38</v>
      </c>
      <c r="CQ172" s="235">
        <f t="shared" si="394"/>
        <v>4.0666935483870965</v>
      </c>
      <c r="CR172" s="235" cm="1">
        <f t="array" ref="CR172">$BI172 * IF($AH172&lt;=2,
SUMPRODUCT(INDEX($AR$67:$AT$71,,$AI172), INDEX($AU$67:$BA$71,,$AH172), 1 / ($BB$67:$BB$71*CQ172 + (1-$BB$67:$BB$71)*CM172), N($AQ$67:$AQ$71&gt;$AO172)),
SUMPRODUCT(INDEX($AR$57:$AT$66,,$AI172), INDEX($AU$57:$BA$66,,$AH172), 1 / ($BC$57:$BC$66*CQ172 + (1-$BC$57:$BC$66)*CM172), N($AQ$57:$AQ$66&gt;$AO172))
) / 1000</f>
        <v>0</v>
      </c>
      <c r="CS172" s="232">
        <f t="shared" si="266"/>
        <v>20</v>
      </c>
      <c r="CT172" s="230">
        <f t="shared" si="395"/>
        <v>33</v>
      </c>
      <c r="CU172" s="235">
        <f t="shared" si="396"/>
        <v>4.8487499999999999</v>
      </c>
      <c r="CV172" s="235" cm="1">
        <f t="array" ref="CV172">$BI172 * IF($AH172&lt;=2,
SUMPRODUCT(INDEX($AR$62:$AT$66,,$AI172), INDEX($AU$62:$BA$66,,$AH172), 1 / ($BB$62:$BB$66*CU172 + (1-$BB$62:$BB$66)*CQ172), N($AQ$62:$AQ$66&gt;$AO172)),
SUMPRODUCT(INDEX($AR$47:$AT$56,,$AI172), INDEX($AU$47:$BA$56,,$AH172), 1 / ($BC$47:$BC$56*CU172 + (1-$BC$47:$BC$56)*CQ172), N($AQ$47:$AQ$56&gt;$AO172))
) / 1000</f>
        <v>0</v>
      </c>
      <c r="CW172" s="235" cm="1">
        <f t="array" ref="CW172">$BI172 * IF($AH172&lt;=2,
SUMPRODUCT(INDEX($AR$23:$AT$61,,$AI172), INDEX($AU$23:$BA$61,,$AH172), 1 / ($BB$23:$BB$61*CU172), N($AQ$23:$AQ$61&gt;$AO172)),
SUMPRODUCT(INDEX($AR$23:$AT$46,,$AI172), INDEX($AU$23:$BA$46,,$AH172), 1 / ($BC$23:$BC$46*CU172), N($AQ$23:$AQ$46&gt;$AO172))
) / 1000</f>
        <v>0</v>
      </c>
      <c r="CX172" s="230">
        <f t="shared" si="397"/>
        <v>0</v>
      </c>
      <c r="CY172" s="238"/>
    </row>
    <row r="173" spans="1:103" s="76" customFormat="1" ht="14.25" customHeight="1" x14ac:dyDescent="0.2">
      <c r="A173" s="231" t="b">
        <f t="shared" si="229"/>
        <v>0</v>
      </c>
      <c r="B173" s="245">
        <v>151</v>
      </c>
      <c r="C173" s="258"/>
      <c r="D173" s="258"/>
      <c r="E173" s="246"/>
      <c r="F173" s="247" t="str">
        <f>IF(ISBLANK(E173), "", VLOOKUP(E173, Z!$A$2:$C$4127, 3, FALSE))</f>
        <v/>
      </c>
      <c r="G173" s="248"/>
      <c r="H173" s="248"/>
      <c r="I173" s="249"/>
      <c r="J173" s="250"/>
      <c r="K173" s="259"/>
      <c r="L173" s="260"/>
      <c r="M173" s="252" t="str" cm="1">
        <f t="array" ref="M173">INDEX(Trad, 53, $A$20)</f>
        <v>Verschmutzt</v>
      </c>
      <c r="N173" s="253"/>
      <c r="O173" s="253"/>
      <c r="P173" s="254"/>
      <c r="Q173" s="251"/>
      <c r="R173" s="251"/>
      <c r="S173" s="264">
        <f t="shared" si="372"/>
        <v>0</v>
      </c>
      <c r="T173" s="252" t="str" cm="1">
        <f t="array" ref="T173">INDEX(Trad, 52, $A$20)</f>
        <v>Sauber</v>
      </c>
      <c r="U173" s="253"/>
      <c r="V173" s="253"/>
      <c r="W173" s="254"/>
      <c r="X173" s="251"/>
      <c r="Y173" s="251"/>
      <c r="Z173" s="264">
        <f t="shared" si="373"/>
        <v>0</v>
      </c>
      <c r="AA173" s="261"/>
      <c r="AB173" s="258"/>
      <c r="AC173" s="246"/>
      <c r="AD173" s="247" t="str">
        <f>IF(ISBLANK(AC173), "", VLOOKUP(AC173, Z!$A$2:$C$4127, 3, FALSE))</f>
        <v/>
      </c>
      <c r="AE173" s="262"/>
      <c r="AF173" s="263">
        <f t="shared" si="374"/>
        <v>0</v>
      </c>
      <c r="AG173" s="238"/>
      <c r="AH173" s="229">
        <f t="shared" si="398"/>
        <v>1</v>
      </c>
      <c r="AI173" s="229">
        <f t="shared" si="399"/>
        <v>1</v>
      </c>
      <c r="AJ173" s="229">
        <f t="shared" si="400"/>
        <v>0</v>
      </c>
      <c r="AK173" s="229">
        <v>0</v>
      </c>
      <c r="AL173" s="229">
        <v>0</v>
      </c>
      <c r="AM173" s="229">
        <v>1</v>
      </c>
      <c r="AN173" s="229">
        <v>0</v>
      </c>
      <c r="AO173" s="229">
        <f t="shared" si="375"/>
        <v>-100</v>
      </c>
      <c r="AP173" s="238"/>
      <c r="AQ173" s="255"/>
      <c r="AR173" s="255"/>
      <c r="AS173" s="256"/>
      <c r="AT173" s="256"/>
      <c r="AU173" s="256"/>
      <c r="AV173" s="256"/>
      <c r="AW173" s="256"/>
      <c r="AX173" s="256"/>
      <c r="AY173" s="256"/>
      <c r="AZ173" s="256"/>
      <c r="BA173" s="256"/>
      <c r="BB173" s="256"/>
      <c r="BC173" s="256"/>
      <c r="BD173" s="238"/>
      <c r="BE173" s="229" cm="1">
        <f t="array" ref="BE173">IF(ISBLANK(R173), INDEX(Use, $AH173, 4) - AM173*INDEX(Use, $AH173, 6), R173)</f>
        <v>5</v>
      </c>
      <c r="BF173" s="229">
        <f t="shared" si="376"/>
        <v>30</v>
      </c>
      <c r="BG173" s="229">
        <f t="shared" si="241"/>
        <v>13</v>
      </c>
      <c r="BH173" s="229">
        <f t="shared" si="242"/>
        <v>0</v>
      </c>
      <c r="BI173" s="234" cm="1">
        <f t="array" ref="BI173">K173/IF($L173&gt;0, INDEX($AU$23:$BA$77, $L173+20, $AH173), 1)</f>
        <v>0</v>
      </c>
      <c r="BJ173" s="230">
        <f t="shared" si="377"/>
        <v>0</v>
      </c>
      <c r="BK173" s="229">
        <v>35</v>
      </c>
      <c r="BL173" s="230">
        <f t="shared" si="378"/>
        <v>48</v>
      </c>
      <c r="BM173" s="235">
        <f t="shared" si="379"/>
        <v>2.9108720930232557</v>
      </c>
      <c r="BN173" s="235" cm="1">
        <f t="array" ref="BN173">$BI173 * SUMPRODUCT(INDEX($AR$77:$AT$82,,$AI173),INDEX($AU$77:$BA$82,,$AH173), N($AQ$77:$AQ$82&gt;$AO173)) / BM173 / 1000</f>
        <v>0</v>
      </c>
      <c r="BO173" s="232">
        <f t="shared" si="246"/>
        <v>30</v>
      </c>
      <c r="BP173" s="230">
        <f t="shared" si="380"/>
        <v>43</v>
      </c>
      <c r="BQ173" s="235">
        <f t="shared" si="381"/>
        <v>3.2938815789473681</v>
      </c>
      <c r="BR173" s="235" cm="1">
        <f t="array" ref="BR173">$BI173 * IF($AH173&lt;=2,
SUMPRODUCT(INDEX($AR$72:$AT$76,,$AI173), INDEX($AU$72:$BA$76,,$AH173), 1 / ($BB$72:$BB$76*BQ173 + (1-$BB$72:$BB$76)*BM173), N($AQ$72:$AQ$76&gt;$AO173)),
SUMPRODUCT(INDEX($AR$67:$AT$76,,$AI173), INDEX($AU$67:$BA$76,,$AH173), 1 / ($BC$67:$BC$76*BQ173 + (1-$BC$67:$BC$76)*BM173), N($AQ$67:$AQ$76&gt;$AO173))
) / 1000</f>
        <v>0</v>
      </c>
      <c r="BS173" s="232">
        <f t="shared" si="249"/>
        <v>25</v>
      </c>
      <c r="BT173" s="230">
        <f t="shared" si="382"/>
        <v>38</v>
      </c>
      <c r="BU173" s="235">
        <f t="shared" si="383"/>
        <v>3.792954545454545</v>
      </c>
      <c r="BV173" s="235" cm="1">
        <f t="array" ref="BV173">$BI173 * IF($AH173&lt;=2,
SUMPRODUCT(INDEX($AR$67:$AT$71,,$AI173), INDEX($AU$67:$BA$71,,$AH173), 1 / ($BB$67:$BB$71*BU173 + (1-$BB$67:$BB$71)*BQ173), N($AQ$67:$AQ$71&gt;$AO173)),
SUMPRODUCT(INDEX($AR$57:$AT$66,,$AI173), INDEX($AU$57:$BA$66,,$AH173), 1 / ($BC$57:$BC$66*BU173 + (1-$BC$57:$BC$66)*BQ173), N($AQ$57:$AQ$66&gt;$AO173))
) / 1000</f>
        <v>0</v>
      </c>
      <c r="BW173" s="232">
        <f t="shared" si="252"/>
        <v>20</v>
      </c>
      <c r="BX173" s="230">
        <f t="shared" si="384"/>
        <v>33</v>
      </c>
      <c r="BY173" s="235">
        <f t="shared" si="385"/>
        <v>4.4702678571428569</v>
      </c>
      <c r="BZ173" s="235" cm="1">
        <f t="array" ref="BZ173">$BI173 * IF($AH173&lt;=2,
SUMPRODUCT(INDEX($AR$62:$AT$66,,$AI173), INDEX($AU$62:$BA$66,,$AH173), 1 / ($BB$62:$BB$66*BY173 + (1-$BB$62:$BB$66)*BU173), N($AQ$62:$AQ$66&gt;$AO173)),
SUMPRODUCT(INDEX($AR$47:$AT$56,,$AI173), INDEX($AU$47:$BA$56,,$AH173), 1 / ($BC$47:$BC$56*BY173 + (1-$BC$47:$BC$56)*BU173), N($AQ$47:$AQ$56&gt;$AO173))
) / 1000</f>
        <v>0</v>
      </c>
      <c r="CA173" s="235" cm="1">
        <f t="array" ref="CA173">$BI173 * IF($AH173&lt;=2,
SUMPRODUCT(INDEX($AR$23:$AT$61,,$AI173), INDEX($AU$23:$BA$61,,$AH173), 1 / ($BB$23:$BB$61*BY173), N($AQ$23:$AQ$61&gt;$AO173)),
SUMPRODUCT(INDEX($AR$23:$AT$46,,$AI173), INDEX($AU$23:$BA$46,,$AH173), 1 / ($BC$23:$BC$46*BY173), N($AQ$23:$AQ$46&gt;$AO173))
) / 1000</f>
        <v>0</v>
      </c>
      <c r="CB173" s="230">
        <f t="shared" si="386"/>
        <v>0</v>
      </c>
      <c r="CC173" s="238"/>
      <c r="CD173" s="229" cm="1">
        <f t="array" ref="CD173">IF(ISBLANK(Y173), INDEX(Use, $AH173, 4) - AN173*INDEX(Use, $AH173, 6) - (Q173-X173), Y173)</f>
        <v>7</v>
      </c>
      <c r="CE173" s="229">
        <f t="shared" si="387"/>
        <v>32</v>
      </c>
      <c r="CF173" s="230">
        <f t="shared" si="388"/>
        <v>0</v>
      </c>
      <c r="CG173" s="229">
        <v>35</v>
      </c>
      <c r="CH173" s="230">
        <f t="shared" si="389"/>
        <v>48</v>
      </c>
      <c r="CI173" s="235">
        <f t="shared" si="390"/>
        <v>3.0748170731707316</v>
      </c>
      <c r="CJ173" s="235" cm="1">
        <f t="array" ref="CJ173">$BI173 * SUMPRODUCT(INDEX($AR$77:$AT$82,,$AI173),INDEX($AU$77:$BA$82,,$AH173), N($AQ$77:$AQ$82&gt;$AO173)) / CI173 / 1000</f>
        <v>0</v>
      </c>
      <c r="CK173" s="232">
        <f t="shared" si="260"/>
        <v>30</v>
      </c>
      <c r="CL173" s="230">
        <f t="shared" si="391"/>
        <v>43</v>
      </c>
      <c r="CM173" s="235">
        <f t="shared" si="392"/>
        <v>3.5018750000000001</v>
      </c>
      <c r="CN173" s="235" cm="1">
        <f t="array" ref="CN173">$BI173 * IF($AH173&lt;=2,
SUMPRODUCT(INDEX($AR$72:$AT$76,,$AI173), INDEX($AU$72:$BA$76,,$AH173), 1 / ($BB$72:$BB$76*CM173 + (1-$BB$72:$BB$76)*CI173), N($AQ$72:$AQ$76&gt;$AO173)),
SUMPRODUCT(INDEX($AR$67:$AT$76,,$AI173), INDEX($AU$67:$BA$76,,$AH173), 1 / ($BC$67:$BC$76*CM173 + (1-$BC$67:$BC$76)*CI173), N($AQ$67:$AQ$76&gt;$AO173))
) / 1000</f>
        <v>0</v>
      </c>
      <c r="CO173" s="232">
        <f t="shared" si="263"/>
        <v>25</v>
      </c>
      <c r="CP173" s="230">
        <f t="shared" si="393"/>
        <v>38</v>
      </c>
      <c r="CQ173" s="235">
        <f t="shared" si="394"/>
        <v>4.0666935483870965</v>
      </c>
      <c r="CR173" s="235" cm="1">
        <f t="array" ref="CR173">$BI173 * IF($AH173&lt;=2,
SUMPRODUCT(INDEX($AR$67:$AT$71,,$AI173), INDEX($AU$67:$BA$71,,$AH173), 1 / ($BB$67:$BB$71*CQ173 + (1-$BB$67:$BB$71)*CM173), N($AQ$67:$AQ$71&gt;$AO173)),
SUMPRODUCT(INDEX($AR$57:$AT$66,,$AI173), INDEX($AU$57:$BA$66,,$AH173), 1 / ($BC$57:$BC$66*CQ173 + (1-$BC$57:$BC$66)*CM173), N($AQ$57:$AQ$66&gt;$AO173))
) / 1000</f>
        <v>0</v>
      </c>
      <c r="CS173" s="232">
        <f t="shared" si="266"/>
        <v>20</v>
      </c>
      <c r="CT173" s="230">
        <f t="shared" si="395"/>
        <v>33</v>
      </c>
      <c r="CU173" s="235">
        <f t="shared" si="396"/>
        <v>4.8487499999999999</v>
      </c>
      <c r="CV173" s="235" cm="1">
        <f t="array" ref="CV173">$BI173 * IF($AH173&lt;=2,
SUMPRODUCT(INDEX($AR$62:$AT$66,,$AI173), INDEX($AU$62:$BA$66,,$AH173), 1 / ($BB$62:$BB$66*CU173 + (1-$BB$62:$BB$66)*CQ173), N($AQ$62:$AQ$66&gt;$AO173)),
SUMPRODUCT(INDEX($AR$47:$AT$56,,$AI173), INDEX($AU$47:$BA$56,,$AH173), 1 / ($BC$47:$BC$56*CU173 + (1-$BC$47:$BC$56)*CQ173), N($AQ$47:$AQ$56&gt;$AO173))
) / 1000</f>
        <v>0</v>
      </c>
      <c r="CW173" s="235" cm="1">
        <f t="array" ref="CW173">$BI173 * IF($AH173&lt;=2,
SUMPRODUCT(INDEX($AR$23:$AT$61,,$AI173), INDEX($AU$23:$BA$61,,$AH173), 1 / ($BB$23:$BB$61*CU173), N($AQ$23:$AQ$61&gt;$AO173)),
SUMPRODUCT(INDEX($AR$23:$AT$46,,$AI173), INDEX($AU$23:$BA$46,,$AH173), 1 / ($BC$23:$BC$46*CU173), N($AQ$23:$AQ$46&gt;$AO173))
) / 1000</f>
        <v>0</v>
      </c>
      <c r="CX173" s="230">
        <f t="shared" si="397"/>
        <v>0</v>
      </c>
      <c r="CY173" s="238"/>
    </row>
    <row r="174" spans="1:103" s="76" customFormat="1" ht="14.25" customHeight="1" x14ac:dyDescent="0.2">
      <c r="A174" s="231" t="b">
        <f t="shared" si="229"/>
        <v>0</v>
      </c>
      <c r="B174" s="245">
        <v>152</v>
      </c>
      <c r="C174" s="258"/>
      <c r="D174" s="258"/>
      <c r="E174" s="246"/>
      <c r="F174" s="247" t="str">
        <f>IF(ISBLANK(E174), "", VLOOKUP(E174, Z!$A$2:$C$4127, 3, FALSE))</f>
        <v/>
      </c>
      <c r="G174" s="248"/>
      <c r="H174" s="248"/>
      <c r="I174" s="249"/>
      <c r="J174" s="250"/>
      <c r="K174" s="259"/>
      <c r="L174" s="260"/>
      <c r="M174" s="252" t="str" cm="1">
        <f t="array" ref="M174">INDEX(Trad, 53, $A$20)</f>
        <v>Verschmutzt</v>
      </c>
      <c r="N174" s="253"/>
      <c r="O174" s="253"/>
      <c r="P174" s="254"/>
      <c r="Q174" s="251"/>
      <c r="R174" s="251"/>
      <c r="S174" s="264">
        <f t="shared" si="372"/>
        <v>0</v>
      </c>
      <c r="T174" s="252" t="str" cm="1">
        <f t="array" ref="T174">INDEX(Trad, 52, $A$20)</f>
        <v>Sauber</v>
      </c>
      <c r="U174" s="253"/>
      <c r="V174" s="253"/>
      <c r="W174" s="254"/>
      <c r="X174" s="251"/>
      <c r="Y174" s="251"/>
      <c r="Z174" s="264">
        <f t="shared" si="373"/>
        <v>0</v>
      </c>
      <c r="AA174" s="261"/>
      <c r="AB174" s="258"/>
      <c r="AC174" s="246"/>
      <c r="AD174" s="247" t="str">
        <f>IF(ISBLANK(AC174), "", VLOOKUP(AC174, Z!$A$2:$C$4127, 3, FALSE))</f>
        <v/>
      </c>
      <c r="AE174" s="262"/>
      <c r="AF174" s="263">
        <f t="shared" si="374"/>
        <v>0</v>
      </c>
      <c r="AG174" s="238"/>
      <c r="AH174" s="229">
        <f t="shared" si="398"/>
        <v>1</v>
      </c>
      <c r="AI174" s="229">
        <f t="shared" si="399"/>
        <v>1</v>
      </c>
      <c r="AJ174" s="229">
        <f t="shared" si="400"/>
        <v>0</v>
      </c>
      <c r="AK174" s="229">
        <v>0</v>
      </c>
      <c r="AL174" s="229">
        <v>0</v>
      </c>
      <c r="AM174" s="229">
        <v>1</v>
      </c>
      <c r="AN174" s="229">
        <v>0</v>
      </c>
      <c r="AO174" s="229">
        <f t="shared" si="375"/>
        <v>-100</v>
      </c>
      <c r="AP174" s="238"/>
      <c r="AQ174" s="255"/>
      <c r="AR174" s="255"/>
      <c r="AS174" s="256"/>
      <c r="AT174" s="256"/>
      <c r="AU174" s="256"/>
      <c r="AV174" s="256"/>
      <c r="AW174" s="256"/>
      <c r="AX174" s="256"/>
      <c r="AY174" s="256"/>
      <c r="AZ174" s="256"/>
      <c r="BA174" s="256"/>
      <c r="BB174" s="256"/>
      <c r="BC174" s="256"/>
      <c r="BD174" s="238"/>
      <c r="BE174" s="229" cm="1">
        <f t="array" ref="BE174">IF(ISBLANK(R174), INDEX(Use, $AH174, 4) - AM174*INDEX(Use, $AH174, 6), R174)</f>
        <v>5</v>
      </c>
      <c r="BF174" s="229">
        <f t="shared" si="376"/>
        <v>30</v>
      </c>
      <c r="BG174" s="229">
        <f t="shared" si="241"/>
        <v>13</v>
      </c>
      <c r="BH174" s="229">
        <f t="shared" si="242"/>
        <v>0</v>
      </c>
      <c r="BI174" s="234" cm="1">
        <f t="array" ref="BI174">K174/IF($L174&gt;0, INDEX($AU$23:$BA$77, $L174+20, $AH174), 1)</f>
        <v>0</v>
      </c>
      <c r="BJ174" s="230">
        <f t="shared" si="377"/>
        <v>0</v>
      </c>
      <c r="BK174" s="229">
        <v>35</v>
      </c>
      <c r="BL174" s="230">
        <f t="shared" si="378"/>
        <v>48</v>
      </c>
      <c r="BM174" s="235">
        <f t="shared" si="379"/>
        <v>2.9108720930232557</v>
      </c>
      <c r="BN174" s="235" cm="1">
        <f t="array" ref="BN174">$BI174 * SUMPRODUCT(INDEX($AR$77:$AT$82,,$AI174),INDEX($AU$77:$BA$82,,$AH174), N($AQ$77:$AQ$82&gt;$AO174)) / BM174 / 1000</f>
        <v>0</v>
      </c>
      <c r="BO174" s="232">
        <f t="shared" si="246"/>
        <v>30</v>
      </c>
      <c r="BP174" s="230">
        <f t="shared" si="380"/>
        <v>43</v>
      </c>
      <c r="BQ174" s="235">
        <f t="shared" si="381"/>
        <v>3.2938815789473681</v>
      </c>
      <c r="BR174" s="235" cm="1">
        <f t="array" ref="BR174">$BI174 * IF($AH174&lt;=2,
SUMPRODUCT(INDEX($AR$72:$AT$76,,$AI174), INDEX($AU$72:$BA$76,,$AH174), 1 / ($BB$72:$BB$76*BQ174 + (1-$BB$72:$BB$76)*BM174), N($AQ$72:$AQ$76&gt;$AO174)),
SUMPRODUCT(INDEX($AR$67:$AT$76,,$AI174), INDEX($AU$67:$BA$76,,$AH174), 1 / ($BC$67:$BC$76*BQ174 + (1-$BC$67:$BC$76)*BM174), N($AQ$67:$AQ$76&gt;$AO174))
) / 1000</f>
        <v>0</v>
      </c>
      <c r="BS174" s="232">
        <f t="shared" si="249"/>
        <v>25</v>
      </c>
      <c r="BT174" s="230">
        <f t="shared" si="382"/>
        <v>38</v>
      </c>
      <c r="BU174" s="235">
        <f t="shared" si="383"/>
        <v>3.792954545454545</v>
      </c>
      <c r="BV174" s="235" cm="1">
        <f t="array" ref="BV174">$BI174 * IF($AH174&lt;=2,
SUMPRODUCT(INDEX($AR$67:$AT$71,,$AI174), INDEX($AU$67:$BA$71,,$AH174), 1 / ($BB$67:$BB$71*BU174 + (1-$BB$67:$BB$71)*BQ174), N($AQ$67:$AQ$71&gt;$AO174)),
SUMPRODUCT(INDEX($AR$57:$AT$66,,$AI174), INDEX($AU$57:$BA$66,,$AH174), 1 / ($BC$57:$BC$66*BU174 + (1-$BC$57:$BC$66)*BQ174), N($AQ$57:$AQ$66&gt;$AO174))
) / 1000</f>
        <v>0</v>
      </c>
      <c r="BW174" s="232">
        <f t="shared" si="252"/>
        <v>20</v>
      </c>
      <c r="BX174" s="230">
        <f t="shared" si="384"/>
        <v>33</v>
      </c>
      <c r="BY174" s="235">
        <f t="shared" si="385"/>
        <v>4.4702678571428569</v>
      </c>
      <c r="BZ174" s="235" cm="1">
        <f t="array" ref="BZ174">$BI174 * IF($AH174&lt;=2,
SUMPRODUCT(INDEX($AR$62:$AT$66,,$AI174), INDEX($AU$62:$BA$66,,$AH174), 1 / ($BB$62:$BB$66*BY174 + (1-$BB$62:$BB$66)*BU174), N($AQ$62:$AQ$66&gt;$AO174)),
SUMPRODUCT(INDEX($AR$47:$AT$56,,$AI174), INDEX($AU$47:$BA$56,,$AH174), 1 / ($BC$47:$BC$56*BY174 + (1-$BC$47:$BC$56)*BU174), N($AQ$47:$AQ$56&gt;$AO174))
) / 1000</f>
        <v>0</v>
      </c>
      <c r="CA174" s="235" cm="1">
        <f t="array" ref="CA174">$BI174 * IF($AH174&lt;=2,
SUMPRODUCT(INDEX($AR$23:$AT$61,,$AI174), INDEX($AU$23:$BA$61,,$AH174), 1 / ($BB$23:$BB$61*BY174), N($AQ$23:$AQ$61&gt;$AO174)),
SUMPRODUCT(INDEX($AR$23:$AT$46,,$AI174), INDEX($AU$23:$BA$46,,$AH174), 1 / ($BC$23:$BC$46*BY174), N($AQ$23:$AQ$46&gt;$AO174))
) / 1000</f>
        <v>0</v>
      </c>
      <c r="CB174" s="230">
        <f t="shared" si="386"/>
        <v>0</v>
      </c>
      <c r="CC174" s="238"/>
      <c r="CD174" s="229" cm="1">
        <f t="array" ref="CD174">IF(ISBLANK(Y174), INDEX(Use, $AH174, 4) - AN174*INDEX(Use, $AH174, 6) - (Q174-X174), Y174)</f>
        <v>7</v>
      </c>
      <c r="CE174" s="229">
        <f t="shared" si="387"/>
        <v>32</v>
      </c>
      <c r="CF174" s="230">
        <f t="shared" si="388"/>
        <v>0</v>
      </c>
      <c r="CG174" s="229">
        <v>35</v>
      </c>
      <c r="CH174" s="230">
        <f t="shared" si="389"/>
        <v>48</v>
      </c>
      <c r="CI174" s="235">
        <f t="shared" si="390"/>
        <v>3.0748170731707316</v>
      </c>
      <c r="CJ174" s="235" cm="1">
        <f t="array" ref="CJ174">$BI174 * SUMPRODUCT(INDEX($AR$77:$AT$82,,$AI174),INDEX($AU$77:$BA$82,,$AH174), N($AQ$77:$AQ$82&gt;$AO174)) / CI174 / 1000</f>
        <v>0</v>
      </c>
      <c r="CK174" s="232">
        <f t="shared" si="260"/>
        <v>30</v>
      </c>
      <c r="CL174" s="230">
        <f t="shared" si="391"/>
        <v>43</v>
      </c>
      <c r="CM174" s="235">
        <f t="shared" si="392"/>
        <v>3.5018750000000001</v>
      </c>
      <c r="CN174" s="235" cm="1">
        <f t="array" ref="CN174">$BI174 * IF($AH174&lt;=2,
SUMPRODUCT(INDEX($AR$72:$AT$76,,$AI174), INDEX($AU$72:$BA$76,,$AH174), 1 / ($BB$72:$BB$76*CM174 + (1-$BB$72:$BB$76)*CI174), N($AQ$72:$AQ$76&gt;$AO174)),
SUMPRODUCT(INDEX($AR$67:$AT$76,,$AI174), INDEX($AU$67:$BA$76,,$AH174), 1 / ($BC$67:$BC$76*CM174 + (1-$BC$67:$BC$76)*CI174), N($AQ$67:$AQ$76&gt;$AO174))
) / 1000</f>
        <v>0</v>
      </c>
      <c r="CO174" s="232">
        <f t="shared" si="263"/>
        <v>25</v>
      </c>
      <c r="CP174" s="230">
        <f t="shared" si="393"/>
        <v>38</v>
      </c>
      <c r="CQ174" s="235">
        <f t="shared" si="394"/>
        <v>4.0666935483870965</v>
      </c>
      <c r="CR174" s="235" cm="1">
        <f t="array" ref="CR174">$BI174 * IF($AH174&lt;=2,
SUMPRODUCT(INDEX($AR$67:$AT$71,,$AI174), INDEX($AU$67:$BA$71,,$AH174), 1 / ($BB$67:$BB$71*CQ174 + (1-$BB$67:$BB$71)*CM174), N($AQ$67:$AQ$71&gt;$AO174)),
SUMPRODUCT(INDEX($AR$57:$AT$66,,$AI174), INDEX($AU$57:$BA$66,,$AH174), 1 / ($BC$57:$BC$66*CQ174 + (1-$BC$57:$BC$66)*CM174), N($AQ$57:$AQ$66&gt;$AO174))
) / 1000</f>
        <v>0</v>
      </c>
      <c r="CS174" s="232">
        <f t="shared" si="266"/>
        <v>20</v>
      </c>
      <c r="CT174" s="230">
        <f t="shared" si="395"/>
        <v>33</v>
      </c>
      <c r="CU174" s="235">
        <f t="shared" si="396"/>
        <v>4.8487499999999999</v>
      </c>
      <c r="CV174" s="235" cm="1">
        <f t="array" ref="CV174">$BI174 * IF($AH174&lt;=2,
SUMPRODUCT(INDEX($AR$62:$AT$66,,$AI174), INDEX($AU$62:$BA$66,,$AH174), 1 / ($BB$62:$BB$66*CU174 + (1-$BB$62:$BB$66)*CQ174), N($AQ$62:$AQ$66&gt;$AO174)),
SUMPRODUCT(INDEX($AR$47:$AT$56,,$AI174), INDEX($AU$47:$BA$56,,$AH174), 1 / ($BC$47:$BC$56*CU174 + (1-$BC$47:$BC$56)*CQ174), N($AQ$47:$AQ$56&gt;$AO174))
) / 1000</f>
        <v>0</v>
      </c>
      <c r="CW174" s="235" cm="1">
        <f t="array" ref="CW174">$BI174 * IF($AH174&lt;=2,
SUMPRODUCT(INDEX($AR$23:$AT$61,,$AI174), INDEX($AU$23:$BA$61,,$AH174), 1 / ($BB$23:$BB$61*CU174), N($AQ$23:$AQ$61&gt;$AO174)),
SUMPRODUCT(INDEX($AR$23:$AT$46,,$AI174), INDEX($AU$23:$BA$46,,$AH174), 1 / ($BC$23:$BC$46*CU174), N($AQ$23:$AQ$46&gt;$AO174))
) / 1000</f>
        <v>0</v>
      </c>
      <c r="CX174" s="230">
        <f t="shared" si="397"/>
        <v>0</v>
      </c>
      <c r="CY174" s="238"/>
    </row>
    <row r="175" spans="1:103" s="76" customFormat="1" ht="14.25" customHeight="1" x14ac:dyDescent="0.2">
      <c r="A175" s="231" t="b">
        <f t="shared" si="229"/>
        <v>0</v>
      </c>
      <c r="B175" s="245">
        <v>153</v>
      </c>
      <c r="C175" s="258"/>
      <c r="D175" s="258"/>
      <c r="E175" s="246"/>
      <c r="F175" s="247" t="str">
        <f>IF(ISBLANK(E175), "", VLOOKUP(E175, Z!$A$2:$C$4127, 3, FALSE))</f>
        <v/>
      </c>
      <c r="G175" s="248"/>
      <c r="H175" s="248"/>
      <c r="I175" s="249"/>
      <c r="J175" s="250"/>
      <c r="K175" s="259"/>
      <c r="L175" s="260"/>
      <c r="M175" s="252" t="str" cm="1">
        <f t="array" ref="M175">INDEX(Trad, 53, $A$20)</f>
        <v>Verschmutzt</v>
      </c>
      <c r="N175" s="253"/>
      <c r="O175" s="253"/>
      <c r="P175" s="254"/>
      <c r="Q175" s="251"/>
      <c r="R175" s="251"/>
      <c r="S175" s="264">
        <f t="shared" si="372"/>
        <v>0</v>
      </c>
      <c r="T175" s="252" t="str" cm="1">
        <f t="array" ref="T175">INDEX(Trad, 52, $A$20)</f>
        <v>Sauber</v>
      </c>
      <c r="U175" s="253"/>
      <c r="V175" s="253"/>
      <c r="W175" s="254"/>
      <c r="X175" s="251"/>
      <c r="Y175" s="251"/>
      <c r="Z175" s="264">
        <f t="shared" si="373"/>
        <v>0</v>
      </c>
      <c r="AA175" s="261"/>
      <c r="AB175" s="258"/>
      <c r="AC175" s="246"/>
      <c r="AD175" s="247" t="str">
        <f>IF(ISBLANK(AC175), "", VLOOKUP(AC175, Z!$A$2:$C$4127, 3, FALSE))</f>
        <v/>
      </c>
      <c r="AE175" s="262"/>
      <c r="AF175" s="263">
        <f t="shared" si="374"/>
        <v>0</v>
      </c>
      <c r="AG175" s="238"/>
      <c r="AH175" s="229">
        <f t="shared" si="398"/>
        <v>1</v>
      </c>
      <c r="AI175" s="229">
        <f t="shared" si="399"/>
        <v>1</v>
      </c>
      <c r="AJ175" s="229">
        <f t="shared" si="400"/>
        <v>0</v>
      </c>
      <c r="AK175" s="229">
        <v>0</v>
      </c>
      <c r="AL175" s="229">
        <v>0</v>
      </c>
      <c r="AM175" s="229">
        <v>1</v>
      </c>
      <c r="AN175" s="229">
        <v>0</v>
      </c>
      <c r="AO175" s="229">
        <f t="shared" si="375"/>
        <v>-100</v>
      </c>
      <c r="AP175" s="238"/>
      <c r="AQ175" s="255"/>
      <c r="AR175" s="255"/>
      <c r="AS175" s="256"/>
      <c r="AT175" s="256"/>
      <c r="AU175" s="256"/>
      <c r="AV175" s="256"/>
      <c r="AW175" s="256"/>
      <c r="AX175" s="256"/>
      <c r="AY175" s="256"/>
      <c r="AZ175" s="256"/>
      <c r="BA175" s="256"/>
      <c r="BB175" s="256"/>
      <c r="BC175" s="256"/>
      <c r="BD175" s="238"/>
      <c r="BE175" s="229" cm="1">
        <f t="array" ref="BE175">IF(ISBLANK(R175), INDEX(Use, $AH175, 4) - AM175*INDEX(Use, $AH175, 6), R175)</f>
        <v>5</v>
      </c>
      <c r="BF175" s="229">
        <f t="shared" si="376"/>
        <v>30</v>
      </c>
      <c r="BG175" s="229">
        <f t="shared" si="241"/>
        <v>13</v>
      </c>
      <c r="BH175" s="229">
        <f t="shared" si="242"/>
        <v>0</v>
      </c>
      <c r="BI175" s="234" cm="1">
        <f t="array" ref="BI175">K175/IF($L175&gt;0, INDEX($AU$23:$BA$77, $L175+20, $AH175), 1)</f>
        <v>0</v>
      </c>
      <c r="BJ175" s="230">
        <f t="shared" si="377"/>
        <v>0</v>
      </c>
      <c r="BK175" s="229">
        <v>35</v>
      </c>
      <c r="BL175" s="230">
        <f t="shared" si="378"/>
        <v>48</v>
      </c>
      <c r="BM175" s="235">
        <f t="shared" si="379"/>
        <v>2.9108720930232557</v>
      </c>
      <c r="BN175" s="235" cm="1">
        <f t="array" ref="BN175">$BI175 * SUMPRODUCT(INDEX($AR$77:$AT$82,,$AI175),INDEX($AU$77:$BA$82,,$AH175), N($AQ$77:$AQ$82&gt;$AO175)) / BM175 / 1000</f>
        <v>0</v>
      </c>
      <c r="BO175" s="232">
        <f t="shared" si="246"/>
        <v>30</v>
      </c>
      <c r="BP175" s="230">
        <f t="shared" si="380"/>
        <v>43</v>
      </c>
      <c r="BQ175" s="235">
        <f t="shared" si="381"/>
        <v>3.2938815789473681</v>
      </c>
      <c r="BR175" s="235" cm="1">
        <f t="array" ref="BR175">$BI175 * IF($AH175&lt;=2,
SUMPRODUCT(INDEX($AR$72:$AT$76,,$AI175), INDEX($AU$72:$BA$76,,$AH175), 1 / ($BB$72:$BB$76*BQ175 + (1-$BB$72:$BB$76)*BM175), N($AQ$72:$AQ$76&gt;$AO175)),
SUMPRODUCT(INDEX($AR$67:$AT$76,,$AI175), INDEX($AU$67:$BA$76,,$AH175), 1 / ($BC$67:$BC$76*BQ175 + (1-$BC$67:$BC$76)*BM175), N($AQ$67:$AQ$76&gt;$AO175))
) / 1000</f>
        <v>0</v>
      </c>
      <c r="BS175" s="232">
        <f t="shared" si="249"/>
        <v>25</v>
      </c>
      <c r="BT175" s="230">
        <f t="shared" si="382"/>
        <v>38</v>
      </c>
      <c r="BU175" s="235">
        <f t="shared" si="383"/>
        <v>3.792954545454545</v>
      </c>
      <c r="BV175" s="235" cm="1">
        <f t="array" ref="BV175">$BI175 * IF($AH175&lt;=2,
SUMPRODUCT(INDEX($AR$67:$AT$71,,$AI175), INDEX($AU$67:$BA$71,,$AH175), 1 / ($BB$67:$BB$71*BU175 + (1-$BB$67:$BB$71)*BQ175), N($AQ$67:$AQ$71&gt;$AO175)),
SUMPRODUCT(INDEX($AR$57:$AT$66,,$AI175), INDEX($AU$57:$BA$66,,$AH175), 1 / ($BC$57:$BC$66*BU175 + (1-$BC$57:$BC$66)*BQ175), N($AQ$57:$AQ$66&gt;$AO175))
) / 1000</f>
        <v>0</v>
      </c>
      <c r="BW175" s="232">
        <f t="shared" si="252"/>
        <v>20</v>
      </c>
      <c r="BX175" s="230">
        <f t="shared" si="384"/>
        <v>33</v>
      </c>
      <c r="BY175" s="235">
        <f t="shared" si="385"/>
        <v>4.4702678571428569</v>
      </c>
      <c r="BZ175" s="235" cm="1">
        <f t="array" ref="BZ175">$BI175 * IF($AH175&lt;=2,
SUMPRODUCT(INDEX($AR$62:$AT$66,,$AI175), INDEX($AU$62:$BA$66,,$AH175), 1 / ($BB$62:$BB$66*BY175 + (1-$BB$62:$BB$66)*BU175), N($AQ$62:$AQ$66&gt;$AO175)),
SUMPRODUCT(INDEX($AR$47:$AT$56,,$AI175), INDEX($AU$47:$BA$56,,$AH175), 1 / ($BC$47:$BC$56*BY175 + (1-$BC$47:$BC$56)*BU175), N($AQ$47:$AQ$56&gt;$AO175))
) / 1000</f>
        <v>0</v>
      </c>
      <c r="CA175" s="235" cm="1">
        <f t="array" ref="CA175">$BI175 * IF($AH175&lt;=2,
SUMPRODUCT(INDEX($AR$23:$AT$61,,$AI175), INDEX($AU$23:$BA$61,,$AH175), 1 / ($BB$23:$BB$61*BY175), N($AQ$23:$AQ$61&gt;$AO175)),
SUMPRODUCT(INDEX($AR$23:$AT$46,,$AI175), INDEX($AU$23:$BA$46,,$AH175), 1 / ($BC$23:$BC$46*BY175), N($AQ$23:$AQ$46&gt;$AO175))
) / 1000</f>
        <v>0</v>
      </c>
      <c r="CB175" s="230">
        <f t="shared" si="386"/>
        <v>0</v>
      </c>
      <c r="CC175" s="238"/>
      <c r="CD175" s="229" cm="1">
        <f t="array" ref="CD175">IF(ISBLANK(Y175), INDEX(Use, $AH175, 4) - AN175*INDEX(Use, $AH175, 6) - (Q175-X175), Y175)</f>
        <v>7</v>
      </c>
      <c r="CE175" s="229">
        <f t="shared" si="387"/>
        <v>32</v>
      </c>
      <c r="CF175" s="230">
        <f t="shared" si="388"/>
        <v>0</v>
      </c>
      <c r="CG175" s="229">
        <v>35</v>
      </c>
      <c r="CH175" s="230">
        <f t="shared" si="389"/>
        <v>48</v>
      </c>
      <c r="CI175" s="235">
        <f t="shared" si="390"/>
        <v>3.0748170731707316</v>
      </c>
      <c r="CJ175" s="235" cm="1">
        <f t="array" ref="CJ175">$BI175 * SUMPRODUCT(INDEX($AR$77:$AT$82,,$AI175),INDEX($AU$77:$BA$82,,$AH175), N($AQ$77:$AQ$82&gt;$AO175)) / CI175 / 1000</f>
        <v>0</v>
      </c>
      <c r="CK175" s="232">
        <f t="shared" si="260"/>
        <v>30</v>
      </c>
      <c r="CL175" s="230">
        <f t="shared" si="391"/>
        <v>43</v>
      </c>
      <c r="CM175" s="235">
        <f t="shared" si="392"/>
        <v>3.5018750000000001</v>
      </c>
      <c r="CN175" s="235" cm="1">
        <f t="array" ref="CN175">$BI175 * IF($AH175&lt;=2,
SUMPRODUCT(INDEX($AR$72:$AT$76,,$AI175), INDEX($AU$72:$BA$76,,$AH175), 1 / ($BB$72:$BB$76*CM175 + (1-$BB$72:$BB$76)*CI175), N($AQ$72:$AQ$76&gt;$AO175)),
SUMPRODUCT(INDEX($AR$67:$AT$76,,$AI175), INDEX($AU$67:$BA$76,,$AH175), 1 / ($BC$67:$BC$76*CM175 + (1-$BC$67:$BC$76)*CI175), N($AQ$67:$AQ$76&gt;$AO175))
) / 1000</f>
        <v>0</v>
      </c>
      <c r="CO175" s="232">
        <f t="shared" si="263"/>
        <v>25</v>
      </c>
      <c r="CP175" s="230">
        <f t="shared" si="393"/>
        <v>38</v>
      </c>
      <c r="CQ175" s="235">
        <f t="shared" si="394"/>
        <v>4.0666935483870965</v>
      </c>
      <c r="CR175" s="235" cm="1">
        <f t="array" ref="CR175">$BI175 * IF($AH175&lt;=2,
SUMPRODUCT(INDEX($AR$67:$AT$71,,$AI175), INDEX($AU$67:$BA$71,,$AH175), 1 / ($BB$67:$BB$71*CQ175 + (1-$BB$67:$BB$71)*CM175), N($AQ$67:$AQ$71&gt;$AO175)),
SUMPRODUCT(INDEX($AR$57:$AT$66,,$AI175), INDEX($AU$57:$BA$66,,$AH175), 1 / ($BC$57:$BC$66*CQ175 + (1-$BC$57:$BC$66)*CM175), N($AQ$57:$AQ$66&gt;$AO175))
) / 1000</f>
        <v>0</v>
      </c>
      <c r="CS175" s="232">
        <f t="shared" si="266"/>
        <v>20</v>
      </c>
      <c r="CT175" s="230">
        <f t="shared" si="395"/>
        <v>33</v>
      </c>
      <c r="CU175" s="235">
        <f t="shared" si="396"/>
        <v>4.8487499999999999</v>
      </c>
      <c r="CV175" s="235" cm="1">
        <f t="array" ref="CV175">$BI175 * IF($AH175&lt;=2,
SUMPRODUCT(INDEX($AR$62:$AT$66,,$AI175), INDEX($AU$62:$BA$66,,$AH175), 1 / ($BB$62:$BB$66*CU175 + (1-$BB$62:$BB$66)*CQ175), N($AQ$62:$AQ$66&gt;$AO175)),
SUMPRODUCT(INDEX($AR$47:$AT$56,,$AI175), INDEX($AU$47:$BA$56,,$AH175), 1 / ($BC$47:$BC$56*CU175 + (1-$BC$47:$BC$56)*CQ175), N($AQ$47:$AQ$56&gt;$AO175))
) / 1000</f>
        <v>0</v>
      </c>
      <c r="CW175" s="235" cm="1">
        <f t="array" ref="CW175">$BI175 * IF($AH175&lt;=2,
SUMPRODUCT(INDEX($AR$23:$AT$61,,$AI175), INDEX($AU$23:$BA$61,,$AH175), 1 / ($BB$23:$BB$61*CU175), N($AQ$23:$AQ$61&gt;$AO175)),
SUMPRODUCT(INDEX($AR$23:$AT$46,,$AI175), INDEX($AU$23:$BA$46,,$AH175), 1 / ($BC$23:$BC$46*CU175), N($AQ$23:$AQ$46&gt;$AO175))
) / 1000</f>
        <v>0</v>
      </c>
      <c r="CX175" s="230">
        <f t="shared" si="397"/>
        <v>0</v>
      </c>
      <c r="CY175" s="238"/>
    </row>
    <row r="176" spans="1:103" s="76" customFormat="1" ht="14.25" customHeight="1" x14ac:dyDescent="0.2">
      <c r="A176" s="231" t="b">
        <f t="shared" si="229"/>
        <v>0</v>
      </c>
      <c r="B176" s="245">
        <v>154</v>
      </c>
      <c r="C176" s="258"/>
      <c r="D176" s="258"/>
      <c r="E176" s="246"/>
      <c r="F176" s="247" t="str">
        <f>IF(ISBLANK(E176), "", VLOOKUP(E176, Z!$A$2:$C$4127, 3, FALSE))</f>
        <v/>
      </c>
      <c r="G176" s="248"/>
      <c r="H176" s="248"/>
      <c r="I176" s="249"/>
      <c r="J176" s="250"/>
      <c r="K176" s="259"/>
      <c r="L176" s="260"/>
      <c r="M176" s="252" t="str" cm="1">
        <f t="array" ref="M176">INDEX(Trad, 53, $A$20)</f>
        <v>Verschmutzt</v>
      </c>
      <c r="N176" s="253"/>
      <c r="O176" s="253"/>
      <c r="P176" s="254"/>
      <c r="Q176" s="251"/>
      <c r="R176" s="251"/>
      <c r="S176" s="264">
        <f t="shared" si="372"/>
        <v>0</v>
      </c>
      <c r="T176" s="252" t="str" cm="1">
        <f t="array" ref="T176">INDEX(Trad, 52, $A$20)</f>
        <v>Sauber</v>
      </c>
      <c r="U176" s="253"/>
      <c r="V176" s="253"/>
      <c r="W176" s="254"/>
      <c r="X176" s="251"/>
      <c r="Y176" s="251"/>
      <c r="Z176" s="264">
        <f t="shared" si="373"/>
        <v>0</v>
      </c>
      <c r="AA176" s="261"/>
      <c r="AB176" s="258"/>
      <c r="AC176" s="246"/>
      <c r="AD176" s="247" t="str">
        <f>IF(ISBLANK(AC176), "", VLOOKUP(AC176, Z!$A$2:$C$4127, 3, FALSE))</f>
        <v/>
      </c>
      <c r="AE176" s="262"/>
      <c r="AF176" s="263">
        <f t="shared" si="374"/>
        <v>0</v>
      </c>
      <c r="AG176" s="238"/>
      <c r="AH176" s="229">
        <f t="shared" si="398"/>
        <v>1</v>
      </c>
      <c r="AI176" s="229">
        <f t="shared" si="399"/>
        <v>1</v>
      </c>
      <c r="AJ176" s="229">
        <f t="shared" si="400"/>
        <v>0</v>
      </c>
      <c r="AK176" s="229">
        <v>0</v>
      </c>
      <c r="AL176" s="229">
        <v>0</v>
      </c>
      <c r="AM176" s="229">
        <v>1</v>
      </c>
      <c r="AN176" s="229">
        <v>0</v>
      </c>
      <c r="AO176" s="229">
        <f t="shared" si="375"/>
        <v>-100</v>
      </c>
      <c r="AP176" s="238"/>
      <c r="AQ176" s="255"/>
      <c r="AR176" s="255"/>
      <c r="AS176" s="256"/>
      <c r="AT176" s="256"/>
      <c r="AU176" s="256"/>
      <c r="AV176" s="256"/>
      <c r="AW176" s="256"/>
      <c r="AX176" s="256"/>
      <c r="AY176" s="256"/>
      <c r="AZ176" s="256"/>
      <c r="BA176" s="256"/>
      <c r="BB176" s="256"/>
      <c r="BC176" s="256"/>
      <c r="BD176" s="238"/>
      <c r="BE176" s="229" cm="1">
        <f t="array" ref="BE176">IF(ISBLANK(R176), INDEX(Use, $AH176, 4) - AM176*INDEX(Use, $AH176, 6), R176)</f>
        <v>5</v>
      </c>
      <c r="BF176" s="229">
        <f t="shared" si="376"/>
        <v>30</v>
      </c>
      <c r="BG176" s="229">
        <f t="shared" si="241"/>
        <v>13</v>
      </c>
      <c r="BH176" s="229">
        <f t="shared" si="242"/>
        <v>0</v>
      </c>
      <c r="BI176" s="234" cm="1">
        <f t="array" ref="BI176">K176/IF($L176&gt;0, INDEX($AU$23:$BA$77, $L176+20, $AH176), 1)</f>
        <v>0</v>
      </c>
      <c r="BJ176" s="230">
        <f t="shared" si="377"/>
        <v>0</v>
      </c>
      <c r="BK176" s="229">
        <v>35</v>
      </c>
      <c r="BL176" s="230">
        <f t="shared" si="378"/>
        <v>48</v>
      </c>
      <c r="BM176" s="235">
        <f t="shared" si="379"/>
        <v>2.9108720930232557</v>
      </c>
      <c r="BN176" s="235" cm="1">
        <f t="array" ref="BN176">$BI176 * SUMPRODUCT(INDEX($AR$77:$AT$82,,$AI176),INDEX($AU$77:$BA$82,,$AH176), N($AQ$77:$AQ$82&gt;$AO176)) / BM176 / 1000</f>
        <v>0</v>
      </c>
      <c r="BO176" s="232">
        <f t="shared" si="246"/>
        <v>30</v>
      </c>
      <c r="BP176" s="230">
        <f t="shared" si="380"/>
        <v>43</v>
      </c>
      <c r="BQ176" s="235">
        <f t="shared" si="381"/>
        <v>3.2938815789473681</v>
      </c>
      <c r="BR176" s="235" cm="1">
        <f t="array" ref="BR176">$BI176 * IF($AH176&lt;=2,
SUMPRODUCT(INDEX($AR$72:$AT$76,,$AI176), INDEX($AU$72:$BA$76,,$AH176), 1 / ($BB$72:$BB$76*BQ176 + (1-$BB$72:$BB$76)*BM176), N($AQ$72:$AQ$76&gt;$AO176)),
SUMPRODUCT(INDEX($AR$67:$AT$76,,$AI176), INDEX($AU$67:$BA$76,,$AH176), 1 / ($BC$67:$BC$76*BQ176 + (1-$BC$67:$BC$76)*BM176), N($AQ$67:$AQ$76&gt;$AO176))
) / 1000</f>
        <v>0</v>
      </c>
      <c r="BS176" s="232">
        <f t="shared" si="249"/>
        <v>25</v>
      </c>
      <c r="BT176" s="230">
        <f t="shared" si="382"/>
        <v>38</v>
      </c>
      <c r="BU176" s="235">
        <f t="shared" si="383"/>
        <v>3.792954545454545</v>
      </c>
      <c r="BV176" s="235" cm="1">
        <f t="array" ref="BV176">$BI176 * IF($AH176&lt;=2,
SUMPRODUCT(INDEX($AR$67:$AT$71,,$AI176), INDEX($AU$67:$BA$71,,$AH176), 1 / ($BB$67:$BB$71*BU176 + (1-$BB$67:$BB$71)*BQ176), N($AQ$67:$AQ$71&gt;$AO176)),
SUMPRODUCT(INDEX($AR$57:$AT$66,,$AI176), INDEX($AU$57:$BA$66,,$AH176), 1 / ($BC$57:$BC$66*BU176 + (1-$BC$57:$BC$66)*BQ176), N($AQ$57:$AQ$66&gt;$AO176))
) / 1000</f>
        <v>0</v>
      </c>
      <c r="BW176" s="232">
        <f t="shared" si="252"/>
        <v>20</v>
      </c>
      <c r="BX176" s="230">
        <f t="shared" si="384"/>
        <v>33</v>
      </c>
      <c r="BY176" s="235">
        <f t="shared" si="385"/>
        <v>4.4702678571428569</v>
      </c>
      <c r="BZ176" s="235" cm="1">
        <f t="array" ref="BZ176">$BI176 * IF($AH176&lt;=2,
SUMPRODUCT(INDEX($AR$62:$AT$66,,$AI176), INDEX($AU$62:$BA$66,,$AH176), 1 / ($BB$62:$BB$66*BY176 + (1-$BB$62:$BB$66)*BU176), N($AQ$62:$AQ$66&gt;$AO176)),
SUMPRODUCT(INDEX($AR$47:$AT$56,,$AI176), INDEX($AU$47:$BA$56,,$AH176), 1 / ($BC$47:$BC$56*BY176 + (1-$BC$47:$BC$56)*BU176), N($AQ$47:$AQ$56&gt;$AO176))
) / 1000</f>
        <v>0</v>
      </c>
      <c r="CA176" s="235" cm="1">
        <f t="array" ref="CA176">$BI176 * IF($AH176&lt;=2,
SUMPRODUCT(INDEX($AR$23:$AT$61,,$AI176), INDEX($AU$23:$BA$61,,$AH176), 1 / ($BB$23:$BB$61*BY176), N($AQ$23:$AQ$61&gt;$AO176)),
SUMPRODUCT(INDEX($AR$23:$AT$46,,$AI176), INDEX($AU$23:$BA$46,,$AH176), 1 / ($BC$23:$BC$46*BY176), N($AQ$23:$AQ$46&gt;$AO176))
) / 1000</f>
        <v>0</v>
      </c>
      <c r="CB176" s="230">
        <f t="shared" si="386"/>
        <v>0</v>
      </c>
      <c r="CC176" s="238"/>
      <c r="CD176" s="229" cm="1">
        <f t="array" ref="CD176">IF(ISBLANK(Y176), INDEX(Use, $AH176, 4) - AN176*INDEX(Use, $AH176, 6) - (Q176-X176), Y176)</f>
        <v>7</v>
      </c>
      <c r="CE176" s="229">
        <f t="shared" si="387"/>
        <v>32</v>
      </c>
      <c r="CF176" s="230">
        <f t="shared" si="388"/>
        <v>0</v>
      </c>
      <c r="CG176" s="229">
        <v>35</v>
      </c>
      <c r="CH176" s="230">
        <f t="shared" si="389"/>
        <v>48</v>
      </c>
      <c r="CI176" s="235">
        <f t="shared" si="390"/>
        <v>3.0748170731707316</v>
      </c>
      <c r="CJ176" s="235" cm="1">
        <f t="array" ref="CJ176">$BI176 * SUMPRODUCT(INDEX($AR$77:$AT$82,,$AI176),INDEX($AU$77:$BA$82,,$AH176), N($AQ$77:$AQ$82&gt;$AO176)) / CI176 / 1000</f>
        <v>0</v>
      </c>
      <c r="CK176" s="232">
        <f t="shared" si="260"/>
        <v>30</v>
      </c>
      <c r="CL176" s="230">
        <f t="shared" si="391"/>
        <v>43</v>
      </c>
      <c r="CM176" s="235">
        <f t="shared" si="392"/>
        <v>3.5018750000000001</v>
      </c>
      <c r="CN176" s="235" cm="1">
        <f t="array" ref="CN176">$BI176 * IF($AH176&lt;=2,
SUMPRODUCT(INDEX($AR$72:$AT$76,,$AI176), INDEX($AU$72:$BA$76,,$AH176), 1 / ($BB$72:$BB$76*CM176 + (1-$BB$72:$BB$76)*CI176), N($AQ$72:$AQ$76&gt;$AO176)),
SUMPRODUCT(INDEX($AR$67:$AT$76,,$AI176), INDEX($AU$67:$BA$76,,$AH176), 1 / ($BC$67:$BC$76*CM176 + (1-$BC$67:$BC$76)*CI176), N($AQ$67:$AQ$76&gt;$AO176))
) / 1000</f>
        <v>0</v>
      </c>
      <c r="CO176" s="232">
        <f t="shared" si="263"/>
        <v>25</v>
      </c>
      <c r="CP176" s="230">
        <f t="shared" si="393"/>
        <v>38</v>
      </c>
      <c r="CQ176" s="235">
        <f t="shared" si="394"/>
        <v>4.0666935483870965</v>
      </c>
      <c r="CR176" s="235" cm="1">
        <f t="array" ref="CR176">$BI176 * IF($AH176&lt;=2,
SUMPRODUCT(INDEX($AR$67:$AT$71,,$AI176), INDEX($AU$67:$BA$71,,$AH176), 1 / ($BB$67:$BB$71*CQ176 + (1-$BB$67:$BB$71)*CM176), N($AQ$67:$AQ$71&gt;$AO176)),
SUMPRODUCT(INDEX($AR$57:$AT$66,,$AI176), INDEX($AU$57:$BA$66,,$AH176), 1 / ($BC$57:$BC$66*CQ176 + (1-$BC$57:$BC$66)*CM176), N($AQ$57:$AQ$66&gt;$AO176))
) / 1000</f>
        <v>0</v>
      </c>
      <c r="CS176" s="232">
        <f t="shared" si="266"/>
        <v>20</v>
      </c>
      <c r="CT176" s="230">
        <f t="shared" si="395"/>
        <v>33</v>
      </c>
      <c r="CU176" s="235">
        <f t="shared" si="396"/>
        <v>4.8487499999999999</v>
      </c>
      <c r="CV176" s="235" cm="1">
        <f t="array" ref="CV176">$BI176 * IF($AH176&lt;=2,
SUMPRODUCT(INDEX($AR$62:$AT$66,,$AI176), INDEX($AU$62:$BA$66,,$AH176), 1 / ($BB$62:$BB$66*CU176 + (1-$BB$62:$BB$66)*CQ176), N($AQ$62:$AQ$66&gt;$AO176)),
SUMPRODUCT(INDEX($AR$47:$AT$56,,$AI176), INDEX($AU$47:$BA$56,,$AH176), 1 / ($BC$47:$BC$56*CU176 + (1-$BC$47:$BC$56)*CQ176), N($AQ$47:$AQ$56&gt;$AO176))
) / 1000</f>
        <v>0</v>
      </c>
      <c r="CW176" s="235" cm="1">
        <f t="array" ref="CW176">$BI176 * IF($AH176&lt;=2,
SUMPRODUCT(INDEX($AR$23:$AT$61,,$AI176), INDEX($AU$23:$BA$61,,$AH176), 1 / ($BB$23:$BB$61*CU176), N($AQ$23:$AQ$61&gt;$AO176)),
SUMPRODUCT(INDEX($AR$23:$AT$46,,$AI176), INDEX($AU$23:$BA$46,,$AH176), 1 / ($BC$23:$BC$46*CU176), N($AQ$23:$AQ$46&gt;$AO176))
) / 1000</f>
        <v>0</v>
      </c>
      <c r="CX176" s="230">
        <f t="shared" si="397"/>
        <v>0</v>
      </c>
      <c r="CY176" s="238"/>
    </row>
    <row r="177" spans="1:103" s="76" customFormat="1" ht="14.25" customHeight="1" x14ac:dyDescent="0.2">
      <c r="A177" s="231" t="b">
        <f t="shared" si="229"/>
        <v>0</v>
      </c>
      <c r="B177" s="245">
        <v>155</v>
      </c>
      <c r="C177" s="258"/>
      <c r="D177" s="258"/>
      <c r="E177" s="246"/>
      <c r="F177" s="247" t="str">
        <f>IF(ISBLANK(E177), "", VLOOKUP(E177, Z!$A$2:$C$4127, 3, FALSE))</f>
        <v/>
      </c>
      <c r="G177" s="248"/>
      <c r="H177" s="248"/>
      <c r="I177" s="249"/>
      <c r="J177" s="250"/>
      <c r="K177" s="259"/>
      <c r="L177" s="260"/>
      <c r="M177" s="252" t="str" cm="1">
        <f t="array" ref="M177">INDEX(Trad, 53, $A$20)</f>
        <v>Verschmutzt</v>
      </c>
      <c r="N177" s="253"/>
      <c r="O177" s="253"/>
      <c r="P177" s="254"/>
      <c r="Q177" s="251"/>
      <c r="R177" s="251"/>
      <c r="S177" s="264">
        <f t="shared" si="372"/>
        <v>0</v>
      </c>
      <c r="T177" s="252" t="str" cm="1">
        <f t="array" ref="T177">INDEX(Trad, 52, $A$20)</f>
        <v>Sauber</v>
      </c>
      <c r="U177" s="253"/>
      <c r="V177" s="253"/>
      <c r="W177" s="254"/>
      <c r="X177" s="251"/>
      <c r="Y177" s="251"/>
      <c r="Z177" s="264">
        <f t="shared" si="373"/>
        <v>0</v>
      </c>
      <c r="AA177" s="261"/>
      <c r="AB177" s="258"/>
      <c r="AC177" s="246"/>
      <c r="AD177" s="247" t="str">
        <f>IF(ISBLANK(AC177), "", VLOOKUP(AC177, Z!$A$2:$C$4127, 3, FALSE))</f>
        <v/>
      </c>
      <c r="AE177" s="262"/>
      <c r="AF177" s="263">
        <f t="shared" si="374"/>
        <v>0</v>
      </c>
      <c r="AG177" s="238"/>
      <c r="AH177" s="229">
        <f t="shared" si="398"/>
        <v>1</v>
      </c>
      <c r="AI177" s="229">
        <f t="shared" si="399"/>
        <v>1</v>
      </c>
      <c r="AJ177" s="229">
        <f t="shared" si="400"/>
        <v>0</v>
      </c>
      <c r="AK177" s="229">
        <v>0</v>
      </c>
      <c r="AL177" s="229">
        <v>0</v>
      </c>
      <c r="AM177" s="229">
        <v>1</v>
      </c>
      <c r="AN177" s="229">
        <v>0</v>
      </c>
      <c r="AO177" s="229">
        <f t="shared" si="375"/>
        <v>-100</v>
      </c>
      <c r="AP177" s="238"/>
      <c r="AQ177" s="255"/>
      <c r="AR177" s="255"/>
      <c r="AS177" s="256"/>
      <c r="AT177" s="256"/>
      <c r="AU177" s="256"/>
      <c r="AV177" s="256"/>
      <c r="AW177" s="256"/>
      <c r="AX177" s="256"/>
      <c r="AY177" s="256"/>
      <c r="AZ177" s="256"/>
      <c r="BA177" s="256"/>
      <c r="BB177" s="256"/>
      <c r="BC177" s="256"/>
      <c r="BD177" s="238"/>
      <c r="BE177" s="229" cm="1">
        <f t="array" ref="BE177">IF(ISBLANK(R177), INDEX(Use, $AH177, 4) - AM177*INDEX(Use, $AH177, 6), R177)</f>
        <v>5</v>
      </c>
      <c r="BF177" s="229">
        <f t="shared" si="376"/>
        <v>30</v>
      </c>
      <c r="BG177" s="229">
        <f t="shared" si="241"/>
        <v>13</v>
      </c>
      <c r="BH177" s="229">
        <f t="shared" si="242"/>
        <v>0</v>
      </c>
      <c r="BI177" s="234" cm="1">
        <f t="array" ref="BI177">K177/IF($L177&gt;0, INDEX($AU$23:$BA$77, $L177+20, $AH177), 1)</f>
        <v>0</v>
      </c>
      <c r="BJ177" s="230">
        <f t="shared" si="377"/>
        <v>0</v>
      </c>
      <c r="BK177" s="229">
        <v>35</v>
      </c>
      <c r="BL177" s="230">
        <f t="shared" si="378"/>
        <v>48</v>
      </c>
      <c r="BM177" s="235">
        <f t="shared" si="379"/>
        <v>2.9108720930232557</v>
      </c>
      <c r="BN177" s="235" cm="1">
        <f t="array" ref="BN177">$BI177 * SUMPRODUCT(INDEX($AR$77:$AT$82,,$AI177),INDEX($AU$77:$BA$82,,$AH177), N($AQ$77:$AQ$82&gt;$AO177)) / BM177 / 1000</f>
        <v>0</v>
      </c>
      <c r="BO177" s="232">
        <f t="shared" si="246"/>
        <v>30</v>
      </c>
      <c r="BP177" s="230">
        <f t="shared" si="380"/>
        <v>43</v>
      </c>
      <c r="BQ177" s="235">
        <f t="shared" si="381"/>
        <v>3.2938815789473681</v>
      </c>
      <c r="BR177" s="235" cm="1">
        <f t="array" ref="BR177">$BI177 * IF($AH177&lt;=2,
SUMPRODUCT(INDEX($AR$72:$AT$76,,$AI177), INDEX($AU$72:$BA$76,,$AH177), 1 / ($BB$72:$BB$76*BQ177 + (1-$BB$72:$BB$76)*BM177), N($AQ$72:$AQ$76&gt;$AO177)),
SUMPRODUCT(INDEX($AR$67:$AT$76,,$AI177), INDEX($AU$67:$BA$76,,$AH177), 1 / ($BC$67:$BC$76*BQ177 + (1-$BC$67:$BC$76)*BM177), N($AQ$67:$AQ$76&gt;$AO177))
) / 1000</f>
        <v>0</v>
      </c>
      <c r="BS177" s="232">
        <f t="shared" si="249"/>
        <v>25</v>
      </c>
      <c r="BT177" s="230">
        <f t="shared" si="382"/>
        <v>38</v>
      </c>
      <c r="BU177" s="235">
        <f t="shared" si="383"/>
        <v>3.792954545454545</v>
      </c>
      <c r="BV177" s="235" cm="1">
        <f t="array" ref="BV177">$BI177 * IF($AH177&lt;=2,
SUMPRODUCT(INDEX($AR$67:$AT$71,,$AI177), INDEX($AU$67:$BA$71,,$AH177), 1 / ($BB$67:$BB$71*BU177 + (1-$BB$67:$BB$71)*BQ177), N($AQ$67:$AQ$71&gt;$AO177)),
SUMPRODUCT(INDEX($AR$57:$AT$66,,$AI177), INDEX($AU$57:$BA$66,,$AH177), 1 / ($BC$57:$BC$66*BU177 + (1-$BC$57:$BC$66)*BQ177), N($AQ$57:$AQ$66&gt;$AO177))
) / 1000</f>
        <v>0</v>
      </c>
      <c r="BW177" s="232">
        <f t="shared" si="252"/>
        <v>20</v>
      </c>
      <c r="BX177" s="230">
        <f t="shared" si="384"/>
        <v>33</v>
      </c>
      <c r="BY177" s="235">
        <f t="shared" si="385"/>
        <v>4.4702678571428569</v>
      </c>
      <c r="BZ177" s="235" cm="1">
        <f t="array" ref="BZ177">$BI177 * IF($AH177&lt;=2,
SUMPRODUCT(INDEX($AR$62:$AT$66,,$AI177), INDEX($AU$62:$BA$66,,$AH177), 1 / ($BB$62:$BB$66*BY177 + (1-$BB$62:$BB$66)*BU177), N($AQ$62:$AQ$66&gt;$AO177)),
SUMPRODUCT(INDEX($AR$47:$AT$56,,$AI177), INDEX($AU$47:$BA$56,,$AH177), 1 / ($BC$47:$BC$56*BY177 + (1-$BC$47:$BC$56)*BU177), N($AQ$47:$AQ$56&gt;$AO177))
) / 1000</f>
        <v>0</v>
      </c>
      <c r="CA177" s="235" cm="1">
        <f t="array" ref="CA177">$BI177 * IF($AH177&lt;=2,
SUMPRODUCT(INDEX($AR$23:$AT$61,,$AI177), INDEX($AU$23:$BA$61,,$AH177), 1 / ($BB$23:$BB$61*BY177), N($AQ$23:$AQ$61&gt;$AO177)),
SUMPRODUCT(INDEX($AR$23:$AT$46,,$AI177), INDEX($AU$23:$BA$46,,$AH177), 1 / ($BC$23:$BC$46*BY177), N($AQ$23:$AQ$46&gt;$AO177))
) / 1000</f>
        <v>0</v>
      </c>
      <c r="CB177" s="230">
        <f t="shared" si="386"/>
        <v>0</v>
      </c>
      <c r="CC177" s="238"/>
      <c r="CD177" s="229" cm="1">
        <f t="array" ref="CD177">IF(ISBLANK(Y177), INDEX(Use, $AH177, 4) - AN177*INDEX(Use, $AH177, 6) - (Q177-X177), Y177)</f>
        <v>7</v>
      </c>
      <c r="CE177" s="229">
        <f t="shared" si="387"/>
        <v>32</v>
      </c>
      <c r="CF177" s="230">
        <f t="shared" si="388"/>
        <v>0</v>
      </c>
      <c r="CG177" s="229">
        <v>35</v>
      </c>
      <c r="CH177" s="230">
        <f t="shared" si="389"/>
        <v>48</v>
      </c>
      <c r="CI177" s="235">
        <f t="shared" si="390"/>
        <v>3.0748170731707316</v>
      </c>
      <c r="CJ177" s="235" cm="1">
        <f t="array" ref="CJ177">$BI177 * SUMPRODUCT(INDEX($AR$77:$AT$82,,$AI177),INDEX($AU$77:$BA$82,,$AH177), N($AQ$77:$AQ$82&gt;$AO177)) / CI177 / 1000</f>
        <v>0</v>
      </c>
      <c r="CK177" s="232">
        <f t="shared" si="260"/>
        <v>30</v>
      </c>
      <c r="CL177" s="230">
        <f t="shared" si="391"/>
        <v>43</v>
      </c>
      <c r="CM177" s="235">
        <f t="shared" si="392"/>
        <v>3.5018750000000001</v>
      </c>
      <c r="CN177" s="235" cm="1">
        <f t="array" ref="CN177">$BI177 * IF($AH177&lt;=2,
SUMPRODUCT(INDEX($AR$72:$AT$76,,$AI177), INDEX($AU$72:$BA$76,,$AH177), 1 / ($BB$72:$BB$76*CM177 + (1-$BB$72:$BB$76)*CI177), N($AQ$72:$AQ$76&gt;$AO177)),
SUMPRODUCT(INDEX($AR$67:$AT$76,,$AI177), INDEX($AU$67:$BA$76,,$AH177), 1 / ($BC$67:$BC$76*CM177 + (1-$BC$67:$BC$76)*CI177), N($AQ$67:$AQ$76&gt;$AO177))
) / 1000</f>
        <v>0</v>
      </c>
      <c r="CO177" s="232">
        <f t="shared" si="263"/>
        <v>25</v>
      </c>
      <c r="CP177" s="230">
        <f t="shared" si="393"/>
        <v>38</v>
      </c>
      <c r="CQ177" s="235">
        <f t="shared" si="394"/>
        <v>4.0666935483870965</v>
      </c>
      <c r="CR177" s="235" cm="1">
        <f t="array" ref="CR177">$BI177 * IF($AH177&lt;=2,
SUMPRODUCT(INDEX($AR$67:$AT$71,,$AI177), INDEX($AU$67:$BA$71,,$AH177), 1 / ($BB$67:$BB$71*CQ177 + (1-$BB$67:$BB$71)*CM177), N($AQ$67:$AQ$71&gt;$AO177)),
SUMPRODUCT(INDEX($AR$57:$AT$66,,$AI177), INDEX($AU$57:$BA$66,,$AH177), 1 / ($BC$57:$BC$66*CQ177 + (1-$BC$57:$BC$66)*CM177), N($AQ$57:$AQ$66&gt;$AO177))
) / 1000</f>
        <v>0</v>
      </c>
      <c r="CS177" s="232">
        <f t="shared" si="266"/>
        <v>20</v>
      </c>
      <c r="CT177" s="230">
        <f t="shared" si="395"/>
        <v>33</v>
      </c>
      <c r="CU177" s="235">
        <f t="shared" si="396"/>
        <v>4.8487499999999999</v>
      </c>
      <c r="CV177" s="235" cm="1">
        <f t="array" ref="CV177">$BI177 * IF($AH177&lt;=2,
SUMPRODUCT(INDEX($AR$62:$AT$66,,$AI177), INDEX($AU$62:$BA$66,,$AH177), 1 / ($BB$62:$BB$66*CU177 + (1-$BB$62:$BB$66)*CQ177), N($AQ$62:$AQ$66&gt;$AO177)),
SUMPRODUCT(INDEX($AR$47:$AT$56,,$AI177), INDEX($AU$47:$BA$56,,$AH177), 1 / ($BC$47:$BC$56*CU177 + (1-$BC$47:$BC$56)*CQ177), N($AQ$47:$AQ$56&gt;$AO177))
) / 1000</f>
        <v>0</v>
      </c>
      <c r="CW177" s="235" cm="1">
        <f t="array" ref="CW177">$BI177 * IF($AH177&lt;=2,
SUMPRODUCT(INDEX($AR$23:$AT$61,,$AI177), INDEX($AU$23:$BA$61,,$AH177), 1 / ($BB$23:$BB$61*CU177), N($AQ$23:$AQ$61&gt;$AO177)),
SUMPRODUCT(INDEX($AR$23:$AT$46,,$AI177), INDEX($AU$23:$BA$46,,$AH177), 1 / ($BC$23:$BC$46*CU177), N($AQ$23:$AQ$46&gt;$AO177))
) / 1000</f>
        <v>0</v>
      </c>
      <c r="CX177" s="230">
        <f t="shared" si="397"/>
        <v>0</v>
      </c>
      <c r="CY177" s="238"/>
    </row>
    <row r="178" spans="1:103" s="76" customFormat="1" ht="14.25" customHeight="1" x14ac:dyDescent="0.2">
      <c r="A178" s="231" t="b">
        <f t="shared" si="229"/>
        <v>0</v>
      </c>
      <c r="B178" s="245">
        <v>156</v>
      </c>
      <c r="C178" s="258"/>
      <c r="D178" s="258"/>
      <c r="E178" s="246"/>
      <c r="F178" s="247" t="str">
        <f>IF(ISBLANK(E178), "", VLOOKUP(E178, Z!$A$2:$C$4127, 3, FALSE))</f>
        <v/>
      </c>
      <c r="G178" s="248"/>
      <c r="H178" s="248"/>
      <c r="I178" s="249"/>
      <c r="J178" s="250"/>
      <c r="K178" s="259"/>
      <c r="L178" s="260"/>
      <c r="M178" s="252" t="str" cm="1">
        <f t="array" ref="M178">INDEX(Trad, 53, $A$20)</f>
        <v>Verschmutzt</v>
      </c>
      <c r="N178" s="253"/>
      <c r="O178" s="253"/>
      <c r="P178" s="254"/>
      <c r="Q178" s="251"/>
      <c r="R178" s="251"/>
      <c r="S178" s="264">
        <f t="shared" si="372"/>
        <v>0</v>
      </c>
      <c r="T178" s="252" t="str" cm="1">
        <f t="array" ref="T178">INDEX(Trad, 52, $A$20)</f>
        <v>Sauber</v>
      </c>
      <c r="U178" s="253"/>
      <c r="V178" s="253"/>
      <c r="W178" s="254"/>
      <c r="X178" s="251"/>
      <c r="Y178" s="251"/>
      <c r="Z178" s="264">
        <f t="shared" si="373"/>
        <v>0</v>
      </c>
      <c r="AA178" s="261"/>
      <c r="AB178" s="258"/>
      <c r="AC178" s="246"/>
      <c r="AD178" s="247" t="str">
        <f>IF(ISBLANK(AC178), "", VLOOKUP(AC178, Z!$A$2:$C$4127, 3, FALSE))</f>
        <v/>
      </c>
      <c r="AE178" s="262"/>
      <c r="AF178" s="263">
        <f t="shared" si="374"/>
        <v>0</v>
      </c>
      <c r="AG178" s="238"/>
      <c r="AH178" s="229">
        <f t="shared" si="398"/>
        <v>1</v>
      </c>
      <c r="AI178" s="229">
        <f t="shared" si="399"/>
        <v>1</v>
      </c>
      <c r="AJ178" s="229">
        <f t="shared" si="400"/>
        <v>0</v>
      </c>
      <c r="AK178" s="229">
        <v>0</v>
      </c>
      <c r="AL178" s="229">
        <v>0</v>
      </c>
      <c r="AM178" s="229">
        <v>1</v>
      </c>
      <c r="AN178" s="229">
        <v>0</v>
      </c>
      <c r="AO178" s="229">
        <f t="shared" si="375"/>
        <v>-100</v>
      </c>
      <c r="AP178" s="238"/>
      <c r="AQ178" s="255"/>
      <c r="AR178" s="255"/>
      <c r="AS178" s="256"/>
      <c r="AT178" s="256"/>
      <c r="AU178" s="256"/>
      <c r="AV178" s="256"/>
      <c r="AW178" s="256"/>
      <c r="AX178" s="256"/>
      <c r="AY178" s="256"/>
      <c r="AZ178" s="256"/>
      <c r="BA178" s="256"/>
      <c r="BB178" s="256"/>
      <c r="BC178" s="256"/>
      <c r="BD178" s="238"/>
      <c r="BE178" s="229" cm="1">
        <f t="array" ref="BE178">IF(ISBLANK(R178), INDEX(Use, $AH178, 4) - AM178*INDEX(Use, $AH178, 6), R178)</f>
        <v>5</v>
      </c>
      <c r="BF178" s="229">
        <f t="shared" si="376"/>
        <v>30</v>
      </c>
      <c r="BG178" s="229">
        <f t="shared" si="241"/>
        <v>13</v>
      </c>
      <c r="BH178" s="229">
        <f t="shared" si="242"/>
        <v>0</v>
      </c>
      <c r="BI178" s="234" cm="1">
        <f t="array" ref="BI178">K178/IF($L178&gt;0, INDEX($AU$23:$BA$77, $L178+20, $AH178), 1)</f>
        <v>0</v>
      </c>
      <c r="BJ178" s="230">
        <f t="shared" si="377"/>
        <v>0</v>
      </c>
      <c r="BK178" s="229">
        <v>35</v>
      </c>
      <c r="BL178" s="230">
        <f t="shared" si="378"/>
        <v>48</v>
      </c>
      <c r="BM178" s="235">
        <f t="shared" si="379"/>
        <v>2.9108720930232557</v>
      </c>
      <c r="BN178" s="235" cm="1">
        <f t="array" ref="BN178">$BI178 * SUMPRODUCT(INDEX($AR$77:$AT$82,,$AI178),INDEX($AU$77:$BA$82,,$AH178), N($AQ$77:$AQ$82&gt;$AO178)) / BM178 / 1000</f>
        <v>0</v>
      </c>
      <c r="BO178" s="232">
        <f t="shared" si="246"/>
        <v>30</v>
      </c>
      <c r="BP178" s="230">
        <f t="shared" si="380"/>
        <v>43</v>
      </c>
      <c r="BQ178" s="235">
        <f t="shared" si="381"/>
        <v>3.2938815789473681</v>
      </c>
      <c r="BR178" s="235" cm="1">
        <f t="array" ref="BR178">$BI178 * IF($AH178&lt;=2,
SUMPRODUCT(INDEX($AR$72:$AT$76,,$AI178), INDEX($AU$72:$BA$76,,$AH178), 1 / ($BB$72:$BB$76*BQ178 + (1-$BB$72:$BB$76)*BM178), N($AQ$72:$AQ$76&gt;$AO178)),
SUMPRODUCT(INDEX($AR$67:$AT$76,,$AI178), INDEX($AU$67:$BA$76,,$AH178), 1 / ($BC$67:$BC$76*BQ178 + (1-$BC$67:$BC$76)*BM178), N($AQ$67:$AQ$76&gt;$AO178))
) / 1000</f>
        <v>0</v>
      </c>
      <c r="BS178" s="232">
        <f t="shared" si="249"/>
        <v>25</v>
      </c>
      <c r="BT178" s="230">
        <f t="shared" si="382"/>
        <v>38</v>
      </c>
      <c r="BU178" s="235">
        <f t="shared" si="383"/>
        <v>3.792954545454545</v>
      </c>
      <c r="BV178" s="235" cm="1">
        <f t="array" ref="BV178">$BI178 * IF($AH178&lt;=2,
SUMPRODUCT(INDEX($AR$67:$AT$71,,$AI178), INDEX($AU$67:$BA$71,,$AH178), 1 / ($BB$67:$BB$71*BU178 + (1-$BB$67:$BB$71)*BQ178), N($AQ$67:$AQ$71&gt;$AO178)),
SUMPRODUCT(INDEX($AR$57:$AT$66,,$AI178), INDEX($AU$57:$BA$66,,$AH178), 1 / ($BC$57:$BC$66*BU178 + (1-$BC$57:$BC$66)*BQ178), N($AQ$57:$AQ$66&gt;$AO178))
) / 1000</f>
        <v>0</v>
      </c>
      <c r="BW178" s="232">
        <f t="shared" si="252"/>
        <v>20</v>
      </c>
      <c r="BX178" s="230">
        <f t="shared" si="384"/>
        <v>33</v>
      </c>
      <c r="BY178" s="235">
        <f t="shared" si="385"/>
        <v>4.4702678571428569</v>
      </c>
      <c r="BZ178" s="235" cm="1">
        <f t="array" ref="BZ178">$BI178 * IF($AH178&lt;=2,
SUMPRODUCT(INDEX($AR$62:$AT$66,,$AI178), INDEX($AU$62:$BA$66,,$AH178), 1 / ($BB$62:$BB$66*BY178 + (1-$BB$62:$BB$66)*BU178), N($AQ$62:$AQ$66&gt;$AO178)),
SUMPRODUCT(INDEX($AR$47:$AT$56,,$AI178), INDEX($AU$47:$BA$56,,$AH178), 1 / ($BC$47:$BC$56*BY178 + (1-$BC$47:$BC$56)*BU178), N($AQ$47:$AQ$56&gt;$AO178))
) / 1000</f>
        <v>0</v>
      </c>
      <c r="CA178" s="235" cm="1">
        <f t="array" ref="CA178">$BI178 * IF($AH178&lt;=2,
SUMPRODUCT(INDEX($AR$23:$AT$61,,$AI178), INDEX($AU$23:$BA$61,,$AH178), 1 / ($BB$23:$BB$61*BY178), N($AQ$23:$AQ$61&gt;$AO178)),
SUMPRODUCT(INDEX($AR$23:$AT$46,,$AI178), INDEX($AU$23:$BA$46,,$AH178), 1 / ($BC$23:$BC$46*BY178), N($AQ$23:$AQ$46&gt;$AO178))
) / 1000</f>
        <v>0</v>
      </c>
      <c r="CB178" s="230">
        <f t="shared" si="386"/>
        <v>0</v>
      </c>
      <c r="CC178" s="238"/>
      <c r="CD178" s="229" cm="1">
        <f t="array" ref="CD178">IF(ISBLANK(Y178), INDEX(Use, $AH178, 4) - AN178*INDEX(Use, $AH178, 6) - (Q178-X178), Y178)</f>
        <v>7</v>
      </c>
      <c r="CE178" s="229">
        <f t="shared" si="387"/>
        <v>32</v>
      </c>
      <c r="CF178" s="230">
        <f t="shared" si="388"/>
        <v>0</v>
      </c>
      <c r="CG178" s="229">
        <v>35</v>
      </c>
      <c r="CH178" s="230">
        <f t="shared" si="389"/>
        <v>48</v>
      </c>
      <c r="CI178" s="235">
        <f t="shared" si="390"/>
        <v>3.0748170731707316</v>
      </c>
      <c r="CJ178" s="235" cm="1">
        <f t="array" ref="CJ178">$BI178 * SUMPRODUCT(INDEX($AR$77:$AT$82,,$AI178),INDEX($AU$77:$BA$82,,$AH178), N($AQ$77:$AQ$82&gt;$AO178)) / CI178 / 1000</f>
        <v>0</v>
      </c>
      <c r="CK178" s="232">
        <f t="shared" si="260"/>
        <v>30</v>
      </c>
      <c r="CL178" s="230">
        <f t="shared" si="391"/>
        <v>43</v>
      </c>
      <c r="CM178" s="235">
        <f t="shared" si="392"/>
        <v>3.5018750000000001</v>
      </c>
      <c r="CN178" s="235" cm="1">
        <f t="array" ref="CN178">$BI178 * IF($AH178&lt;=2,
SUMPRODUCT(INDEX($AR$72:$AT$76,,$AI178), INDEX($AU$72:$BA$76,,$AH178), 1 / ($BB$72:$BB$76*CM178 + (1-$BB$72:$BB$76)*CI178), N($AQ$72:$AQ$76&gt;$AO178)),
SUMPRODUCT(INDEX($AR$67:$AT$76,,$AI178), INDEX($AU$67:$BA$76,,$AH178), 1 / ($BC$67:$BC$76*CM178 + (1-$BC$67:$BC$76)*CI178), N($AQ$67:$AQ$76&gt;$AO178))
) / 1000</f>
        <v>0</v>
      </c>
      <c r="CO178" s="232">
        <f t="shared" si="263"/>
        <v>25</v>
      </c>
      <c r="CP178" s="230">
        <f t="shared" si="393"/>
        <v>38</v>
      </c>
      <c r="CQ178" s="235">
        <f t="shared" si="394"/>
        <v>4.0666935483870965</v>
      </c>
      <c r="CR178" s="235" cm="1">
        <f t="array" ref="CR178">$BI178 * IF($AH178&lt;=2,
SUMPRODUCT(INDEX($AR$67:$AT$71,,$AI178), INDEX($AU$67:$BA$71,,$AH178), 1 / ($BB$67:$BB$71*CQ178 + (1-$BB$67:$BB$71)*CM178), N($AQ$67:$AQ$71&gt;$AO178)),
SUMPRODUCT(INDEX($AR$57:$AT$66,,$AI178), INDEX($AU$57:$BA$66,,$AH178), 1 / ($BC$57:$BC$66*CQ178 + (1-$BC$57:$BC$66)*CM178), N($AQ$57:$AQ$66&gt;$AO178))
) / 1000</f>
        <v>0</v>
      </c>
      <c r="CS178" s="232">
        <f t="shared" si="266"/>
        <v>20</v>
      </c>
      <c r="CT178" s="230">
        <f t="shared" si="395"/>
        <v>33</v>
      </c>
      <c r="CU178" s="235">
        <f t="shared" si="396"/>
        <v>4.8487499999999999</v>
      </c>
      <c r="CV178" s="235" cm="1">
        <f t="array" ref="CV178">$BI178 * IF($AH178&lt;=2,
SUMPRODUCT(INDEX($AR$62:$AT$66,,$AI178), INDEX($AU$62:$BA$66,,$AH178), 1 / ($BB$62:$BB$66*CU178 + (1-$BB$62:$BB$66)*CQ178), N($AQ$62:$AQ$66&gt;$AO178)),
SUMPRODUCT(INDEX($AR$47:$AT$56,,$AI178), INDEX($AU$47:$BA$56,,$AH178), 1 / ($BC$47:$BC$56*CU178 + (1-$BC$47:$BC$56)*CQ178), N($AQ$47:$AQ$56&gt;$AO178))
) / 1000</f>
        <v>0</v>
      </c>
      <c r="CW178" s="235" cm="1">
        <f t="array" ref="CW178">$BI178 * IF($AH178&lt;=2,
SUMPRODUCT(INDEX($AR$23:$AT$61,,$AI178), INDEX($AU$23:$BA$61,,$AH178), 1 / ($BB$23:$BB$61*CU178), N($AQ$23:$AQ$61&gt;$AO178)),
SUMPRODUCT(INDEX($AR$23:$AT$46,,$AI178), INDEX($AU$23:$BA$46,,$AH178), 1 / ($BC$23:$BC$46*CU178), N($AQ$23:$AQ$46&gt;$AO178))
) / 1000</f>
        <v>0</v>
      </c>
      <c r="CX178" s="230">
        <f t="shared" si="397"/>
        <v>0</v>
      </c>
      <c r="CY178" s="238"/>
    </row>
    <row r="179" spans="1:103" s="76" customFormat="1" ht="14.25" customHeight="1" x14ac:dyDescent="0.2">
      <c r="A179" s="231" t="b">
        <f t="shared" si="229"/>
        <v>0</v>
      </c>
      <c r="B179" s="245">
        <v>157</v>
      </c>
      <c r="C179" s="258"/>
      <c r="D179" s="258"/>
      <c r="E179" s="246"/>
      <c r="F179" s="247" t="str">
        <f>IF(ISBLANK(E179), "", VLOOKUP(E179, Z!$A$2:$C$4127, 3, FALSE))</f>
        <v/>
      </c>
      <c r="G179" s="248"/>
      <c r="H179" s="248"/>
      <c r="I179" s="249"/>
      <c r="J179" s="250"/>
      <c r="K179" s="259"/>
      <c r="L179" s="260"/>
      <c r="M179" s="252" t="str" cm="1">
        <f t="array" ref="M179">INDEX(Trad, 53, $A$20)</f>
        <v>Verschmutzt</v>
      </c>
      <c r="N179" s="253"/>
      <c r="O179" s="253"/>
      <c r="P179" s="254"/>
      <c r="Q179" s="251"/>
      <c r="R179" s="251"/>
      <c r="S179" s="264">
        <f t="shared" si="372"/>
        <v>0</v>
      </c>
      <c r="T179" s="252" t="str" cm="1">
        <f t="array" ref="T179">INDEX(Trad, 52, $A$20)</f>
        <v>Sauber</v>
      </c>
      <c r="U179" s="253"/>
      <c r="V179" s="253"/>
      <c r="W179" s="254"/>
      <c r="X179" s="251"/>
      <c r="Y179" s="251"/>
      <c r="Z179" s="264">
        <f t="shared" si="373"/>
        <v>0</v>
      </c>
      <c r="AA179" s="261"/>
      <c r="AB179" s="258"/>
      <c r="AC179" s="246"/>
      <c r="AD179" s="247" t="str">
        <f>IF(ISBLANK(AC179), "", VLOOKUP(AC179, Z!$A$2:$C$4127, 3, FALSE))</f>
        <v/>
      </c>
      <c r="AE179" s="262"/>
      <c r="AF179" s="263">
        <f t="shared" si="374"/>
        <v>0</v>
      </c>
      <c r="AG179" s="238"/>
      <c r="AH179" s="229">
        <f t="shared" si="398"/>
        <v>1</v>
      </c>
      <c r="AI179" s="229">
        <f t="shared" si="399"/>
        <v>1</v>
      </c>
      <c r="AJ179" s="229">
        <f t="shared" si="400"/>
        <v>0</v>
      </c>
      <c r="AK179" s="229">
        <v>0</v>
      </c>
      <c r="AL179" s="229">
        <v>0</v>
      </c>
      <c r="AM179" s="229">
        <v>1</v>
      </c>
      <c r="AN179" s="229">
        <v>0</v>
      </c>
      <c r="AO179" s="229">
        <f t="shared" si="375"/>
        <v>-100</v>
      </c>
      <c r="AP179" s="238"/>
      <c r="AQ179" s="255"/>
      <c r="AR179" s="255"/>
      <c r="AS179" s="256"/>
      <c r="AT179" s="256"/>
      <c r="AU179" s="256"/>
      <c r="AV179" s="256"/>
      <c r="AW179" s="256"/>
      <c r="AX179" s="256"/>
      <c r="AY179" s="256"/>
      <c r="AZ179" s="256"/>
      <c r="BA179" s="256"/>
      <c r="BB179" s="256"/>
      <c r="BC179" s="256"/>
      <c r="BD179" s="238"/>
      <c r="BE179" s="229" cm="1">
        <f t="array" ref="BE179">IF(ISBLANK(R179), INDEX(Use, $AH179, 4) - AM179*INDEX(Use, $AH179, 6), R179)</f>
        <v>5</v>
      </c>
      <c r="BF179" s="229">
        <f t="shared" si="376"/>
        <v>30</v>
      </c>
      <c r="BG179" s="229">
        <f t="shared" si="241"/>
        <v>13</v>
      </c>
      <c r="BH179" s="229">
        <f t="shared" si="242"/>
        <v>0</v>
      </c>
      <c r="BI179" s="234" cm="1">
        <f t="array" ref="BI179">K179/IF($L179&gt;0, INDEX($AU$23:$BA$77, $L179+20, $AH179), 1)</f>
        <v>0</v>
      </c>
      <c r="BJ179" s="230">
        <f t="shared" si="377"/>
        <v>0</v>
      </c>
      <c r="BK179" s="229">
        <v>35</v>
      </c>
      <c r="BL179" s="230">
        <f t="shared" si="378"/>
        <v>48</v>
      </c>
      <c r="BM179" s="235">
        <f t="shared" si="379"/>
        <v>2.9108720930232557</v>
      </c>
      <c r="BN179" s="235" cm="1">
        <f t="array" ref="BN179">$BI179 * SUMPRODUCT(INDEX($AR$77:$AT$82,,$AI179),INDEX($AU$77:$BA$82,,$AH179), N($AQ$77:$AQ$82&gt;$AO179)) / BM179 / 1000</f>
        <v>0</v>
      </c>
      <c r="BO179" s="232">
        <f t="shared" si="246"/>
        <v>30</v>
      </c>
      <c r="BP179" s="230">
        <f t="shared" si="380"/>
        <v>43</v>
      </c>
      <c r="BQ179" s="235">
        <f t="shared" si="381"/>
        <v>3.2938815789473681</v>
      </c>
      <c r="BR179" s="235" cm="1">
        <f t="array" ref="BR179">$BI179 * IF($AH179&lt;=2,
SUMPRODUCT(INDEX($AR$72:$AT$76,,$AI179), INDEX($AU$72:$BA$76,,$AH179), 1 / ($BB$72:$BB$76*BQ179 + (1-$BB$72:$BB$76)*BM179), N($AQ$72:$AQ$76&gt;$AO179)),
SUMPRODUCT(INDEX($AR$67:$AT$76,,$AI179), INDEX($AU$67:$BA$76,,$AH179), 1 / ($BC$67:$BC$76*BQ179 + (1-$BC$67:$BC$76)*BM179), N($AQ$67:$AQ$76&gt;$AO179))
) / 1000</f>
        <v>0</v>
      </c>
      <c r="BS179" s="232">
        <f t="shared" si="249"/>
        <v>25</v>
      </c>
      <c r="BT179" s="230">
        <f t="shared" si="382"/>
        <v>38</v>
      </c>
      <c r="BU179" s="235">
        <f t="shared" si="383"/>
        <v>3.792954545454545</v>
      </c>
      <c r="BV179" s="235" cm="1">
        <f t="array" ref="BV179">$BI179 * IF($AH179&lt;=2,
SUMPRODUCT(INDEX($AR$67:$AT$71,,$AI179), INDEX($AU$67:$BA$71,,$AH179), 1 / ($BB$67:$BB$71*BU179 + (1-$BB$67:$BB$71)*BQ179), N($AQ$67:$AQ$71&gt;$AO179)),
SUMPRODUCT(INDEX($AR$57:$AT$66,,$AI179), INDEX($AU$57:$BA$66,,$AH179), 1 / ($BC$57:$BC$66*BU179 + (1-$BC$57:$BC$66)*BQ179), N($AQ$57:$AQ$66&gt;$AO179))
) / 1000</f>
        <v>0</v>
      </c>
      <c r="BW179" s="232">
        <f t="shared" si="252"/>
        <v>20</v>
      </c>
      <c r="BX179" s="230">
        <f t="shared" si="384"/>
        <v>33</v>
      </c>
      <c r="BY179" s="235">
        <f t="shared" si="385"/>
        <v>4.4702678571428569</v>
      </c>
      <c r="BZ179" s="235" cm="1">
        <f t="array" ref="BZ179">$BI179 * IF($AH179&lt;=2,
SUMPRODUCT(INDEX($AR$62:$AT$66,,$AI179), INDEX($AU$62:$BA$66,,$AH179), 1 / ($BB$62:$BB$66*BY179 + (1-$BB$62:$BB$66)*BU179), N($AQ$62:$AQ$66&gt;$AO179)),
SUMPRODUCT(INDEX($AR$47:$AT$56,,$AI179), INDEX($AU$47:$BA$56,,$AH179), 1 / ($BC$47:$BC$56*BY179 + (1-$BC$47:$BC$56)*BU179), N($AQ$47:$AQ$56&gt;$AO179))
) / 1000</f>
        <v>0</v>
      </c>
      <c r="CA179" s="235" cm="1">
        <f t="array" ref="CA179">$BI179 * IF($AH179&lt;=2,
SUMPRODUCT(INDEX($AR$23:$AT$61,,$AI179), INDEX($AU$23:$BA$61,,$AH179), 1 / ($BB$23:$BB$61*BY179), N($AQ$23:$AQ$61&gt;$AO179)),
SUMPRODUCT(INDEX($AR$23:$AT$46,,$AI179), INDEX($AU$23:$BA$46,,$AH179), 1 / ($BC$23:$BC$46*BY179), N($AQ$23:$AQ$46&gt;$AO179))
) / 1000</f>
        <v>0</v>
      </c>
      <c r="CB179" s="230">
        <f t="shared" si="386"/>
        <v>0</v>
      </c>
      <c r="CC179" s="238"/>
      <c r="CD179" s="229" cm="1">
        <f t="array" ref="CD179">IF(ISBLANK(Y179), INDEX(Use, $AH179, 4) - AN179*INDEX(Use, $AH179, 6) - (Q179-X179), Y179)</f>
        <v>7</v>
      </c>
      <c r="CE179" s="229">
        <f t="shared" si="387"/>
        <v>32</v>
      </c>
      <c r="CF179" s="230">
        <f t="shared" si="388"/>
        <v>0</v>
      </c>
      <c r="CG179" s="229">
        <v>35</v>
      </c>
      <c r="CH179" s="230">
        <f t="shared" si="389"/>
        <v>48</v>
      </c>
      <c r="CI179" s="235">
        <f t="shared" si="390"/>
        <v>3.0748170731707316</v>
      </c>
      <c r="CJ179" s="235" cm="1">
        <f t="array" ref="CJ179">$BI179 * SUMPRODUCT(INDEX($AR$77:$AT$82,,$AI179),INDEX($AU$77:$BA$82,,$AH179), N($AQ$77:$AQ$82&gt;$AO179)) / CI179 / 1000</f>
        <v>0</v>
      </c>
      <c r="CK179" s="232">
        <f t="shared" si="260"/>
        <v>30</v>
      </c>
      <c r="CL179" s="230">
        <f t="shared" si="391"/>
        <v>43</v>
      </c>
      <c r="CM179" s="235">
        <f t="shared" si="392"/>
        <v>3.5018750000000001</v>
      </c>
      <c r="CN179" s="235" cm="1">
        <f t="array" ref="CN179">$BI179 * IF($AH179&lt;=2,
SUMPRODUCT(INDEX($AR$72:$AT$76,,$AI179), INDEX($AU$72:$BA$76,,$AH179), 1 / ($BB$72:$BB$76*CM179 + (1-$BB$72:$BB$76)*CI179), N($AQ$72:$AQ$76&gt;$AO179)),
SUMPRODUCT(INDEX($AR$67:$AT$76,,$AI179), INDEX($AU$67:$BA$76,,$AH179), 1 / ($BC$67:$BC$76*CM179 + (1-$BC$67:$BC$76)*CI179), N($AQ$67:$AQ$76&gt;$AO179))
) / 1000</f>
        <v>0</v>
      </c>
      <c r="CO179" s="232">
        <f t="shared" si="263"/>
        <v>25</v>
      </c>
      <c r="CP179" s="230">
        <f t="shared" si="393"/>
        <v>38</v>
      </c>
      <c r="CQ179" s="235">
        <f t="shared" si="394"/>
        <v>4.0666935483870965</v>
      </c>
      <c r="CR179" s="235" cm="1">
        <f t="array" ref="CR179">$BI179 * IF($AH179&lt;=2,
SUMPRODUCT(INDEX($AR$67:$AT$71,,$AI179), INDEX($AU$67:$BA$71,,$AH179), 1 / ($BB$67:$BB$71*CQ179 + (1-$BB$67:$BB$71)*CM179), N($AQ$67:$AQ$71&gt;$AO179)),
SUMPRODUCT(INDEX($AR$57:$AT$66,,$AI179), INDEX($AU$57:$BA$66,,$AH179), 1 / ($BC$57:$BC$66*CQ179 + (1-$BC$57:$BC$66)*CM179), N($AQ$57:$AQ$66&gt;$AO179))
) / 1000</f>
        <v>0</v>
      </c>
      <c r="CS179" s="232">
        <f t="shared" si="266"/>
        <v>20</v>
      </c>
      <c r="CT179" s="230">
        <f t="shared" si="395"/>
        <v>33</v>
      </c>
      <c r="CU179" s="235">
        <f t="shared" si="396"/>
        <v>4.8487499999999999</v>
      </c>
      <c r="CV179" s="235" cm="1">
        <f t="array" ref="CV179">$BI179 * IF($AH179&lt;=2,
SUMPRODUCT(INDEX($AR$62:$AT$66,,$AI179), INDEX($AU$62:$BA$66,,$AH179), 1 / ($BB$62:$BB$66*CU179 + (1-$BB$62:$BB$66)*CQ179), N($AQ$62:$AQ$66&gt;$AO179)),
SUMPRODUCT(INDEX($AR$47:$AT$56,,$AI179), INDEX($AU$47:$BA$56,,$AH179), 1 / ($BC$47:$BC$56*CU179 + (1-$BC$47:$BC$56)*CQ179), N($AQ$47:$AQ$56&gt;$AO179))
) / 1000</f>
        <v>0</v>
      </c>
      <c r="CW179" s="235" cm="1">
        <f t="array" ref="CW179">$BI179 * IF($AH179&lt;=2,
SUMPRODUCT(INDEX($AR$23:$AT$61,,$AI179), INDEX($AU$23:$BA$61,,$AH179), 1 / ($BB$23:$BB$61*CU179), N($AQ$23:$AQ$61&gt;$AO179)),
SUMPRODUCT(INDEX($AR$23:$AT$46,,$AI179), INDEX($AU$23:$BA$46,,$AH179), 1 / ($BC$23:$BC$46*CU179), N($AQ$23:$AQ$46&gt;$AO179))
) / 1000</f>
        <v>0</v>
      </c>
      <c r="CX179" s="230">
        <f t="shared" si="397"/>
        <v>0</v>
      </c>
      <c r="CY179" s="238"/>
    </row>
    <row r="180" spans="1:103" s="76" customFormat="1" ht="14.25" customHeight="1" x14ac:dyDescent="0.2">
      <c r="A180" s="231" t="b">
        <f t="shared" si="229"/>
        <v>0</v>
      </c>
      <c r="B180" s="245">
        <v>158</v>
      </c>
      <c r="C180" s="258"/>
      <c r="D180" s="258"/>
      <c r="E180" s="246"/>
      <c r="F180" s="247" t="str">
        <f>IF(ISBLANK(E180), "", VLOOKUP(E180, Z!$A$2:$C$4127, 3, FALSE))</f>
        <v/>
      </c>
      <c r="G180" s="248"/>
      <c r="H180" s="248"/>
      <c r="I180" s="249"/>
      <c r="J180" s="250"/>
      <c r="K180" s="259"/>
      <c r="L180" s="260"/>
      <c r="M180" s="252" t="str" cm="1">
        <f t="array" ref="M180">INDEX(Trad, 53, $A$20)</f>
        <v>Verschmutzt</v>
      </c>
      <c r="N180" s="253"/>
      <c r="O180" s="253"/>
      <c r="P180" s="254"/>
      <c r="Q180" s="251"/>
      <c r="R180" s="251"/>
      <c r="S180" s="264">
        <f t="shared" si="372"/>
        <v>0</v>
      </c>
      <c r="T180" s="252" t="str" cm="1">
        <f t="array" ref="T180">INDEX(Trad, 52, $A$20)</f>
        <v>Sauber</v>
      </c>
      <c r="U180" s="253"/>
      <c r="V180" s="253"/>
      <c r="W180" s="254"/>
      <c r="X180" s="251"/>
      <c r="Y180" s="251"/>
      <c r="Z180" s="264">
        <f t="shared" si="373"/>
        <v>0</v>
      </c>
      <c r="AA180" s="261"/>
      <c r="AB180" s="258"/>
      <c r="AC180" s="246"/>
      <c r="AD180" s="247" t="str">
        <f>IF(ISBLANK(AC180), "", VLOOKUP(AC180, Z!$A$2:$C$4127, 3, FALSE))</f>
        <v/>
      </c>
      <c r="AE180" s="262"/>
      <c r="AF180" s="263">
        <f t="shared" si="374"/>
        <v>0</v>
      </c>
      <c r="AG180" s="238"/>
      <c r="AH180" s="229">
        <f t="shared" si="398"/>
        <v>1</v>
      </c>
      <c r="AI180" s="229">
        <f t="shared" si="399"/>
        <v>1</v>
      </c>
      <c r="AJ180" s="229">
        <f t="shared" si="400"/>
        <v>0</v>
      </c>
      <c r="AK180" s="229">
        <v>0</v>
      </c>
      <c r="AL180" s="229">
        <v>0</v>
      </c>
      <c r="AM180" s="229">
        <v>1</v>
      </c>
      <c r="AN180" s="229">
        <v>0</v>
      </c>
      <c r="AO180" s="229">
        <f t="shared" si="375"/>
        <v>-100</v>
      </c>
      <c r="AP180" s="238"/>
      <c r="AQ180" s="255"/>
      <c r="AR180" s="255"/>
      <c r="AS180" s="256"/>
      <c r="AT180" s="256"/>
      <c r="AU180" s="256"/>
      <c r="AV180" s="256"/>
      <c r="AW180" s="256"/>
      <c r="AX180" s="256"/>
      <c r="AY180" s="256"/>
      <c r="AZ180" s="256"/>
      <c r="BA180" s="256"/>
      <c r="BB180" s="256"/>
      <c r="BC180" s="256"/>
      <c r="BD180" s="238"/>
      <c r="BE180" s="229" cm="1">
        <f t="array" ref="BE180">IF(ISBLANK(R180), INDEX(Use, $AH180, 4) - AM180*INDEX(Use, $AH180, 6), R180)</f>
        <v>5</v>
      </c>
      <c r="BF180" s="229">
        <f t="shared" si="376"/>
        <v>30</v>
      </c>
      <c r="BG180" s="229">
        <f t="shared" si="241"/>
        <v>13</v>
      </c>
      <c r="BH180" s="229">
        <f t="shared" si="242"/>
        <v>0</v>
      </c>
      <c r="BI180" s="234" cm="1">
        <f t="array" ref="BI180">K180/IF($L180&gt;0, INDEX($AU$23:$BA$77, $L180+20, $AH180), 1)</f>
        <v>0</v>
      </c>
      <c r="BJ180" s="230">
        <f t="shared" si="377"/>
        <v>0</v>
      </c>
      <c r="BK180" s="229">
        <v>35</v>
      </c>
      <c r="BL180" s="230">
        <f t="shared" si="378"/>
        <v>48</v>
      </c>
      <c r="BM180" s="235">
        <f t="shared" si="379"/>
        <v>2.9108720930232557</v>
      </c>
      <c r="BN180" s="235" cm="1">
        <f t="array" ref="BN180">$BI180 * SUMPRODUCT(INDEX($AR$77:$AT$82,,$AI180),INDEX($AU$77:$BA$82,,$AH180), N($AQ$77:$AQ$82&gt;$AO180)) / BM180 / 1000</f>
        <v>0</v>
      </c>
      <c r="BO180" s="232">
        <f t="shared" si="246"/>
        <v>30</v>
      </c>
      <c r="BP180" s="230">
        <f t="shared" si="380"/>
        <v>43</v>
      </c>
      <c r="BQ180" s="235">
        <f t="shared" si="381"/>
        <v>3.2938815789473681</v>
      </c>
      <c r="BR180" s="235" cm="1">
        <f t="array" ref="BR180">$BI180 * IF($AH180&lt;=2,
SUMPRODUCT(INDEX($AR$72:$AT$76,,$AI180), INDEX($AU$72:$BA$76,,$AH180), 1 / ($BB$72:$BB$76*BQ180 + (1-$BB$72:$BB$76)*BM180), N($AQ$72:$AQ$76&gt;$AO180)),
SUMPRODUCT(INDEX($AR$67:$AT$76,,$AI180), INDEX($AU$67:$BA$76,,$AH180), 1 / ($BC$67:$BC$76*BQ180 + (1-$BC$67:$BC$76)*BM180), N($AQ$67:$AQ$76&gt;$AO180))
) / 1000</f>
        <v>0</v>
      </c>
      <c r="BS180" s="232">
        <f t="shared" si="249"/>
        <v>25</v>
      </c>
      <c r="BT180" s="230">
        <f t="shared" si="382"/>
        <v>38</v>
      </c>
      <c r="BU180" s="235">
        <f t="shared" si="383"/>
        <v>3.792954545454545</v>
      </c>
      <c r="BV180" s="235" cm="1">
        <f t="array" ref="BV180">$BI180 * IF($AH180&lt;=2,
SUMPRODUCT(INDEX($AR$67:$AT$71,,$AI180), INDEX($AU$67:$BA$71,,$AH180), 1 / ($BB$67:$BB$71*BU180 + (1-$BB$67:$BB$71)*BQ180), N($AQ$67:$AQ$71&gt;$AO180)),
SUMPRODUCT(INDEX($AR$57:$AT$66,,$AI180), INDEX($AU$57:$BA$66,,$AH180), 1 / ($BC$57:$BC$66*BU180 + (1-$BC$57:$BC$66)*BQ180), N($AQ$57:$AQ$66&gt;$AO180))
) / 1000</f>
        <v>0</v>
      </c>
      <c r="BW180" s="232">
        <f t="shared" si="252"/>
        <v>20</v>
      </c>
      <c r="BX180" s="230">
        <f t="shared" si="384"/>
        <v>33</v>
      </c>
      <c r="BY180" s="235">
        <f t="shared" si="385"/>
        <v>4.4702678571428569</v>
      </c>
      <c r="BZ180" s="235" cm="1">
        <f t="array" ref="BZ180">$BI180 * IF($AH180&lt;=2,
SUMPRODUCT(INDEX($AR$62:$AT$66,,$AI180), INDEX($AU$62:$BA$66,,$AH180), 1 / ($BB$62:$BB$66*BY180 + (1-$BB$62:$BB$66)*BU180), N($AQ$62:$AQ$66&gt;$AO180)),
SUMPRODUCT(INDEX($AR$47:$AT$56,,$AI180), INDEX($AU$47:$BA$56,,$AH180), 1 / ($BC$47:$BC$56*BY180 + (1-$BC$47:$BC$56)*BU180), N($AQ$47:$AQ$56&gt;$AO180))
) / 1000</f>
        <v>0</v>
      </c>
      <c r="CA180" s="235" cm="1">
        <f t="array" ref="CA180">$BI180 * IF($AH180&lt;=2,
SUMPRODUCT(INDEX($AR$23:$AT$61,,$AI180), INDEX($AU$23:$BA$61,,$AH180), 1 / ($BB$23:$BB$61*BY180), N($AQ$23:$AQ$61&gt;$AO180)),
SUMPRODUCT(INDEX($AR$23:$AT$46,,$AI180), INDEX($AU$23:$BA$46,,$AH180), 1 / ($BC$23:$BC$46*BY180), N($AQ$23:$AQ$46&gt;$AO180))
) / 1000</f>
        <v>0</v>
      </c>
      <c r="CB180" s="230">
        <f t="shared" si="386"/>
        <v>0</v>
      </c>
      <c r="CC180" s="238"/>
      <c r="CD180" s="229" cm="1">
        <f t="array" ref="CD180">IF(ISBLANK(Y180), INDEX(Use, $AH180, 4) - AN180*INDEX(Use, $AH180, 6) - (Q180-X180), Y180)</f>
        <v>7</v>
      </c>
      <c r="CE180" s="229">
        <f t="shared" si="387"/>
        <v>32</v>
      </c>
      <c r="CF180" s="230">
        <f t="shared" si="388"/>
        <v>0</v>
      </c>
      <c r="CG180" s="229">
        <v>35</v>
      </c>
      <c r="CH180" s="230">
        <f t="shared" si="389"/>
        <v>48</v>
      </c>
      <c r="CI180" s="235">
        <f t="shared" si="390"/>
        <v>3.0748170731707316</v>
      </c>
      <c r="CJ180" s="235" cm="1">
        <f t="array" ref="CJ180">$BI180 * SUMPRODUCT(INDEX($AR$77:$AT$82,,$AI180),INDEX($AU$77:$BA$82,,$AH180), N($AQ$77:$AQ$82&gt;$AO180)) / CI180 / 1000</f>
        <v>0</v>
      </c>
      <c r="CK180" s="232">
        <f t="shared" si="260"/>
        <v>30</v>
      </c>
      <c r="CL180" s="230">
        <f t="shared" si="391"/>
        <v>43</v>
      </c>
      <c r="CM180" s="235">
        <f t="shared" si="392"/>
        <v>3.5018750000000001</v>
      </c>
      <c r="CN180" s="235" cm="1">
        <f t="array" ref="CN180">$BI180 * IF($AH180&lt;=2,
SUMPRODUCT(INDEX($AR$72:$AT$76,,$AI180), INDEX($AU$72:$BA$76,,$AH180), 1 / ($BB$72:$BB$76*CM180 + (1-$BB$72:$BB$76)*CI180), N($AQ$72:$AQ$76&gt;$AO180)),
SUMPRODUCT(INDEX($AR$67:$AT$76,,$AI180), INDEX($AU$67:$BA$76,,$AH180), 1 / ($BC$67:$BC$76*CM180 + (1-$BC$67:$BC$76)*CI180), N($AQ$67:$AQ$76&gt;$AO180))
) / 1000</f>
        <v>0</v>
      </c>
      <c r="CO180" s="232">
        <f t="shared" si="263"/>
        <v>25</v>
      </c>
      <c r="CP180" s="230">
        <f t="shared" si="393"/>
        <v>38</v>
      </c>
      <c r="CQ180" s="235">
        <f t="shared" si="394"/>
        <v>4.0666935483870965</v>
      </c>
      <c r="CR180" s="235" cm="1">
        <f t="array" ref="CR180">$BI180 * IF($AH180&lt;=2,
SUMPRODUCT(INDEX($AR$67:$AT$71,,$AI180), INDEX($AU$67:$BA$71,,$AH180), 1 / ($BB$67:$BB$71*CQ180 + (1-$BB$67:$BB$71)*CM180), N($AQ$67:$AQ$71&gt;$AO180)),
SUMPRODUCT(INDEX($AR$57:$AT$66,,$AI180), INDEX($AU$57:$BA$66,,$AH180), 1 / ($BC$57:$BC$66*CQ180 + (1-$BC$57:$BC$66)*CM180), N($AQ$57:$AQ$66&gt;$AO180))
) / 1000</f>
        <v>0</v>
      </c>
      <c r="CS180" s="232">
        <f t="shared" si="266"/>
        <v>20</v>
      </c>
      <c r="CT180" s="230">
        <f t="shared" si="395"/>
        <v>33</v>
      </c>
      <c r="CU180" s="235">
        <f t="shared" si="396"/>
        <v>4.8487499999999999</v>
      </c>
      <c r="CV180" s="235" cm="1">
        <f t="array" ref="CV180">$BI180 * IF($AH180&lt;=2,
SUMPRODUCT(INDEX($AR$62:$AT$66,,$AI180), INDEX($AU$62:$BA$66,,$AH180), 1 / ($BB$62:$BB$66*CU180 + (1-$BB$62:$BB$66)*CQ180), N($AQ$62:$AQ$66&gt;$AO180)),
SUMPRODUCT(INDEX($AR$47:$AT$56,,$AI180), INDEX($AU$47:$BA$56,,$AH180), 1 / ($BC$47:$BC$56*CU180 + (1-$BC$47:$BC$56)*CQ180), N($AQ$47:$AQ$56&gt;$AO180))
) / 1000</f>
        <v>0</v>
      </c>
      <c r="CW180" s="235" cm="1">
        <f t="array" ref="CW180">$BI180 * IF($AH180&lt;=2,
SUMPRODUCT(INDEX($AR$23:$AT$61,,$AI180), INDEX($AU$23:$BA$61,,$AH180), 1 / ($BB$23:$BB$61*CU180), N($AQ$23:$AQ$61&gt;$AO180)),
SUMPRODUCT(INDEX($AR$23:$AT$46,,$AI180), INDEX($AU$23:$BA$46,,$AH180), 1 / ($BC$23:$BC$46*CU180), N($AQ$23:$AQ$46&gt;$AO180))
) / 1000</f>
        <v>0</v>
      </c>
      <c r="CX180" s="230">
        <f t="shared" si="397"/>
        <v>0</v>
      </c>
      <c r="CY180" s="238"/>
    </row>
    <row r="181" spans="1:103" s="76" customFormat="1" ht="14.25" customHeight="1" x14ac:dyDescent="0.2">
      <c r="A181" s="231" t="b">
        <f t="shared" si="229"/>
        <v>0</v>
      </c>
      <c r="B181" s="245">
        <v>159</v>
      </c>
      <c r="C181" s="258"/>
      <c r="D181" s="258"/>
      <c r="E181" s="246"/>
      <c r="F181" s="247" t="str">
        <f>IF(ISBLANK(E181), "", VLOOKUP(E181, Z!$A$2:$C$4127, 3, FALSE))</f>
        <v/>
      </c>
      <c r="G181" s="248"/>
      <c r="H181" s="248"/>
      <c r="I181" s="249"/>
      <c r="J181" s="250"/>
      <c r="K181" s="259"/>
      <c r="L181" s="260"/>
      <c r="M181" s="252" t="str" cm="1">
        <f t="array" ref="M181">INDEX(Trad, 53, $A$20)</f>
        <v>Verschmutzt</v>
      </c>
      <c r="N181" s="253"/>
      <c r="O181" s="253"/>
      <c r="P181" s="254"/>
      <c r="Q181" s="251"/>
      <c r="R181" s="251"/>
      <c r="S181" s="264">
        <f t="shared" si="372"/>
        <v>0</v>
      </c>
      <c r="T181" s="252" t="str" cm="1">
        <f t="array" ref="T181">INDEX(Trad, 52, $A$20)</f>
        <v>Sauber</v>
      </c>
      <c r="U181" s="253"/>
      <c r="V181" s="253"/>
      <c r="W181" s="254"/>
      <c r="X181" s="251"/>
      <c r="Y181" s="251"/>
      <c r="Z181" s="264">
        <f t="shared" si="373"/>
        <v>0</v>
      </c>
      <c r="AA181" s="261"/>
      <c r="AB181" s="258"/>
      <c r="AC181" s="246"/>
      <c r="AD181" s="247" t="str">
        <f>IF(ISBLANK(AC181), "", VLOOKUP(AC181, Z!$A$2:$C$4127, 3, FALSE))</f>
        <v/>
      </c>
      <c r="AE181" s="262"/>
      <c r="AF181" s="263">
        <f t="shared" si="374"/>
        <v>0</v>
      </c>
      <c r="AG181" s="238"/>
      <c r="AH181" s="229">
        <f t="shared" si="398"/>
        <v>1</v>
      </c>
      <c r="AI181" s="229">
        <f t="shared" si="399"/>
        <v>1</v>
      </c>
      <c r="AJ181" s="229">
        <f t="shared" si="400"/>
        <v>0</v>
      </c>
      <c r="AK181" s="229">
        <v>0</v>
      </c>
      <c r="AL181" s="229">
        <v>0</v>
      </c>
      <c r="AM181" s="229">
        <v>1</v>
      </c>
      <c r="AN181" s="229">
        <v>0</v>
      </c>
      <c r="AO181" s="229">
        <f t="shared" si="375"/>
        <v>-100</v>
      </c>
      <c r="AP181" s="238"/>
      <c r="AQ181" s="255"/>
      <c r="AR181" s="255"/>
      <c r="AS181" s="256"/>
      <c r="AT181" s="256"/>
      <c r="AU181" s="256"/>
      <c r="AV181" s="256"/>
      <c r="AW181" s="256"/>
      <c r="AX181" s="256"/>
      <c r="AY181" s="256"/>
      <c r="AZ181" s="256"/>
      <c r="BA181" s="256"/>
      <c r="BB181" s="256"/>
      <c r="BC181" s="256"/>
      <c r="BD181" s="238"/>
      <c r="BE181" s="229" cm="1">
        <f t="array" ref="BE181">IF(ISBLANK(R181), INDEX(Use, $AH181, 4) - AM181*INDEX(Use, $AH181, 6), R181)</f>
        <v>5</v>
      </c>
      <c r="BF181" s="229">
        <f t="shared" si="376"/>
        <v>30</v>
      </c>
      <c r="BG181" s="229">
        <f t="shared" si="241"/>
        <v>13</v>
      </c>
      <c r="BH181" s="229">
        <f t="shared" si="242"/>
        <v>0</v>
      </c>
      <c r="BI181" s="234" cm="1">
        <f t="array" ref="BI181">K181/IF($L181&gt;0, INDEX($AU$23:$BA$77, $L181+20, $AH181), 1)</f>
        <v>0</v>
      </c>
      <c r="BJ181" s="230">
        <f t="shared" si="377"/>
        <v>0</v>
      </c>
      <c r="BK181" s="229">
        <v>35</v>
      </c>
      <c r="BL181" s="230">
        <f t="shared" si="378"/>
        <v>48</v>
      </c>
      <c r="BM181" s="235">
        <f t="shared" si="379"/>
        <v>2.9108720930232557</v>
      </c>
      <c r="BN181" s="235" cm="1">
        <f t="array" ref="BN181">$BI181 * SUMPRODUCT(INDEX($AR$77:$AT$82,,$AI181),INDEX($AU$77:$BA$82,,$AH181), N($AQ$77:$AQ$82&gt;$AO181)) / BM181 / 1000</f>
        <v>0</v>
      </c>
      <c r="BO181" s="232">
        <f t="shared" si="246"/>
        <v>30</v>
      </c>
      <c r="BP181" s="230">
        <f t="shared" si="380"/>
        <v>43</v>
      </c>
      <c r="BQ181" s="235">
        <f t="shared" si="381"/>
        <v>3.2938815789473681</v>
      </c>
      <c r="BR181" s="235" cm="1">
        <f t="array" ref="BR181">$BI181 * IF($AH181&lt;=2,
SUMPRODUCT(INDEX($AR$72:$AT$76,,$AI181), INDEX($AU$72:$BA$76,,$AH181), 1 / ($BB$72:$BB$76*BQ181 + (1-$BB$72:$BB$76)*BM181), N($AQ$72:$AQ$76&gt;$AO181)),
SUMPRODUCT(INDEX($AR$67:$AT$76,,$AI181), INDEX($AU$67:$BA$76,,$AH181), 1 / ($BC$67:$BC$76*BQ181 + (1-$BC$67:$BC$76)*BM181), N($AQ$67:$AQ$76&gt;$AO181))
) / 1000</f>
        <v>0</v>
      </c>
      <c r="BS181" s="232">
        <f t="shared" si="249"/>
        <v>25</v>
      </c>
      <c r="BT181" s="230">
        <f t="shared" si="382"/>
        <v>38</v>
      </c>
      <c r="BU181" s="235">
        <f t="shared" si="383"/>
        <v>3.792954545454545</v>
      </c>
      <c r="BV181" s="235" cm="1">
        <f t="array" ref="BV181">$BI181 * IF($AH181&lt;=2,
SUMPRODUCT(INDEX($AR$67:$AT$71,,$AI181), INDEX($AU$67:$BA$71,,$AH181), 1 / ($BB$67:$BB$71*BU181 + (1-$BB$67:$BB$71)*BQ181), N($AQ$67:$AQ$71&gt;$AO181)),
SUMPRODUCT(INDEX($AR$57:$AT$66,,$AI181), INDEX($AU$57:$BA$66,,$AH181), 1 / ($BC$57:$BC$66*BU181 + (1-$BC$57:$BC$66)*BQ181), N($AQ$57:$AQ$66&gt;$AO181))
) / 1000</f>
        <v>0</v>
      </c>
      <c r="BW181" s="232">
        <f t="shared" si="252"/>
        <v>20</v>
      </c>
      <c r="BX181" s="230">
        <f t="shared" si="384"/>
        <v>33</v>
      </c>
      <c r="BY181" s="235">
        <f t="shared" si="385"/>
        <v>4.4702678571428569</v>
      </c>
      <c r="BZ181" s="235" cm="1">
        <f t="array" ref="BZ181">$BI181 * IF($AH181&lt;=2,
SUMPRODUCT(INDEX($AR$62:$AT$66,,$AI181), INDEX($AU$62:$BA$66,,$AH181), 1 / ($BB$62:$BB$66*BY181 + (1-$BB$62:$BB$66)*BU181), N($AQ$62:$AQ$66&gt;$AO181)),
SUMPRODUCT(INDEX($AR$47:$AT$56,,$AI181), INDEX($AU$47:$BA$56,,$AH181), 1 / ($BC$47:$BC$56*BY181 + (1-$BC$47:$BC$56)*BU181), N($AQ$47:$AQ$56&gt;$AO181))
) / 1000</f>
        <v>0</v>
      </c>
      <c r="CA181" s="235" cm="1">
        <f t="array" ref="CA181">$BI181 * IF($AH181&lt;=2,
SUMPRODUCT(INDEX($AR$23:$AT$61,,$AI181), INDEX($AU$23:$BA$61,,$AH181), 1 / ($BB$23:$BB$61*BY181), N($AQ$23:$AQ$61&gt;$AO181)),
SUMPRODUCT(INDEX($AR$23:$AT$46,,$AI181), INDEX($AU$23:$BA$46,,$AH181), 1 / ($BC$23:$BC$46*BY181), N($AQ$23:$AQ$46&gt;$AO181))
) / 1000</f>
        <v>0</v>
      </c>
      <c r="CB181" s="230">
        <f t="shared" si="386"/>
        <v>0</v>
      </c>
      <c r="CC181" s="238"/>
      <c r="CD181" s="229" cm="1">
        <f t="array" ref="CD181">IF(ISBLANK(Y181), INDEX(Use, $AH181, 4) - AN181*INDEX(Use, $AH181, 6) - (Q181-X181), Y181)</f>
        <v>7</v>
      </c>
      <c r="CE181" s="229">
        <f t="shared" si="387"/>
        <v>32</v>
      </c>
      <c r="CF181" s="230">
        <f t="shared" si="388"/>
        <v>0</v>
      </c>
      <c r="CG181" s="229">
        <v>35</v>
      </c>
      <c r="CH181" s="230">
        <f t="shared" si="389"/>
        <v>48</v>
      </c>
      <c r="CI181" s="235">
        <f t="shared" si="390"/>
        <v>3.0748170731707316</v>
      </c>
      <c r="CJ181" s="235" cm="1">
        <f t="array" ref="CJ181">$BI181 * SUMPRODUCT(INDEX($AR$77:$AT$82,,$AI181),INDEX($AU$77:$BA$82,,$AH181), N($AQ$77:$AQ$82&gt;$AO181)) / CI181 / 1000</f>
        <v>0</v>
      </c>
      <c r="CK181" s="232">
        <f t="shared" si="260"/>
        <v>30</v>
      </c>
      <c r="CL181" s="230">
        <f t="shared" si="391"/>
        <v>43</v>
      </c>
      <c r="CM181" s="235">
        <f t="shared" si="392"/>
        <v>3.5018750000000001</v>
      </c>
      <c r="CN181" s="235" cm="1">
        <f t="array" ref="CN181">$BI181 * IF($AH181&lt;=2,
SUMPRODUCT(INDEX($AR$72:$AT$76,,$AI181), INDEX($AU$72:$BA$76,,$AH181), 1 / ($BB$72:$BB$76*CM181 + (1-$BB$72:$BB$76)*CI181), N($AQ$72:$AQ$76&gt;$AO181)),
SUMPRODUCT(INDEX($AR$67:$AT$76,,$AI181), INDEX($AU$67:$BA$76,,$AH181), 1 / ($BC$67:$BC$76*CM181 + (1-$BC$67:$BC$76)*CI181), N($AQ$67:$AQ$76&gt;$AO181))
) / 1000</f>
        <v>0</v>
      </c>
      <c r="CO181" s="232">
        <f t="shared" si="263"/>
        <v>25</v>
      </c>
      <c r="CP181" s="230">
        <f t="shared" si="393"/>
        <v>38</v>
      </c>
      <c r="CQ181" s="235">
        <f t="shared" si="394"/>
        <v>4.0666935483870965</v>
      </c>
      <c r="CR181" s="235" cm="1">
        <f t="array" ref="CR181">$BI181 * IF($AH181&lt;=2,
SUMPRODUCT(INDEX($AR$67:$AT$71,,$AI181), INDEX($AU$67:$BA$71,,$AH181), 1 / ($BB$67:$BB$71*CQ181 + (1-$BB$67:$BB$71)*CM181), N($AQ$67:$AQ$71&gt;$AO181)),
SUMPRODUCT(INDEX($AR$57:$AT$66,,$AI181), INDEX($AU$57:$BA$66,,$AH181), 1 / ($BC$57:$BC$66*CQ181 + (1-$BC$57:$BC$66)*CM181), N($AQ$57:$AQ$66&gt;$AO181))
) / 1000</f>
        <v>0</v>
      </c>
      <c r="CS181" s="232">
        <f t="shared" si="266"/>
        <v>20</v>
      </c>
      <c r="CT181" s="230">
        <f t="shared" si="395"/>
        <v>33</v>
      </c>
      <c r="CU181" s="235">
        <f t="shared" si="396"/>
        <v>4.8487499999999999</v>
      </c>
      <c r="CV181" s="235" cm="1">
        <f t="array" ref="CV181">$BI181 * IF($AH181&lt;=2,
SUMPRODUCT(INDEX($AR$62:$AT$66,,$AI181), INDEX($AU$62:$BA$66,,$AH181), 1 / ($BB$62:$BB$66*CU181 + (1-$BB$62:$BB$66)*CQ181), N($AQ$62:$AQ$66&gt;$AO181)),
SUMPRODUCT(INDEX($AR$47:$AT$56,,$AI181), INDEX($AU$47:$BA$56,,$AH181), 1 / ($BC$47:$BC$56*CU181 + (1-$BC$47:$BC$56)*CQ181), N($AQ$47:$AQ$56&gt;$AO181))
) / 1000</f>
        <v>0</v>
      </c>
      <c r="CW181" s="235" cm="1">
        <f t="array" ref="CW181">$BI181 * IF($AH181&lt;=2,
SUMPRODUCT(INDEX($AR$23:$AT$61,,$AI181), INDEX($AU$23:$BA$61,,$AH181), 1 / ($BB$23:$BB$61*CU181), N($AQ$23:$AQ$61&gt;$AO181)),
SUMPRODUCT(INDEX($AR$23:$AT$46,,$AI181), INDEX($AU$23:$BA$46,,$AH181), 1 / ($BC$23:$BC$46*CU181), N($AQ$23:$AQ$46&gt;$AO181))
) / 1000</f>
        <v>0</v>
      </c>
      <c r="CX181" s="230">
        <f t="shared" si="397"/>
        <v>0</v>
      </c>
      <c r="CY181" s="238"/>
    </row>
    <row r="182" spans="1:103" s="76" customFormat="1" ht="14.25" customHeight="1" x14ac:dyDescent="0.2">
      <c r="A182" s="231" t="b">
        <f t="shared" si="229"/>
        <v>0</v>
      </c>
      <c r="B182" s="245">
        <v>160</v>
      </c>
      <c r="C182" s="258"/>
      <c r="D182" s="258"/>
      <c r="E182" s="246"/>
      <c r="F182" s="247" t="str">
        <f>IF(ISBLANK(E182), "", VLOOKUP(E182, Z!$A$2:$C$4127, 3, FALSE))</f>
        <v/>
      </c>
      <c r="G182" s="248"/>
      <c r="H182" s="248"/>
      <c r="I182" s="249"/>
      <c r="J182" s="250"/>
      <c r="K182" s="259"/>
      <c r="L182" s="260"/>
      <c r="M182" s="252" t="str" cm="1">
        <f t="array" ref="M182">INDEX(Trad, 53, $A$20)</f>
        <v>Verschmutzt</v>
      </c>
      <c r="N182" s="253"/>
      <c r="O182" s="253"/>
      <c r="P182" s="254"/>
      <c r="Q182" s="251"/>
      <c r="R182" s="251"/>
      <c r="S182" s="264">
        <f t="shared" si="372"/>
        <v>0</v>
      </c>
      <c r="T182" s="252" t="str" cm="1">
        <f t="array" ref="T182">INDEX(Trad, 52, $A$20)</f>
        <v>Sauber</v>
      </c>
      <c r="U182" s="253"/>
      <c r="V182" s="253"/>
      <c r="W182" s="254"/>
      <c r="X182" s="251"/>
      <c r="Y182" s="251"/>
      <c r="Z182" s="264">
        <f t="shared" si="373"/>
        <v>0</v>
      </c>
      <c r="AA182" s="261"/>
      <c r="AB182" s="258"/>
      <c r="AC182" s="246"/>
      <c r="AD182" s="247" t="str">
        <f>IF(ISBLANK(AC182), "", VLOOKUP(AC182, Z!$A$2:$C$4127, 3, FALSE))</f>
        <v/>
      </c>
      <c r="AE182" s="262"/>
      <c r="AF182" s="263">
        <f t="shared" si="374"/>
        <v>0</v>
      </c>
      <c r="AG182" s="238"/>
      <c r="AH182" s="229">
        <f t="shared" si="398"/>
        <v>1</v>
      </c>
      <c r="AI182" s="229">
        <f t="shared" si="399"/>
        <v>1</v>
      </c>
      <c r="AJ182" s="229">
        <f t="shared" si="400"/>
        <v>0</v>
      </c>
      <c r="AK182" s="229">
        <v>0</v>
      </c>
      <c r="AL182" s="229">
        <v>0</v>
      </c>
      <c r="AM182" s="229">
        <v>1</v>
      </c>
      <c r="AN182" s="229">
        <v>0</v>
      </c>
      <c r="AO182" s="229">
        <f t="shared" si="375"/>
        <v>-100</v>
      </c>
      <c r="AP182" s="238"/>
      <c r="AQ182" s="255"/>
      <c r="AR182" s="255"/>
      <c r="AS182" s="256"/>
      <c r="AT182" s="256"/>
      <c r="AU182" s="256"/>
      <c r="AV182" s="256"/>
      <c r="AW182" s="256"/>
      <c r="AX182" s="256"/>
      <c r="AY182" s="256"/>
      <c r="AZ182" s="256"/>
      <c r="BA182" s="256"/>
      <c r="BB182" s="256"/>
      <c r="BC182" s="256"/>
      <c r="BD182" s="238"/>
      <c r="BE182" s="229" cm="1">
        <f t="array" ref="BE182">IF(ISBLANK(R182), INDEX(Use, $AH182, 4) - AM182*INDEX(Use, $AH182, 6), R182)</f>
        <v>5</v>
      </c>
      <c r="BF182" s="229">
        <f t="shared" si="376"/>
        <v>30</v>
      </c>
      <c r="BG182" s="229">
        <f t="shared" si="241"/>
        <v>13</v>
      </c>
      <c r="BH182" s="229">
        <f t="shared" si="242"/>
        <v>0</v>
      </c>
      <c r="BI182" s="234" cm="1">
        <f t="array" ref="BI182">K182/IF($L182&gt;0, INDEX($AU$23:$BA$77, $L182+20, $AH182), 1)</f>
        <v>0</v>
      </c>
      <c r="BJ182" s="230">
        <f t="shared" si="377"/>
        <v>0</v>
      </c>
      <c r="BK182" s="229">
        <v>35</v>
      </c>
      <c r="BL182" s="230">
        <f t="shared" si="378"/>
        <v>48</v>
      </c>
      <c r="BM182" s="235">
        <f t="shared" si="379"/>
        <v>2.9108720930232557</v>
      </c>
      <c r="BN182" s="235" cm="1">
        <f t="array" ref="BN182">$BI182 * SUMPRODUCT(INDEX($AR$77:$AT$82,,$AI182),INDEX($AU$77:$BA$82,,$AH182), N($AQ$77:$AQ$82&gt;$AO182)) / BM182 / 1000</f>
        <v>0</v>
      </c>
      <c r="BO182" s="232">
        <f t="shared" si="246"/>
        <v>30</v>
      </c>
      <c r="BP182" s="230">
        <f t="shared" si="380"/>
        <v>43</v>
      </c>
      <c r="BQ182" s="235">
        <f t="shared" si="381"/>
        <v>3.2938815789473681</v>
      </c>
      <c r="BR182" s="235" cm="1">
        <f t="array" ref="BR182">$BI182 * IF($AH182&lt;=2,
SUMPRODUCT(INDEX($AR$72:$AT$76,,$AI182), INDEX($AU$72:$BA$76,,$AH182), 1 / ($BB$72:$BB$76*BQ182 + (1-$BB$72:$BB$76)*BM182), N($AQ$72:$AQ$76&gt;$AO182)),
SUMPRODUCT(INDEX($AR$67:$AT$76,,$AI182), INDEX($AU$67:$BA$76,,$AH182), 1 / ($BC$67:$BC$76*BQ182 + (1-$BC$67:$BC$76)*BM182), N($AQ$67:$AQ$76&gt;$AO182))
) / 1000</f>
        <v>0</v>
      </c>
      <c r="BS182" s="232">
        <f t="shared" si="249"/>
        <v>25</v>
      </c>
      <c r="BT182" s="230">
        <f t="shared" si="382"/>
        <v>38</v>
      </c>
      <c r="BU182" s="235">
        <f t="shared" si="383"/>
        <v>3.792954545454545</v>
      </c>
      <c r="BV182" s="235" cm="1">
        <f t="array" ref="BV182">$BI182 * IF($AH182&lt;=2,
SUMPRODUCT(INDEX($AR$67:$AT$71,,$AI182), INDEX($AU$67:$BA$71,,$AH182), 1 / ($BB$67:$BB$71*BU182 + (1-$BB$67:$BB$71)*BQ182), N($AQ$67:$AQ$71&gt;$AO182)),
SUMPRODUCT(INDEX($AR$57:$AT$66,,$AI182), INDEX($AU$57:$BA$66,,$AH182), 1 / ($BC$57:$BC$66*BU182 + (1-$BC$57:$BC$66)*BQ182), N($AQ$57:$AQ$66&gt;$AO182))
) / 1000</f>
        <v>0</v>
      </c>
      <c r="BW182" s="232">
        <f t="shared" si="252"/>
        <v>20</v>
      </c>
      <c r="BX182" s="230">
        <f t="shared" si="384"/>
        <v>33</v>
      </c>
      <c r="BY182" s="235">
        <f t="shared" si="385"/>
        <v>4.4702678571428569</v>
      </c>
      <c r="BZ182" s="235" cm="1">
        <f t="array" ref="BZ182">$BI182 * IF($AH182&lt;=2,
SUMPRODUCT(INDEX($AR$62:$AT$66,,$AI182), INDEX($AU$62:$BA$66,,$AH182), 1 / ($BB$62:$BB$66*BY182 + (1-$BB$62:$BB$66)*BU182), N($AQ$62:$AQ$66&gt;$AO182)),
SUMPRODUCT(INDEX($AR$47:$AT$56,,$AI182), INDEX($AU$47:$BA$56,,$AH182), 1 / ($BC$47:$BC$56*BY182 + (1-$BC$47:$BC$56)*BU182), N($AQ$47:$AQ$56&gt;$AO182))
) / 1000</f>
        <v>0</v>
      </c>
      <c r="CA182" s="235" cm="1">
        <f t="array" ref="CA182">$BI182 * IF($AH182&lt;=2,
SUMPRODUCT(INDEX($AR$23:$AT$61,,$AI182), INDEX($AU$23:$BA$61,,$AH182), 1 / ($BB$23:$BB$61*BY182), N($AQ$23:$AQ$61&gt;$AO182)),
SUMPRODUCT(INDEX($AR$23:$AT$46,,$AI182), INDEX($AU$23:$BA$46,,$AH182), 1 / ($BC$23:$BC$46*BY182), N($AQ$23:$AQ$46&gt;$AO182))
) / 1000</f>
        <v>0</v>
      </c>
      <c r="CB182" s="230">
        <f t="shared" si="386"/>
        <v>0</v>
      </c>
      <c r="CC182" s="238"/>
      <c r="CD182" s="229" cm="1">
        <f t="array" ref="CD182">IF(ISBLANK(Y182), INDEX(Use, $AH182, 4) - AN182*INDEX(Use, $AH182, 6) - (Q182-X182), Y182)</f>
        <v>7</v>
      </c>
      <c r="CE182" s="229">
        <f t="shared" si="387"/>
        <v>32</v>
      </c>
      <c r="CF182" s="230">
        <f t="shared" si="388"/>
        <v>0</v>
      </c>
      <c r="CG182" s="229">
        <v>35</v>
      </c>
      <c r="CH182" s="230">
        <f t="shared" si="389"/>
        <v>48</v>
      </c>
      <c r="CI182" s="235">
        <f t="shared" si="390"/>
        <v>3.0748170731707316</v>
      </c>
      <c r="CJ182" s="235" cm="1">
        <f t="array" ref="CJ182">$BI182 * SUMPRODUCT(INDEX($AR$77:$AT$82,,$AI182),INDEX($AU$77:$BA$82,,$AH182), N($AQ$77:$AQ$82&gt;$AO182)) / CI182 / 1000</f>
        <v>0</v>
      </c>
      <c r="CK182" s="232">
        <f t="shared" si="260"/>
        <v>30</v>
      </c>
      <c r="CL182" s="230">
        <f t="shared" si="391"/>
        <v>43</v>
      </c>
      <c r="CM182" s="235">
        <f t="shared" si="392"/>
        <v>3.5018750000000001</v>
      </c>
      <c r="CN182" s="235" cm="1">
        <f t="array" ref="CN182">$BI182 * IF($AH182&lt;=2,
SUMPRODUCT(INDEX($AR$72:$AT$76,,$AI182), INDEX($AU$72:$BA$76,,$AH182), 1 / ($BB$72:$BB$76*CM182 + (1-$BB$72:$BB$76)*CI182), N($AQ$72:$AQ$76&gt;$AO182)),
SUMPRODUCT(INDEX($AR$67:$AT$76,,$AI182), INDEX($AU$67:$BA$76,,$AH182), 1 / ($BC$67:$BC$76*CM182 + (1-$BC$67:$BC$76)*CI182), N($AQ$67:$AQ$76&gt;$AO182))
) / 1000</f>
        <v>0</v>
      </c>
      <c r="CO182" s="232">
        <f t="shared" si="263"/>
        <v>25</v>
      </c>
      <c r="CP182" s="230">
        <f t="shared" si="393"/>
        <v>38</v>
      </c>
      <c r="CQ182" s="235">
        <f t="shared" si="394"/>
        <v>4.0666935483870965</v>
      </c>
      <c r="CR182" s="235" cm="1">
        <f t="array" ref="CR182">$BI182 * IF($AH182&lt;=2,
SUMPRODUCT(INDEX($AR$67:$AT$71,,$AI182), INDEX($AU$67:$BA$71,,$AH182), 1 / ($BB$67:$BB$71*CQ182 + (1-$BB$67:$BB$71)*CM182), N($AQ$67:$AQ$71&gt;$AO182)),
SUMPRODUCT(INDEX($AR$57:$AT$66,,$AI182), INDEX($AU$57:$BA$66,,$AH182), 1 / ($BC$57:$BC$66*CQ182 + (1-$BC$57:$BC$66)*CM182), N($AQ$57:$AQ$66&gt;$AO182))
) / 1000</f>
        <v>0</v>
      </c>
      <c r="CS182" s="232">
        <f t="shared" si="266"/>
        <v>20</v>
      </c>
      <c r="CT182" s="230">
        <f t="shared" si="395"/>
        <v>33</v>
      </c>
      <c r="CU182" s="235">
        <f t="shared" si="396"/>
        <v>4.8487499999999999</v>
      </c>
      <c r="CV182" s="235" cm="1">
        <f t="array" ref="CV182">$BI182 * IF($AH182&lt;=2,
SUMPRODUCT(INDEX($AR$62:$AT$66,,$AI182), INDEX($AU$62:$BA$66,,$AH182), 1 / ($BB$62:$BB$66*CU182 + (1-$BB$62:$BB$66)*CQ182), N($AQ$62:$AQ$66&gt;$AO182)),
SUMPRODUCT(INDEX($AR$47:$AT$56,,$AI182), INDEX($AU$47:$BA$56,,$AH182), 1 / ($BC$47:$BC$56*CU182 + (1-$BC$47:$BC$56)*CQ182), N($AQ$47:$AQ$56&gt;$AO182))
) / 1000</f>
        <v>0</v>
      </c>
      <c r="CW182" s="235" cm="1">
        <f t="array" ref="CW182">$BI182 * IF($AH182&lt;=2,
SUMPRODUCT(INDEX($AR$23:$AT$61,,$AI182), INDEX($AU$23:$BA$61,,$AH182), 1 / ($BB$23:$BB$61*CU182), N($AQ$23:$AQ$61&gt;$AO182)),
SUMPRODUCT(INDEX($AR$23:$AT$46,,$AI182), INDEX($AU$23:$BA$46,,$AH182), 1 / ($BC$23:$BC$46*CU182), N($AQ$23:$AQ$46&gt;$AO182))
) / 1000</f>
        <v>0</v>
      </c>
      <c r="CX182" s="230">
        <f t="shared" si="397"/>
        <v>0</v>
      </c>
      <c r="CY182" s="238"/>
    </row>
    <row r="183" spans="1:103" s="76" customFormat="1" ht="14.25" customHeight="1" x14ac:dyDescent="0.2">
      <c r="A183" s="231" t="b">
        <f t="shared" si="229"/>
        <v>0</v>
      </c>
      <c r="B183" s="245">
        <v>161</v>
      </c>
      <c r="C183" s="258"/>
      <c r="D183" s="258"/>
      <c r="E183" s="246"/>
      <c r="F183" s="247" t="str">
        <f>IF(ISBLANK(E183), "", VLOOKUP(E183, Z!$A$2:$C$4127, 3, FALSE))</f>
        <v/>
      </c>
      <c r="G183" s="248"/>
      <c r="H183" s="248"/>
      <c r="I183" s="249"/>
      <c r="J183" s="250"/>
      <c r="K183" s="259"/>
      <c r="L183" s="260"/>
      <c r="M183" s="252" t="str" cm="1">
        <f t="array" ref="M183">INDEX(Trad, 53, $A$20)</f>
        <v>Verschmutzt</v>
      </c>
      <c r="N183" s="253"/>
      <c r="O183" s="253"/>
      <c r="P183" s="254"/>
      <c r="Q183" s="251"/>
      <c r="R183" s="251"/>
      <c r="S183" s="264">
        <f t="shared" si="372"/>
        <v>0</v>
      </c>
      <c r="T183" s="252" t="str" cm="1">
        <f t="array" ref="T183">INDEX(Trad, 52, $A$20)</f>
        <v>Sauber</v>
      </c>
      <c r="U183" s="253"/>
      <c r="V183" s="253"/>
      <c r="W183" s="254"/>
      <c r="X183" s="251"/>
      <c r="Y183" s="251"/>
      <c r="Z183" s="264">
        <f t="shared" si="373"/>
        <v>0</v>
      </c>
      <c r="AA183" s="261"/>
      <c r="AB183" s="258"/>
      <c r="AC183" s="246"/>
      <c r="AD183" s="247" t="str">
        <f>IF(ISBLANK(AC183), "", VLOOKUP(AC183, Z!$A$2:$C$4127, 3, FALSE))</f>
        <v/>
      </c>
      <c r="AE183" s="262"/>
      <c r="AF183" s="263">
        <f t="shared" si="374"/>
        <v>0</v>
      </c>
      <c r="AG183" s="238"/>
      <c r="AH183" s="229">
        <f t="shared" si="398"/>
        <v>1</v>
      </c>
      <c r="AI183" s="229">
        <f t="shared" si="399"/>
        <v>1</v>
      </c>
      <c r="AJ183" s="229">
        <f t="shared" si="400"/>
        <v>0</v>
      </c>
      <c r="AK183" s="229">
        <v>0</v>
      </c>
      <c r="AL183" s="229">
        <v>0</v>
      </c>
      <c r="AM183" s="229">
        <v>1</v>
      </c>
      <c r="AN183" s="229">
        <v>0</v>
      </c>
      <c r="AO183" s="229">
        <f t="shared" si="375"/>
        <v>-100</v>
      </c>
      <c r="AP183" s="238"/>
      <c r="AQ183" s="255"/>
      <c r="AR183" s="255"/>
      <c r="AS183" s="256"/>
      <c r="AT183" s="256"/>
      <c r="AU183" s="256"/>
      <c r="AV183" s="256"/>
      <c r="AW183" s="256"/>
      <c r="AX183" s="256"/>
      <c r="AY183" s="256"/>
      <c r="AZ183" s="256"/>
      <c r="BA183" s="256"/>
      <c r="BB183" s="256"/>
      <c r="BC183" s="256"/>
      <c r="BD183" s="238"/>
      <c r="BE183" s="229" cm="1">
        <f t="array" ref="BE183">IF(ISBLANK(R183), INDEX(Use, $AH183, 4) - AM183*INDEX(Use, $AH183, 6), R183)</f>
        <v>5</v>
      </c>
      <c r="BF183" s="229">
        <f t="shared" si="376"/>
        <v>30</v>
      </c>
      <c r="BG183" s="229">
        <f t="shared" si="241"/>
        <v>13</v>
      </c>
      <c r="BH183" s="229">
        <f t="shared" si="242"/>
        <v>0</v>
      </c>
      <c r="BI183" s="234" cm="1">
        <f t="array" ref="BI183">K183/IF($L183&gt;0, INDEX($AU$23:$BA$77, $L183+20, $AH183), 1)</f>
        <v>0</v>
      </c>
      <c r="BJ183" s="230">
        <f t="shared" si="377"/>
        <v>0</v>
      </c>
      <c r="BK183" s="229">
        <v>35</v>
      </c>
      <c r="BL183" s="230">
        <f t="shared" si="378"/>
        <v>48</v>
      </c>
      <c r="BM183" s="235">
        <f t="shared" si="379"/>
        <v>2.9108720930232557</v>
      </c>
      <c r="BN183" s="235" cm="1">
        <f t="array" ref="BN183">$BI183 * SUMPRODUCT(INDEX($AR$77:$AT$82,,$AI183),INDEX($AU$77:$BA$82,,$AH183), N($AQ$77:$AQ$82&gt;$AO183)) / BM183 / 1000</f>
        <v>0</v>
      </c>
      <c r="BO183" s="232">
        <f t="shared" si="246"/>
        <v>30</v>
      </c>
      <c r="BP183" s="230">
        <f t="shared" si="380"/>
        <v>43</v>
      </c>
      <c r="BQ183" s="235">
        <f t="shared" si="381"/>
        <v>3.2938815789473681</v>
      </c>
      <c r="BR183" s="235" cm="1">
        <f t="array" ref="BR183">$BI183 * IF($AH183&lt;=2,
SUMPRODUCT(INDEX($AR$72:$AT$76,,$AI183), INDEX($AU$72:$BA$76,,$AH183), 1 / ($BB$72:$BB$76*BQ183 + (1-$BB$72:$BB$76)*BM183), N($AQ$72:$AQ$76&gt;$AO183)),
SUMPRODUCT(INDEX($AR$67:$AT$76,,$AI183), INDEX($AU$67:$BA$76,,$AH183), 1 / ($BC$67:$BC$76*BQ183 + (1-$BC$67:$BC$76)*BM183), N($AQ$67:$AQ$76&gt;$AO183))
) / 1000</f>
        <v>0</v>
      </c>
      <c r="BS183" s="232">
        <f t="shared" si="249"/>
        <v>25</v>
      </c>
      <c r="BT183" s="230">
        <f t="shared" si="382"/>
        <v>38</v>
      </c>
      <c r="BU183" s="235">
        <f t="shared" si="383"/>
        <v>3.792954545454545</v>
      </c>
      <c r="BV183" s="235" cm="1">
        <f t="array" ref="BV183">$BI183 * IF($AH183&lt;=2,
SUMPRODUCT(INDEX($AR$67:$AT$71,,$AI183), INDEX($AU$67:$BA$71,,$AH183), 1 / ($BB$67:$BB$71*BU183 + (1-$BB$67:$BB$71)*BQ183), N($AQ$67:$AQ$71&gt;$AO183)),
SUMPRODUCT(INDEX($AR$57:$AT$66,,$AI183), INDEX($AU$57:$BA$66,,$AH183), 1 / ($BC$57:$BC$66*BU183 + (1-$BC$57:$BC$66)*BQ183), N($AQ$57:$AQ$66&gt;$AO183))
) / 1000</f>
        <v>0</v>
      </c>
      <c r="BW183" s="232">
        <f t="shared" si="252"/>
        <v>20</v>
      </c>
      <c r="BX183" s="230">
        <f t="shared" si="384"/>
        <v>33</v>
      </c>
      <c r="BY183" s="235">
        <f t="shared" si="385"/>
        <v>4.4702678571428569</v>
      </c>
      <c r="BZ183" s="235" cm="1">
        <f t="array" ref="BZ183">$BI183 * IF($AH183&lt;=2,
SUMPRODUCT(INDEX($AR$62:$AT$66,,$AI183), INDEX($AU$62:$BA$66,,$AH183), 1 / ($BB$62:$BB$66*BY183 + (1-$BB$62:$BB$66)*BU183), N($AQ$62:$AQ$66&gt;$AO183)),
SUMPRODUCT(INDEX($AR$47:$AT$56,,$AI183), INDEX($AU$47:$BA$56,,$AH183), 1 / ($BC$47:$BC$56*BY183 + (1-$BC$47:$BC$56)*BU183), N($AQ$47:$AQ$56&gt;$AO183))
) / 1000</f>
        <v>0</v>
      </c>
      <c r="CA183" s="235" cm="1">
        <f t="array" ref="CA183">$BI183 * IF($AH183&lt;=2,
SUMPRODUCT(INDEX($AR$23:$AT$61,,$AI183), INDEX($AU$23:$BA$61,,$AH183), 1 / ($BB$23:$BB$61*BY183), N($AQ$23:$AQ$61&gt;$AO183)),
SUMPRODUCT(INDEX($AR$23:$AT$46,,$AI183), INDEX($AU$23:$BA$46,,$AH183), 1 / ($BC$23:$BC$46*BY183), N($AQ$23:$AQ$46&gt;$AO183))
) / 1000</f>
        <v>0</v>
      </c>
      <c r="CB183" s="230">
        <f t="shared" si="386"/>
        <v>0</v>
      </c>
      <c r="CC183" s="238"/>
      <c r="CD183" s="229" cm="1">
        <f t="array" ref="CD183">IF(ISBLANK(Y183), INDEX(Use, $AH183, 4) - AN183*INDEX(Use, $AH183, 6) - (Q183-X183), Y183)</f>
        <v>7</v>
      </c>
      <c r="CE183" s="229">
        <f t="shared" si="387"/>
        <v>32</v>
      </c>
      <c r="CF183" s="230">
        <f t="shared" si="388"/>
        <v>0</v>
      </c>
      <c r="CG183" s="229">
        <v>35</v>
      </c>
      <c r="CH183" s="230">
        <f t="shared" si="389"/>
        <v>48</v>
      </c>
      <c r="CI183" s="235">
        <f t="shared" si="390"/>
        <v>3.0748170731707316</v>
      </c>
      <c r="CJ183" s="235" cm="1">
        <f t="array" ref="CJ183">$BI183 * SUMPRODUCT(INDEX($AR$77:$AT$82,,$AI183),INDEX($AU$77:$BA$82,,$AH183), N($AQ$77:$AQ$82&gt;$AO183)) / CI183 / 1000</f>
        <v>0</v>
      </c>
      <c r="CK183" s="232">
        <f t="shared" si="260"/>
        <v>30</v>
      </c>
      <c r="CL183" s="230">
        <f t="shared" si="391"/>
        <v>43</v>
      </c>
      <c r="CM183" s="235">
        <f t="shared" si="392"/>
        <v>3.5018750000000001</v>
      </c>
      <c r="CN183" s="235" cm="1">
        <f t="array" ref="CN183">$BI183 * IF($AH183&lt;=2,
SUMPRODUCT(INDEX($AR$72:$AT$76,,$AI183), INDEX($AU$72:$BA$76,,$AH183), 1 / ($BB$72:$BB$76*CM183 + (1-$BB$72:$BB$76)*CI183), N($AQ$72:$AQ$76&gt;$AO183)),
SUMPRODUCT(INDEX($AR$67:$AT$76,,$AI183), INDEX($AU$67:$BA$76,,$AH183), 1 / ($BC$67:$BC$76*CM183 + (1-$BC$67:$BC$76)*CI183), N($AQ$67:$AQ$76&gt;$AO183))
) / 1000</f>
        <v>0</v>
      </c>
      <c r="CO183" s="232">
        <f t="shared" si="263"/>
        <v>25</v>
      </c>
      <c r="CP183" s="230">
        <f t="shared" si="393"/>
        <v>38</v>
      </c>
      <c r="CQ183" s="235">
        <f t="shared" si="394"/>
        <v>4.0666935483870965</v>
      </c>
      <c r="CR183" s="235" cm="1">
        <f t="array" ref="CR183">$BI183 * IF($AH183&lt;=2,
SUMPRODUCT(INDEX($AR$67:$AT$71,,$AI183), INDEX($AU$67:$BA$71,,$AH183), 1 / ($BB$67:$BB$71*CQ183 + (1-$BB$67:$BB$71)*CM183), N($AQ$67:$AQ$71&gt;$AO183)),
SUMPRODUCT(INDEX($AR$57:$AT$66,,$AI183), INDEX($AU$57:$BA$66,,$AH183), 1 / ($BC$57:$BC$66*CQ183 + (1-$BC$57:$BC$66)*CM183), N($AQ$57:$AQ$66&gt;$AO183))
) / 1000</f>
        <v>0</v>
      </c>
      <c r="CS183" s="232">
        <f t="shared" si="266"/>
        <v>20</v>
      </c>
      <c r="CT183" s="230">
        <f t="shared" si="395"/>
        <v>33</v>
      </c>
      <c r="CU183" s="235">
        <f t="shared" si="396"/>
        <v>4.8487499999999999</v>
      </c>
      <c r="CV183" s="235" cm="1">
        <f t="array" ref="CV183">$BI183 * IF($AH183&lt;=2,
SUMPRODUCT(INDEX($AR$62:$AT$66,,$AI183), INDEX($AU$62:$BA$66,,$AH183), 1 / ($BB$62:$BB$66*CU183 + (1-$BB$62:$BB$66)*CQ183), N($AQ$62:$AQ$66&gt;$AO183)),
SUMPRODUCT(INDEX($AR$47:$AT$56,,$AI183), INDEX($AU$47:$BA$56,,$AH183), 1 / ($BC$47:$BC$56*CU183 + (1-$BC$47:$BC$56)*CQ183), N($AQ$47:$AQ$56&gt;$AO183))
) / 1000</f>
        <v>0</v>
      </c>
      <c r="CW183" s="235" cm="1">
        <f t="array" ref="CW183">$BI183 * IF($AH183&lt;=2,
SUMPRODUCT(INDEX($AR$23:$AT$61,,$AI183), INDEX($AU$23:$BA$61,,$AH183), 1 / ($BB$23:$BB$61*CU183), N($AQ$23:$AQ$61&gt;$AO183)),
SUMPRODUCT(INDEX($AR$23:$AT$46,,$AI183), INDEX($AU$23:$BA$46,,$AH183), 1 / ($BC$23:$BC$46*CU183), N($AQ$23:$AQ$46&gt;$AO183))
) / 1000</f>
        <v>0</v>
      </c>
      <c r="CX183" s="230">
        <f t="shared" si="397"/>
        <v>0</v>
      </c>
      <c r="CY183" s="238"/>
    </row>
    <row r="184" spans="1:103" s="76" customFormat="1" ht="14.25" customHeight="1" x14ac:dyDescent="0.2">
      <c r="A184" s="231" t="b">
        <f t="shared" si="229"/>
        <v>0</v>
      </c>
      <c r="B184" s="245">
        <v>162</v>
      </c>
      <c r="C184" s="258"/>
      <c r="D184" s="258"/>
      <c r="E184" s="246"/>
      <c r="F184" s="247" t="str">
        <f>IF(ISBLANK(E184), "", VLOOKUP(E184, Z!$A$2:$C$4127, 3, FALSE))</f>
        <v/>
      </c>
      <c r="G184" s="248"/>
      <c r="H184" s="248"/>
      <c r="I184" s="249"/>
      <c r="J184" s="250"/>
      <c r="K184" s="259"/>
      <c r="L184" s="260"/>
      <c r="M184" s="252" t="str" cm="1">
        <f t="array" ref="M184">INDEX(Trad, 53, $A$20)</f>
        <v>Verschmutzt</v>
      </c>
      <c r="N184" s="253"/>
      <c r="O184" s="253"/>
      <c r="P184" s="254"/>
      <c r="Q184" s="251"/>
      <c r="R184" s="251"/>
      <c r="S184" s="264">
        <f t="shared" si="372"/>
        <v>0</v>
      </c>
      <c r="T184" s="252" t="str" cm="1">
        <f t="array" ref="T184">INDEX(Trad, 52, $A$20)</f>
        <v>Sauber</v>
      </c>
      <c r="U184" s="253"/>
      <c r="V184" s="253"/>
      <c r="W184" s="254"/>
      <c r="X184" s="251"/>
      <c r="Y184" s="251"/>
      <c r="Z184" s="264">
        <f t="shared" si="373"/>
        <v>0</v>
      </c>
      <c r="AA184" s="261"/>
      <c r="AB184" s="258"/>
      <c r="AC184" s="246"/>
      <c r="AD184" s="247" t="str">
        <f>IF(ISBLANK(AC184), "", VLOOKUP(AC184, Z!$A$2:$C$4127, 3, FALSE))</f>
        <v/>
      </c>
      <c r="AE184" s="262"/>
      <c r="AF184" s="263">
        <f t="shared" si="374"/>
        <v>0</v>
      </c>
      <c r="AG184" s="238"/>
      <c r="AH184" s="229">
        <f t="shared" si="398"/>
        <v>1</v>
      </c>
      <c r="AI184" s="229">
        <f t="shared" si="399"/>
        <v>1</v>
      </c>
      <c r="AJ184" s="229">
        <f t="shared" si="400"/>
        <v>0</v>
      </c>
      <c r="AK184" s="229">
        <v>0</v>
      </c>
      <c r="AL184" s="229">
        <v>0</v>
      </c>
      <c r="AM184" s="229">
        <v>1</v>
      </c>
      <c r="AN184" s="229">
        <v>0</v>
      </c>
      <c r="AO184" s="229">
        <f t="shared" si="375"/>
        <v>-100</v>
      </c>
      <c r="AP184" s="238"/>
      <c r="AQ184" s="255"/>
      <c r="AR184" s="255"/>
      <c r="AS184" s="256"/>
      <c r="AT184" s="256"/>
      <c r="AU184" s="256"/>
      <c r="AV184" s="256"/>
      <c r="AW184" s="256"/>
      <c r="AX184" s="256"/>
      <c r="AY184" s="256"/>
      <c r="AZ184" s="256"/>
      <c r="BA184" s="256"/>
      <c r="BB184" s="256"/>
      <c r="BC184" s="256"/>
      <c r="BD184" s="238"/>
      <c r="BE184" s="229" cm="1">
        <f t="array" ref="BE184">IF(ISBLANK(R184), INDEX(Use, $AH184, 4) - AM184*INDEX(Use, $AH184, 6), R184)</f>
        <v>5</v>
      </c>
      <c r="BF184" s="229">
        <f t="shared" si="376"/>
        <v>30</v>
      </c>
      <c r="BG184" s="229">
        <f t="shared" si="241"/>
        <v>13</v>
      </c>
      <c r="BH184" s="229">
        <f t="shared" si="242"/>
        <v>0</v>
      </c>
      <c r="BI184" s="234" cm="1">
        <f t="array" ref="BI184">K184/IF($L184&gt;0, INDEX($AU$23:$BA$77, $L184+20, $AH184), 1)</f>
        <v>0</v>
      </c>
      <c r="BJ184" s="230">
        <f t="shared" si="377"/>
        <v>0</v>
      </c>
      <c r="BK184" s="229">
        <v>35</v>
      </c>
      <c r="BL184" s="230">
        <f t="shared" si="378"/>
        <v>48</v>
      </c>
      <c r="BM184" s="235">
        <f t="shared" si="379"/>
        <v>2.9108720930232557</v>
      </c>
      <c r="BN184" s="235" cm="1">
        <f t="array" ref="BN184">$BI184 * SUMPRODUCT(INDEX($AR$77:$AT$82,,$AI184),INDEX($AU$77:$BA$82,,$AH184), N($AQ$77:$AQ$82&gt;$AO184)) / BM184 / 1000</f>
        <v>0</v>
      </c>
      <c r="BO184" s="232">
        <f t="shared" si="246"/>
        <v>30</v>
      </c>
      <c r="BP184" s="230">
        <f t="shared" si="380"/>
        <v>43</v>
      </c>
      <c r="BQ184" s="235">
        <f t="shared" si="381"/>
        <v>3.2938815789473681</v>
      </c>
      <c r="BR184" s="235" cm="1">
        <f t="array" ref="BR184">$BI184 * IF($AH184&lt;=2,
SUMPRODUCT(INDEX($AR$72:$AT$76,,$AI184), INDEX($AU$72:$BA$76,,$AH184), 1 / ($BB$72:$BB$76*BQ184 + (1-$BB$72:$BB$76)*BM184), N($AQ$72:$AQ$76&gt;$AO184)),
SUMPRODUCT(INDEX($AR$67:$AT$76,,$AI184), INDEX($AU$67:$BA$76,,$AH184), 1 / ($BC$67:$BC$76*BQ184 + (1-$BC$67:$BC$76)*BM184), N($AQ$67:$AQ$76&gt;$AO184))
) / 1000</f>
        <v>0</v>
      </c>
      <c r="BS184" s="232">
        <f t="shared" si="249"/>
        <v>25</v>
      </c>
      <c r="BT184" s="230">
        <f t="shared" si="382"/>
        <v>38</v>
      </c>
      <c r="BU184" s="235">
        <f t="shared" si="383"/>
        <v>3.792954545454545</v>
      </c>
      <c r="BV184" s="235" cm="1">
        <f t="array" ref="BV184">$BI184 * IF($AH184&lt;=2,
SUMPRODUCT(INDEX($AR$67:$AT$71,,$AI184), INDEX($AU$67:$BA$71,,$AH184), 1 / ($BB$67:$BB$71*BU184 + (1-$BB$67:$BB$71)*BQ184), N($AQ$67:$AQ$71&gt;$AO184)),
SUMPRODUCT(INDEX($AR$57:$AT$66,,$AI184), INDEX($AU$57:$BA$66,,$AH184), 1 / ($BC$57:$BC$66*BU184 + (1-$BC$57:$BC$66)*BQ184), N($AQ$57:$AQ$66&gt;$AO184))
) / 1000</f>
        <v>0</v>
      </c>
      <c r="BW184" s="232">
        <f t="shared" si="252"/>
        <v>20</v>
      </c>
      <c r="BX184" s="230">
        <f t="shared" si="384"/>
        <v>33</v>
      </c>
      <c r="BY184" s="235">
        <f t="shared" si="385"/>
        <v>4.4702678571428569</v>
      </c>
      <c r="BZ184" s="235" cm="1">
        <f t="array" ref="BZ184">$BI184 * IF($AH184&lt;=2,
SUMPRODUCT(INDEX($AR$62:$AT$66,,$AI184), INDEX($AU$62:$BA$66,,$AH184), 1 / ($BB$62:$BB$66*BY184 + (1-$BB$62:$BB$66)*BU184), N($AQ$62:$AQ$66&gt;$AO184)),
SUMPRODUCT(INDEX($AR$47:$AT$56,,$AI184), INDEX($AU$47:$BA$56,,$AH184), 1 / ($BC$47:$BC$56*BY184 + (1-$BC$47:$BC$56)*BU184), N($AQ$47:$AQ$56&gt;$AO184))
) / 1000</f>
        <v>0</v>
      </c>
      <c r="CA184" s="235" cm="1">
        <f t="array" ref="CA184">$BI184 * IF($AH184&lt;=2,
SUMPRODUCT(INDEX($AR$23:$AT$61,,$AI184), INDEX($AU$23:$BA$61,,$AH184), 1 / ($BB$23:$BB$61*BY184), N($AQ$23:$AQ$61&gt;$AO184)),
SUMPRODUCT(INDEX($AR$23:$AT$46,,$AI184), INDEX($AU$23:$BA$46,,$AH184), 1 / ($BC$23:$BC$46*BY184), N($AQ$23:$AQ$46&gt;$AO184))
) / 1000</f>
        <v>0</v>
      </c>
      <c r="CB184" s="230">
        <f t="shared" si="386"/>
        <v>0</v>
      </c>
      <c r="CC184" s="238"/>
      <c r="CD184" s="229" cm="1">
        <f t="array" ref="CD184">IF(ISBLANK(Y184), INDEX(Use, $AH184, 4) - AN184*INDEX(Use, $AH184, 6) - (Q184-X184), Y184)</f>
        <v>7</v>
      </c>
      <c r="CE184" s="229">
        <f t="shared" si="387"/>
        <v>32</v>
      </c>
      <c r="CF184" s="230">
        <f t="shared" si="388"/>
        <v>0</v>
      </c>
      <c r="CG184" s="229">
        <v>35</v>
      </c>
      <c r="CH184" s="230">
        <f t="shared" si="389"/>
        <v>48</v>
      </c>
      <c r="CI184" s="235">
        <f t="shared" si="390"/>
        <v>3.0748170731707316</v>
      </c>
      <c r="CJ184" s="235" cm="1">
        <f t="array" ref="CJ184">$BI184 * SUMPRODUCT(INDEX($AR$77:$AT$82,,$AI184),INDEX($AU$77:$BA$82,,$AH184), N($AQ$77:$AQ$82&gt;$AO184)) / CI184 / 1000</f>
        <v>0</v>
      </c>
      <c r="CK184" s="232">
        <f t="shared" si="260"/>
        <v>30</v>
      </c>
      <c r="CL184" s="230">
        <f t="shared" si="391"/>
        <v>43</v>
      </c>
      <c r="CM184" s="235">
        <f t="shared" si="392"/>
        <v>3.5018750000000001</v>
      </c>
      <c r="CN184" s="235" cm="1">
        <f t="array" ref="CN184">$BI184 * IF($AH184&lt;=2,
SUMPRODUCT(INDEX($AR$72:$AT$76,,$AI184), INDEX($AU$72:$BA$76,,$AH184), 1 / ($BB$72:$BB$76*CM184 + (1-$BB$72:$BB$76)*CI184), N($AQ$72:$AQ$76&gt;$AO184)),
SUMPRODUCT(INDEX($AR$67:$AT$76,,$AI184), INDEX($AU$67:$BA$76,,$AH184), 1 / ($BC$67:$BC$76*CM184 + (1-$BC$67:$BC$76)*CI184), N($AQ$67:$AQ$76&gt;$AO184))
) / 1000</f>
        <v>0</v>
      </c>
      <c r="CO184" s="232">
        <f t="shared" si="263"/>
        <v>25</v>
      </c>
      <c r="CP184" s="230">
        <f t="shared" si="393"/>
        <v>38</v>
      </c>
      <c r="CQ184" s="235">
        <f t="shared" si="394"/>
        <v>4.0666935483870965</v>
      </c>
      <c r="CR184" s="235" cm="1">
        <f t="array" ref="CR184">$BI184 * IF($AH184&lt;=2,
SUMPRODUCT(INDEX($AR$67:$AT$71,,$AI184), INDEX($AU$67:$BA$71,,$AH184), 1 / ($BB$67:$BB$71*CQ184 + (1-$BB$67:$BB$71)*CM184), N($AQ$67:$AQ$71&gt;$AO184)),
SUMPRODUCT(INDEX($AR$57:$AT$66,,$AI184), INDEX($AU$57:$BA$66,,$AH184), 1 / ($BC$57:$BC$66*CQ184 + (1-$BC$57:$BC$66)*CM184), N($AQ$57:$AQ$66&gt;$AO184))
) / 1000</f>
        <v>0</v>
      </c>
      <c r="CS184" s="232">
        <f t="shared" si="266"/>
        <v>20</v>
      </c>
      <c r="CT184" s="230">
        <f t="shared" si="395"/>
        <v>33</v>
      </c>
      <c r="CU184" s="235">
        <f t="shared" si="396"/>
        <v>4.8487499999999999</v>
      </c>
      <c r="CV184" s="235" cm="1">
        <f t="array" ref="CV184">$BI184 * IF($AH184&lt;=2,
SUMPRODUCT(INDEX($AR$62:$AT$66,,$AI184), INDEX($AU$62:$BA$66,,$AH184), 1 / ($BB$62:$BB$66*CU184 + (1-$BB$62:$BB$66)*CQ184), N($AQ$62:$AQ$66&gt;$AO184)),
SUMPRODUCT(INDEX($AR$47:$AT$56,,$AI184), INDEX($AU$47:$BA$56,,$AH184), 1 / ($BC$47:$BC$56*CU184 + (1-$BC$47:$BC$56)*CQ184), N($AQ$47:$AQ$56&gt;$AO184))
) / 1000</f>
        <v>0</v>
      </c>
      <c r="CW184" s="235" cm="1">
        <f t="array" ref="CW184">$BI184 * IF($AH184&lt;=2,
SUMPRODUCT(INDEX($AR$23:$AT$61,,$AI184), INDEX($AU$23:$BA$61,,$AH184), 1 / ($BB$23:$BB$61*CU184), N($AQ$23:$AQ$61&gt;$AO184)),
SUMPRODUCT(INDEX($AR$23:$AT$46,,$AI184), INDEX($AU$23:$BA$46,,$AH184), 1 / ($BC$23:$BC$46*CU184), N($AQ$23:$AQ$46&gt;$AO184))
) / 1000</f>
        <v>0</v>
      </c>
      <c r="CX184" s="230">
        <f t="shared" si="397"/>
        <v>0</v>
      </c>
      <c r="CY184" s="238"/>
    </row>
    <row r="185" spans="1:103" s="76" customFormat="1" ht="14.25" customHeight="1" x14ac:dyDescent="0.2">
      <c r="A185" s="231" t="b">
        <f t="shared" si="229"/>
        <v>0</v>
      </c>
      <c r="B185" s="245">
        <v>163</v>
      </c>
      <c r="C185" s="258"/>
      <c r="D185" s="258"/>
      <c r="E185" s="246"/>
      <c r="F185" s="247" t="str">
        <f>IF(ISBLANK(E185), "", VLOOKUP(E185, Z!$A$2:$C$4127, 3, FALSE))</f>
        <v/>
      </c>
      <c r="G185" s="248"/>
      <c r="H185" s="248"/>
      <c r="I185" s="249"/>
      <c r="J185" s="250"/>
      <c r="K185" s="259"/>
      <c r="L185" s="260"/>
      <c r="M185" s="252" t="str" cm="1">
        <f t="array" ref="M185">INDEX(Trad, 53, $A$20)</f>
        <v>Verschmutzt</v>
      </c>
      <c r="N185" s="253"/>
      <c r="O185" s="253"/>
      <c r="P185" s="254"/>
      <c r="Q185" s="251"/>
      <c r="R185" s="251"/>
      <c r="S185" s="264">
        <f t="shared" si="372"/>
        <v>0</v>
      </c>
      <c r="T185" s="252" t="str" cm="1">
        <f t="array" ref="T185">INDEX(Trad, 52, $A$20)</f>
        <v>Sauber</v>
      </c>
      <c r="U185" s="253"/>
      <c r="V185" s="253"/>
      <c r="W185" s="254"/>
      <c r="X185" s="251"/>
      <c r="Y185" s="251"/>
      <c r="Z185" s="264">
        <f t="shared" si="373"/>
        <v>0</v>
      </c>
      <c r="AA185" s="261"/>
      <c r="AB185" s="258"/>
      <c r="AC185" s="246"/>
      <c r="AD185" s="247" t="str">
        <f>IF(ISBLANK(AC185), "", VLOOKUP(AC185, Z!$A$2:$C$4127, 3, FALSE))</f>
        <v/>
      </c>
      <c r="AE185" s="262"/>
      <c r="AF185" s="263">
        <f t="shared" si="374"/>
        <v>0</v>
      </c>
      <c r="AG185" s="238"/>
      <c r="AH185" s="229">
        <f t="shared" si="398"/>
        <v>1</v>
      </c>
      <c r="AI185" s="229">
        <f t="shared" si="399"/>
        <v>1</v>
      </c>
      <c r="AJ185" s="229">
        <f t="shared" si="400"/>
        <v>0</v>
      </c>
      <c r="AK185" s="229">
        <v>0</v>
      </c>
      <c r="AL185" s="229">
        <v>0</v>
      </c>
      <c r="AM185" s="229">
        <v>1</v>
      </c>
      <c r="AN185" s="229">
        <v>0</v>
      </c>
      <c r="AO185" s="229">
        <f t="shared" si="375"/>
        <v>-100</v>
      </c>
      <c r="AP185" s="238"/>
      <c r="AQ185" s="255"/>
      <c r="AR185" s="255"/>
      <c r="AS185" s="256"/>
      <c r="AT185" s="256"/>
      <c r="AU185" s="256"/>
      <c r="AV185" s="256"/>
      <c r="AW185" s="256"/>
      <c r="AX185" s="256"/>
      <c r="AY185" s="256"/>
      <c r="AZ185" s="256"/>
      <c r="BA185" s="256"/>
      <c r="BB185" s="256"/>
      <c r="BC185" s="256"/>
      <c r="BD185" s="238"/>
      <c r="BE185" s="229" cm="1">
        <f t="array" ref="BE185">IF(ISBLANK(R185), INDEX(Use, $AH185, 4) - AM185*INDEX(Use, $AH185, 6), R185)</f>
        <v>5</v>
      </c>
      <c r="BF185" s="229">
        <f t="shared" si="376"/>
        <v>30</v>
      </c>
      <c r="BG185" s="229">
        <f t="shared" si="241"/>
        <v>13</v>
      </c>
      <c r="BH185" s="229">
        <f t="shared" si="242"/>
        <v>0</v>
      </c>
      <c r="BI185" s="234" cm="1">
        <f t="array" ref="BI185">K185/IF($L185&gt;0, INDEX($AU$23:$BA$77, $L185+20, $AH185), 1)</f>
        <v>0</v>
      </c>
      <c r="BJ185" s="230">
        <f t="shared" si="377"/>
        <v>0</v>
      </c>
      <c r="BK185" s="229">
        <v>35</v>
      </c>
      <c r="BL185" s="230">
        <f t="shared" si="378"/>
        <v>48</v>
      </c>
      <c r="BM185" s="235">
        <f t="shared" si="379"/>
        <v>2.9108720930232557</v>
      </c>
      <c r="BN185" s="235" cm="1">
        <f t="array" ref="BN185">$BI185 * SUMPRODUCT(INDEX($AR$77:$AT$82,,$AI185),INDEX($AU$77:$BA$82,,$AH185), N($AQ$77:$AQ$82&gt;$AO185)) / BM185 / 1000</f>
        <v>0</v>
      </c>
      <c r="BO185" s="232">
        <f t="shared" si="246"/>
        <v>30</v>
      </c>
      <c r="BP185" s="230">
        <f t="shared" si="380"/>
        <v>43</v>
      </c>
      <c r="BQ185" s="235">
        <f t="shared" si="381"/>
        <v>3.2938815789473681</v>
      </c>
      <c r="BR185" s="235" cm="1">
        <f t="array" ref="BR185">$BI185 * IF($AH185&lt;=2,
SUMPRODUCT(INDEX($AR$72:$AT$76,,$AI185), INDEX($AU$72:$BA$76,,$AH185), 1 / ($BB$72:$BB$76*BQ185 + (1-$BB$72:$BB$76)*BM185), N($AQ$72:$AQ$76&gt;$AO185)),
SUMPRODUCT(INDEX($AR$67:$AT$76,,$AI185), INDEX($AU$67:$BA$76,,$AH185), 1 / ($BC$67:$BC$76*BQ185 + (1-$BC$67:$BC$76)*BM185), N($AQ$67:$AQ$76&gt;$AO185))
) / 1000</f>
        <v>0</v>
      </c>
      <c r="BS185" s="232">
        <f t="shared" si="249"/>
        <v>25</v>
      </c>
      <c r="BT185" s="230">
        <f t="shared" si="382"/>
        <v>38</v>
      </c>
      <c r="BU185" s="235">
        <f t="shared" si="383"/>
        <v>3.792954545454545</v>
      </c>
      <c r="BV185" s="235" cm="1">
        <f t="array" ref="BV185">$BI185 * IF($AH185&lt;=2,
SUMPRODUCT(INDEX($AR$67:$AT$71,,$AI185), INDEX($AU$67:$BA$71,,$AH185), 1 / ($BB$67:$BB$71*BU185 + (1-$BB$67:$BB$71)*BQ185), N($AQ$67:$AQ$71&gt;$AO185)),
SUMPRODUCT(INDEX($AR$57:$AT$66,,$AI185), INDEX($AU$57:$BA$66,,$AH185), 1 / ($BC$57:$BC$66*BU185 + (1-$BC$57:$BC$66)*BQ185), N($AQ$57:$AQ$66&gt;$AO185))
) / 1000</f>
        <v>0</v>
      </c>
      <c r="BW185" s="232">
        <f t="shared" si="252"/>
        <v>20</v>
      </c>
      <c r="BX185" s="230">
        <f t="shared" si="384"/>
        <v>33</v>
      </c>
      <c r="BY185" s="235">
        <f t="shared" si="385"/>
        <v>4.4702678571428569</v>
      </c>
      <c r="BZ185" s="235" cm="1">
        <f t="array" ref="BZ185">$BI185 * IF($AH185&lt;=2,
SUMPRODUCT(INDEX($AR$62:$AT$66,,$AI185), INDEX($AU$62:$BA$66,,$AH185), 1 / ($BB$62:$BB$66*BY185 + (1-$BB$62:$BB$66)*BU185), N($AQ$62:$AQ$66&gt;$AO185)),
SUMPRODUCT(INDEX($AR$47:$AT$56,,$AI185), INDEX($AU$47:$BA$56,,$AH185), 1 / ($BC$47:$BC$56*BY185 + (1-$BC$47:$BC$56)*BU185), N($AQ$47:$AQ$56&gt;$AO185))
) / 1000</f>
        <v>0</v>
      </c>
      <c r="CA185" s="235" cm="1">
        <f t="array" ref="CA185">$BI185 * IF($AH185&lt;=2,
SUMPRODUCT(INDEX($AR$23:$AT$61,,$AI185), INDEX($AU$23:$BA$61,,$AH185), 1 / ($BB$23:$BB$61*BY185), N($AQ$23:$AQ$61&gt;$AO185)),
SUMPRODUCT(INDEX($AR$23:$AT$46,,$AI185), INDEX($AU$23:$BA$46,,$AH185), 1 / ($BC$23:$BC$46*BY185), N($AQ$23:$AQ$46&gt;$AO185))
) / 1000</f>
        <v>0</v>
      </c>
      <c r="CB185" s="230">
        <f t="shared" si="386"/>
        <v>0</v>
      </c>
      <c r="CC185" s="238"/>
      <c r="CD185" s="229" cm="1">
        <f t="array" ref="CD185">IF(ISBLANK(Y185), INDEX(Use, $AH185, 4) - AN185*INDEX(Use, $AH185, 6) - (Q185-X185), Y185)</f>
        <v>7</v>
      </c>
      <c r="CE185" s="229">
        <f t="shared" si="387"/>
        <v>32</v>
      </c>
      <c r="CF185" s="230">
        <f t="shared" si="388"/>
        <v>0</v>
      </c>
      <c r="CG185" s="229">
        <v>35</v>
      </c>
      <c r="CH185" s="230">
        <f t="shared" si="389"/>
        <v>48</v>
      </c>
      <c r="CI185" s="235">
        <f t="shared" si="390"/>
        <v>3.0748170731707316</v>
      </c>
      <c r="CJ185" s="235" cm="1">
        <f t="array" ref="CJ185">$BI185 * SUMPRODUCT(INDEX($AR$77:$AT$82,,$AI185),INDEX($AU$77:$BA$82,,$AH185), N($AQ$77:$AQ$82&gt;$AO185)) / CI185 / 1000</f>
        <v>0</v>
      </c>
      <c r="CK185" s="232">
        <f t="shared" si="260"/>
        <v>30</v>
      </c>
      <c r="CL185" s="230">
        <f t="shared" si="391"/>
        <v>43</v>
      </c>
      <c r="CM185" s="235">
        <f t="shared" si="392"/>
        <v>3.5018750000000001</v>
      </c>
      <c r="CN185" s="235" cm="1">
        <f t="array" ref="CN185">$BI185 * IF($AH185&lt;=2,
SUMPRODUCT(INDEX($AR$72:$AT$76,,$AI185), INDEX($AU$72:$BA$76,,$AH185), 1 / ($BB$72:$BB$76*CM185 + (1-$BB$72:$BB$76)*CI185), N($AQ$72:$AQ$76&gt;$AO185)),
SUMPRODUCT(INDEX($AR$67:$AT$76,,$AI185), INDEX($AU$67:$BA$76,,$AH185), 1 / ($BC$67:$BC$76*CM185 + (1-$BC$67:$BC$76)*CI185), N($AQ$67:$AQ$76&gt;$AO185))
) / 1000</f>
        <v>0</v>
      </c>
      <c r="CO185" s="232">
        <f t="shared" si="263"/>
        <v>25</v>
      </c>
      <c r="CP185" s="230">
        <f t="shared" si="393"/>
        <v>38</v>
      </c>
      <c r="CQ185" s="235">
        <f t="shared" si="394"/>
        <v>4.0666935483870965</v>
      </c>
      <c r="CR185" s="235" cm="1">
        <f t="array" ref="CR185">$BI185 * IF($AH185&lt;=2,
SUMPRODUCT(INDEX($AR$67:$AT$71,,$AI185), INDEX($AU$67:$BA$71,,$AH185), 1 / ($BB$67:$BB$71*CQ185 + (1-$BB$67:$BB$71)*CM185), N($AQ$67:$AQ$71&gt;$AO185)),
SUMPRODUCT(INDEX($AR$57:$AT$66,,$AI185), INDEX($AU$57:$BA$66,,$AH185), 1 / ($BC$57:$BC$66*CQ185 + (1-$BC$57:$BC$66)*CM185), N($AQ$57:$AQ$66&gt;$AO185))
) / 1000</f>
        <v>0</v>
      </c>
      <c r="CS185" s="232">
        <f t="shared" si="266"/>
        <v>20</v>
      </c>
      <c r="CT185" s="230">
        <f t="shared" si="395"/>
        <v>33</v>
      </c>
      <c r="CU185" s="235">
        <f t="shared" si="396"/>
        <v>4.8487499999999999</v>
      </c>
      <c r="CV185" s="235" cm="1">
        <f t="array" ref="CV185">$BI185 * IF($AH185&lt;=2,
SUMPRODUCT(INDEX($AR$62:$AT$66,,$AI185), INDEX($AU$62:$BA$66,,$AH185), 1 / ($BB$62:$BB$66*CU185 + (1-$BB$62:$BB$66)*CQ185), N($AQ$62:$AQ$66&gt;$AO185)),
SUMPRODUCT(INDEX($AR$47:$AT$56,,$AI185), INDEX($AU$47:$BA$56,,$AH185), 1 / ($BC$47:$BC$56*CU185 + (1-$BC$47:$BC$56)*CQ185), N($AQ$47:$AQ$56&gt;$AO185))
) / 1000</f>
        <v>0</v>
      </c>
      <c r="CW185" s="235" cm="1">
        <f t="array" ref="CW185">$BI185 * IF($AH185&lt;=2,
SUMPRODUCT(INDEX($AR$23:$AT$61,,$AI185), INDEX($AU$23:$BA$61,,$AH185), 1 / ($BB$23:$BB$61*CU185), N($AQ$23:$AQ$61&gt;$AO185)),
SUMPRODUCT(INDEX($AR$23:$AT$46,,$AI185), INDEX($AU$23:$BA$46,,$AH185), 1 / ($BC$23:$BC$46*CU185), N($AQ$23:$AQ$46&gt;$AO185))
) / 1000</f>
        <v>0</v>
      </c>
      <c r="CX185" s="230">
        <f t="shared" si="397"/>
        <v>0</v>
      </c>
      <c r="CY185" s="238"/>
    </row>
    <row r="186" spans="1:103" s="76" customFormat="1" ht="14.25" customHeight="1" x14ac:dyDescent="0.2">
      <c r="A186" s="231" t="b">
        <f t="shared" si="229"/>
        <v>0</v>
      </c>
      <c r="B186" s="245">
        <v>164</v>
      </c>
      <c r="C186" s="258"/>
      <c r="D186" s="258"/>
      <c r="E186" s="246"/>
      <c r="F186" s="247" t="str">
        <f>IF(ISBLANK(E186), "", VLOOKUP(E186, Z!$A$2:$C$4127, 3, FALSE))</f>
        <v/>
      </c>
      <c r="G186" s="248"/>
      <c r="H186" s="248"/>
      <c r="I186" s="249"/>
      <c r="J186" s="250"/>
      <c r="K186" s="259"/>
      <c r="L186" s="260"/>
      <c r="M186" s="252" t="str" cm="1">
        <f t="array" ref="M186">INDEX(Trad, 53, $A$20)</f>
        <v>Verschmutzt</v>
      </c>
      <c r="N186" s="253"/>
      <c r="O186" s="253"/>
      <c r="P186" s="254"/>
      <c r="Q186" s="251"/>
      <c r="R186" s="251"/>
      <c r="S186" s="264">
        <f t="shared" si="372"/>
        <v>0</v>
      </c>
      <c r="T186" s="252" t="str" cm="1">
        <f t="array" ref="T186">INDEX(Trad, 52, $A$20)</f>
        <v>Sauber</v>
      </c>
      <c r="U186" s="253"/>
      <c r="V186" s="253"/>
      <c r="W186" s="254"/>
      <c r="X186" s="251"/>
      <c r="Y186" s="251"/>
      <c r="Z186" s="264">
        <f t="shared" si="373"/>
        <v>0</v>
      </c>
      <c r="AA186" s="261"/>
      <c r="AB186" s="258"/>
      <c r="AC186" s="246"/>
      <c r="AD186" s="247" t="str">
        <f>IF(ISBLANK(AC186), "", VLOOKUP(AC186, Z!$A$2:$C$4127, 3, FALSE))</f>
        <v/>
      </c>
      <c r="AE186" s="262"/>
      <c r="AF186" s="263">
        <f t="shared" si="374"/>
        <v>0</v>
      </c>
      <c r="AG186" s="238"/>
      <c r="AH186" s="229">
        <f t="shared" si="398"/>
        <v>1</v>
      </c>
      <c r="AI186" s="229">
        <f t="shared" si="399"/>
        <v>1</v>
      </c>
      <c r="AJ186" s="229">
        <f t="shared" si="400"/>
        <v>0</v>
      </c>
      <c r="AK186" s="229">
        <v>0</v>
      </c>
      <c r="AL186" s="229">
        <v>0</v>
      </c>
      <c r="AM186" s="229">
        <v>1</v>
      </c>
      <c r="AN186" s="229">
        <v>0</v>
      </c>
      <c r="AO186" s="229">
        <f t="shared" si="375"/>
        <v>-100</v>
      </c>
      <c r="AP186" s="238"/>
      <c r="AQ186" s="255"/>
      <c r="AR186" s="255"/>
      <c r="AS186" s="256"/>
      <c r="AT186" s="256"/>
      <c r="AU186" s="256"/>
      <c r="AV186" s="256"/>
      <c r="AW186" s="256"/>
      <c r="AX186" s="256"/>
      <c r="AY186" s="256"/>
      <c r="AZ186" s="256"/>
      <c r="BA186" s="256"/>
      <c r="BB186" s="256"/>
      <c r="BC186" s="256"/>
      <c r="BD186" s="238"/>
      <c r="BE186" s="229" cm="1">
        <f t="array" ref="BE186">IF(ISBLANK(R186), INDEX(Use, $AH186, 4) - AM186*INDEX(Use, $AH186, 6), R186)</f>
        <v>5</v>
      </c>
      <c r="BF186" s="229">
        <f t="shared" si="376"/>
        <v>30</v>
      </c>
      <c r="BG186" s="229">
        <f t="shared" si="241"/>
        <v>13</v>
      </c>
      <c r="BH186" s="229">
        <f t="shared" si="242"/>
        <v>0</v>
      </c>
      <c r="BI186" s="234" cm="1">
        <f t="array" ref="BI186">K186/IF($L186&gt;0, INDEX($AU$23:$BA$77, $L186+20, $AH186), 1)</f>
        <v>0</v>
      </c>
      <c r="BJ186" s="230">
        <f t="shared" si="377"/>
        <v>0</v>
      </c>
      <c r="BK186" s="229">
        <v>35</v>
      </c>
      <c r="BL186" s="230">
        <f t="shared" si="378"/>
        <v>48</v>
      </c>
      <c r="BM186" s="235">
        <f t="shared" si="379"/>
        <v>2.9108720930232557</v>
      </c>
      <c r="BN186" s="235" cm="1">
        <f t="array" ref="BN186">$BI186 * SUMPRODUCT(INDEX($AR$77:$AT$82,,$AI186),INDEX($AU$77:$BA$82,,$AH186), N($AQ$77:$AQ$82&gt;$AO186)) / BM186 / 1000</f>
        <v>0</v>
      </c>
      <c r="BO186" s="232">
        <f t="shared" si="246"/>
        <v>30</v>
      </c>
      <c r="BP186" s="230">
        <f t="shared" si="380"/>
        <v>43</v>
      </c>
      <c r="BQ186" s="235">
        <f t="shared" si="381"/>
        <v>3.2938815789473681</v>
      </c>
      <c r="BR186" s="235" cm="1">
        <f t="array" ref="BR186">$BI186 * IF($AH186&lt;=2,
SUMPRODUCT(INDEX($AR$72:$AT$76,,$AI186), INDEX($AU$72:$BA$76,,$AH186), 1 / ($BB$72:$BB$76*BQ186 + (1-$BB$72:$BB$76)*BM186), N($AQ$72:$AQ$76&gt;$AO186)),
SUMPRODUCT(INDEX($AR$67:$AT$76,,$AI186), INDEX($AU$67:$BA$76,,$AH186), 1 / ($BC$67:$BC$76*BQ186 + (1-$BC$67:$BC$76)*BM186), N($AQ$67:$AQ$76&gt;$AO186))
) / 1000</f>
        <v>0</v>
      </c>
      <c r="BS186" s="232">
        <f t="shared" si="249"/>
        <v>25</v>
      </c>
      <c r="BT186" s="230">
        <f t="shared" si="382"/>
        <v>38</v>
      </c>
      <c r="BU186" s="235">
        <f t="shared" si="383"/>
        <v>3.792954545454545</v>
      </c>
      <c r="BV186" s="235" cm="1">
        <f t="array" ref="BV186">$BI186 * IF($AH186&lt;=2,
SUMPRODUCT(INDEX($AR$67:$AT$71,,$AI186), INDEX($AU$67:$BA$71,,$AH186), 1 / ($BB$67:$BB$71*BU186 + (1-$BB$67:$BB$71)*BQ186), N($AQ$67:$AQ$71&gt;$AO186)),
SUMPRODUCT(INDEX($AR$57:$AT$66,,$AI186), INDEX($AU$57:$BA$66,,$AH186), 1 / ($BC$57:$BC$66*BU186 + (1-$BC$57:$BC$66)*BQ186), N($AQ$57:$AQ$66&gt;$AO186))
) / 1000</f>
        <v>0</v>
      </c>
      <c r="BW186" s="232">
        <f t="shared" si="252"/>
        <v>20</v>
      </c>
      <c r="BX186" s="230">
        <f t="shared" si="384"/>
        <v>33</v>
      </c>
      <c r="BY186" s="235">
        <f t="shared" si="385"/>
        <v>4.4702678571428569</v>
      </c>
      <c r="BZ186" s="235" cm="1">
        <f t="array" ref="BZ186">$BI186 * IF($AH186&lt;=2,
SUMPRODUCT(INDEX($AR$62:$AT$66,,$AI186), INDEX($AU$62:$BA$66,,$AH186), 1 / ($BB$62:$BB$66*BY186 + (1-$BB$62:$BB$66)*BU186), N($AQ$62:$AQ$66&gt;$AO186)),
SUMPRODUCT(INDEX($AR$47:$AT$56,,$AI186), INDEX($AU$47:$BA$56,,$AH186), 1 / ($BC$47:$BC$56*BY186 + (1-$BC$47:$BC$56)*BU186), N($AQ$47:$AQ$56&gt;$AO186))
) / 1000</f>
        <v>0</v>
      </c>
      <c r="CA186" s="235" cm="1">
        <f t="array" ref="CA186">$BI186 * IF($AH186&lt;=2,
SUMPRODUCT(INDEX($AR$23:$AT$61,,$AI186), INDEX($AU$23:$BA$61,,$AH186), 1 / ($BB$23:$BB$61*BY186), N($AQ$23:$AQ$61&gt;$AO186)),
SUMPRODUCT(INDEX($AR$23:$AT$46,,$AI186), INDEX($AU$23:$BA$46,,$AH186), 1 / ($BC$23:$BC$46*BY186), N($AQ$23:$AQ$46&gt;$AO186))
) / 1000</f>
        <v>0</v>
      </c>
      <c r="CB186" s="230">
        <f t="shared" si="386"/>
        <v>0</v>
      </c>
      <c r="CC186" s="238"/>
      <c r="CD186" s="229" cm="1">
        <f t="array" ref="CD186">IF(ISBLANK(Y186), INDEX(Use, $AH186, 4) - AN186*INDEX(Use, $AH186, 6) - (Q186-X186), Y186)</f>
        <v>7</v>
      </c>
      <c r="CE186" s="229">
        <f t="shared" si="387"/>
        <v>32</v>
      </c>
      <c r="CF186" s="230">
        <f t="shared" si="388"/>
        <v>0</v>
      </c>
      <c r="CG186" s="229">
        <v>35</v>
      </c>
      <c r="CH186" s="230">
        <f t="shared" si="389"/>
        <v>48</v>
      </c>
      <c r="CI186" s="235">
        <f t="shared" si="390"/>
        <v>3.0748170731707316</v>
      </c>
      <c r="CJ186" s="235" cm="1">
        <f t="array" ref="CJ186">$BI186 * SUMPRODUCT(INDEX($AR$77:$AT$82,,$AI186),INDEX($AU$77:$BA$82,,$AH186), N($AQ$77:$AQ$82&gt;$AO186)) / CI186 / 1000</f>
        <v>0</v>
      </c>
      <c r="CK186" s="232">
        <f t="shared" si="260"/>
        <v>30</v>
      </c>
      <c r="CL186" s="230">
        <f t="shared" si="391"/>
        <v>43</v>
      </c>
      <c r="CM186" s="235">
        <f t="shared" si="392"/>
        <v>3.5018750000000001</v>
      </c>
      <c r="CN186" s="235" cm="1">
        <f t="array" ref="CN186">$BI186 * IF($AH186&lt;=2,
SUMPRODUCT(INDEX($AR$72:$AT$76,,$AI186), INDEX($AU$72:$BA$76,,$AH186), 1 / ($BB$72:$BB$76*CM186 + (1-$BB$72:$BB$76)*CI186), N($AQ$72:$AQ$76&gt;$AO186)),
SUMPRODUCT(INDEX($AR$67:$AT$76,,$AI186), INDEX($AU$67:$BA$76,,$AH186), 1 / ($BC$67:$BC$76*CM186 + (1-$BC$67:$BC$76)*CI186), N($AQ$67:$AQ$76&gt;$AO186))
) / 1000</f>
        <v>0</v>
      </c>
      <c r="CO186" s="232">
        <f t="shared" si="263"/>
        <v>25</v>
      </c>
      <c r="CP186" s="230">
        <f t="shared" si="393"/>
        <v>38</v>
      </c>
      <c r="CQ186" s="235">
        <f t="shared" si="394"/>
        <v>4.0666935483870965</v>
      </c>
      <c r="CR186" s="235" cm="1">
        <f t="array" ref="CR186">$BI186 * IF($AH186&lt;=2,
SUMPRODUCT(INDEX($AR$67:$AT$71,,$AI186), INDEX($AU$67:$BA$71,,$AH186), 1 / ($BB$67:$BB$71*CQ186 + (1-$BB$67:$BB$71)*CM186), N($AQ$67:$AQ$71&gt;$AO186)),
SUMPRODUCT(INDEX($AR$57:$AT$66,,$AI186), INDEX($AU$57:$BA$66,,$AH186), 1 / ($BC$57:$BC$66*CQ186 + (1-$BC$57:$BC$66)*CM186), N($AQ$57:$AQ$66&gt;$AO186))
) / 1000</f>
        <v>0</v>
      </c>
      <c r="CS186" s="232">
        <f t="shared" si="266"/>
        <v>20</v>
      </c>
      <c r="CT186" s="230">
        <f t="shared" si="395"/>
        <v>33</v>
      </c>
      <c r="CU186" s="235">
        <f t="shared" si="396"/>
        <v>4.8487499999999999</v>
      </c>
      <c r="CV186" s="235" cm="1">
        <f t="array" ref="CV186">$BI186 * IF($AH186&lt;=2,
SUMPRODUCT(INDEX($AR$62:$AT$66,,$AI186), INDEX($AU$62:$BA$66,,$AH186), 1 / ($BB$62:$BB$66*CU186 + (1-$BB$62:$BB$66)*CQ186), N($AQ$62:$AQ$66&gt;$AO186)),
SUMPRODUCT(INDEX($AR$47:$AT$56,,$AI186), INDEX($AU$47:$BA$56,,$AH186), 1 / ($BC$47:$BC$56*CU186 + (1-$BC$47:$BC$56)*CQ186), N($AQ$47:$AQ$56&gt;$AO186))
) / 1000</f>
        <v>0</v>
      </c>
      <c r="CW186" s="235" cm="1">
        <f t="array" ref="CW186">$BI186 * IF($AH186&lt;=2,
SUMPRODUCT(INDEX($AR$23:$AT$61,,$AI186), INDEX($AU$23:$BA$61,,$AH186), 1 / ($BB$23:$BB$61*CU186), N($AQ$23:$AQ$61&gt;$AO186)),
SUMPRODUCT(INDEX($AR$23:$AT$46,,$AI186), INDEX($AU$23:$BA$46,,$AH186), 1 / ($BC$23:$BC$46*CU186), N($AQ$23:$AQ$46&gt;$AO186))
) / 1000</f>
        <v>0</v>
      </c>
      <c r="CX186" s="230">
        <f t="shared" si="397"/>
        <v>0</v>
      </c>
      <c r="CY186" s="238"/>
    </row>
    <row r="187" spans="1:103" s="76" customFormat="1" ht="14.25" customHeight="1" x14ac:dyDescent="0.2">
      <c r="A187" s="231" t="b">
        <f t="shared" si="229"/>
        <v>0</v>
      </c>
      <c r="B187" s="245">
        <v>165</v>
      </c>
      <c r="C187" s="258"/>
      <c r="D187" s="258"/>
      <c r="E187" s="246"/>
      <c r="F187" s="247" t="str">
        <f>IF(ISBLANK(E187), "", VLOOKUP(E187, Z!$A$2:$C$4127, 3, FALSE))</f>
        <v/>
      </c>
      <c r="G187" s="248"/>
      <c r="H187" s="248"/>
      <c r="I187" s="249"/>
      <c r="J187" s="250"/>
      <c r="K187" s="259"/>
      <c r="L187" s="260"/>
      <c r="M187" s="252" t="str" cm="1">
        <f t="array" ref="M187">INDEX(Trad, 53, $A$20)</f>
        <v>Verschmutzt</v>
      </c>
      <c r="N187" s="253"/>
      <c r="O187" s="253"/>
      <c r="P187" s="254"/>
      <c r="Q187" s="251"/>
      <c r="R187" s="251"/>
      <c r="S187" s="264">
        <f t="shared" ref="S187:S250" si="401">CB187*1000</f>
        <v>0</v>
      </c>
      <c r="T187" s="252" t="str" cm="1">
        <f t="array" ref="T187">INDEX(Trad, 52, $A$20)</f>
        <v>Sauber</v>
      </c>
      <c r="U187" s="253"/>
      <c r="V187" s="253"/>
      <c r="W187" s="254"/>
      <c r="X187" s="251"/>
      <c r="Y187" s="251"/>
      <c r="Z187" s="264">
        <f t="shared" ref="Z187:Z250" si="402">CX187*1000</f>
        <v>0</v>
      </c>
      <c r="AA187" s="261"/>
      <c r="AB187" s="258"/>
      <c r="AC187" s="246"/>
      <c r="AD187" s="247" t="str">
        <f>IF(ISBLANK(AC187), "", VLOOKUP(AC187, Z!$A$2:$C$4127, 3, FALSE))</f>
        <v/>
      </c>
      <c r="AE187" s="262"/>
      <c r="AF187" s="263">
        <f t="shared" ref="AF187:AF250" si="403">0.75*AP$23*(S187-Z187)</f>
        <v>0</v>
      </c>
      <c r="AG187" s="238"/>
      <c r="AH187" s="229">
        <f t="shared" si="398"/>
        <v>1</v>
      </c>
      <c r="AI187" s="229">
        <f t="shared" si="399"/>
        <v>1</v>
      </c>
      <c r="AJ187" s="229">
        <f t="shared" si="400"/>
        <v>0</v>
      </c>
      <c r="AK187" s="229">
        <v>0</v>
      </c>
      <c r="AL187" s="229">
        <v>0</v>
      </c>
      <c r="AM187" s="229">
        <v>1</v>
      </c>
      <c r="AN187" s="229">
        <v>0</v>
      </c>
      <c r="AO187" s="229">
        <f t="shared" ref="AO187:AO250" si="404">IF(AND(J187="x", AH187=5), 11, IF(AND(J187="x", AH187=6), 19, -100))</f>
        <v>-100</v>
      </c>
      <c r="AP187" s="238"/>
      <c r="AQ187" s="255"/>
      <c r="AR187" s="255"/>
      <c r="AS187" s="256"/>
      <c r="AT187" s="256"/>
      <c r="AU187" s="256"/>
      <c r="AV187" s="256"/>
      <c r="AW187" s="256"/>
      <c r="AX187" s="256"/>
      <c r="AY187" s="256"/>
      <c r="AZ187" s="256"/>
      <c r="BA187" s="256"/>
      <c r="BB187" s="256"/>
      <c r="BC187" s="256"/>
      <c r="BD187" s="238"/>
      <c r="BE187" s="229" cm="1">
        <f t="array" ref="BE187">IF(ISBLANK(R187), INDEX(Use, $AH187, 4) - AM187*INDEX(Use, $AH187, 6), R187)</f>
        <v>5</v>
      </c>
      <c r="BF187" s="229">
        <f t="shared" ref="BF187:BF250" si="405">MAX(25, BE187+25)</f>
        <v>30</v>
      </c>
      <c r="BG187" s="229">
        <f t="shared" si="241"/>
        <v>13</v>
      </c>
      <c r="BH187" s="229">
        <f t="shared" si="242"/>
        <v>0</v>
      </c>
      <c r="BI187" s="234" cm="1">
        <f t="array" ref="BI187">K187/IF($L187&gt;0, INDEX($AU$23:$BA$77, $L187+20, $AH187), 1)</f>
        <v>0</v>
      </c>
      <c r="BJ187" s="230">
        <f t="shared" ref="BJ187:BJ250" si="406">P187 /  IF(AH187&lt;=2, 0.7 + 0.3 * (O187-20)/(35-20), 0.4 + 0.6 * (O187-5)/(35-5))</f>
        <v>0</v>
      </c>
      <c r="BK187" s="229">
        <v>35</v>
      </c>
      <c r="BL187" s="230">
        <f t="shared" ref="BL187:BL250" si="407">MAX($N187, MAX($BF187, $BK187 + $BG187 + $BH187 + 0.35*$AK187*$BG187 + BJ187))</f>
        <v>48</v>
      </c>
      <c r="BM187" s="235">
        <f t="shared" ref="BM187:BM250" si="408">0.45*($BE187+273.15)/(BL187-$BE187)</f>
        <v>2.9108720930232557</v>
      </c>
      <c r="BN187" s="235" cm="1">
        <f t="array" ref="BN187">$BI187 * SUMPRODUCT(INDEX($AR$77:$AT$82,,$AI187),INDEX($AU$77:$BA$82,,$AH187), N($AQ$77:$AQ$82&gt;$AO187)) / BM187 / 1000</f>
        <v>0</v>
      </c>
      <c r="BO187" s="232">
        <f t="shared" si="246"/>
        <v>30</v>
      </c>
      <c r="BP187" s="230">
        <f t="shared" ref="BP187:BP250" si="409">MAX($N187, MAX($BF187, BO187 + $BG187 + $BH187 + IF($AH187&lt;=2, (BO187-20)/(35-20), 0.6+0.4*(BO187-5)/(35-5))*0.35*$AK187*$BG187) + IF($AH187&lt;=2,0.9,0.8)*$BJ187)</f>
        <v>43</v>
      </c>
      <c r="BQ187" s="235">
        <f t="shared" ref="BQ187:BQ250" si="410">0.45*($BE187+273.15)/(BP187-$BE187)</f>
        <v>3.2938815789473681</v>
      </c>
      <c r="BR187" s="235" cm="1">
        <f t="array" ref="BR187">$BI187 * IF($AH187&lt;=2,
SUMPRODUCT(INDEX($AR$72:$AT$76,,$AI187), INDEX($AU$72:$BA$76,,$AH187), 1 / ($BB$72:$BB$76*BQ187 + (1-$BB$72:$BB$76)*BM187), N($AQ$72:$AQ$76&gt;$AO187)),
SUMPRODUCT(INDEX($AR$67:$AT$76,,$AI187), INDEX($AU$67:$BA$76,,$AH187), 1 / ($BC$67:$BC$76*BQ187 + (1-$BC$67:$BC$76)*BM187), N($AQ$67:$AQ$76&gt;$AO187))
) / 1000</f>
        <v>0</v>
      </c>
      <c r="BS187" s="232">
        <f t="shared" si="249"/>
        <v>25</v>
      </c>
      <c r="BT187" s="230">
        <f t="shared" ref="BT187:BT250" si="411">MAX($N187, MAX($BF187, BS187 + $BG187 + $BH187 + IF($AH187&lt;=2, (BS187-20)/(35-20), 0.6+0.4*(BS187-5)/(35-5))*0.35*$AK187*$BG187) + IF($AH187&lt;=2,0.8,0.6)*$BJ187)</f>
        <v>38</v>
      </c>
      <c r="BU187" s="235">
        <f t="shared" ref="BU187:BU250" si="412">0.45*($BE187+273.15)/(BT187-$BE187)</f>
        <v>3.792954545454545</v>
      </c>
      <c r="BV187" s="235" cm="1">
        <f t="array" ref="BV187">$BI187 * IF($AH187&lt;=2,
SUMPRODUCT(INDEX($AR$67:$AT$71,,$AI187), INDEX($AU$67:$BA$71,,$AH187), 1 / ($BB$67:$BB$71*BU187 + (1-$BB$67:$BB$71)*BQ187), N($AQ$67:$AQ$71&gt;$AO187)),
SUMPRODUCT(INDEX($AR$57:$AT$66,,$AI187), INDEX($AU$57:$BA$66,,$AH187), 1 / ($BC$57:$BC$66*BU187 + (1-$BC$57:$BC$66)*BQ187), N($AQ$57:$AQ$66&gt;$AO187))
) / 1000</f>
        <v>0</v>
      </c>
      <c r="BW187" s="232">
        <f t="shared" si="252"/>
        <v>20</v>
      </c>
      <c r="BX187" s="230">
        <f t="shared" ref="BX187:BX250" si="413">MAX($N187, MAX($BF187, BW187 + $BG187 + $BH187 + IF($AH187&lt;=2, (BW187-20)/(35-20), 0.6+0.4*(BW187-5)/(35-5))*0.35*$AK187*$BG187) + IF($AH187&lt;=2,0.7,0.4)*$BJ187)</f>
        <v>33</v>
      </c>
      <c r="BY187" s="235">
        <f t="shared" ref="BY187:BY250" si="414">0.45*($BE187+273.15)/(BX187-$BE187)</f>
        <v>4.4702678571428569</v>
      </c>
      <c r="BZ187" s="235" cm="1">
        <f t="array" ref="BZ187">$BI187 * IF($AH187&lt;=2,
SUMPRODUCT(INDEX($AR$62:$AT$66,,$AI187), INDEX($AU$62:$BA$66,,$AH187), 1 / ($BB$62:$BB$66*BY187 + (1-$BB$62:$BB$66)*BU187), N($AQ$62:$AQ$66&gt;$AO187)),
SUMPRODUCT(INDEX($AR$47:$AT$56,,$AI187), INDEX($AU$47:$BA$56,,$AH187), 1 / ($BC$47:$BC$56*BY187 + (1-$BC$47:$BC$56)*BU187), N($AQ$47:$AQ$56&gt;$AO187))
) / 1000</f>
        <v>0</v>
      </c>
      <c r="CA187" s="235" cm="1">
        <f t="array" ref="CA187">$BI187 * IF($AH187&lt;=2,
SUMPRODUCT(INDEX($AR$23:$AT$61,,$AI187), INDEX($AU$23:$BA$61,,$AH187), 1 / ($BB$23:$BB$61*BY187), N($AQ$23:$AQ$61&gt;$AO187)),
SUMPRODUCT(INDEX($AR$23:$AT$46,,$AI187), INDEX($AU$23:$BA$46,,$AH187), 1 / ($BC$23:$BC$46*BY187), N($AQ$23:$AQ$46&gt;$AO187))
) / 1000</f>
        <v>0</v>
      </c>
      <c r="CB187" s="230">
        <f t="shared" ref="CB187:CB250" si="415">BN187+BR187+BV187+BZ187+CA187</f>
        <v>0</v>
      </c>
      <c r="CC187" s="238"/>
      <c r="CD187" s="229" cm="1">
        <f t="array" ref="CD187">IF(ISBLANK(Y187), INDEX(Use, $AH187, 4) - AN187*INDEX(Use, $AH187, 6) - (Q187-X187), Y187)</f>
        <v>7</v>
      </c>
      <c r="CE187" s="229">
        <f t="shared" ref="CE187:CE250" si="416">MAX(25, CD187+25)</f>
        <v>32</v>
      </c>
      <c r="CF187" s="230">
        <f t="shared" ref="CF187:CF250" si="417">W187 /  IF(AH187&lt;=2, 0.7 + 0.3 * (V187-20)/(35-20), 0.4 + 0.6 * (V187-5)/(35-5))</f>
        <v>0</v>
      </c>
      <c r="CG187" s="229">
        <v>35</v>
      </c>
      <c r="CH187" s="230">
        <f t="shared" ref="CH187:CH250" si="418">MAX($U187, MAX($CE187, $BK187 + $BG187 + $BH187 + 0.35*$AL187*$BG187 + CF187))</f>
        <v>48</v>
      </c>
      <c r="CI187" s="235">
        <f t="shared" ref="CI187:CI250" si="419">0.45*($CD187+273.15)/(CH187-$CD187)</f>
        <v>3.0748170731707316</v>
      </c>
      <c r="CJ187" s="235" cm="1">
        <f t="array" ref="CJ187">$BI187 * SUMPRODUCT(INDEX($AR$77:$AT$82,,$AI187),INDEX($AU$77:$BA$82,,$AH187), N($AQ$77:$AQ$82&gt;$AO187)) / CI187 / 1000</f>
        <v>0</v>
      </c>
      <c r="CK187" s="232">
        <f t="shared" si="260"/>
        <v>30</v>
      </c>
      <c r="CL187" s="230">
        <f t="shared" ref="CL187:CL250" si="420">MAX($U187, MAX($CE187, CK187 + $BG187 + $BH187 + IF($AH187&lt;=2, (CK187-20)/(35-20), 0.6+0.4*(CK187-5)/(35-5))*0.35*$AL187*$BG187) + IF($AH187&lt;=2,0.9,0.8)*$CF187)</f>
        <v>43</v>
      </c>
      <c r="CM187" s="235">
        <f t="shared" ref="CM187:CM250" si="421">0.45*($CD187+273.15)/(CL187-$CD187)</f>
        <v>3.5018750000000001</v>
      </c>
      <c r="CN187" s="235" cm="1">
        <f t="array" ref="CN187">$BI187 * IF($AH187&lt;=2,
SUMPRODUCT(INDEX($AR$72:$AT$76,,$AI187), INDEX($AU$72:$BA$76,,$AH187), 1 / ($BB$72:$BB$76*CM187 + (1-$BB$72:$BB$76)*CI187), N($AQ$72:$AQ$76&gt;$AO187)),
SUMPRODUCT(INDEX($AR$67:$AT$76,,$AI187), INDEX($AU$67:$BA$76,,$AH187), 1 / ($BC$67:$BC$76*CM187 + (1-$BC$67:$BC$76)*CI187), N($AQ$67:$AQ$76&gt;$AO187))
) / 1000</f>
        <v>0</v>
      </c>
      <c r="CO187" s="232">
        <f t="shared" si="263"/>
        <v>25</v>
      </c>
      <c r="CP187" s="230">
        <f t="shared" ref="CP187:CP250" si="422">MAX($U187, MAX($CE187, CO187 + $BG187 + $BH187 + IF($AH187&lt;=2, (CO187-20)/(35-20), 0.6+0.4*(CO187-5)/(35-5))*0.35*$AL187*$BG187) + IF($AH187&lt;=2,0.8,0.6)*$CF187)</f>
        <v>38</v>
      </c>
      <c r="CQ187" s="235">
        <f t="shared" ref="CQ187:CQ250" si="423">0.45*($CD187+273.15)/(CP187-$CD187)</f>
        <v>4.0666935483870965</v>
      </c>
      <c r="CR187" s="235" cm="1">
        <f t="array" ref="CR187">$BI187 * IF($AH187&lt;=2,
SUMPRODUCT(INDEX($AR$67:$AT$71,,$AI187), INDEX($AU$67:$BA$71,,$AH187), 1 / ($BB$67:$BB$71*CQ187 + (1-$BB$67:$BB$71)*CM187), N($AQ$67:$AQ$71&gt;$AO187)),
SUMPRODUCT(INDEX($AR$57:$AT$66,,$AI187), INDEX($AU$57:$BA$66,,$AH187), 1 / ($BC$57:$BC$66*CQ187 + (1-$BC$57:$BC$66)*CM187), N($AQ$57:$AQ$66&gt;$AO187))
) / 1000</f>
        <v>0</v>
      </c>
      <c r="CS187" s="232">
        <f t="shared" si="266"/>
        <v>20</v>
      </c>
      <c r="CT187" s="230">
        <f t="shared" ref="CT187:CT250" si="424">MAX($U187, MAX($CE187, CS187 + $BG187 + $BH187 + IF($AH187&lt;=2, (CS187-20)/(35-20), 0.6+0.4*(CS187-5)/(35-5))*0.35*$AL187*$BG187) + IF($AH187&lt;=2,0.7,0.4)*$CF187)</f>
        <v>33</v>
      </c>
      <c r="CU187" s="235">
        <f t="shared" ref="CU187:CU250" si="425">0.45*($CD187+273.15)/(CT187-$CD187)</f>
        <v>4.8487499999999999</v>
      </c>
      <c r="CV187" s="235" cm="1">
        <f t="array" ref="CV187">$BI187 * IF($AH187&lt;=2,
SUMPRODUCT(INDEX($AR$62:$AT$66,,$AI187), INDEX($AU$62:$BA$66,,$AH187), 1 / ($BB$62:$BB$66*CU187 + (1-$BB$62:$BB$66)*CQ187), N($AQ$62:$AQ$66&gt;$AO187)),
SUMPRODUCT(INDEX($AR$47:$AT$56,,$AI187), INDEX($AU$47:$BA$56,,$AH187), 1 / ($BC$47:$BC$56*CU187 + (1-$BC$47:$BC$56)*CQ187), N($AQ$47:$AQ$56&gt;$AO187))
) / 1000</f>
        <v>0</v>
      </c>
      <c r="CW187" s="235" cm="1">
        <f t="array" ref="CW187">$BI187 * IF($AH187&lt;=2,
SUMPRODUCT(INDEX($AR$23:$AT$61,,$AI187), INDEX($AU$23:$BA$61,,$AH187), 1 / ($BB$23:$BB$61*CU187), N($AQ$23:$AQ$61&gt;$AO187)),
SUMPRODUCT(INDEX($AR$23:$AT$46,,$AI187), INDEX($AU$23:$BA$46,,$AH187), 1 / ($BC$23:$BC$46*CU187), N($AQ$23:$AQ$46&gt;$AO187))
) / 1000</f>
        <v>0</v>
      </c>
      <c r="CX187" s="230">
        <f t="shared" ref="CX187:CX250" si="426">CJ187+CN187+CR187+CV187+CW187</f>
        <v>0</v>
      </c>
      <c r="CY187" s="238"/>
    </row>
    <row r="188" spans="1:103" s="76" customFormat="1" ht="14.25" customHeight="1" x14ac:dyDescent="0.2">
      <c r="A188" s="231" t="b">
        <f t="shared" si="229"/>
        <v>0</v>
      </c>
      <c r="B188" s="245">
        <v>166</v>
      </c>
      <c r="C188" s="258"/>
      <c r="D188" s="258"/>
      <c r="E188" s="246"/>
      <c r="F188" s="247" t="str">
        <f>IF(ISBLANK(E188), "", VLOOKUP(E188, Z!$A$2:$C$4127, 3, FALSE))</f>
        <v/>
      </c>
      <c r="G188" s="248"/>
      <c r="H188" s="248"/>
      <c r="I188" s="249"/>
      <c r="J188" s="250"/>
      <c r="K188" s="259"/>
      <c r="L188" s="260"/>
      <c r="M188" s="252" t="str" cm="1">
        <f t="array" ref="M188">INDEX(Trad, 53, $A$20)</f>
        <v>Verschmutzt</v>
      </c>
      <c r="N188" s="253"/>
      <c r="O188" s="253"/>
      <c r="P188" s="254"/>
      <c r="Q188" s="251"/>
      <c r="R188" s="251"/>
      <c r="S188" s="264">
        <f t="shared" si="401"/>
        <v>0</v>
      </c>
      <c r="T188" s="252" t="str" cm="1">
        <f t="array" ref="T188">INDEX(Trad, 52, $A$20)</f>
        <v>Sauber</v>
      </c>
      <c r="U188" s="253"/>
      <c r="V188" s="253"/>
      <c r="W188" s="254"/>
      <c r="X188" s="251"/>
      <c r="Y188" s="251"/>
      <c r="Z188" s="264">
        <f t="shared" si="402"/>
        <v>0</v>
      </c>
      <c r="AA188" s="261"/>
      <c r="AB188" s="258"/>
      <c r="AC188" s="246"/>
      <c r="AD188" s="247" t="str">
        <f>IF(ISBLANK(AC188), "", VLOOKUP(AC188, Z!$A$2:$C$4127, 3, FALSE))</f>
        <v/>
      </c>
      <c r="AE188" s="262"/>
      <c r="AF188" s="263">
        <f t="shared" si="403"/>
        <v>0</v>
      </c>
      <c r="AG188" s="238"/>
      <c r="AH188" s="229">
        <f t="shared" ref="AH188:AH251" si="427">IF(ISBLANK(H188), 1, IFERROR(MATCH(H188, INDEX(Use,,1), 0), IFERROR(MATCH(H188, INDEX(Use,,2), 0), MATCH(H188, INDEX(Use,,3), 0))))</f>
        <v>1</v>
      </c>
      <c r="AI188" s="229">
        <f t="shared" ref="AI188:AI251" si="428">IF(ISBLANK(G188), 1, IFERROR(MATCH(G188, INDEX(Loc,,1), 0), IFERROR(MATCH(G188, INDEX(Loc,,2), 0), MATCH(G188, INDEX(Loc,,3), 0))))</f>
        <v>1</v>
      </c>
      <c r="AJ188" s="229">
        <f t="shared" ref="AJ188:AJ251" si="429">_xlfn.IFNA(IF(IFERROR(MATCH(I188, INDEX(Medium,,1), 0), IFERROR(MATCH(I188, INDEX(Medium,,2), 0), MATCH(I188, INDEX(Medium,,3), 0))) = 2, 1, 0), 0)</f>
        <v>0</v>
      </c>
      <c r="AK188" s="229">
        <v>0</v>
      </c>
      <c r="AL188" s="229">
        <v>0</v>
      </c>
      <c r="AM188" s="229">
        <v>1</v>
      </c>
      <c r="AN188" s="229">
        <v>0</v>
      </c>
      <c r="AO188" s="229">
        <f t="shared" si="404"/>
        <v>-100</v>
      </c>
      <c r="AP188" s="238"/>
      <c r="AQ188" s="255"/>
      <c r="AR188" s="255"/>
      <c r="AS188" s="256"/>
      <c r="AT188" s="256"/>
      <c r="AU188" s="256"/>
      <c r="AV188" s="256"/>
      <c r="AW188" s="256"/>
      <c r="AX188" s="256"/>
      <c r="AY188" s="256"/>
      <c r="AZ188" s="256"/>
      <c r="BA188" s="256"/>
      <c r="BB188" s="256"/>
      <c r="BC188" s="256"/>
      <c r="BD188" s="238"/>
      <c r="BE188" s="229" cm="1">
        <f t="array" ref="BE188">IF(ISBLANK(R188), INDEX(Use, $AH188, 4) - AM188*INDEX(Use, $AH188, 6), R188)</f>
        <v>5</v>
      </c>
      <c r="BF188" s="229">
        <f t="shared" si="405"/>
        <v>30</v>
      </c>
      <c r="BG188" s="229">
        <f t="shared" si="241"/>
        <v>13</v>
      </c>
      <c r="BH188" s="229">
        <f t="shared" si="242"/>
        <v>0</v>
      </c>
      <c r="BI188" s="234" cm="1">
        <f t="array" ref="BI188">K188/IF($L188&gt;0, INDEX($AU$23:$BA$77, $L188+20, $AH188), 1)</f>
        <v>0</v>
      </c>
      <c r="BJ188" s="230">
        <f t="shared" si="406"/>
        <v>0</v>
      </c>
      <c r="BK188" s="229">
        <v>35</v>
      </c>
      <c r="BL188" s="230">
        <f t="shared" si="407"/>
        <v>48</v>
      </c>
      <c r="BM188" s="235">
        <f t="shared" si="408"/>
        <v>2.9108720930232557</v>
      </c>
      <c r="BN188" s="235" cm="1">
        <f t="array" ref="BN188">$BI188 * SUMPRODUCT(INDEX($AR$77:$AT$82,,$AI188),INDEX($AU$77:$BA$82,,$AH188), N($AQ$77:$AQ$82&gt;$AO188)) / BM188 / 1000</f>
        <v>0</v>
      </c>
      <c r="BO188" s="232">
        <f t="shared" si="246"/>
        <v>30</v>
      </c>
      <c r="BP188" s="230">
        <f t="shared" si="409"/>
        <v>43</v>
      </c>
      <c r="BQ188" s="235">
        <f t="shared" si="410"/>
        <v>3.2938815789473681</v>
      </c>
      <c r="BR188" s="235" cm="1">
        <f t="array" ref="BR188">$BI188 * IF($AH188&lt;=2,
SUMPRODUCT(INDEX($AR$72:$AT$76,,$AI188), INDEX($AU$72:$BA$76,,$AH188), 1 / ($BB$72:$BB$76*BQ188 + (1-$BB$72:$BB$76)*BM188), N($AQ$72:$AQ$76&gt;$AO188)),
SUMPRODUCT(INDEX($AR$67:$AT$76,,$AI188), INDEX($AU$67:$BA$76,,$AH188), 1 / ($BC$67:$BC$76*BQ188 + (1-$BC$67:$BC$76)*BM188), N($AQ$67:$AQ$76&gt;$AO188))
) / 1000</f>
        <v>0</v>
      </c>
      <c r="BS188" s="232">
        <f t="shared" si="249"/>
        <v>25</v>
      </c>
      <c r="BT188" s="230">
        <f t="shared" si="411"/>
        <v>38</v>
      </c>
      <c r="BU188" s="235">
        <f t="shared" si="412"/>
        <v>3.792954545454545</v>
      </c>
      <c r="BV188" s="235" cm="1">
        <f t="array" ref="BV188">$BI188 * IF($AH188&lt;=2,
SUMPRODUCT(INDEX($AR$67:$AT$71,,$AI188), INDEX($AU$67:$BA$71,,$AH188), 1 / ($BB$67:$BB$71*BU188 + (1-$BB$67:$BB$71)*BQ188), N($AQ$67:$AQ$71&gt;$AO188)),
SUMPRODUCT(INDEX($AR$57:$AT$66,,$AI188), INDEX($AU$57:$BA$66,,$AH188), 1 / ($BC$57:$BC$66*BU188 + (1-$BC$57:$BC$66)*BQ188), N($AQ$57:$AQ$66&gt;$AO188))
) / 1000</f>
        <v>0</v>
      </c>
      <c r="BW188" s="232">
        <f t="shared" si="252"/>
        <v>20</v>
      </c>
      <c r="BX188" s="230">
        <f t="shared" si="413"/>
        <v>33</v>
      </c>
      <c r="BY188" s="235">
        <f t="shared" si="414"/>
        <v>4.4702678571428569</v>
      </c>
      <c r="BZ188" s="235" cm="1">
        <f t="array" ref="BZ188">$BI188 * IF($AH188&lt;=2,
SUMPRODUCT(INDEX($AR$62:$AT$66,,$AI188), INDEX($AU$62:$BA$66,,$AH188), 1 / ($BB$62:$BB$66*BY188 + (1-$BB$62:$BB$66)*BU188), N($AQ$62:$AQ$66&gt;$AO188)),
SUMPRODUCT(INDEX($AR$47:$AT$56,,$AI188), INDEX($AU$47:$BA$56,,$AH188), 1 / ($BC$47:$BC$56*BY188 + (1-$BC$47:$BC$56)*BU188), N($AQ$47:$AQ$56&gt;$AO188))
) / 1000</f>
        <v>0</v>
      </c>
      <c r="CA188" s="235" cm="1">
        <f t="array" ref="CA188">$BI188 * IF($AH188&lt;=2,
SUMPRODUCT(INDEX($AR$23:$AT$61,,$AI188), INDEX($AU$23:$BA$61,,$AH188), 1 / ($BB$23:$BB$61*BY188), N($AQ$23:$AQ$61&gt;$AO188)),
SUMPRODUCT(INDEX($AR$23:$AT$46,,$AI188), INDEX($AU$23:$BA$46,,$AH188), 1 / ($BC$23:$BC$46*BY188), N($AQ$23:$AQ$46&gt;$AO188))
) / 1000</f>
        <v>0</v>
      </c>
      <c r="CB188" s="230">
        <f t="shared" si="415"/>
        <v>0</v>
      </c>
      <c r="CC188" s="238"/>
      <c r="CD188" s="229" cm="1">
        <f t="array" ref="CD188">IF(ISBLANK(Y188), INDEX(Use, $AH188, 4) - AN188*INDEX(Use, $AH188, 6) - (Q188-X188), Y188)</f>
        <v>7</v>
      </c>
      <c r="CE188" s="229">
        <f t="shared" si="416"/>
        <v>32</v>
      </c>
      <c r="CF188" s="230">
        <f t="shared" si="417"/>
        <v>0</v>
      </c>
      <c r="CG188" s="229">
        <v>35</v>
      </c>
      <c r="CH188" s="230">
        <f t="shared" si="418"/>
        <v>48</v>
      </c>
      <c r="CI188" s="235">
        <f t="shared" si="419"/>
        <v>3.0748170731707316</v>
      </c>
      <c r="CJ188" s="235" cm="1">
        <f t="array" ref="CJ188">$BI188 * SUMPRODUCT(INDEX($AR$77:$AT$82,,$AI188),INDEX($AU$77:$BA$82,,$AH188), N($AQ$77:$AQ$82&gt;$AO188)) / CI188 / 1000</f>
        <v>0</v>
      </c>
      <c r="CK188" s="232">
        <f t="shared" si="260"/>
        <v>30</v>
      </c>
      <c r="CL188" s="230">
        <f t="shared" si="420"/>
        <v>43</v>
      </c>
      <c r="CM188" s="235">
        <f t="shared" si="421"/>
        <v>3.5018750000000001</v>
      </c>
      <c r="CN188" s="235" cm="1">
        <f t="array" ref="CN188">$BI188 * IF($AH188&lt;=2,
SUMPRODUCT(INDEX($AR$72:$AT$76,,$AI188), INDEX($AU$72:$BA$76,,$AH188), 1 / ($BB$72:$BB$76*CM188 + (1-$BB$72:$BB$76)*CI188), N($AQ$72:$AQ$76&gt;$AO188)),
SUMPRODUCT(INDEX($AR$67:$AT$76,,$AI188), INDEX($AU$67:$BA$76,,$AH188), 1 / ($BC$67:$BC$76*CM188 + (1-$BC$67:$BC$76)*CI188), N($AQ$67:$AQ$76&gt;$AO188))
) / 1000</f>
        <v>0</v>
      </c>
      <c r="CO188" s="232">
        <f t="shared" si="263"/>
        <v>25</v>
      </c>
      <c r="CP188" s="230">
        <f t="shared" si="422"/>
        <v>38</v>
      </c>
      <c r="CQ188" s="235">
        <f t="shared" si="423"/>
        <v>4.0666935483870965</v>
      </c>
      <c r="CR188" s="235" cm="1">
        <f t="array" ref="CR188">$BI188 * IF($AH188&lt;=2,
SUMPRODUCT(INDEX($AR$67:$AT$71,,$AI188), INDEX($AU$67:$BA$71,,$AH188), 1 / ($BB$67:$BB$71*CQ188 + (1-$BB$67:$BB$71)*CM188), N($AQ$67:$AQ$71&gt;$AO188)),
SUMPRODUCT(INDEX($AR$57:$AT$66,,$AI188), INDEX($AU$57:$BA$66,,$AH188), 1 / ($BC$57:$BC$66*CQ188 + (1-$BC$57:$BC$66)*CM188), N($AQ$57:$AQ$66&gt;$AO188))
) / 1000</f>
        <v>0</v>
      </c>
      <c r="CS188" s="232">
        <f t="shared" si="266"/>
        <v>20</v>
      </c>
      <c r="CT188" s="230">
        <f t="shared" si="424"/>
        <v>33</v>
      </c>
      <c r="CU188" s="235">
        <f t="shared" si="425"/>
        <v>4.8487499999999999</v>
      </c>
      <c r="CV188" s="235" cm="1">
        <f t="array" ref="CV188">$BI188 * IF($AH188&lt;=2,
SUMPRODUCT(INDEX($AR$62:$AT$66,,$AI188), INDEX($AU$62:$BA$66,,$AH188), 1 / ($BB$62:$BB$66*CU188 + (1-$BB$62:$BB$66)*CQ188), N($AQ$62:$AQ$66&gt;$AO188)),
SUMPRODUCT(INDEX($AR$47:$AT$56,,$AI188), INDEX($AU$47:$BA$56,,$AH188), 1 / ($BC$47:$BC$56*CU188 + (1-$BC$47:$BC$56)*CQ188), N($AQ$47:$AQ$56&gt;$AO188))
) / 1000</f>
        <v>0</v>
      </c>
      <c r="CW188" s="235" cm="1">
        <f t="array" ref="CW188">$BI188 * IF($AH188&lt;=2,
SUMPRODUCT(INDEX($AR$23:$AT$61,,$AI188), INDEX($AU$23:$BA$61,,$AH188), 1 / ($BB$23:$BB$61*CU188), N($AQ$23:$AQ$61&gt;$AO188)),
SUMPRODUCT(INDEX($AR$23:$AT$46,,$AI188), INDEX($AU$23:$BA$46,,$AH188), 1 / ($BC$23:$BC$46*CU188), N($AQ$23:$AQ$46&gt;$AO188))
) / 1000</f>
        <v>0</v>
      </c>
      <c r="CX188" s="230">
        <f t="shared" si="426"/>
        <v>0</v>
      </c>
      <c r="CY188" s="238"/>
    </row>
    <row r="189" spans="1:103" s="76" customFormat="1" ht="14.25" customHeight="1" x14ac:dyDescent="0.2">
      <c r="A189" s="231" t="b">
        <f t="shared" si="229"/>
        <v>0</v>
      </c>
      <c r="B189" s="245">
        <v>167</v>
      </c>
      <c r="C189" s="258"/>
      <c r="D189" s="258"/>
      <c r="E189" s="246"/>
      <c r="F189" s="247" t="str">
        <f>IF(ISBLANK(E189), "", VLOOKUP(E189, Z!$A$2:$C$4127, 3, FALSE))</f>
        <v/>
      </c>
      <c r="G189" s="248"/>
      <c r="H189" s="248"/>
      <c r="I189" s="249"/>
      <c r="J189" s="250"/>
      <c r="K189" s="259"/>
      <c r="L189" s="260"/>
      <c r="M189" s="252" t="str" cm="1">
        <f t="array" ref="M189">INDEX(Trad, 53, $A$20)</f>
        <v>Verschmutzt</v>
      </c>
      <c r="N189" s="253"/>
      <c r="O189" s="253"/>
      <c r="P189" s="254"/>
      <c r="Q189" s="251"/>
      <c r="R189" s="251"/>
      <c r="S189" s="264">
        <f t="shared" si="401"/>
        <v>0</v>
      </c>
      <c r="T189" s="252" t="str" cm="1">
        <f t="array" ref="T189">INDEX(Trad, 52, $A$20)</f>
        <v>Sauber</v>
      </c>
      <c r="U189" s="253"/>
      <c r="V189" s="253"/>
      <c r="W189" s="254"/>
      <c r="X189" s="251"/>
      <c r="Y189" s="251"/>
      <c r="Z189" s="264">
        <f t="shared" si="402"/>
        <v>0</v>
      </c>
      <c r="AA189" s="261"/>
      <c r="AB189" s="258"/>
      <c r="AC189" s="246"/>
      <c r="AD189" s="247" t="str">
        <f>IF(ISBLANK(AC189), "", VLOOKUP(AC189, Z!$A$2:$C$4127, 3, FALSE))</f>
        <v/>
      </c>
      <c r="AE189" s="262"/>
      <c r="AF189" s="263">
        <f t="shared" si="403"/>
        <v>0</v>
      </c>
      <c r="AG189" s="238"/>
      <c r="AH189" s="229">
        <f t="shared" si="427"/>
        <v>1</v>
      </c>
      <c r="AI189" s="229">
        <f t="shared" si="428"/>
        <v>1</v>
      </c>
      <c r="AJ189" s="229">
        <f t="shared" si="429"/>
        <v>0</v>
      </c>
      <c r="AK189" s="229">
        <v>0</v>
      </c>
      <c r="AL189" s="229">
        <v>0</v>
      </c>
      <c r="AM189" s="229">
        <v>1</v>
      </c>
      <c r="AN189" s="229">
        <v>0</v>
      </c>
      <c r="AO189" s="229">
        <f t="shared" si="404"/>
        <v>-100</v>
      </c>
      <c r="AP189" s="238"/>
      <c r="AQ189" s="255"/>
      <c r="AR189" s="255"/>
      <c r="AS189" s="256"/>
      <c r="AT189" s="256"/>
      <c r="AU189" s="256"/>
      <c r="AV189" s="256"/>
      <c r="AW189" s="256"/>
      <c r="AX189" s="256"/>
      <c r="AY189" s="256"/>
      <c r="AZ189" s="256"/>
      <c r="BA189" s="256"/>
      <c r="BB189" s="256"/>
      <c r="BC189" s="256"/>
      <c r="BD189" s="238"/>
      <c r="BE189" s="229" cm="1">
        <f t="array" ref="BE189">IF(ISBLANK(R189), INDEX(Use, $AH189, 4) - AM189*INDEX(Use, $AH189, 6), R189)</f>
        <v>5</v>
      </c>
      <c r="BF189" s="229">
        <f t="shared" si="405"/>
        <v>30</v>
      </c>
      <c r="BG189" s="229">
        <f t="shared" si="241"/>
        <v>13</v>
      </c>
      <c r="BH189" s="229">
        <f t="shared" si="242"/>
        <v>0</v>
      </c>
      <c r="BI189" s="234" cm="1">
        <f t="array" ref="BI189">K189/IF($L189&gt;0, INDEX($AU$23:$BA$77, $L189+20, $AH189), 1)</f>
        <v>0</v>
      </c>
      <c r="BJ189" s="230">
        <f t="shared" si="406"/>
        <v>0</v>
      </c>
      <c r="BK189" s="229">
        <v>35</v>
      </c>
      <c r="BL189" s="230">
        <f t="shared" si="407"/>
        <v>48</v>
      </c>
      <c r="BM189" s="235">
        <f t="shared" si="408"/>
        <v>2.9108720930232557</v>
      </c>
      <c r="BN189" s="235" cm="1">
        <f t="array" ref="BN189">$BI189 * SUMPRODUCT(INDEX($AR$77:$AT$82,,$AI189),INDEX($AU$77:$BA$82,,$AH189), N($AQ$77:$AQ$82&gt;$AO189)) / BM189 / 1000</f>
        <v>0</v>
      </c>
      <c r="BO189" s="232">
        <f t="shared" si="246"/>
        <v>30</v>
      </c>
      <c r="BP189" s="230">
        <f t="shared" si="409"/>
        <v>43</v>
      </c>
      <c r="BQ189" s="235">
        <f t="shared" si="410"/>
        <v>3.2938815789473681</v>
      </c>
      <c r="BR189" s="235" cm="1">
        <f t="array" ref="BR189">$BI189 * IF($AH189&lt;=2,
SUMPRODUCT(INDEX($AR$72:$AT$76,,$AI189), INDEX($AU$72:$BA$76,,$AH189), 1 / ($BB$72:$BB$76*BQ189 + (1-$BB$72:$BB$76)*BM189), N($AQ$72:$AQ$76&gt;$AO189)),
SUMPRODUCT(INDEX($AR$67:$AT$76,,$AI189), INDEX($AU$67:$BA$76,,$AH189), 1 / ($BC$67:$BC$76*BQ189 + (1-$BC$67:$BC$76)*BM189), N($AQ$67:$AQ$76&gt;$AO189))
) / 1000</f>
        <v>0</v>
      </c>
      <c r="BS189" s="232">
        <f t="shared" si="249"/>
        <v>25</v>
      </c>
      <c r="BT189" s="230">
        <f t="shared" si="411"/>
        <v>38</v>
      </c>
      <c r="BU189" s="235">
        <f t="shared" si="412"/>
        <v>3.792954545454545</v>
      </c>
      <c r="BV189" s="235" cm="1">
        <f t="array" ref="BV189">$BI189 * IF($AH189&lt;=2,
SUMPRODUCT(INDEX($AR$67:$AT$71,,$AI189), INDEX($AU$67:$BA$71,,$AH189), 1 / ($BB$67:$BB$71*BU189 + (1-$BB$67:$BB$71)*BQ189), N($AQ$67:$AQ$71&gt;$AO189)),
SUMPRODUCT(INDEX($AR$57:$AT$66,,$AI189), INDEX($AU$57:$BA$66,,$AH189), 1 / ($BC$57:$BC$66*BU189 + (1-$BC$57:$BC$66)*BQ189), N($AQ$57:$AQ$66&gt;$AO189))
) / 1000</f>
        <v>0</v>
      </c>
      <c r="BW189" s="232">
        <f t="shared" si="252"/>
        <v>20</v>
      </c>
      <c r="BX189" s="230">
        <f t="shared" si="413"/>
        <v>33</v>
      </c>
      <c r="BY189" s="235">
        <f t="shared" si="414"/>
        <v>4.4702678571428569</v>
      </c>
      <c r="BZ189" s="235" cm="1">
        <f t="array" ref="BZ189">$BI189 * IF($AH189&lt;=2,
SUMPRODUCT(INDEX($AR$62:$AT$66,,$AI189), INDEX($AU$62:$BA$66,,$AH189), 1 / ($BB$62:$BB$66*BY189 + (1-$BB$62:$BB$66)*BU189), N($AQ$62:$AQ$66&gt;$AO189)),
SUMPRODUCT(INDEX($AR$47:$AT$56,,$AI189), INDEX($AU$47:$BA$56,,$AH189), 1 / ($BC$47:$BC$56*BY189 + (1-$BC$47:$BC$56)*BU189), N($AQ$47:$AQ$56&gt;$AO189))
) / 1000</f>
        <v>0</v>
      </c>
      <c r="CA189" s="235" cm="1">
        <f t="array" ref="CA189">$BI189 * IF($AH189&lt;=2,
SUMPRODUCT(INDEX($AR$23:$AT$61,,$AI189), INDEX($AU$23:$BA$61,,$AH189), 1 / ($BB$23:$BB$61*BY189), N($AQ$23:$AQ$61&gt;$AO189)),
SUMPRODUCT(INDEX($AR$23:$AT$46,,$AI189), INDEX($AU$23:$BA$46,,$AH189), 1 / ($BC$23:$BC$46*BY189), N($AQ$23:$AQ$46&gt;$AO189))
) / 1000</f>
        <v>0</v>
      </c>
      <c r="CB189" s="230">
        <f t="shared" si="415"/>
        <v>0</v>
      </c>
      <c r="CC189" s="238"/>
      <c r="CD189" s="229" cm="1">
        <f t="array" ref="CD189">IF(ISBLANK(Y189), INDEX(Use, $AH189, 4) - AN189*INDEX(Use, $AH189, 6) - (Q189-X189), Y189)</f>
        <v>7</v>
      </c>
      <c r="CE189" s="229">
        <f t="shared" si="416"/>
        <v>32</v>
      </c>
      <c r="CF189" s="230">
        <f t="shared" si="417"/>
        <v>0</v>
      </c>
      <c r="CG189" s="229">
        <v>35</v>
      </c>
      <c r="CH189" s="230">
        <f t="shared" si="418"/>
        <v>48</v>
      </c>
      <c r="CI189" s="235">
        <f t="shared" si="419"/>
        <v>3.0748170731707316</v>
      </c>
      <c r="CJ189" s="235" cm="1">
        <f t="array" ref="CJ189">$BI189 * SUMPRODUCT(INDEX($AR$77:$AT$82,,$AI189),INDEX($AU$77:$BA$82,,$AH189), N($AQ$77:$AQ$82&gt;$AO189)) / CI189 / 1000</f>
        <v>0</v>
      </c>
      <c r="CK189" s="232">
        <f t="shared" si="260"/>
        <v>30</v>
      </c>
      <c r="CL189" s="230">
        <f t="shared" si="420"/>
        <v>43</v>
      </c>
      <c r="CM189" s="235">
        <f t="shared" si="421"/>
        <v>3.5018750000000001</v>
      </c>
      <c r="CN189" s="235" cm="1">
        <f t="array" ref="CN189">$BI189 * IF($AH189&lt;=2,
SUMPRODUCT(INDEX($AR$72:$AT$76,,$AI189), INDEX($AU$72:$BA$76,,$AH189), 1 / ($BB$72:$BB$76*CM189 + (1-$BB$72:$BB$76)*CI189), N($AQ$72:$AQ$76&gt;$AO189)),
SUMPRODUCT(INDEX($AR$67:$AT$76,,$AI189), INDEX($AU$67:$BA$76,,$AH189), 1 / ($BC$67:$BC$76*CM189 + (1-$BC$67:$BC$76)*CI189), N($AQ$67:$AQ$76&gt;$AO189))
) / 1000</f>
        <v>0</v>
      </c>
      <c r="CO189" s="232">
        <f t="shared" si="263"/>
        <v>25</v>
      </c>
      <c r="CP189" s="230">
        <f t="shared" si="422"/>
        <v>38</v>
      </c>
      <c r="CQ189" s="235">
        <f t="shared" si="423"/>
        <v>4.0666935483870965</v>
      </c>
      <c r="CR189" s="235" cm="1">
        <f t="array" ref="CR189">$BI189 * IF($AH189&lt;=2,
SUMPRODUCT(INDEX($AR$67:$AT$71,,$AI189), INDEX($AU$67:$BA$71,,$AH189), 1 / ($BB$67:$BB$71*CQ189 + (1-$BB$67:$BB$71)*CM189), N($AQ$67:$AQ$71&gt;$AO189)),
SUMPRODUCT(INDEX($AR$57:$AT$66,,$AI189), INDEX($AU$57:$BA$66,,$AH189), 1 / ($BC$57:$BC$66*CQ189 + (1-$BC$57:$BC$66)*CM189), N($AQ$57:$AQ$66&gt;$AO189))
) / 1000</f>
        <v>0</v>
      </c>
      <c r="CS189" s="232">
        <f t="shared" si="266"/>
        <v>20</v>
      </c>
      <c r="CT189" s="230">
        <f t="shared" si="424"/>
        <v>33</v>
      </c>
      <c r="CU189" s="235">
        <f t="shared" si="425"/>
        <v>4.8487499999999999</v>
      </c>
      <c r="CV189" s="235" cm="1">
        <f t="array" ref="CV189">$BI189 * IF($AH189&lt;=2,
SUMPRODUCT(INDEX($AR$62:$AT$66,,$AI189), INDEX($AU$62:$BA$66,,$AH189), 1 / ($BB$62:$BB$66*CU189 + (1-$BB$62:$BB$66)*CQ189), N($AQ$62:$AQ$66&gt;$AO189)),
SUMPRODUCT(INDEX($AR$47:$AT$56,,$AI189), INDEX($AU$47:$BA$56,,$AH189), 1 / ($BC$47:$BC$56*CU189 + (1-$BC$47:$BC$56)*CQ189), N($AQ$47:$AQ$56&gt;$AO189))
) / 1000</f>
        <v>0</v>
      </c>
      <c r="CW189" s="235" cm="1">
        <f t="array" ref="CW189">$BI189 * IF($AH189&lt;=2,
SUMPRODUCT(INDEX($AR$23:$AT$61,,$AI189), INDEX($AU$23:$BA$61,,$AH189), 1 / ($BB$23:$BB$61*CU189), N($AQ$23:$AQ$61&gt;$AO189)),
SUMPRODUCT(INDEX($AR$23:$AT$46,,$AI189), INDEX($AU$23:$BA$46,,$AH189), 1 / ($BC$23:$BC$46*CU189), N($AQ$23:$AQ$46&gt;$AO189))
) / 1000</f>
        <v>0</v>
      </c>
      <c r="CX189" s="230">
        <f t="shared" si="426"/>
        <v>0</v>
      </c>
      <c r="CY189" s="238"/>
    </row>
    <row r="190" spans="1:103" s="76" customFormat="1" ht="14.25" customHeight="1" x14ac:dyDescent="0.2">
      <c r="A190" s="231" t="b">
        <f t="shared" si="229"/>
        <v>0</v>
      </c>
      <c r="B190" s="245">
        <v>168</v>
      </c>
      <c r="C190" s="258"/>
      <c r="D190" s="258"/>
      <c r="E190" s="246"/>
      <c r="F190" s="247" t="str">
        <f>IF(ISBLANK(E190), "", VLOOKUP(E190, Z!$A$2:$C$4127, 3, FALSE))</f>
        <v/>
      </c>
      <c r="G190" s="248"/>
      <c r="H190" s="248"/>
      <c r="I190" s="249"/>
      <c r="J190" s="250"/>
      <c r="K190" s="259"/>
      <c r="L190" s="260"/>
      <c r="M190" s="252" t="str" cm="1">
        <f t="array" ref="M190">INDEX(Trad, 53, $A$20)</f>
        <v>Verschmutzt</v>
      </c>
      <c r="N190" s="253"/>
      <c r="O190" s="253"/>
      <c r="P190" s="254"/>
      <c r="Q190" s="251"/>
      <c r="R190" s="251"/>
      <c r="S190" s="264">
        <f t="shared" si="401"/>
        <v>0</v>
      </c>
      <c r="T190" s="252" t="str" cm="1">
        <f t="array" ref="T190">INDEX(Trad, 52, $A$20)</f>
        <v>Sauber</v>
      </c>
      <c r="U190" s="253"/>
      <c r="V190" s="253"/>
      <c r="W190" s="254"/>
      <c r="X190" s="251"/>
      <c r="Y190" s="251"/>
      <c r="Z190" s="264">
        <f t="shared" si="402"/>
        <v>0</v>
      </c>
      <c r="AA190" s="261"/>
      <c r="AB190" s="258"/>
      <c r="AC190" s="246"/>
      <c r="AD190" s="247" t="str">
        <f>IF(ISBLANK(AC190), "", VLOOKUP(AC190, Z!$A$2:$C$4127, 3, FALSE))</f>
        <v/>
      </c>
      <c r="AE190" s="262"/>
      <c r="AF190" s="263">
        <f t="shared" si="403"/>
        <v>0</v>
      </c>
      <c r="AG190" s="238"/>
      <c r="AH190" s="229">
        <f t="shared" si="427"/>
        <v>1</v>
      </c>
      <c r="AI190" s="229">
        <f t="shared" si="428"/>
        <v>1</v>
      </c>
      <c r="AJ190" s="229">
        <f t="shared" si="429"/>
        <v>0</v>
      </c>
      <c r="AK190" s="229">
        <v>0</v>
      </c>
      <c r="AL190" s="229">
        <v>0</v>
      </c>
      <c r="AM190" s="229">
        <v>1</v>
      </c>
      <c r="AN190" s="229">
        <v>0</v>
      </c>
      <c r="AO190" s="229">
        <f t="shared" si="404"/>
        <v>-100</v>
      </c>
      <c r="AP190" s="238"/>
      <c r="AQ190" s="255"/>
      <c r="AR190" s="255"/>
      <c r="AS190" s="256"/>
      <c r="AT190" s="256"/>
      <c r="AU190" s="256"/>
      <c r="AV190" s="256"/>
      <c r="AW190" s="256"/>
      <c r="AX190" s="256"/>
      <c r="AY190" s="256"/>
      <c r="AZ190" s="256"/>
      <c r="BA190" s="256"/>
      <c r="BB190" s="256"/>
      <c r="BC190" s="256"/>
      <c r="BD190" s="238"/>
      <c r="BE190" s="229" cm="1">
        <f t="array" ref="BE190">IF(ISBLANK(R190), INDEX(Use, $AH190, 4) - AM190*INDEX(Use, $AH190, 6), R190)</f>
        <v>5</v>
      </c>
      <c r="BF190" s="229">
        <f t="shared" si="405"/>
        <v>30</v>
      </c>
      <c r="BG190" s="229">
        <f t="shared" si="241"/>
        <v>13</v>
      </c>
      <c r="BH190" s="229">
        <f t="shared" si="242"/>
        <v>0</v>
      </c>
      <c r="BI190" s="234" cm="1">
        <f t="array" ref="BI190">K190/IF($L190&gt;0, INDEX($AU$23:$BA$77, $L190+20, $AH190), 1)</f>
        <v>0</v>
      </c>
      <c r="BJ190" s="230">
        <f t="shared" si="406"/>
        <v>0</v>
      </c>
      <c r="BK190" s="229">
        <v>35</v>
      </c>
      <c r="BL190" s="230">
        <f t="shared" si="407"/>
        <v>48</v>
      </c>
      <c r="BM190" s="235">
        <f t="shared" si="408"/>
        <v>2.9108720930232557</v>
      </c>
      <c r="BN190" s="235" cm="1">
        <f t="array" ref="BN190">$BI190 * SUMPRODUCT(INDEX($AR$77:$AT$82,,$AI190),INDEX($AU$77:$BA$82,,$AH190), N($AQ$77:$AQ$82&gt;$AO190)) / BM190 / 1000</f>
        <v>0</v>
      </c>
      <c r="BO190" s="232">
        <f t="shared" si="246"/>
        <v>30</v>
      </c>
      <c r="BP190" s="230">
        <f t="shared" si="409"/>
        <v>43</v>
      </c>
      <c r="BQ190" s="235">
        <f t="shared" si="410"/>
        <v>3.2938815789473681</v>
      </c>
      <c r="BR190" s="235" cm="1">
        <f t="array" ref="BR190">$BI190 * IF($AH190&lt;=2,
SUMPRODUCT(INDEX($AR$72:$AT$76,,$AI190), INDEX($AU$72:$BA$76,,$AH190), 1 / ($BB$72:$BB$76*BQ190 + (1-$BB$72:$BB$76)*BM190), N($AQ$72:$AQ$76&gt;$AO190)),
SUMPRODUCT(INDEX($AR$67:$AT$76,,$AI190), INDEX($AU$67:$BA$76,,$AH190), 1 / ($BC$67:$BC$76*BQ190 + (1-$BC$67:$BC$76)*BM190), N($AQ$67:$AQ$76&gt;$AO190))
) / 1000</f>
        <v>0</v>
      </c>
      <c r="BS190" s="232">
        <f t="shared" si="249"/>
        <v>25</v>
      </c>
      <c r="BT190" s="230">
        <f t="shared" si="411"/>
        <v>38</v>
      </c>
      <c r="BU190" s="235">
        <f t="shared" si="412"/>
        <v>3.792954545454545</v>
      </c>
      <c r="BV190" s="235" cm="1">
        <f t="array" ref="BV190">$BI190 * IF($AH190&lt;=2,
SUMPRODUCT(INDEX($AR$67:$AT$71,,$AI190), INDEX($AU$67:$BA$71,,$AH190), 1 / ($BB$67:$BB$71*BU190 + (1-$BB$67:$BB$71)*BQ190), N($AQ$67:$AQ$71&gt;$AO190)),
SUMPRODUCT(INDEX($AR$57:$AT$66,,$AI190), INDEX($AU$57:$BA$66,,$AH190), 1 / ($BC$57:$BC$66*BU190 + (1-$BC$57:$BC$66)*BQ190), N($AQ$57:$AQ$66&gt;$AO190))
) / 1000</f>
        <v>0</v>
      </c>
      <c r="BW190" s="232">
        <f t="shared" si="252"/>
        <v>20</v>
      </c>
      <c r="BX190" s="230">
        <f t="shared" si="413"/>
        <v>33</v>
      </c>
      <c r="BY190" s="235">
        <f t="shared" si="414"/>
        <v>4.4702678571428569</v>
      </c>
      <c r="BZ190" s="235" cm="1">
        <f t="array" ref="BZ190">$BI190 * IF($AH190&lt;=2,
SUMPRODUCT(INDEX($AR$62:$AT$66,,$AI190), INDEX($AU$62:$BA$66,,$AH190), 1 / ($BB$62:$BB$66*BY190 + (1-$BB$62:$BB$66)*BU190), N($AQ$62:$AQ$66&gt;$AO190)),
SUMPRODUCT(INDEX($AR$47:$AT$56,,$AI190), INDEX($AU$47:$BA$56,,$AH190), 1 / ($BC$47:$BC$56*BY190 + (1-$BC$47:$BC$56)*BU190), N($AQ$47:$AQ$56&gt;$AO190))
) / 1000</f>
        <v>0</v>
      </c>
      <c r="CA190" s="235" cm="1">
        <f t="array" ref="CA190">$BI190 * IF($AH190&lt;=2,
SUMPRODUCT(INDEX($AR$23:$AT$61,,$AI190), INDEX($AU$23:$BA$61,,$AH190), 1 / ($BB$23:$BB$61*BY190), N($AQ$23:$AQ$61&gt;$AO190)),
SUMPRODUCT(INDEX($AR$23:$AT$46,,$AI190), INDEX($AU$23:$BA$46,,$AH190), 1 / ($BC$23:$BC$46*BY190), N($AQ$23:$AQ$46&gt;$AO190))
) / 1000</f>
        <v>0</v>
      </c>
      <c r="CB190" s="230">
        <f t="shared" si="415"/>
        <v>0</v>
      </c>
      <c r="CC190" s="238"/>
      <c r="CD190" s="229" cm="1">
        <f t="array" ref="CD190">IF(ISBLANK(Y190), INDEX(Use, $AH190, 4) - AN190*INDEX(Use, $AH190, 6) - (Q190-X190), Y190)</f>
        <v>7</v>
      </c>
      <c r="CE190" s="229">
        <f t="shared" si="416"/>
        <v>32</v>
      </c>
      <c r="CF190" s="230">
        <f t="shared" si="417"/>
        <v>0</v>
      </c>
      <c r="CG190" s="229">
        <v>35</v>
      </c>
      <c r="CH190" s="230">
        <f t="shared" si="418"/>
        <v>48</v>
      </c>
      <c r="CI190" s="235">
        <f t="shared" si="419"/>
        <v>3.0748170731707316</v>
      </c>
      <c r="CJ190" s="235" cm="1">
        <f t="array" ref="CJ190">$BI190 * SUMPRODUCT(INDEX($AR$77:$AT$82,,$AI190),INDEX($AU$77:$BA$82,,$AH190), N($AQ$77:$AQ$82&gt;$AO190)) / CI190 / 1000</f>
        <v>0</v>
      </c>
      <c r="CK190" s="232">
        <f t="shared" si="260"/>
        <v>30</v>
      </c>
      <c r="CL190" s="230">
        <f t="shared" si="420"/>
        <v>43</v>
      </c>
      <c r="CM190" s="235">
        <f t="shared" si="421"/>
        <v>3.5018750000000001</v>
      </c>
      <c r="CN190" s="235" cm="1">
        <f t="array" ref="CN190">$BI190 * IF($AH190&lt;=2,
SUMPRODUCT(INDEX($AR$72:$AT$76,,$AI190), INDEX($AU$72:$BA$76,,$AH190), 1 / ($BB$72:$BB$76*CM190 + (1-$BB$72:$BB$76)*CI190), N($AQ$72:$AQ$76&gt;$AO190)),
SUMPRODUCT(INDEX($AR$67:$AT$76,,$AI190), INDEX($AU$67:$BA$76,,$AH190), 1 / ($BC$67:$BC$76*CM190 + (1-$BC$67:$BC$76)*CI190), N($AQ$67:$AQ$76&gt;$AO190))
) / 1000</f>
        <v>0</v>
      </c>
      <c r="CO190" s="232">
        <f t="shared" si="263"/>
        <v>25</v>
      </c>
      <c r="CP190" s="230">
        <f t="shared" si="422"/>
        <v>38</v>
      </c>
      <c r="CQ190" s="235">
        <f t="shared" si="423"/>
        <v>4.0666935483870965</v>
      </c>
      <c r="CR190" s="235" cm="1">
        <f t="array" ref="CR190">$BI190 * IF($AH190&lt;=2,
SUMPRODUCT(INDEX($AR$67:$AT$71,,$AI190), INDEX($AU$67:$BA$71,,$AH190), 1 / ($BB$67:$BB$71*CQ190 + (1-$BB$67:$BB$71)*CM190), N($AQ$67:$AQ$71&gt;$AO190)),
SUMPRODUCT(INDEX($AR$57:$AT$66,,$AI190), INDEX($AU$57:$BA$66,,$AH190), 1 / ($BC$57:$BC$66*CQ190 + (1-$BC$57:$BC$66)*CM190), N($AQ$57:$AQ$66&gt;$AO190))
) / 1000</f>
        <v>0</v>
      </c>
      <c r="CS190" s="232">
        <f t="shared" si="266"/>
        <v>20</v>
      </c>
      <c r="CT190" s="230">
        <f t="shared" si="424"/>
        <v>33</v>
      </c>
      <c r="CU190" s="235">
        <f t="shared" si="425"/>
        <v>4.8487499999999999</v>
      </c>
      <c r="CV190" s="235" cm="1">
        <f t="array" ref="CV190">$BI190 * IF($AH190&lt;=2,
SUMPRODUCT(INDEX($AR$62:$AT$66,,$AI190), INDEX($AU$62:$BA$66,,$AH190), 1 / ($BB$62:$BB$66*CU190 + (1-$BB$62:$BB$66)*CQ190), N($AQ$62:$AQ$66&gt;$AO190)),
SUMPRODUCT(INDEX($AR$47:$AT$56,,$AI190), INDEX($AU$47:$BA$56,,$AH190), 1 / ($BC$47:$BC$56*CU190 + (1-$BC$47:$BC$56)*CQ190), N($AQ$47:$AQ$56&gt;$AO190))
) / 1000</f>
        <v>0</v>
      </c>
      <c r="CW190" s="235" cm="1">
        <f t="array" ref="CW190">$BI190 * IF($AH190&lt;=2,
SUMPRODUCT(INDEX($AR$23:$AT$61,,$AI190), INDEX($AU$23:$BA$61,,$AH190), 1 / ($BB$23:$BB$61*CU190), N($AQ$23:$AQ$61&gt;$AO190)),
SUMPRODUCT(INDEX($AR$23:$AT$46,,$AI190), INDEX($AU$23:$BA$46,,$AH190), 1 / ($BC$23:$BC$46*CU190), N($AQ$23:$AQ$46&gt;$AO190))
) / 1000</f>
        <v>0</v>
      </c>
      <c r="CX190" s="230">
        <f t="shared" si="426"/>
        <v>0</v>
      </c>
      <c r="CY190" s="238"/>
    </row>
    <row r="191" spans="1:103" s="76" customFormat="1" ht="14.25" customHeight="1" x14ac:dyDescent="0.2">
      <c r="A191" s="231" t="b">
        <f t="shared" si="229"/>
        <v>0</v>
      </c>
      <c r="B191" s="245">
        <v>169</v>
      </c>
      <c r="C191" s="258"/>
      <c r="D191" s="258"/>
      <c r="E191" s="246"/>
      <c r="F191" s="247" t="str">
        <f>IF(ISBLANK(E191), "", VLOOKUP(E191, Z!$A$2:$C$4127, 3, FALSE))</f>
        <v/>
      </c>
      <c r="G191" s="248"/>
      <c r="H191" s="248"/>
      <c r="I191" s="249"/>
      <c r="J191" s="250"/>
      <c r="K191" s="259"/>
      <c r="L191" s="260"/>
      <c r="M191" s="252" t="str" cm="1">
        <f t="array" ref="M191">INDEX(Trad, 53, $A$20)</f>
        <v>Verschmutzt</v>
      </c>
      <c r="N191" s="253"/>
      <c r="O191" s="253"/>
      <c r="P191" s="254"/>
      <c r="Q191" s="251"/>
      <c r="R191" s="251"/>
      <c r="S191" s="264">
        <f t="shared" si="401"/>
        <v>0</v>
      </c>
      <c r="T191" s="252" t="str" cm="1">
        <f t="array" ref="T191">INDEX(Trad, 52, $A$20)</f>
        <v>Sauber</v>
      </c>
      <c r="U191" s="253"/>
      <c r="V191" s="253"/>
      <c r="W191" s="254"/>
      <c r="X191" s="251"/>
      <c r="Y191" s="251"/>
      <c r="Z191" s="264">
        <f t="shared" si="402"/>
        <v>0</v>
      </c>
      <c r="AA191" s="261"/>
      <c r="AB191" s="258"/>
      <c r="AC191" s="246"/>
      <c r="AD191" s="247" t="str">
        <f>IF(ISBLANK(AC191), "", VLOOKUP(AC191, Z!$A$2:$C$4127, 3, FALSE))</f>
        <v/>
      </c>
      <c r="AE191" s="262"/>
      <c r="AF191" s="263">
        <f t="shared" si="403"/>
        <v>0</v>
      </c>
      <c r="AG191" s="238"/>
      <c r="AH191" s="229">
        <f t="shared" si="427"/>
        <v>1</v>
      </c>
      <c r="AI191" s="229">
        <f t="shared" si="428"/>
        <v>1</v>
      </c>
      <c r="AJ191" s="229">
        <f t="shared" si="429"/>
        <v>0</v>
      </c>
      <c r="AK191" s="229">
        <v>0</v>
      </c>
      <c r="AL191" s="229">
        <v>0</v>
      </c>
      <c r="AM191" s="229">
        <v>1</v>
      </c>
      <c r="AN191" s="229">
        <v>0</v>
      </c>
      <c r="AO191" s="229">
        <f t="shared" si="404"/>
        <v>-100</v>
      </c>
      <c r="AP191" s="238"/>
      <c r="AQ191" s="255"/>
      <c r="AR191" s="255"/>
      <c r="AS191" s="256"/>
      <c r="AT191" s="256"/>
      <c r="AU191" s="256"/>
      <c r="AV191" s="256"/>
      <c r="AW191" s="256"/>
      <c r="AX191" s="256"/>
      <c r="AY191" s="256"/>
      <c r="AZ191" s="256"/>
      <c r="BA191" s="256"/>
      <c r="BB191" s="256"/>
      <c r="BC191" s="256"/>
      <c r="BD191" s="238"/>
      <c r="BE191" s="229" cm="1">
        <f t="array" ref="BE191">IF(ISBLANK(R191), INDEX(Use, $AH191, 4) - AM191*INDEX(Use, $AH191, 6), R191)</f>
        <v>5</v>
      </c>
      <c r="BF191" s="229">
        <f t="shared" si="405"/>
        <v>30</v>
      </c>
      <c r="BG191" s="229">
        <f t="shared" si="241"/>
        <v>13</v>
      </c>
      <c r="BH191" s="229">
        <f t="shared" si="242"/>
        <v>0</v>
      </c>
      <c r="BI191" s="234" cm="1">
        <f t="array" ref="BI191">K191/IF($L191&gt;0, INDEX($AU$23:$BA$77, $L191+20, $AH191), 1)</f>
        <v>0</v>
      </c>
      <c r="BJ191" s="230">
        <f t="shared" si="406"/>
        <v>0</v>
      </c>
      <c r="BK191" s="229">
        <v>35</v>
      </c>
      <c r="BL191" s="230">
        <f t="shared" si="407"/>
        <v>48</v>
      </c>
      <c r="BM191" s="235">
        <f t="shared" si="408"/>
        <v>2.9108720930232557</v>
      </c>
      <c r="BN191" s="235" cm="1">
        <f t="array" ref="BN191">$BI191 * SUMPRODUCT(INDEX($AR$77:$AT$82,,$AI191),INDEX($AU$77:$BA$82,,$AH191), N($AQ$77:$AQ$82&gt;$AO191)) / BM191 / 1000</f>
        <v>0</v>
      </c>
      <c r="BO191" s="232">
        <f t="shared" si="246"/>
        <v>30</v>
      </c>
      <c r="BP191" s="230">
        <f t="shared" si="409"/>
        <v>43</v>
      </c>
      <c r="BQ191" s="235">
        <f t="shared" si="410"/>
        <v>3.2938815789473681</v>
      </c>
      <c r="BR191" s="235" cm="1">
        <f t="array" ref="BR191">$BI191 * IF($AH191&lt;=2,
SUMPRODUCT(INDEX($AR$72:$AT$76,,$AI191), INDEX($AU$72:$BA$76,,$AH191), 1 / ($BB$72:$BB$76*BQ191 + (1-$BB$72:$BB$76)*BM191), N($AQ$72:$AQ$76&gt;$AO191)),
SUMPRODUCT(INDEX($AR$67:$AT$76,,$AI191), INDEX($AU$67:$BA$76,,$AH191), 1 / ($BC$67:$BC$76*BQ191 + (1-$BC$67:$BC$76)*BM191), N($AQ$67:$AQ$76&gt;$AO191))
) / 1000</f>
        <v>0</v>
      </c>
      <c r="BS191" s="232">
        <f t="shared" si="249"/>
        <v>25</v>
      </c>
      <c r="BT191" s="230">
        <f t="shared" si="411"/>
        <v>38</v>
      </c>
      <c r="BU191" s="235">
        <f t="shared" si="412"/>
        <v>3.792954545454545</v>
      </c>
      <c r="BV191" s="235" cm="1">
        <f t="array" ref="BV191">$BI191 * IF($AH191&lt;=2,
SUMPRODUCT(INDEX($AR$67:$AT$71,,$AI191), INDEX($AU$67:$BA$71,,$AH191), 1 / ($BB$67:$BB$71*BU191 + (1-$BB$67:$BB$71)*BQ191), N($AQ$67:$AQ$71&gt;$AO191)),
SUMPRODUCT(INDEX($AR$57:$AT$66,,$AI191), INDEX($AU$57:$BA$66,,$AH191), 1 / ($BC$57:$BC$66*BU191 + (1-$BC$57:$BC$66)*BQ191), N($AQ$57:$AQ$66&gt;$AO191))
) / 1000</f>
        <v>0</v>
      </c>
      <c r="BW191" s="232">
        <f t="shared" si="252"/>
        <v>20</v>
      </c>
      <c r="BX191" s="230">
        <f t="shared" si="413"/>
        <v>33</v>
      </c>
      <c r="BY191" s="235">
        <f t="shared" si="414"/>
        <v>4.4702678571428569</v>
      </c>
      <c r="BZ191" s="235" cm="1">
        <f t="array" ref="BZ191">$BI191 * IF($AH191&lt;=2,
SUMPRODUCT(INDEX($AR$62:$AT$66,,$AI191), INDEX($AU$62:$BA$66,,$AH191), 1 / ($BB$62:$BB$66*BY191 + (1-$BB$62:$BB$66)*BU191), N($AQ$62:$AQ$66&gt;$AO191)),
SUMPRODUCT(INDEX($AR$47:$AT$56,,$AI191), INDEX($AU$47:$BA$56,,$AH191), 1 / ($BC$47:$BC$56*BY191 + (1-$BC$47:$BC$56)*BU191), N($AQ$47:$AQ$56&gt;$AO191))
) / 1000</f>
        <v>0</v>
      </c>
      <c r="CA191" s="235" cm="1">
        <f t="array" ref="CA191">$BI191 * IF($AH191&lt;=2,
SUMPRODUCT(INDEX($AR$23:$AT$61,,$AI191), INDEX($AU$23:$BA$61,,$AH191), 1 / ($BB$23:$BB$61*BY191), N($AQ$23:$AQ$61&gt;$AO191)),
SUMPRODUCT(INDEX($AR$23:$AT$46,,$AI191), INDEX($AU$23:$BA$46,,$AH191), 1 / ($BC$23:$BC$46*BY191), N($AQ$23:$AQ$46&gt;$AO191))
) / 1000</f>
        <v>0</v>
      </c>
      <c r="CB191" s="230">
        <f t="shared" si="415"/>
        <v>0</v>
      </c>
      <c r="CC191" s="238"/>
      <c r="CD191" s="229" cm="1">
        <f t="array" ref="CD191">IF(ISBLANK(Y191), INDEX(Use, $AH191, 4) - AN191*INDEX(Use, $AH191, 6) - (Q191-X191), Y191)</f>
        <v>7</v>
      </c>
      <c r="CE191" s="229">
        <f t="shared" si="416"/>
        <v>32</v>
      </c>
      <c r="CF191" s="230">
        <f t="shared" si="417"/>
        <v>0</v>
      </c>
      <c r="CG191" s="229">
        <v>35</v>
      </c>
      <c r="CH191" s="230">
        <f t="shared" si="418"/>
        <v>48</v>
      </c>
      <c r="CI191" s="235">
        <f t="shared" si="419"/>
        <v>3.0748170731707316</v>
      </c>
      <c r="CJ191" s="235" cm="1">
        <f t="array" ref="CJ191">$BI191 * SUMPRODUCT(INDEX($AR$77:$AT$82,,$AI191),INDEX($AU$77:$BA$82,,$AH191), N($AQ$77:$AQ$82&gt;$AO191)) / CI191 / 1000</f>
        <v>0</v>
      </c>
      <c r="CK191" s="232">
        <f t="shared" si="260"/>
        <v>30</v>
      </c>
      <c r="CL191" s="230">
        <f t="shared" si="420"/>
        <v>43</v>
      </c>
      <c r="CM191" s="235">
        <f t="shared" si="421"/>
        <v>3.5018750000000001</v>
      </c>
      <c r="CN191" s="235" cm="1">
        <f t="array" ref="CN191">$BI191 * IF($AH191&lt;=2,
SUMPRODUCT(INDEX($AR$72:$AT$76,,$AI191), INDEX($AU$72:$BA$76,,$AH191), 1 / ($BB$72:$BB$76*CM191 + (1-$BB$72:$BB$76)*CI191), N($AQ$72:$AQ$76&gt;$AO191)),
SUMPRODUCT(INDEX($AR$67:$AT$76,,$AI191), INDEX($AU$67:$BA$76,,$AH191), 1 / ($BC$67:$BC$76*CM191 + (1-$BC$67:$BC$76)*CI191), N($AQ$67:$AQ$76&gt;$AO191))
) / 1000</f>
        <v>0</v>
      </c>
      <c r="CO191" s="232">
        <f t="shared" si="263"/>
        <v>25</v>
      </c>
      <c r="CP191" s="230">
        <f t="shared" si="422"/>
        <v>38</v>
      </c>
      <c r="CQ191" s="235">
        <f t="shared" si="423"/>
        <v>4.0666935483870965</v>
      </c>
      <c r="CR191" s="235" cm="1">
        <f t="array" ref="CR191">$BI191 * IF($AH191&lt;=2,
SUMPRODUCT(INDEX($AR$67:$AT$71,,$AI191), INDEX($AU$67:$BA$71,,$AH191), 1 / ($BB$67:$BB$71*CQ191 + (1-$BB$67:$BB$71)*CM191), N($AQ$67:$AQ$71&gt;$AO191)),
SUMPRODUCT(INDEX($AR$57:$AT$66,,$AI191), INDEX($AU$57:$BA$66,,$AH191), 1 / ($BC$57:$BC$66*CQ191 + (1-$BC$57:$BC$66)*CM191), N($AQ$57:$AQ$66&gt;$AO191))
) / 1000</f>
        <v>0</v>
      </c>
      <c r="CS191" s="232">
        <f t="shared" si="266"/>
        <v>20</v>
      </c>
      <c r="CT191" s="230">
        <f t="shared" si="424"/>
        <v>33</v>
      </c>
      <c r="CU191" s="235">
        <f t="shared" si="425"/>
        <v>4.8487499999999999</v>
      </c>
      <c r="CV191" s="235" cm="1">
        <f t="array" ref="CV191">$BI191 * IF($AH191&lt;=2,
SUMPRODUCT(INDEX($AR$62:$AT$66,,$AI191), INDEX($AU$62:$BA$66,,$AH191), 1 / ($BB$62:$BB$66*CU191 + (1-$BB$62:$BB$66)*CQ191), N($AQ$62:$AQ$66&gt;$AO191)),
SUMPRODUCT(INDEX($AR$47:$AT$56,,$AI191), INDEX($AU$47:$BA$56,,$AH191), 1 / ($BC$47:$BC$56*CU191 + (1-$BC$47:$BC$56)*CQ191), N($AQ$47:$AQ$56&gt;$AO191))
) / 1000</f>
        <v>0</v>
      </c>
      <c r="CW191" s="235" cm="1">
        <f t="array" ref="CW191">$BI191 * IF($AH191&lt;=2,
SUMPRODUCT(INDEX($AR$23:$AT$61,,$AI191), INDEX($AU$23:$BA$61,,$AH191), 1 / ($BB$23:$BB$61*CU191), N($AQ$23:$AQ$61&gt;$AO191)),
SUMPRODUCT(INDEX($AR$23:$AT$46,,$AI191), INDEX($AU$23:$BA$46,,$AH191), 1 / ($BC$23:$BC$46*CU191), N($AQ$23:$AQ$46&gt;$AO191))
) / 1000</f>
        <v>0</v>
      </c>
      <c r="CX191" s="230">
        <f t="shared" si="426"/>
        <v>0</v>
      </c>
      <c r="CY191" s="238"/>
    </row>
    <row r="192" spans="1:103" s="76" customFormat="1" ht="14.25" customHeight="1" x14ac:dyDescent="0.2">
      <c r="A192" s="231" t="b">
        <f t="shared" si="229"/>
        <v>0</v>
      </c>
      <c r="B192" s="245">
        <v>170</v>
      </c>
      <c r="C192" s="258"/>
      <c r="D192" s="258"/>
      <c r="E192" s="246"/>
      <c r="F192" s="247" t="str">
        <f>IF(ISBLANK(E192), "", VLOOKUP(E192, Z!$A$2:$C$4127, 3, FALSE))</f>
        <v/>
      </c>
      <c r="G192" s="248"/>
      <c r="H192" s="248"/>
      <c r="I192" s="249"/>
      <c r="J192" s="250"/>
      <c r="K192" s="259"/>
      <c r="L192" s="260"/>
      <c r="M192" s="252" t="str" cm="1">
        <f t="array" ref="M192">INDEX(Trad, 53, $A$20)</f>
        <v>Verschmutzt</v>
      </c>
      <c r="N192" s="253"/>
      <c r="O192" s="253"/>
      <c r="P192" s="254"/>
      <c r="Q192" s="251"/>
      <c r="R192" s="251"/>
      <c r="S192" s="264">
        <f t="shared" si="401"/>
        <v>0</v>
      </c>
      <c r="T192" s="252" t="str" cm="1">
        <f t="array" ref="T192">INDEX(Trad, 52, $A$20)</f>
        <v>Sauber</v>
      </c>
      <c r="U192" s="253"/>
      <c r="V192" s="253"/>
      <c r="W192" s="254"/>
      <c r="X192" s="251"/>
      <c r="Y192" s="251"/>
      <c r="Z192" s="264">
        <f t="shared" si="402"/>
        <v>0</v>
      </c>
      <c r="AA192" s="261"/>
      <c r="AB192" s="258"/>
      <c r="AC192" s="246"/>
      <c r="AD192" s="247" t="str">
        <f>IF(ISBLANK(AC192), "", VLOOKUP(AC192, Z!$A$2:$C$4127, 3, FALSE))</f>
        <v/>
      </c>
      <c r="AE192" s="262"/>
      <c r="AF192" s="263">
        <f t="shared" si="403"/>
        <v>0</v>
      </c>
      <c r="AG192" s="238"/>
      <c r="AH192" s="229">
        <f t="shared" si="427"/>
        <v>1</v>
      </c>
      <c r="AI192" s="229">
        <f t="shared" si="428"/>
        <v>1</v>
      </c>
      <c r="AJ192" s="229">
        <f t="shared" si="429"/>
        <v>0</v>
      </c>
      <c r="AK192" s="229">
        <v>0</v>
      </c>
      <c r="AL192" s="229">
        <v>0</v>
      </c>
      <c r="AM192" s="229">
        <v>1</v>
      </c>
      <c r="AN192" s="229">
        <v>0</v>
      </c>
      <c r="AO192" s="229">
        <f t="shared" si="404"/>
        <v>-100</v>
      </c>
      <c r="AP192" s="238"/>
      <c r="AQ192" s="255"/>
      <c r="AR192" s="255"/>
      <c r="AS192" s="256"/>
      <c r="AT192" s="256"/>
      <c r="AU192" s="256"/>
      <c r="AV192" s="256"/>
      <c r="AW192" s="256"/>
      <c r="AX192" s="256"/>
      <c r="AY192" s="256"/>
      <c r="AZ192" s="256"/>
      <c r="BA192" s="256"/>
      <c r="BB192" s="256"/>
      <c r="BC192" s="256"/>
      <c r="BD192" s="238"/>
      <c r="BE192" s="229" cm="1">
        <f t="array" ref="BE192">IF(ISBLANK(R192), INDEX(Use, $AH192, 4) - AM192*INDEX(Use, $AH192, 6), R192)</f>
        <v>5</v>
      </c>
      <c r="BF192" s="229">
        <f t="shared" si="405"/>
        <v>30</v>
      </c>
      <c r="BG192" s="229">
        <f t="shared" si="241"/>
        <v>13</v>
      </c>
      <c r="BH192" s="229">
        <f t="shared" si="242"/>
        <v>0</v>
      </c>
      <c r="BI192" s="234" cm="1">
        <f t="array" ref="BI192">K192/IF($L192&gt;0, INDEX($AU$23:$BA$77, $L192+20, $AH192), 1)</f>
        <v>0</v>
      </c>
      <c r="BJ192" s="230">
        <f t="shared" si="406"/>
        <v>0</v>
      </c>
      <c r="BK192" s="229">
        <v>35</v>
      </c>
      <c r="BL192" s="230">
        <f t="shared" si="407"/>
        <v>48</v>
      </c>
      <c r="BM192" s="235">
        <f t="shared" si="408"/>
        <v>2.9108720930232557</v>
      </c>
      <c r="BN192" s="235" cm="1">
        <f t="array" ref="BN192">$BI192 * SUMPRODUCT(INDEX($AR$77:$AT$82,,$AI192),INDEX($AU$77:$BA$82,,$AH192), N($AQ$77:$AQ$82&gt;$AO192)) / BM192 / 1000</f>
        <v>0</v>
      </c>
      <c r="BO192" s="232">
        <f t="shared" si="246"/>
        <v>30</v>
      </c>
      <c r="BP192" s="230">
        <f t="shared" si="409"/>
        <v>43</v>
      </c>
      <c r="BQ192" s="235">
        <f t="shared" si="410"/>
        <v>3.2938815789473681</v>
      </c>
      <c r="BR192" s="235" cm="1">
        <f t="array" ref="BR192">$BI192 * IF($AH192&lt;=2,
SUMPRODUCT(INDEX($AR$72:$AT$76,,$AI192), INDEX($AU$72:$BA$76,,$AH192), 1 / ($BB$72:$BB$76*BQ192 + (1-$BB$72:$BB$76)*BM192), N($AQ$72:$AQ$76&gt;$AO192)),
SUMPRODUCT(INDEX($AR$67:$AT$76,,$AI192), INDEX($AU$67:$BA$76,,$AH192), 1 / ($BC$67:$BC$76*BQ192 + (1-$BC$67:$BC$76)*BM192), N($AQ$67:$AQ$76&gt;$AO192))
) / 1000</f>
        <v>0</v>
      </c>
      <c r="BS192" s="232">
        <f t="shared" si="249"/>
        <v>25</v>
      </c>
      <c r="BT192" s="230">
        <f t="shared" si="411"/>
        <v>38</v>
      </c>
      <c r="BU192" s="235">
        <f t="shared" si="412"/>
        <v>3.792954545454545</v>
      </c>
      <c r="BV192" s="235" cm="1">
        <f t="array" ref="BV192">$BI192 * IF($AH192&lt;=2,
SUMPRODUCT(INDEX($AR$67:$AT$71,,$AI192), INDEX($AU$67:$BA$71,,$AH192), 1 / ($BB$67:$BB$71*BU192 + (1-$BB$67:$BB$71)*BQ192), N($AQ$67:$AQ$71&gt;$AO192)),
SUMPRODUCT(INDEX($AR$57:$AT$66,,$AI192), INDEX($AU$57:$BA$66,,$AH192), 1 / ($BC$57:$BC$66*BU192 + (1-$BC$57:$BC$66)*BQ192), N($AQ$57:$AQ$66&gt;$AO192))
) / 1000</f>
        <v>0</v>
      </c>
      <c r="BW192" s="232">
        <f t="shared" si="252"/>
        <v>20</v>
      </c>
      <c r="BX192" s="230">
        <f t="shared" si="413"/>
        <v>33</v>
      </c>
      <c r="BY192" s="235">
        <f t="shared" si="414"/>
        <v>4.4702678571428569</v>
      </c>
      <c r="BZ192" s="235" cm="1">
        <f t="array" ref="BZ192">$BI192 * IF($AH192&lt;=2,
SUMPRODUCT(INDEX($AR$62:$AT$66,,$AI192), INDEX($AU$62:$BA$66,,$AH192), 1 / ($BB$62:$BB$66*BY192 + (1-$BB$62:$BB$66)*BU192), N($AQ$62:$AQ$66&gt;$AO192)),
SUMPRODUCT(INDEX($AR$47:$AT$56,,$AI192), INDEX($AU$47:$BA$56,,$AH192), 1 / ($BC$47:$BC$56*BY192 + (1-$BC$47:$BC$56)*BU192), N($AQ$47:$AQ$56&gt;$AO192))
) / 1000</f>
        <v>0</v>
      </c>
      <c r="CA192" s="235" cm="1">
        <f t="array" ref="CA192">$BI192 * IF($AH192&lt;=2,
SUMPRODUCT(INDEX($AR$23:$AT$61,,$AI192), INDEX($AU$23:$BA$61,,$AH192), 1 / ($BB$23:$BB$61*BY192), N($AQ$23:$AQ$61&gt;$AO192)),
SUMPRODUCT(INDEX($AR$23:$AT$46,,$AI192), INDEX($AU$23:$BA$46,,$AH192), 1 / ($BC$23:$BC$46*BY192), N($AQ$23:$AQ$46&gt;$AO192))
) / 1000</f>
        <v>0</v>
      </c>
      <c r="CB192" s="230">
        <f t="shared" si="415"/>
        <v>0</v>
      </c>
      <c r="CC192" s="238"/>
      <c r="CD192" s="229" cm="1">
        <f t="array" ref="CD192">IF(ISBLANK(Y192), INDEX(Use, $AH192, 4) - AN192*INDEX(Use, $AH192, 6) - (Q192-X192), Y192)</f>
        <v>7</v>
      </c>
      <c r="CE192" s="229">
        <f t="shared" si="416"/>
        <v>32</v>
      </c>
      <c r="CF192" s="230">
        <f t="shared" si="417"/>
        <v>0</v>
      </c>
      <c r="CG192" s="229">
        <v>35</v>
      </c>
      <c r="CH192" s="230">
        <f t="shared" si="418"/>
        <v>48</v>
      </c>
      <c r="CI192" s="235">
        <f t="shared" si="419"/>
        <v>3.0748170731707316</v>
      </c>
      <c r="CJ192" s="235" cm="1">
        <f t="array" ref="CJ192">$BI192 * SUMPRODUCT(INDEX($AR$77:$AT$82,,$AI192),INDEX($AU$77:$BA$82,,$AH192), N($AQ$77:$AQ$82&gt;$AO192)) / CI192 / 1000</f>
        <v>0</v>
      </c>
      <c r="CK192" s="232">
        <f t="shared" si="260"/>
        <v>30</v>
      </c>
      <c r="CL192" s="230">
        <f t="shared" si="420"/>
        <v>43</v>
      </c>
      <c r="CM192" s="235">
        <f t="shared" si="421"/>
        <v>3.5018750000000001</v>
      </c>
      <c r="CN192" s="235" cm="1">
        <f t="array" ref="CN192">$BI192 * IF($AH192&lt;=2,
SUMPRODUCT(INDEX($AR$72:$AT$76,,$AI192), INDEX($AU$72:$BA$76,,$AH192), 1 / ($BB$72:$BB$76*CM192 + (1-$BB$72:$BB$76)*CI192), N($AQ$72:$AQ$76&gt;$AO192)),
SUMPRODUCT(INDEX($AR$67:$AT$76,,$AI192), INDEX($AU$67:$BA$76,,$AH192), 1 / ($BC$67:$BC$76*CM192 + (1-$BC$67:$BC$76)*CI192), N($AQ$67:$AQ$76&gt;$AO192))
) / 1000</f>
        <v>0</v>
      </c>
      <c r="CO192" s="232">
        <f t="shared" si="263"/>
        <v>25</v>
      </c>
      <c r="CP192" s="230">
        <f t="shared" si="422"/>
        <v>38</v>
      </c>
      <c r="CQ192" s="235">
        <f t="shared" si="423"/>
        <v>4.0666935483870965</v>
      </c>
      <c r="CR192" s="235" cm="1">
        <f t="array" ref="CR192">$BI192 * IF($AH192&lt;=2,
SUMPRODUCT(INDEX($AR$67:$AT$71,,$AI192), INDEX($AU$67:$BA$71,,$AH192), 1 / ($BB$67:$BB$71*CQ192 + (1-$BB$67:$BB$71)*CM192), N($AQ$67:$AQ$71&gt;$AO192)),
SUMPRODUCT(INDEX($AR$57:$AT$66,,$AI192), INDEX($AU$57:$BA$66,,$AH192), 1 / ($BC$57:$BC$66*CQ192 + (1-$BC$57:$BC$66)*CM192), N($AQ$57:$AQ$66&gt;$AO192))
) / 1000</f>
        <v>0</v>
      </c>
      <c r="CS192" s="232">
        <f t="shared" si="266"/>
        <v>20</v>
      </c>
      <c r="CT192" s="230">
        <f t="shared" si="424"/>
        <v>33</v>
      </c>
      <c r="CU192" s="235">
        <f t="shared" si="425"/>
        <v>4.8487499999999999</v>
      </c>
      <c r="CV192" s="235" cm="1">
        <f t="array" ref="CV192">$BI192 * IF($AH192&lt;=2,
SUMPRODUCT(INDEX($AR$62:$AT$66,,$AI192), INDEX($AU$62:$BA$66,,$AH192), 1 / ($BB$62:$BB$66*CU192 + (1-$BB$62:$BB$66)*CQ192), N($AQ$62:$AQ$66&gt;$AO192)),
SUMPRODUCT(INDEX($AR$47:$AT$56,,$AI192), INDEX($AU$47:$BA$56,,$AH192), 1 / ($BC$47:$BC$56*CU192 + (1-$BC$47:$BC$56)*CQ192), N($AQ$47:$AQ$56&gt;$AO192))
) / 1000</f>
        <v>0</v>
      </c>
      <c r="CW192" s="235" cm="1">
        <f t="array" ref="CW192">$BI192 * IF($AH192&lt;=2,
SUMPRODUCT(INDEX($AR$23:$AT$61,,$AI192), INDEX($AU$23:$BA$61,,$AH192), 1 / ($BB$23:$BB$61*CU192), N($AQ$23:$AQ$61&gt;$AO192)),
SUMPRODUCT(INDEX($AR$23:$AT$46,,$AI192), INDEX($AU$23:$BA$46,,$AH192), 1 / ($BC$23:$BC$46*CU192), N($AQ$23:$AQ$46&gt;$AO192))
) / 1000</f>
        <v>0</v>
      </c>
      <c r="CX192" s="230">
        <f t="shared" si="426"/>
        <v>0</v>
      </c>
      <c r="CY192" s="238"/>
    </row>
    <row r="193" spans="1:103" s="76" customFormat="1" ht="14.25" customHeight="1" x14ac:dyDescent="0.2">
      <c r="A193" s="231" t="b">
        <f t="shared" si="229"/>
        <v>0</v>
      </c>
      <c r="B193" s="245">
        <v>171</v>
      </c>
      <c r="C193" s="258"/>
      <c r="D193" s="258"/>
      <c r="E193" s="246"/>
      <c r="F193" s="247" t="str">
        <f>IF(ISBLANK(E193), "", VLOOKUP(E193, Z!$A$2:$C$4127, 3, FALSE))</f>
        <v/>
      </c>
      <c r="G193" s="248"/>
      <c r="H193" s="248"/>
      <c r="I193" s="249"/>
      <c r="J193" s="250"/>
      <c r="K193" s="259"/>
      <c r="L193" s="260"/>
      <c r="M193" s="252" t="str" cm="1">
        <f t="array" ref="M193">INDEX(Trad, 53, $A$20)</f>
        <v>Verschmutzt</v>
      </c>
      <c r="N193" s="253"/>
      <c r="O193" s="253"/>
      <c r="P193" s="254"/>
      <c r="Q193" s="251"/>
      <c r="R193" s="251"/>
      <c r="S193" s="264">
        <f t="shared" si="401"/>
        <v>0</v>
      </c>
      <c r="T193" s="252" t="str" cm="1">
        <f t="array" ref="T193">INDEX(Trad, 52, $A$20)</f>
        <v>Sauber</v>
      </c>
      <c r="U193" s="253"/>
      <c r="V193" s="253"/>
      <c r="W193" s="254"/>
      <c r="X193" s="251"/>
      <c r="Y193" s="251"/>
      <c r="Z193" s="264">
        <f t="shared" si="402"/>
        <v>0</v>
      </c>
      <c r="AA193" s="261"/>
      <c r="AB193" s="258"/>
      <c r="AC193" s="246"/>
      <c r="AD193" s="247" t="str">
        <f>IF(ISBLANK(AC193), "", VLOOKUP(AC193, Z!$A$2:$C$4127, 3, FALSE))</f>
        <v/>
      </c>
      <c r="AE193" s="262"/>
      <c r="AF193" s="263">
        <f t="shared" si="403"/>
        <v>0</v>
      </c>
      <c r="AG193" s="238"/>
      <c r="AH193" s="229">
        <f t="shared" si="427"/>
        <v>1</v>
      </c>
      <c r="AI193" s="229">
        <f t="shared" si="428"/>
        <v>1</v>
      </c>
      <c r="AJ193" s="229">
        <f t="shared" si="429"/>
        <v>0</v>
      </c>
      <c r="AK193" s="229">
        <v>0</v>
      </c>
      <c r="AL193" s="229">
        <v>0</v>
      </c>
      <c r="AM193" s="229">
        <v>1</v>
      </c>
      <c r="AN193" s="229">
        <v>0</v>
      </c>
      <c r="AO193" s="229">
        <f t="shared" si="404"/>
        <v>-100</v>
      </c>
      <c r="AP193" s="238"/>
      <c r="AQ193" s="255"/>
      <c r="AR193" s="255"/>
      <c r="AS193" s="256"/>
      <c r="AT193" s="256"/>
      <c r="AU193" s="256"/>
      <c r="AV193" s="256"/>
      <c r="AW193" s="256"/>
      <c r="AX193" s="256"/>
      <c r="AY193" s="256"/>
      <c r="AZ193" s="256"/>
      <c r="BA193" s="256"/>
      <c r="BB193" s="256"/>
      <c r="BC193" s="256"/>
      <c r="BD193" s="238"/>
      <c r="BE193" s="229" cm="1">
        <f t="array" ref="BE193">IF(ISBLANK(R193), INDEX(Use, $AH193, 4) - AM193*INDEX(Use, $AH193, 6), R193)</f>
        <v>5</v>
      </c>
      <c r="BF193" s="229">
        <f t="shared" si="405"/>
        <v>30</v>
      </c>
      <c r="BG193" s="229">
        <f t="shared" si="241"/>
        <v>13</v>
      </c>
      <c r="BH193" s="229">
        <f t="shared" si="242"/>
        <v>0</v>
      </c>
      <c r="BI193" s="234" cm="1">
        <f t="array" ref="BI193">K193/IF($L193&gt;0, INDEX($AU$23:$BA$77, $L193+20, $AH193), 1)</f>
        <v>0</v>
      </c>
      <c r="BJ193" s="230">
        <f t="shared" si="406"/>
        <v>0</v>
      </c>
      <c r="BK193" s="229">
        <v>35</v>
      </c>
      <c r="BL193" s="230">
        <f t="shared" si="407"/>
        <v>48</v>
      </c>
      <c r="BM193" s="235">
        <f t="shared" si="408"/>
        <v>2.9108720930232557</v>
      </c>
      <c r="BN193" s="235" cm="1">
        <f t="array" ref="BN193">$BI193 * SUMPRODUCT(INDEX($AR$77:$AT$82,,$AI193),INDEX($AU$77:$BA$82,,$AH193), N($AQ$77:$AQ$82&gt;$AO193)) / BM193 / 1000</f>
        <v>0</v>
      </c>
      <c r="BO193" s="232">
        <f t="shared" si="246"/>
        <v>30</v>
      </c>
      <c r="BP193" s="230">
        <f t="shared" si="409"/>
        <v>43</v>
      </c>
      <c r="BQ193" s="235">
        <f t="shared" si="410"/>
        <v>3.2938815789473681</v>
      </c>
      <c r="BR193" s="235" cm="1">
        <f t="array" ref="BR193">$BI193 * IF($AH193&lt;=2,
SUMPRODUCT(INDEX($AR$72:$AT$76,,$AI193), INDEX($AU$72:$BA$76,,$AH193), 1 / ($BB$72:$BB$76*BQ193 + (1-$BB$72:$BB$76)*BM193), N($AQ$72:$AQ$76&gt;$AO193)),
SUMPRODUCT(INDEX($AR$67:$AT$76,,$AI193), INDEX($AU$67:$BA$76,,$AH193), 1 / ($BC$67:$BC$76*BQ193 + (1-$BC$67:$BC$76)*BM193), N($AQ$67:$AQ$76&gt;$AO193))
) / 1000</f>
        <v>0</v>
      </c>
      <c r="BS193" s="232">
        <f t="shared" si="249"/>
        <v>25</v>
      </c>
      <c r="BT193" s="230">
        <f t="shared" si="411"/>
        <v>38</v>
      </c>
      <c r="BU193" s="235">
        <f t="shared" si="412"/>
        <v>3.792954545454545</v>
      </c>
      <c r="BV193" s="235" cm="1">
        <f t="array" ref="BV193">$BI193 * IF($AH193&lt;=2,
SUMPRODUCT(INDEX($AR$67:$AT$71,,$AI193), INDEX($AU$67:$BA$71,,$AH193), 1 / ($BB$67:$BB$71*BU193 + (1-$BB$67:$BB$71)*BQ193), N($AQ$67:$AQ$71&gt;$AO193)),
SUMPRODUCT(INDEX($AR$57:$AT$66,,$AI193), INDEX($AU$57:$BA$66,,$AH193), 1 / ($BC$57:$BC$66*BU193 + (1-$BC$57:$BC$66)*BQ193), N($AQ$57:$AQ$66&gt;$AO193))
) / 1000</f>
        <v>0</v>
      </c>
      <c r="BW193" s="232">
        <f t="shared" si="252"/>
        <v>20</v>
      </c>
      <c r="BX193" s="230">
        <f t="shared" si="413"/>
        <v>33</v>
      </c>
      <c r="BY193" s="235">
        <f t="shared" si="414"/>
        <v>4.4702678571428569</v>
      </c>
      <c r="BZ193" s="235" cm="1">
        <f t="array" ref="BZ193">$BI193 * IF($AH193&lt;=2,
SUMPRODUCT(INDEX($AR$62:$AT$66,,$AI193), INDEX($AU$62:$BA$66,,$AH193), 1 / ($BB$62:$BB$66*BY193 + (1-$BB$62:$BB$66)*BU193), N($AQ$62:$AQ$66&gt;$AO193)),
SUMPRODUCT(INDEX($AR$47:$AT$56,,$AI193), INDEX($AU$47:$BA$56,,$AH193), 1 / ($BC$47:$BC$56*BY193 + (1-$BC$47:$BC$56)*BU193), N($AQ$47:$AQ$56&gt;$AO193))
) / 1000</f>
        <v>0</v>
      </c>
      <c r="CA193" s="235" cm="1">
        <f t="array" ref="CA193">$BI193 * IF($AH193&lt;=2,
SUMPRODUCT(INDEX($AR$23:$AT$61,,$AI193), INDEX($AU$23:$BA$61,,$AH193), 1 / ($BB$23:$BB$61*BY193), N($AQ$23:$AQ$61&gt;$AO193)),
SUMPRODUCT(INDEX($AR$23:$AT$46,,$AI193), INDEX($AU$23:$BA$46,,$AH193), 1 / ($BC$23:$BC$46*BY193), N($AQ$23:$AQ$46&gt;$AO193))
) / 1000</f>
        <v>0</v>
      </c>
      <c r="CB193" s="230">
        <f t="shared" si="415"/>
        <v>0</v>
      </c>
      <c r="CC193" s="238"/>
      <c r="CD193" s="229" cm="1">
        <f t="array" ref="CD193">IF(ISBLANK(Y193), INDEX(Use, $AH193, 4) - AN193*INDEX(Use, $AH193, 6) - (Q193-X193), Y193)</f>
        <v>7</v>
      </c>
      <c r="CE193" s="229">
        <f t="shared" si="416"/>
        <v>32</v>
      </c>
      <c r="CF193" s="230">
        <f t="shared" si="417"/>
        <v>0</v>
      </c>
      <c r="CG193" s="229">
        <v>35</v>
      </c>
      <c r="CH193" s="230">
        <f t="shared" si="418"/>
        <v>48</v>
      </c>
      <c r="CI193" s="235">
        <f t="shared" si="419"/>
        <v>3.0748170731707316</v>
      </c>
      <c r="CJ193" s="235" cm="1">
        <f t="array" ref="CJ193">$BI193 * SUMPRODUCT(INDEX($AR$77:$AT$82,,$AI193),INDEX($AU$77:$BA$82,,$AH193), N($AQ$77:$AQ$82&gt;$AO193)) / CI193 / 1000</f>
        <v>0</v>
      </c>
      <c r="CK193" s="232">
        <f t="shared" si="260"/>
        <v>30</v>
      </c>
      <c r="CL193" s="230">
        <f t="shared" si="420"/>
        <v>43</v>
      </c>
      <c r="CM193" s="235">
        <f t="shared" si="421"/>
        <v>3.5018750000000001</v>
      </c>
      <c r="CN193" s="235" cm="1">
        <f t="array" ref="CN193">$BI193 * IF($AH193&lt;=2,
SUMPRODUCT(INDEX($AR$72:$AT$76,,$AI193), INDEX($AU$72:$BA$76,,$AH193), 1 / ($BB$72:$BB$76*CM193 + (1-$BB$72:$BB$76)*CI193), N($AQ$72:$AQ$76&gt;$AO193)),
SUMPRODUCT(INDEX($AR$67:$AT$76,,$AI193), INDEX($AU$67:$BA$76,,$AH193), 1 / ($BC$67:$BC$76*CM193 + (1-$BC$67:$BC$76)*CI193), N($AQ$67:$AQ$76&gt;$AO193))
) / 1000</f>
        <v>0</v>
      </c>
      <c r="CO193" s="232">
        <f t="shared" si="263"/>
        <v>25</v>
      </c>
      <c r="CP193" s="230">
        <f t="shared" si="422"/>
        <v>38</v>
      </c>
      <c r="CQ193" s="235">
        <f t="shared" si="423"/>
        <v>4.0666935483870965</v>
      </c>
      <c r="CR193" s="235" cm="1">
        <f t="array" ref="CR193">$BI193 * IF($AH193&lt;=2,
SUMPRODUCT(INDEX($AR$67:$AT$71,,$AI193), INDEX($AU$67:$BA$71,,$AH193), 1 / ($BB$67:$BB$71*CQ193 + (1-$BB$67:$BB$71)*CM193), N($AQ$67:$AQ$71&gt;$AO193)),
SUMPRODUCT(INDEX($AR$57:$AT$66,,$AI193), INDEX($AU$57:$BA$66,,$AH193), 1 / ($BC$57:$BC$66*CQ193 + (1-$BC$57:$BC$66)*CM193), N($AQ$57:$AQ$66&gt;$AO193))
) / 1000</f>
        <v>0</v>
      </c>
      <c r="CS193" s="232">
        <f t="shared" si="266"/>
        <v>20</v>
      </c>
      <c r="CT193" s="230">
        <f t="shared" si="424"/>
        <v>33</v>
      </c>
      <c r="CU193" s="235">
        <f t="shared" si="425"/>
        <v>4.8487499999999999</v>
      </c>
      <c r="CV193" s="235" cm="1">
        <f t="array" ref="CV193">$BI193 * IF($AH193&lt;=2,
SUMPRODUCT(INDEX($AR$62:$AT$66,,$AI193), INDEX($AU$62:$BA$66,,$AH193), 1 / ($BB$62:$BB$66*CU193 + (1-$BB$62:$BB$66)*CQ193), N($AQ$62:$AQ$66&gt;$AO193)),
SUMPRODUCT(INDEX($AR$47:$AT$56,,$AI193), INDEX($AU$47:$BA$56,,$AH193), 1 / ($BC$47:$BC$56*CU193 + (1-$BC$47:$BC$56)*CQ193), N($AQ$47:$AQ$56&gt;$AO193))
) / 1000</f>
        <v>0</v>
      </c>
      <c r="CW193" s="235" cm="1">
        <f t="array" ref="CW193">$BI193 * IF($AH193&lt;=2,
SUMPRODUCT(INDEX($AR$23:$AT$61,,$AI193), INDEX($AU$23:$BA$61,,$AH193), 1 / ($BB$23:$BB$61*CU193), N($AQ$23:$AQ$61&gt;$AO193)),
SUMPRODUCT(INDEX($AR$23:$AT$46,,$AI193), INDEX($AU$23:$BA$46,,$AH193), 1 / ($BC$23:$BC$46*CU193), N($AQ$23:$AQ$46&gt;$AO193))
) / 1000</f>
        <v>0</v>
      </c>
      <c r="CX193" s="230">
        <f t="shared" si="426"/>
        <v>0</v>
      </c>
      <c r="CY193" s="238"/>
    </row>
    <row r="194" spans="1:103" s="76" customFormat="1" ht="14.25" customHeight="1" x14ac:dyDescent="0.2">
      <c r="A194" s="231" t="b">
        <f t="shared" si="229"/>
        <v>0</v>
      </c>
      <c r="B194" s="245">
        <v>172</v>
      </c>
      <c r="C194" s="258"/>
      <c r="D194" s="258"/>
      <c r="E194" s="246"/>
      <c r="F194" s="247" t="str">
        <f>IF(ISBLANK(E194), "", VLOOKUP(E194, Z!$A$2:$C$4127, 3, FALSE))</f>
        <v/>
      </c>
      <c r="G194" s="248"/>
      <c r="H194" s="248"/>
      <c r="I194" s="249"/>
      <c r="J194" s="250"/>
      <c r="K194" s="259"/>
      <c r="L194" s="260"/>
      <c r="M194" s="252" t="str" cm="1">
        <f t="array" ref="M194">INDEX(Trad, 53, $A$20)</f>
        <v>Verschmutzt</v>
      </c>
      <c r="N194" s="253"/>
      <c r="O194" s="253"/>
      <c r="P194" s="254"/>
      <c r="Q194" s="251"/>
      <c r="R194" s="251"/>
      <c r="S194" s="264">
        <f t="shared" si="401"/>
        <v>0</v>
      </c>
      <c r="T194" s="252" t="str" cm="1">
        <f t="array" ref="T194">INDEX(Trad, 52, $A$20)</f>
        <v>Sauber</v>
      </c>
      <c r="U194" s="253"/>
      <c r="V194" s="253"/>
      <c r="W194" s="254"/>
      <c r="X194" s="251"/>
      <c r="Y194" s="251"/>
      <c r="Z194" s="264">
        <f t="shared" si="402"/>
        <v>0</v>
      </c>
      <c r="AA194" s="261"/>
      <c r="AB194" s="258"/>
      <c r="AC194" s="246"/>
      <c r="AD194" s="247" t="str">
        <f>IF(ISBLANK(AC194), "", VLOOKUP(AC194, Z!$A$2:$C$4127, 3, FALSE))</f>
        <v/>
      </c>
      <c r="AE194" s="262"/>
      <c r="AF194" s="263">
        <f t="shared" si="403"/>
        <v>0</v>
      </c>
      <c r="AG194" s="238"/>
      <c r="AH194" s="229">
        <f t="shared" si="427"/>
        <v>1</v>
      </c>
      <c r="AI194" s="229">
        <f t="shared" si="428"/>
        <v>1</v>
      </c>
      <c r="AJ194" s="229">
        <f t="shared" si="429"/>
        <v>0</v>
      </c>
      <c r="AK194" s="229">
        <v>0</v>
      </c>
      <c r="AL194" s="229">
        <v>0</v>
      </c>
      <c r="AM194" s="229">
        <v>1</v>
      </c>
      <c r="AN194" s="229">
        <v>0</v>
      </c>
      <c r="AO194" s="229">
        <f t="shared" si="404"/>
        <v>-100</v>
      </c>
      <c r="AP194" s="238"/>
      <c r="AQ194" s="255"/>
      <c r="AR194" s="255"/>
      <c r="AS194" s="256"/>
      <c r="AT194" s="256"/>
      <c r="AU194" s="256"/>
      <c r="AV194" s="256"/>
      <c r="AW194" s="256"/>
      <c r="AX194" s="256"/>
      <c r="AY194" s="256"/>
      <c r="AZ194" s="256"/>
      <c r="BA194" s="256"/>
      <c r="BB194" s="256"/>
      <c r="BC194" s="256"/>
      <c r="BD194" s="238"/>
      <c r="BE194" s="229" cm="1">
        <f t="array" ref="BE194">IF(ISBLANK(R194), INDEX(Use, $AH194, 4) - AM194*INDEX(Use, $AH194, 6), R194)</f>
        <v>5</v>
      </c>
      <c r="BF194" s="229">
        <f t="shared" si="405"/>
        <v>30</v>
      </c>
      <c r="BG194" s="229">
        <f t="shared" si="241"/>
        <v>13</v>
      </c>
      <c r="BH194" s="229">
        <f t="shared" si="242"/>
        <v>0</v>
      </c>
      <c r="BI194" s="234" cm="1">
        <f t="array" ref="BI194">K194/IF($L194&gt;0, INDEX($AU$23:$BA$77, $L194+20, $AH194), 1)</f>
        <v>0</v>
      </c>
      <c r="BJ194" s="230">
        <f t="shared" si="406"/>
        <v>0</v>
      </c>
      <c r="BK194" s="229">
        <v>35</v>
      </c>
      <c r="BL194" s="230">
        <f t="shared" si="407"/>
        <v>48</v>
      </c>
      <c r="BM194" s="235">
        <f t="shared" si="408"/>
        <v>2.9108720930232557</v>
      </c>
      <c r="BN194" s="235" cm="1">
        <f t="array" ref="BN194">$BI194 * SUMPRODUCT(INDEX($AR$77:$AT$82,,$AI194),INDEX($AU$77:$BA$82,,$AH194), N($AQ$77:$AQ$82&gt;$AO194)) / BM194 / 1000</f>
        <v>0</v>
      </c>
      <c r="BO194" s="232">
        <f t="shared" si="246"/>
        <v>30</v>
      </c>
      <c r="BP194" s="230">
        <f t="shared" si="409"/>
        <v>43</v>
      </c>
      <c r="BQ194" s="235">
        <f t="shared" si="410"/>
        <v>3.2938815789473681</v>
      </c>
      <c r="BR194" s="235" cm="1">
        <f t="array" ref="BR194">$BI194 * IF($AH194&lt;=2,
SUMPRODUCT(INDEX($AR$72:$AT$76,,$AI194), INDEX($AU$72:$BA$76,,$AH194), 1 / ($BB$72:$BB$76*BQ194 + (1-$BB$72:$BB$76)*BM194), N($AQ$72:$AQ$76&gt;$AO194)),
SUMPRODUCT(INDEX($AR$67:$AT$76,,$AI194), INDEX($AU$67:$BA$76,,$AH194), 1 / ($BC$67:$BC$76*BQ194 + (1-$BC$67:$BC$76)*BM194), N($AQ$67:$AQ$76&gt;$AO194))
) / 1000</f>
        <v>0</v>
      </c>
      <c r="BS194" s="232">
        <f t="shared" si="249"/>
        <v>25</v>
      </c>
      <c r="BT194" s="230">
        <f t="shared" si="411"/>
        <v>38</v>
      </c>
      <c r="BU194" s="235">
        <f t="shared" si="412"/>
        <v>3.792954545454545</v>
      </c>
      <c r="BV194" s="235" cm="1">
        <f t="array" ref="BV194">$BI194 * IF($AH194&lt;=2,
SUMPRODUCT(INDEX($AR$67:$AT$71,,$AI194), INDEX($AU$67:$BA$71,,$AH194), 1 / ($BB$67:$BB$71*BU194 + (1-$BB$67:$BB$71)*BQ194), N($AQ$67:$AQ$71&gt;$AO194)),
SUMPRODUCT(INDEX($AR$57:$AT$66,,$AI194), INDEX($AU$57:$BA$66,,$AH194), 1 / ($BC$57:$BC$66*BU194 + (1-$BC$57:$BC$66)*BQ194), N($AQ$57:$AQ$66&gt;$AO194))
) / 1000</f>
        <v>0</v>
      </c>
      <c r="BW194" s="232">
        <f t="shared" si="252"/>
        <v>20</v>
      </c>
      <c r="BX194" s="230">
        <f t="shared" si="413"/>
        <v>33</v>
      </c>
      <c r="BY194" s="235">
        <f t="shared" si="414"/>
        <v>4.4702678571428569</v>
      </c>
      <c r="BZ194" s="235" cm="1">
        <f t="array" ref="BZ194">$BI194 * IF($AH194&lt;=2,
SUMPRODUCT(INDEX($AR$62:$AT$66,,$AI194), INDEX($AU$62:$BA$66,,$AH194), 1 / ($BB$62:$BB$66*BY194 + (1-$BB$62:$BB$66)*BU194), N($AQ$62:$AQ$66&gt;$AO194)),
SUMPRODUCT(INDEX($AR$47:$AT$56,,$AI194), INDEX($AU$47:$BA$56,,$AH194), 1 / ($BC$47:$BC$56*BY194 + (1-$BC$47:$BC$56)*BU194), N($AQ$47:$AQ$56&gt;$AO194))
) / 1000</f>
        <v>0</v>
      </c>
      <c r="CA194" s="235" cm="1">
        <f t="array" ref="CA194">$BI194 * IF($AH194&lt;=2,
SUMPRODUCT(INDEX($AR$23:$AT$61,,$AI194), INDEX($AU$23:$BA$61,,$AH194), 1 / ($BB$23:$BB$61*BY194), N($AQ$23:$AQ$61&gt;$AO194)),
SUMPRODUCT(INDEX($AR$23:$AT$46,,$AI194), INDEX($AU$23:$BA$46,,$AH194), 1 / ($BC$23:$BC$46*BY194), N($AQ$23:$AQ$46&gt;$AO194))
) / 1000</f>
        <v>0</v>
      </c>
      <c r="CB194" s="230">
        <f t="shared" si="415"/>
        <v>0</v>
      </c>
      <c r="CC194" s="238"/>
      <c r="CD194" s="229" cm="1">
        <f t="array" ref="CD194">IF(ISBLANK(Y194), INDEX(Use, $AH194, 4) - AN194*INDEX(Use, $AH194, 6) - (Q194-X194), Y194)</f>
        <v>7</v>
      </c>
      <c r="CE194" s="229">
        <f t="shared" si="416"/>
        <v>32</v>
      </c>
      <c r="CF194" s="230">
        <f t="shared" si="417"/>
        <v>0</v>
      </c>
      <c r="CG194" s="229">
        <v>35</v>
      </c>
      <c r="CH194" s="230">
        <f t="shared" si="418"/>
        <v>48</v>
      </c>
      <c r="CI194" s="235">
        <f t="shared" si="419"/>
        <v>3.0748170731707316</v>
      </c>
      <c r="CJ194" s="235" cm="1">
        <f t="array" ref="CJ194">$BI194 * SUMPRODUCT(INDEX($AR$77:$AT$82,,$AI194),INDEX($AU$77:$BA$82,,$AH194), N($AQ$77:$AQ$82&gt;$AO194)) / CI194 / 1000</f>
        <v>0</v>
      </c>
      <c r="CK194" s="232">
        <f t="shared" si="260"/>
        <v>30</v>
      </c>
      <c r="CL194" s="230">
        <f t="shared" si="420"/>
        <v>43</v>
      </c>
      <c r="CM194" s="235">
        <f t="shared" si="421"/>
        <v>3.5018750000000001</v>
      </c>
      <c r="CN194" s="235" cm="1">
        <f t="array" ref="CN194">$BI194 * IF($AH194&lt;=2,
SUMPRODUCT(INDEX($AR$72:$AT$76,,$AI194), INDEX($AU$72:$BA$76,,$AH194), 1 / ($BB$72:$BB$76*CM194 + (1-$BB$72:$BB$76)*CI194), N($AQ$72:$AQ$76&gt;$AO194)),
SUMPRODUCT(INDEX($AR$67:$AT$76,,$AI194), INDEX($AU$67:$BA$76,,$AH194), 1 / ($BC$67:$BC$76*CM194 + (1-$BC$67:$BC$76)*CI194), N($AQ$67:$AQ$76&gt;$AO194))
) / 1000</f>
        <v>0</v>
      </c>
      <c r="CO194" s="232">
        <f t="shared" si="263"/>
        <v>25</v>
      </c>
      <c r="CP194" s="230">
        <f t="shared" si="422"/>
        <v>38</v>
      </c>
      <c r="CQ194" s="235">
        <f t="shared" si="423"/>
        <v>4.0666935483870965</v>
      </c>
      <c r="CR194" s="235" cm="1">
        <f t="array" ref="CR194">$BI194 * IF($AH194&lt;=2,
SUMPRODUCT(INDEX($AR$67:$AT$71,,$AI194), INDEX($AU$67:$BA$71,,$AH194), 1 / ($BB$67:$BB$71*CQ194 + (1-$BB$67:$BB$71)*CM194), N($AQ$67:$AQ$71&gt;$AO194)),
SUMPRODUCT(INDEX($AR$57:$AT$66,,$AI194), INDEX($AU$57:$BA$66,,$AH194), 1 / ($BC$57:$BC$66*CQ194 + (1-$BC$57:$BC$66)*CM194), N($AQ$57:$AQ$66&gt;$AO194))
) / 1000</f>
        <v>0</v>
      </c>
      <c r="CS194" s="232">
        <f t="shared" si="266"/>
        <v>20</v>
      </c>
      <c r="CT194" s="230">
        <f t="shared" si="424"/>
        <v>33</v>
      </c>
      <c r="CU194" s="235">
        <f t="shared" si="425"/>
        <v>4.8487499999999999</v>
      </c>
      <c r="CV194" s="235" cm="1">
        <f t="array" ref="CV194">$BI194 * IF($AH194&lt;=2,
SUMPRODUCT(INDEX($AR$62:$AT$66,,$AI194), INDEX($AU$62:$BA$66,,$AH194), 1 / ($BB$62:$BB$66*CU194 + (1-$BB$62:$BB$66)*CQ194), N($AQ$62:$AQ$66&gt;$AO194)),
SUMPRODUCT(INDEX($AR$47:$AT$56,,$AI194), INDEX($AU$47:$BA$56,,$AH194), 1 / ($BC$47:$BC$56*CU194 + (1-$BC$47:$BC$56)*CQ194), N($AQ$47:$AQ$56&gt;$AO194))
) / 1000</f>
        <v>0</v>
      </c>
      <c r="CW194" s="235" cm="1">
        <f t="array" ref="CW194">$BI194 * IF($AH194&lt;=2,
SUMPRODUCT(INDEX($AR$23:$AT$61,,$AI194), INDEX($AU$23:$BA$61,,$AH194), 1 / ($BB$23:$BB$61*CU194), N($AQ$23:$AQ$61&gt;$AO194)),
SUMPRODUCT(INDEX($AR$23:$AT$46,,$AI194), INDEX($AU$23:$BA$46,,$AH194), 1 / ($BC$23:$BC$46*CU194), N($AQ$23:$AQ$46&gt;$AO194))
) / 1000</f>
        <v>0</v>
      </c>
      <c r="CX194" s="230">
        <f t="shared" si="426"/>
        <v>0</v>
      </c>
      <c r="CY194" s="238"/>
    </row>
    <row r="195" spans="1:103" s="76" customFormat="1" ht="14.25" customHeight="1" x14ac:dyDescent="0.2">
      <c r="A195" s="231" t="b">
        <f t="shared" si="229"/>
        <v>0</v>
      </c>
      <c r="B195" s="245">
        <v>173</v>
      </c>
      <c r="C195" s="258"/>
      <c r="D195" s="258"/>
      <c r="E195" s="246"/>
      <c r="F195" s="247" t="str">
        <f>IF(ISBLANK(E195), "", VLOOKUP(E195, Z!$A$2:$C$4127, 3, FALSE))</f>
        <v/>
      </c>
      <c r="G195" s="248"/>
      <c r="H195" s="248"/>
      <c r="I195" s="249"/>
      <c r="J195" s="250"/>
      <c r="K195" s="259"/>
      <c r="L195" s="260"/>
      <c r="M195" s="252" t="str" cm="1">
        <f t="array" ref="M195">INDEX(Trad, 53, $A$20)</f>
        <v>Verschmutzt</v>
      </c>
      <c r="N195" s="253"/>
      <c r="O195" s="253"/>
      <c r="P195" s="254"/>
      <c r="Q195" s="251"/>
      <c r="R195" s="251"/>
      <c r="S195" s="264">
        <f t="shared" si="401"/>
        <v>0</v>
      </c>
      <c r="T195" s="252" t="str" cm="1">
        <f t="array" ref="T195">INDEX(Trad, 52, $A$20)</f>
        <v>Sauber</v>
      </c>
      <c r="U195" s="253"/>
      <c r="V195" s="253"/>
      <c r="W195" s="254"/>
      <c r="X195" s="251"/>
      <c r="Y195" s="251"/>
      <c r="Z195" s="264">
        <f t="shared" si="402"/>
        <v>0</v>
      </c>
      <c r="AA195" s="261"/>
      <c r="AB195" s="258"/>
      <c r="AC195" s="246"/>
      <c r="AD195" s="247" t="str">
        <f>IF(ISBLANK(AC195), "", VLOOKUP(AC195, Z!$A$2:$C$4127, 3, FALSE))</f>
        <v/>
      </c>
      <c r="AE195" s="262"/>
      <c r="AF195" s="263">
        <f t="shared" si="403"/>
        <v>0</v>
      </c>
      <c r="AG195" s="238"/>
      <c r="AH195" s="229">
        <f t="shared" si="427"/>
        <v>1</v>
      </c>
      <c r="AI195" s="229">
        <f t="shared" si="428"/>
        <v>1</v>
      </c>
      <c r="AJ195" s="229">
        <f t="shared" si="429"/>
        <v>0</v>
      </c>
      <c r="AK195" s="229">
        <v>0</v>
      </c>
      <c r="AL195" s="229">
        <v>0</v>
      </c>
      <c r="AM195" s="229">
        <v>1</v>
      </c>
      <c r="AN195" s="229">
        <v>0</v>
      </c>
      <c r="AO195" s="229">
        <f t="shared" si="404"/>
        <v>-100</v>
      </c>
      <c r="AP195" s="238"/>
      <c r="AQ195" s="255"/>
      <c r="AR195" s="255"/>
      <c r="AS195" s="256"/>
      <c r="AT195" s="256"/>
      <c r="AU195" s="256"/>
      <c r="AV195" s="256"/>
      <c r="AW195" s="256"/>
      <c r="AX195" s="256"/>
      <c r="AY195" s="256"/>
      <c r="AZ195" s="256"/>
      <c r="BA195" s="256"/>
      <c r="BB195" s="256"/>
      <c r="BC195" s="256"/>
      <c r="BD195" s="238"/>
      <c r="BE195" s="229" cm="1">
        <f t="array" ref="BE195">IF(ISBLANK(R195), INDEX(Use, $AH195, 4) - AM195*INDEX(Use, $AH195, 6), R195)</f>
        <v>5</v>
      </c>
      <c r="BF195" s="229">
        <f t="shared" si="405"/>
        <v>30</v>
      </c>
      <c r="BG195" s="229">
        <f t="shared" si="241"/>
        <v>13</v>
      </c>
      <c r="BH195" s="229">
        <f t="shared" si="242"/>
        <v>0</v>
      </c>
      <c r="BI195" s="234" cm="1">
        <f t="array" ref="BI195">K195/IF($L195&gt;0, INDEX($AU$23:$BA$77, $L195+20, $AH195), 1)</f>
        <v>0</v>
      </c>
      <c r="BJ195" s="230">
        <f t="shared" si="406"/>
        <v>0</v>
      </c>
      <c r="BK195" s="229">
        <v>35</v>
      </c>
      <c r="BL195" s="230">
        <f t="shared" si="407"/>
        <v>48</v>
      </c>
      <c r="BM195" s="235">
        <f t="shared" si="408"/>
        <v>2.9108720930232557</v>
      </c>
      <c r="BN195" s="235" cm="1">
        <f t="array" ref="BN195">$BI195 * SUMPRODUCT(INDEX($AR$77:$AT$82,,$AI195),INDEX($AU$77:$BA$82,,$AH195), N($AQ$77:$AQ$82&gt;$AO195)) / BM195 / 1000</f>
        <v>0</v>
      </c>
      <c r="BO195" s="232">
        <f t="shared" si="246"/>
        <v>30</v>
      </c>
      <c r="BP195" s="230">
        <f t="shared" si="409"/>
        <v>43</v>
      </c>
      <c r="BQ195" s="235">
        <f t="shared" si="410"/>
        <v>3.2938815789473681</v>
      </c>
      <c r="BR195" s="235" cm="1">
        <f t="array" ref="BR195">$BI195 * IF($AH195&lt;=2,
SUMPRODUCT(INDEX($AR$72:$AT$76,,$AI195), INDEX($AU$72:$BA$76,,$AH195), 1 / ($BB$72:$BB$76*BQ195 + (1-$BB$72:$BB$76)*BM195), N($AQ$72:$AQ$76&gt;$AO195)),
SUMPRODUCT(INDEX($AR$67:$AT$76,,$AI195), INDEX($AU$67:$BA$76,,$AH195), 1 / ($BC$67:$BC$76*BQ195 + (1-$BC$67:$BC$76)*BM195), N($AQ$67:$AQ$76&gt;$AO195))
) / 1000</f>
        <v>0</v>
      </c>
      <c r="BS195" s="232">
        <f t="shared" si="249"/>
        <v>25</v>
      </c>
      <c r="BT195" s="230">
        <f t="shared" si="411"/>
        <v>38</v>
      </c>
      <c r="BU195" s="235">
        <f t="shared" si="412"/>
        <v>3.792954545454545</v>
      </c>
      <c r="BV195" s="235" cm="1">
        <f t="array" ref="BV195">$BI195 * IF($AH195&lt;=2,
SUMPRODUCT(INDEX($AR$67:$AT$71,,$AI195), INDEX($AU$67:$BA$71,,$AH195), 1 / ($BB$67:$BB$71*BU195 + (1-$BB$67:$BB$71)*BQ195), N($AQ$67:$AQ$71&gt;$AO195)),
SUMPRODUCT(INDEX($AR$57:$AT$66,,$AI195), INDEX($AU$57:$BA$66,,$AH195), 1 / ($BC$57:$BC$66*BU195 + (1-$BC$57:$BC$66)*BQ195), N($AQ$57:$AQ$66&gt;$AO195))
) / 1000</f>
        <v>0</v>
      </c>
      <c r="BW195" s="232">
        <f t="shared" si="252"/>
        <v>20</v>
      </c>
      <c r="BX195" s="230">
        <f t="shared" si="413"/>
        <v>33</v>
      </c>
      <c r="BY195" s="235">
        <f t="shared" si="414"/>
        <v>4.4702678571428569</v>
      </c>
      <c r="BZ195" s="235" cm="1">
        <f t="array" ref="BZ195">$BI195 * IF($AH195&lt;=2,
SUMPRODUCT(INDEX($AR$62:$AT$66,,$AI195), INDEX($AU$62:$BA$66,,$AH195), 1 / ($BB$62:$BB$66*BY195 + (1-$BB$62:$BB$66)*BU195), N($AQ$62:$AQ$66&gt;$AO195)),
SUMPRODUCT(INDEX($AR$47:$AT$56,,$AI195), INDEX($AU$47:$BA$56,,$AH195), 1 / ($BC$47:$BC$56*BY195 + (1-$BC$47:$BC$56)*BU195), N($AQ$47:$AQ$56&gt;$AO195))
) / 1000</f>
        <v>0</v>
      </c>
      <c r="CA195" s="235" cm="1">
        <f t="array" ref="CA195">$BI195 * IF($AH195&lt;=2,
SUMPRODUCT(INDEX($AR$23:$AT$61,,$AI195), INDEX($AU$23:$BA$61,,$AH195), 1 / ($BB$23:$BB$61*BY195), N($AQ$23:$AQ$61&gt;$AO195)),
SUMPRODUCT(INDEX($AR$23:$AT$46,,$AI195), INDEX($AU$23:$BA$46,,$AH195), 1 / ($BC$23:$BC$46*BY195), N($AQ$23:$AQ$46&gt;$AO195))
) / 1000</f>
        <v>0</v>
      </c>
      <c r="CB195" s="230">
        <f t="shared" si="415"/>
        <v>0</v>
      </c>
      <c r="CC195" s="238"/>
      <c r="CD195" s="229" cm="1">
        <f t="array" ref="CD195">IF(ISBLANK(Y195), INDEX(Use, $AH195, 4) - AN195*INDEX(Use, $AH195, 6) - (Q195-X195), Y195)</f>
        <v>7</v>
      </c>
      <c r="CE195" s="229">
        <f t="shared" si="416"/>
        <v>32</v>
      </c>
      <c r="CF195" s="230">
        <f t="shared" si="417"/>
        <v>0</v>
      </c>
      <c r="CG195" s="229">
        <v>35</v>
      </c>
      <c r="CH195" s="230">
        <f t="shared" si="418"/>
        <v>48</v>
      </c>
      <c r="CI195" s="235">
        <f t="shared" si="419"/>
        <v>3.0748170731707316</v>
      </c>
      <c r="CJ195" s="235" cm="1">
        <f t="array" ref="CJ195">$BI195 * SUMPRODUCT(INDEX($AR$77:$AT$82,,$AI195),INDEX($AU$77:$BA$82,,$AH195), N($AQ$77:$AQ$82&gt;$AO195)) / CI195 / 1000</f>
        <v>0</v>
      </c>
      <c r="CK195" s="232">
        <f t="shared" si="260"/>
        <v>30</v>
      </c>
      <c r="CL195" s="230">
        <f t="shared" si="420"/>
        <v>43</v>
      </c>
      <c r="CM195" s="235">
        <f t="shared" si="421"/>
        <v>3.5018750000000001</v>
      </c>
      <c r="CN195" s="235" cm="1">
        <f t="array" ref="CN195">$BI195 * IF($AH195&lt;=2,
SUMPRODUCT(INDEX($AR$72:$AT$76,,$AI195), INDEX($AU$72:$BA$76,,$AH195), 1 / ($BB$72:$BB$76*CM195 + (1-$BB$72:$BB$76)*CI195), N($AQ$72:$AQ$76&gt;$AO195)),
SUMPRODUCT(INDEX($AR$67:$AT$76,,$AI195), INDEX($AU$67:$BA$76,,$AH195), 1 / ($BC$67:$BC$76*CM195 + (1-$BC$67:$BC$76)*CI195), N($AQ$67:$AQ$76&gt;$AO195))
) / 1000</f>
        <v>0</v>
      </c>
      <c r="CO195" s="232">
        <f t="shared" si="263"/>
        <v>25</v>
      </c>
      <c r="CP195" s="230">
        <f t="shared" si="422"/>
        <v>38</v>
      </c>
      <c r="CQ195" s="235">
        <f t="shared" si="423"/>
        <v>4.0666935483870965</v>
      </c>
      <c r="CR195" s="235" cm="1">
        <f t="array" ref="CR195">$BI195 * IF($AH195&lt;=2,
SUMPRODUCT(INDEX($AR$67:$AT$71,,$AI195), INDEX($AU$67:$BA$71,,$AH195), 1 / ($BB$67:$BB$71*CQ195 + (1-$BB$67:$BB$71)*CM195), N($AQ$67:$AQ$71&gt;$AO195)),
SUMPRODUCT(INDEX($AR$57:$AT$66,,$AI195), INDEX($AU$57:$BA$66,,$AH195), 1 / ($BC$57:$BC$66*CQ195 + (1-$BC$57:$BC$66)*CM195), N($AQ$57:$AQ$66&gt;$AO195))
) / 1000</f>
        <v>0</v>
      </c>
      <c r="CS195" s="232">
        <f t="shared" si="266"/>
        <v>20</v>
      </c>
      <c r="CT195" s="230">
        <f t="shared" si="424"/>
        <v>33</v>
      </c>
      <c r="CU195" s="235">
        <f t="shared" si="425"/>
        <v>4.8487499999999999</v>
      </c>
      <c r="CV195" s="235" cm="1">
        <f t="array" ref="CV195">$BI195 * IF($AH195&lt;=2,
SUMPRODUCT(INDEX($AR$62:$AT$66,,$AI195), INDEX($AU$62:$BA$66,,$AH195), 1 / ($BB$62:$BB$66*CU195 + (1-$BB$62:$BB$66)*CQ195), N($AQ$62:$AQ$66&gt;$AO195)),
SUMPRODUCT(INDEX($AR$47:$AT$56,,$AI195), INDEX($AU$47:$BA$56,,$AH195), 1 / ($BC$47:$BC$56*CU195 + (1-$BC$47:$BC$56)*CQ195), N($AQ$47:$AQ$56&gt;$AO195))
) / 1000</f>
        <v>0</v>
      </c>
      <c r="CW195" s="235" cm="1">
        <f t="array" ref="CW195">$BI195 * IF($AH195&lt;=2,
SUMPRODUCT(INDEX($AR$23:$AT$61,,$AI195), INDEX($AU$23:$BA$61,,$AH195), 1 / ($BB$23:$BB$61*CU195), N($AQ$23:$AQ$61&gt;$AO195)),
SUMPRODUCT(INDEX($AR$23:$AT$46,,$AI195), INDEX($AU$23:$BA$46,,$AH195), 1 / ($BC$23:$BC$46*CU195), N($AQ$23:$AQ$46&gt;$AO195))
) / 1000</f>
        <v>0</v>
      </c>
      <c r="CX195" s="230">
        <f t="shared" si="426"/>
        <v>0</v>
      </c>
      <c r="CY195" s="238"/>
    </row>
    <row r="196" spans="1:103" s="76" customFormat="1" ht="14.25" customHeight="1" x14ac:dyDescent="0.2">
      <c r="A196" s="231" t="b">
        <f t="shared" si="229"/>
        <v>0</v>
      </c>
      <c r="B196" s="245">
        <v>174</v>
      </c>
      <c r="C196" s="258"/>
      <c r="D196" s="258"/>
      <c r="E196" s="246"/>
      <c r="F196" s="247" t="str">
        <f>IF(ISBLANK(E196), "", VLOOKUP(E196, Z!$A$2:$C$4127, 3, FALSE))</f>
        <v/>
      </c>
      <c r="G196" s="248"/>
      <c r="H196" s="248"/>
      <c r="I196" s="249"/>
      <c r="J196" s="250"/>
      <c r="K196" s="259"/>
      <c r="L196" s="260"/>
      <c r="M196" s="252" t="str" cm="1">
        <f t="array" ref="M196">INDEX(Trad, 53, $A$20)</f>
        <v>Verschmutzt</v>
      </c>
      <c r="N196" s="253"/>
      <c r="O196" s="253"/>
      <c r="P196" s="254"/>
      <c r="Q196" s="251"/>
      <c r="R196" s="251"/>
      <c r="S196" s="264">
        <f t="shared" si="401"/>
        <v>0</v>
      </c>
      <c r="T196" s="252" t="str" cm="1">
        <f t="array" ref="T196">INDEX(Trad, 52, $A$20)</f>
        <v>Sauber</v>
      </c>
      <c r="U196" s="253"/>
      <c r="V196" s="253"/>
      <c r="W196" s="254"/>
      <c r="X196" s="251"/>
      <c r="Y196" s="251"/>
      <c r="Z196" s="264">
        <f t="shared" si="402"/>
        <v>0</v>
      </c>
      <c r="AA196" s="261"/>
      <c r="AB196" s="258"/>
      <c r="AC196" s="246"/>
      <c r="AD196" s="247" t="str">
        <f>IF(ISBLANK(AC196), "", VLOOKUP(AC196, Z!$A$2:$C$4127, 3, FALSE))</f>
        <v/>
      </c>
      <c r="AE196" s="262"/>
      <c r="AF196" s="263">
        <f t="shared" si="403"/>
        <v>0</v>
      </c>
      <c r="AG196" s="238"/>
      <c r="AH196" s="229">
        <f t="shared" si="427"/>
        <v>1</v>
      </c>
      <c r="AI196" s="229">
        <f t="shared" si="428"/>
        <v>1</v>
      </c>
      <c r="AJ196" s="229">
        <f t="shared" si="429"/>
        <v>0</v>
      </c>
      <c r="AK196" s="229">
        <v>0</v>
      </c>
      <c r="AL196" s="229">
        <v>0</v>
      </c>
      <c r="AM196" s="229">
        <v>1</v>
      </c>
      <c r="AN196" s="229">
        <v>0</v>
      </c>
      <c r="AO196" s="229">
        <f t="shared" si="404"/>
        <v>-100</v>
      </c>
      <c r="AP196" s="238"/>
      <c r="AQ196" s="255"/>
      <c r="AR196" s="255"/>
      <c r="AS196" s="256"/>
      <c r="AT196" s="256"/>
      <c r="AU196" s="256"/>
      <c r="AV196" s="256"/>
      <c r="AW196" s="256"/>
      <c r="AX196" s="256"/>
      <c r="AY196" s="256"/>
      <c r="AZ196" s="256"/>
      <c r="BA196" s="256"/>
      <c r="BB196" s="256"/>
      <c r="BC196" s="256"/>
      <c r="BD196" s="238"/>
      <c r="BE196" s="229" cm="1">
        <f t="array" ref="BE196">IF(ISBLANK(R196), INDEX(Use, $AH196, 4) - AM196*INDEX(Use, $AH196, 6), R196)</f>
        <v>5</v>
      </c>
      <c r="BF196" s="229">
        <f t="shared" si="405"/>
        <v>30</v>
      </c>
      <c r="BG196" s="229">
        <f t="shared" si="241"/>
        <v>13</v>
      </c>
      <c r="BH196" s="229">
        <f t="shared" si="242"/>
        <v>0</v>
      </c>
      <c r="BI196" s="234" cm="1">
        <f t="array" ref="BI196">K196/IF($L196&gt;0, INDEX($AU$23:$BA$77, $L196+20, $AH196), 1)</f>
        <v>0</v>
      </c>
      <c r="BJ196" s="230">
        <f t="shared" si="406"/>
        <v>0</v>
      </c>
      <c r="BK196" s="229">
        <v>35</v>
      </c>
      <c r="BL196" s="230">
        <f t="shared" si="407"/>
        <v>48</v>
      </c>
      <c r="BM196" s="235">
        <f t="shared" si="408"/>
        <v>2.9108720930232557</v>
      </c>
      <c r="BN196" s="235" cm="1">
        <f t="array" ref="BN196">$BI196 * SUMPRODUCT(INDEX($AR$77:$AT$82,,$AI196),INDEX($AU$77:$BA$82,,$AH196), N($AQ$77:$AQ$82&gt;$AO196)) / BM196 / 1000</f>
        <v>0</v>
      </c>
      <c r="BO196" s="232">
        <f t="shared" si="246"/>
        <v>30</v>
      </c>
      <c r="BP196" s="230">
        <f t="shared" si="409"/>
        <v>43</v>
      </c>
      <c r="BQ196" s="235">
        <f t="shared" si="410"/>
        <v>3.2938815789473681</v>
      </c>
      <c r="BR196" s="235" cm="1">
        <f t="array" ref="BR196">$BI196 * IF($AH196&lt;=2,
SUMPRODUCT(INDEX($AR$72:$AT$76,,$AI196), INDEX($AU$72:$BA$76,,$AH196), 1 / ($BB$72:$BB$76*BQ196 + (1-$BB$72:$BB$76)*BM196), N($AQ$72:$AQ$76&gt;$AO196)),
SUMPRODUCT(INDEX($AR$67:$AT$76,,$AI196), INDEX($AU$67:$BA$76,,$AH196), 1 / ($BC$67:$BC$76*BQ196 + (1-$BC$67:$BC$76)*BM196), N($AQ$67:$AQ$76&gt;$AO196))
) / 1000</f>
        <v>0</v>
      </c>
      <c r="BS196" s="232">
        <f t="shared" si="249"/>
        <v>25</v>
      </c>
      <c r="BT196" s="230">
        <f t="shared" si="411"/>
        <v>38</v>
      </c>
      <c r="BU196" s="235">
        <f t="shared" si="412"/>
        <v>3.792954545454545</v>
      </c>
      <c r="BV196" s="235" cm="1">
        <f t="array" ref="BV196">$BI196 * IF($AH196&lt;=2,
SUMPRODUCT(INDEX($AR$67:$AT$71,,$AI196), INDEX($AU$67:$BA$71,,$AH196), 1 / ($BB$67:$BB$71*BU196 + (1-$BB$67:$BB$71)*BQ196), N($AQ$67:$AQ$71&gt;$AO196)),
SUMPRODUCT(INDEX($AR$57:$AT$66,,$AI196), INDEX($AU$57:$BA$66,,$AH196), 1 / ($BC$57:$BC$66*BU196 + (1-$BC$57:$BC$66)*BQ196), N($AQ$57:$AQ$66&gt;$AO196))
) / 1000</f>
        <v>0</v>
      </c>
      <c r="BW196" s="232">
        <f t="shared" si="252"/>
        <v>20</v>
      </c>
      <c r="BX196" s="230">
        <f t="shared" si="413"/>
        <v>33</v>
      </c>
      <c r="BY196" s="235">
        <f t="shared" si="414"/>
        <v>4.4702678571428569</v>
      </c>
      <c r="BZ196" s="235" cm="1">
        <f t="array" ref="BZ196">$BI196 * IF($AH196&lt;=2,
SUMPRODUCT(INDEX($AR$62:$AT$66,,$AI196), INDEX($AU$62:$BA$66,,$AH196), 1 / ($BB$62:$BB$66*BY196 + (1-$BB$62:$BB$66)*BU196), N($AQ$62:$AQ$66&gt;$AO196)),
SUMPRODUCT(INDEX($AR$47:$AT$56,,$AI196), INDEX($AU$47:$BA$56,,$AH196), 1 / ($BC$47:$BC$56*BY196 + (1-$BC$47:$BC$56)*BU196), N($AQ$47:$AQ$56&gt;$AO196))
) / 1000</f>
        <v>0</v>
      </c>
      <c r="CA196" s="235" cm="1">
        <f t="array" ref="CA196">$BI196 * IF($AH196&lt;=2,
SUMPRODUCT(INDEX($AR$23:$AT$61,,$AI196), INDEX($AU$23:$BA$61,,$AH196), 1 / ($BB$23:$BB$61*BY196), N($AQ$23:$AQ$61&gt;$AO196)),
SUMPRODUCT(INDEX($AR$23:$AT$46,,$AI196), INDEX($AU$23:$BA$46,,$AH196), 1 / ($BC$23:$BC$46*BY196), N($AQ$23:$AQ$46&gt;$AO196))
) / 1000</f>
        <v>0</v>
      </c>
      <c r="CB196" s="230">
        <f t="shared" si="415"/>
        <v>0</v>
      </c>
      <c r="CC196" s="238"/>
      <c r="CD196" s="229" cm="1">
        <f t="array" ref="CD196">IF(ISBLANK(Y196), INDEX(Use, $AH196, 4) - AN196*INDEX(Use, $AH196, 6) - (Q196-X196), Y196)</f>
        <v>7</v>
      </c>
      <c r="CE196" s="229">
        <f t="shared" si="416"/>
        <v>32</v>
      </c>
      <c r="CF196" s="230">
        <f t="shared" si="417"/>
        <v>0</v>
      </c>
      <c r="CG196" s="229">
        <v>35</v>
      </c>
      <c r="CH196" s="230">
        <f t="shared" si="418"/>
        <v>48</v>
      </c>
      <c r="CI196" s="235">
        <f t="shared" si="419"/>
        <v>3.0748170731707316</v>
      </c>
      <c r="CJ196" s="235" cm="1">
        <f t="array" ref="CJ196">$BI196 * SUMPRODUCT(INDEX($AR$77:$AT$82,,$AI196),INDEX($AU$77:$BA$82,,$AH196), N($AQ$77:$AQ$82&gt;$AO196)) / CI196 / 1000</f>
        <v>0</v>
      </c>
      <c r="CK196" s="232">
        <f t="shared" si="260"/>
        <v>30</v>
      </c>
      <c r="CL196" s="230">
        <f t="shared" si="420"/>
        <v>43</v>
      </c>
      <c r="CM196" s="235">
        <f t="shared" si="421"/>
        <v>3.5018750000000001</v>
      </c>
      <c r="CN196" s="235" cm="1">
        <f t="array" ref="CN196">$BI196 * IF($AH196&lt;=2,
SUMPRODUCT(INDEX($AR$72:$AT$76,,$AI196), INDEX($AU$72:$BA$76,,$AH196), 1 / ($BB$72:$BB$76*CM196 + (1-$BB$72:$BB$76)*CI196), N($AQ$72:$AQ$76&gt;$AO196)),
SUMPRODUCT(INDEX($AR$67:$AT$76,,$AI196), INDEX($AU$67:$BA$76,,$AH196), 1 / ($BC$67:$BC$76*CM196 + (1-$BC$67:$BC$76)*CI196), N($AQ$67:$AQ$76&gt;$AO196))
) / 1000</f>
        <v>0</v>
      </c>
      <c r="CO196" s="232">
        <f t="shared" si="263"/>
        <v>25</v>
      </c>
      <c r="CP196" s="230">
        <f t="shared" si="422"/>
        <v>38</v>
      </c>
      <c r="CQ196" s="235">
        <f t="shared" si="423"/>
        <v>4.0666935483870965</v>
      </c>
      <c r="CR196" s="235" cm="1">
        <f t="array" ref="CR196">$BI196 * IF($AH196&lt;=2,
SUMPRODUCT(INDEX($AR$67:$AT$71,,$AI196), INDEX($AU$67:$BA$71,,$AH196), 1 / ($BB$67:$BB$71*CQ196 + (1-$BB$67:$BB$71)*CM196), N($AQ$67:$AQ$71&gt;$AO196)),
SUMPRODUCT(INDEX($AR$57:$AT$66,,$AI196), INDEX($AU$57:$BA$66,,$AH196), 1 / ($BC$57:$BC$66*CQ196 + (1-$BC$57:$BC$66)*CM196), N($AQ$57:$AQ$66&gt;$AO196))
) / 1000</f>
        <v>0</v>
      </c>
      <c r="CS196" s="232">
        <f t="shared" si="266"/>
        <v>20</v>
      </c>
      <c r="CT196" s="230">
        <f t="shared" si="424"/>
        <v>33</v>
      </c>
      <c r="CU196" s="235">
        <f t="shared" si="425"/>
        <v>4.8487499999999999</v>
      </c>
      <c r="CV196" s="235" cm="1">
        <f t="array" ref="CV196">$BI196 * IF($AH196&lt;=2,
SUMPRODUCT(INDEX($AR$62:$AT$66,,$AI196), INDEX($AU$62:$BA$66,,$AH196), 1 / ($BB$62:$BB$66*CU196 + (1-$BB$62:$BB$66)*CQ196), N($AQ$62:$AQ$66&gt;$AO196)),
SUMPRODUCT(INDEX($AR$47:$AT$56,,$AI196), INDEX($AU$47:$BA$56,,$AH196), 1 / ($BC$47:$BC$56*CU196 + (1-$BC$47:$BC$56)*CQ196), N($AQ$47:$AQ$56&gt;$AO196))
) / 1000</f>
        <v>0</v>
      </c>
      <c r="CW196" s="235" cm="1">
        <f t="array" ref="CW196">$BI196 * IF($AH196&lt;=2,
SUMPRODUCT(INDEX($AR$23:$AT$61,,$AI196), INDEX($AU$23:$BA$61,,$AH196), 1 / ($BB$23:$BB$61*CU196), N($AQ$23:$AQ$61&gt;$AO196)),
SUMPRODUCT(INDEX($AR$23:$AT$46,,$AI196), INDEX($AU$23:$BA$46,,$AH196), 1 / ($BC$23:$BC$46*CU196), N($AQ$23:$AQ$46&gt;$AO196))
) / 1000</f>
        <v>0</v>
      </c>
      <c r="CX196" s="230">
        <f t="shared" si="426"/>
        <v>0</v>
      </c>
      <c r="CY196" s="238"/>
    </row>
    <row r="197" spans="1:103" s="76" customFormat="1" ht="14.25" customHeight="1" x14ac:dyDescent="0.2">
      <c r="A197" s="231" t="b">
        <f t="shared" si="229"/>
        <v>0</v>
      </c>
      <c r="B197" s="245">
        <v>175</v>
      </c>
      <c r="C197" s="258"/>
      <c r="D197" s="258"/>
      <c r="E197" s="246"/>
      <c r="F197" s="247" t="str">
        <f>IF(ISBLANK(E197), "", VLOOKUP(E197, Z!$A$2:$C$4127, 3, FALSE))</f>
        <v/>
      </c>
      <c r="G197" s="248"/>
      <c r="H197" s="248"/>
      <c r="I197" s="249"/>
      <c r="J197" s="250"/>
      <c r="K197" s="259"/>
      <c r="L197" s="260"/>
      <c r="M197" s="252" t="str" cm="1">
        <f t="array" ref="M197">INDEX(Trad, 53, $A$20)</f>
        <v>Verschmutzt</v>
      </c>
      <c r="N197" s="253"/>
      <c r="O197" s="253"/>
      <c r="P197" s="254"/>
      <c r="Q197" s="251"/>
      <c r="R197" s="251"/>
      <c r="S197" s="264">
        <f t="shared" si="401"/>
        <v>0</v>
      </c>
      <c r="T197" s="252" t="str" cm="1">
        <f t="array" ref="T197">INDEX(Trad, 52, $A$20)</f>
        <v>Sauber</v>
      </c>
      <c r="U197" s="253"/>
      <c r="V197" s="253"/>
      <c r="W197" s="254"/>
      <c r="X197" s="251"/>
      <c r="Y197" s="251"/>
      <c r="Z197" s="264">
        <f t="shared" si="402"/>
        <v>0</v>
      </c>
      <c r="AA197" s="261"/>
      <c r="AB197" s="258"/>
      <c r="AC197" s="246"/>
      <c r="AD197" s="247" t="str">
        <f>IF(ISBLANK(AC197), "", VLOOKUP(AC197, Z!$A$2:$C$4127, 3, FALSE))</f>
        <v/>
      </c>
      <c r="AE197" s="262"/>
      <c r="AF197" s="263">
        <f t="shared" si="403"/>
        <v>0</v>
      </c>
      <c r="AG197" s="238"/>
      <c r="AH197" s="229">
        <f t="shared" si="427"/>
        <v>1</v>
      </c>
      <c r="AI197" s="229">
        <f t="shared" si="428"/>
        <v>1</v>
      </c>
      <c r="AJ197" s="229">
        <f t="shared" si="429"/>
        <v>0</v>
      </c>
      <c r="AK197" s="229">
        <v>0</v>
      </c>
      <c r="AL197" s="229">
        <v>0</v>
      </c>
      <c r="AM197" s="229">
        <v>1</v>
      </c>
      <c r="AN197" s="229">
        <v>0</v>
      </c>
      <c r="AO197" s="229">
        <f t="shared" si="404"/>
        <v>-100</v>
      </c>
      <c r="AP197" s="238"/>
      <c r="AQ197" s="255"/>
      <c r="AR197" s="255"/>
      <c r="AS197" s="256"/>
      <c r="AT197" s="256"/>
      <c r="AU197" s="256"/>
      <c r="AV197" s="256"/>
      <c r="AW197" s="256"/>
      <c r="AX197" s="256"/>
      <c r="AY197" s="256"/>
      <c r="AZ197" s="256"/>
      <c r="BA197" s="256"/>
      <c r="BB197" s="256"/>
      <c r="BC197" s="256"/>
      <c r="BD197" s="238"/>
      <c r="BE197" s="229" cm="1">
        <f t="array" ref="BE197">IF(ISBLANK(R197), INDEX(Use, $AH197, 4) - AM197*INDEX(Use, $AH197, 6), R197)</f>
        <v>5</v>
      </c>
      <c r="BF197" s="229">
        <f t="shared" si="405"/>
        <v>30</v>
      </c>
      <c r="BG197" s="229">
        <f t="shared" si="241"/>
        <v>13</v>
      </c>
      <c r="BH197" s="229">
        <f t="shared" si="242"/>
        <v>0</v>
      </c>
      <c r="BI197" s="234" cm="1">
        <f t="array" ref="BI197">K197/IF($L197&gt;0, INDEX($AU$23:$BA$77, $L197+20, $AH197), 1)</f>
        <v>0</v>
      </c>
      <c r="BJ197" s="230">
        <f t="shared" si="406"/>
        <v>0</v>
      </c>
      <c r="BK197" s="229">
        <v>35</v>
      </c>
      <c r="BL197" s="230">
        <f t="shared" si="407"/>
        <v>48</v>
      </c>
      <c r="BM197" s="235">
        <f t="shared" si="408"/>
        <v>2.9108720930232557</v>
      </c>
      <c r="BN197" s="235" cm="1">
        <f t="array" ref="BN197">$BI197 * SUMPRODUCT(INDEX($AR$77:$AT$82,,$AI197),INDEX($AU$77:$BA$82,,$AH197), N($AQ$77:$AQ$82&gt;$AO197)) / BM197 / 1000</f>
        <v>0</v>
      </c>
      <c r="BO197" s="232">
        <f t="shared" si="246"/>
        <v>30</v>
      </c>
      <c r="BP197" s="230">
        <f t="shared" si="409"/>
        <v>43</v>
      </c>
      <c r="BQ197" s="235">
        <f t="shared" si="410"/>
        <v>3.2938815789473681</v>
      </c>
      <c r="BR197" s="235" cm="1">
        <f t="array" ref="BR197">$BI197 * IF($AH197&lt;=2,
SUMPRODUCT(INDEX($AR$72:$AT$76,,$AI197), INDEX($AU$72:$BA$76,,$AH197), 1 / ($BB$72:$BB$76*BQ197 + (1-$BB$72:$BB$76)*BM197), N($AQ$72:$AQ$76&gt;$AO197)),
SUMPRODUCT(INDEX($AR$67:$AT$76,,$AI197), INDEX($AU$67:$BA$76,,$AH197), 1 / ($BC$67:$BC$76*BQ197 + (1-$BC$67:$BC$76)*BM197), N($AQ$67:$AQ$76&gt;$AO197))
) / 1000</f>
        <v>0</v>
      </c>
      <c r="BS197" s="232">
        <f t="shared" si="249"/>
        <v>25</v>
      </c>
      <c r="BT197" s="230">
        <f t="shared" si="411"/>
        <v>38</v>
      </c>
      <c r="BU197" s="235">
        <f t="shared" si="412"/>
        <v>3.792954545454545</v>
      </c>
      <c r="BV197" s="235" cm="1">
        <f t="array" ref="BV197">$BI197 * IF($AH197&lt;=2,
SUMPRODUCT(INDEX($AR$67:$AT$71,,$AI197), INDEX($AU$67:$BA$71,,$AH197), 1 / ($BB$67:$BB$71*BU197 + (1-$BB$67:$BB$71)*BQ197), N($AQ$67:$AQ$71&gt;$AO197)),
SUMPRODUCT(INDEX($AR$57:$AT$66,,$AI197), INDEX($AU$57:$BA$66,,$AH197), 1 / ($BC$57:$BC$66*BU197 + (1-$BC$57:$BC$66)*BQ197), N($AQ$57:$AQ$66&gt;$AO197))
) / 1000</f>
        <v>0</v>
      </c>
      <c r="BW197" s="232">
        <f t="shared" si="252"/>
        <v>20</v>
      </c>
      <c r="BX197" s="230">
        <f t="shared" si="413"/>
        <v>33</v>
      </c>
      <c r="BY197" s="235">
        <f t="shared" si="414"/>
        <v>4.4702678571428569</v>
      </c>
      <c r="BZ197" s="235" cm="1">
        <f t="array" ref="BZ197">$BI197 * IF($AH197&lt;=2,
SUMPRODUCT(INDEX($AR$62:$AT$66,,$AI197), INDEX($AU$62:$BA$66,,$AH197), 1 / ($BB$62:$BB$66*BY197 + (1-$BB$62:$BB$66)*BU197), N($AQ$62:$AQ$66&gt;$AO197)),
SUMPRODUCT(INDEX($AR$47:$AT$56,,$AI197), INDEX($AU$47:$BA$56,,$AH197), 1 / ($BC$47:$BC$56*BY197 + (1-$BC$47:$BC$56)*BU197), N($AQ$47:$AQ$56&gt;$AO197))
) / 1000</f>
        <v>0</v>
      </c>
      <c r="CA197" s="235" cm="1">
        <f t="array" ref="CA197">$BI197 * IF($AH197&lt;=2,
SUMPRODUCT(INDEX($AR$23:$AT$61,,$AI197), INDEX($AU$23:$BA$61,,$AH197), 1 / ($BB$23:$BB$61*BY197), N($AQ$23:$AQ$61&gt;$AO197)),
SUMPRODUCT(INDEX($AR$23:$AT$46,,$AI197), INDEX($AU$23:$BA$46,,$AH197), 1 / ($BC$23:$BC$46*BY197), N($AQ$23:$AQ$46&gt;$AO197))
) / 1000</f>
        <v>0</v>
      </c>
      <c r="CB197" s="230">
        <f t="shared" si="415"/>
        <v>0</v>
      </c>
      <c r="CC197" s="238"/>
      <c r="CD197" s="229" cm="1">
        <f t="array" ref="CD197">IF(ISBLANK(Y197), INDEX(Use, $AH197, 4) - AN197*INDEX(Use, $AH197, 6) - (Q197-X197), Y197)</f>
        <v>7</v>
      </c>
      <c r="CE197" s="229">
        <f t="shared" si="416"/>
        <v>32</v>
      </c>
      <c r="CF197" s="230">
        <f t="shared" si="417"/>
        <v>0</v>
      </c>
      <c r="CG197" s="229">
        <v>35</v>
      </c>
      <c r="CH197" s="230">
        <f t="shared" si="418"/>
        <v>48</v>
      </c>
      <c r="CI197" s="235">
        <f t="shared" si="419"/>
        <v>3.0748170731707316</v>
      </c>
      <c r="CJ197" s="235" cm="1">
        <f t="array" ref="CJ197">$BI197 * SUMPRODUCT(INDEX($AR$77:$AT$82,,$AI197),INDEX($AU$77:$BA$82,,$AH197), N($AQ$77:$AQ$82&gt;$AO197)) / CI197 / 1000</f>
        <v>0</v>
      </c>
      <c r="CK197" s="232">
        <f t="shared" si="260"/>
        <v>30</v>
      </c>
      <c r="CL197" s="230">
        <f t="shared" si="420"/>
        <v>43</v>
      </c>
      <c r="CM197" s="235">
        <f t="shared" si="421"/>
        <v>3.5018750000000001</v>
      </c>
      <c r="CN197" s="235" cm="1">
        <f t="array" ref="CN197">$BI197 * IF($AH197&lt;=2,
SUMPRODUCT(INDEX($AR$72:$AT$76,,$AI197), INDEX($AU$72:$BA$76,,$AH197), 1 / ($BB$72:$BB$76*CM197 + (1-$BB$72:$BB$76)*CI197), N($AQ$72:$AQ$76&gt;$AO197)),
SUMPRODUCT(INDEX($AR$67:$AT$76,,$AI197), INDEX($AU$67:$BA$76,,$AH197), 1 / ($BC$67:$BC$76*CM197 + (1-$BC$67:$BC$76)*CI197), N($AQ$67:$AQ$76&gt;$AO197))
) / 1000</f>
        <v>0</v>
      </c>
      <c r="CO197" s="232">
        <f t="shared" si="263"/>
        <v>25</v>
      </c>
      <c r="CP197" s="230">
        <f t="shared" si="422"/>
        <v>38</v>
      </c>
      <c r="CQ197" s="235">
        <f t="shared" si="423"/>
        <v>4.0666935483870965</v>
      </c>
      <c r="CR197" s="235" cm="1">
        <f t="array" ref="CR197">$BI197 * IF($AH197&lt;=2,
SUMPRODUCT(INDEX($AR$67:$AT$71,,$AI197), INDEX($AU$67:$BA$71,,$AH197), 1 / ($BB$67:$BB$71*CQ197 + (1-$BB$67:$BB$71)*CM197), N($AQ$67:$AQ$71&gt;$AO197)),
SUMPRODUCT(INDEX($AR$57:$AT$66,,$AI197), INDEX($AU$57:$BA$66,,$AH197), 1 / ($BC$57:$BC$66*CQ197 + (1-$BC$57:$BC$66)*CM197), N($AQ$57:$AQ$66&gt;$AO197))
) / 1000</f>
        <v>0</v>
      </c>
      <c r="CS197" s="232">
        <f t="shared" si="266"/>
        <v>20</v>
      </c>
      <c r="CT197" s="230">
        <f t="shared" si="424"/>
        <v>33</v>
      </c>
      <c r="CU197" s="235">
        <f t="shared" si="425"/>
        <v>4.8487499999999999</v>
      </c>
      <c r="CV197" s="235" cm="1">
        <f t="array" ref="CV197">$BI197 * IF($AH197&lt;=2,
SUMPRODUCT(INDEX($AR$62:$AT$66,,$AI197), INDEX($AU$62:$BA$66,,$AH197), 1 / ($BB$62:$BB$66*CU197 + (1-$BB$62:$BB$66)*CQ197), N($AQ$62:$AQ$66&gt;$AO197)),
SUMPRODUCT(INDEX($AR$47:$AT$56,,$AI197), INDEX($AU$47:$BA$56,,$AH197), 1 / ($BC$47:$BC$56*CU197 + (1-$BC$47:$BC$56)*CQ197), N($AQ$47:$AQ$56&gt;$AO197))
) / 1000</f>
        <v>0</v>
      </c>
      <c r="CW197" s="235" cm="1">
        <f t="array" ref="CW197">$BI197 * IF($AH197&lt;=2,
SUMPRODUCT(INDEX($AR$23:$AT$61,,$AI197), INDEX($AU$23:$BA$61,,$AH197), 1 / ($BB$23:$BB$61*CU197), N($AQ$23:$AQ$61&gt;$AO197)),
SUMPRODUCT(INDEX($AR$23:$AT$46,,$AI197), INDEX($AU$23:$BA$46,,$AH197), 1 / ($BC$23:$BC$46*CU197), N($AQ$23:$AQ$46&gt;$AO197))
) / 1000</f>
        <v>0</v>
      </c>
      <c r="CX197" s="230">
        <f t="shared" si="426"/>
        <v>0</v>
      </c>
      <c r="CY197" s="238"/>
    </row>
    <row r="198" spans="1:103" s="76" customFormat="1" ht="14.25" customHeight="1" x14ac:dyDescent="0.2">
      <c r="A198" s="231" t="b">
        <f t="shared" si="229"/>
        <v>0</v>
      </c>
      <c r="B198" s="245">
        <v>176</v>
      </c>
      <c r="C198" s="258"/>
      <c r="D198" s="258"/>
      <c r="E198" s="246"/>
      <c r="F198" s="247" t="str">
        <f>IF(ISBLANK(E198), "", VLOOKUP(E198, Z!$A$2:$C$4127, 3, FALSE))</f>
        <v/>
      </c>
      <c r="G198" s="248"/>
      <c r="H198" s="248"/>
      <c r="I198" s="249"/>
      <c r="J198" s="250"/>
      <c r="K198" s="259"/>
      <c r="L198" s="260"/>
      <c r="M198" s="252" t="str" cm="1">
        <f t="array" ref="M198">INDEX(Trad, 53, $A$20)</f>
        <v>Verschmutzt</v>
      </c>
      <c r="N198" s="253"/>
      <c r="O198" s="253"/>
      <c r="P198" s="254"/>
      <c r="Q198" s="251"/>
      <c r="R198" s="251"/>
      <c r="S198" s="264">
        <f t="shared" si="401"/>
        <v>0</v>
      </c>
      <c r="T198" s="252" t="str" cm="1">
        <f t="array" ref="T198">INDEX(Trad, 52, $A$20)</f>
        <v>Sauber</v>
      </c>
      <c r="U198" s="253"/>
      <c r="V198" s="253"/>
      <c r="W198" s="254"/>
      <c r="X198" s="251"/>
      <c r="Y198" s="251"/>
      <c r="Z198" s="264">
        <f t="shared" si="402"/>
        <v>0</v>
      </c>
      <c r="AA198" s="261"/>
      <c r="AB198" s="258"/>
      <c r="AC198" s="246"/>
      <c r="AD198" s="247" t="str">
        <f>IF(ISBLANK(AC198), "", VLOOKUP(AC198, Z!$A$2:$C$4127, 3, FALSE))</f>
        <v/>
      </c>
      <c r="AE198" s="262"/>
      <c r="AF198" s="263">
        <f t="shared" si="403"/>
        <v>0</v>
      </c>
      <c r="AG198" s="238"/>
      <c r="AH198" s="229">
        <f t="shared" si="427"/>
        <v>1</v>
      </c>
      <c r="AI198" s="229">
        <f t="shared" si="428"/>
        <v>1</v>
      </c>
      <c r="AJ198" s="229">
        <f t="shared" si="429"/>
        <v>0</v>
      </c>
      <c r="AK198" s="229">
        <v>0</v>
      </c>
      <c r="AL198" s="229">
        <v>0</v>
      </c>
      <c r="AM198" s="229">
        <v>1</v>
      </c>
      <c r="AN198" s="229">
        <v>0</v>
      </c>
      <c r="AO198" s="229">
        <f t="shared" si="404"/>
        <v>-100</v>
      </c>
      <c r="AP198" s="238"/>
      <c r="AQ198" s="255"/>
      <c r="AR198" s="255"/>
      <c r="AS198" s="256"/>
      <c r="AT198" s="256"/>
      <c r="AU198" s="256"/>
      <c r="AV198" s="256"/>
      <c r="AW198" s="256"/>
      <c r="AX198" s="256"/>
      <c r="AY198" s="256"/>
      <c r="AZ198" s="256"/>
      <c r="BA198" s="256"/>
      <c r="BB198" s="256"/>
      <c r="BC198" s="256"/>
      <c r="BD198" s="238"/>
      <c r="BE198" s="229" cm="1">
        <f t="array" ref="BE198">IF(ISBLANK(R198), INDEX(Use, $AH198, 4) - AM198*INDEX(Use, $AH198, 6), R198)</f>
        <v>5</v>
      </c>
      <c r="BF198" s="229">
        <f t="shared" si="405"/>
        <v>30</v>
      </c>
      <c r="BG198" s="229">
        <f t="shared" si="241"/>
        <v>13</v>
      </c>
      <c r="BH198" s="229">
        <f t="shared" si="242"/>
        <v>0</v>
      </c>
      <c r="BI198" s="234" cm="1">
        <f t="array" ref="BI198">K198/IF($L198&gt;0, INDEX($AU$23:$BA$77, $L198+20, $AH198), 1)</f>
        <v>0</v>
      </c>
      <c r="BJ198" s="230">
        <f t="shared" si="406"/>
        <v>0</v>
      </c>
      <c r="BK198" s="229">
        <v>35</v>
      </c>
      <c r="BL198" s="230">
        <f t="shared" si="407"/>
        <v>48</v>
      </c>
      <c r="BM198" s="235">
        <f t="shared" si="408"/>
        <v>2.9108720930232557</v>
      </c>
      <c r="BN198" s="235" cm="1">
        <f t="array" ref="BN198">$BI198 * SUMPRODUCT(INDEX($AR$77:$AT$82,,$AI198),INDEX($AU$77:$BA$82,,$AH198), N($AQ$77:$AQ$82&gt;$AO198)) / BM198 / 1000</f>
        <v>0</v>
      </c>
      <c r="BO198" s="232">
        <f t="shared" si="246"/>
        <v>30</v>
      </c>
      <c r="BP198" s="230">
        <f t="shared" si="409"/>
        <v>43</v>
      </c>
      <c r="BQ198" s="235">
        <f t="shared" si="410"/>
        <v>3.2938815789473681</v>
      </c>
      <c r="BR198" s="235" cm="1">
        <f t="array" ref="BR198">$BI198 * IF($AH198&lt;=2,
SUMPRODUCT(INDEX($AR$72:$AT$76,,$AI198), INDEX($AU$72:$BA$76,,$AH198), 1 / ($BB$72:$BB$76*BQ198 + (1-$BB$72:$BB$76)*BM198), N($AQ$72:$AQ$76&gt;$AO198)),
SUMPRODUCT(INDEX($AR$67:$AT$76,,$AI198), INDEX($AU$67:$BA$76,,$AH198), 1 / ($BC$67:$BC$76*BQ198 + (1-$BC$67:$BC$76)*BM198), N($AQ$67:$AQ$76&gt;$AO198))
) / 1000</f>
        <v>0</v>
      </c>
      <c r="BS198" s="232">
        <f t="shared" si="249"/>
        <v>25</v>
      </c>
      <c r="BT198" s="230">
        <f t="shared" si="411"/>
        <v>38</v>
      </c>
      <c r="BU198" s="235">
        <f t="shared" si="412"/>
        <v>3.792954545454545</v>
      </c>
      <c r="BV198" s="235" cm="1">
        <f t="array" ref="BV198">$BI198 * IF($AH198&lt;=2,
SUMPRODUCT(INDEX($AR$67:$AT$71,,$AI198), INDEX($AU$67:$BA$71,,$AH198), 1 / ($BB$67:$BB$71*BU198 + (1-$BB$67:$BB$71)*BQ198), N($AQ$67:$AQ$71&gt;$AO198)),
SUMPRODUCT(INDEX($AR$57:$AT$66,,$AI198), INDEX($AU$57:$BA$66,,$AH198), 1 / ($BC$57:$BC$66*BU198 + (1-$BC$57:$BC$66)*BQ198), N($AQ$57:$AQ$66&gt;$AO198))
) / 1000</f>
        <v>0</v>
      </c>
      <c r="BW198" s="232">
        <f t="shared" si="252"/>
        <v>20</v>
      </c>
      <c r="BX198" s="230">
        <f t="shared" si="413"/>
        <v>33</v>
      </c>
      <c r="BY198" s="235">
        <f t="shared" si="414"/>
        <v>4.4702678571428569</v>
      </c>
      <c r="BZ198" s="235" cm="1">
        <f t="array" ref="BZ198">$BI198 * IF($AH198&lt;=2,
SUMPRODUCT(INDEX($AR$62:$AT$66,,$AI198), INDEX($AU$62:$BA$66,,$AH198), 1 / ($BB$62:$BB$66*BY198 + (1-$BB$62:$BB$66)*BU198), N($AQ$62:$AQ$66&gt;$AO198)),
SUMPRODUCT(INDEX($AR$47:$AT$56,,$AI198), INDEX($AU$47:$BA$56,,$AH198), 1 / ($BC$47:$BC$56*BY198 + (1-$BC$47:$BC$56)*BU198), N($AQ$47:$AQ$56&gt;$AO198))
) / 1000</f>
        <v>0</v>
      </c>
      <c r="CA198" s="235" cm="1">
        <f t="array" ref="CA198">$BI198 * IF($AH198&lt;=2,
SUMPRODUCT(INDEX($AR$23:$AT$61,,$AI198), INDEX($AU$23:$BA$61,,$AH198), 1 / ($BB$23:$BB$61*BY198), N($AQ$23:$AQ$61&gt;$AO198)),
SUMPRODUCT(INDEX($AR$23:$AT$46,,$AI198), INDEX($AU$23:$BA$46,,$AH198), 1 / ($BC$23:$BC$46*BY198), N($AQ$23:$AQ$46&gt;$AO198))
) / 1000</f>
        <v>0</v>
      </c>
      <c r="CB198" s="230">
        <f t="shared" si="415"/>
        <v>0</v>
      </c>
      <c r="CC198" s="238"/>
      <c r="CD198" s="229" cm="1">
        <f t="array" ref="CD198">IF(ISBLANK(Y198), INDEX(Use, $AH198, 4) - AN198*INDEX(Use, $AH198, 6) - (Q198-X198), Y198)</f>
        <v>7</v>
      </c>
      <c r="CE198" s="229">
        <f t="shared" si="416"/>
        <v>32</v>
      </c>
      <c r="CF198" s="230">
        <f t="shared" si="417"/>
        <v>0</v>
      </c>
      <c r="CG198" s="229">
        <v>35</v>
      </c>
      <c r="CH198" s="230">
        <f t="shared" si="418"/>
        <v>48</v>
      </c>
      <c r="CI198" s="235">
        <f t="shared" si="419"/>
        <v>3.0748170731707316</v>
      </c>
      <c r="CJ198" s="235" cm="1">
        <f t="array" ref="CJ198">$BI198 * SUMPRODUCT(INDEX($AR$77:$AT$82,,$AI198),INDEX($AU$77:$BA$82,,$AH198), N($AQ$77:$AQ$82&gt;$AO198)) / CI198 / 1000</f>
        <v>0</v>
      </c>
      <c r="CK198" s="232">
        <f t="shared" si="260"/>
        <v>30</v>
      </c>
      <c r="CL198" s="230">
        <f t="shared" si="420"/>
        <v>43</v>
      </c>
      <c r="CM198" s="235">
        <f t="shared" si="421"/>
        <v>3.5018750000000001</v>
      </c>
      <c r="CN198" s="235" cm="1">
        <f t="array" ref="CN198">$BI198 * IF($AH198&lt;=2,
SUMPRODUCT(INDEX($AR$72:$AT$76,,$AI198), INDEX($AU$72:$BA$76,,$AH198), 1 / ($BB$72:$BB$76*CM198 + (1-$BB$72:$BB$76)*CI198), N($AQ$72:$AQ$76&gt;$AO198)),
SUMPRODUCT(INDEX($AR$67:$AT$76,,$AI198), INDEX($AU$67:$BA$76,,$AH198), 1 / ($BC$67:$BC$76*CM198 + (1-$BC$67:$BC$76)*CI198), N($AQ$67:$AQ$76&gt;$AO198))
) / 1000</f>
        <v>0</v>
      </c>
      <c r="CO198" s="232">
        <f t="shared" si="263"/>
        <v>25</v>
      </c>
      <c r="CP198" s="230">
        <f t="shared" si="422"/>
        <v>38</v>
      </c>
      <c r="CQ198" s="235">
        <f t="shared" si="423"/>
        <v>4.0666935483870965</v>
      </c>
      <c r="CR198" s="235" cm="1">
        <f t="array" ref="CR198">$BI198 * IF($AH198&lt;=2,
SUMPRODUCT(INDEX($AR$67:$AT$71,,$AI198), INDEX($AU$67:$BA$71,,$AH198), 1 / ($BB$67:$BB$71*CQ198 + (1-$BB$67:$BB$71)*CM198), N($AQ$67:$AQ$71&gt;$AO198)),
SUMPRODUCT(INDEX($AR$57:$AT$66,,$AI198), INDEX($AU$57:$BA$66,,$AH198), 1 / ($BC$57:$BC$66*CQ198 + (1-$BC$57:$BC$66)*CM198), N($AQ$57:$AQ$66&gt;$AO198))
) / 1000</f>
        <v>0</v>
      </c>
      <c r="CS198" s="232">
        <f t="shared" si="266"/>
        <v>20</v>
      </c>
      <c r="CT198" s="230">
        <f t="shared" si="424"/>
        <v>33</v>
      </c>
      <c r="CU198" s="235">
        <f t="shared" si="425"/>
        <v>4.8487499999999999</v>
      </c>
      <c r="CV198" s="235" cm="1">
        <f t="array" ref="CV198">$BI198 * IF($AH198&lt;=2,
SUMPRODUCT(INDEX($AR$62:$AT$66,,$AI198), INDEX($AU$62:$BA$66,,$AH198), 1 / ($BB$62:$BB$66*CU198 + (1-$BB$62:$BB$66)*CQ198), N($AQ$62:$AQ$66&gt;$AO198)),
SUMPRODUCT(INDEX($AR$47:$AT$56,,$AI198), INDEX($AU$47:$BA$56,,$AH198), 1 / ($BC$47:$BC$56*CU198 + (1-$BC$47:$BC$56)*CQ198), N($AQ$47:$AQ$56&gt;$AO198))
) / 1000</f>
        <v>0</v>
      </c>
      <c r="CW198" s="235" cm="1">
        <f t="array" ref="CW198">$BI198 * IF($AH198&lt;=2,
SUMPRODUCT(INDEX($AR$23:$AT$61,,$AI198), INDEX($AU$23:$BA$61,,$AH198), 1 / ($BB$23:$BB$61*CU198), N($AQ$23:$AQ$61&gt;$AO198)),
SUMPRODUCT(INDEX($AR$23:$AT$46,,$AI198), INDEX($AU$23:$BA$46,,$AH198), 1 / ($BC$23:$BC$46*CU198), N($AQ$23:$AQ$46&gt;$AO198))
) / 1000</f>
        <v>0</v>
      </c>
      <c r="CX198" s="230">
        <f t="shared" si="426"/>
        <v>0</v>
      </c>
      <c r="CY198" s="238"/>
    </row>
    <row r="199" spans="1:103" s="76" customFormat="1" ht="14.25" customHeight="1" x14ac:dyDescent="0.2">
      <c r="A199" s="231" t="b">
        <f t="shared" si="229"/>
        <v>0</v>
      </c>
      <c r="B199" s="245">
        <v>177</v>
      </c>
      <c r="C199" s="258"/>
      <c r="D199" s="258"/>
      <c r="E199" s="246"/>
      <c r="F199" s="247" t="str">
        <f>IF(ISBLANK(E199), "", VLOOKUP(E199, Z!$A$2:$C$4127, 3, FALSE))</f>
        <v/>
      </c>
      <c r="G199" s="248"/>
      <c r="H199" s="248"/>
      <c r="I199" s="249"/>
      <c r="J199" s="250"/>
      <c r="K199" s="259"/>
      <c r="L199" s="260"/>
      <c r="M199" s="252" t="str" cm="1">
        <f t="array" ref="M199">INDEX(Trad, 53, $A$20)</f>
        <v>Verschmutzt</v>
      </c>
      <c r="N199" s="253"/>
      <c r="O199" s="253"/>
      <c r="P199" s="254"/>
      <c r="Q199" s="251"/>
      <c r="R199" s="251"/>
      <c r="S199" s="264">
        <f t="shared" si="401"/>
        <v>0</v>
      </c>
      <c r="T199" s="252" t="str" cm="1">
        <f t="array" ref="T199">INDEX(Trad, 52, $A$20)</f>
        <v>Sauber</v>
      </c>
      <c r="U199" s="253"/>
      <c r="V199" s="253"/>
      <c r="W199" s="254"/>
      <c r="X199" s="251"/>
      <c r="Y199" s="251"/>
      <c r="Z199" s="264">
        <f t="shared" si="402"/>
        <v>0</v>
      </c>
      <c r="AA199" s="261"/>
      <c r="AB199" s="258"/>
      <c r="AC199" s="246"/>
      <c r="AD199" s="247" t="str">
        <f>IF(ISBLANK(AC199), "", VLOOKUP(AC199, Z!$A$2:$C$4127, 3, FALSE))</f>
        <v/>
      </c>
      <c r="AE199" s="262"/>
      <c r="AF199" s="263">
        <f t="shared" si="403"/>
        <v>0</v>
      </c>
      <c r="AG199" s="238"/>
      <c r="AH199" s="229">
        <f t="shared" si="427"/>
        <v>1</v>
      </c>
      <c r="AI199" s="229">
        <f t="shared" si="428"/>
        <v>1</v>
      </c>
      <c r="AJ199" s="229">
        <f t="shared" si="429"/>
        <v>0</v>
      </c>
      <c r="AK199" s="229">
        <v>0</v>
      </c>
      <c r="AL199" s="229">
        <v>0</v>
      </c>
      <c r="AM199" s="229">
        <v>1</v>
      </c>
      <c r="AN199" s="229">
        <v>0</v>
      </c>
      <c r="AO199" s="229">
        <f t="shared" si="404"/>
        <v>-100</v>
      </c>
      <c r="AP199" s="238"/>
      <c r="AQ199" s="255"/>
      <c r="AR199" s="255"/>
      <c r="AS199" s="256"/>
      <c r="AT199" s="256"/>
      <c r="AU199" s="256"/>
      <c r="AV199" s="256"/>
      <c r="AW199" s="256"/>
      <c r="AX199" s="256"/>
      <c r="AY199" s="256"/>
      <c r="AZ199" s="256"/>
      <c r="BA199" s="256"/>
      <c r="BB199" s="256"/>
      <c r="BC199" s="256"/>
      <c r="BD199" s="238"/>
      <c r="BE199" s="229" cm="1">
        <f t="array" ref="BE199">IF(ISBLANK(R199), INDEX(Use, $AH199, 4) - AM199*INDEX(Use, $AH199, 6), R199)</f>
        <v>5</v>
      </c>
      <c r="BF199" s="229">
        <f t="shared" si="405"/>
        <v>30</v>
      </c>
      <c r="BG199" s="229">
        <f t="shared" si="241"/>
        <v>13</v>
      </c>
      <c r="BH199" s="229">
        <f t="shared" si="242"/>
        <v>0</v>
      </c>
      <c r="BI199" s="234" cm="1">
        <f t="array" ref="BI199">K199/IF($L199&gt;0, INDEX($AU$23:$BA$77, $L199+20, $AH199), 1)</f>
        <v>0</v>
      </c>
      <c r="BJ199" s="230">
        <f t="shared" si="406"/>
        <v>0</v>
      </c>
      <c r="BK199" s="229">
        <v>35</v>
      </c>
      <c r="BL199" s="230">
        <f t="shared" si="407"/>
        <v>48</v>
      </c>
      <c r="BM199" s="235">
        <f t="shared" si="408"/>
        <v>2.9108720930232557</v>
      </c>
      <c r="BN199" s="235" cm="1">
        <f t="array" ref="BN199">$BI199 * SUMPRODUCT(INDEX($AR$77:$AT$82,,$AI199),INDEX($AU$77:$BA$82,,$AH199), N($AQ$77:$AQ$82&gt;$AO199)) / BM199 / 1000</f>
        <v>0</v>
      </c>
      <c r="BO199" s="232">
        <f t="shared" si="246"/>
        <v>30</v>
      </c>
      <c r="BP199" s="230">
        <f t="shared" si="409"/>
        <v>43</v>
      </c>
      <c r="BQ199" s="235">
        <f t="shared" si="410"/>
        <v>3.2938815789473681</v>
      </c>
      <c r="BR199" s="235" cm="1">
        <f t="array" ref="BR199">$BI199 * IF($AH199&lt;=2,
SUMPRODUCT(INDEX($AR$72:$AT$76,,$AI199), INDEX($AU$72:$BA$76,,$AH199), 1 / ($BB$72:$BB$76*BQ199 + (1-$BB$72:$BB$76)*BM199), N($AQ$72:$AQ$76&gt;$AO199)),
SUMPRODUCT(INDEX($AR$67:$AT$76,,$AI199), INDEX($AU$67:$BA$76,,$AH199), 1 / ($BC$67:$BC$76*BQ199 + (1-$BC$67:$BC$76)*BM199), N($AQ$67:$AQ$76&gt;$AO199))
) / 1000</f>
        <v>0</v>
      </c>
      <c r="BS199" s="232">
        <f t="shared" si="249"/>
        <v>25</v>
      </c>
      <c r="BT199" s="230">
        <f t="shared" si="411"/>
        <v>38</v>
      </c>
      <c r="BU199" s="235">
        <f t="shared" si="412"/>
        <v>3.792954545454545</v>
      </c>
      <c r="BV199" s="235" cm="1">
        <f t="array" ref="BV199">$BI199 * IF($AH199&lt;=2,
SUMPRODUCT(INDEX($AR$67:$AT$71,,$AI199), INDEX($AU$67:$BA$71,,$AH199), 1 / ($BB$67:$BB$71*BU199 + (1-$BB$67:$BB$71)*BQ199), N($AQ$67:$AQ$71&gt;$AO199)),
SUMPRODUCT(INDEX($AR$57:$AT$66,,$AI199), INDEX($AU$57:$BA$66,,$AH199), 1 / ($BC$57:$BC$66*BU199 + (1-$BC$57:$BC$66)*BQ199), N($AQ$57:$AQ$66&gt;$AO199))
) / 1000</f>
        <v>0</v>
      </c>
      <c r="BW199" s="232">
        <f t="shared" si="252"/>
        <v>20</v>
      </c>
      <c r="BX199" s="230">
        <f t="shared" si="413"/>
        <v>33</v>
      </c>
      <c r="BY199" s="235">
        <f t="shared" si="414"/>
        <v>4.4702678571428569</v>
      </c>
      <c r="BZ199" s="235" cm="1">
        <f t="array" ref="BZ199">$BI199 * IF($AH199&lt;=2,
SUMPRODUCT(INDEX($AR$62:$AT$66,,$AI199), INDEX($AU$62:$BA$66,,$AH199), 1 / ($BB$62:$BB$66*BY199 + (1-$BB$62:$BB$66)*BU199), N($AQ$62:$AQ$66&gt;$AO199)),
SUMPRODUCT(INDEX($AR$47:$AT$56,,$AI199), INDEX($AU$47:$BA$56,,$AH199), 1 / ($BC$47:$BC$56*BY199 + (1-$BC$47:$BC$56)*BU199), N($AQ$47:$AQ$56&gt;$AO199))
) / 1000</f>
        <v>0</v>
      </c>
      <c r="CA199" s="235" cm="1">
        <f t="array" ref="CA199">$BI199 * IF($AH199&lt;=2,
SUMPRODUCT(INDEX($AR$23:$AT$61,,$AI199), INDEX($AU$23:$BA$61,,$AH199), 1 / ($BB$23:$BB$61*BY199), N($AQ$23:$AQ$61&gt;$AO199)),
SUMPRODUCT(INDEX($AR$23:$AT$46,,$AI199), INDEX($AU$23:$BA$46,,$AH199), 1 / ($BC$23:$BC$46*BY199), N($AQ$23:$AQ$46&gt;$AO199))
) / 1000</f>
        <v>0</v>
      </c>
      <c r="CB199" s="230">
        <f t="shared" si="415"/>
        <v>0</v>
      </c>
      <c r="CC199" s="238"/>
      <c r="CD199" s="229" cm="1">
        <f t="array" ref="CD199">IF(ISBLANK(Y199), INDEX(Use, $AH199, 4) - AN199*INDEX(Use, $AH199, 6) - (Q199-X199), Y199)</f>
        <v>7</v>
      </c>
      <c r="CE199" s="229">
        <f t="shared" si="416"/>
        <v>32</v>
      </c>
      <c r="CF199" s="230">
        <f t="shared" si="417"/>
        <v>0</v>
      </c>
      <c r="CG199" s="229">
        <v>35</v>
      </c>
      <c r="CH199" s="230">
        <f t="shared" si="418"/>
        <v>48</v>
      </c>
      <c r="CI199" s="235">
        <f t="shared" si="419"/>
        <v>3.0748170731707316</v>
      </c>
      <c r="CJ199" s="235" cm="1">
        <f t="array" ref="CJ199">$BI199 * SUMPRODUCT(INDEX($AR$77:$AT$82,,$AI199),INDEX($AU$77:$BA$82,,$AH199), N($AQ$77:$AQ$82&gt;$AO199)) / CI199 / 1000</f>
        <v>0</v>
      </c>
      <c r="CK199" s="232">
        <f t="shared" si="260"/>
        <v>30</v>
      </c>
      <c r="CL199" s="230">
        <f t="shared" si="420"/>
        <v>43</v>
      </c>
      <c r="CM199" s="235">
        <f t="shared" si="421"/>
        <v>3.5018750000000001</v>
      </c>
      <c r="CN199" s="235" cm="1">
        <f t="array" ref="CN199">$BI199 * IF($AH199&lt;=2,
SUMPRODUCT(INDEX($AR$72:$AT$76,,$AI199), INDEX($AU$72:$BA$76,,$AH199), 1 / ($BB$72:$BB$76*CM199 + (1-$BB$72:$BB$76)*CI199), N($AQ$72:$AQ$76&gt;$AO199)),
SUMPRODUCT(INDEX($AR$67:$AT$76,,$AI199), INDEX($AU$67:$BA$76,,$AH199), 1 / ($BC$67:$BC$76*CM199 + (1-$BC$67:$BC$76)*CI199), N($AQ$67:$AQ$76&gt;$AO199))
) / 1000</f>
        <v>0</v>
      </c>
      <c r="CO199" s="232">
        <f t="shared" si="263"/>
        <v>25</v>
      </c>
      <c r="CP199" s="230">
        <f t="shared" si="422"/>
        <v>38</v>
      </c>
      <c r="CQ199" s="235">
        <f t="shared" si="423"/>
        <v>4.0666935483870965</v>
      </c>
      <c r="CR199" s="235" cm="1">
        <f t="array" ref="CR199">$BI199 * IF($AH199&lt;=2,
SUMPRODUCT(INDEX($AR$67:$AT$71,,$AI199), INDEX($AU$67:$BA$71,,$AH199), 1 / ($BB$67:$BB$71*CQ199 + (1-$BB$67:$BB$71)*CM199), N($AQ$67:$AQ$71&gt;$AO199)),
SUMPRODUCT(INDEX($AR$57:$AT$66,,$AI199), INDEX($AU$57:$BA$66,,$AH199), 1 / ($BC$57:$BC$66*CQ199 + (1-$BC$57:$BC$66)*CM199), N($AQ$57:$AQ$66&gt;$AO199))
) / 1000</f>
        <v>0</v>
      </c>
      <c r="CS199" s="232">
        <f t="shared" si="266"/>
        <v>20</v>
      </c>
      <c r="CT199" s="230">
        <f t="shared" si="424"/>
        <v>33</v>
      </c>
      <c r="CU199" s="235">
        <f t="shared" si="425"/>
        <v>4.8487499999999999</v>
      </c>
      <c r="CV199" s="235" cm="1">
        <f t="array" ref="CV199">$BI199 * IF($AH199&lt;=2,
SUMPRODUCT(INDEX($AR$62:$AT$66,,$AI199), INDEX($AU$62:$BA$66,,$AH199), 1 / ($BB$62:$BB$66*CU199 + (1-$BB$62:$BB$66)*CQ199), N($AQ$62:$AQ$66&gt;$AO199)),
SUMPRODUCT(INDEX($AR$47:$AT$56,,$AI199), INDEX($AU$47:$BA$56,,$AH199), 1 / ($BC$47:$BC$56*CU199 + (1-$BC$47:$BC$56)*CQ199), N($AQ$47:$AQ$56&gt;$AO199))
) / 1000</f>
        <v>0</v>
      </c>
      <c r="CW199" s="235" cm="1">
        <f t="array" ref="CW199">$BI199 * IF($AH199&lt;=2,
SUMPRODUCT(INDEX($AR$23:$AT$61,,$AI199), INDEX($AU$23:$BA$61,,$AH199), 1 / ($BB$23:$BB$61*CU199), N($AQ$23:$AQ$61&gt;$AO199)),
SUMPRODUCT(INDEX($AR$23:$AT$46,,$AI199), INDEX($AU$23:$BA$46,,$AH199), 1 / ($BC$23:$BC$46*CU199), N($AQ$23:$AQ$46&gt;$AO199))
) / 1000</f>
        <v>0</v>
      </c>
      <c r="CX199" s="230">
        <f t="shared" si="426"/>
        <v>0</v>
      </c>
      <c r="CY199" s="238"/>
    </row>
    <row r="200" spans="1:103" s="76" customFormat="1" ht="14.25" customHeight="1" x14ac:dyDescent="0.2">
      <c r="A200" s="231" t="b">
        <f t="shared" si="229"/>
        <v>0</v>
      </c>
      <c r="B200" s="245">
        <v>178</v>
      </c>
      <c r="C200" s="258"/>
      <c r="D200" s="258"/>
      <c r="E200" s="246"/>
      <c r="F200" s="247" t="str">
        <f>IF(ISBLANK(E200), "", VLOOKUP(E200, Z!$A$2:$C$4127, 3, FALSE))</f>
        <v/>
      </c>
      <c r="G200" s="248"/>
      <c r="H200" s="248"/>
      <c r="I200" s="249"/>
      <c r="J200" s="250"/>
      <c r="K200" s="259"/>
      <c r="L200" s="260"/>
      <c r="M200" s="252" t="str" cm="1">
        <f t="array" ref="M200">INDEX(Trad, 53, $A$20)</f>
        <v>Verschmutzt</v>
      </c>
      <c r="N200" s="253"/>
      <c r="O200" s="253"/>
      <c r="P200" s="254"/>
      <c r="Q200" s="251"/>
      <c r="R200" s="251"/>
      <c r="S200" s="264">
        <f t="shared" si="401"/>
        <v>0</v>
      </c>
      <c r="T200" s="252" t="str" cm="1">
        <f t="array" ref="T200">INDEX(Trad, 52, $A$20)</f>
        <v>Sauber</v>
      </c>
      <c r="U200" s="253"/>
      <c r="V200" s="253"/>
      <c r="W200" s="254"/>
      <c r="X200" s="251"/>
      <c r="Y200" s="251"/>
      <c r="Z200" s="264">
        <f t="shared" si="402"/>
        <v>0</v>
      </c>
      <c r="AA200" s="261"/>
      <c r="AB200" s="258"/>
      <c r="AC200" s="246"/>
      <c r="AD200" s="247" t="str">
        <f>IF(ISBLANK(AC200), "", VLOOKUP(AC200, Z!$A$2:$C$4127, 3, FALSE))</f>
        <v/>
      </c>
      <c r="AE200" s="262"/>
      <c r="AF200" s="263">
        <f t="shared" si="403"/>
        <v>0</v>
      </c>
      <c r="AG200" s="238"/>
      <c r="AH200" s="229">
        <f t="shared" si="427"/>
        <v>1</v>
      </c>
      <c r="AI200" s="229">
        <f t="shared" si="428"/>
        <v>1</v>
      </c>
      <c r="AJ200" s="229">
        <f t="shared" si="429"/>
        <v>0</v>
      </c>
      <c r="AK200" s="229">
        <v>0</v>
      </c>
      <c r="AL200" s="229">
        <v>0</v>
      </c>
      <c r="AM200" s="229">
        <v>1</v>
      </c>
      <c r="AN200" s="229">
        <v>0</v>
      </c>
      <c r="AO200" s="229">
        <f t="shared" si="404"/>
        <v>-100</v>
      </c>
      <c r="AP200" s="238"/>
      <c r="AQ200" s="255"/>
      <c r="AR200" s="255"/>
      <c r="AS200" s="256"/>
      <c r="AT200" s="256"/>
      <c r="AU200" s="256"/>
      <c r="AV200" s="256"/>
      <c r="AW200" s="256"/>
      <c r="AX200" s="256"/>
      <c r="AY200" s="256"/>
      <c r="AZ200" s="256"/>
      <c r="BA200" s="256"/>
      <c r="BB200" s="256"/>
      <c r="BC200" s="256"/>
      <c r="BD200" s="238"/>
      <c r="BE200" s="229" cm="1">
        <f t="array" ref="BE200">IF(ISBLANK(R200), INDEX(Use, $AH200, 4) - AM200*INDEX(Use, $AH200, 6), R200)</f>
        <v>5</v>
      </c>
      <c r="BF200" s="229">
        <f t="shared" si="405"/>
        <v>30</v>
      </c>
      <c r="BG200" s="229">
        <f t="shared" si="241"/>
        <v>13</v>
      </c>
      <c r="BH200" s="229">
        <f t="shared" si="242"/>
        <v>0</v>
      </c>
      <c r="BI200" s="234" cm="1">
        <f t="array" ref="BI200">K200/IF($L200&gt;0, INDEX($AU$23:$BA$77, $L200+20, $AH200), 1)</f>
        <v>0</v>
      </c>
      <c r="BJ200" s="230">
        <f t="shared" si="406"/>
        <v>0</v>
      </c>
      <c r="BK200" s="229">
        <v>35</v>
      </c>
      <c r="BL200" s="230">
        <f t="shared" si="407"/>
        <v>48</v>
      </c>
      <c r="BM200" s="235">
        <f t="shared" si="408"/>
        <v>2.9108720930232557</v>
      </c>
      <c r="BN200" s="235" cm="1">
        <f t="array" ref="BN200">$BI200 * SUMPRODUCT(INDEX($AR$77:$AT$82,,$AI200),INDEX($AU$77:$BA$82,,$AH200), N($AQ$77:$AQ$82&gt;$AO200)) / BM200 / 1000</f>
        <v>0</v>
      </c>
      <c r="BO200" s="232">
        <f t="shared" si="246"/>
        <v>30</v>
      </c>
      <c r="BP200" s="230">
        <f t="shared" si="409"/>
        <v>43</v>
      </c>
      <c r="BQ200" s="235">
        <f t="shared" si="410"/>
        <v>3.2938815789473681</v>
      </c>
      <c r="BR200" s="235" cm="1">
        <f t="array" ref="BR200">$BI200 * IF($AH200&lt;=2,
SUMPRODUCT(INDEX($AR$72:$AT$76,,$AI200), INDEX($AU$72:$BA$76,,$AH200), 1 / ($BB$72:$BB$76*BQ200 + (1-$BB$72:$BB$76)*BM200), N($AQ$72:$AQ$76&gt;$AO200)),
SUMPRODUCT(INDEX($AR$67:$AT$76,,$AI200), INDEX($AU$67:$BA$76,,$AH200), 1 / ($BC$67:$BC$76*BQ200 + (1-$BC$67:$BC$76)*BM200), N($AQ$67:$AQ$76&gt;$AO200))
) / 1000</f>
        <v>0</v>
      </c>
      <c r="BS200" s="232">
        <f t="shared" si="249"/>
        <v>25</v>
      </c>
      <c r="BT200" s="230">
        <f t="shared" si="411"/>
        <v>38</v>
      </c>
      <c r="BU200" s="235">
        <f t="shared" si="412"/>
        <v>3.792954545454545</v>
      </c>
      <c r="BV200" s="235" cm="1">
        <f t="array" ref="BV200">$BI200 * IF($AH200&lt;=2,
SUMPRODUCT(INDEX($AR$67:$AT$71,,$AI200), INDEX($AU$67:$BA$71,,$AH200), 1 / ($BB$67:$BB$71*BU200 + (1-$BB$67:$BB$71)*BQ200), N($AQ$67:$AQ$71&gt;$AO200)),
SUMPRODUCT(INDEX($AR$57:$AT$66,,$AI200), INDEX($AU$57:$BA$66,,$AH200), 1 / ($BC$57:$BC$66*BU200 + (1-$BC$57:$BC$66)*BQ200), N($AQ$57:$AQ$66&gt;$AO200))
) / 1000</f>
        <v>0</v>
      </c>
      <c r="BW200" s="232">
        <f t="shared" si="252"/>
        <v>20</v>
      </c>
      <c r="BX200" s="230">
        <f t="shared" si="413"/>
        <v>33</v>
      </c>
      <c r="BY200" s="235">
        <f t="shared" si="414"/>
        <v>4.4702678571428569</v>
      </c>
      <c r="BZ200" s="235" cm="1">
        <f t="array" ref="BZ200">$BI200 * IF($AH200&lt;=2,
SUMPRODUCT(INDEX($AR$62:$AT$66,,$AI200), INDEX($AU$62:$BA$66,,$AH200), 1 / ($BB$62:$BB$66*BY200 + (1-$BB$62:$BB$66)*BU200), N($AQ$62:$AQ$66&gt;$AO200)),
SUMPRODUCT(INDEX($AR$47:$AT$56,,$AI200), INDEX($AU$47:$BA$56,,$AH200), 1 / ($BC$47:$BC$56*BY200 + (1-$BC$47:$BC$56)*BU200), N($AQ$47:$AQ$56&gt;$AO200))
) / 1000</f>
        <v>0</v>
      </c>
      <c r="CA200" s="235" cm="1">
        <f t="array" ref="CA200">$BI200 * IF($AH200&lt;=2,
SUMPRODUCT(INDEX($AR$23:$AT$61,,$AI200), INDEX($AU$23:$BA$61,,$AH200), 1 / ($BB$23:$BB$61*BY200), N($AQ$23:$AQ$61&gt;$AO200)),
SUMPRODUCT(INDEX($AR$23:$AT$46,,$AI200), INDEX($AU$23:$BA$46,,$AH200), 1 / ($BC$23:$BC$46*BY200), N($AQ$23:$AQ$46&gt;$AO200))
) / 1000</f>
        <v>0</v>
      </c>
      <c r="CB200" s="230">
        <f t="shared" si="415"/>
        <v>0</v>
      </c>
      <c r="CC200" s="238"/>
      <c r="CD200" s="229" cm="1">
        <f t="array" ref="CD200">IF(ISBLANK(Y200), INDEX(Use, $AH200, 4) - AN200*INDEX(Use, $AH200, 6) - (Q200-X200), Y200)</f>
        <v>7</v>
      </c>
      <c r="CE200" s="229">
        <f t="shared" si="416"/>
        <v>32</v>
      </c>
      <c r="CF200" s="230">
        <f t="shared" si="417"/>
        <v>0</v>
      </c>
      <c r="CG200" s="229">
        <v>35</v>
      </c>
      <c r="CH200" s="230">
        <f t="shared" si="418"/>
        <v>48</v>
      </c>
      <c r="CI200" s="235">
        <f t="shared" si="419"/>
        <v>3.0748170731707316</v>
      </c>
      <c r="CJ200" s="235" cm="1">
        <f t="array" ref="CJ200">$BI200 * SUMPRODUCT(INDEX($AR$77:$AT$82,,$AI200),INDEX($AU$77:$BA$82,,$AH200), N($AQ$77:$AQ$82&gt;$AO200)) / CI200 / 1000</f>
        <v>0</v>
      </c>
      <c r="CK200" s="232">
        <f t="shared" si="260"/>
        <v>30</v>
      </c>
      <c r="CL200" s="230">
        <f t="shared" si="420"/>
        <v>43</v>
      </c>
      <c r="CM200" s="235">
        <f t="shared" si="421"/>
        <v>3.5018750000000001</v>
      </c>
      <c r="CN200" s="235" cm="1">
        <f t="array" ref="CN200">$BI200 * IF($AH200&lt;=2,
SUMPRODUCT(INDEX($AR$72:$AT$76,,$AI200), INDEX($AU$72:$BA$76,,$AH200), 1 / ($BB$72:$BB$76*CM200 + (1-$BB$72:$BB$76)*CI200), N($AQ$72:$AQ$76&gt;$AO200)),
SUMPRODUCT(INDEX($AR$67:$AT$76,,$AI200), INDEX($AU$67:$BA$76,,$AH200), 1 / ($BC$67:$BC$76*CM200 + (1-$BC$67:$BC$76)*CI200), N($AQ$67:$AQ$76&gt;$AO200))
) / 1000</f>
        <v>0</v>
      </c>
      <c r="CO200" s="232">
        <f t="shared" si="263"/>
        <v>25</v>
      </c>
      <c r="CP200" s="230">
        <f t="shared" si="422"/>
        <v>38</v>
      </c>
      <c r="CQ200" s="235">
        <f t="shared" si="423"/>
        <v>4.0666935483870965</v>
      </c>
      <c r="CR200" s="235" cm="1">
        <f t="array" ref="CR200">$BI200 * IF($AH200&lt;=2,
SUMPRODUCT(INDEX($AR$67:$AT$71,,$AI200), INDEX($AU$67:$BA$71,,$AH200), 1 / ($BB$67:$BB$71*CQ200 + (1-$BB$67:$BB$71)*CM200), N($AQ$67:$AQ$71&gt;$AO200)),
SUMPRODUCT(INDEX($AR$57:$AT$66,,$AI200), INDEX($AU$57:$BA$66,,$AH200), 1 / ($BC$57:$BC$66*CQ200 + (1-$BC$57:$BC$66)*CM200), N($AQ$57:$AQ$66&gt;$AO200))
) / 1000</f>
        <v>0</v>
      </c>
      <c r="CS200" s="232">
        <f t="shared" si="266"/>
        <v>20</v>
      </c>
      <c r="CT200" s="230">
        <f t="shared" si="424"/>
        <v>33</v>
      </c>
      <c r="CU200" s="235">
        <f t="shared" si="425"/>
        <v>4.8487499999999999</v>
      </c>
      <c r="CV200" s="235" cm="1">
        <f t="array" ref="CV200">$BI200 * IF($AH200&lt;=2,
SUMPRODUCT(INDEX($AR$62:$AT$66,,$AI200), INDEX($AU$62:$BA$66,,$AH200), 1 / ($BB$62:$BB$66*CU200 + (1-$BB$62:$BB$66)*CQ200), N($AQ$62:$AQ$66&gt;$AO200)),
SUMPRODUCT(INDEX($AR$47:$AT$56,,$AI200), INDEX($AU$47:$BA$56,,$AH200), 1 / ($BC$47:$BC$56*CU200 + (1-$BC$47:$BC$56)*CQ200), N($AQ$47:$AQ$56&gt;$AO200))
) / 1000</f>
        <v>0</v>
      </c>
      <c r="CW200" s="235" cm="1">
        <f t="array" ref="CW200">$BI200 * IF($AH200&lt;=2,
SUMPRODUCT(INDEX($AR$23:$AT$61,,$AI200), INDEX($AU$23:$BA$61,,$AH200), 1 / ($BB$23:$BB$61*CU200), N($AQ$23:$AQ$61&gt;$AO200)),
SUMPRODUCT(INDEX($AR$23:$AT$46,,$AI200), INDEX($AU$23:$BA$46,,$AH200), 1 / ($BC$23:$BC$46*CU200), N($AQ$23:$AQ$46&gt;$AO200))
) / 1000</f>
        <v>0</v>
      </c>
      <c r="CX200" s="230">
        <f t="shared" si="426"/>
        <v>0</v>
      </c>
      <c r="CY200" s="238"/>
    </row>
    <row r="201" spans="1:103" s="76" customFormat="1" ht="14.25" customHeight="1" x14ac:dyDescent="0.2">
      <c r="A201" s="231" t="b">
        <f t="shared" si="229"/>
        <v>0</v>
      </c>
      <c r="B201" s="245">
        <v>179</v>
      </c>
      <c r="C201" s="258"/>
      <c r="D201" s="258"/>
      <c r="E201" s="246"/>
      <c r="F201" s="247" t="str">
        <f>IF(ISBLANK(E201), "", VLOOKUP(E201, Z!$A$2:$C$4127, 3, FALSE))</f>
        <v/>
      </c>
      <c r="G201" s="248"/>
      <c r="H201" s="248"/>
      <c r="I201" s="249"/>
      <c r="J201" s="250"/>
      <c r="K201" s="259"/>
      <c r="L201" s="260"/>
      <c r="M201" s="252" t="str" cm="1">
        <f t="array" ref="M201">INDEX(Trad, 53, $A$20)</f>
        <v>Verschmutzt</v>
      </c>
      <c r="N201" s="253"/>
      <c r="O201" s="253"/>
      <c r="P201" s="254"/>
      <c r="Q201" s="251"/>
      <c r="R201" s="251"/>
      <c r="S201" s="264">
        <f t="shared" si="401"/>
        <v>0</v>
      </c>
      <c r="T201" s="252" t="str" cm="1">
        <f t="array" ref="T201">INDEX(Trad, 52, $A$20)</f>
        <v>Sauber</v>
      </c>
      <c r="U201" s="253"/>
      <c r="V201" s="253"/>
      <c r="W201" s="254"/>
      <c r="X201" s="251"/>
      <c r="Y201" s="251"/>
      <c r="Z201" s="264">
        <f t="shared" si="402"/>
        <v>0</v>
      </c>
      <c r="AA201" s="261"/>
      <c r="AB201" s="258"/>
      <c r="AC201" s="246"/>
      <c r="AD201" s="247" t="str">
        <f>IF(ISBLANK(AC201), "", VLOOKUP(AC201, Z!$A$2:$C$4127, 3, FALSE))</f>
        <v/>
      </c>
      <c r="AE201" s="262"/>
      <c r="AF201" s="263">
        <f t="shared" si="403"/>
        <v>0</v>
      </c>
      <c r="AG201" s="238"/>
      <c r="AH201" s="229">
        <f t="shared" si="427"/>
        <v>1</v>
      </c>
      <c r="AI201" s="229">
        <f t="shared" si="428"/>
        <v>1</v>
      </c>
      <c r="AJ201" s="229">
        <f t="shared" si="429"/>
        <v>0</v>
      </c>
      <c r="AK201" s="229">
        <v>0</v>
      </c>
      <c r="AL201" s="229">
        <v>0</v>
      </c>
      <c r="AM201" s="229">
        <v>1</v>
      </c>
      <c r="AN201" s="229">
        <v>0</v>
      </c>
      <c r="AO201" s="229">
        <f t="shared" si="404"/>
        <v>-100</v>
      </c>
      <c r="AP201" s="238"/>
      <c r="AQ201" s="255"/>
      <c r="AR201" s="255"/>
      <c r="AS201" s="256"/>
      <c r="AT201" s="256"/>
      <c r="AU201" s="256"/>
      <c r="AV201" s="256"/>
      <c r="AW201" s="256"/>
      <c r="AX201" s="256"/>
      <c r="AY201" s="256"/>
      <c r="AZ201" s="256"/>
      <c r="BA201" s="256"/>
      <c r="BB201" s="256"/>
      <c r="BC201" s="256"/>
      <c r="BD201" s="238"/>
      <c r="BE201" s="229" cm="1">
        <f t="array" ref="BE201">IF(ISBLANK(R201), INDEX(Use, $AH201, 4) - AM201*INDEX(Use, $AH201, 6), R201)</f>
        <v>5</v>
      </c>
      <c r="BF201" s="229">
        <f t="shared" si="405"/>
        <v>30</v>
      </c>
      <c r="BG201" s="229">
        <f t="shared" si="241"/>
        <v>13</v>
      </c>
      <c r="BH201" s="229">
        <f t="shared" si="242"/>
        <v>0</v>
      </c>
      <c r="BI201" s="234" cm="1">
        <f t="array" ref="BI201">K201/IF($L201&gt;0, INDEX($AU$23:$BA$77, $L201+20, $AH201), 1)</f>
        <v>0</v>
      </c>
      <c r="BJ201" s="230">
        <f t="shared" si="406"/>
        <v>0</v>
      </c>
      <c r="BK201" s="229">
        <v>35</v>
      </c>
      <c r="BL201" s="230">
        <f t="shared" si="407"/>
        <v>48</v>
      </c>
      <c r="BM201" s="235">
        <f t="shared" si="408"/>
        <v>2.9108720930232557</v>
      </c>
      <c r="BN201" s="235" cm="1">
        <f t="array" ref="BN201">$BI201 * SUMPRODUCT(INDEX($AR$77:$AT$82,,$AI201),INDEX($AU$77:$BA$82,,$AH201), N($AQ$77:$AQ$82&gt;$AO201)) / BM201 / 1000</f>
        <v>0</v>
      </c>
      <c r="BO201" s="232">
        <f t="shared" si="246"/>
        <v>30</v>
      </c>
      <c r="BP201" s="230">
        <f t="shared" si="409"/>
        <v>43</v>
      </c>
      <c r="BQ201" s="235">
        <f t="shared" si="410"/>
        <v>3.2938815789473681</v>
      </c>
      <c r="BR201" s="235" cm="1">
        <f t="array" ref="BR201">$BI201 * IF($AH201&lt;=2,
SUMPRODUCT(INDEX($AR$72:$AT$76,,$AI201), INDEX($AU$72:$BA$76,,$AH201), 1 / ($BB$72:$BB$76*BQ201 + (1-$BB$72:$BB$76)*BM201), N($AQ$72:$AQ$76&gt;$AO201)),
SUMPRODUCT(INDEX($AR$67:$AT$76,,$AI201), INDEX($AU$67:$BA$76,,$AH201), 1 / ($BC$67:$BC$76*BQ201 + (1-$BC$67:$BC$76)*BM201), N($AQ$67:$AQ$76&gt;$AO201))
) / 1000</f>
        <v>0</v>
      </c>
      <c r="BS201" s="232">
        <f t="shared" si="249"/>
        <v>25</v>
      </c>
      <c r="BT201" s="230">
        <f t="shared" si="411"/>
        <v>38</v>
      </c>
      <c r="BU201" s="235">
        <f t="shared" si="412"/>
        <v>3.792954545454545</v>
      </c>
      <c r="BV201" s="235" cm="1">
        <f t="array" ref="BV201">$BI201 * IF($AH201&lt;=2,
SUMPRODUCT(INDEX($AR$67:$AT$71,,$AI201), INDEX($AU$67:$BA$71,,$AH201), 1 / ($BB$67:$BB$71*BU201 + (1-$BB$67:$BB$71)*BQ201), N($AQ$67:$AQ$71&gt;$AO201)),
SUMPRODUCT(INDEX($AR$57:$AT$66,,$AI201), INDEX($AU$57:$BA$66,,$AH201), 1 / ($BC$57:$BC$66*BU201 + (1-$BC$57:$BC$66)*BQ201), N($AQ$57:$AQ$66&gt;$AO201))
) / 1000</f>
        <v>0</v>
      </c>
      <c r="BW201" s="232">
        <f t="shared" si="252"/>
        <v>20</v>
      </c>
      <c r="BX201" s="230">
        <f t="shared" si="413"/>
        <v>33</v>
      </c>
      <c r="BY201" s="235">
        <f t="shared" si="414"/>
        <v>4.4702678571428569</v>
      </c>
      <c r="BZ201" s="235" cm="1">
        <f t="array" ref="BZ201">$BI201 * IF($AH201&lt;=2,
SUMPRODUCT(INDEX($AR$62:$AT$66,,$AI201), INDEX($AU$62:$BA$66,,$AH201), 1 / ($BB$62:$BB$66*BY201 + (1-$BB$62:$BB$66)*BU201), N($AQ$62:$AQ$66&gt;$AO201)),
SUMPRODUCT(INDEX($AR$47:$AT$56,,$AI201), INDEX($AU$47:$BA$56,,$AH201), 1 / ($BC$47:$BC$56*BY201 + (1-$BC$47:$BC$56)*BU201), N($AQ$47:$AQ$56&gt;$AO201))
) / 1000</f>
        <v>0</v>
      </c>
      <c r="CA201" s="235" cm="1">
        <f t="array" ref="CA201">$BI201 * IF($AH201&lt;=2,
SUMPRODUCT(INDEX($AR$23:$AT$61,,$AI201), INDEX($AU$23:$BA$61,,$AH201), 1 / ($BB$23:$BB$61*BY201), N($AQ$23:$AQ$61&gt;$AO201)),
SUMPRODUCT(INDEX($AR$23:$AT$46,,$AI201), INDEX($AU$23:$BA$46,,$AH201), 1 / ($BC$23:$BC$46*BY201), N($AQ$23:$AQ$46&gt;$AO201))
) / 1000</f>
        <v>0</v>
      </c>
      <c r="CB201" s="230">
        <f t="shared" si="415"/>
        <v>0</v>
      </c>
      <c r="CC201" s="238"/>
      <c r="CD201" s="229" cm="1">
        <f t="array" ref="CD201">IF(ISBLANK(Y201), INDEX(Use, $AH201, 4) - AN201*INDEX(Use, $AH201, 6) - (Q201-X201), Y201)</f>
        <v>7</v>
      </c>
      <c r="CE201" s="229">
        <f t="shared" si="416"/>
        <v>32</v>
      </c>
      <c r="CF201" s="230">
        <f t="shared" si="417"/>
        <v>0</v>
      </c>
      <c r="CG201" s="229">
        <v>35</v>
      </c>
      <c r="CH201" s="230">
        <f t="shared" si="418"/>
        <v>48</v>
      </c>
      <c r="CI201" s="235">
        <f t="shared" si="419"/>
        <v>3.0748170731707316</v>
      </c>
      <c r="CJ201" s="235" cm="1">
        <f t="array" ref="CJ201">$BI201 * SUMPRODUCT(INDEX($AR$77:$AT$82,,$AI201),INDEX($AU$77:$BA$82,,$AH201), N($AQ$77:$AQ$82&gt;$AO201)) / CI201 / 1000</f>
        <v>0</v>
      </c>
      <c r="CK201" s="232">
        <f t="shared" si="260"/>
        <v>30</v>
      </c>
      <c r="CL201" s="230">
        <f t="shared" si="420"/>
        <v>43</v>
      </c>
      <c r="CM201" s="235">
        <f t="shared" si="421"/>
        <v>3.5018750000000001</v>
      </c>
      <c r="CN201" s="235" cm="1">
        <f t="array" ref="CN201">$BI201 * IF($AH201&lt;=2,
SUMPRODUCT(INDEX($AR$72:$AT$76,,$AI201), INDEX($AU$72:$BA$76,,$AH201), 1 / ($BB$72:$BB$76*CM201 + (1-$BB$72:$BB$76)*CI201), N($AQ$72:$AQ$76&gt;$AO201)),
SUMPRODUCT(INDEX($AR$67:$AT$76,,$AI201), INDEX($AU$67:$BA$76,,$AH201), 1 / ($BC$67:$BC$76*CM201 + (1-$BC$67:$BC$76)*CI201), N($AQ$67:$AQ$76&gt;$AO201))
) / 1000</f>
        <v>0</v>
      </c>
      <c r="CO201" s="232">
        <f t="shared" si="263"/>
        <v>25</v>
      </c>
      <c r="CP201" s="230">
        <f t="shared" si="422"/>
        <v>38</v>
      </c>
      <c r="CQ201" s="235">
        <f t="shared" si="423"/>
        <v>4.0666935483870965</v>
      </c>
      <c r="CR201" s="235" cm="1">
        <f t="array" ref="CR201">$BI201 * IF($AH201&lt;=2,
SUMPRODUCT(INDEX($AR$67:$AT$71,,$AI201), INDEX($AU$67:$BA$71,,$AH201), 1 / ($BB$67:$BB$71*CQ201 + (1-$BB$67:$BB$71)*CM201), N($AQ$67:$AQ$71&gt;$AO201)),
SUMPRODUCT(INDEX($AR$57:$AT$66,,$AI201), INDEX($AU$57:$BA$66,,$AH201), 1 / ($BC$57:$BC$66*CQ201 + (1-$BC$57:$BC$66)*CM201), N($AQ$57:$AQ$66&gt;$AO201))
) / 1000</f>
        <v>0</v>
      </c>
      <c r="CS201" s="232">
        <f t="shared" si="266"/>
        <v>20</v>
      </c>
      <c r="CT201" s="230">
        <f t="shared" si="424"/>
        <v>33</v>
      </c>
      <c r="CU201" s="235">
        <f t="shared" si="425"/>
        <v>4.8487499999999999</v>
      </c>
      <c r="CV201" s="235" cm="1">
        <f t="array" ref="CV201">$BI201 * IF($AH201&lt;=2,
SUMPRODUCT(INDEX($AR$62:$AT$66,,$AI201), INDEX($AU$62:$BA$66,,$AH201), 1 / ($BB$62:$BB$66*CU201 + (1-$BB$62:$BB$66)*CQ201), N($AQ$62:$AQ$66&gt;$AO201)),
SUMPRODUCT(INDEX($AR$47:$AT$56,,$AI201), INDEX($AU$47:$BA$56,,$AH201), 1 / ($BC$47:$BC$56*CU201 + (1-$BC$47:$BC$56)*CQ201), N($AQ$47:$AQ$56&gt;$AO201))
) / 1000</f>
        <v>0</v>
      </c>
      <c r="CW201" s="235" cm="1">
        <f t="array" ref="CW201">$BI201 * IF($AH201&lt;=2,
SUMPRODUCT(INDEX($AR$23:$AT$61,,$AI201), INDEX($AU$23:$BA$61,,$AH201), 1 / ($BB$23:$BB$61*CU201), N($AQ$23:$AQ$61&gt;$AO201)),
SUMPRODUCT(INDEX($AR$23:$AT$46,,$AI201), INDEX($AU$23:$BA$46,,$AH201), 1 / ($BC$23:$BC$46*CU201), N($AQ$23:$AQ$46&gt;$AO201))
) / 1000</f>
        <v>0</v>
      </c>
      <c r="CX201" s="230">
        <f t="shared" si="426"/>
        <v>0</v>
      </c>
      <c r="CY201" s="238"/>
    </row>
    <row r="202" spans="1:103" s="76" customFormat="1" ht="14.25" customHeight="1" x14ac:dyDescent="0.2">
      <c r="A202" s="231" t="b">
        <f t="shared" si="229"/>
        <v>0</v>
      </c>
      <c r="B202" s="245">
        <v>180</v>
      </c>
      <c r="C202" s="258"/>
      <c r="D202" s="258"/>
      <c r="E202" s="246"/>
      <c r="F202" s="247" t="str">
        <f>IF(ISBLANK(E202), "", VLOOKUP(E202, Z!$A$2:$C$4127, 3, FALSE))</f>
        <v/>
      </c>
      <c r="G202" s="248"/>
      <c r="H202" s="248"/>
      <c r="I202" s="249"/>
      <c r="J202" s="250"/>
      <c r="K202" s="259"/>
      <c r="L202" s="260"/>
      <c r="M202" s="252" t="str" cm="1">
        <f t="array" ref="M202">INDEX(Trad, 53, $A$20)</f>
        <v>Verschmutzt</v>
      </c>
      <c r="N202" s="253"/>
      <c r="O202" s="253"/>
      <c r="P202" s="254"/>
      <c r="Q202" s="251"/>
      <c r="R202" s="251"/>
      <c r="S202" s="264">
        <f t="shared" si="401"/>
        <v>0</v>
      </c>
      <c r="T202" s="252" t="str" cm="1">
        <f t="array" ref="T202">INDEX(Trad, 52, $A$20)</f>
        <v>Sauber</v>
      </c>
      <c r="U202" s="253"/>
      <c r="V202" s="253"/>
      <c r="W202" s="254"/>
      <c r="X202" s="251"/>
      <c r="Y202" s="251"/>
      <c r="Z202" s="264">
        <f t="shared" si="402"/>
        <v>0</v>
      </c>
      <c r="AA202" s="261"/>
      <c r="AB202" s="258"/>
      <c r="AC202" s="246"/>
      <c r="AD202" s="247" t="str">
        <f>IF(ISBLANK(AC202), "", VLOOKUP(AC202, Z!$A$2:$C$4127, 3, FALSE))</f>
        <v/>
      </c>
      <c r="AE202" s="262"/>
      <c r="AF202" s="263">
        <f t="shared" si="403"/>
        <v>0</v>
      </c>
      <c r="AG202" s="238"/>
      <c r="AH202" s="229">
        <f t="shared" si="427"/>
        <v>1</v>
      </c>
      <c r="AI202" s="229">
        <f t="shared" si="428"/>
        <v>1</v>
      </c>
      <c r="AJ202" s="229">
        <f t="shared" si="429"/>
        <v>0</v>
      </c>
      <c r="AK202" s="229">
        <v>0</v>
      </c>
      <c r="AL202" s="229">
        <v>0</v>
      </c>
      <c r="AM202" s="229">
        <v>1</v>
      </c>
      <c r="AN202" s="229">
        <v>0</v>
      </c>
      <c r="AO202" s="229">
        <f t="shared" si="404"/>
        <v>-100</v>
      </c>
      <c r="AP202" s="238"/>
      <c r="AQ202" s="255"/>
      <c r="AR202" s="255"/>
      <c r="AS202" s="256"/>
      <c r="AT202" s="256"/>
      <c r="AU202" s="256"/>
      <c r="AV202" s="256"/>
      <c r="AW202" s="256"/>
      <c r="AX202" s="256"/>
      <c r="AY202" s="256"/>
      <c r="AZ202" s="256"/>
      <c r="BA202" s="256"/>
      <c r="BB202" s="256"/>
      <c r="BC202" s="256"/>
      <c r="BD202" s="238"/>
      <c r="BE202" s="229" cm="1">
        <f t="array" ref="BE202">IF(ISBLANK(R202), INDEX(Use, $AH202, 4) - AM202*INDEX(Use, $AH202, 6), R202)</f>
        <v>5</v>
      </c>
      <c r="BF202" s="229">
        <f t="shared" si="405"/>
        <v>30</v>
      </c>
      <c r="BG202" s="229">
        <f t="shared" si="241"/>
        <v>13</v>
      </c>
      <c r="BH202" s="229">
        <f t="shared" si="242"/>
        <v>0</v>
      </c>
      <c r="BI202" s="234" cm="1">
        <f t="array" ref="BI202">K202/IF($L202&gt;0, INDEX($AU$23:$BA$77, $L202+20, $AH202), 1)</f>
        <v>0</v>
      </c>
      <c r="BJ202" s="230">
        <f t="shared" si="406"/>
        <v>0</v>
      </c>
      <c r="BK202" s="229">
        <v>35</v>
      </c>
      <c r="BL202" s="230">
        <f t="shared" si="407"/>
        <v>48</v>
      </c>
      <c r="BM202" s="235">
        <f t="shared" si="408"/>
        <v>2.9108720930232557</v>
      </c>
      <c r="BN202" s="235" cm="1">
        <f t="array" ref="BN202">$BI202 * SUMPRODUCT(INDEX($AR$77:$AT$82,,$AI202),INDEX($AU$77:$BA$82,,$AH202), N($AQ$77:$AQ$82&gt;$AO202)) / BM202 / 1000</f>
        <v>0</v>
      </c>
      <c r="BO202" s="232">
        <f t="shared" si="246"/>
        <v>30</v>
      </c>
      <c r="BP202" s="230">
        <f t="shared" si="409"/>
        <v>43</v>
      </c>
      <c r="BQ202" s="235">
        <f t="shared" si="410"/>
        <v>3.2938815789473681</v>
      </c>
      <c r="BR202" s="235" cm="1">
        <f t="array" ref="BR202">$BI202 * IF($AH202&lt;=2,
SUMPRODUCT(INDEX($AR$72:$AT$76,,$AI202), INDEX($AU$72:$BA$76,,$AH202), 1 / ($BB$72:$BB$76*BQ202 + (1-$BB$72:$BB$76)*BM202), N($AQ$72:$AQ$76&gt;$AO202)),
SUMPRODUCT(INDEX($AR$67:$AT$76,,$AI202), INDEX($AU$67:$BA$76,,$AH202), 1 / ($BC$67:$BC$76*BQ202 + (1-$BC$67:$BC$76)*BM202), N($AQ$67:$AQ$76&gt;$AO202))
) / 1000</f>
        <v>0</v>
      </c>
      <c r="BS202" s="232">
        <f t="shared" si="249"/>
        <v>25</v>
      </c>
      <c r="BT202" s="230">
        <f t="shared" si="411"/>
        <v>38</v>
      </c>
      <c r="BU202" s="235">
        <f t="shared" si="412"/>
        <v>3.792954545454545</v>
      </c>
      <c r="BV202" s="235" cm="1">
        <f t="array" ref="BV202">$BI202 * IF($AH202&lt;=2,
SUMPRODUCT(INDEX($AR$67:$AT$71,,$AI202), INDEX($AU$67:$BA$71,,$AH202), 1 / ($BB$67:$BB$71*BU202 + (1-$BB$67:$BB$71)*BQ202), N($AQ$67:$AQ$71&gt;$AO202)),
SUMPRODUCT(INDEX($AR$57:$AT$66,,$AI202), INDEX($AU$57:$BA$66,,$AH202), 1 / ($BC$57:$BC$66*BU202 + (1-$BC$57:$BC$66)*BQ202), N($AQ$57:$AQ$66&gt;$AO202))
) / 1000</f>
        <v>0</v>
      </c>
      <c r="BW202" s="232">
        <f t="shared" si="252"/>
        <v>20</v>
      </c>
      <c r="BX202" s="230">
        <f t="shared" si="413"/>
        <v>33</v>
      </c>
      <c r="BY202" s="235">
        <f t="shared" si="414"/>
        <v>4.4702678571428569</v>
      </c>
      <c r="BZ202" s="235" cm="1">
        <f t="array" ref="BZ202">$BI202 * IF($AH202&lt;=2,
SUMPRODUCT(INDEX($AR$62:$AT$66,,$AI202), INDEX($AU$62:$BA$66,,$AH202), 1 / ($BB$62:$BB$66*BY202 + (1-$BB$62:$BB$66)*BU202), N($AQ$62:$AQ$66&gt;$AO202)),
SUMPRODUCT(INDEX($AR$47:$AT$56,,$AI202), INDEX($AU$47:$BA$56,,$AH202), 1 / ($BC$47:$BC$56*BY202 + (1-$BC$47:$BC$56)*BU202), N($AQ$47:$AQ$56&gt;$AO202))
) / 1000</f>
        <v>0</v>
      </c>
      <c r="CA202" s="235" cm="1">
        <f t="array" ref="CA202">$BI202 * IF($AH202&lt;=2,
SUMPRODUCT(INDEX($AR$23:$AT$61,,$AI202), INDEX($AU$23:$BA$61,,$AH202), 1 / ($BB$23:$BB$61*BY202), N($AQ$23:$AQ$61&gt;$AO202)),
SUMPRODUCT(INDEX($AR$23:$AT$46,,$AI202), INDEX($AU$23:$BA$46,,$AH202), 1 / ($BC$23:$BC$46*BY202), N($AQ$23:$AQ$46&gt;$AO202))
) / 1000</f>
        <v>0</v>
      </c>
      <c r="CB202" s="230">
        <f t="shared" si="415"/>
        <v>0</v>
      </c>
      <c r="CC202" s="238"/>
      <c r="CD202" s="229" cm="1">
        <f t="array" ref="CD202">IF(ISBLANK(Y202), INDEX(Use, $AH202, 4) - AN202*INDEX(Use, $AH202, 6) - (Q202-X202), Y202)</f>
        <v>7</v>
      </c>
      <c r="CE202" s="229">
        <f t="shared" si="416"/>
        <v>32</v>
      </c>
      <c r="CF202" s="230">
        <f t="shared" si="417"/>
        <v>0</v>
      </c>
      <c r="CG202" s="229">
        <v>35</v>
      </c>
      <c r="CH202" s="230">
        <f t="shared" si="418"/>
        <v>48</v>
      </c>
      <c r="CI202" s="235">
        <f t="shared" si="419"/>
        <v>3.0748170731707316</v>
      </c>
      <c r="CJ202" s="235" cm="1">
        <f t="array" ref="CJ202">$BI202 * SUMPRODUCT(INDEX($AR$77:$AT$82,,$AI202),INDEX($AU$77:$BA$82,,$AH202), N($AQ$77:$AQ$82&gt;$AO202)) / CI202 / 1000</f>
        <v>0</v>
      </c>
      <c r="CK202" s="232">
        <f t="shared" si="260"/>
        <v>30</v>
      </c>
      <c r="CL202" s="230">
        <f t="shared" si="420"/>
        <v>43</v>
      </c>
      <c r="CM202" s="235">
        <f t="shared" si="421"/>
        <v>3.5018750000000001</v>
      </c>
      <c r="CN202" s="235" cm="1">
        <f t="array" ref="CN202">$BI202 * IF($AH202&lt;=2,
SUMPRODUCT(INDEX($AR$72:$AT$76,,$AI202), INDEX($AU$72:$BA$76,,$AH202), 1 / ($BB$72:$BB$76*CM202 + (1-$BB$72:$BB$76)*CI202), N($AQ$72:$AQ$76&gt;$AO202)),
SUMPRODUCT(INDEX($AR$67:$AT$76,,$AI202), INDEX($AU$67:$BA$76,,$AH202), 1 / ($BC$67:$BC$76*CM202 + (1-$BC$67:$BC$76)*CI202), N($AQ$67:$AQ$76&gt;$AO202))
) / 1000</f>
        <v>0</v>
      </c>
      <c r="CO202" s="232">
        <f t="shared" si="263"/>
        <v>25</v>
      </c>
      <c r="CP202" s="230">
        <f t="shared" si="422"/>
        <v>38</v>
      </c>
      <c r="CQ202" s="235">
        <f t="shared" si="423"/>
        <v>4.0666935483870965</v>
      </c>
      <c r="CR202" s="235" cm="1">
        <f t="array" ref="CR202">$BI202 * IF($AH202&lt;=2,
SUMPRODUCT(INDEX($AR$67:$AT$71,,$AI202), INDEX($AU$67:$BA$71,,$AH202), 1 / ($BB$67:$BB$71*CQ202 + (1-$BB$67:$BB$71)*CM202), N($AQ$67:$AQ$71&gt;$AO202)),
SUMPRODUCT(INDEX($AR$57:$AT$66,,$AI202), INDEX($AU$57:$BA$66,,$AH202), 1 / ($BC$57:$BC$66*CQ202 + (1-$BC$57:$BC$66)*CM202), N($AQ$57:$AQ$66&gt;$AO202))
) / 1000</f>
        <v>0</v>
      </c>
      <c r="CS202" s="232">
        <f t="shared" si="266"/>
        <v>20</v>
      </c>
      <c r="CT202" s="230">
        <f t="shared" si="424"/>
        <v>33</v>
      </c>
      <c r="CU202" s="235">
        <f t="shared" si="425"/>
        <v>4.8487499999999999</v>
      </c>
      <c r="CV202" s="235" cm="1">
        <f t="array" ref="CV202">$BI202 * IF($AH202&lt;=2,
SUMPRODUCT(INDEX($AR$62:$AT$66,,$AI202), INDEX($AU$62:$BA$66,,$AH202), 1 / ($BB$62:$BB$66*CU202 + (1-$BB$62:$BB$66)*CQ202), N($AQ$62:$AQ$66&gt;$AO202)),
SUMPRODUCT(INDEX($AR$47:$AT$56,,$AI202), INDEX($AU$47:$BA$56,,$AH202), 1 / ($BC$47:$BC$56*CU202 + (1-$BC$47:$BC$56)*CQ202), N($AQ$47:$AQ$56&gt;$AO202))
) / 1000</f>
        <v>0</v>
      </c>
      <c r="CW202" s="235" cm="1">
        <f t="array" ref="CW202">$BI202 * IF($AH202&lt;=2,
SUMPRODUCT(INDEX($AR$23:$AT$61,,$AI202), INDEX($AU$23:$BA$61,,$AH202), 1 / ($BB$23:$BB$61*CU202), N($AQ$23:$AQ$61&gt;$AO202)),
SUMPRODUCT(INDEX($AR$23:$AT$46,,$AI202), INDEX($AU$23:$BA$46,,$AH202), 1 / ($BC$23:$BC$46*CU202), N($AQ$23:$AQ$46&gt;$AO202))
) / 1000</f>
        <v>0</v>
      </c>
      <c r="CX202" s="230">
        <f t="shared" si="426"/>
        <v>0</v>
      </c>
      <c r="CY202" s="238"/>
    </row>
    <row r="203" spans="1:103" s="76" customFormat="1" ht="14.25" customHeight="1" x14ac:dyDescent="0.2">
      <c r="A203" s="231" t="b">
        <f t="shared" si="229"/>
        <v>0</v>
      </c>
      <c r="B203" s="245">
        <v>181</v>
      </c>
      <c r="C203" s="258"/>
      <c r="D203" s="258"/>
      <c r="E203" s="246"/>
      <c r="F203" s="247" t="str">
        <f>IF(ISBLANK(E203), "", VLOOKUP(E203, Z!$A$2:$C$4127, 3, FALSE))</f>
        <v/>
      </c>
      <c r="G203" s="248"/>
      <c r="H203" s="248"/>
      <c r="I203" s="249"/>
      <c r="J203" s="250"/>
      <c r="K203" s="259"/>
      <c r="L203" s="260"/>
      <c r="M203" s="252" t="str" cm="1">
        <f t="array" ref="M203">INDEX(Trad, 53, $A$20)</f>
        <v>Verschmutzt</v>
      </c>
      <c r="N203" s="253"/>
      <c r="O203" s="253"/>
      <c r="P203" s="254"/>
      <c r="Q203" s="251"/>
      <c r="R203" s="251"/>
      <c r="S203" s="264">
        <f t="shared" si="401"/>
        <v>0</v>
      </c>
      <c r="T203" s="252" t="str" cm="1">
        <f t="array" ref="T203">INDEX(Trad, 52, $A$20)</f>
        <v>Sauber</v>
      </c>
      <c r="U203" s="253"/>
      <c r="V203" s="253"/>
      <c r="W203" s="254"/>
      <c r="X203" s="251"/>
      <c r="Y203" s="251"/>
      <c r="Z203" s="264">
        <f t="shared" si="402"/>
        <v>0</v>
      </c>
      <c r="AA203" s="261"/>
      <c r="AB203" s="258"/>
      <c r="AC203" s="246"/>
      <c r="AD203" s="247" t="str">
        <f>IF(ISBLANK(AC203), "", VLOOKUP(AC203, Z!$A$2:$C$4127, 3, FALSE))</f>
        <v/>
      </c>
      <c r="AE203" s="262"/>
      <c r="AF203" s="263">
        <f t="shared" si="403"/>
        <v>0</v>
      </c>
      <c r="AG203" s="238"/>
      <c r="AH203" s="229">
        <f t="shared" si="427"/>
        <v>1</v>
      </c>
      <c r="AI203" s="229">
        <f t="shared" si="428"/>
        <v>1</v>
      </c>
      <c r="AJ203" s="229">
        <f t="shared" si="429"/>
        <v>0</v>
      </c>
      <c r="AK203" s="229">
        <v>0</v>
      </c>
      <c r="AL203" s="229">
        <v>0</v>
      </c>
      <c r="AM203" s="229">
        <v>1</v>
      </c>
      <c r="AN203" s="229">
        <v>0</v>
      </c>
      <c r="AO203" s="229">
        <f t="shared" si="404"/>
        <v>-100</v>
      </c>
      <c r="AP203" s="238"/>
      <c r="AQ203" s="255"/>
      <c r="AR203" s="255"/>
      <c r="AS203" s="256"/>
      <c r="AT203" s="256"/>
      <c r="AU203" s="256"/>
      <c r="AV203" s="256"/>
      <c r="AW203" s="256"/>
      <c r="AX203" s="256"/>
      <c r="AY203" s="256"/>
      <c r="AZ203" s="256"/>
      <c r="BA203" s="256"/>
      <c r="BB203" s="256"/>
      <c r="BC203" s="256"/>
      <c r="BD203" s="238"/>
      <c r="BE203" s="229" cm="1">
        <f t="array" ref="BE203">IF(ISBLANK(R203), INDEX(Use, $AH203, 4) - AM203*INDEX(Use, $AH203, 6), R203)</f>
        <v>5</v>
      </c>
      <c r="BF203" s="229">
        <f t="shared" si="405"/>
        <v>30</v>
      </c>
      <c r="BG203" s="229">
        <f t="shared" si="241"/>
        <v>13</v>
      </c>
      <c r="BH203" s="229">
        <f t="shared" si="242"/>
        <v>0</v>
      </c>
      <c r="BI203" s="234" cm="1">
        <f t="array" ref="BI203">K203/IF($L203&gt;0, INDEX($AU$23:$BA$77, $L203+20, $AH203), 1)</f>
        <v>0</v>
      </c>
      <c r="BJ203" s="230">
        <f t="shared" si="406"/>
        <v>0</v>
      </c>
      <c r="BK203" s="229">
        <v>35</v>
      </c>
      <c r="BL203" s="230">
        <f t="shared" si="407"/>
        <v>48</v>
      </c>
      <c r="BM203" s="235">
        <f t="shared" si="408"/>
        <v>2.9108720930232557</v>
      </c>
      <c r="BN203" s="235" cm="1">
        <f t="array" ref="BN203">$BI203 * SUMPRODUCT(INDEX($AR$77:$AT$82,,$AI203),INDEX($AU$77:$BA$82,,$AH203), N($AQ$77:$AQ$82&gt;$AO203)) / BM203 / 1000</f>
        <v>0</v>
      </c>
      <c r="BO203" s="232">
        <f t="shared" si="246"/>
        <v>30</v>
      </c>
      <c r="BP203" s="230">
        <f t="shared" si="409"/>
        <v>43</v>
      </c>
      <c r="BQ203" s="235">
        <f t="shared" si="410"/>
        <v>3.2938815789473681</v>
      </c>
      <c r="BR203" s="235" cm="1">
        <f t="array" ref="BR203">$BI203 * IF($AH203&lt;=2,
SUMPRODUCT(INDEX($AR$72:$AT$76,,$AI203), INDEX($AU$72:$BA$76,,$AH203), 1 / ($BB$72:$BB$76*BQ203 + (1-$BB$72:$BB$76)*BM203), N($AQ$72:$AQ$76&gt;$AO203)),
SUMPRODUCT(INDEX($AR$67:$AT$76,,$AI203), INDEX($AU$67:$BA$76,,$AH203), 1 / ($BC$67:$BC$76*BQ203 + (1-$BC$67:$BC$76)*BM203), N($AQ$67:$AQ$76&gt;$AO203))
) / 1000</f>
        <v>0</v>
      </c>
      <c r="BS203" s="232">
        <f t="shared" si="249"/>
        <v>25</v>
      </c>
      <c r="BT203" s="230">
        <f t="shared" si="411"/>
        <v>38</v>
      </c>
      <c r="BU203" s="235">
        <f t="shared" si="412"/>
        <v>3.792954545454545</v>
      </c>
      <c r="BV203" s="235" cm="1">
        <f t="array" ref="BV203">$BI203 * IF($AH203&lt;=2,
SUMPRODUCT(INDEX($AR$67:$AT$71,,$AI203), INDEX($AU$67:$BA$71,,$AH203), 1 / ($BB$67:$BB$71*BU203 + (1-$BB$67:$BB$71)*BQ203), N($AQ$67:$AQ$71&gt;$AO203)),
SUMPRODUCT(INDEX($AR$57:$AT$66,,$AI203), INDEX($AU$57:$BA$66,,$AH203), 1 / ($BC$57:$BC$66*BU203 + (1-$BC$57:$BC$66)*BQ203), N($AQ$57:$AQ$66&gt;$AO203))
) / 1000</f>
        <v>0</v>
      </c>
      <c r="BW203" s="232">
        <f t="shared" si="252"/>
        <v>20</v>
      </c>
      <c r="BX203" s="230">
        <f t="shared" si="413"/>
        <v>33</v>
      </c>
      <c r="BY203" s="235">
        <f t="shared" si="414"/>
        <v>4.4702678571428569</v>
      </c>
      <c r="BZ203" s="235" cm="1">
        <f t="array" ref="BZ203">$BI203 * IF($AH203&lt;=2,
SUMPRODUCT(INDEX($AR$62:$AT$66,,$AI203), INDEX($AU$62:$BA$66,,$AH203), 1 / ($BB$62:$BB$66*BY203 + (1-$BB$62:$BB$66)*BU203), N($AQ$62:$AQ$66&gt;$AO203)),
SUMPRODUCT(INDEX($AR$47:$AT$56,,$AI203), INDEX($AU$47:$BA$56,,$AH203), 1 / ($BC$47:$BC$56*BY203 + (1-$BC$47:$BC$56)*BU203), N($AQ$47:$AQ$56&gt;$AO203))
) / 1000</f>
        <v>0</v>
      </c>
      <c r="CA203" s="235" cm="1">
        <f t="array" ref="CA203">$BI203 * IF($AH203&lt;=2,
SUMPRODUCT(INDEX($AR$23:$AT$61,,$AI203), INDEX($AU$23:$BA$61,,$AH203), 1 / ($BB$23:$BB$61*BY203), N($AQ$23:$AQ$61&gt;$AO203)),
SUMPRODUCT(INDEX($AR$23:$AT$46,,$AI203), INDEX($AU$23:$BA$46,,$AH203), 1 / ($BC$23:$BC$46*BY203), N($AQ$23:$AQ$46&gt;$AO203))
) / 1000</f>
        <v>0</v>
      </c>
      <c r="CB203" s="230">
        <f t="shared" si="415"/>
        <v>0</v>
      </c>
      <c r="CC203" s="238"/>
      <c r="CD203" s="229" cm="1">
        <f t="array" ref="CD203">IF(ISBLANK(Y203), INDEX(Use, $AH203, 4) - AN203*INDEX(Use, $AH203, 6) - (Q203-X203), Y203)</f>
        <v>7</v>
      </c>
      <c r="CE203" s="229">
        <f t="shared" si="416"/>
        <v>32</v>
      </c>
      <c r="CF203" s="230">
        <f t="shared" si="417"/>
        <v>0</v>
      </c>
      <c r="CG203" s="229">
        <v>35</v>
      </c>
      <c r="CH203" s="230">
        <f t="shared" si="418"/>
        <v>48</v>
      </c>
      <c r="CI203" s="235">
        <f t="shared" si="419"/>
        <v>3.0748170731707316</v>
      </c>
      <c r="CJ203" s="235" cm="1">
        <f t="array" ref="CJ203">$BI203 * SUMPRODUCT(INDEX($AR$77:$AT$82,,$AI203),INDEX($AU$77:$BA$82,,$AH203), N($AQ$77:$AQ$82&gt;$AO203)) / CI203 / 1000</f>
        <v>0</v>
      </c>
      <c r="CK203" s="232">
        <f t="shared" si="260"/>
        <v>30</v>
      </c>
      <c r="CL203" s="230">
        <f t="shared" si="420"/>
        <v>43</v>
      </c>
      <c r="CM203" s="235">
        <f t="shared" si="421"/>
        <v>3.5018750000000001</v>
      </c>
      <c r="CN203" s="235" cm="1">
        <f t="array" ref="CN203">$BI203 * IF($AH203&lt;=2,
SUMPRODUCT(INDEX($AR$72:$AT$76,,$AI203), INDEX($AU$72:$BA$76,,$AH203), 1 / ($BB$72:$BB$76*CM203 + (1-$BB$72:$BB$76)*CI203), N($AQ$72:$AQ$76&gt;$AO203)),
SUMPRODUCT(INDEX($AR$67:$AT$76,,$AI203), INDEX($AU$67:$BA$76,,$AH203), 1 / ($BC$67:$BC$76*CM203 + (1-$BC$67:$BC$76)*CI203), N($AQ$67:$AQ$76&gt;$AO203))
) / 1000</f>
        <v>0</v>
      </c>
      <c r="CO203" s="232">
        <f t="shared" si="263"/>
        <v>25</v>
      </c>
      <c r="CP203" s="230">
        <f t="shared" si="422"/>
        <v>38</v>
      </c>
      <c r="CQ203" s="235">
        <f t="shared" si="423"/>
        <v>4.0666935483870965</v>
      </c>
      <c r="CR203" s="235" cm="1">
        <f t="array" ref="CR203">$BI203 * IF($AH203&lt;=2,
SUMPRODUCT(INDEX($AR$67:$AT$71,,$AI203), INDEX($AU$67:$BA$71,,$AH203), 1 / ($BB$67:$BB$71*CQ203 + (1-$BB$67:$BB$71)*CM203), N($AQ$67:$AQ$71&gt;$AO203)),
SUMPRODUCT(INDEX($AR$57:$AT$66,,$AI203), INDEX($AU$57:$BA$66,,$AH203), 1 / ($BC$57:$BC$66*CQ203 + (1-$BC$57:$BC$66)*CM203), N($AQ$57:$AQ$66&gt;$AO203))
) / 1000</f>
        <v>0</v>
      </c>
      <c r="CS203" s="232">
        <f t="shared" si="266"/>
        <v>20</v>
      </c>
      <c r="CT203" s="230">
        <f t="shared" si="424"/>
        <v>33</v>
      </c>
      <c r="CU203" s="235">
        <f t="shared" si="425"/>
        <v>4.8487499999999999</v>
      </c>
      <c r="CV203" s="235" cm="1">
        <f t="array" ref="CV203">$BI203 * IF($AH203&lt;=2,
SUMPRODUCT(INDEX($AR$62:$AT$66,,$AI203), INDEX($AU$62:$BA$66,,$AH203), 1 / ($BB$62:$BB$66*CU203 + (1-$BB$62:$BB$66)*CQ203), N($AQ$62:$AQ$66&gt;$AO203)),
SUMPRODUCT(INDEX($AR$47:$AT$56,,$AI203), INDEX($AU$47:$BA$56,,$AH203), 1 / ($BC$47:$BC$56*CU203 + (1-$BC$47:$BC$56)*CQ203), N($AQ$47:$AQ$56&gt;$AO203))
) / 1000</f>
        <v>0</v>
      </c>
      <c r="CW203" s="235" cm="1">
        <f t="array" ref="CW203">$BI203 * IF($AH203&lt;=2,
SUMPRODUCT(INDEX($AR$23:$AT$61,,$AI203), INDEX($AU$23:$BA$61,,$AH203), 1 / ($BB$23:$BB$61*CU203), N($AQ$23:$AQ$61&gt;$AO203)),
SUMPRODUCT(INDEX($AR$23:$AT$46,,$AI203), INDEX($AU$23:$BA$46,,$AH203), 1 / ($BC$23:$BC$46*CU203), N($AQ$23:$AQ$46&gt;$AO203))
) / 1000</f>
        <v>0</v>
      </c>
      <c r="CX203" s="230">
        <f t="shared" si="426"/>
        <v>0</v>
      </c>
      <c r="CY203" s="238"/>
    </row>
    <row r="204" spans="1:103" s="76" customFormat="1" ht="14.25" customHeight="1" x14ac:dyDescent="0.2">
      <c r="A204" s="231" t="b">
        <f t="shared" si="229"/>
        <v>0</v>
      </c>
      <c r="B204" s="245">
        <v>182</v>
      </c>
      <c r="C204" s="258"/>
      <c r="D204" s="258"/>
      <c r="E204" s="246"/>
      <c r="F204" s="247" t="str">
        <f>IF(ISBLANK(E204), "", VLOOKUP(E204, Z!$A$2:$C$4127, 3, FALSE))</f>
        <v/>
      </c>
      <c r="G204" s="248"/>
      <c r="H204" s="248"/>
      <c r="I204" s="249"/>
      <c r="J204" s="250"/>
      <c r="K204" s="259"/>
      <c r="L204" s="260"/>
      <c r="M204" s="252" t="str" cm="1">
        <f t="array" ref="M204">INDEX(Trad, 53, $A$20)</f>
        <v>Verschmutzt</v>
      </c>
      <c r="N204" s="253"/>
      <c r="O204" s="253"/>
      <c r="P204" s="254"/>
      <c r="Q204" s="251"/>
      <c r="R204" s="251"/>
      <c r="S204" s="264">
        <f t="shared" si="401"/>
        <v>0</v>
      </c>
      <c r="T204" s="252" t="str" cm="1">
        <f t="array" ref="T204">INDEX(Trad, 52, $A$20)</f>
        <v>Sauber</v>
      </c>
      <c r="U204" s="253"/>
      <c r="V204" s="253"/>
      <c r="W204" s="254"/>
      <c r="X204" s="251"/>
      <c r="Y204" s="251"/>
      <c r="Z204" s="264">
        <f t="shared" si="402"/>
        <v>0</v>
      </c>
      <c r="AA204" s="261"/>
      <c r="AB204" s="258"/>
      <c r="AC204" s="246"/>
      <c r="AD204" s="247" t="str">
        <f>IF(ISBLANK(AC204), "", VLOOKUP(AC204, Z!$A$2:$C$4127, 3, FALSE))</f>
        <v/>
      </c>
      <c r="AE204" s="262"/>
      <c r="AF204" s="263">
        <f t="shared" si="403"/>
        <v>0</v>
      </c>
      <c r="AG204" s="238"/>
      <c r="AH204" s="229">
        <f t="shared" si="427"/>
        <v>1</v>
      </c>
      <c r="AI204" s="229">
        <f t="shared" si="428"/>
        <v>1</v>
      </c>
      <c r="AJ204" s="229">
        <f t="shared" si="429"/>
        <v>0</v>
      </c>
      <c r="AK204" s="229">
        <v>0</v>
      </c>
      <c r="AL204" s="229">
        <v>0</v>
      </c>
      <c r="AM204" s="229">
        <v>1</v>
      </c>
      <c r="AN204" s="229">
        <v>0</v>
      </c>
      <c r="AO204" s="229">
        <f t="shared" si="404"/>
        <v>-100</v>
      </c>
      <c r="AP204" s="238"/>
      <c r="AQ204" s="255"/>
      <c r="AR204" s="255"/>
      <c r="AS204" s="256"/>
      <c r="AT204" s="256"/>
      <c r="AU204" s="256"/>
      <c r="AV204" s="256"/>
      <c r="AW204" s="256"/>
      <c r="AX204" s="256"/>
      <c r="AY204" s="256"/>
      <c r="AZ204" s="256"/>
      <c r="BA204" s="256"/>
      <c r="BB204" s="256"/>
      <c r="BC204" s="256"/>
      <c r="BD204" s="238"/>
      <c r="BE204" s="229" cm="1">
        <f t="array" ref="BE204">IF(ISBLANK(R204), INDEX(Use, $AH204, 4) - AM204*INDEX(Use, $AH204, 6), R204)</f>
        <v>5</v>
      </c>
      <c r="BF204" s="229">
        <f t="shared" si="405"/>
        <v>30</v>
      </c>
      <c r="BG204" s="229">
        <f t="shared" si="241"/>
        <v>13</v>
      </c>
      <c r="BH204" s="229">
        <f t="shared" si="242"/>
        <v>0</v>
      </c>
      <c r="BI204" s="234" cm="1">
        <f t="array" ref="BI204">K204/IF($L204&gt;0, INDEX($AU$23:$BA$77, $L204+20, $AH204), 1)</f>
        <v>0</v>
      </c>
      <c r="BJ204" s="230">
        <f t="shared" si="406"/>
        <v>0</v>
      </c>
      <c r="BK204" s="229">
        <v>35</v>
      </c>
      <c r="BL204" s="230">
        <f t="shared" si="407"/>
        <v>48</v>
      </c>
      <c r="BM204" s="235">
        <f t="shared" si="408"/>
        <v>2.9108720930232557</v>
      </c>
      <c r="BN204" s="235" cm="1">
        <f t="array" ref="BN204">$BI204 * SUMPRODUCT(INDEX($AR$77:$AT$82,,$AI204),INDEX($AU$77:$BA$82,,$AH204), N($AQ$77:$AQ$82&gt;$AO204)) / BM204 / 1000</f>
        <v>0</v>
      </c>
      <c r="BO204" s="232">
        <f t="shared" si="246"/>
        <v>30</v>
      </c>
      <c r="BP204" s="230">
        <f t="shared" si="409"/>
        <v>43</v>
      </c>
      <c r="BQ204" s="235">
        <f t="shared" si="410"/>
        <v>3.2938815789473681</v>
      </c>
      <c r="BR204" s="235" cm="1">
        <f t="array" ref="BR204">$BI204 * IF($AH204&lt;=2,
SUMPRODUCT(INDEX($AR$72:$AT$76,,$AI204), INDEX($AU$72:$BA$76,,$AH204), 1 / ($BB$72:$BB$76*BQ204 + (1-$BB$72:$BB$76)*BM204), N($AQ$72:$AQ$76&gt;$AO204)),
SUMPRODUCT(INDEX($AR$67:$AT$76,,$AI204), INDEX($AU$67:$BA$76,,$AH204), 1 / ($BC$67:$BC$76*BQ204 + (1-$BC$67:$BC$76)*BM204), N($AQ$67:$AQ$76&gt;$AO204))
) / 1000</f>
        <v>0</v>
      </c>
      <c r="BS204" s="232">
        <f t="shared" si="249"/>
        <v>25</v>
      </c>
      <c r="BT204" s="230">
        <f t="shared" si="411"/>
        <v>38</v>
      </c>
      <c r="BU204" s="235">
        <f t="shared" si="412"/>
        <v>3.792954545454545</v>
      </c>
      <c r="BV204" s="235" cm="1">
        <f t="array" ref="BV204">$BI204 * IF($AH204&lt;=2,
SUMPRODUCT(INDEX($AR$67:$AT$71,,$AI204), INDEX($AU$67:$BA$71,,$AH204), 1 / ($BB$67:$BB$71*BU204 + (1-$BB$67:$BB$71)*BQ204), N($AQ$67:$AQ$71&gt;$AO204)),
SUMPRODUCT(INDEX($AR$57:$AT$66,,$AI204), INDEX($AU$57:$BA$66,,$AH204), 1 / ($BC$57:$BC$66*BU204 + (1-$BC$57:$BC$66)*BQ204), N($AQ$57:$AQ$66&gt;$AO204))
) / 1000</f>
        <v>0</v>
      </c>
      <c r="BW204" s="232">
        <f t="shared" si="252"/>
        <v>20</v>
      </c>
      <c r="BX204" s="230">
        <f t="shared" si="413"/>
        <v>33</v>
      </c>
      <c r="BY204" s="235">
        <f t="shared" si="414"/>
        <v>4.4702678571428569</v>
      </c>
      <c r="BZ204" s="235" cm="1">
        <f t="array" ref="BZ204">$BI204 * IF($AH204&lt;=2,
SUMPRODUCT(INDEX($AR$62:$AT$66,,$AI204), INDEX($AU$62:$BA$66,,$AH204), 1 / ($BB$62:$BB$66*BY204 + (1-$BB$62:$BB$66)*BU204), N($AQ$62:$AQ$66&gt;$AO204)),
SUMPRODUCT(INDEX($AR$47:$AT$56,,$AI204), INDEX($AU$47:$BA$56,,$AH204), 1 / ($BC$47:$BC$56*BY204 + (1-$BC$47:$BC$56)*BU204), N($AQ$47:$AQ$56&gt;$AO204))
) / 1000</f>
        <v>0</v>
      </c>
      <c r="CA204" s="235" cm="1">
        <f t="array" ref="CA204">$BI204 * IF($AH204&lt;=2,
SUMPRODUCT(INDEX($AR$23:$AT$61,,$AI204), INDEX($AU$23:$BA$61,,$AH204), 1 / ($BB$23:$BB$61*BY204), N($AQ$23:$AQ$61&gt;$AO204)),
SUMPRODUCT(INDEX($AR$23:$AT$46,,$AI204), INDEX($AU$23:$BA$46,,$AH204), 1 / ($BC$23:$BC$46*BY204), N($AQ$23:$AQ$46&gt;$AO204))
) / 1000</f>
        <v>0</v>
      </c>
      <c r="CB204" s="230">
        <f t="shared" si="415"/>
        <v>0</v>
      </c>
      <c r="CC204" s="238"/>
      <c r="CD204" s="229" cm="1">
        <f t="array" ref="CD204">IF(ISBLANK(Y204), INDEX(Use, $AH204, 4) - AN204*INDEX(Use, $AH204, 6) - (Q204-X204), Y204)</f>
        <v>7</v>
      </c>
      <c r="CE204" s="229">
        <f t="shared" si="416"/>
        <v>32</v>
      </c>
      <c r="CF204" s="230">
        <f t="shared" si="417"/>
        <v>0</v>
      </c>
      <c r="CG204" s="229">
        <v>35</v>
      </c>
      <c r="CH204" s="230">
        <f t="shared" si="418"/>
        <v>48</v>
      </c>
      <c r="CI204" s="235">
        <f t="shared" si="419"/>
        <v>3.0748170731707316</v>
      </c>
      <c r="CJ204" s="235" cm="1">
        <f t="array" ref="CJ204">$BI204 * SUMPRODUCT(INDEX($AR$77:$AT$82,,$AI204),INDEX($AU$77:$BA$82,,$AH204), N($AQ$77:$AQ$82&gt;$AO204)) / CI204 / 1000</f>
        <v>0</v>
      </c>
      <c r="CK204" s="232">
        <f t="shared" si="260"/>
        <v>30</v>
      </c>
      <c r="CL204" s="230">
        <f t="shared" si="420"/>
        <v>43</v>
      </c>
      <c r="CM204" s="235">
        <f t="shared" si="421"/>
        <v>3.5018750000000001</v>
      </c>
      <c r="CN204" s="235" cm="1">
        <f t="array" ref="CN204">$BI204 * IF($AH204&lt;=2,
SUMPRODUCT(INDEX($AR$72:$AT$76,,$AI204), INDEX($AU$72:$BA$76,,$AH204), 1 / ($BB$72:$BB$76*CM204 + (1-$BB$72:$BB$76)*CI204), N($AQ$72:$AQ$76&gt;$AO204)),
SUMPRODUCT(INDEX($AR$67:$AT$76,,$AI204), INDEX($AU$67:$BA$76,,$AH204), 1 / ($BC$67:$BC$76*CM204 + (1-$BC$67:$BC$76)*CI204), N($AQ$67:$AQ$76&gt;$AO204))
) / 1000</f>
        <v>0</v>
      </c>
      <c r="CO204" s="232">
        <f t="shared" si="263"/>
        <v>25</v>
      </c>
      <c r="CP204" s="230">
        <f t="shared" si="422"/>
        <v>38</v>
      </c>
      <c r="CQ204" s="235">
        <f t="shared" si="423"/>
        <v>4.0666935483870965</v>
      </c>
      <c r="CR204" s="235" cm="1">
        <f t="array" ref="CR204">$BI204 * IF($AH204&lt;=2,
SUMPRODUCT(INDEX($AR$67:$AT$71,,$AI204), INDEX($AU$67:$BA$71,,$AH204), 1 / ($BB$67:$BB$71*CQ204 + (1-$BB$67:$BB$71)*CM204), N($AQ$67:$AQ$71&gt;$AO204)),
SUMPRODUCT(INDEX($AR$57:$AT$66,,$AI204), INDEX($AU$57:$BA$66,,$AH204), 1 / ($BC$57:$BC$66*CQ204 + (1-$BC$57:$BC$66)*CM204), N($AQ$57:$AQ$66&gt;$AO204))
) / 1000</f>
        <v>0</v>
      </c>
      <c r="CS204" s="232">
        <f t="shared" si="266"/>
        <v>20</v>
      </c>
      <c r="CT204" s="230">
        <f t="shared" si="424"/>
        <v>33</v>
      </c>
      <c r="CU204" s="235">
        <f t="shared" si="425"/>
        <v>4.8487499999999999</v>
      </c>
      <c r="CV204" s="235" cm="1">
        <f t="array" ref="CV204">$BI204 * IF($AH204&lt;=2,
SUMPRODUCT(INDEX($AR$62:$AT$66,,$AI204), INDEX($AU$62:$BA$66,,$AH204), 1 / ($BB$62:$BB$66*CU204 + (1-$BB$62:$BB$66)*CQ204), N($AQ$62:$AQ$66&gt;$AO204)),
SUMPRODUCT(INDEX($AR$47:$AT$56,,$AI204), INDEX($AU$47:$BA$56,,$AH204), 1 / ($BC$47:$BC$56*CU204 + (1-$BC$47:$BC$56)*CQ204), N($AQ$47:$AQ$56&gt;$AO204))
) / 1000</f>
        <v>0</v>
      </c>
      <c r="CW204" s="235" cm="1">
        <f t="array" ref="CW204">$BI204 * IF($AH204&lt;=2,
SUMPRODUCT(INDEX($AR$23:$AT$61,,$AI204), INDEX($AU$23:$BA$61,,$AH204), 1 / ($BB$23:$BB$61*CU204), N($AQ$23:$AQ$61&gt;$AO204)),
SUMPRODUCT(INDEX($AR$23:$AT$46,,$AI204), INDEX($AU$23:$BA$46,,$AH204), 1 / ($BC$23:$BC$46*CU204), N($AQ$23:$AQ$46&gt;$AO204))
) / 1000</f>
        <v>0</v>
      </c>
      <c r="CX204" s="230">
        <f t="shared" si="426"/>
        <v>0</v>
      </c>
      <c r="CY204" s="238"/>
    </row>
    <row r="205" spans="1:103" s="76" customFormat="1" ht="14.25" customHeight="1" x14ac:dyDescent="0.2">
      <c r="A205" s="231" t="b">
        <f t="shared" si="229"/>
        <v>0</v>
      </c>
      <c r="B205" s="245">
        <v>183</v>
      </c>
      <c r="C205" s="258"/>
      <c r="D205" s="258"/>
      <c r="E205" s="246"/>
      <c r="F205" s="247" t="str">
        <f>IF(ISBLANK(E205), "", VLOOKUP(E205, Z!$A$2:$C$4127, 3, FALSE))</f>
        <v/>
      </c>
      <c r="G205" s="248"/>
      <c r="H205" s="248"/>
      <c r="I205" s="249"/>
      <c r="J205" s="250"/>
      <c r="K205" s="259"/>
      <c r="L205" s="260"/>
      <c r="M205" s="252" t="str" cm="1">
        <f t="array" ref="M205">INDEX(Trad, 53, $A$20)</f>
        <v>Verschmutzt</v>
      </c>
      <c r="N205" s="253"/>
      <c r="O205" s="253"/>
      <c r="P205" s="254"/>
      <c r="Q205" s="251"/>
      <c r="R205" s="251"/>
      <c r="S205" s="264">
        <f t="shared" si="401"/>
        <v>0</v>
      </c>
      <c r="T205" s="252" t="str" cm="1">
        <f t="array" ref="T205">INDEX(Trad, 52, $A$20)</f>
        <v>Sauber</v>
      </c>
      <c r="U205" s="253"/>
      <c r="V205" s="253"/>
      <c r="W205" s="254"/>
      <c r="X205" s="251"/>
      <c r="Y205" s="251"/>
      <c r="Z205" s="264">
        <f t="shared" si="402"/>
        <v>0</v>
      </c>
      <c r="AA205" s="261"/>
      <c r="AB205" s="258"/>
      <c r="AC205" s="246"/>
      <c r="AD205" s="247" t="str">
        <f>IF(ISBLANK(AC205), "", VLOOKUP(AC205, Z!$A$2:$C$4127, 3, FALSE))</f>
        <v/>
      </c>
      <c r="AE205" s="262"/>
      <c r="AF205" s="263">
        <f t="shared" si="403"/>
        <v>0</v>
      </c>
      <c r="AG205" s="238"/>
      <c r="AH205" s="229">
        <f t="shared" si="427"/>
        <v>1</v>
      </c>
      <c r="AI205" s="229">
        <f t="shared" si="428"/>
        <v>1</v>
      </c>
      <c r="AJ205" s="229">
        <f t="shared" si="429"/>
        <v>0</v>
      </c>
      <c r="AK205" s="229">
        <v>0</v>
      </c>
      <c r="AL205" s="229">
        <v>0</v>
      </c>
      <c r="AM205" s="229">
        <v>1</v>
      </c>
      <c r="AN205" s="229">
        <v>0</v>
      </c>
      <c r="AO205" s="229">
        <f t="shared" si="404"/>
        <v>-100</v>
      </c>
      <c r="AP205" s="238"/>
      <c r="AQ205" s="255"/>
      <c r="AR205" s="255"/>
      <c r="AS205" s="256"/>
      <c r="AT205" s="256"/>
      <c r="AU205" s="256"/>
      <c r="AV205" s="256"/>
      <c r="AW205" s="256"/>
      <c r="AX205" s="256"/>
      <c r="AY205" s="256"/>
      <c r="AZ205" s="256"/>
      <c r="BA205" s="256"/>
      <c r="BB205" s="256"/>
      <c r="BC205" s="256"/>
      <c r="BD205" s="238"/>
      <c r="BE205" s="229" cm="1">
        <f t="array" ref="BE205">IF(ISBLANK(R205), INDEX(Use, $AH205, 4) - AM205*INDEX(Use, $AH205, 6), R205)</f>
        <v>5</v>
      </c>
      <c r="BF205" s="229">
        <f t="shared" si="405"/>
        <v>30</v>
      </c>
      <c r="BG205" s="229">
        <f t="shared" si="241"/>
        <v>13</v>
      </c>
      <c r="BH205" s="229">
        <f t="shared" si="242"/>
        <v>0</v>
      </c>
      <c r="BI205" s="234" cm="1">
        <f t="array" ref="BI205">K205/IF($L205&gt;0, INDEX($AU$23:$BA$77, $L205+20, $AH205), 1)</f>
        <v>0</v>
      </c>
      <c r="BJ205" s="230">
        <f t="shared" si="406"/>
        <v>0</v>
      </c>
      <c r="BK205" s="229">
        <v>35</v>
      </c>
      <c r="BL205" s="230">
        <f t="shared" si="407"/>
        <v>48</v>
      </c>
      <c r="BM205" s="235">
        <f t="shared" si="408"/>
        <v>2.9108720930232557</v>
      </c>
      <c r="BN205" s="235" cm="1">
        <f t="array" ref="BN205">$BI205 * SUMPRODUCT(INDEX($AR$77:$AT$82,,$AI205),INDEX($AU$77:$BA$82,,$AH205), N($AQ$77:$AQ$82&gt;$AO205)) / BM205 / 1000</f>
        <v>0</v>
      </c>
      <c r="BO205" s="232">
        <f t="shared" si="246"/>
        <v>30</v>
      </c>
      <c r="BP205" s="230">
        <f t="shared" si="409"/>
        <v>43</v>
      </c>
      <c r="BQ205" s="235">
        <f t="shared" si="410"/>
        <v>3.2938815789473681</v>
      </c>
      <c r="BR205" s="235" cm="1">
        <f t="array" ref="BR205">$BI205 * IF($AH205&lt;=2,
SUMPRODUCT(INDEX($AR$72:$AT$76,,$AI205), INDEX($AU$72:$BA$76,,$AH205), 1 / ($BB$72:$BB$76*BQ205 + (1-$BB$72:$BB$76)*BM205), N($AQ$72:$AQ$76&gt;$AO205)),
SUMPRODUCT(INDEX($AR$67:$AT$76,,$AI205), INDEX($AU$67:$BA$76,,$AH205), 1 / ($BC$67:$BC$76*BQ205 + (1-$BC$67:$BC$76)*BM205), N($AQ$67:$AQ$76&gt;$AO205))
) / 1000</f>
        <v>0</v>
      </c>
      <c r="BS205" s="232">
        <f t="shared" si="249"/>
        <v>25</v>
      </c>
      <c r="BT205" s="230">
        <f t="shared" si="411"/>
        <v>38</v>
      </c>
      <c r="BU205" s="235">
        <f t="shared" si="412"/>
        <v>3.792954545454545</v>
      </c>
      <c r="BV205" s="235" cm="1">
        <f t="array" ref="BV205">$BI205 * IF($AH205&lt;=2,
SUMPRODUCT(INDEX($AR$67:$AT$71,,$AI205), INDEX($AU$67:$BA$71,,$AH205), 1 / ($BB$67:$BB$71*BU205 + (1-$BB$67:$BB$71)*BQ205), N($AQ$67:$AQ$71&gt;$AO205)),
SUMPRODUCT(INDEX($AR$57:$AT$66,,$AI205), INDEX($AU$57:$BA$66,,$AH205), 1 / ($BC$57:$BC$66*BU205 + (1-$BC$57:$BC$66)*BQ205), N($AQ$57:$AQ$66&gt;$AO205))
) / 1000</f>
        <v>0</v>
      </c>
      <c r="BW205" s="232">
        <f t="shared" si="252"/>
        <v>20</v>
      </c>
      <c r="BX205" s="230">
        <f t="shared" si="413"/>
        <v>33</v>
      </c>
      <c r="BY205" s="235">
        <f t="shared" si="414"/>
        <v>4.4702678571428569</v>
      </c>
      <c r="BZ205" s="235" cm="1">
        <f t="array" ref="BZ205">$BI205 * IF($AH205&lt;=2,
SUMPRODUCT(INDEX($AR$62:$AT$66,,$AI205), INDEX($AU$62:$BA$66,,$AH205), 1 / ($BB$62:$BB$66*BY205 + (1-$BB$62:$BB$66)*BU205), N($AQ$62:$AQ$66&gt;$AO205)),
SUMPRODUCT(INDEX($AR$47:$AT$56,,$AI205), INDEX($AU$47:$BA$56,,$AH205), 1 / ($BC$47:$BC$56*BY205 + (1-$BC$47:$BC$56)*BU205), N($AQ$47:$AQ$56&gt;$AO205))
) / 1000</f>
        <v>0</v>
      </c>
      <c r="CA205" s="235" cm="1">
        <f t="array" ref="CA205">$BI205 * IF($AH205&lt;=2,
SUMPRODUCT(INDEX($AR$23:$AT$61,,$AI205), INDEX($AU$23:$BA$61,,$AH205), 1 / ($BB$23:$BB$61*BY205), N($AQ$23:$AQ$61&gt;$AO205)),
SUMPRODUCT(INDEX($AR$23:$AT$46,,$AI205), INDEX($AU$23:$BA$46,,$AH205), 1 / ($BC$23:$BC$46*BY205), N($AQ$23:$AQ$46&gt;$AO205))
) / 1000</f>
        <v>0</v>
      </c>
      <c r="CB205" s="230">
        <f t="shared" si="415"/>
        <v>0</v>
      </c>
      <c r="CC205" s="238"/>
      <c r="CD205" s="229" cm="1">
        <f t="array" ref="CD205">IF(ISBLANK(Y205), INDEX(Use, $AH205, 4) - AN205*INDEX(Use, $AH205, 6) - (Q205-X205), Y205)</f>
        <v>7</v>
      </c>
      <c r="CE205" s="229">
        <f t="shared" si="416"/>
        <v>32</v>
      </c>
      <c r="CF205" s="230">
        <f t="shared" si="417"/>
        <v>0</v>
      </c>
      <c r="CG205" s="229">
        <v>35</v>
      </c>
      <c r="CH205" s="230">
        <f t="shared" si="418"/>
        <v>48</v>
      </c>
      <c r="CI205" s="235">
        <f t="shared" si="419"/>
        <v>3.0748170731707316</v>
      </c>
      <c r="CJ205" s="235" cm="1">
        <f t="array" ref="CJ205">$BI205 * SUMPRODUCT(INDEX($AR$77:$AT$82,,$AI205),INDEX($AU$77:$BA$82,,$AH205), N($AQ$77:$AQ$82&gt;$AO205)) / CI205 / 1000</f>
        <v>0</v>
      </c>
      <c r="CK205" s="232">
        <f t="shared" si="260"/>
        <v>30</v>
      </c>
      <c r="CL205" s="230">
        <f t="shared" si="420"/>
        <v>43</v>
      </c>
      <c r="CM205" s="235">
        <f t="shared" si="421"/>
        <v>3.5018750000000001</v>
      </c>
      <c r="CN205" s="235" cm="1">
        <f t="array" ref="CN205">$BI205 * IF($AH205&lt;=2,
SUMPRODUCT(INDEX($AR$72:$AT$76,,$AI205), INDEX($AU$72:$BA$76,,$AH205), 1 / ($BB$72:$BB$76*CM205 + (1-$BB$72:$BB$76)*CI205), N($AQ$72:$AQ$76&gt;$AO205)),
SUMPRODUCT(INDEX($AR$67:$AT$76,,$AI205), INDEX($AU$67:$BA$76,,$AH205), 1 / ($BC$67:$BC$76*CM205 + (1-$BC$67:$BC$76)*CI205), N($AQ$67:$AQ$76&gt;$AO205))
) / 1000</f>
        <v>0</v>
      </c>
      <c r="CO205" s="232">
        <f t="shared" si="263"/>
        <v>25</v>
      </c>
      <c r="CP205" s="230">
        <f t="shared" si="422"/>
        <v>38</v>
      </c>
      <c r="CQ205" s="235">
        <f t="shared" si="423"/>
        <v>4.0666935483870965</v>
      </c>
      <c r="CR205" s="235" cm="1">
        <f t="array" ref="CR205">$BI205 * IF($AH205&lt;=2,
SUMPRODUCT(INDEX($AR$67:$AT$71,,$AI205), INDEX($AU$67:$BA$71,,$AH205), 1 / ($BB$67:$BB$71*CQ205 + (1-$BB$67:$BB$71)*CM205), N($AQ$67:$AQ$71&gt;$AO205)),
SUMPRODUCT(INDEX($AR$57:$AT$66,,$AI205), INDEX($AU$57:$BA$66,,$AH205), 1 / ($BC$57:$BC$66*CQ205 + (1-$BC$57:$BC$66)*CM205), N($AQ$57:$AQ$66&gt;$AO205))
) / 1000</f>
        <v>0</v>
      </c>
      <c r="CS205" s="232">
        <f t="shared" si="266"/>
        <v>20</v>
      </c>
      <c r="CT205" s="230">
        <f t="shared" si="424"/>
        <v>33</v>
      </c>
      <c r="CU205" s="235">
        <f t="shared" si="425"/>
        <v>4.8487499999999999</v>
      </c>
      <c r="CV205" s="235" cm="1">
        <f t="array" ref="CV205">$BI205 * IF($AH205&lt;=2,
SUMPRODUCT(INDEX($AR$62:$AT$66,,$AI205), INDEX($AU$62:$BA$66,,$AH205), 1 / ($BB$62:$BB$66*CU205 + (1-$BB$62:$BB$66)*CQ205), N($AQ$62:$AQ$66&gt;$AO205)),
SUMPRODUCT(INDEX($AR$47:$AT$56,,$AI205), INDEX($AU$47:$BA$56,,$AH205), 1 / ($BC$47:$BC$56*CU205 + (1-$BC$47:$BC$56)*CQ205), N($AQ$47:$AQ$56&gt;$AO205))
) / 1000</f>
        <v>0</v>
      </c>
      <c r="CW205" s="235" cm="1">
        <f t="array" ref="CW205">$BI205 * IF($AH205&lt;=2,
SUMPRODUCT(INDEX($AR$23:$AT$61,,$AI205), INDEX($AU$23:$BA$61,,$AH205), 1 / ($BB$23:$BB$61*CU205), N($AQ$23:$AQ$61&gt;$AO205)),
SUMPRODUCT(INDEX($AR$23:$AT$46,,$AI205), INDEX($AU$23:$BA$46,,$AH205), 1 / ($BC$23:$BC$46*CU205), N($AQ$23:$AQ$46&gt;$AO205))
) / 1000</f>
        <v>0</v>
      </c>
      <c r="CX205" s="230">
        <f t="shared" si="426"/>
        <v>0</v>
      </c>
      <c r="CY205" s="238"/>
    </row>
    <row r="206" spans="1:103" s="76" customFormat="1" ht="14.25" customHeight="1" x14ac:dyDescent="0.2">
      <c r="A206" s="231" t="b">
        <f t="shared" si="229"/>
        <v>0</v>
      </c>
      <c r="B206" s="245">
        <v>184</v>
      </c>
      <c r="C206" s="258"/>
      <c r="D206" s="258"/>
      <c r="E206" s="246"/>
      <c r="F206" s="247" t="str">
        <f>IF(ISBLANK(E206), "", VLOOKUP(E206, Z!$A$2:$C$4127, 3, FALSE))</f>
        <v/>
      </c>
      <c r="G206" s="248"/>
      <c r="H206" s="248"/>
      <c r="I206" s="249"/>
      <c r="J206" s="250"/>
      <c r="K206" s="259"/>
      <c r="L206" s="260"/>
      <c r="M206" s="252" t="str" cm="1">
        <f t="array" ref="M206">INDEX(Trad, 53, $A$20)</f>
        <v>Verschmutzt</v>
      </c>
      <c r="N206" s="253"/>
      <c r="O206" s="253"/>
      <c r="P206" s="254"/>
      <c r="Q206" s="251"/>
      <c r="R206" s="251"/>
      <c r="S206" s="264">
        <f t="shared" si="401"/>
        <v>0</v>
      </c>
      <c r="T206" s="252" t="str" cm="1">
        <f t="array" ref="T206">INDEX(Trad, 52, $A$20)</f>
        <v>Sauber</v>
      </c>
      <c r="U206" s="253"/>
      <c r="V206" s="253"/>
      <c r="W206" s="254"/>
      <c r="X206" s="251"/>
      <c r="Y206" s="251"/>
      <c r="Z206" s="264">
        <f t="shared" si="402"/>
        <v>0</v>
      </c>
      <c r="AA206" s="261"/>
      <c r="AB206" s="258"/>
      <c r="AC206" s="246"/>
      <c r="AD206" s="247" t="str">
        <f>IF(ISBLANK(AC206), "", VLOOKUP(AC206, Z!$A$2:$C$4127, 3, FALSE))</f>
        <v/>
      </c>
      <c r="AE206" s="262"/>
      <c r="AF206" s="263">
        <f t="shared" si="403"/>
        <v>0</v>
      </c>
      <c r="AG206" s="238"/>
      <c r="AH206" s="229">
        <f t="shared" si="427"/>
        <v>1</v>
      </c>
      <c r="AI206" s="229">
        <f t="shared" si="428"/>
        <v>1</v>
      </c>
      <c r="AJ206" s="229">
        <f t="shared" si="429"/>
        <v>0</v>
      </c>
      <c r="AK206" s="229">
        <v>0</v>
      </c>
      <c r="AL206" s="229">
        <v>0</v>
      </c>
      <c r="AM206" s="229">
        <v>1</v>
      </c>
      <c r="AN206" s="229">
        <v>0</v>
      </c>
      <c r="AO206" s="229">
        <f t="shared" si="404"/>
        <v>-100</v>
      </c>
      <c r="AP206" s="238"/>
      <c r="AQ206" s="255"/>
      <c r="AR206" s="255"/>
      <c r="AS206" s="256"/>
      <c r="AT206" s="256"/>
      <c r="AU206" s="256"/>
      <c r="AV206" s="256"/>
      <c r="AW206" s="256"/>
      <c r="AX206" s="256"/>
      <c r="AY206" s="256"/>
      <c r="AZ206" s="256"/>
      <c r="BA206" s="256"/>
      <c r="BB206" s="256"/>
      <c r="BC206" s="256"/>
      <c r="BD206" s="238"/>
      <c r="BE206" s="229" cm="1">
        <f t="array" ref="BE206">IF(ISBLANK(R206), INDEX(Use, $AH206, 4) - AM206*INDEX(Use, $AH206, 6), R206)</f>
        <v>5</v>
      </c>
      <c r="BF206" s="229">
        <f t="shared" si="405"/>
        <v>30</v>
      </c>
      <c r="BG206" s="229">
        <f t="shared" si="241"/>
        <v>13</v>
      </c>
      <c r="BH206" s="229">
        <f t="shared" si="242"/>
        <v>0</v>
      </c>
      <c r="BI206" s="234" cm="1">
        <f t="array" ref="BI206">K206/IF($L206&gt;0, INDEX($AU$23:$BA$77, $L206+20, $AH206), 1)</f>
        <v>0</v>
      </c>
      <c r="BJ206" s="230">
        <f t="shared" si="406"/>
        <v>0</v>
      </c>
      <c r="BK206" s="229">
        <v>35</v>
      </c>
      <c r="BL206" s="230">
        <f t="shared" si="407"/>
        <v>48</v>
      </c>
      <c r="BM206" s="235">
        <f t="shared" si="408"/>
        <v>2.9108720930232557</v>
      </c>
      <c r="BN206" s="235" cm="1">
        <f t="array" ref="BN206">$BI206 * SUMPRODUCT(INDEX($AR$77:$AT$82,,$AI206),INDEX($AU$77:$BA$82,,$AH206), N($AQ$77:$AQ$82&gt;$AO206)) / BM206 / 1000</f>
        <v>0</v>
      </c>
      <c r="BO206" s="232">
        <f t="shared" si="246"/>
        <v>30</v>
      </c>
      <c r="BP206" s="230">
        <f t="shared" si="409"/>
        <v>43</v>
      </c>
      <c r="BQ206" s="235">
        <f t="shared" si="410"/>
        <v>3.2938815789473681</v>
      </c>
      <c r="BR206" s="235" cm="1">
        <f t="array" ref="BR206">$BI206 * IF($AH206&lt;=2,
SUMPRODUCT(INDEX($AR$72:$AT$76,,$AI206), INDEX($AU$72:$BA$76,,$AH206), 1 / ($BB$72:$BB$76*BQ206 + (1-$BB$72:$BB$76)*BM206), N($AQ$72:$AQ$76&gt;$AO206)),
SUMPRODUCT(INDEX($AR$67:$AT$76,,$AI206), INDEX($AU$67:$BA$76,,$AH206), 1 / ($BC$67:$BC$76*BQ206 + (1-$BC$67:$BC$76)*BM206), N($AQ$67:$AQ$76&gt;$AO206))
) / 1000</f>
        <v>0</v>
      </c>
      <c r="BS206" s="232">
        <f t="shared" si="249"/>
        <v>25</v>
      </c>
      <c r="BT206" s="230">
        <f t="shared" si="411"/>
        <v>38</v>
      </c>
      <c r="BU206" s="235">
        <f t="shared" si="412"/>
        <v>3.792954545454545</v>
      </c>
      <c r="BV206" s="235" cm="1">
        <f t="array" ref="BV206">$BI206 * IF($AH206&lt;=2,
SUMPRODUCT(INDEX($AR$67:$AT$71,,$AI206), INDEX($AU$67:$BA$71,,$AH206), 1 / ($BB$67:$BB$71*BU206 + (1-$BB$67:$BB$71)*BQ206), N($AQ$67:$AQ$71&gt;$AO206)),
SUMPRODUCT(INDEX($AR$57:$AT$66,,$AI206), INDEX($AU$57:$BA$66,,$AH206), 1 / ($BC$57:$BC$66*BU206 + (1-$BC$57:$BC$66)*BQ206), N($AQ$57:$AQ$66&gt;$AO206))
) / 1000</f>
        <v>0</v>
      </c>
      <c r="BW206" s="232">
        <f t="shared" si="252"/>
        <v>20</v>
      </c>
      <c r="BX206" s="230">
        <f t="shared" si="413"/>
        <v>33</v>
      </c>
      <c r="BY206" s="235">
        <f t="shared" si="414"/>
        <v>4.4702678571428569</v>
      </c>
      <c r="BZ206" s="235" cm="1">
        <f t="array" ref="BZ206">$BI206 * IF($AH206&lt;=2,
SUMPRODUCT(INDEX($AR$62:$AT$66,,$AI206), INDEX($AU$62:$BA$66,,$AH206), 1 / ($BB$62:$BB$66*BY206 + (1-$BB$62:$BB$66)*BU206), N($AQ$62:$AQ$66&gt;$AO206)),
SUMPRODUCT(INDEX($AR$47:$AT$56,,$AI206), INDEX($AU$47:$BA$56,,$AH206), 1 / ($BC$47:$BC$56*BY206 + (1-$BC$47:$BC$56)*BU206), N($AQ$47:$AQ$56&gt;$AO206))
) / 1000</f>
        <v>0</v>
      </c>
      <c r="CA206" s="235" cm="1">
        <f t="array" ref="CA206">$BI206 * IF($AH206&lt;=2,
SUMPRODUCT(INDEX($AR$23:$AT$61,,$AI206), INDEX($AU$23:$BA$61,,$AH206), 1 / ($BB$23:$BB$61*BY206), N($AQ$23:$AQ$61&gt;$AO206)),
SUMPRODUCT(INDEX($AR$23:$AT$46,,$AI206), INDEX($AU$23:$BA$46,,$AH206), 1 / ($BC$23:$BC$46*BY206), N($AQ$23:$AQ$46&gt;$AO206))
) / 1000</f>
        <v>0</v>
      </c>
      <c r="CB206" s="230">
        <f t="shared" si="415"/>
        <v>0</v>
      </c>
      <c r="CC206" s="238"/>
      <c r="CD206" s="229" cm="1">
        <f t="array" ref="CD206">IF(ISBLANK(Y206), INDEX(Use, $AH206, 4) - AN206*INDEX(Use, $AH206, 6) - (Q206-X206), Y206)</f>
        <v>7</v>
      </c>
      <c r="CE206" s="229">
        <f t="shared" si="416"/>
        <v>32</v>
      </c>
      <c r="CF206" s="230">
        <f t="shared" si="417"/>
        <v>0</v>
      </c>
      <c r="CG206" s="229">
        <v>35</v>
      </c>
      <c r="CH206" s="230">
        <f t="shared" si="418"/>
        <v>48</v>
      </c>
      <c r="CI206" s="235">
        <f t="shared" si="419"/>
        <v>3.0748170731707316</v>
      </c>
      <c r="CJ206" s="235" cm="1">
        <f t="array" ref="CJ206">$BI206 * SUMPRODUCT(INDEX($AR$77:$AT$82,,$AI206),INDEX($AU$77:$BA$82,,$AH206), N($AQ$77:$AQ$82&gt;$AO206)) / CI206 / 1000</f>
        <v>0</v>
      </c>
      <c r="CK206" s="232">
        <f t="shared" si="260"/>
        <v>30</v>
      </c>
      <c r="CL206" s="230">
        <f t="shared" si="420"/>
        <v>43</v>
      </c>
      <c r="CM206" s="235">
        <f t="shared" si="421"/>
        <v>3.5018750000000001</v>
      </c>
      <c r="CN206" s="235" cm="1">
        <f t="array" ref="CN206">$BI206 * IF($AH206&lt;=2,
SUMPRODUCT(INDEX($AR$72:$AT$76,,$AI206), INDEX($AU$72:$BA$76,,$AH206), 1 / ($BB$72:$BB$76*CM206 + (1-$BB$72:$BB$76)*CI206), N($AQ$72:$AQ$76&gt;$AO206)),
SUMPRODUCT(INDEX($AR$67:$AT$76,,$AI206), INDEX($AU$67:$BA$76,,$AH206), 1 / ($BC$67:$BC$76*CM206 + (1-$BC$67:$BC$76)*CI206), N($AQ$67:$AQ$76&gt;$AO206))
) / 1000</f>
        <v>0</v>
      </c>
      <c r="CO206" s="232">
        <f t="shared" si="263"/>
        <v>25</v>
      </c>
      <c r="CP206" s="230">
        <f t="shared" si="422"/>
        <v>38</v>
      </c>
      <c r="CQ206" s="235">
        <f t="shared" si="423"/>
        <v>4.0666935483870965</v>
      </c>
      <c r="CR206" s="235" cm="1">
        <f t="array" ref="CR206">$BI206 * IF($AH206&lt;=2,
SUMPRODUCT(INDEX($AR$67:$AT$71,,$AI206), INDEX($AU$67:$BA$71,,$AH206), 1 / ($BB$67:$BB$71*CQ206 + (1-$BB$67:$BB$71)*CM206), N($AQ$67:$AQ$71&gt;$AO206)),
SUMPRODUCT(INDEX($AR$57:$AT$66,,$AI206), INDEX($AU$57:$BA$66,,$AH206), 1 / ($BC$57:$BC$66*CQ206 + (1-$BC$57:$BC$66)*CM206), N($AQ$57:$AQ$66&gt;$AO206))
) / 1000</f>
        <v>0</v>
      </c>
      <c r="CS206" s="232">
        <f t="shared" si="266"/>
        <v>20</v>
      </c>
      <c r="CT206" s="230">
        <f t="shared" si="424"/>
        <v>33</v>
      </c>
      <c r="CU206" s="235">
        <f t="shared" si="425"/>
        <v>4.8487499999999999</v>
      </c>
      <c r="CV206" s="235" cm="1">
        <f t="array" ref="CV206">$BI206 * IF($AH206&lt;=2,
SUMPRODUCT(INDEX($AR$62:$AT$66,,$AI206), INDEX($AU$62:$BA$66,,$AH206), 1 / ($BB$62:$BB$66*CU206 + (1-$BB$62:$BB$66)*CQ206), N($AQ$62:$AQ$66&gt;$AO206)),
SUMPRODUCT(INDEX($AR$47:$AT$56,,$AI206), INDEX($AU$47:$BA$56,,$AH206), 1 / ($BC$47:$BC$56*CU206 + (1-$BC$47:$BC$56)*CQ206), N($AQ$47:$AQ$56&gt;$AO206))
) / 1000</f>
        <v>0</v>
      </c>
      <c r="CW206" s="235" cm="1">
        <f t="array" ref="CW206">$BI206 * IF($AH206&lt;=2,
SUMPRODUCT(INDEX($AR$23:$AT$61,,$AI206), INDEX($AU$23:$BA$61,,$AH206), 1 / ($BB$23:$BB$61*CU206), N($AQ$23:$AQ$61&gt;$AO206)),
SUMPRODUCT(INDEX($AR$23:$AT$46,,$AI206), INDEX($AU$23:$BA$46,,$AH206), 1 / ($BC$23:$BC$46*CU206), N($AQ$23:$AQ$46&gt;$AO206))
) / 1000</f>
        <v>0</v>
      </c>
      <c r="CX206" s="230">
        <f t="shared" si="426"/>
        <v>0</v>
      </c>
      <c r="CY206" s="238"/>
    </row>
    <row r="207" spans="1:103" s="76" customFormat="1" ht="14.25" customHeight="1" x14ac:dyDescent="0.2">
      <c r="A207" s="231" t="b">
        <f t="shared" si="229"/>
        <v>0</v>
      </c>
      <c r="B207" s="245">
        <v>185</v>
      </c>
      <c r="C207" s="258"/>
      <c r="D207" s="258"/>
      <c r="E207" s="246"/>
      <c r="F207" s="247" t="str">
        <f>IF(ISBLANK(E207), "", VLOOKUP(E207, Z!$A$2:$C$4127, 3, FALSE))</f>
        <v/>
      </c>
      <c r="G207" s="248"/>
      <c r="H207" s="248"/>
      <c r="I207" s="249"/>
      <c r="J207" s="250"/>
      <c r="K207" s="259"/>
      <c r="L207" s="260"/>
      <c r="M207" s="252" t="str" cm="1">
        <f t="array" ref="M207">INDEX(Trad, 53, $A$20)</f>
        <v>Verschmutzt</v>
      </c>
      <c r="N207" s="253"/>
      <c r="O207" s="253"/>
      <c r="P207" s="254"/>
      <c r="Q207" s="251"/>
      <c r="R207" s="251"/>
      <c r="S207" s="264">
        <f t="shared" si="401"/>
        <v>0</v>
      </c>
      <c r="T207" s="252" t="str" cm="1">
        <f t="array" ref="T207">INDEX(Trad, 52, $A$20)</f>
        <v>Sauber</v>
      </c>
      <c r="U207" s="253"/>
      <c r="V207" s="253"/>
      <c r="W207" s="254"/>
      <c r="X207" s="251"/>
      <c r="Y207" s="251"/>
      <c r="Z207" s="264">
        <f t="shared" si="402"/>
        <v>0</v>
      </c>
      <c r="AA207" s="261"/>
      <c r="AB207" s="258"/>
      <c r="AC207" s="246"/>
      <c r="AD207" s="247" t="str">
        <f>IF(ISBLANK(AC207), "", VLOOKUP(AC207, Z!$A$2:$C$4127, 3, FALSE))</f>
        <v/>
      </c>
      <c r="AE207" s="262"/>
      <c r="AF207" s="263">
        <f t="shared" si="403"/>
        <v>0</v>
      </c>
      <c r="AG207" s="238"/>
      <c r="AH207" s="229">
        <f t="shared" si="427"/>
        <v>1</v>
      </c>
      <c r="AI207" s="229">
        <f t="shared" si="428"/>
        <v>1</v>
      </c>
      <c r="AJ207" s="229">
        <f t="shared" si="429"/>
        <v>0</v>
      </c>
      <c r="AK207" s="229">
        <v>0</v>
      </c>
      <c r="AL207" s="229">
        <v>0</v>
      </c>
      <c r="AM207" s="229">
        <v>1</v>
      </c>
      <c r="AN207" s="229">
        <v>0</v>
      </c>
      <c r="AO207" s="229">
        <f t="shared" si="404"/>
        <v>-100</v>
      </c>
      <c r="AP207" s="238"/>
      <c r="AQ207" s="255"/>
      <c r="AR207" s="255"/>
      <c r="AS207" s="256"/>
      <c r="AT207" s="256"/>
      <c r="AU207" s="256"/>
      <c r="AV207" s="256"/>
      <c r="AW207" s="256"/>
      <c r="AX207" s="256"/>
      <c r="AY207" s="256"/>
      <c r="AZ207" s="256"/>
      <c r="BA207" s="256"/>
      <c r="BB207" s="256"/>
      <c r="BC207" s="256"/>
      <c r="BD207" s="238"/>
      <c r="BE207" s="229" cm="1">
        <f t="array" ref="BE207">IF(ISBLANK(R207), INDEX(Use, $AH207, 4) - AM207*INDEX(Use, $AH207, 6), R207)</f>
        <v>5</v>
      </c>
      <c r="BF207" s="229">
        <f t="shared" si="405"/>
        <v>30</v>
      </c>
      <c r="BG207" s="229">
        <f t="shared" si="241"/>
        <v>13</v>
      </c>
      <c r="BH207" s="229">
        <f t="shared" si="242"/>
        <v>0</v>
      </c>
      <c r="BI207" s="234" cm="1">
        <f t="array" ref="BI207">K207/IF($L207&gt;0, INDEX($AU$23:$BA$77, $L207+20, $AH207), 1)</f>
        <v>0</v>
      </c>
      <c r="BJ207" s="230">
        <f t="shared" si="406"/>
        <v>0</v>
      </c>
      <c r="BK207" s="229">
        <v>35</v>
      </c>
      <c r="BL207" s="230">
        <f t="shared" si="407"/>
        <v>48</v>
      </c>
      <c r="BM207" s="235">
        <f t="shared" si="408"/>
        <v>2.9108720930232557</v>
      </c>
      <c r="BN207" s="235" cm="1">
        <f t="array" ref="BN207">$BI207 * SUMPRODUCT(INDEX($AR$77:$AT$82,,$AI207),INDEX($AU$77:$BA$82,,$AH207), N($AQ$77:$AQ$82&gt;$AO207)) / BM207 / 1000</f>
        <v>0</v>
      </c>
      <c r="BO207" s="232">
        <f t="shared" si="246"/>
        <v>30</v>
      </c>
      <c r="BP207" s="230">
        <f t="shared" si="409"/>
        <v>43</v>
      </c>
      <c r="BQ207" s="235">
        <f t="shared" si="410"/>
        <v>3.2938815789473681</v>
      </c>
      <c r="BR207" s="235" cm="1">
        <f t="array" ref="BR207">$BI207 * IF($AH207&lt;=2,
SUMPRODUCT(INDEX($AR$72:$AT$76,,$AI207), INDEX($AU$72:$BA$76,,$AH207), 1 / ($BB$72:$BB$76*BQ207 + (1-$BB$72:$BB$76)*BM207), N($AQ$72:$AQ$76&gt;$AO207)),
SUMPRODUCT(INDEX($AR$67:$AT$76,,$AI207), INDEX($AU$67:$BA$76,,$AH207), 1 / ($BC$67:$BC$76*BQ207 + (1-$BC$67:$BC$76)*BM207), N($AQ$67:$AQ$76&gt;$AO207))
) / 1000</f>
        <v>0</v>
      </c>
      <c r="BS207" s="232">
        <f t="shared" si="249"/>
        <v>25</v>
      </c>
      <c r="BT207" s="230">
        <f t="shared" si="411"/>
        <v>38</v>
      </c>
      <c r="BU207" s="235">
        <f t="shared" si="412"/>
        <v>3.792954545454545</v>
      </c>
      <c r="BV207" s="235" cm="1">
        <f t="array" ref="BV207">$BI207 * IF($AH207&lt;=2,
SUMPRODUCT(INDEX($AR$67:$AT$71,,$AI207), INDEX($AU$67:$BA$71,,$AH207), 1 / ($BB$67:$BB$71*BU207 + (1-$BB$67:$BB$71)*BQ207), N($AQ$67:$AQ$71&gt;$AO207)),
SUMPRODUCT(INDEX($AR$57:$AT$66,,$AI207), INDEX($AU$57:$BA$66,,$AH207), 1 / ($BC$57:$BC$66*BU207 + (1-$BC$57:$BC$66)*BQ207), N($AQ$57:$AQ$66&gt;$AO207))
) / 1000</f>
        <v>0</v>
      </c>
      <c r="BW207" s="232">
        <f t="shared" si="252"/>
        <v>20</v>
      </c>
      <c r="BX207" s="230">
        <f t="shared" si="413"/>
        <v>33</v>
      </c>
      <c r="BY207" s="235">
        <f t="shared" si="414"/>
        <v>4.4702678571428569</v>
      </c>
      <c r="BZ207" s="235" cm="1">
        <f t="array" ref="BZ207">$BI207 * IF($AH207&lt;=2,
SUMPRODUCT(INDEX($AR$62:$AT$66,,$AI207), INDEX($AU$62:$BA$66,,$AH207), 1 / ($BB$62:$BB$66*BY207 + (1-$BB$62:$BB$66)*BU207), N($AQ$62:$AQ$66&gt;$AO207)),
SUMPRODUCT(INDEX($AR$47:$AT$56,,$AI207), INDEX($AU$47:$BA$56,,$AH207), 1 / ($BC$47:$BC$56*BY207 + (1-$BC$47:$BC$56)*BU207), N($AQ$47:$AQ$56&gt;$AO207))
) / 1000</f>
        <v>0</v>
      </c>
      <c r="CA207" s="235" cm="1">
        <f t="array" ref="CA207">$BI207 * IF($AH207&lt;=2,
SUMPRODUCT(INDEX($AR$23:$AT$61,,$AI207), INDEX($AU$23:$BA$61,,$AH207), 1 / ($BB$23:$BB$61*BY207), N($AQ$23:$AQ$61&gt;$AO207)),
SUMPRODUCT(INDEX($AR$23:$AT$46,,$AI207), INDEX($AU$23:$BA$46,,$AH207), 1 / ($BC$23:$BC$46*BY207), N($AQ$23:$AQ$46&gt;$AO207))
) / 1000</f>
        <v>0</v>
      </c>
      <c r="CB207" s="230">
        <f t="shared" si="415"/>
        <v>0</v>
      </c>
      <c r="CC207" s="238"/>
      <c r="CD207" s="229" cm="1">
        <f t="array" ref="CD207">IF(ISBLANK(Y207), INDEX(Use, $AH207, 4) - AN207*INDEX(Use, $AH207, 6) - (Q207-X207), Y207)</f>
        <v>7</v>
      </c>
      <c r="CE207" s="229">
        <f t="shared" si="416"/>
        <v>32</v>
      </c>
      <c r="CF207" s="230">
        <f t="shared" si="417"/>
        <v>0</v>
      </c>
      <c r="CG207" s="229">
        <v>35</v>
      </c>
      <c r="CH207" s="230">
        <f t="shared" si="418"/>
        <v>48</v>
      </c>
      <c r="CI207" s="235">
        <f t="shared" si="419"/>
        <v>3.0748170731707316</v>
      </c>
      <c r="CJ207" s="235" cm="1">
        <f t="array" ref="CJ207">$BI207 * SUMPRODUCT(INDEX($AR$77:$AT$82,,$AI207),INDEX($AU$77:$BA$82,,$AH207), N($AQ$77:$AQ$82&gt;$AO207)) / CI207 / 1000</f>
        <v>0</v>
      </c>
      <c r="CK207" s="232">
        <f t="shared" si="260"/>
        <v>30</v>
      </c>
      <c r="CL207" s="230">
        <f t="shared" si="420"/>
        <v>43</v>
      </c>
      <c r="CM207" s="235">
        <f t="shared" si="421"/>
        <v>3.5018750000000001</v>
      </c>
      <c r="CN207" s="235" cm="1">
        <f t="array" ref="CN207">$BI207 * IF($AH207&lt;=2,
SUMPRODUCT(INDEX($AR$72:$AT$76,,$AI207), INDEX($AU$72:$BA$76,,$AH207), 1 / ($BB$72:$BB$76*CM207 + (1-$BB$72:$BB$76)*CI207), N($AQ$72:$AQ$76&gt;$AO207)),
SUMPRODUCT(INDEX($AR$67:$AT$76,,$AI207), INDEX($AU$67:$BA$76,,$AH207), 1 / ($BC$67:$BC$76*CM207 + (1-$BC$67:$BC$76)*CI207), N($AQ$67:$AQ$76&gt;$AO207))
) / 1000</f>
        <v>0</v>
      </c>
      <c r="CO207" s="232">
        <f t="shared" si="263"/>
        <v>25</v>
      </c>
      <c r="CP207" s="230">
        <f t="shared" si="422"/>
        <v>38</v>
      </c>
      <c r="CQ207" s="235">
        <f t="shared" si="423"/>
        <v>4.0666935483870965</v>
      </c>
      <c r="CR207" s="235" cm="1">
        <f t="array" ref="CR207">$BI207 * IF($AH207&lt;=2,
SUMPRODUCT(INDEX($AR$67:$AT$71,,$AI207), INDEX($AU$67:$BA$71,,$AH207), 1 / ($BB$67:$BB$71*CQ207 + (1-$BB$67:$BB$71)*CM207), N($AQ$67:$AQ$71&gt;$AO207)),
SUMPRODUCT(INDEX($AR$57:$AT$66,,$AI207), INDEX($AU$57:$BA$66,,$AH207), 1 / ($BC$57:$BC$66*CQ207 + (1-$BC$57:$BC$66)*CM207), N($AQ$57:$AQ$66&gt;$AO207))
) / 1000</f>
        <v>0</v>
      </c>
      <c r="CS207" s="232">
        <f t="shared" si="266"/>
        <v>20</v>
      </c>
      <c r="CT207" s="230">
        <f t="shared" si="424"/>
        <v>33</v>
      </c>
      <c r="CU207" s="235">
        <f t="shared" si="425"/>
        <v>4.8487499999999999</v>
      </c>
      <c r="CV207" s="235" cm="1">
        <f t="array" ref="CV207">$BI207 * IF($AH207&lt;=2,
SUMPRODUCT(INDEX($AR$62:$AT$66,,$AI207), INDEX($AU$62:$BA$66,,$AH207), 1 / ($BB$62:$BB$66*CU207 + (1-$BB$62:$BB$66)*CQ207), N($AQ$62:$AQ$66&gt;$AO207)),
SUMPRODUCT(INDEX($AR$47:$AT$56,,$AI207), INDEX($AU$47:$BA$56,,$AH207), 1 / ($BC$47:$BC$56*CU207 + (1-$BC$47:$BC$56)*CQ207), N($AQ$47:$AQ$56&gt;$AO207))
) / 1000</f>
        <v>0</v>
      </c>
      <c r="CW207" s="235" cm="1">
        <f t="array" ref="CW207">$BI207 * IF($AH207&lt;=2,
SUMPRODUCT(INDEX($AR$23:$AT$61,,$AI207), INDEX($AU$23:$BA$61,,$AH207), 1 / ($BB$23:$BB$61*CU207), N($AQ$23:$AQ$61&gt;$AO207)),
SUMPRODUCT(INDEX($AR$23:$AT$46,,$AI207), INDEX($AU$23:$BA$46,,$AH207), 1 / ($BC$23:$BC$46*CU207), N($AQ$23:$AQ$46&gt;$AO207))
) / 1000</f>
        <v>0</v>
      </c>
      <c r="CX207" s="230">
        <f t="shared" si="426"/>
        <v>0</v>
      </c>
      <c r="CY207" s="238"/>
    </row>
    <row r="208" spans="1:103" s="76" customFormat="1" ht="14.25" customHeight="1" x14ac:dyDescent="0.2">
      <c r="A208" s="231" t="b">
        <f t="shared" si="229"/>
        <v>0</v>
      </c>
      <c r="B208" s="245">
        <v>186</v>
      </c>
      <c r="C208" s="258"/>
      <c r="D208" s="258"/>
      <c r="E208" s="246"/>
      <c r="F208" s="247" t="str">
        <f>IF(ISBLANK(E208), "", VLOOKUP(E208, Z!$A$2:$C$4127, 3, FALSE))</f>
        <v/>
      </c>
      <c r="G208" s="248"/>
      <c r="H208" s="248"/>
      <c r="I208" s="249"/>
      <c r="J208" s="250"/>
      <c r="K208" s="259"/>
      <c r="L208" s="260"/>
      <c r="M208" s="252" t="str" cm="1">
        <f t="array" ref="M208">INDEX(Trad, 53, $A$20)</f>
        <v>Verschmutzt</v>
      </c>
      <c r="N208" s="253"/>
      <c r="O208" s="253"/>
      <c r="P208" s="254"/>
      <c r="Q208" s="251"/>
      <c r="R208" s="251"/>
      <c r="S208" s="264">
        <f t="shared" si="401"/>
        <v>0</v>
      </c>
      <c r="T208" s="252" t="str" cm="1">
        <f t="array" ref="T208">INDEX(Trad, 52, $A$20)</f>
        <v>Sauber</v>
      </c>
      <c r="U208" s="253"/>
      <c r="V208" s="253"/>
      <c r="W208" s="254"/>
      <c r="X208" s="251"/>
      <c r="Y208" s="251"/>
      <c r="Z208" s="264">
        <f t="shared" si="402"/>
        <v>0</v>
      </c>
      <c r="AA208" s="261"/>
      <c r="AB208" s="258"/>
      <c r="AC208" s="246"/>
      <c r="AD208" s="247" t="str">
        <f>IF(ISBLANK(AC208), "", VLOOKUP(AC208, Z!$A$2:$C$4127, 3, FALSE))</f>
        <v/>
      </c>
      <c r="AE208" s="262"/>
      <c r="AF208" s="263">
        <f t="shared" si="403"/>
        <v>0</v>
      </c>
      <c r="AG208" s="238"/>
      <c r="AH208" s="229">
        <f t="shared" si="427"/>
        <v>1</v>
      </c>
      <c r="AI208" s="229">
        <f t="shared" si="428"/>
        <v>1</v>
      </c>
      <c r="AJ208" s="229">
        <f t="shared" si="429"/>
        <v>0</v>
      </c>
      <c r="AK208" s="229">
        <v>0</v>
      </c>
      <c r="AL208" s="229">
        <v>0</v>
      </c>
      <c r="AM208" s="229">
        <v>1</v>
      </c>
      <c r="AN208" s="229">
        <v>0</v>
      </c>
      <c r="AO208" s="229">
        <f t="shared" si="404"/>
        <v>-100</v>
      </c>
      <c r="AP208" s="238"/>
      <c r="AQ208" s="255"/>
      <c r="AR208" s="255"/>
      <c r="AS208" s="256"/>
      <c r="AT208" s="256"/>
      <c r="AU208" s="256"/>
      <c r="AV208" s="256"/>
      <c r="AW208" s="256"/>
      <c r="AX208" s="256"/>
      <c r="AY208" s="256"/>
      <c r="AZ208" s="256"/>
      <c r="BA208" s="256"/>
      <c r="BB208" s="256"/>
      <c r="BC208" s="256"/>
      <c r="BD208" s="238"/>
      <c r="BE208" s="229" cm="1">
        <f t="array" ref="BE208">IF(ISBLANK(R208), INDEX(Use, $AH208, 4) - AM208*INDEX(Use, $AH208, 6), R208)</f>
        <v>5</v>
      </c>
      <c r="BF208" s="229">
        <f t="shared" si="405"/>
        <v>30</v>
      </c>
      <c r="BG208" s="229">
        <f t="shared" si="241"/>
        <v>13</v>
      </c>
      <c r="BH208" s="229">
        <f t="shared" si="242"/>
        <v>0</v>
      </c>
      <c r="BI208" s="234" cm="1">
        <f t="array" ref="BI208">K208/IF($L208&gt;0, INDEX($AU$23:$BA$77, $L208+20, $AH208), 1)</f>
        <v>0</v>
      </c>
      <c r="BJ208" s="230">
        <f t="shared" si="406"/>
        <v>0</v>
      </c>
      <c r="BK208" s="229">
        <v>35</v>
      </c>
      <c r="BL208" s="230">
        <f t="shared" si="407"/>
        <v>48</v>
      </c>
      <c r="BM208" s="235">
        <f t="shared" si="408"/>
        <v>2.9108720930232557</v>
      </c>
      <c r="BN208" s="235" cm="1">
        <f t="array" ref="BN208">$BI208 * SUMPRODUCT(INDEX($AR$77:$AT$82,,$AI208),INDEX($AU$77:$BA$82,,$AH208), N($AQ$77:$AQ$82&gt;$AO208)) / BM208 / 1000</f>
        <v>0</v>
      </c>
      <c r="BO208" s="232">
        <f t="shared" si="246"/>
        <v>30</v>
      </c>
      <c r="BP208" s="230">
        <f t="shared" si="409"/>
        <v>43</v>
      </c>
      <c r="BQ208" s="235">
        <f t="shared" si="410"/>
        <v>3.2938815789473681</v>
      </c>
      <c r="BR208" s="235" cm="1">
        <f t="array" ref="BR208">$BI208 * IF($AH208&lt;=2,
SUMPRODUCT(INDEX($AR$72:$AT$76,,$AI208), INDEX($AU$72:$BA$76,,$AH208), 1 / ($BB$72:$BB$76*BQ208 + (1-$BB$72:$BB$76)*BM208), N($AQ$72:$AQ$76&gt;$AO208)),
SUMPRODUCT(INDEX($AR$67:$AT$76,,$AI208), INDEX($AU$67:$BA$76,,$AH208), 1 / ($BC$67:$BC$76*BQ208 + (1-$BC$67:$BC$76)*BM208), N($AQ$67:$AQ$76&gt;$AO208))
) / 1000</f>
        <v>0</v>
      </c>
      <c r="BS208" s="232">
        <f t="shared" si="249"/>
        <v>25</v>
      </c>
      <c r="BT208" s="230">
        <f t="shared" si="411"/>
        <v>38</v>
      </c>
      <c r="BU208" s="235">
        <f t="shared" si="412"/>
        <v>3.792954545454545</v>
      </c>
      <c r="BV208" s="235" cm="1">
        <f t="array" ref="BV208">$BI208 * IF($AH208&lt;=2,
SUMPRODUCT(INDEX($AR$67:$AT$71,,$AI208), INDEX($AU$67:$BA$71,,$AH208), 1 / ($BB$67:$BB$71*BU208 + (1-$BB$67:$BB$71)*BQ208), N($AQ$67:$AQ$71&gt;$AO208)),
SUMPRODUCT(INDEX($AR$57:$AT$66,,$AI208), INDEX($AU$57:$BA$66,,$AH208), 1 / ($BC$57:$BC$66*BU208 + (1-$BC$57:$BC$66)*BQ208), N($AQ$57:$AQ$66&gt;$AO208))
) / 1000</f>
        <v>0</v>
      </c>
      <c r="BW208" s="232">
        <f t="shared" si="252"/>
        <v>20</v>
      </c>
      <c r="BX208" s="230">
        <f t="shared" si="413"/>
        <v>33</v>
      </c>
      <c r="BY208" s="235">
        <f t="shared" si="414"/>
        <v>4.4702678571428569</v>
      </c>
      <c r="BZ208" s="235" cm="1">
        <f t="array" ref="BZ208">$BI208 * IF($AH208&lt;=2,
SUMPRODUCT(INDEX($AR$62:$AT$66,,$AI208), INDEX($AU$62:$BA$66,,$AH208), 1 / ($BB$62:$BB$66*BY208 + (1-$BB$62:$BB$66)*BU208), N($AQ$62:$AQ$66&gt;$AO208)),
SUMPRODUCT(INDEX($AR$47:$AT$56,,$AI208), INDEX($AU$47:$BA$56,,$AH208), 1 / ($BC$47:$BC$56*BY208 + (1-$BC$47:$BC$56)*BU208), N($AQ$47:$AQ$56&gt;$AO208))
) / 1000</f>
        <v>0</v>
      </c>
      <c r="CA208" s="235" cm="1">
        <f t="array" ref="CA208">$BI208 * IF($AH208&lt;=2,
SUMPRODUCT(INDEX($AR$23:$AT$61,,$AI208), INDEX($AU$23:$BA$61,,$AH208), 1 / ($BB$23:$BB$61*BY208), N($AQ$23:$AQ$61&gt;$AO208)),
SUMPRODUCT(INDEX($AR$23:$AT$46,,$AI208), INDEX($AU$23:$BA$46,,$AH208), 1 / ($BC$23:$BC$46*BY208), N($AQ$23:$AQ$46&gt;$AO208))
) / 1000</f>
        <v>0</v>
      </c>
      <c r="CB208" s="230">
        <f t="shared" si="415"/>
        <v>0</v>
      </c>
      <c r="CC208" s="238"/>
      <c r="CD208" s="229" cm="1">
        <f t="array" ref="CD208">IF(ISBLANK(Y208), INDEX(Use, $AH208, 4) - AN208*INDEX(Use, $AH208, 6) - (Q208-X208), Y208)</f>
        <v>7</v>
      </c>
      <c r="CE208" s="229">
        <f t="shared" si="416"/>
        <v>32</v>
      </c>
      <c r="CF208" s="230">
        <f t="shared" si="417"/>
        <v>0</v>
      </c>
      <c r="CG208" s="229">
        <v>35</v>
      </c>
      <c r="CH208" s="230">
        <f t="shared" si="418"/>
        <v>48</v>
      </c>
      <c r="CI208" s="235">
        <f t="shared" si="419"/>
        <v>3.0748170731707316</v>
      </c>
      <c r="CJ208" s="235" cm="1">
        <f t="array" ref="CJ208">$BI208 * SUMPRODUCT(INDEX($AR$77:$AT$82,,$AI208),INDEX($AU$77:$BA$82,,$AH208), N($AQ$77:$AQ$82&gt;$AO208)) / CI208 / 1000</f>
        <v>0</v>
      </c>
      <c r="CK208" s="232">
        <f t="shared" si="260"/>
        <v>30</v>
      </c>
      <c r="CL208" s="230">
        <f t="shared" si="420"/>
        <v>43</v>
      </c>
      <c r="CM208" s="235">
        <f t="shared" si="421"/>
        <v>3.5018750000000001</v>
      </c>
      <c r="CN208" s="235" cm="1">
        <f t="array" ref="CN208">$BI208 * IF($AH208&lt;=2,
SUMPRODUCT(INDEX($AR$72:$AT$76,,$AI208), INDEX($AU$72:$BA$76,,$AH208), 1 / ($BB$72:$BB$76*CM208 + (1-$BB$72:$BB$76)*CI208), N($AQ$72:$AQ$76&gt;$AO208)),
SUMPRODUCT(INDEX($AR$67:$AT$76,,$AI208), INDEX($AU$67:$BA$76,,$AH208), 1 / ($BC$67:$BC$76*CM208 + (1-$BC$67:$BC$76)*CI208), N($AQ$67:$AQ$76&gt;$AO208))
) / 1000</f>
        <v>0</v>
      </c>
      <c r="CO208" s="232">
        <f t="shared" si="263"/>
        <v>25</v>
      </c>
      <c r="CP208" s="230">
        <f t="shared" si="422"/>
        <v>38</v>
      </c>
      <c r="CQ208" s="235">
        <f t="shared" si="423"/>
        <v>4.0666935483870965</v>
      </c>
      <c r="CR208" s="235" cm="1">
        <f t="array" ref="CR208">$BI208 * IF($AH208&lt;=2,
SUMPRODUCT(INDEX($AR$67:$AT$71,,$AI208), INDEX($AU$67:$BA$71,,$AH208), 1 / ($BB$67:$BB$71*CQ208 + (1-$BB$67:$BB$71)*CM208), N($AQ$67:$AQ$71&gt;$AO208)),
SUMPRODUCT(INDEX($AR$57:$AT$66,,$AI208), INDEX($AU$57:$BA$66,,$AH208), 1 / ($BC$57:$BC$66*CQ208 + (1-$BC$57:$BC$66)*CM208), N($AQ$57:$AQ$66&gt;$AO208))
) / 1000</f>
        <v>0</v>
      </c>
      <c r="CS208" s="232">
        <f t="shared" si="266"/>
        <v>20</v>
      </c>
      <c r="CT208" s="230">
        <f t="shared" si="424"/>
        <v>33</v>
      </c>
      <c r="CU208" s="235">
        <f t="shared" si="425"/>
        <v>4.8487499999999999</v>
      </c>
      <c r="CV208" s="235" cm="1">
        <f t="array" ref="CV208">$BI208 * IF($AH208&lt;=2,
SUMPRODUCT(INDEX($AR$62:$AT$66,,$AI208), INDEX($AU$62:$BA$66,,$AH208), 1 / ($BB$62:$BB$66*CU208 + (1-$BB$62:$BB$66)*CQ208), N($AQ$62:$AQ$66&gt;$AO208)),
SUMPRODUCT(INDEX($AR$47:$AT$56,,$AI208), INDEX($AU$47:$BA$56,,$AH208), 1 / ($BC$47:$BC$56*CU208 + (1-$BC$47:$BC$56)*CQ208), N($AQ$47:$AQ$56&gt;$AO208))
) / 1000</f>
        <v>0</v>
      </c>
      <c r="CW208" s="235" cm="1">
        <f t="array" ref="CW208">$BI208 * IF($AH208&lt;=2,
SUMPRODUCT(INDEX($AR$23:$AT$61,,$AI208), INDEX($AU$23:$BA$61,,$AH208), 1 / ($BB$23:$BB$61*CU208), N($AQ$23:$AQ$61&gt;$AO208)),
SUMPRODUCT(INDEX($AR$23:$AT$46,,$AI208), INDEX($AU$23:$BA$46,,$AH208), 1 / ($BC$23:$BC$46*CU208), N($AQ$23:$AQ$46&gt;$AO208))
) / 1000</f>
        <v>0</v>
      </c>
      <c r="CX208" s="230">
        <f t="shared" si="426"/>
        <v>0</v>
      </c>
      <c r="CY208" s="238"/>
    </row>
    <row r="209" spans="1:103" s="76" customFormat="1" ht="14.25" customHeight="1" x14ac:dyDescent="0.2">
      <c r="A209" s="231" t="b">
        <f t="shared" si="229"/>
        <v>0</v>
      </c>
      <c r="B209" s="245">
        <v>187</v>
      </c>
      <c r="C209" s="258"/>
      <c r="D209" s="258"/>
      <c r="E209" s="246"/>
      <c r="F209" s="247" t="str">
        <f>IF(ISBLANK(E209), "", VLOOKUP(E209, Z!$A$2:$C$4127, 3, FALSE))</f>
        <v/>
      </c>
      <c r="G209" s="248"/>
      <c r="H209" s="248"/>
      <c r="I209" s="249"/>
      <c r="J209" s="250"/>
      <c r="K209" s="259"/>
      <c r="L209" s="260"/>
      <c r="M209" s="252" t="str" cm="1">
        <f t="array" ref="M209">INDEX(Trad, 53, $A$20)</f>
        <v>Verschmutzt</v>
      </c>
      <c r="N209" s="253"/>
      <c r="O209" s="253"/>
      <c r="P209" s="254"/>
      <c r="Q209" s="251"/>
      <c r="R209" s="251"/>
      <c r="S209" s="264">
        <f t="shared" si="401"/>
        <v>0</v>
      </c>
      <c r="T209" s="252" t="str" cm="1">
        <f t="array" ref="T209">INDEX(Trad, 52, $A$20)</f>
        <v>Sauber</v>
      </c>
      <c r="U209" s="253"/>
      <c r="V209" s="253"/>
      <c r="W209" s="254"/>
      <c r="X209" s="251"/>
      <c r="Y209" s="251"/>
      <c r="Z209" s="264">
        <f t="shared" si="402"/>
        <v>0</v>
      </c>
      <c r="AA209" s="261"/>
      <c r="AB209" s="258"/>
      <c r="AC209" s="246"/>
      <c r="AD209" s="247" t="str">
        <f>IF(ISBLANK(AC209), "", VLOOKUP(AC209, Z!$A$2:$C$4127, 3, FALSE))</f>
        <v/>
      </c>
      <c r="AE209" s="262"/>
      <c r="AF209" s="263">
        <f t="shared" si="403"/>
        <v>0</v>
      </c>
      <c r="AG209" s="238"/>
      <c r="AH209" s="229">
        <f t="shared" si="427"/>
        <v>1</v>
      </c>
      <c r="AI209" s="229">
        <f t="shared" si="428"/>
        <v>1</v>
      </c>
      <c r="AJ209" s="229">
        <f t="shared" si="429"/>
        <v>0</v>
      </c>
      <c r="AK209" s="229">
        <v>0</v>
      </c>
      <c r="AL209" s="229">
        <v>0</v>
      </c>
      <c r="AM209" s="229">
        <v>1</v>
      </c>
      <c r="AN209" s="229">
        <v>0</v>
      </c>
      <c r="AO209" s="229">
        <f t="shared" si="404"/>
        <v>-100</v>
      </c>
      <c r="AP209" s="238"/>
      <c r="AQ209" s="255"/>
      <c r="AR209" s="255"/>
      <c r="AS209" s="256"/>
      <c r="AT209" s="256"/>
      <c r="AU209" s="256"/>
      <c r="AV209" s="256"/>
      <c r="AW209" s="256"/>
      <c r="AX209" s="256"/>
      <c r="AY209" s="256"/>
      <c r="AZ209" s="256"/>
      <c r="BA209" s="256"/>
      <c r="BB209" s="256"/>
      <c r="BC209" s="256"/>
      <c r="BD209" s="238"/>
      <c r="BE209" s="229" cm="1">
        <f t="array" ref="BE209">IF(ISBLANK(R209), INDEX(Use, $AH209, 4) - AM209*INDEX(Use, $AH209, 6), R209)</f>
        <v>5</v>
      </c>
      <c r="BF209" s="229">
        <f t="shared" si="405"/>
        <v>30</v>
      </c>
      <c r="BG209" s="229">
        <f t="shared" si="241"/>
        <v>13</v>
      </c>
      <c r="BH209" s="229">
        <f t="shared" si="242"/>
        <v>0</v>
      </c>
      <c r="BI209" s="234" cm="1">
        <f t="array" ref="BI209">K209/IF($L209&gt;0, INDEX($AU$23:$BA$77, $L209+20, $AH209), 1)</f>
        <v>0</v>
      </c>
      <c r="BJ209" s="230">
        <f t="shared" si="406"/>
        <v>0</v>
      </c>
      <c r="BK209" s="229">
        <v>35</v>
      </c>
      <c r="BL209" s="230">
        <f t="shared" si="407"/>
        <v>48</v>
      </c>
      <c r="BM209" s="235">
        <f t="shared" si="408"/>
        <v>2.9108720930232557</v>
      </c>
      <c r="BN209" s="235" cm="1">
        <f t="array" ref="BN209">$BI209 * SUMPRODUCT(INDEX($AR$77:$AT$82,,$AI209),INDEX($AU$77:$BA$82,,$AH209), N($AQ$77:$AQ$82&gt;$AO209)) / BM209 / 1000</f>
        <v>0</v>
      </c>
      <c r="BO209" s="232">
        <f t="shared" si="246"/>
        <v>30</v>
      </c>
      <c r="BP209" s="230">
        <f t="shared" si="409"/>
        <v>43</v>
      </c>
      <c r="BQ209" s="235">
        <f t="shared" si="410"/>
        <v>3.2938815789473681</v>
      </c>
      <c r="BR209" s="235" cm="1">
        <f t="array" ref="BR209">$BI209 * IF($AH209&lt;=2,
SUMPRODUCT(INDEX($AR$72:$AT$76,,$AI209), INDEX($AU$72:$BA$76,,$AH209), 1 / ($BB$72:$BB$76*BQ209 + (1-$BB$72:$BB$76)*BM209), N($AQ$72:$AQ$76&gt;$AO209)),
SUMPRODUCT(INDEX($AR$67:$AT$76,,$AI209), INDEX($AU$67:$BA$76,,$AH209), 1 / ($BC$67:$BC$76*BQ209 + (1-$BC$67:$BC$76)*BM209), N($AQ$67:$AQ$76&gt;$AO209))
) / 1000</f>
        <v>0</v>
      </c>
      <c r="BS209" s="232">
        <f t="shared" si="249"/>
        <v>25</v>
      </c>
      <c r="BT209" s="230">
        <f t="shared" si="411"/>
        <v>38</v>
      </c>
      <c r="BU209" s="235">
        <f t="shared" si="412"/>
        <v>3.792954545454545</v>
      </c>
      <c r="BV209" s="235" cm="1">
        <f t="array" ref="BV209">$BI209 * IF($AH209&lt;=2,
SUMPRODUCT(INDEX($AR$67:$AT$71,,$AI209), INDEX($AU$67:$BA$71,,$AH209), 1 / ($BB$67:$BB$71*BU209 + (1-$BB$67:$BB$71)*BQ209), N($AQ$67:$AQ$71&gt;$AO209)),
SUMPRODUCT(INDEX($AR$57:$AT$66,,$AI209), INDEX($AU$57:$BA$66,,$AH209), 1 / ($BC$57:$BC$66*BU209 + (1-$BC$57:$BC$66)*BQ209), N($AQ$57:$AQ$66&gt;$AO209))
) / 1000</f>
        <v>0</v>
      </c>
      <c r="BW209" s="232">
        <f t="shared" si="252"/>
        <v>20</v>
      </c>
      <c r="BX209" s="230">
        <f t="shared" si="413"/>
        <v>33</v>
      </c>
      <c r="BY209" s="235">
        <f t="shared" si="414"/>
        <v>4.4702678571428569</v>
      </c>
      <c r="BZ209" s="235" cm="1">
        <f t="array" ref="BZ209">$BI209 * IF($AH209&lt;=2,
SUMPRODUCT(INDEX($AR$62:$AT$66,,$AI209), INDEX($AU$62:$BA$66,,$AH209), 1 / ($BB$62:$BB$66*BY209 + (1-$BB$62:$BB$66)*BU209), N($AQ$62:$AQ$66&gt;$AO209)),
SUMPRODUCT(INDEX($AR$47:$AT$56,,$AI209), INDEX($AU$47:$BA$56,,$AH209), 1 / ($BC$47:$BC$56*BY209 + (1-$BC$47:$BC$56)*BU209), N($AQ$47:$AQ$56&gt;$AO209))
) / 1000</f>
        <v>0</v>
      </c>
      <c r="CA209" s="235" cm="1">
        <f t="array" ref="CA209">$BI209 * IF($AH209&lt;=2,
SUMPRODUCT(INDEX($AR$23:$AT$61,,$AI209), INDEX($AU$23:$BA$61,,$AH209), 1 / ($BB$23:$BB$61*BY209), N($AQ$23:$AQ$61&gt;$AO209)),
SUMPRODUCT(INDEX($AR$23:$AT$46,,$AI209), INDEX($AU$23:$BA$46,,$AH209), 1 / ($BC$23:$BC$46*BY209), N($AQ$23:$AQ$46&gt;$AO209))
) / 1000</f>
        <v>0</v>
      </c>
      <c r="CB209" s="230">
        <f t="shared" si="415"/>
        <v>0</v>
      </c>
      <c r="CC209" s="238"/>
      <c r="CD209" s="229" cm="1">
        <f t="array" ref="CD209">IF(ISBLANK(Y209), INDEX(Use, $AH209, 4) - AN209*INDEX(Use, $AH209, 6) - (Q209-X209), Y209)</f>
        <v>7</v>
      </c>
      <c r="CE209" s="229">
        <f t="shared" si="416"/>
        <v>32</v>
      </c>
      <c r="CF209" s="230">
        <f t="shared" si="417"/>
        <v>0</v>
      </c>
      <c r="CG209" s="229">
        <v>35</v>
      </c>
      <c r="CH209" s="230">
        <f t="shared" si="418"/>
        <v>48</v>
      </c>
      <c r="CI209" s="235">
        <f t="shared" si="419"/>
        <v>3.0748170731707316</v>
      </c>
      <c r="CJ209" s="235" cm="1">
        <f t="array" ref="CJ209">$BI209 * SUMPRODUCT(INDEX($AR$77:$AT$82,,$AI209),INDEX($AU$77:$BA$82,,$AH209), N($AQ$77:$AQ$82&gt;$AO209)) / CI209 / 1000</f>
        <v>0</v>
      </c>
      <c r="CK209" s="232">
        <f t="shared" si="260"/>
        <v>30</v>
      </c>
      <c r="CL209" s="230">
        <f t="shared" si="420"/>
        <v>43</v>
      </c>
      <c r="CM209" s="235">
        <f t="shared" si="421"/>
        <v>3.5018750000000001</v>
      </c>
      <c r="CN209" s="235" cm="1">
        <f t="array" ref="CN209">$BI209 * IF($AH209&lt;=2,
SUMPRODUCT(INDEX($AR$72:$AT$76,,$AI209), INDEX($AU$72:$BA$76,,$AH209), 1 / ($BB$72:$BB$76*CM209 + (1-$BB$72:$BB$76)*CI209), N($AQ$72:$AQ$76&gt;$AO209)),
SUMPRODUCT(INDEX($AR$67:$AT$76,,$AI209), INDEX($AU$67:$BA$76,,$AH209), 1 / ($BC$67:$BC$76*CM209 + (1-$BC$67:$BC$76)*CI209), N($AQ$67:$AQ$76&gt;$AO209))
) / 1000</f>
        <v>0</v>
      </c>
      <c r="CO209" s="232">
        <f t="shared" si="263"/>
        <v>25</v>
      </c>
      <c r="CP209" s="230">
        <f t="shared" si="422"/>
        <v>38</v>
      </c>
      <c r="CQ209" s="235">
        <f t="shared" si="423"/>
        <v>4.0666935483870965</v>
      </c>
      <c r="CR209" s="235" cm="1">
        <f t="array" ref="CR209">$BI209 * IF($AH209&lt;=2,
SUMPRODUCT(INDEX($AR$67:$AT$71,,$AI209), INDEX($AU$67:$BA$71,,$AH209), 1 / ($BB$67:$BB$71*CQ209 + (1-$BB$67:$BB$71)*CM209), N($AQ$67:$AQ$71&gt;$AO209)),
SUMPRODUCT(INDEX($AR$57:$AT$66,,$AI209), INDEX($AU$57:$BA$66,,$AH209), 1 / ($BC$57:$BC$66*CQ209 + (1-$BC$57:$BC$66)*CM209), N($AQ$57:$AQ$66&gt;$AO209))
) / 1000</f>
        <v>0</v>
      </c>
      <c r="CS209" s="232">
        <f t="shared" si="266"/>
        <v>20</v>
      </c>
      <c r="CT209" s="230">
        <f t="shared" si="424"/>
        <v>33</v>
      </c>
      <c r="CU209" s="235">
        <f t="shared" si="425"/>
        <v>4.8487499999999999</v>
      </c>
      <c r="CV209" s="235" cm="1">
        <f t="array" ref="CV209">$BI209 * IF($AH209&lt;=2,
SUMPRODUCT(INDEX($AR$62:$AT$66,,$AI209), INDEX($AU$62:$BA$66,,$AH209), 1 / ($BB$62:$BB$66*CU209 + (1-$BB$62:$BB$66)*CQ209), N($AQ$62:$AQ$66&gt;$AO209)),
SUMPRODUCT(INDEX($AR$47:$AT$56,,$AI209), INDEX($AU$47:$BA$56,,$AH209), 1 / ($BC$47:$BC$56*CU209 + (1-$BC$47:$BC$56)*CQ209), N($AQ$47:$AQ$56&gt;$AO209))
) / 1000</f>
        <v>0</v>
      </c>
      <c r="CW209" s="235" cm="1">
        <f t="array" ref="CW209">$BI209 * IF($AH209&lt;=2,
SUMPRODUCT(INDEX($AR$23:$AT$61,,$AI209), INDEX($AU$23:$BA$61,,$AH209), 1 / ($BB$23:$BB$61*CU209), N($AQ$23:$AQ$61&gt;$AO209)),
SUMPRODUCT(INDEX($AR$23:$AT$46,,$AI209), INDEX($AU$23:$BA$46,,$AH209), 1 / ($BC$23:$BC$46*CU209), N($AQ$23:$AQ$46&gt;$AO209))
) / 1000</f>
        <v>0</v>
      </c>
      <c r="CX209" s="230">
        <f t="shared" si="426"/>
        <v>0</v>
      </c>
      <c r="CY209" s="238"/>
    </row>
    <row r="210" spans="1:103" s="76" customFormat="1" ht="14.25" customHeight="1" x14ac:dyDescent="0.2">
      <c r="A210" s="231" t="b">
        <f t="shared" si="229"/>
        <v>0</v>
      </c>
      <c r="B210" s="245">
        <v>188</v>
      </c>
      <c r="C210" s="258"/>
      <c r="D210" s="258"/>
      <c r="E210" s="246"/>
      <c r="F210" s="247" t="str">
        <f>IF(ISBLANK(E210), "", VLOOKUP(E210, Z!$A$2:$C$4127, 3, FALSE))</f>
        <v/>
      </c>
      <c r="G210" s="248"/>
      <c r="H210" s="248"/>
      <c r="I210" s="249"/>
      <c r="J210" s="250"/>
      <c r="K210" s="259"/>
      <c r="L210" s="260"/>
      <c r="M210" s="252" t="str" cm="1">
        <f t="array" ref="M210">INDEX(Trad, 53, $A$20)</f>
        <v>Verschmutzt</v>
      </c>
      <c r="N210" s="253"/>
      <c r="O210" s="253"/>
      <c r="P210" s="254"/>
      <c r="Q210" s="251"/>
      <c r="R210" s="251"/>
      <c r="S210" s="264">
        <f t="shared" si="401"/>
        <v>0</v>
      </c>
      <c r="T210" s="252" t="str" cm="1">
        <f t="array" ref="T210">INDEX(Trad, 52, $A$20)</f>
        <v>Sauber</v>
      </c>
      <c r="U210" s="253"/>
      <c r="V210" s="253"/>
      <c r="W210" s="254"/>
      <c r="X210" s="251"/>
      <c r="Y210" s="251"/>
      <c r="Z210" s="264">
        <f t="shared" si="402"/>
        <v>0</v>
      </c>
      <c r="AA210" s="261"/>
      <c r="AB210" s="258"/>
      <c r="AC210" s="246"/>
      <c r="AD210" s="247" t="str">
        <f>IF(ISBLANK(AC210), "", VLOOKUP(AC210, Z!$A$2:$C$4127, 3, FALSE))</f>
        <v/>
      </c>
      <c r="AE210" s="262"/>
      <c r="AF210" s="263">
        <f t="shared" si="403"/>
        <v>0</v>
      </c>
      <c r="AG210" s="238"/>
      <c r="AH210" s="229">
        <f t="shared" si="427"/>
        <v>1</v>
      </c>
      <c r="AI210" s="229">
        <f t="shared" si="428"/>
        <v>1</v>
      </c>
      <c r="AJ210" s="229">
        <f t="shared" si="429"/>
        <v>0</v>
      </c>
      <c r="AK210" s="229">
        <v>0</v>
      </c>
      <c r="AL210" s="229">
        <v>0</v>
      </c>
      <c r="AM210" s="229">
        <v>1</v>
      </c>
      <c r="AN210" s="229">
        <v>0</v>
      </c>
      <c r="AO210" s="229">
        <f t="shared" si="404"/>
        <v>-100</v>
      </c>
      <c r="AP210" s="238"/>
      <c r="AQ210" s="255"/>
      <c r="AR210" s="255"/>
      <c r="AS210" s="256"/>
      <c r="AT210" s="256"/>
      <c r="AU210" s="256"/>
      <c r="AV210" s="256"/>
      <c r="AW210" s="256"/>
      <c r="AX210" s="256"/>
      <c r="AY210" s="256"/>
      <c r="AZ210" s="256"/>
      <c r="BA210" s="256"/>
      <c r="BB210" s="256"/>
      <c r="BC210" s="256"/>
      <c r="BD210" s="238"/>
      <c r="BE210" s="229" cm="1">
        <f t="array" ref="BE210">IF(ISBLANK(R210), INDEX(Use, $AH210, 4) - AM210*INDEX(Use, $AH210, 6), R210)</f>
        <v>5</v>
      </c>
      <c r="BF210" s="229">
        <f t="shared" si="405"/>
        <v>30</v>
      </c>
      <c r="BG210" s="229">
        <f t="shared" si="241"/>
        <v>13</v>
      </c>
      <c r="BH210" s="229">
        <f t="shared" si="242"/>
        <v>0</v>
      </c>
      <c r="BI210" s="234" cm="1">
        <f t="array" ref="BI210">K210/IF($L210&gt;0, INDEX($AU$23:$BA$77, $L210+20, $AH210), 1)</f>
        <v>0</v>
      </c>
      <c r="BJ210" s="230">
        <f t="shared" si="406"/>
        <v>0</v>
      </c>
      <c r="BK210" s="229">
        <v>35</v>
      </c>
      <c r="BL210" s="230">
        <f t="shared" si="407"/>
        <v>48</v>
      </c>
      <c r="BM210" s="235">
        <f t="shared" si="408"/>
        <v>2.9108720930232557</v>
      </c>
      <c r="BN210" s="235" cm="1">
        <f t="array" ref="BN210">$BI210 * SUMPRODUCT(INDEX($AR$77:$AT$82,,$AI210),INDEX($AU$77:$BA$82,,$AH210), N($AQ$77:$AQ$82&gt;$AO210)) / BM210 / 1000</f>
        <v>0</v>
      </c>
      <c r="BO210" s="232">
        <f t="shared" si="246"/>
        <v>30</v>
      </c>
      <c r="BP210" s="230">
        <f t="shared" si="409"/>
        <v>43</v>
      </c>
      <c r="BQ210" s="235">
        <f t="shared" si="410"/>
        <v>3.2938815789473681</v>
      </c>
      <c r="BR210" s="235" cm="1">
        <f t="array" ref="BR210">$BI210 * IF($AH210&lt;=2,
SUMPRODUCT(INDEX($AR$72:$AT$76,,$AI210), INDEX($AU$72:$BA$76,,$AH210), 1 / ($BB$72:$BB$76*BQ210 + (1-$BB$72:$BB$76)*BM210), N($AQ$72:$AQ$76&gt;$AO210)),
SUMPRODUCT(INDEX($AR$67:$AT$76,,$AI210), INDEX($AU$67:$BA$76,,$AH210), 1 / ($BC$67:$BC$76*BQ210 + (1-$BC$67:$BC$76)*BM210), N($AQ$67:$AQ$76&gt;$AO210))
) / 1000</f>
        <v>0</v>
      </c>
      <c r="BS210" s="232">
        <f t="shared" si="249"/>
        <v>25</v>
      </c>
      <c r="BT210" s="230">
        <f t="shared" si="411"/>
        <v>38</v>
      </c>
      <c r="BU210" s="235">
        <f t="shared" si="412"/>
        <v>3.792954545454545</v>
      </c>
      <c r="BV210" s="235" cm="1">
        <f t="array" ref="BV210">$BI210 * IF($AH210&lt;=2,
SUMPRODUCT(INDEX($AR$67:$AT$71,,$AI210), INDEX($AU$67:$BA$71,,$AH210), 1 / ($BB$67:$BB$71*BU210 + (1-$BB$67:$BB$71)*BQ210), N($AQ$67:$AQ$71&gt;$AO210)),
SUMPRODUCT(INDEX($AR$57:$AT$66,,$AI210), INDEX($AU$57:$BA$66,,$AH210), 1 / ($BC$57:$BC$66*BU210 + (1-$BC$57:$BC$66)*BQ210), N($AQ$57:$AQ$66&gt;$AO210))
) / 1000</f>
        <v>0</v>
      </c>
      <c r="BW210" s="232">
        <f t="shared" si="252"/>
        <v>20</v>
      </c>
      <c r="BX210" s="230">
        <f t="shared" si="413"/>
        <v>33</v>
      </c>
      <c r="BY210" s="235">
        <f t="shared" si="414"/>
        <v>4.4702678571428569</v>
      </c>
      <c r="BZ210" s="235" cm="1">
        <f t="array" ref="BZ210">$BI210 * IF($AH210&lt;=2,
SUMPRODUCT(INDEX($AR$62:$AT$66,,$AI210), INDEX($AU$62:$BA$66,,$AH210), 1 / ($BB$62:$BB$66*BY210 + (1-$BB$62:$BB$66)*BU210), N($AQ$62:$AQ$66&gt;$AO210)),
SUMPRODUCT(INDEX($AR$47:$AT$56,,$AI210), INDEX($AU$47:$BA$56,,$AH210), 1 / ($BC$47:$BC$56*BY210 + (1-$BC$47:$BC$56)*BU210), N($AQ$47:$AQ$56&gt;$AO210))
) / 1000</f>
        <v>0</v>
      </c>
      <c r="CA210" s="235" cm="1">
        <f t="array" ref="CA210">$BI210 * IF($AH210&lt;=2,
SUMPRODUCT(INDEX($AR$23:$AT$61,,$AI210), INDEX($AU$23:$BA$61,,$AH210), 1 / ($BB$23:$BB$61*BY210), N($AQ$23:$AQ$61&gt;$AO210)),
SUMPRODUCT(INDEX($AR$23:$AT$46,,$AI210), INDEX($AU$23:$BA$46,,$AH210), 1 / ($BC$23:$BC$46*BY210), N($AQ$23:$AQ$46&gt;$AO210))
) / 1000</f>
        <v>0</v>
      </c>
      <c r="CB210" s="230">
        <f t="shared" si="415"/>
        <v>0</v>
      </c>
      <c r="CC210" s="238"/>
      <c r="CD210" s="229" cm="1">
        <f t="array" ref="CD210">IF(ISBLANK(Y210), INDEX(Use, $AH210, 4) - AN210*INDEX(Use, $AH210, 6) - (Q210-X210), Y210)</f>
        <v>7</v>
      </c>
      <c r="CE210" s="229">
        <f t="shared" si="416"/>
        <v>32</v>
      </c>
      <c r="CF210" s="230">
        <f t="shared" si="417"/>
        <v>0</v>
      </c>
      <c r="CG210" s="229">
        <v>35</v>
      </c>
      <c r="CH210" s="230">
        <f t="shared" si="418"/>
        <v>48</v>
      </c>
      <c r="CI210" s="235">
        <f t="shared" si="419"/>
        <v>3.0748170731707316</v>
      </c>
      <c r="CJ210" s="235" cm="1">
        <f t="array" ref="CJ210">$BI210 * SUMPRODUCT(INDEX($AR$77:$AT$82,,$AI210),INDEX($AU$77:$BA$82,,$AH210), N($AQ$77:$AQ$82&gt;$AO210)) / CI210 / 1000</f>
        <v>0</v>
      </c>
      <c r="CK210" s="232">
        <f t="shared" si="260"/>
        <v>30</v>
      </c>
      <c r="CL210" s="230">
        <f t="shared" si="420"/>
        <v>43</v>
      </c>
      <c r="CM210" s="235">
        <f t="shared" si="421"/>
        <v>3.5018750000000001</v>
      </c>
      <c r="CN210" s="235" cm="1">
        <f t="array" ref="CN210">$BI210 * IF($AH210&lt;=2,
SUMPRODUCT(INDEX($AR$72:$AT$76,,$AI210), INDEX($AU$72:$BA$76,,$AH210), 1 / ($BB$72:$BB$76*CM210 + (1-$BB$72:$BB$76)*CI210), N($AQ$72:$AQ$76&gt;$AO210)),
SUMPRODUCT(INDEX($AR$67:$AT$76,,$AI210), INDEX($AU$67:$BA$76,,$AH210), 1 / ($BC$67:$BC$76*CM210 + (1-$BC$67:$BC$76)*CI210), N($AQ$67:$AQ$76&gt;$AO210))
) / 1000</f>
        <v>0</v>
      </c>
      <c r="CO210" s="232">
        <f t="shared" si="263"/>
        <v>25</v>
      </c>
      <c r="CP210" s="230">
        <f t="shared" si="422"/>
        <v>38</v>
      </c>
      <c r="CQ210" s="235">
        <f t="shared" si="423"/>
        <v>4.0666935483870965</v>
      </c>
      <c r="CR210" s="235" cm="1">
        <f t="array" ref="CR210">$BI210 * IF($AH210&lt;=2,
SUMPRODUCT(INDEX($AR$67:$AT$71,,$AI210), INDEX($AU$67:$BA$71,,$AH210), 1 / ($BB$67:$BB$71*CQ210 + (1-$BB$67:$BB$71)*CM210), N($AQ$67:$AQ$71&gt;$AO210)),
SUMPRODUCT(INDEX($AR$57:$AT$66,,$AI210), INDEX($AU$57:$BA$66,,$AH210), 1 / ($BC$57:$BC$66*CQ210 + (1-$BC$57:$BC$66)*CM210), N($AQ$57:$AQ$66&gt;$AO210))
) / 1000</f>
        <v>0</v>
      </c>
      <c r="CS210" s="232">
        <f t="shared" si="266"/>
        <v>20</v>
      </c>
      <c r="CT210" s="230">
        <f t="shared" si="424"/>
        <v>33</v>
      </c>
      <c r="CU210" s="235">
        <f t="shared" si="425"/>
        <v>4.8487499999999999</v>
      </c>
      <c r="CV210" s="235" cm="1">
        <f t="array" ref="CV210">$BI210 * IF($AH210&lt;=2,
SUMPRODUCT(INDEX($AR$62:$AT$66,,$AI210), INDEX($AU$62:$BA$66,,$AH210), 1 / ($BB$62:$BB$66*CU210 + (1-$BB$62:$BB$66)*CQ210), N($AQ$62:$AQ$66&gt;$AO210)),
SUMPRODUCT(INDEX($AR$47:$AT$56,,$AI210), INDEX($AU$47:$BA$56,,$AH210), 1 / ($BC$47:$BC$56*CU210 + (1-$BC$47:$BC$56)*CQ210), N($AQ$47:$AQ$56&gt;$AO210))
) / 1000</f>
        <v>0</v>
      </c>
      <c r="CW210" s="235" cm="1">
        <f t="array" ref="CW210">$BI210 * IF($AH210&lt;=2,
SUMPRODUCT(INDEX($AR$23:$AT$61,,$AI210), INDEX($AU$23:$BA$61,,$AH210), 1 / ($BB$23:$BB$61*CU210), N($AQ$23:$AQ$61&gt;$AO210)),
SUMPRODUCT(INDEX($AR$23:$AT$46,,$AI210), INDEX($AU$23:$BA$46,,$AH210), 1 / ($BC$23:$BC$46*CU210), N($AQ$23:$AQ$46&gt;$AO210))
) / 1000</f>
        <v>0</v>
      </c>
      <c r="CX210" s="230">
        <f t="shared" si="426"/>
        <v>0</v>
      </c>
      <c r="CY210" s="238"/>
    </row>
    <row r="211" spans="1:103" s="76" customFormat="1" ht="14.25" customHeight="1" x14ac:dyDescent="0.2">
      <c r="A211" s="231" t="b">
        <f t="shared" si="229"/>
        <v>0</v>
      </c>
      <c r="B211" s="245">
        <v>189</v>
      </c>
      <c r="C211" s="258"/>
      <c r="D211" s="258"/>
      <c r="E211" s="246"/>
      <c r="F211" s="247" t="str">
        <f>IF(ISBLANK(E211), "", VLOOKUP(E211, Z!$A$2:$C$4127, 3, FALSE))</f>
        <v/>
      </c>
      <c r="G211" s="248"/>
      <c r="H211" s="248"/>
      <c r="I211" s="249"/>
      <c r="J211" s="250"/>
      <c r="K211" s="259"/>
      <c r="L211" s="260"/>
      <c r="M211" s="252" t="str" cm="1">
        <f t="array" ref="M211">INDEX(Trad, 53, $A$20)</f>
        <v>Verschmutzt</v>
      </c>
      <c r="N211" s="253"/>
      <c r="O211" s="253"/>
      <c r="P211" s="254"/>
      <c r="Q211" s="251"/>
      <c r="R211" s="251"/>
      <c r="S211" s="264">
        <f t="shared" si="401"/>
        <v>0</v>
      </c>
      <c r="T211" s="252" t="str" cm="1">
        <f t="array" ref="T211">INDEX(Trad, 52, $A$20)</f>
        <v>Sauber</v>
      </c>
      <c r="U211" s="253"/>
      <c r="V211" s="253"/>
      <c r="W211" s="254"/>
      <c r="X211" s="251"/>
      <c r="Y211" s="251"/>
      <c r="Z211" s="264">
        <f t="shared" si="402"/>
        <v>0</v>
      </c>
      <c r="AA211" s="261"/>
      <c r="AB211" s="258"/>
      <c r="AC211" s="246"/>
      <c r="AD211" s="247" t="str">
        <f>IF(ISBLANK(AC211), "", VLOOKUP(AC211, Z!$A$2:$C$4127, 3, FALSE))</f>
        <v/>
      </c>
      <c r="AE211" s="262"/>
      <c r="AF211" s="263">
        <f t="shared" si="403"/>
        <v>0</v>
      </c>
      <c r="AG211" s="238"/>
      <c r="AH211" s="229">
        <f t="shared" si="427"/>
        <v>1</v>
      </c>
      <c r="AI211" s="229">
        <f t="shared" si="428"/>
        <v>1</v>
      </c>
      <c r="AJ211" s="229">
        <f t="shared" si="429"/>
        <v>0</v>
      </c>
      <c r="AK211" s="229">
        <v>0</v>
      </c>
      <c r="AL211" s="229">
        <v>0</v>
      </c>
      <c r="AM211" s="229">
        <v>1</v>
      </c>
      <c r="AN211" s="229">
        <v>0</v>
      </c>
      <c r="AO211" s="229">
        <f t="shared" si="404"/>
        <v>-100</v>
      </c>
      <c r="AP211" s="238"/>
      <c r="AQ211" s="255"/>
      <c r="AR211" s="255"/>
      <c r="AS211" s="256"/>
      <c r="AT211" s="256"/>
      <c r="AU211" s="256"/>
      <c r="AV211" s="256"/>
      <c r="AW211" s="256"/>
      <c r="AX211" s="256"/>
      <c r="AY211" s="256"/>
      <c r="AZ211" s="256"/>
      <c r="BA211" s="256"/>
      <c r="BB211" s="256"/>
      <c r="BC211" s="256"/>
      <c r="BD211" s="238"/>
      <c r="BE211" s="229" cm="1">
        <f t="array" ref="BE211">IF(ISBLANK(R211), INDEX(Use, $AH211, 4) - AM211*INDEX(Use, $AH211, 6), R211)</f>
        <v>5</v>
      </c>
      <c r="BF211" s="229">
        <f t="shared" si="405"/>
        <v>30</v>
      </c>
      <c r="BG211" s="229">
        <f t="shared" si="241"/>
        <v>13</v>
      </c>
      <c r="BH211" s="229">
        <f t="shared" si="242"/>
        <v>0</v>
      </c>
      <c r="BI211" s="234" cm="1">
        <f t="array" ref="BI211">K211/IF($L211&gt;0, INDEX($AU$23:$BA$77, $L211+20, $AH211), 1)</f>
        <v>0</v>
      </c>
      <c r="BJ211" s="230">
        <f t="shared" si="406"/>
        <v>0</v>
      </c>
      <c r="BK211" s="229">
        <v>35</v>
      </c>
      <c r="BL211" s="230">
        <f t="shared" si="407"/>
        <v>48</v>
      </c>
      <c r="BM211" s="235">
        <f t="shared" si="408"/>
        <v>2.9108720930232557</v>
      </c>
      <c r="BN211" s="235" cm="1">
        <f t="array" ref="BN211">$BI211 * SUMPRODUCT(INDEX($AR$77:$AT$82,,$AI211),INDEX($AU$77:$BA$82,,$AH211), N($AQ$77:$AQ$82&gt;$AO211)) / BM211 / 1000</f>
        <v>0</v>
      </c>
      <c r="BO211" s="232">
        <f t="shared" si="246"/>
        <v>30</v>
      </c>
      <c r="BP211" s="230">
        <f t="shared" si="409"/>
        <v>43</v>
      </c>
      <c r="BQ211" s="235">
        <f t="shared" si="410"/>
        <v>3.2938815789473681</v>
      </c>
      <c r="BR211" s="235" cm="1">
        <f t="array" ref="BR211">$BI211 * IF($AH211&lt;=2,
SUMPRODUCT(INDEX($AR$72:$AT$76,,$AI211), INDEX($AU$72:$BA$76,,$AH211), 1 / ($BB$72:$BB$76*BQ211 + (1-$BB$72:$BB$76)*BM211), N($AQ$72:$AQ$76&gt;$AO211)),
SUMPRODUCT(INDEX($AR$67:$AT$76,,$AI211), INDEX($AU$67:$BA$76,,$AH211), 1 / ($BC$67:$BC$76*BQ211 + (1-$BC$67:$BC$76)*BM211), N($AQ$67:$AQ$76&gt;$AO211))
) / 1000</f>
        <v>0</v>
      </c>
      <c r="BS211" s="232">
        <f t="shared" si="249"/>
        <v>25</v>
      </c>
      <c r="BT211" s="230">
        <f t="shared" si="411"/>
        <v>38</v>
      </c>
      <c r="BU211" s="235">
        <f t="shared" si="412"/>
        <v>3.792954545454545</v>
      </c>
      <c r="BV211" s="235" cm="1">
        <f t="array" ref="BV211">$BI211 * IF($AH211&lt;=2,
SUMPRODUCT(INDEX($AR$67:$AT$71,,$AI211), INDEX($AU$67:$BA$71,,$AH211), 1 / ($BB$67:$BB$71*BU211 + (1-$BB$67:$BB$71)*BQ211), N($AQ$67:$AQ$71&gt;$AO211)),
SUMPRODUCT(INDEX($AR$57:$AT$66,,$AI211), INDEX($AU$57:$BA$66,,$AH211), 1 / ($BC$57:$BC$66*BU211 + (1-$BC$57:$BC$66)*BQ211), N($AQ$57:$AQ$66&gt;$AO211))
) / 1000</f>
        <v>0</v>
      </c>
      <c r="BW211" s="232">
        <f t="shared" si="252"/>
        <v>20</v>
      </c>
      <c r="BX211" s="230">
        <f t="shared" si="413"/>
        <v>33</v>
      </c>
      <c r="BY211" s="235">
        <f t="shared" si="414"/>
        <v>4.4702678571428569</v>
      </c>
      <c r="BZ211" s="235" cm="1">
        <f t="array" ref="BZ211">$BI211 * IF($AH211&lt;=2,
SUMPRODUCT(INDEX($AR$62:$AT$66,,$AI211), INDEX($AU$62:$BA$66,,$AH211), 1 / ($BB$62:$BB$66*BY211 + (1-$BB$62:$BB$66)*BU211), N($AQ$62:$AQ$66&gt;$AO211)),
SUMPRODUCT(INDEX($AR$47:$AT$56,,$AI211), INDEX($AU$47:$BA$56,,$AH211), 1 / ($BC$47:$BC$56*BY211 + (1-$BC$47:$BC$56)*BU211), N($AQ$47:$AQ$56&gt;$AO211))
) / 1000</f>
        <v>0</v>
      </c>
      <c r="CA211" s="235" cm="1">
        <f t="array" ref="CA211">$BI211 * IF($AH211&lt;=2,
SUMPRODUCT(INDEX($AR$23:$AT$61,,$AI211), INDEX($AU$23:$BA$61,,$AH211), 1 / ($BB$23:$BB$61*BY211), N($AQ$23:$AQ$61&gt;$AO211)),
SUMPRODUCT(INDEX($AR$23:$AT$46,,$AI211), INDEX($AU$23:$BA$46,,$AH211), 1 / ($BC$23:$BC$46*BY211), N($AQ$23:$AQ$46&gt;$AO211))
) / 1000</f>
        <v>0</v>
      </c>
      <c r="CB211" s="230">
        <f t="shared" si="415"/>
        <v>0</v>
      </c>
      <c r="CC211" s="238"/>
      <c r="CD211" s="229" cm="1">
        <f t="array" ref="CD211">IF(ISBLANK(Y211), INDEX(Use, $AH211, 4) - AN211*INDEX(Use, $AH211, 6) - (Q211-X211), Y211)</f>
        <v>7</v>
      </c>
      <c r="CE211" s="229">
        <f t="shared" si="416"/>
        <v>32</v>
      </c>
      <c r="CF211" s="230">
        <f t="shared" si="417"/>
        <v>0</v>
      </c>
      <c r="CG211" s="229">
        <v>35</v>
      </c>
      <c r="CH211" s="230">
        <f t="shared" si="418"/>
        <v>48</v>
      </c>
      <c r="CI211" s="235">
        <f t="shared" si="419"/>
        <v>3.0748170731707316</v>
      </c>
      <c r="CJ211" s="235" cm="1">
        <f t="array" ref="CJ211">$BI211 * SUMPRODUCT(INDEX($AR$77:$AT$82,,$AI211),INDEX($AU$77:$BA$82,,$AH211), N($AQ$77:$AQ$82&gt;$AO211)) / CI211 / 1000</f>
        <v>0</v>
      </c>
      <c r="CK211" s="232">
        <f t="shared" si="260"/>
        <v>30</v>
      </c>
      <c r="CL211" s="230">
        <f t="shared" si="420"/>
        <v>43</v>
      </c>
      <c r="CM211" s="235">
        <f t="shared" si="421"/>
        <v>3.5018750000000001</v>
      </c>
      <c r="CN211" s="235" cm="1">
        <f t="array" ref="CN211">$BI211 * IF($AH211&lt;=2,
SUMPRODUCT(INDEX($AR$72:$AT$76,,$AI211), INDEX($AU$72:$BA$76,,$AH211), 1 / ($BB$72:$BB$76*CM211 + (1-$BB$72:$BB$76)*CI211), N($AQ$72:$AQ$76&gt;$AO211)),
SUMPRODUCT(INDEX($AR$67:$AT$76,,$AI211), INDEX($AU$67:$BA$76,,$AH211), 1 / ($BC$67:$BC$76*CM211 + (1-$BC$67:$BC$76)*CI211), N($AQ$67:$AQ$76&gt;$AO211))
) / 1000</f>
        <v>0</v>
      </c>
      <c r="CO211" s="232">
        <f t="shared" si="263"/>
        <v>25</v>
      </c>
      <c r="CP211" s="230">
        <f t="shared" si="422"/>
        <v>38</v>
      </c>
      <c r="CQ211" s="235">
        <f t="shared" si="423"/>
        <v>4.0666935483870965</v>
      </c>
      <c r="CR211" s="235" cm="1">
        <f t="array" ref="CR211">$BI211 * IF($AH211&lt;=2,
SUMPRODUCT(INDEX($AR$67:$AT$71,,$AI211), INDEX($AU$67:$BA$71,,$AH211), 1 / ($BB$67:$BB$71*CQ211 + (1-$BB$67:$BB$71)*CM211), N($AQ$67:$AQ$71&gt;$AO211)),
SUMPRODUCT(INDEX($AR$57:$AT$66,,$AI211), INDEX($AU$57:$BA$66,,$AH211), 1 / ($BC$57:$BC$66*CQ211 + (1-$BC$57:$BC$66)*CM211), N($AQ$57:$AQ$66&gt;$AO211))
) / 1000</f>
        <v>0</v>
      </c>
      <c r="CS211" s="232">
        <f t="shared" si="266"/>
        <v>20</v>
      </c>
      <c r="CT211" s="230">
        <f t="shared" si="424"/>
        <v>33</v>
      </c>
      <c r="CU211" s="235">
        <f t="shared" si="425"/>
        <v>4.8487499999999999</v>
      </c>
      <c r="CV211" s="235" cm="1">
        <f t="array" ref="CV211">$BI211 * IF($AH211&lt;=2,
SUMPRODUCT(INDEX($AR$62:$AT$66,,$AI211), INDEX($AU$62:$BA$66,,$AH211), 1 / ($BB$62:$BB$66*CU211 + (1-$BB$62:$BB$66)*CQ211), N($AQ$62:$AQ$66&gt;$AO211)),
SUMPRODUCT(INDEX($AR$47:$AT$56,,$AI211), INDEX($AU$47:$BA$56,,$AH211), 1 / ($BC$47:$BC$56*CU211 + (1-$BC$47:$BC$56)*CQ211), N($AQ$47:$AQ$56&gt;$AO211))
) / 1000</f>
        <v>0</v>
      </c>
      <c r="CW211" s="235" cm="1">
        <f t="array" ref="CW211">$BI211 * IF($AH211&lt;=2,
SUMPRODUCT(INDEX($AR$23:$AT$61,,$AI211), INDEX($AU$23:$BA$61,,$AH211), 1 / ($BB$23:$BB$61*CU211), N($AQ$23:$AQ$61&gt;$AO211)),
SUMPRODUCT(INDEX($AR$23:$AT$46,,$AI211), INDEX($AU$23:$BA$46,,$AH211), 1 / ($BC$23:$BC$46*CU211), N($AQ$23:$AQ$46&gt;$AO211))
) / 1000</f>
        <v>0</v>
      </c>
      <c r="CX211" s="230">
        <f t="shared" si="426"/>
        <v>0</v>
      </c>
      <c r="CY211" s="238"/>
    </row>
    <row r="212" spans="1:103" s="76" customFormat="1" ht="14.25" customHeight="1" x14ac:dyDescent="0.2">
      <c r="A212" s="231" t="b">
        <f t="shared" si="229"/>
        <v>0</v>
      </c>
      <c r="B212" s="245">
        <v>190</v>
      </c>
      <c r="C212" s="258"/>
      <c r="D212" s="258"/>
      <c r="E212" s="246"/>
      <c r="F212" s="247" t="str">
        <f>IF(ISBLANK(E212), "", VLOOKUP(E212, Z!$A$2:$C$4127, 3, FALSE))</f>
        <v/>
      </c>
      <c r="G212" s="248"/>
      <c r="H212" s="248"/>
      <c r="I212" s="249"/>
      <c r="J212" s="250"/>
      <c r="K212" s="259"/>
      <c r="L212" s="260"/>
      <c r="M212" s="252" t="str" cm="1">
        <f t="array" ref="M212">INDEX(Trad, 53, $A$20)</f>
        <v>Verschmutzt</v>
      </c>
      <c r="N212" s="253"/>
      <c r="O212" s="253"/>
      <c r="P212" s="254"/>
      <c r="Q212" s="251"/>
      <c r="R212" s="251"/>
      <c r="S212" s="264">
        <f t="shared" si="401"/>
        <v>0</v>
      </c>
      <c r="T212" s="252" t="str" cm="1">
        <f t="array" ref="T212">INDEX(Trad, 52, $A$20)</f>
        <v>Sauber</v>
      </c>
      <c r="U212" s="253"/>
      <c r="V212" s="253"/>
      <c r="W212" s="254"/>
      <c r="X212" s="251"/>
      <c r="Y212" s="251"/>
      <c r="Z212" s="264">
        <f t="shared" si="402"/>
        <v>0</v>
      </c>
      <c r="AA212" s="261"/>
      <c r="AB212" s="258"/>
      <c r="AC212" s="246"/>
      <c r="AD212" s="247" t="str">
        <f>IF(ISBLANK(AC212), "", VLOOKUP(AC212, Z!$A$2:$C$4127, 3, FALSE))</f>
        <v/>
      </c>
      <c r="AE212" s="262"/>
      <c r="AF212" s="263">
        <f t="shared" si="403"/>
        <v>0</v>
      </c>
      <c r="AG212" s="238"/>
      <c r="AH212" s="229">
        <f t="shared" si="427"/>
        <v>1</v>
      </c>
      <c r="AI212" s="229">
        <f t="shared" si="428"/>
        <v>1</v>
      </c>
      <c r="AJ212" s="229">
        <f t="shared" si="429"/>
        <v>0</v>
      </c>
      <c r="AK212" s="229">
        <v>0</v>
      </c>
      <c r="AL212" s="229">
        <v>0</v>
      </c>
      <c r="AM212" s="229">
        <v>1</v>
      </c>
      <c r="AN212" s="229">
        <v>0</v>
      </c>
      <c r="AO212" s="229">
        <f t="shared" si="404"/>
        <v>-100</v>
      </c>
      <c r="AP212" s="238"/>
      <c r="AQ212" s="255"/>
      <c r="AR212" s="255"/>
      <c r="AS212" s="256"/>
      <c r="AT212" s="256"/>
      <c r="AU212" s="256"/>
      <c r="AV212" s="256"/>
      <c r="AW212" s="256"/>
      <c r="AX212" s="256"/>
      <c r="AY212" s="256"/>
      <c r="AZ212" s="256"/>
      <c r="BA212" s="256"/>
      <c r="BB212" s="256"/>
      <c r="BC212" s="256"/>
      <c r="BD212" s="238"/>
      <c r="BE212" s="229" cm="1">
        <f t="array" ref="BE212">IF(ISBLANK(R212), INDEX(Use, $AH212, 4) - AM212*INDEX(Use, $AH212, 6), R212)</f>
        <v>5</v>
      </c>
      <c r="BF212" s="229">
        <f t="shared" si="405"/>
        <v>30</v>
      </c>
      <c r="BG212" s="229">
        <f t="shared" si="241"/>
        <v>13</v>
      </c>
      <c r="BH212" s="229">
        <f t="shared" si="242"/>
        <v>0</v>
      </c>
      <c r="BI212" s="234" cm="1">
        <f t="array" ref="BI212">K212/IF($L212&gt;0, INDEX($AU$23:$BA$77, $L212+20, $AH212), 1)</f>
        <v>0</v>
      </c>
      <c r="BJ212" s="230">
        <f t="shared" si="406"/>
        <v>0</v>
      </c>
      <c r="BK212" s="229">
        <v>35</v>
      </c>
      <c r="BL212" s="230">
        <f t="shared" si="407"/>
        <v>48</v>
      </c>
      <c r="BM212" s="235">
        <f t="shared" si="408"/>
        <v>2.9108720930232557</v>
      </c>
      <c r="BN212" s="235" cm="1">
        <f t="array" ref="BN212">$BI212 * SUMPRODUCT(INDEX($AR$77:$AT$82,,$AI212),INDEX($AU$77:$BA$82,,$AH212), N($AQ$77:$AQ$82&gt;$AO212)) / BM212 / 1000</f>
        <v>0</v>
      </c>
      <c r="BO212" s="232">
        <f t="shared" si="246"/>
        <v>30</v>
      </c>
      <c r="BP212" s="230">
        <f t="shared" si="409"/>
        <v>43</v>
      </c>
      <c r="BQ212" s="235">
        <f t="shared" si="410"/>
        <v>3.2938815789473681</v>
      </c>
      <c r="BR212" s="235" cm="1">
        <f t="array" ref="BR212">$BI212 * IF($AH212&lt;=2,
SUMPRODUCT(INDEX($AR$72:$AT$76,,$AI212), INDEX($AU$72:$BA$76,,$AH212), 1 / ($BB$72:$BB$76*BQ212 + (1-$BB$72:$BB$76)*BM212), N($AQ$72:$AQ$76&gt;$AO212)),
SUMPRODUCT(INDEX($AR$67:$AT$76,,$AI212), INDEX($AU$67:$BA$76,,$AH212), 1 / ($BC$67:$BC$76*BQ212 + (1-$BC$67:$BC$76)*BM212), N($AQ$67:$AQ$76&gt;$AO212))
) / 1000</f>
        <v>0</v>
      </c>
      <c r="BS212" s="232">
        <f t="shared" si="249"/>
        <v>25</v>
      </c>
      <c r="BT212" s="230">
        <f t="shared" si="411"/>
        <v>38</v>
      </c>
      <c r="BU212" s="235">
        <f t="shared" si="412"/>
        <v>3.792954545454545</v>
      </c>
      <c r="BV212" s="235" cm="1">
        <f t="array" ref="BV212">$BI212 * IF($AH212&lt;=2,
SUMPRODUCT(INDEX($AR$67:$AT$71,,$AI212), INDEX($AU$67:$BA$71,,$AH212), 1 / ($BB$67:$BB$71*BU212 + (1-$BB$67:$BB$71)*BQ212), N($AQ$67:$AQ$71&gt;$AO212)),
SUMPRODUCT(INDEX($AR$57:$AT$66,,$AI212), INDEX($AU$57:$BA$66,,$AH212), 1 / ($BC$57:$BC$66*BU212 + (1-$BC$57:$BC$66)*BQ212), N($AQ$57:$AQ$66&gt;$AO212))
) / 1000</f>
        <v>0</v>
      </c>
      <c r="BW212" s="232">
        <f t="shared" si="252"/>
        <v>20</v>
      </c>
      <c r="BX212" s="230">
        <f t="shared" si="413"/>
        <v>33</v>
      </c>
      <c r="BY212" s="235">
        <f t="shared" si="414"/>
        <v>4.4702678571428569</v>
      </c>
      <c r="BZ212" s="235" cm="1">
        <f t="array" ref="BZ212">$BI212 * IF($AH212&lt;=2,
SUMPRODUCT(INDEX($AR$62:$AT$66,,$AI212), INDEX($AU$62:$BA$66,,$AH212), 1 / ($BB$62:$BB$66*BY212 + (1-$BB$62:$BB$66)*BU212), N($AQ$62:$AQ$66&gt;$AO212)),
SUMPRODUCT(INDEX($AR$47:$AT$56,,$AI212), INDEX($AU$47:$BA$56,,$AH212), 1 / ($BC$47:$BC$56*BY212 + (1-$BC$47:$BC$56)*BU212), N($AQ$47:$AQ$56&gt;$AO212))
) / 1000</f>
        <v>0</v>
      </c>
      <c r="CA212" s="235" cm="1">
        <f t="array" ref="CA212">$BI212 * IF($AH212&lt;=2,
SUMPRODUCT(INDEX($AR$23:$AT$61,,$AI212), INDEX($AU$23:$BA$61,,$AH212), 1 / ($BB$23:$BB$61*BY212), N($AQ$23:$AQ$61&gt;$AO212)),
SUMPRODUCT(INDEX($AR$23:$AT$46,,$AI212), INDEX($AU$23:$BA$46,,$AH212), 1 / ($BC$23:$BC$46*BY212), N($AQ$23:$AQ$46&gt;$AO212))
) / 1000</f>
        <v>0</v>
      </c>
      <c r="CB212" s="230">
        <f t="shared" si="415"/>
        <v>0</v>
      </c>
      <c r="CC212" s="238"/>
      <c r="CD212" s="229" cm="1">
        <f t="array" ref="CD212">IF(ISBLANK(Y212), INDEX(Use, $AH212, 4) - AN212*INDEX(Use, $AH212, 6) - (Q212-X212), Y212)</f>
        <v>7</v>
      </c>
      <c r="CE212" s="229">
        <f t="shared" si="416"/>
        <v>32</v>
      </c>
      <c r="CF212" s="230">
        <f t="shared" si="417"/>
        <v>0</v>
      </c>
      <c r="CG212" s="229">
        <v>35</v>
      </c>
      <c r="CH212" s="230">
        <f t="shared" si="418"/>
        <v>48</v>
      </c>
      <c r="CI212" s="235">
        <f t="shared" si="419"/>
        <v>3.0748170731707316</v>
      </c>
      <c r="CJ212" s="235" cm="1">
        <f t="array" ref="CJ212">$BI212 * SUMPRODUCT(INDEX($AR$77:$AT$82,,$AI212),INDEX($AU$77:$BA$82,,$AH212), N($AQ$77:$AQ$82&gt;$AO212)) / CI212 / 1000</f>
        <v>0</v>
      </c>
      <c r="CK212" s="232">
        <f t="shared" si="260"/>
        <v>30</v>
      </c>
      <c r="CL212" s="230">
        <f t="shared" si="420"/>
        <v>43</v>
      </c>
      <c r="CM212" s="235">
        <f t="shared" si="421"/>
        <v>3.5018750000000001</v>
      </c>
      <c r="CN212" s="235" cm="1">
        <f t="array" ref="CN212">$BI212 * IF($AH212&lt;=2,
SUMPRODUCT(INDEX($AR$72:$AT$76,,$AI212), INDEX($AU$72:$BA$76,,$AH212), 1 / ($BB$72:$BB$76*CM212 + (1-$BB$72:$BB$76)*CI212), N($AQ$72:$AQ$76&gt;$AO212)),
SUMPRODUCT(INDEX($AR$67:$AT$76,,$AI212), INDEX($AU$67:$BA$76,,$AH212), 1 / ($BC$67:$BC$76*CM212 + (1-$BC$67:$BC$76)*CI212), N($AQ$67:$AQ$76&gt;$AO212))
) / 1000</f>
        <v>0</v>
      </c>
      <c r="CO212" s="232">
        <f t="shared" si="263"/>
        <v>25</v>
      </c>
      <c r="CP212" s="230">
        <f t="shared" si="422"/>
        <v>38</v>
      </c>
      <c r="CQ212" s="235">
        <f t="shared" si="423"/>
        <v>4.0666935483870965</v>
      </c>
      <c r="CR212" s="235" cm="1">
        <f t="array" ref="CR212">$BI212 * IF($AH212&lt;=2,
SUMPRODUCT(INDEX($AR$67:$AT$71,,$AI212), INDEX($AU$67:$BA$71,,$AH212), 1 / ($BB$67:$BB$71*CQ212 + (1-$BB$67:$BB$71)*CM212), N($AQ$67:$AQ$71&gt;$AO212)),
SUMPRODUCT(INDEX($AR$57:$AT$66,,$AI212), INDEX($AU$57:$BA$66,,$AH212), 1 / ($BC$57:$BC$66*CQ212 + (1-$BC$57:$BC$66)*CM212), N($AQ$57:$AQ$66&gt;$AO212))
) / 1000</f>
        <v>0</v>
      </c>
      <c r="CS212" s="232">
        <f t="shared" si="266"/>
        <v>20</v>
      </c>
      <c r="CT212" s="230">
        <f t="shared" si="424"/>
        <v>33</v>
      </c>
      <c r="CU212" s="235">
        <f t="shared" si="425"/>
        <v>4.8487499999999999</v>
      </c>
      <c r="CV212" s="235" cm="1">
        <f t="array" ref="CV212">$BI212 * IF($AH212&lt;=2,
SUMPRODUCT(INDEX($AR$62:$AT$66,,$AI212), INDEX($AU$62:$BA$66,,$AH212), 1 / ($BB$62:$BB$66*CU212 + (1-$BB$62:$BB$66)*CQ212), N($AQ$62:$AQ$66&gt;$AO212)),
SUMPRODUCT(INDEX($AR$47:$AT$56,,$AI212), INDEX($AU$47:$BA$56,,$AH212), 1 / ($BC$47:$BC$56*CU212 + (1-$BC$47:$BC$56)*CQ212), N($AQ$47:$AQ$56&gt;$AO212))
) / 1000</f>
        <v>0</v>
      </c>
      <c r="CW212" s="235" cm="1">
        <f t="array" ref="CW212">$BI212 * IF($AH212&lt;=2,
SUMPRODUCT(INDEX($AR$23:$AT$61,,$AI212), INDEX($AU$23:$BA$61,,$AH212), 1 / ($BB$23:$BB$61*CU212), N($AQ$23:$AQ$61&gt;$AO212)),
SUMPRODUCT(INDEX($AR$23:$AT$46,,$AI212), INDEX($AU$23:$BA$46,,$AH212), 1 / ($BC$23:$BC$46*CU212), N($AQ$23:$AQ$46&gt;$AO212))
) / 1000</f>
        <v>0</v>
      </c>
      <c r="CX212" s="230">
        <f t="shared" si="426"/>
        <v>0</v>
      </c>
      <c r="CY212" s="238"/>
    </row>
    <row r="213" spans="1:103" s="76" customFormat="1" ht="14.25" customHeight="1" x14ac:dyDescent="0.2">
      <c r="A213" s="231" t="b">
        <f t="shared" si="229"/>
        <v>0</v>
      </c>
      <c r="B213" s="245">
        <v>191</v>
      </c>
      <c r="C213" s="258"/>
      <c r="D213" s="258"/>
      <c r="E213" s="246"/>
      <c r="F213" s="247" t="str">
        <f>IF(ISBLANK(E213), "", VLOOKUP(E213, Z!$A$2:$C$4127, 3, FALSE))</f>
        <v/>
      </c>
      <c r="G213" s="248"/>
      <c r="H213" s="248"/>
      <c r="I213" s="249"/>
      <c r="J213" s="250"/>
      <c r="K213" s="259"/>
      <c r="L213" s="260"/>
      <c r="M213" s="252" t="str" cm="1">
        <f t="array" ref="M213">INDEX(Trad, 53, $A$20)</f>
        <v>Verschmutzt</v>
      </c>
      <c r="N213" s="253"/>
      <c r="O213" s="253"/>
      <c r="P213" s="254"/>
      <c r="Q213" s="251"/>
      <c r="R213" s="251"/>
      <c r="S213" s="264">
        <f t="shared" si="401"/>
        <v>0</v>
      </c>
      <c r="T213" s="252" t="str" cm="1">
        <f t="array" ref="T213">INDEX(Trad, 52, $A$20)</f>
        <v>Sauber</v>
      </c>
      <c r="U213" s="253"/>
      <c r="V213" s="253"/>
      <c r="W213" s="254"/>
      <c r="X213" s="251"/>
      <c r="Y213" s="251"/>
      <c r="Z213" s="264">
        <f t="shared" si="402"/>
        <v>0</v>
      </c>
      <c r="AA213" s="261"/>
      <c r="AB213" s="258"/>
      <c r="AC213" s="246"/>
      <c r="AD213" s="247" t="str">
        <f>IF(ISBLANK(AC213), "", VLOOKUP(AC213, Z!$A$2:$C$4127, 3, FALSE))</f>
        <v/>
      </c>
      <c r="AE213" s="262"/>
      <c r="AF213" s="263">
        <f t="shared" si="403"/>
        <v>0</v>
      </c>
      <c r="AG213" s="238"/>
      <c r="AH213" s="229">
        <f t="shared" si="427"/>
        <v>1</v>
      </c>
      <c r="AI213" s="229">
        <f t="shared" si="428"/>
        <v>1</v>
      </c>
      <c r="AJ213" s="229">
        <f t="shared" si="429"/>
        <v>0</v>
      </c>
      <c r="AK213" s="229">
        <v>0</v>
      </c>
      <c r="AL213" s="229">
        <v>0</v>
      </c>
      <c r="AM213" s="229">
        <v>1</v>
      </c>
      <c r="AN213" s="229">
        <v>0</v>
      </c>
      <c r="AO213" s="229">
        <f t="shared" si="404"/>
        <v>-100</v>
      </c>
      <c r="AP213" s="238"/>
      <c r="AQ213" s="255"/>
      <c r="AR213" s="255"/>
      <c r="AS213" s="256"/>
      <c r="AT213" s="256"/>
      <c r="AU213" s="256"/>
      <c r="AV213" s="256"/>
      <c r="AW213" s="256"/>
      <c r="AX213" s="256"/>
      <c r="AY213" s="256"/>
      <c r="AZ213" s="256"/>
      <c r="BA213" s="256"/>
      <c r="BB213" s="256"/>
      <c r="BC213" s="256"/>
      <c r="BD213" s="238"/>
      <c r="BE213" s="229" cm="1">
        <f t="array" ref="BE213">IF(ISBLANK(R213), INDEX(Use, $AH213, 4) - AM213*INDEX(Use, $AH213, 6), R213)</f>
        <v>5</v>
      </c>
      <c r="BF213" s="229">
        <f t="shared" si="405"/>
        <v>30</v>
      </c>
      <c r="BG213" s="229">
        <f t="shared" si="241"/>
        <v>13</v>
      </c>
      <c r="BH213" s="229">
        <f t="shared" si="242"/>
        <v>0</v>
      </c>
      <c r="BI213" s="234" cm="1">
        <f t="array" ref="BI213">K213/IF($L213&gt;0, INDEX($AU$23:$BA$77, $L213+20, $AH213), 1)</f>
        <v>0</v>
      </c>
      <c r="BJ213" s="230">
        <f t="shared" si="406"/>
        <v>0</v>
      </c>
      <c r="BK213" s="229">
        <v>35</v>
      </c>
      <c r="BL213" s="230">
        <f t="shared" si="407"/>
        <v>48</v>
      </c>
      <c r="BM213" s="235">
        <f t="shared" si="408"/>
        <v>2.9108720930232557</v>
      </c>
      <c r="BN213" s="235" cm="1">
        <f t="array" ref="BN213">$BI213 * SUMPRODUCT(INDEX($AR$77:$AT$82,,$AI213),INDEX($AU$77:$BA$82,,$AH213), N($AQ$77:$AQ$82&gt;$AO213)) / BM213 / 1000</f>
        <v>0</v>
      </c>
      <c r="BO213" s="232">
        <f t="shared" si="246"/>
        <v>30</v>
      </c>
      <c r="BP213" s="230">
        <f t="shared" si="409"/>
        <v>43</v>
      </c>
      <c r="BQ213" s="235">
        <f t="shared" si="410"/>
        <v>3.2938815789473681</v>
      </c>
      <c r="BR213" s="235" cm="1">
        <f t="array" ref="BR213">$BI213 * IF($AH213&lt;=2,
SUMPRODUCT(INDEX($AR$72:$AT$76,,$AI213), INDEX($AU$72:$BA$76,,$AH213), 1 / ($BB$72:$BB$76*BQ213 + (1-$BB$72:$BB$76)*BM213), N($AQ$72:$AQ$76&gt;$AO213)),
SUMPRODUCT(INDEX($AR$67:$AT$76,,$AI213), INDEX($AU$67:$BA$76,,$AH213), 1 / ($BC$67:$BC$76*BQ213 + (1-$BC$67:$BC$76)*BM213), N($AQ$67:$AQ$76&gt;$AO213))
) / 1000</f>
        <v>0</v>
      </c>
      <c r="BS213" s="232">
        <f t="shared" si="249"/>
        <v>25</v>
      </c>
      <c r="BT213" s="230">
        <f t="shared" si="411"/>
        <v>38</v>
      </c>
      <c r="BU213" s="235">
        <f t="shared" si="412"/>
        <v>3.792954545454545</v>
      </c>
      <c r="BV213" s="235" cm="1">
        <f t="array" ref="BV213">$BI213 * IF($AH213&lt;=2,
SUMPRODUCT(INDEX($AR$67:$AT$71,,$AI213), INDEX($AU$67:$BA$71,,$AH213), 1 / ($BB$67:$BB$71*BU213 + (1-$BB$67:$BB$71)*BQ213), N($AQ$67:$AQ$71&gt;$AO213)),
SUMPRODUCT(INDEX($AR$57:$AT$66,,$AI213), INDEX($AU$57:$BA$66,,$AH213), 1 / ($BC$57:$BC$66*BU213 + (1-$BC$57:$BC$66)*BQ213), N($AQ$57:$AQ$66&gt;$AO213))
) / 1000</f>
        <v>0</v>
      </c>
      <c r="BW213" s="232">
        <f t="shared" si="252"/>
        <v>20</v>
      </c>
      <c r="BX213" s="230">
        <f t="shared" si="413"/>
        <v>33</v>
      </c>
      <c r="BY213" s="235">
        <f t="shared" si="414"/>
        <v>4.4702678571428569</v>
      </c>
      <c r="BZ213" s="235" cm="1">
        <f t="array" ref="BZ213">$BI213 * IF($AH213&lt;=2,
SUMPRODUCT(INDEX($AR$62:$AT$66,,$AI213), INDEX($AU$62:$BA$66,,$AH213), 1 / ($BB$62:$BB$66*BY213 + (1-$BB$62:$BB$66)*BU213), N($AQ$62:$AQ$66&gt;$AO213)),
SUMPRODUCT(INDEX($AR$47:$AT$56,,$AI213), INDEX($AU$47:$BA$56,,$AH213), 1 / ($BC$47:$BC$56*BY213 + (1-$BC$47:$BC$56)*BU213), N($AQ$47:$AQ$56&gt;$AO213))
) / 1000</f>
        <v>0</v>
      </c>
      <c r="CA213" s="235" cm="1">
        <f t="array" ref="CA213">$BI213 * IF($AH213&lt;=2,
SUMPRODUCT(INDEX($AR$23:$AT$61,,$AI213), INDEX($AU$23:$BA$61,,$AH213), 1 / ($BB$23:$BB$61*BY213), N($AQ$23:$AQ$61&gt;$AO213)),
SUMPRODUCT(INDEX($AR$23:$AT$46,,$AI213), INDEX($AU$23:$BA$46,,$AH213), 1 / ($BC$23:$BC$46*BY213), N($AQ$23:$AQ$46&gt;$AO213))
) / 1000</f>
        <v>0</v>
      </c>
      <c r="CB213" s="230">
        <f t="shared" si="415"/>
        <v>0</v>
      </c>
      <c r="CC213" s="238"/>
      <c r="CD213" s="229" cm="1">
        <f t="array" ref="CD213">IF(ISBLANK(Y213), INDEX(Use, $AH213, 4) - AN213*INDEX(Use, $AH213, 6) - (Q213-X213), Y213)</f>
        <v>7</v>
      </c>
      <c r="CE213" s="229">
        <f t="shared" si="416"/>
        <v>32</v>
      </c>
      <c r="CF213" s="230">
        <f t="shared" si="417"/>
        <v>0</v>
      </c>
      <c r="CG213" s="229">
        <v>35</v>
      </c>
      <c r="CH213" s="230">
        <f t="shared" si="418"/>
        <v>48</v>
      </c>
      <c r="CI213" s="235">
        <f t="shared" si="419"/>
        <v>3.0748170731707316</v>
      </c>
      <c r="CJ213" s="235" cm="1">
        <f t="array" ref="CJ213">$BI213 * SUMPRODUCT(INDEX($AR$77:$AT$82,,$AI213),INDEX($AU$77:$BA$82,,$AH213), N($AQ$77:$AQ$82&gt;$AO213)) / CI213 / 1000</f>
        <v>0</v>
      </c>
      <c r="CK213" s="232">
        <f t="shared" si="260"/>
        <v>30</v>
      </c>
      <c r="CL213" s="230">
        <f t="shared" si="420"/>
        <v>43</v>
      </c>
      <c r="CM213" s="235">
        <f t="shared" si="421"/>
        <v>3.5018750000000001</v>
      </c>
      <c r="CN213" s="235" cm="1">
        <f t="array" ref="CN213">$BI213 * IF($AH213&lt;=2,
SUMPRODUCT(INDEX($AR$72:$AT$76,,$AI213), INDEX($AU$72:$BA$76,,$AH213), 1 / ($BB$72:$BB$76*CM213 + (1-$BB$72:$BB$76)*CI213), N($AQ$72:$AQ$76&gt;$AO213)),
SUMPRODUCT(INDEX($AR$67:$AT$76,,$AI213), INDEX($AU$67:$BA$76,,$AH213), 1 / ($BC$67:$BC$76*CM213 + (1-$BC$67:$BC$76)*CI213), N($AQ$67:$AQ$76&gt;$AO213))
) / 1000</f>
        <v>0</v>
      </c>
      <c r="CO213" s="232">
        <f t="shared" si="263"/>
        <v>25</v>
      </c>
      <c r="CP213" s="230">
        <f t="shared" si="422"/>
        <v>38</v>
      </c>
      <c r="CQ213" s="235">
        <f t="shared" si="423"/>
        <v>4.0666935483870965</v>
      </c>
      <c r="CR213" s="235" cm="1">
        <f t="array" ref="CR213">$BI213 * IF($AH213&lt;=2,
SUMPRODUCT(INDEX($AR$67:$AT$71,,$AI213), INDEX($AU$67:$BA$71,,$AH213), 1 / ($BB$67:$BB$71*CQ213 + (1-$BB$67:$BB$71)*CM213), N($AQ$67:$AQ$71&gt;$AO213)),
SUMPRODUCT(INDEX($AR$57:$AT$66,,$AI213), INDEX($AU$57:$BA$66,,$AH213), 1 / ($BC$57:$BC$66*CQ213 + (1-$BC$57:$BC$66)*CM213), N($AQ$57:$AQ$66&gt;$AO213))
) / 1000</f>
        <v>0</v>
      </c>
      <c r="CS213" s="232">
        <f t="shared" si="266"/>
        <v>20</v>
      </c>
      <c r="CT213" s="230">
        <f t="shared" si="424"/>
        <v>33</v>
      </c>
      <c r="CU213" s="235">
        <f t="shared" si="425"/>
        <v>4.8487499999999999</v>
      </c>
      <c r="CV213" s="235" cm="1">
        <f t="array" ref="CV213">$BI213 * IF($AH213&lt;=2,
SUMPRODUCT(INDEX($AR$62:$AT$66,,$AI213), INDEX($AU$62:$BA$66,,$AH213), 1 / ($BB$62:$BB$66*CU213 + (1-$BB$62:$BB$66)*CQ213), N($AQ$62:$AQ$66&gt;$AO213)),
SUMPRODUCT(INDEX($AR$47:$AT$56,,$AI213), INDEX($AU$47:$BA$56,,$AH213), 1 / ($BC$47:$BC$56*CU213 + (1-$BC$47:$BC$56)*CQ213), N($AQ$47:$AQ$56&gt;$AO213))
) / 1000</f>
        <v>0</v>
      </c>
      <c r="CW213" s="235" cm="1">
        <f t="array" ref="CW213">$BI213 * IF($AH213&lt;=2,
SUMPRODUCT(INDEX($AR$23:$AT$61,,$AI213), INDEX($AU$23:$BA$61,,$AH213), 1 / ($BB$23:$BB$61*CU213), N($AQ$23:$AQ$61&gt;$AO213)),
SUMPRODUCT(INDEX($AR$23:$AT$46,,$AI213), INDEX($AU$23:$BA$46,,$AH213), 1 / ($BC$23:$BC$46*CU213), N($AQ$23:$AQ$46&gt;$AO213))
) / 1000</f>
        <v>0</v>
      </c>
      <c r="CX213" s="230">
        <f t="shared" si="426"/>
        <v>0</v>
      </c>
      <c r="CY213" s="238"/>
    </row>
    <row r="214" spans="1:103" s="76" customFormat="1" ht="14.25" customHeight="1" x14ac:dyDescent="0.2">
      <c r="A214" s="231" t="b">
        <f t="shared" si="229"/>
        <v>0</v>
      </c>
      <c r="B214" s="245">
        <v>192</v>
      </c>
      <c r="C214" s="258"/>
      <c r="D214" s="258"/>
      <c r="E214" s="246"/>
      <c r="F214" s="247" t="str">
        <f>IF(ISBLANK(E214), "", VLOOKUP(E214, Z!$A$2:$C$4127, 3, FALSE))</f>
        <v/>
      </c>
      <c r="G214" s="248"/>
      <c r="H214" s="248"/>
      <c r="I214" s="249"/>
      <c r="J214" s="250"/>
      <c r="K214" s="259"/>
      <c r="L214" s="260"/>
      <c r="M214" s="252" t="str" cm="1">
        <f t="array" ref="M214">INDEX(Trad, 53, $A$20)</f>
        <v>Verschmutzt</v>
      </c>
      <c r="N214" s="253"/>
      <c r="O214" s="253"/>
      <c r="P214" s="254"/>
      <c r="Q214" s="251"/>
      <c r="R214" s="251"/>
      <c r="S214" s="264">
        <f t="shared" si="401"/>
        <v>0</v>
      </c>
      <c r="T214" s="252" t="str" cm="1">
        <f t="array" ref="T214">INDEX(Trad, 52, $A$20)</f>
        <v>Sauber</v>
      </c>
      <c r="U214" s="253"/>
      <c r="V214" s="253"/>
      <c r="W214" s="254"/>
      <c r="X214" s="251"/>
      <c r="Y214" s="251"/>
      <c r="Z214" s="264">
        <f t="shared" si="402"/>
        <v>0</v>
      </c>
      <c r="AA214" s="261"/>
      <c r="AB214" s="258"/>
      <c r="AC214" s="246"/>
      <c r="AD214" s="247" t="str">
        <f>IF(ISBLANK(AC214), "", VLOOKUP(AC214, Z!$A$2:$C$4127, 3, FALSE))</f>
        <v/>
      </c>
      <c r="AE214" s="262"/>
      <c r="AF214" s="263">
        <f t="shared" si="403"/>
        <v>0</v>
      </c>
      <c r="AG214" s="238"/>
      <c r="AH214" s="229">
        <f t="shared" si="427"/>
        <v>1</v>
      </c>
      <c r="AI214" s="229">
        <f t="shared" si="428"/>
        <v>1</v>
      </c>
      <c r="AJ214" s="229">
        <f t="shared" si="429"/>
        <v>0</v>
      </c>
      <c r="AK214" s="229">
        <v>0</v>
      </c>
      <c r="AL214" s="229">
        <v>0</v>
      </c>
      <c r="AM214" s="229">
        <v>1</v>
      </c>
      <c r="AN214" s="229">
        <v>0</v>
      </c>
      <c r="AO214" s="229">
        <f t="shared" si="404"/>
        <v>-100</v>
      </c>
      <c r="AP214" s="238"/>
      <c r="AQ214" s="255"/>
      <c r="AR214" s="255"/>
      <c r="AS214" s="256"/>
      <c r="AT214" s="256"/>
      <c r="AU214" s="256"/>
      <c r="AV214" s="256"/>
      <c r="AW214" s="256"/>
      <c r="AX214" s="256"/>
      <c r="AY214" s="256"/>
      <c r="AZ214" s="256"/>
      <c r="BA214" s="256"/>
      <c r="BB214" s="256"/>
      <c r="BC214" s="256"/>
      <c r="BD214" s="238"/>
      <c r="BE214" s="229" cm="1">
        <f t="array" ref="BE214">IF(ISBLANK(R214), INDEX(Use, $AH214, 4) - AM214*INDEX(Use, $AH214, 6), R214)</f>
        <v>5</v>
      </c>
      <c r="BF214" s="229">
        <f t="shared" si="405"/>
        <v>30</v>
      </c>
      <c r="BG214" s="229">
        <f t="shared" si="241"/>
        <v>13</v>
      </c>
      <c r="BH214" s="229">
        <f t="shared" si="242"/>
        <v>0</v>
      </c>
      <c r="BI214" s="234" cm="1">
        <f t="array" ref="BI214">K214/IF($L214&gt;0, INDEX($AU$23:$BA$77, $L214+20, $AH214), 1)</f>
        <v>0</v>
      </c>
      <c r="BJ214" s="230">
        <f t="shared" si="406"/>
        <v>0</v>
      </c>
      <c r="BK214" s="229">
        <v>35</v>
      </c>
      <c r="BL214" s="230">
        <f t="shared" si="407"/>
        <v>48</v>
      </c>
      <c r="BM214" s="235">
        <f t="shared" si="408"/>
        <v>2.9108720930232557</v>
      </c>
      <c r="BN214" s="235" cm="1">
        <f t="array" ref="BN214">$BI214 * SUMPRODUCT(INDEX($AR$77:$AT$82,,$AI214),INDEX($AU$77:$BA$82,,$AH214), N($AQ$77:$AQ$82&gt;$AO214)) / BM214 / 1000</f>
        <v>0</v>
      </c>
      <c r="BO214" s="232">
        <f t="shared" si="246"/>
        <v>30</v>
      </c>
      <c r="BP214" s="230">
        <f t="shared" si="409"/>
        <v>43</v>
      </c>
      <c r="BQ214" s="235">
        <f t="shared" si="410"/>
        <v>3.2938815789473681</v>
      </c>
      <c r="BR214" s="235" cm="1">
        <f t="array" ref="BR214">$BI214 * IF($AH214&lt;=2,
SUMPRODUCT(INDEX($AR$72:$AT$76,,$AI214), INDEX($AU$72:$BA$76,,$AH214), 1 / ($BB$72:$BB$76*BQ214 + (1-$BB$72:$BB$76)*BM214), N($AQ$72:$AQ$76&gt;$AO214)),
SUMPRODUCT(INDEX($AR$67:$AT$76,,$AI214), INDEX($AU$67:$BA$76,,$AH214), 1 / ($BC$67:$BC$76*BQ214 + (1-$BC$67:$BC$76)*BM214), N($AQ$67:$AQ$76&gt;$AO214))
) / 1000</f>
        <v>0</v>
      </c>
      <c r="BS214" s="232">
        <f t="shared" si="249"/>
        <v>25</v>
      </c>
      <c r="BT214" s="230">
        <f t="shared" si="411"/>
        <v>38</v>
      </c>
      <c r="BU214" s="235">
        <f t="shared" si="412"/>
        <v>3.792954545454545</v>
      </c>
      <c r="BV214" s="235" cm="1">
        <f t="array" ref="BV214">$BI214 * IF($AH214&lt;=2,
SUMPRODUCT(INDEX($AR$67:$AT$71,,$AI214), INDEX($AU$67:$BA$71,,$AH214), 1 / ($BB$67:$BB$71*BU214 + (1-$BB$67:$BB$71)*BQ214), N($AQ$67:$AQ$71&gt;$AO214)),
SUMPRODUCT(INDEX($AR$57:$AT$66,,$AI214), INDEX($AU$57:$BA$66,,$AH214), 1 / ($BC$57:$BC$66*BU214 + (1-$BC$57:$BC$66)*BQ214), N($AQ$57:$AQ$66&gt;$AO214))
) / 1000</f>
        <v>0</v>
      </c>
      <c r="BW214" s="232">
        <f t="shared" si="252"/>
        <v>20</v>
      </c>
      <c r="BX214" s="230">
        <f t="shared" si="413"/>
        <v>33</v>
      </c>
      <c r="BY214" s="235">
        <f t="shared" si="414"/>
        <v>4.4702678571428569</v>
      </c>
      <c r="BZ214" s="235" cm="1">
        <f t="array" ref="BZ214">$BI214 * IF($AH214&lt;=2,
SUMPRODUCT(INDEX($AR$62:$AT$66,,$AI214), INDEX($AU$62:$BA$66,,$AH214), 1 / ($BB$62:$BB$66*BY214 + (1-$BB$62:$BB$66)*BU214), N($AQ$62:$AQ$66&gt;$AO214)),
SUMPRODUCT(INDEX($AR$47:$AT$56,,$AI214), INDEX($AU$47:$BA$56,,$AH214), 1 / ($BC$47:$BC$56*BY214 + (1-$BC$47:$BC$56)*BU214), N($AQ$47:$AQ$56&gt;$AO214))
) / 1000</f>
        <v>0</v>
      </c>
      <c r="CA214" s="235" cm="1">
        <f t="array" ref="CA214">$BI214 * IF($AH214&lt;=2,
SUMPRODUCT(INDEX($AR$23:$AT$61,,$AI214), INDEX($AU$23:$BA$61,,$AH214), 1 / ($BB$23:$BB$61*BY214), N($AQ$23:$AQ$61&gt;$AO214)),
SUMPRODUCT(INDEX($AR$23:$AT$46,,$AI214), INDEX($AU$23:$BA$46,,$AH214), 1 / ($BC$23:$BC$46*BY214), N($AQ$23:$AQ$46&gt;$AO214))
) / 1000</f>
        <v>0</v>
      </c>
      <c r="CB214" s="230">
        <f t="shared" si="415"/>
        <v>0</v>
      </c>
      <c r="CC214" s="238"/>
      <c r="CD214" s="229" cm="1">
        <f t="array" ref="CD214">IF(ISBLANK(Y214), INDEX(Use, $AH214, 4) - AN214*INDEX(Use, $AH214, 6) - (Q214-X214), Y214)</f>
        <v>7</v>
      </c>
      <c r="CE214" s="229">
        <f t="shared" si="416"/>
        <v>32</v>
      </c>
      <c r="CF214" s="230">
        <f t="shared" si="417"/>
        <v>0</v>
      </c>
      <c r="CG214" s="229">
        <v>35</v>
      </c>
      <c r="CH214" s="230">
        <f t="shared" si="418"/>
        <v>48</v>
      </c>
      <c r="CI214" s="235">
        <f t="shared" si="419"/>
        <v>3.0748170731707316</v>
      </c>
      <c r="CJ214" s="235" cm="1">
        <f t="array" ref="CJ214">$BI214 * SUMPRODUCT(INDEX($AR$77:$AT$82,,$AI214),INDEX($AU$77:$BA$82,,$AH214), N($AQ$77:$AQ$82&gt;$AO214)) / CI214 / 1000</f>
        <v>0</v>
      </c>
      <c r="CK214" s="232">
        <f t="shared" si="260"/>
        <v>30</v>
      </c>
      <c r="CL214" s="230">
        <f t="shared" si="420"/>
        <v>43</v>
      </c>
      <c r="CM214" s="235">
        <f t="shared" si="421"/>
        <v>3.5018750000000001</v>
      </c>
      <c r="CN214" s="235" cm="1">
        <f t="array" ref="CN214">$BI214 * IF($AH214&lt;=2,
SUMPRODUCT(INDEX($AR$72:$AT$76,,$AI214), INDEX($AU$72:$BA$76,,$AH214), 1 / ($BB$72:$BB$76*CM214 + (1-$BB$72:$BB$76)*CI214), N($AQ$72:$AQ$76&gt;$AO214)),
SUMPRODUCT(INDEX($AR$67:$AT$76,,$AI214), INDEX($AU$67:$BA$76,,$AH214), 1 / ($BC$67:$BC$76*CM214 + (1-$BC$67:$BC$76)*CI214), N($AQ$67:$AQ$76&gt;$AO214))
) / 1000</f>
        <v>0</v>
      </c>
      <c r="CO214" s="232">
        <f t="shared" si="263"/>
        <v>25</v>
      </c>
      <c r="CP214" s="230">
        <f t="shared" si="422"/>
        <v>38</v>
      </c>
      <c r="CQ214" s="235">
        <f t="shared" si="423"/>
        <v>4.0666935483870965</v>
      </c>
      <c r="CR214" s="235" cm="1">
        <f t="array" ref="CR214">$BI214 * IF($AH214&lt;=2,
SUMPRODUCT(INDEX($AR$67:$AT$71,,$AI214), INDEX($AU$67:$BA$71,,$AH214), 1 / ($BB$67:$BB$71*CQ214 + (1-$BB$67:$BB$71)*CM214), N($AQ$67:$AQ$71&gt;$AO214)),
SUMPRODUCT(INDEX($AR$57:$AT$66,,$AI214), INDEX($AU$57:$BA$66,,$AH214), 1 / ($BC$57:$BC$66*CQ214 + (1-$BC$57:$BC$66)*CM214), N($AQ$57:$AQ$66&gt;$AO214))
) / 1000</f>
        <v>0</v>
      </c>
      <c r="CS214" s="232">
        <f t="shared" si="266"/>
        <v>20</v>
      </c>
      <c r="CT214" s="230">
        <f t="shared" si="424"/>
        <v>33</v>
      </c>
      <c r="CU214" s="235">
        <f t="shared" si="425"/>
        <v>4.8487499999999999</v>
      </c>
      <c r="CV214" s="235" cm="1">
        <f t="array" ref="CV214">$BI214 * IF($AH214&lt;=2,
SUMPRODUCT(INDEX($AR$62:$AT$66,,$AI214), INDEX($AU$62:$BA$66,,$AH214), 1 / ($BB$62:$BB$66*CU214 + (1-$BB$62:$BB$66)*CQ214), N($AQ$62:$AQ$66&gt;$AO214)),
SUMPRODUCT(INDEX($AR$47:$AT$56,,$AI214), INDEX($AU$47:$BA$56,,$AH214), 1 / ($BC$47:$BC$56*CU214 + (1-$BC$47:$BC$56)*CQ214), N($AQ$47:$AQ$56&gt;$AO214))
) / 1000</f>
        <v>0</v>
      </c>
      <c r="CW214" s="235" cm="1">
        <f t="array" ref="CW214">$BI214 * IF($AH214&lt;=2,
SUMPRODUCT(INDEX($AR$23:$AT$61,,$AI214), INDEX($AU$23:$BA$61,,$AH214), 1 / ($BB$23:$BB$61*CU214), N($AQ$23:$AQ$61&gt;$AO214)),
SUMPRODUCT(INDEX($AR$23:$AT$46,,$AI214), INDEX($AU$23:$BA$46,,$AH214), 1 / ($BC$23:$BC$46*CU214), N($AQ$23:$AQ$46&gt;$AO214))
) / 1000</f>
        <v>0</v>
      </c>
      <c r="CX214" s="230">
        <f t="shared" si="426"/>
        <v>0</v>
      </c>
      <c r="CY214" s="238"/>
    </row>
    <row r="215" spans="1:103" s="76" customFormat="1" ht="14.25" customHeight="1" x14ac:dyDescent="0.2">
      <c r="A215" s="231" t="b">
        <f t="shared" si="229"/>
        <v>0</v>
      </c>
      <c r="B215" s="245">
        <v>193</v>
      </c>
      <c r="C215" s="258"/>
      <c r="D215" s="258"/>
      <c r="E215" s="246"/>
      <c r="F215" s="247" t="str">
        <f>IF(ISBLANK(E215), "", VLOOKUP(E215, Z!$A$2:$C$4127, 3, FALSE))</f>
        <v/>
      </c>
      <c r="G215" s="248"/>
      <c r="H215" s="248"/>
      <c r="I215" s="249"/>
      <c r="J215" s="250"/>
      <c r="K215" s="259"/>
      <c r="L215" s="260"/>
      <c r="M215" s="252" t="str" cm="1">
        <f t="array" ref="M215">INDEX(Trad, 53, $A$20)</f>
        <v>Verschmutzt</v>
      </c>
      <c r="N215" s="253"/>
      <c r="O215" s="253"/>
      <c r="P215" s="254"/>
      <c r="Q215" s="251"/>
      <c r="R215" s="251"/>
      <c r="S215" s="264">
        <f t="shared" si="401"/>
        <v>0</v>
      </c>
      <c r="T215" s="252" t="str" cm="1">
        <f t="array" ref="T215">INDEX(Trad, 52, $A$20)</f>
        <v>Sauber</v>
      </c>
      <c r="U215" s="253"/>
      <c r="V215" s="253"/>
      <c r="W215" s="254"/>
      <c r="X215" s="251"/>
      <c r="Y215" s="251"/>
      <c r="Z215" s="264">
        <f t="shared" si="402"/>
        <v>0</v>
      </c>
      <c r="AA215" s="261"/>
      <c r="AB215" s="258"/>
      <c r="AC215" s="246"/>
      <c r="AD215" s="247" t="str">
        <f>IF(ISBLANK(AC215), "", VLOOKUP(AC215, Z!$A$2:$C$4127, 3, FALSE))</f>
        <v/>
      </c>
      <c r="AE215" s="262"/>
      <c r="AF215" s="263">
        <f t="shared" si="403"/>
        <v>0</v>
      </c>
      <c r="AG215" s="238"/>
      <c r="AH215" s="229">
        <f t="shared" si="427"/>
        <v>1</v>
      </c>
      <c r="AI215" s="229">
        <f t="shared" si="428"/>
        <v>1</v>
      </c>
      <c r="AJ215" s="229">
        <f t="shared" si="429"/>
        <v>0</v>
      </c>
      <c r="AK215" s="229">
        <v>0</v>
      </c>
      <c r="AL215" s="229">
        <v>0</v>
      </c>
      <c r="AM215" s="229">
        <v>1</v>
      </c>
      <c r="AN215" s="229">
        <v>0</v>
      </c>
      <c r="AO215" s="229">
        <f t="shared" si="404"/>
        <v>-100</v>
      </c>
      <c r="AP215" s="238"/>
      <c r="AQ215" s="255"/>
      <c r="AR215" s="255"/>
      <c r="AS215" s="256"/>
      <c r="AT215" s="256"/>
      <c r="AU215" s="256"/>
      <c r="AV215" s="256"/>
      <c r="AW215" s="256"/>
      <c r="AX215" s="256"/>
      <c r="AY215" s="256"/>
      <c r="AZ215" s="256"/>
      <c r="BA215" s="256"/>
      <c r="BB215" s="256"/>
      <c r="BC215" s="256"/>
      <c r="BD215" s="238"/>
      <c r="BE215" s="229" cm="1">
        <f t="array" ref="BE215">IF(ISBLANK(R215), INDEX(Use, $AH215, 4) - AM215*INDEX(Use, $AH215, 6), R215)</f>
        <v>5</v>
      </c>
      <c r="BF215" s="229">
        <f t="shared" si="405"/>
        <v>30</v>
      </c>
      <c r="BG215" s="229">
        <f t="shared" si="241"/>
        <v>13</v>
      </c>
      <c r="BH215" s="229">
        <f t="shared" si="242"/>
        <v>0</v>
      </c>
      <c r="BI215" s="234" cm="1">
        <f t="array" ref="BI215">K215/IF($L215&gt;0, INDEX($AU$23:$BA$77, $L215+20, $AH215), 1)</f>
        <v>0</v>
      </c>
      <c r="BJ215" s="230">
        <f t="shared" si="406"/>
        <v>0</v>
      </c>
      <c r="BK215" s="229">
        <v>35</v>
      </c>
      <c r="BL215" s="230">
        <f t="shared" si="407"/>
        <v>48</v>
      </c>
      <c r="BM215" s="235">
        <f t="shared" si="408"/>
        <v>2.9108720930232557</v>
      </c>
      <c r="BN215" s="235" cm="1">
        <f t="array" ref="BN215">$BI215 * SUMPRODUCT(INDEX($AR$77:$AT$82,,$AI215),INDEX($AU$77:$BA$82,,$AH215), N($AQ$77:$AQ$82&gt;$AO215)) / BM215 / 1000</f>
        <v>0</v>
      </c>
      <c r="BO215" s="232">
        <f t="shared" si="246"/>
        <v>30</v>
      </c>
      <c r="BP215" s="230">
        <f t="shared" si="409"/>
        <v>43</v>
      </c>
      <c r="BQ215" s="235">
        <f t="shared" si="410"/>
        <v>3.2938815789473681</v>
      </c>
      <c r="BR215" s="235" cm="1">
        <f t="array" ref="BR215">$BI215 * IF($AH215&lt;=2,
SUMPRODUCT(INDEX($AR$72:$AT$76,,$AI215), INDEX($AU$72:$BA$76,,$AH215), 1 / ($BB$72:$BB$76*BQ215 + (1-$BB$72:$BB$76)*BM215), N($AQ$72:$AQ$76&gt;$AO215)),
SUMPRODUCT(INDEX($AR$67:$AT$76,,$AI215), INDEX($AU$67:$BA$76,,$AH215), 1 / ($BC$67:$BC$76*BQ215 + (1-$BC$67:$BC$76)*BM215), N($AQ$67:$AQ$76&gt;$AO215))
) / 1000</f>
        <v>0</v>
      </c>
      <c r="BS215" s="232">
        <f t="shared" si="249"/>
        <v>25</v>
      </c>
      <c r="BT215" s="230">
        <f t="shared" si="411"/>
        <v>38</v>
      </c>
      <c r="BU215" s="235">
        <f t="shared" si="412"/>
        <v>3.792954545454545</v>
      </c>
      <c r="BV215" s="235" cm="1">
        <f t="array" ref="BV215">$BI215 * IF($AH215&lt;=2,
SUMPRODUCT(INDEX($AR$67:$AT$71,,$AI215), INDEX($AU$67:$BA$71,,$AH215), 1 / ($BB$67:$BB$71*BU215 + (1-$BB$67:$BB$71)*BQ215), N($AQ$67:$AQ$71&gt;$AO215)),
SUMPRODUCT(INDEX($AR$57:$AT$66,,$AI215), INDEX($AU$57:$BA$66,,$AH215), 1 / ($BC$57:$BC$66*BU215 + (1-$BC$57:$BC$66)*BQ215), N($AQ$57:$AQ$66&gt;$AO215))
) / 1000</f>
        <v>0</v>
      </c>
      <c r="BW215" s="232">
        <f t="shared" si="252"/>
        <v>20</v>
      </c>
      <c r="BX215" s="230">
        <f t="shared" si="413"/>
        <v>33</v>
      </c>
      <c r="BY215" s="235">
        <f t="shared" si="414"/>
        <v>4.4702678571428569</v>
      </c>
      <c r="BZ215" s="235" cm="1">
        <f t="array" ref="BZ215">$BI215 * IF($AH215&lt;=2,
SUMPRODUCT(INDEX($AR$62:$AT$66,,$AI215), INDEX($AU$62:$BA$66,,$AH215), 1 / ($BB$62:$BB$66*BY215 + (1-$BB$62:$BB$66)*BU215), N($AQ$62:$AQ$66&gt;$AO215)),
SUMPRODUCT(INDEX($AR$47:$AT$56,,$AI215), INDEX($AU$47:$BA$56,,$AH215), 1 / ($BC$47:$BC$56*BY215 + (1-$BC$47:$BC$56)*BU215), N($AQ$47:$AQ$56&gt;$AO215))
) / 1000</f>
        <v>0</v>
      </c>
      <c r="CA215" s="235" cm="1">
        <f t="array" ref="CA215">$BI215 * IF($AH215&lt;=2,
SUMPRODUCT(INDEX($AR$23:$AT$61,,$AI215), INDEX($AU$23:$BA$61,,$AH215), 1 / ($BB$23:$BB$61*BY215), N($AQ$23:$AQ$61&gt;$AO215)),
SUMPRODUCT(INDEX($AR$23:$AT$46,,$AI215), INDEX($AU$23:$BA$46,,$AH215), 1 / ($BC$23:$BC$46*BY215), N($AQ$23:$AQ$46&gt;$AO215))
) / 1000</f>
        <v>0</v>
      </c>
      <c r="CB215" s="230">
        <f t="shared" si="415"/>
        <v>0</v>
      </c>
      <c r="CC215" s="238"/>
      <c r="CD215" s="229" cm="1">
        <f t="array" ref="CD215">IF(ISBLANK(Y215), INDEX(Use, $AH215, 4) - AN215*INDEX(Use, $AH215, 6) - (Q215-X215), Y215)</f>
        <v>7</v>
      </c>
      <c r="CE215" s="229">
        <f t="shared" si="416"/>
        <v>32</v>
      </c>
      <c r="CF215" s="230">
        <f t="shared" si="417"/>
        <v>0</v>
      </c>
      <c r="CG215" s="229">
        <v>35</v>
      </c>
      <c r="CH215" s="230">
        <f t="shared" si="418"/>
        <v>48</v>
      </c>
      <c r="CI215" s="235">
        <f t="shared" si="419"/>
        <v>3.0748170731707316</v>
      </c>
      <c r="CJ215" s="235" cm="1">
        <f t="array" ref="CJ215">$BI215 * SUMPRODUCT(INDEX($AR$77:$AT$82,,$AI215),INDEX($AU$77:$BA$82,,$AH215), N($AQ$77:$AQ$82&gt;$AO215)) / CI215 / 1000</f>
        <v>0</v>
      </c>
      <c r="CK215" s="232">
        <f t="shared" si="260"/>
        <v>30</v>
      </c>
      <c r="CL215" s="230">
        <f t="shared" si="420"/>
        <v>43</v>
      </c>
      <c r="CM215" s="235">
        <f t="shared" si="421"/>
        <v>3.5018750000000001</v>
      </c>
      <c r="CN215" s="235" cm="1">
        <f t="array" ref="CN215">$BI215 * IF($AH215&lt;=2,
SUMPRODUCT(INDEX($AR$72:$AT$76,,$AI215), INDEX($AU$72:$BA$76,,$AH215), 1 / ($BB$72:$BB$76*CM215 + (1-$BB$72:$BB$76)*CI215), N($AQ$72:$AQ$76&gt;$AO215)),
SUMPRODUCT(INDEX($AR$67:$AT$76,,$AI215), INDEX($AU$67:$BA$76,,$AH215), 1 / ($BC$67:$BC$76*CM215 + (1-$BC$67:$BC$76)*CI215), N($AQ$67:$AQ$76&gt;$AO215))
) / 1000</f>
        <v>0</v>
      </c>
      <c r="CO215" s="232">
        <f t="shared" si="263"/>
        <v>25</v>
      </c>
      <c r="CP215" s="230">
        <f t="shared" si="422"/>
        <v>38</v>
      </c>
      <c r="CQ215" s="235">
        <f t="shared" si="423"/>
        <v>4.0666935483870965</v>
      </c>
      <c r="CR215" s="235" cm="1">
        <f t="array" ref="CR215">$BI215 * IF($AH215&lt;=2,
SUMPRODUCT(INDEX($AR$67:$AT$71,,$AI215), INDEX($AU$67:$BA$71,,$AH215), 1 / ($BB$67:$BB$71*CQ215 + (1-$BB$67:$BB$71)*CM215), N($AQ$67:$AQ$71&gt;$AO215)),
SUMPRODUCT(INDEX($AR$57:$AT$66,,$AI215), INDEX($AU$57:$BA$66,,$AH215), 1 / ($BC$57:$BC$66*CQ215 + (1-$BC$57:$BC$66)*CM215), N($AQ$57:$AQ$66&gt;$AO215))
) / 1000</f>
        <v>0</v>
      </c>
      <c r="CS215" s="232">
        <f t="shared" si="266"/>
        <v>20</v>
      </c>
      <c r="CT215" s="230">
        <f t="shared" si="424"/>
        <v>33</v>
      </c>
      <c r="CU215" s="235">
        <f t="shared" si="425"/>
        <v>4.8487499999999999</v>
      </c>
      <c r="CV215" s="235" cm="1">
        <f t="array" ref="CV215">$BI215 * IF($AH215&lt;=2,
SUMPRODUCT(INDEX($AR$62:$AT$66,,$AI215), INDEX($AU$62:$BA$66,,$AH215), 1 / ($BB$62:$BB$66*CU215 + (1-$BB$62:$BB$66)*CQ215), N($AQ$62:$AQ$66&gt;$AO215)),
SUMPRODUCT(INDEX($AR$47:$AT$56,,$AI215), INDEX($AU$47:$BA$56,,$AH215), 1 / ($BC$47:$BC$56*CU215 + (1-$BC$47:$BC$56)*CQ215), N($AQ$47:$AQ$56&gt;$AO215))
) / 1000</f>
        <v>0</v>
      </c>
      <c r="CW215" s="235" cm="1">
        <f t="array" ref="CW215">$BI215 * IF($AH215&lt;=2,
SUMPRODUCT(INDEX($AR$23:$AT$61,,$AI215), INDEX($AU$23:$BA$61,,$AH215), 1 / ($BB$23:$BB$61*CU215), N($AQ$23:$AQ$61&gt;$AO215)),
SUMPRODUCT(INDEX($AR$23:$AT$46,,$AI215), INDEX($AU$23:$BA$46,,$AH215), 1 / ($BC$23:$BC$46*CU215), N($AQ$23:$AQ$46&gt;$AO215))
) / 1000</f>
        <v>0</v>
      </c>
      <c r="CX215" s="230">
        <f t="shared" si="426"/>
        <v>0</v>
      </c>
      <c r="CY215" s="238"/>
    </row>
    <row r="216" spans="1:103" s="76" customFormat="1" ht="14.25" customHeight="1" x14ac:dyDescent="0.2">
      <c r="A216" s="231" t="b">
        <f t="shared" si="229"/>
        <v>0</v>
      </c>
      <c r="B216" s="245">
        <v>194</v>
      </c>
      <c r="C216" s="258"/>
      <c r="D216" s="258"/>
      <c r="E216" s="246"/>
      <c r="F216" s="247" t="str">
        <f>IF(ISBLANK(E216), "", VLOOKUP(E216, Z!$A$2:$C$4127, 3, FALSE))</f>
        <v/>
      </c>
      <c r="G216" s="248"/>
      <c r="H216" s="248"/>
      <c r="I216" s="249"/>
      <c r="J216" s="250"/>
      <c r="K216" s="259"/>
      <c r="L216" s="260"/>
      <c r="M216" s="252" t="str" cm="1">
        <f t="array" ref="M216">INDEX(Trad, 53, $A$20)</f>
        <v>Verschmutzt</v>
      </c>
      <c r="N216" s="253"/>
      <c r="O216" s="253"/>
      <c r="P216" s="254"/>
      <c r="Q216" s="251"/>
      <c r="R216" s="251"/>
      <c r="S216" s="264">
        <f t="shared" si="401"/>
        <v>0</v>
      </c>
      <c r="T216" s="252" t="str" cm="1">
        <f t="array" ref="T216">INDEX(Trad, 52, $A$20)</f>
        <v>Sauber</v>
      </c>
      <c r="U216" s="253"/>
      <c r="V216" s="253"/>
      <c r="W216" s="254"/>
      <c r="X216" s="251"/>
      <c r="Y216" s="251"/>
      <c r="Z216" s="264">
        <f t="shared" si="402"/>
        <v>0</v>
      </c>
      <c r="AA216" s="261"/>
      <c r="AB216" s="258"/>
      <c r="AC216" s="246"/>
      <c r="AD216" s="247" t="str">
        <f>IF(ISBLANK(AC216), "", VLOOKUP(AC216, Z!$A$2:$C$4127, 3, FALSE))</f>
        <v/>
      </c>
      <c r="AE216" s="262"/>
      <c r="AF216" s="263">
        <f t="shared" si="403"/>
        <v>0</v>
      </c>
      <c r="AG216" s="238"/>
      <c r="AH216" s="229">
        <f t="shared" si="427"/>
        <v>1</v>
      </c>
      <c r="AI216" s="229">
        <f t="shared" si="428"/>
        <v>1</v>
      </c>
      <c r="AJ216" s="229">
        <f t="shared" si="429"/>
        <v>0</v>
      </c>
      <c r="AK216" s="229">
        <v>0</v>
      </c>
      <c r="AL216" s="229">
        <v>0</v>
      </c>
      <c r="AM216" s="229">
        <v>1</v>
      </c>
      <c r="AN216" s="229">
        <v>0</v>
      </c>
      <c r="AO216" s="229">
        <f t="shared" si="404"/>
        <v>-100</v>
      </c>
      <c r="AP216" s="238"/>
      <c r="AQ216" s="255"/>
      <c r="AR216" s="255"/>
      <c r="AS216" s="256"/>
      <c r="AT216" s="256"/>
      <c r="AU216" s="256"/>
      <c r="AV216" s="256"/>
      <c r="AW216" s="256"/>
      <c r="AX216" s="256"/>
      <c r="AY216" s="256"/>
      <c r="AZ216" s="256"/>
      <c r="BA216" s="256"/>
      <c r="BB216" s="256"/>
      <c r="BC216" s="256"/>
      <c r="BD216" s="238"/>
      <c r="BE216" s="229" cm="1">
        <f t="array" ref="BE216">IF(ISBLANK(R216), INDEX(Use, $AH216, 4) - AM216*INDEX(Use, $AH216, 6), R216)</f>
        <v>5</v>
      </c>
      <c r="BF216" s="229">
        <f t="shared" si="405"/>
        <v>30</v>
      </c>
      <c r="BG216" s="229">
        <f t="shared" si="241"/>
        <v>13</v>
      </c>
      <c r="BH216" s="229">
        <f t="shared" si="242"/>
        <v>0</v>
      </c>
      <c r="BI216" s="234" cm="1">
        <f t="array" ref="BI216">K216/IF($L216&gt;0, INDEX($AU$23:$BA$77, $L216+20, $AH216), 1)</f>
        <v>0</v>
      </c>
      <c r="BJ216" s="230">
        <f t="shared" si="406"/>
        <v>0</v>
      </c>
      <c r="BK216" s="229">
        <v>35</v>
      </c>
      <c r="BL216" s="230">
        <f t="shared" si="407"/>
        <v>48</v>
      </c>
      <c r="BM216" s="235">
        <f t="shared" si="408"/>
        <v>2.9108720930232557</v>
      </c>
      <c r="BN216" s="235" cm="1">
        <f t="array" ref="BN216">$BI216 * SUMPRODUCT(INDEX($AR$77:$AT$82,,$AI216),INDEX($AU$77:$BA$82,,$AH216), N($AQ$77:$AQ$82&gt;$AO216)) / BM216 / 1000</f>
        <v>0</v>
      </c>
      <c r="BO216" s="232">
        <f t="shared" si="246"/>
        <v>30</v>
      </c>
      <c r="BP216" s="230">
        <f t="shared" si="409"/>
        <v>43</v>
      </c>
      <c r="BQ216" s="235">
        <f t="shared" si="410"/>
        <v>3.2938815789473681</v>
      </c>
      <c r="BR216" s="235" cm="1">
        <f t="array" ref="BR216">$BI216 * IF($AH216&lt;=2,
SUMPRODUCT(INDEX($AR$72:$AT$76,,$AI216), INDEX($AU$72:$BA$76,,$AH216), 1 / ($BB$72:$BB$76*BQ216 + (1-$BB$72:$BB$76)*BM216), N($AQ$72:$AQ$76&gt;$AO216)),
SUMPRODUCT(INDEX($AR$67:$AT$76,,$AI216), INDEX($AU$67:$BA$76,,$AH216), 1 / ($BC$67:$BC$76*BQ216 + (1-$BC$67:$BC$76)*BM216), N($AQ$67:$AQ$76&gt;$AO216))
) / 1000</f>
        <v>0</v>
      </c>
      <c r="BS216" s="232">
        <f t="shared" si="249"/>
        <v>25</v>
      </c>
      <c r="BT216" s="230">
        <f t="shared" si="411"/>
        <v>38</v>
      </c>
      <c r="BU216" s="235">
        <f t="shared" si="412"/>
        <v>3.792954545454545</v>
      </c>
      <c r="BV216" s="235" cm="1">
        <f t="array" ref="BV216">$BI216 * IF($AH216&lt;=2,
SUMPRODUCT(INDEX($AR$67:$AT$71,,$AI216), INDEX($AU$67:$BA$71,,$AH216), 1 / ($BB$67:$BB$71*BU216 + (1-$BB$67:$BB$71)*BQ216), N($AQ$67:$AQ$71&gt;$AO216)),
SUMPRODUCT(INDEX($AR$57:$AT$66,,$AI216), INDEX($AU$57:$BA$66,,$AH216), 1 / ($BC$57:$BC$66*BU216 + (1-$BC$57:$BC$66)*BQ216), N($AQ$57:$AQ$66&gt;$AO216))
) / 1000</f>
        <v>0</v>
      </c>
      <c r="BW216" s="232">
        <f t="shared" si="252"/>
        <v>20</v>
      </c>
      <c r="BX216" s="230">
        <f t="shared" si="413"/>
        <v>33</v>
      </c>
      <c r="BY216" s="235">
        <f t="shared" si="414"/>
        <v>4.4702678571428569</v>
      </c>
      <c r="BZ216" s="235" cm="1">
        <f t="array" ref="BZ216">$BI216 * IF($AH216&lt;=2,
SUMPRODUCT(INDEX($AR$62:$AT$66,,$AI216), INDEX($AU$62:$BA$66,,$AH216), 1 / ($BB$62:$BB$66*BY216 + (1-$BB$62:$BB$66)*BU216), N($AQ$62:$AQ$66&gt;$AO216)),
SUMPRODUCT(INDEX($AR$47:$AT$56,,$AI216), INDEX($AU$47:$BA$56,,$AH216), 1 / ($BC$47:$BC$56*BY216 + (1-$BC$47:$BC$56)*BU216), N($AQ$47:$AQ$56&gt;$AO216))
) / 1000</f>
        <v>0</v>
      </c>
      <c r="CA216" s="235" cm="1">
        <f t="array" ref="CA216">$BI216 * IF($AH216&lt;=2,
SUMPRODUCT(INDEX($AR$23:$AT$61,,$AI216), INDEX($AU$23:$BA$61,,$AH216), 1 / ($BB$23:$BB$61*BY216), N($AQ$23:$AQ$61&gt;$AO216)),
SUMPRODUCT(INDEX($AR$23:$AT$46,,$AI216), INDEX($AU$23:$BA$46,,$AH216), 1 / ($BC$23:$BC$46*BY216), N($AQ$23:$AQ$46&gt;$AO216))
) / 1000</f>
        <v>0</v>
      </c>
      <c r="CB216" s="230">
        <f t="shared" si="415"/>
        <v>0</v>
      </c>
      <c r="CC216" s="238"/>
      <c r="CD216" s="229" cm="1">
        <f t="array" ref="CD216">IF(ISBLANK(Y216), INDEX(Use, $AH216, 4) - AN216*INDEX(Use, $AH216, 6) - (Q216-X216), Y216)</f>
        <v>7</v>
      </c>
      <c r="CE216" s="229">
        <f t="shared" si="416"/>
        <v>32</v>
      </c>
      <c r="CF216" s="230">
        <f t="shared" si="417"/>
        <v>0</v>
      </c>
      <c r="CG216" s="229">
        <v>35</v>
      </c>
      <c r="CH216" s="230">
        <f t="shared" si="418"/>
        <v>48</v>
      </c>
      <c r="CI216" s="235">
        <f t="shared" si="419"/>
        <v>3.0748170731707316</v>
      </c>
      <c r="CJ216" s="235" cm="1">
        <f t="array" ref="CJ216">$BI216 * SUMPRODUCT(INDEX($AR$77:$AT$82,,$AI216),INDEX($AU$77:$BA$82,,$AH216), N($AQ$77:$AQ$82&gt;$AO216)) / CI216 / 1000</f>
        <v>0</v>
      </c>
      <c r="CK216" s="232">
        <f t="shared" si="260"/>
        <v>30</v>
      </c>
      <c r="CL216" s="230">
        <f t="shared" si="420"/>
        <v>43</v>
      </c>
      <c r="CM216" s="235">
        <f t="shared" si="421"/>
        <v>3.5018750000000001</v>
      </c>
      <c r="CN216" s="235" cm="1">
        <f t="array" ref="CN216">$BI216 * IF($AH216&lt;=2,
SUMPRODUCT(INDEX($AR$72:$AT$76,,$AI216), INDEX($AU$72:$BA$76,,$AH216), 1 / ($BB$72:$BB$76*CM216 + (1-$BB$72:$BB$76)*CI216), N($AQ$72:$AQ$76&gt;$AO216)),
SUMPRODUCT(INDEX($AR$67:$AT$76,,$AI216), INDEX($AU$67:$BA$76,,$AH216), 1 / ($BC$67:$BC$76*CM216 + (1-$BC$67:$BC$76)*CI216), N($AQ$67:$AQ$76&gt;$AO216))
) / 1000</f>
        <v>0</v>
      </c>
      <c r="CO216" s="232">
        <f t="shared" si="263"/>
        <v>25</v>
      </c>
      <c r="CP216" s="230">
        <f t="shared" si="422"/>
        <v>38</v>
      </c>
      <c r="CQ216" s="235">
        <f t="shared" si="423"/>
        <v>4.0666935483870965</v>
      </c>
      <c r="CR216" s="235" cm="1">
        <f t="array" ref="CR216">$BI216 * IF($AH216&lt;=2,
SUMPRODUCT(INDEX($AR$67:$AT$71,,$AI216), INDEX($AU$67:$BA$71,,$AH216), 1 / ($BB$67:$BB$71*CQ216 + (1-$BB$67:$BB$71)*CM216), N($AQ$67:$AQ$71&gt;$AO216)),
SUMPRODUCT(INDEX($AR$57:$AT$66,,$AI216), INDEX($AU$57:$BA$66,,$AH216), 1 / ($BC$57:$BC$66*CQ216 + (1-$BC$57:$BC$66)*CM216), N($AQ$57:$AQ$66&gt;$AO216))
) / 1000</f>
        <v>0</v>
      </c>
      <c r="CS216" s="232">
        <f t="shared" si="266"/>
        <v>20</v>
      </c>
      <c r="CT216" s="230">
        <f t="shared" si="424"/>
        <v>33</v>
      </c>
      <c r="CU216" s="235">
        <f t="shared" si="425"/>
        <v>4.8487499999999999</v>
      </c>
      <c r="CV216" s="235" cm="1">
        <f t="array" ref="CV216">$BI216 * IF($AH216&lt;=2,
SUMPRODUCT(INDEX($AR$62:$AT$66,,$AI216), INDEX($AU$62:$BA$66,,$AH216), 1 / ($BB$62:$BB$66*CU216 + (1-$BB$62:$BB$66)*CQ216), N($AQ$62:$AQ$66&gt;$AO216)),
SUMPRODUCT(INDEX($AR$47:$AT$56,,$AI216), INDEX($AU$47:$BA$56,,$AH216), 1 / ($BC$47:$BC$56*CU216 + (1-$BC$47:$BC$56)*CQ216), N($AQ$47:$AQ$56&gt;$AO216))
) / 1000</f>
        <v>0</v>
      </c>
      <c r="CW216" s="235" cm="1">
        <f t="array" ref="CW216">$BI216 * IF($AH216&lt;=2,
SUMPRODUCT(INDEX($AR$23:$AT$61,,$AI216), INDEX($AU$23:$BA$61,,$AH216), 1 / ($BB$23:$BB$61*CU216), N($AQ$23:$AQ$61&gt;$AO216)),
SUMPRODUCT(INDEX($AR$23:$AT$46,,$AI216), INDEX($AU$23:$BA$46,,$AH216), 1 / ($BC$23:$BC$46*CU216), N($AQ$23:$AQ$46&gt;$AO216))
) / 1000</f>
        <v>0</v>
      </c>
      <c r="CX216" s="230">
        <f t="shared" si="426"/>
        <v>0</v>
      </c>
      <c r="CY216" s="238"/>
    </row>
    <row r="217" spans="1:103" s="76" customFormat="1" ht="14.25" customHeight="1" x14ac:dyDescent="0.2">
      <c r="A217" s="231" t="b">
        <f t="shared" si="229"/>
        <v>0</v>
      </c>
      <c r="B217" s="245">
        <v>195</v>
      </c>
      <c r="C217" s="258"/>
      <c r="D217" s="258"/>
      <c r="E217" s="246"/>
      <c r="F217" s="247" t="str">
        <f>IF(ISBLANK(E217), "", VLOOKUP(E217, Z!$A$2:$C$4127, 3, FALSE))</f>
        <v/>
      </c>
      <c r="G217" s="248"/>
      <c r="H217" s="248"/>
      <c r="I217" s="249"/>
      <c r="J217" s="250"/>
      <c r="K217" s="259"/>
      <c r="L217" s="260"/>
      <c r="M217" s="252" t="str" cm="1">
        <f t="array" ref="M217">INDEX(Trad, 53, $A$20)</f>
        <v>Verschmutzt</v>
      </c>
      <c r="N217" s="253"/>
      <c r="O217" s="253"/>
      <c r="P217" s="254"/>
      <c r="Q217" s="251"/>
      <c r="R217" s="251"/>
      <c r="S217" s="264">
        <f t="shared" si="401"/>
        <v>0</v>
      </c>
      <c r="T217" s="252" t="str" cm="1">
        <f t="array" ref="T217">INDEX(Trad, 52, $A$20)</f>
        <v>Sauber</v>
      </c>
      <c r="U217" s="253"/>
      <c r="V217" s="253"/>
      <c r="W217" s="254"/>
      <c r="X217" s="251"/>
      <c r="Y217" s="251"/>
      <c r="Z217" s="264">
        <f t="shared" si="402"/>
        <v>0</v>
      </c>
      <c r="AA217" s="261"/>
      <c r="AB217" s="258"/>
      <c r="AC217" s="246"/>
      <c r="AD217" s="247" t="str">
        <f>IF(ISBLANK(AC217), "", VLOOKUP(AC217, Z!$A$2:$C$4127, 3, FALSE))</f>
        <v/>
      </c>
      <c r="AE217" s="262"/>
      <c r="AF217" s="263">
        <f t="shared" si="403"/>
        <v>0</v>
      </c>
      <c r="AG217" s="238"/>
      <c r="AH217" s="229">
        <f t="shared" si="427"/>
        <v>1</v>
      </c>
      <c r="AI217" s="229">
        <f t="shared" si="428"/>
        <v>1</v>
      </c>
      <c r="AJ217" s="229">
        <f t="shared" si="429"/>
        <v>0</v>
      </c>
      <c r="AK217" s="229">
        <v>0</v>
      </c>
      <c r="AL217" s="229">
        <v>0</v>
      </c>
      <c r="AM217" s="229">
        <v>1</v>
      </c>
      <c r="AN217" s="229">
        <v>0</v>
      </c>
      <c r="AO217" s="229">
        <f t="shared" si="404"/>
        <v>-100</v>
      </c>
      <c r="AP217" s="238"/>
      <c r="AQ217" s="255"/>
      <c r="AR217" s="255"/>
      <c r="AS217" s="256"/>
      <c r="AT217" s="256"/>
      <c r="AU217" s="256"/>
      <c r="AV217" s="256"/>
      <c r="AW217" s="256"/>
      <c r="AX217" s="256"/>
      <c r="AY217" s="256"/>
      <c r="AZ217" s="256"/>
      <c r="BA217" s="256"/>
      <c r="BB217" s="256"/>
      <c r="BC217" s="256"/>
      <c r="BD217" s="238"/>
      <c r="BE217" s="229" cm="1">
        <f t="array" ref="BE217">IF(ISBLANK(R217), INDEX(Use, $AH217, 4) - AM217*INDEX(Use, $AH217, 6), R217)</f>
        <v>5</v>
      </c>
      <c r="BF217" s="229">
        <f t="shared" si="405"/>
        <v>30</v>
      </c>
      <c r="BG217" s="229">
        <f t="shared" si="241"/>
        <v>13</v>
      </c>
      <c r="BH217" s="229">
        <f t="shared" si="242"/>
        <v>0</v>
      </c>
      <c r="BI217" s="234" cm="1">
        <f t="array" ref="BI217">K217/IF($L217&gt;0, INDEX($AU$23:$BA$77, $L217+20, $AH217), 1)</f>
        <v>0</v>
      </c>
      <c r="BJ217" s="230">
        <f t="shared" si="406"/>
        <v>0</v>
      </c>
      <c r="BK217" s="229">
        <v>35</v>
      </c>
      <c r="BL217" s="230">
        <f t="shared" si="407"/>
        <v>48</v>
      </c>
      <c r="BM217" s="235">
        <f t="shared" si="408"/>
        <v>2.9108720930232557</v>
      </c>
      <c r="BN217" s="235" cm="1">
        <f t="array" ref="BN217">$BI217 * SUMPRODUCT(INDEX($AR$77:$AT$82,,$AI217),INDEX($AU$77:$BA$82,,$AH217), N($AQ$77:$AQ$82&gt;$AO217)) / BM217 / 1000</f>
        <v>0</v>
      </c>
      <c r="BO217" s="232">
        <f t="shared" si="246"/>
        <v>30</v>
      </c>
      <c r="BP217" s="230">
        <f t="shared" si="409"/>
        <v>43</v>
      </c>
      <c r="BQ217" s="235">
        <f t="shared" si="410"/>
        <v>3.2938815789473681</v>
      </c>
      <c r="BR217" s="235" cm="1">
        <f t="array" ref="BR217">$BI217 * IF($AH217&lt;=2,
SUMPRODUCT(INDEX($AR$72:$AT$76,,$AI217), INDEX($AU$72:$BA$76,,$AH217), 1 / ($BB$72:$BB$76*BQ217 + (1-$BB$72:$BB$76)*BM217), N($AQ$72:$AQ$76&gt;$AO217)),
SUMPRODUCT(INDEX($AR$67:$AT$76,,$AI217), INDEX($AU$67:$BA$76,,$AH217), 1 / ($BC$67:$BC$76*BQ217 + (1-$BC$67:$BC$76)*BM217), N($AQ$67:$AQ$76&gt;$AO217))
) / 1000</f>
        <v>0</v>
      </c>
      <c r="BS217" s="232">
        <f t="shared" si="249"/>
        <v>25</v>
      </c>
      <c r="BT217" s="230">
        <f t="shared" si="411"/>
        <v>38</v>
      </c>
      <c r="BU217" s="235">
        <f t="shared" si="412"/>
        <v>3.792954545454545</v>
      </c>
      <c r="BV217" s="235" cm="1">
        <f t="array" ref="BV217">$BI217 * IF($AH217&lt;=2,
SUMPRODUCT(INDEX($AR$67:$AT$71,,$AI217), INDEX($AU$67:$BA$71,,$AH217), 1 / ($BB$67:$BB$71*BU217 + (1-$BB$67:$BB$71)*BQ217), N($AQ$67:$AQ$71&gt;$AO217)),
SUMPRODUCT(INDEX($AR$57:$AT$66,,$AI217), INDEX($AU$57:$BA$66,,$AH217), 1 / ($BC$57:$BC$66*BU217 + (1-$BC$57:$BC$66)*BQ217), N($AQ$57:$AQ$66&gt;$AO217))
) / 1000</f>
        <v>0</v>
      </c>
      <c r="BW217" s="232">
        <f t="shared" si="252"/>
        <v>20</v>
      </c>
      <c r="BX217" s="230">
        <f t="shared" si="413"/>
        <v>33</v>
      </c>
      <c r="BY217" s="235">
        <f t="shared" si="414"/>
        <v>4.4702678571428569</v>
      </c>
      <c r="BZ217" s="235" cm="1">
        <f t="array" ref="BZ217">$BI217 * IF($AH217&lt;=2,
SUMPRODUCT(INDEX($AR$62:$AT$66,,$AI217), INDEX($AU$62:$BA$66,,$AH217), 1 / ($BB$62:$BB$66*BY217 + (1-$BB$62:$BB$66)*BU217), N($AQ$62:$AQ$66&gt;$AO217)),
SUMPRODUCT(INDEX($AR$47:$AT$56,,$AI217), INDEX($AU$47:$BA$56,,$AH217), 1 / ($BC$47:$BC$56*BY217 + (1-$BC$47:$BC$56)*BU217), N($AQ$47:$AQ$56&gt;$AO217))
) / 1000</f>
        <v>0</v>
      </c>
      <c r="CA217" s="235" cm="1">
        <f t="array" ref="CA217">$BI217 * IF($AH217&lt;=2,
SUMPRODUCT(INDEX($AR$23:$AT$61,,$AI217), INDEX($AU$23:$BA$61,,$AH217), 1 / ($BB$23:$BB$61*BY217), N($AQ$23:$AQ$61&gt;$AO217)),
SUMPRODUCT(INDEX($AR$23:$AT$46,,$AI217), INDEX($AU$23:$BA$46,,$AH217), 1 / ($BC$23:$BC$46*BY217), N($AQ$23:$AQ$46&gt;$AO217))
) / 1000</f>
        <v>0</v>
      </c>
      <c r="CB217" s="230">
        <f t="shared" si="415"/>
        <v>0</v>
      </c>
      <c r="CC217" s="238"/>
      <c r="CD217" s="229" cm="1">
        <f t="array" ref="CD217">IF(ISBLANK(Y217), INDEX(Use, $AH217, 4) - AN217*INDEX(Use, $AH217, 6) - (Q217-X217), Y217)</f>
        <v>7</v>
      </c>
      <c r="CE217" s="229">
        <f t="shared" si="416"/>
        <v>32</v>
      </c>
      <c r="CF217" s="230">
        <f t="shared" si="417"/>
        <v>0</v>
      </c>
      <c r="CG217" s="229">
        <v>35</v>
      </c>
      <c r="CH217" s="230">
        <f t="shared" si="418"/>
        <v>48</v>
      </c>
      <c r="CI217" s="235">
        <f t="shared" si="419"/>
        <v>3.0748170731707316</v>
      </c>
      <c r="CJ217" s="235" cm="1">
        <f t="array" ref="CJ217">$BI217 * SUMPRODUCT(INDEX($AR$77:$AT$82,,$AI217),INDEX($AU$77:$BA$82,,$AH217), N($AQ$77:$AQ$82&gt;$AO217)) / CI217 / 1000</f>
        <v>0</v>
      </c>
      <c r="CK217" s="232">
        <f t="shared" si="260"/>
        <v>30</v>
      </c>
      <c r="CL217" s="230">
        <f t="shared" si="420"/>
        <v>43</v>
      </c>
      <c r="CM217" s="235">
        <f t="shared" si="421"/>
        <v>3.5018750000000001</v>
      </c>
      <c r="CN217" s="235" cm="1">
        <f t="array" ref="CN217">$BI217 * IF($AH217&lt;=2,
SUMPRODUCT(INDEX($AR$72:$AT$76,,$AI217), INDEX($AU$72:$BA$76,,$AH217), 1 / ($BB$72:$BB$76*CM217 + (1-$BB$72:$BB$76)*CI217), N($AQ$72:$AQ$76&gt;$AO217)),
SUMPRODUCT(INDEX($AR$67:$AT$76,,$AI217), INDEX($AU$67:$BA$76,,$AH217), 1 / ($BC$67:$BC$76*CM217 + (1-$BC$67:$BC$76)*CI217), N($AQ$67:$AQ$76&gt;$AO217))
) / 1000</f>
        <v>0</v>
      </c>
      <c r="CO217" s="232">
        <f t="shared" si="263"/>
        <v>25</v>
      </c>
      <c r="CP217" s="230">
        <f t="shared" si="422"/>
        <v>38</v>
      </c>
      <c r="CQ217" s="235">
        <f t="shared" si="423"/>
        <v>4.0666935483870965</v>
      </c>
      <c r="CR217" s="235" cm="1">
        <f t="array" ref="CR217">$BI217 * IF($AH217&lt;=2,
SUMPRODUCT(INDEX($AR$67:$AT$71,,$AI217), INDEX($AU$67:$BA$71,,$AH217), 1 / ($BB$67:$BB$71*CQ217 + (1-$BB$67:$BB$71)*CM217), N($AQ$67:$AQ$71&gt;$AO217)),
SUMPRODUCT(INDEX($AR$57:$AT$66,,$AI217), INDEX($AU$57:$BA$66,,$AH217), 1 / ($BC$57:$BC$66*CQ217 + (1-$BC$57:$BC$66)*CM217), N($AQ$57:$AQ$66&gt;$AO217))
) / 1000</f>
        <v>0</v>
      </c>
      <c r="CS217" s="232">
        <f t="shared" si="266"/>
        <v>20</v>
      </c>
      <c r="CT217" s="230">
        <f t="shared" si="424"/>
        <v>33</v>
      </c>
      <c r="CU217" s="235">
        <f t="shared" si="425"/>
        <v>4.8487499999999999</v>
      </c>
      <c r="CV217" s="235" cm="1">
        <f t="array" ref="CV217">$BI217 * IF($AH217&lt;=2,
SUMPRODUCT(INDEX($AR$62:$AT$66,,$AI217), INDEX($AU$62:$BA$66,,$AH217), 1 / ($BB$62:$BB$66*CU217 + (1-$BB$62:$BB$66)*CQ217), N($AQ$62:$AQ$66&gt;$AO217)),
SUMPRODUCT(INDEX($AR$47:$AT$56,,$AI217), INDEX($AU$47:$BA$56,,$AH217), 1 / ($BC$47:$BC$56*CU217 + (1-$BC$47:$BC$56)*CQ217), N($AQ$47:$AQ$56&gt;$AO217))
) / 1000</f>
        <v>0</v>
      </c>
      <c r="CW217" s="235" cm="1">
        <f t="array" ref="CW217">$BI217 * IF($AH217&lt;=2,
SUMPRODUCT(INDEX($AR$23:$AT$61,,$AI217), INDEX($AU$23:$BA$61,,$AH217), 1 / ($BB$23:$BB$61*CU217), N($AQ$23:$AQ$61&gt;$AO217)),
SUMPRODUCT(INDEX($AR$23:$AT$46,,$AI217), INDEX($AU$23:$BA$46,,$AH217), 1 / ($BC$23:$BC$46*CU217), N($AQ$23:$AQ$46&gt;$AO217))
) / 1000</f>
        <v>0</v>
      </c>
      <c r="CX217" s="230">
        <f t="shared" si="426"/>
        <v>0</v>
      </c>
      <c r="CY217" s="238"/>
    </row>
    <row r="218" spans="1:103" s="76" customFormat="1" ht="14.25" customHeight="1" x14ac:dyDescent="0.2">
      <c r="A218" s="231" t="b">
        <f t="shared" si="229"/>
        <v>0</v>
      </c>
      <c r="B218" s="245">
        <v>196</v>
      </c>
      <c r="C218" s="258"/>
      <c r="D218" s="258"/>
      <c r="E218" s="246"/>
      <c r="F218" s="247" t="str">
        <f>IF(ISBLANK(E218), "", VLOOKUP(E218, Z!$A$2:$C$4127, 3, FALSE))</f>
        <v/>
      </c>
      <c r="G218" s="248"/>
      <c r="H218" s="248"/>
      <c r="I218" s="249"/>
      <c r="J218" s="250"/>
      <c r="K218" s="259"/>
      <c r="L218" s="260"/>
      <c r="M218" s="252" t="str" cm="1">
        <f t="array" ref="M218">INDEX(Trad, 53, $A$20)</f>
        <v>Verschmutzt</v>
      </c>
      <c r="N218" s="253"/>
      <c r="O218" s="253"/>
      <c r="P218" s="254"/>
      <c r="Q218" s="251"/>
      <c r="R218" s="251"/>
      <c r="S218" s="264">
        <f t="shared" si="401"/>
        <v>0</v>
      </c>
      <c r="T218" s="252" t="str" cm="1">
        <f t="array" ref="T218">INDEX(Trad, 52, $A$20)</f>
        <v>Sauber</v>
      </c>
      <c r="U218" s="253"/>
      <c r="V218" s="253"/>
      <c r="W218" s="254"/>
      <c r="X218" s="251"/>
      <c r="Y218" s="251"/>
      <c r="Z218" s="264">
        <f t="shared" si="402"/>
        <v>0</v>
      </c>
      <c r="AA218" s="261"/>
      <c r="AB218" s="258"/>
      <c r="AC218" s="246"/>
      <c r="AD218" s="247" t="str">
        <f>IF(ISBLANK(AC218), "", VLOOKUP(AC218, Z!$A$2:$C$4127, 3, FALSE))</f>
        <v/>
      </c>
      <c r="AE218" s="262"/>
      <c r="AF218" s="263">
        <f t="shared" si="403"/>
        <v>0</v>
      </c>
      <c r="AG218" s="238"/>
      <c r="AH218" s="229">
        <f t="shared" si="427"/>
        <v>1</v>
      </c>
      <c r="AI218" s="229">
        <f t="shared" si="428"/>
        <v>1</v>
      </c>
      <c r="AJ218" s="229">
        <f t="shared" si="429"/>
        <v>0</v>
      </c>
      <c r="AK218" s="229">
        <v>0</v>
      </c>
      <c r="AL218" s="229">
        <v>0</v>
      </c>
      <c r="AM218" s="229">
        <v>1</v>
      </c>
      <c r="AN218" s="229">
        <v>0</v>
      </c>
      <c r="AO218" s="229">
        <f t="shared" si="404"/>
        <v>-100</v>
      </c>
      <c r="AP218" s="238"/>
      <c r="AQ218" s="255"/>
      <c r="AR218" s="255"/>
      <c r="AS218" s="256"/>
      <c r="AT218" s="256"/>
      <c r="AU218" s="256"/>
      <c r="AV218" s="256"/>
      <c r="AW218" s="256"/>
      <c r="AX218" s="256"/>
      <c r="AY218" s="256"/>
      <c r="AZ218" s="256"/>
      <c r="BA218" s="256"/>
      <c r="BB218" s="256"/>
      <c r="BC218" s="256"/>
      <c r="BD218" s="238"/>
      <c r="BE218" s="229" cm="1">
        <f t="array" ref="BE218">IF(ISBLANK(R218), INDEX(Use, $AH218, 4) - AM218*INDEX(Use, $AH218, 6), R218)</f>
        <v>5</v>
      </c>
      <c r="BF218" s="229">
        <f t="shared" si="405"/>
        <v>30</v>
      </c>
      <c r="BG218" s="229">
        <f t="shared" si="241"/>
        <v>13</v>
      </c>
      <c r="BH218" s="229">
        <f t="shared" si="242"/>
        <v>0</v>
      </c>
      <c r="BI218" s="234" cm="1">
        <f t="array" ref="BI218">K218/IF($L218&gt;0, INDEX($AU$23:$BA$77, $L218+20, $AH218), 1)</f>
        <v>0</v>
      </c>
      <c r="BJ218" s="230">
        <f t="shared" si="406"/>
        <v>0</v>
      </c>
      <c r="BK218" s="229">
        <v>35</v>
      </c>
      <c r="BL218" s="230">
        <f t="shared" si="407"/>
        <v>48</v>
      </c>
      <c r="BM218" s="235">
        <f t="shared" si="408"/>
        <v>2.9108720930232557</v>
      </c>
      <c r="BN218" s="235" cm="1">
        <f t="array" ref="BN218">$BI218 * SUMPRODUCT(INDEX($AR$77:$AT$82,,$AI218),INDEX($AU$77:$BA$82,,$AH218), N($AQ$77:$AQ$82&gt;$AO218)) / BM218 / 1000</f>
        <v>0</v>
      </c>
      <c r="BO218" s="232">
        <f t="shared" si="246"/>
        <v>30</v>
      </c>
      <c r="BP218" s="230">
        <f t="shared" si="409"/>
        <v>43</v>
      </c>
      <c r="BQ218" s="235">
        <f t="shared" si="410"/>
        <v>3.2938815789473681</v>
      </c>
      <c r="BR218" s="235" cm="1">
        <f t="array" ref="BR218">$BI218 * IF($AH218&lt;=2,
SUMPRODUCT(INDEX($AR$72:$AT$76,,$AI218), INDEX($AU$72:$BA$76,,$AH218), 1 / ($BB$72:$BB$76*BQ218 + (1-$BB$72:$BB$76)*BM218), N($AQ$72:$AQ$76&gt;$AO218)),
SUMPRODUCT(INDEX($AR$67:$AT$76,,$AI218), INDEX($AU$67:$BA$76,,$AH218), 1 / ($BC$67:$BC$76*BQ218 + (1-$BC$67:$BC$76)*BM218), N($AQ$67:$AQ$76&gt;$AO218))
) / 1000</f>
        <v>0</v>
      </c>
      <c r="BS218" s="232">
        <f t="shared" si="249"/>
        <v>25</v>
      </c>
      <c r="BT218" s="230">
        <f t="shared" si="411"/>
        <v>38</v>
      </c>
      <c r="BU218" s="235">
        <f t="shared" si="412"/>
        <v>3.792954545454545</v>
      </c>
      <c r="BV218" s="235" cm="1">
        <f t="array" ref="BV218">$BI218 * IF($AH218&lt;=2,
SUMPRODUCT(INDEX($AR$67:$AT$71,,$AI218), INDEX($AU$67:$BA$71,,$AH218), 1 / ($BB$67:$BB$71*BU218 + (1-$BB$67:$BB$71)*BQ218), N($AQ$67:$AQ$71&gt;$AO218)),
SUMPRODUCT(INDEX($AR$57:$AT$66,,$AI218), INDEX($AU$57:$BA$66,,$AH218), 1 / ($BC$57:$BC$66*BU218 + (1-$BC$57:$BC$66)*BQ218), N($AQ$57:$AQ$66&gt;$AO218))
) / 1000</f>
        <v>0</v>
      </c>
      <c r="BW218" s="232">
        <f t="shared" si="252"/>
        <v>20</v>
      </c>
      <c r="BX218" s="230">
        <f t="shared" si="413"/>
        <v>33</v>
      </c>
      <c r="BY218" s="235">
        <f t="shared" si="414"/>
        <v>4.4702678571428569</v>
      </c>
      <c r="BZ218" s="235" cm="1">
        <f t="array" ref="BZ218">$BI218 * IF($AH218&lt;=2,
SUMPRODUCT(INDEX($AR$62:$AT$66,,$AI218), INDEX($AU$62:$BA$66,,$AH218), 1 / ($BB$62:$BB$66*BY218 + (1-$BB$62:$BB$66)*BU218), N($AQ$62:$AQ$66&gt;$AO218)),
SUMPRODUCT(INDEX($AR$47:$AT$56,,$AI218), INDEX($AU$47:$BA$56,,$AH218), 1 / ($BC$47:$BC$56*BY218 + (1-$BC$47:$BC$56)*BU218), N($AQ$47:$AQ$56&gt;$AO218))
) / 1000</f>
        <v>0</v>
      </c>
      <c r="CA218" s="235" cm="1">
        <f t="array" ref="CA218">$BI218 * IF($AH218&lt;=2,
SUMPRODUCT(INDEX($AR$23:$AT$61,,$AI218), INDEX($AU$23:$BA$61,,$AH218), 1 / ($BB$23:$BB$61*BY218), N($AQ$23:$AQ$61&gt;$AO218)),
SUMPRODUCT(INDEX($AR$23:$AT$46,,$AI218), INDEX($AU$23:$BA$46,,$AH218), 1 / ($BC$23:$BC$46*BY218), N($AQ$23:$AQ$46&gt;$AO218))
) / 1000</f>
        <v>0</v>
      </c>
      <c r="CB218" s="230">
        <f t="shared" si="415"/>
        <v>0</v>
      </c>
      <c r="CC218" s="238"/>
      <c r="CD218" s="229" cm="1">
        <f t="array" ref="CD218">IF(ISBLANK(Y218), INDEX(Use, $AH218, 4) - AN218*INDEX(Use, $AH218, 6) - (Q218-X218), Y218)</f>
        <v>7</v>
      </c>
      <c r="CE218" s="229">
        <f t="shared" si="416"/>
        <v>32</v>
      </c>
      <c r="CF218" s="230">
        <f t="shared" si="417"/>
        <v>0</v>
      </c>
      <c r="CG218" s="229">
        <v>35</v>
      </c>
      <c r="CH218" s="230">
        <f t="shared" si="418"/>
        <v>48</v>
      </c>
      <c r="CI218" s="235">
        <f t="shared" si="419"/>
        <v>3.0748170731707316</v>
      </c>
      <c r="CJ218" s="235" cm="1">
        <f t="array" ref="CJ218">$BI218 * SUMPRODUCT(INDEX($AR$77:$AT$82,,$AI218),INDEX($AU$77:$BA$82,,$AH218), N($AQ$77:$AQ$82&gt;$AO218)) / CI218 / 1000</f>
        <v>0</v>
      </c>
      <c r="CK218" s="232">
        <f t="shared" si="260"/>
        <v>30</v>
      </c>
      <c r="CL218" s="230">
        <f t="shared" si="420"/>
        <v>43</v>
      </c>
      <c r="CM218" s="235">
        <f t="shared" si="421"/>
        <v>3.5018750000000001</v>
      </c>
      <c r="CN218" s="235" cm="1">
        <f t="array" ref="CN218">$BI218 * IF($AH218&lt;=2,
SUMPRODUCT(INDEX($AR$72:$AT$76,,$AI218), INDEX($AU$72:$BA$76,,$AH218), 1 / ($BB$72:$BB$76*CM218 + (1-$BB$72:$BB$76)*CI218), N($AQ$72:$AQ$76&gt;$AO218)),
SUMPRODUCT(INDEX($AR$67:$AT$76,,$AI218), INDEX($AU$67:$BA$76,,$AH218), 1 / ($BC$67:$BC$76*CM218 + (1-$BC$67:$BC$76)*CI218), N($AQ$67:$AQ$76&gt;$AO218))
) / 1000</f>
        <v>0</v>
      </c>
      <c r="CO218" s="232">
        <f t="shared" si="263"/>
        <v>25</v>
      </c>
      <c r="CP218" s="230">
        <f t="shared" si="422"/>
        <v>38</v>
      </c>
      <c r="CQ218" s="235">
        <f t="shared" si="423"/>
        <v>4.0666935483870965</v>
      </c>
      <c r="CR218" s="235" cm="1">
        <f t="array" ref="CR218">$BI218 * IF($AH218&lt;=2,
SUMPRODUCT(INDEX($AR$67:$AT$71,,$AI218), INDEX($AU$67:$BA$71,,$AH218), 1 / ($BB$67:$BB$71*CQ218 + (1-$BB$67:$BB$71)*CM218), N($AQ$67:$AQ$71&gt;$AO218)),
SUMPRODUCT(INDEX($AR$57:$AT$66,,$AI218), INDEX($AU$57:$BA$66,,$AH218), 1 / ($BC$57:$BC$66*CQ218 + (1-$BC$57:$BC$66)*CM218), N($AQ$57:$AQ$66&gt;$AO218))
) / 1000</f>
        <v>0</v>
      </c>
      <c r="CS218" s="232">
        <f t="shared" si="266"/>
        <v>20</v>
      </c>
      <c r="CT218" s="230">
        <f t="shared" si="424"/>
        <v>33</v>
      </c>
      <c r="CU218" s="235">
        <f t="shared" si="425"/>
        <v>4.8487499999999999</v>
      </c>
      <c r="CV218" s="235" cm="1">
        <f t="array" ref="CV218">$BI218 * IF($AH218&lt;=2,
SUMPRODUCT(INDEX($AR$62:$AT$66,,$AI218), INDEX($AU$62:$BA$66,,$AH218), 1 / ($BB$62:$BB$66*CU218 + (1-$BB$62:$BB$66)*CQ218), N($AQ$62:$AQ$66&gt;$AO218)),
SUMPRODUCT(INDEX($AR$47:$AT$56,,$AI218), INDEX($AU$47:$BA$56,,$AH218), 1 / ($BC$47:$BC$56*CU218 + (1-$BC$47:$BC$56)*CQ218), N($AQ$47:$AQ$56&gt;$AO218))
) / 1000</f>
        <v>0</v>
      </c>
      <c r="CW218" s="235" cm="1">
        <f t="array" ref="CW218">$BI218 * IF($AH218&lt;=2,
SUMPRODUCT(INDEX($AR$23:$AT$61,,$AI218), INDEX($AU$23:$BA$61,,$AH218), 1 / ($BB$23:$BB$61*CU218), N($AQ$23:$AQ$61&gt;$AO218)),
SUMPRODUCT(INDEX($AR$23:$AT$46,,$AI218), INDEX($AU$23:$BA$46,,$AH218), 1 / ($BC$23:$BC$46*CU218), N($AQ$23:$AQ$46&gt;$AO218))
) / 1000</f>
        <v>0</v>
      </c>
      <c r="CX218" s="230">
        <f t="shared" si="426"/>
        <v>0</v>
      </c>
      <c r="CY218" s="238"/>
    </row>
    <row r="219" spans="1:103" s="76" customFormat="1" ht="14.25" customHeight="1" x14ac:dyDescent="0.2">
      <c r="A219" s="231" t="b">
        <f t="shared" si="229"/>
        <v>0</v>
      </c>
      <c r="B219" s="245">
        <v>197</v>
      </c>
      <c r="C219" s="258"/>
      <c r="D219" s="258"/>
      <c r="E219" s="246"/>
      <c r="F219" s="247" t="str">
        <f>IF(ISBLANK(E219), "", VLOOKUP(E219, Z!$A$2:$C$4127, 3, FALSE))</f>
        <v/>
      </c>
      <c r="G219" s="248"/>
      <c r="H219" s="248"/>
      <c r="I219" s="249"/>
      <c r="J219" s="250"/>
      <c r="K219" s="259"/>
      <c r="L219" s="260"/>
      <c r="M219" s="252" t="str" cm="1">
        <f t="array" ref="M219">INDEX(Trad, 53, $A$20)</f>
        <v>Verschmutzt</v>
      </c>
      <c r="N219" s="253"/>
      <c r="O219" s="253"/>
      <c r="P219" s="254"/>
      <c r="Q219" s="251"/>
      <c r="R219" s="251"/>
      <c r="S219" s="264">
        <f t="shared" si="401"/>
        <v>0</v>
      </c>
      <c r="T219" s="252" t="str" cm="1">
        <f t="array" ref="T219">INDEX(Trad, 52, $A$20)</f>
        <v>Sauber</v>
      </c>
      <c r="U219" s="253"/>
      <c r="V219" s="253"/>
      <c r="W219" s="254"/>
      <c r="X219" s="251"/>
      <c r="Y219" s="251"/>
      <c r="Z219" s="264">
        <f t="shared" si="402"/>
        <v>0</v>
      </c>
      <c r="AA219" s="261"/>
      <c r="AB219" s="258"/>
      <c r="AC219" s="246"/>
      <c r="AD219" s="247" t="str">
        <f>IF(ISBLANK(AC219), "", VLOOKUP(AC219, Z!$A$2:$C$4127, 3, FALSE))</f>
        <v/>
      </c>
      <c r="AE219" s="262"/>
      <c r="AF219" s="263">
        <f t="shared" si="403"/>
        <v>0</v>
      </c>
      <c r="AG219" s="238"/>
      <c r="AH219" s="229">
        <f t="shared" si="427"/>
        <v>1</v>
      </c>
      <c r="AI219" s="229">
        <f t="shared" si="428"/>
        <v>1</v>
      </c>
      <c r="AJ219" s="229">
        <f t="shared" si="429"/>
        <v>0</v>
      </c>
      <c r="AK219" s="229">
        <v>0</v>
      </c>
      <c r="AL219" s="229">
        <v>0</v>
      </c>
      <c r="AM219" s="229">
        <v>1</v>
      </c>
      <c r="AN219" s="229">
        <v>0</v>
      </c>
      <c r="AO219" s="229">
        <f t="shared" si="404"/>
        <v>-100</v>
      </c>
      <c r="AP219" s="238"/>
      <c r="AQ219" s="255"/>
      <c r="AR219" s="255"/>
      <c r="AS219" s="256"/>
      <c r="AT219" s="256"/>
      <c r="AU219" s="256"/>
      <c r="AV219" s="256"/>
      <c r="AW219" s="256"/>
      <c r="AX219" s="256"/>
      <c r="AY219" s="256"/>
      <c r="AZ219" s="256"/>
      <c r="BA219" s="256"/>
      <c r="BB219" s="256"/>
      <c r="BC219" s="256"/>
      <c r="BD219" s="238"/>
      <c r="BE219" s="229" cm="1">
        <f t="array" ref="BE219">IF(ISBLANK(R219), INDEX(Use, $AH219, 4) - AM219*INDEX(Use, $AH219, 6), R219)</f>
        <v>5</v>
      </c>
      <c r="BF219" s="229">
        <f t="shared" si="405"/>
        <v>30</v>
      </c>
      <c r="BG219" s="229">
        <f t="shared" si="241"/>
        <v>13</v>
      </c>
      <c r="BH219" s="229">
        <f t="shared" si="242"/>
        <v>0</v>
      </c>
      <c r="BI219" s="234" cm="1">
        <f t="array" ref="BI219">K219/IF($L219&gt;0, INDEX($AU$23:$BA$77, $L219+20, $AH219), 1)</f>
        <v>0</v>
      </c>
      <c r="BJ219" s="230">
        <f t="shared" si="406"/>
        <v>0</v>
      </c>
      <c r="BK219" s="229">
        <v>35</v>
      </c>
      <c r="BL219" s="230">
        <f t="shared" si="407"/>
        <v>48</v>
      </c>
      <c r="BM219" s="235">
        <f t="shared" si="408"/>
        <v>2.9108720930232557</v>
      </c>
      <c r="BN219" s="235" cm="1">
        <f t="array" ref="BN219">$BI219 * SUMPRODUCT(INDEX($AR$77:$AT$82,,$AI219),INDEX($AU$77:$BA$82,,$AH219), N($AQ$77:$AQ$82&gt;$AO219)) / BM219 / 1000</f>
        <v>0</v>
      </c>
      <c r="BO219" s="232">
        <f t="shared" si="246"/>
        <v>30</v>
      </c>
      <c r="BP219" s="230">
        <f t="shared" si="409"/>
        <v>43</v>
      </c>
      <c r="BQ219" s="235">
        <f t="shared" si="410"/>
        <v>3.2938815789473681</v>
      </c>
      <c r="BR219" s="235" cm="1">
        <f t="array" ref="BR219">$BI219 * IF($AH219&lt;=2,
SUMPRODUCT(INDEX($AR$72:$AT$76,,$AI219), INDEX($AU$72:$BA$76,,$AH219), 1 / ($BB$72:$BB$76*BQ219 + (1-$BB$72:$BB$76)*BM219), N($AQ$72:$AQ$76&gt;$AO219)),
SUMPRODUCT(INDEX($AR$67:$AT$76,,$AI219), INDEX($AU$67:$BA$76,,$AH219), 1 / ($BC$67:$BC$76*BQ219 + (1-$BC$67:$BC$76)*BM219), N($AQ$67:$AQ$76&gt;$AO219))
) / 1000</f>
        <v>0</v>
      </c>
      <c r="BS219" s="232">
        <f t="shared" si="249"/>
        <v>25</v>
      </c>
      <c r="BT219" s="230">
        <f t="shared" si="411"/>
        <v>38</v>
      </c>
      <c r="BU219" s="235">
        <f t="shared" si="412"/>
        <v>3.792954545454545</v>
      </c>
      <c r="BV219" s="235" cm="1">
        <f t="array" ref="BV219">$BI219 * IF($AH219&lt;=2,
SUMPRODUCT(INDEX($AR$67:$AT$71,,$AI219), INDEX($AU$67:$BA$71,,$AH219), 1 / ($BB$67:$BB$71*BU219 + (1-$BB$67:$BB$71)*BQ219), N($AQ$67:$AQ$71&gt;$AO219)),
SUMPRODUCT(INDEX($AR$57:$AT$66,,$AI219), INDEX($AU$57:$BA$66,,$AH219), 1 / ($BC$57:$BC$66*BU219 + (1-$BC$57:$BC$66)*BQ219), N($AQ$57:$AQ$66&gt;$AO219))
) / 1000</f>
        <v>0</v>
      </c>
      <c r="BW219" s="232">
        <f t="shared" si="252"/>
        <v>20</v>
      </c>
      <c r="BX219" s="230">
        <f t="shared" si="413"/>
        <v>33</v>
      </c>
      <c r="BY219" s="235">
        <f t="shared" si="414"/>
        <v>4.4702678571428569</v>
      </c>
      <c r="BZ219" s="235" cm="1">
        <f t="array" ref="BZ219">$BI219 * IF($AH219&lt;=2,
SUMPRODUCT(INDEX($AR$62:$AT$66,,$AI219), INDEX($AU$62:$BA$66,,$AH219), 1 / ($BB$62:$BB$66*BY219 + (1-$BB$62:$BB$66)*BU219), N($AQ$62:$AQ$66&gt;$AO219)),
SUMPRODUCT(INDEX($AR$47:$AT$56,,$AI219), INDEX($AU$47:$BA$56,,$AH219), 1 / ($BC$47:$BC$56*BY219 + (1-$BC$47:$BC$56)*BU219), N($AQ$47:$AQ$56&gt;$AO219))
) / 1000</f>
        <v>0</v>
      </c>
      <c r="CA219" s="235" cm="1">
        <f t="array" ref="CA219">$BI219 * IF($AH219&lt;=2,
SUMPRODUCT(INDEX($AR$23:$AT$61,,$AI219), INDEX($AU$23:$BA$61,,$AH219), 1 / ($BB$23:$BB$61*BY219), N($AQ$23:$AQ$61&gt;$AO219)),
SUMPRODUCT(INDEX($AR$23:$AT$46,,$AI219), INDEX($AU$23:$BA$46,,$AH219), 1 / ($BC$23:$BC$46*BY219), N($AQ$23:$AQ$46&gt;$AO219))
) / 1000</f>
        <v>0</v>
      </c>
      <c r="CB219" s="230">
        <f t="shared" si="415"/>
        <v>0</v>
      </c>
      <c r="CC219" s="238"/>
      <c r="CD219" s="229" cm="1">
        <f t="array" ref="CD219">IF(ISBLANK(Y219), INDEX(Use, $AH219, 4) - AN219*INDEX(Use, $AH219, 6) - (Q219-X219), Y219)</f>
        <v>7</v>
      </c>
      <c r="CE219" s="229">
        <f t="shared" si="416"/>
        <v>32</v>
      </c>
      <c r="CF219" s="230">
        <f t="shared" si="417"/>
        <v>0</v>
      </c>
      <c r="CG219" s="229">
        <v>35</v>
      </c>
      <c r="CH219" s="230">
        <f t="shared" si="418"/>
        <v>48</v>
      </c>
      <c r="CI219" s="235">
        <f t="shared" si="419"/>
        <v>3.0748170731707316</v>
      </c>
      <c r="CJ219" s="235" cm="1">
        <f t="array" ref="CJ219">$BI219 * SUMPRODUCT(INDEX($AR$77:$AT$82,,$AI219),INDEX($AU$77:$BA$82,,$AH219), N($AQ$77:$AQ$82&gt;$AO219)) / CI219 / 1000</f>
        <v>0</v>
      </c>
      <c r="CK219" s="232">
        <f t="shared" si="260"/>
        <v>30</v>
      </c>
      <c r="CL219" s="230">
        <f t="shared" si="420"/>
        <v>43</v>
      </c>
      <c r="CM219" s="235">
        <f t="shared" si="421"/>
        <v>3.5018750000000001</v>
      </c>
      <c r="CN219" s="235" cm="1">
        <f t="array" ref="CN219">$BI219 * IF($AH219&lt;=2,
SUMPRODUCT(INDEX($AR$72:$AT$76,,$AI219), INDEX($AU$72:$BA$76,,$AH219), 1 / ($BB$72:$BB$76*CM219 + (1-$BB$72:$BB$76)*CI219), N($AQ$72:$AQ$76&gt;$AO219)),
SUMPRODUCT(INDEX($AR$67:$AT$76,,$AI219), INDEX($AU$67:$BA$76,,$AH219), 1 / ($BC$67:$BC$76*CM219 + (1-$BC$67:$BC$76)*CI219), N($AQ$67:$AQ$76&gt;$AO219))
) / 1000</f>
        <v>0</v>
      </c>
      <c r="CO219" s="232">
        <f t="shared" si="263"/>
        <v>25</v>
      </c>
      <c r="CP219" s="230">
        <f t="shared" si="422"/>
        <v>38</v>
      </c>
      <c r="CQ219" s="235">
        <f t="shared" si="423"/>
        <v>4.0666935483870965</v>
      </c>
      <c r="CR219" s="235" cm="1">
        <f t="array" ref="CR219">$BI219 * IF($AH219&lt;=2,
SUMPRODUCT(INDEX($AR$67:$AT$71,,$AI219), INDEX($AU$67:$BA$71,,$AH219), 1 / ($BB$67:$BB$71*CQ219 + (1-$BB$67:$BB$71)*CM219), N($AQ$67:$AQ$71&gt;$AO219)),
SUMPRODUCT(INDEX($AR$57:$AT$66,,$AI219), INDEX($AU$57:$BA$66,,$AH219), 1 / ($BC$57:$BC$66*CQ219 + (1-$BC$57:$BC$66)*CM219), N($AQ$57:$AQ$66&gt;$AO219))
) / 1000</f>
        <v>0</v>
      </c>
      <c r="CS219" s="232">
        <f t="shared" si="266"/>
        <v>20</v>
      </c>
      <c r="CT219" s="230">
        <f t="shared" si="424"/>
        <v>33</v>
      </c>
      <c r="CU219" s="235">
        <f t="shared" si="425"/>
        <v>4.8487499999999999</v>
      </c>
      <c r="CV219" s="235" cm="1">
        <f t="array" ref="CV219">$BI219 * IF($AH219&lt;=2,
SUMPRODUCT(INDEX($AR$62:$AT$66,,$AI219), INDEX($AU$62:$BA$66,,$AH219), 1 / ($BB$62:$BB$66*CU219 + (1-$BB$62:$BB$66)*CQ219), N($AQ$62:$AQ$66&gt;$AO219)),
SUMPRODUCT(INDEX($AR$47:$AT$56,,$AI219), INDEX($AU$47:$BA$56,,$AH219), 1 / ($BC$47:$BC$56*CU219 + (1-$BC$47:$BC$56)*CQ219), N($AQ$47:$AQ$56&gt;$AO219))
) / 1000</f>
        <v>0</v>
      </c>
      <c r="CW219" s="235" cm="1">
        <f t="array" ref="CW219">$BI219 * IF($AH219&lt;=2,
SUMPRODUCT(INDEX($AR$23:$AT$61,,$AI219), INDEX($AU$23:$BA$61,,$AH219), 1 / ($BB$23:$BB$61*CU219), N($AQ$23:$AQ$61&gt;$AO219)),
SUMPRODUCT(INDEX($AR$23:$AT$46,,$AI219), INDEX($AU$23:$BA$46,,$AH219), 1 / ($BC$23:$BC$46*CU219), N($AQ$23:$AQ$46&gt;$AO219))
) / 1000</f>
        <v>0</v>
      </c>
      <c r="CX219" s="230">
        <f t="shared" si="426"/>
        <v>0</v>
      </c>
      <c r="CY219" s="238"/>
    </row>
    <row r="220" spans="1:103" s="76" customFormat="1" ht="14.25" customHeight="1" x14ac:dyDescent="0.2">
      <c r="A220" s="231" t="b">
        <f t="shared" si="229"/>
        <v>0</v>
      </c>
      <c r="B220" s="245">
        <v>198</v>
      </c>
      <c r="C220" s="258"/>
      <c r="D220" s="258"/>
      <c r="E220" s="246"/>
      <c r="F220" s="247" t="str">
        <f>IF(ISBLANK(E220), "", VLOOKUP(E220, Z!$A$2:$C$4127, 3, FALSE))</f>
        <v/>
      </c>
      <c r="G220" s="248"/>
      <c r="H220" s="248"/>
      <c r="I220" s="249"/>
      <c r="J220" s="250"/>
      <c r="K220" s="259"/>
      <c r="L220" s="260"/>
      <c r="M220" s="252" t="str" cm="1">
        <f t="array" ref="M220">INDEX(Trad, 53, $A$20)</f>
        <v>Verschmutzt</v>
      </c>
      <c r="N220" s="253"/>
      <c r="O220" s="253"/>
      <c r="P220" s="254"/>
      <c r="Q220" s="251"/>
      <c r="R220" s="251"/>
      <c r="S220" s="264">
        <f t="shared" si="401"/>
        <v>0</v>
      </c>
      <c r="T220" s="252" t="str" cm="1">
        <f t="array" ref="T220">INDEX(Trad, 52, $A$20)</f>
        <v>Sauber</v>
      </c>
      <c r="U220" s="253"/>
      <c r="V220" s="253"/>
      <c r="W220" s="254"/>
      <c r="X220" s="251"/>
      <c r="Y220" s="251"/>
      <c r="Z220" s="264">
        <f t="shared" si="402"/>
        <v>0</v>
      </c>
      <c r="AA220" s="261"/>
      <c r="AB220" s="258"/>
      <c r="AC220" s="246"/>
      <c r="AD220" s="247" t="str">
        <f>IF(ISBLANK(AC220), "", VLOOKUP(AC220, Z!$A$2:$C$4127, 3, FALSE))</f>
        <v/>
      </c>
      <c r="AE220" s="262"/>
      <c r="AF220" s="263">
        <f t="shared" si="403"/>
        <v>0</v>
      </c>
      <c r="AG220" s="238"/>
      <c r="AH220" s="229">
        <f t="shared" si="427"/>
        <v>1</v>
      </c>
      <c r="AI220" s="229">
        <f t="shared" si="428"/>
        <v>1</v>
      </c>
      <c r="AJ220" s="229">
        <f t="shared" si="429"/>
        <v>0</v>
      </c>
      <c r="AK220" s="229">
        <v>0</v>
      </c>
      <c r="AL220" s="229">
        <v>0</v>
      </c>
      <c r="AM220" s="229">
        <v>1</v>
      </c>
      <c r="AN220" s="229">
        <v>0</v>
      </c>
      <c r="AO220" s="229">
        <f t="shared" si="404"/>
        <v>-100</v>
      </c>
      <c r="AP220" s="238"/>
      <c r="AQ220" s="255"/>
      <c r="AR220" s="255"/>
      <c r="AS220" s="256"/>
      <c r="AT220" s="256"/>
      <c r="AU220" s="256"/>
      <c r="AV220" s="256"/>
      <c r="AW220" s="256"/>
      <c r="AX220" s="256"/>
      <c r="AY220" s="256"/>
      <c r="AZ220" s="256"/>
      <c r="BA220" s="256"/>
      <c r="BB220" s="256"/>
      <c r="BC220" s="256"/>
      <c r="BD220" s="238"/>
      <c r="BE220" s="229" cm="1">
        <f t="array" ref="BE220">IF(ISBLANK(R220), INDEX(Use, $AH220, 4) - AM220*INDEX(Use, $AH220, 6), R220)</f>
        <v>5</v>
      </c>
      <c r="BF220" s="229">
        <f t="shared" si="405"/>
        <v>30</v>
      </c>
      <c r="BG220" s="229">
        <f t="shared" si="241"/>
        <v>13</v>
      </c>
      <c r="BH220" s="229">
        <f t="shared" si="242"/>
        <v>0</v>
      </c>
      <c r="BI220" s="234" cm="1">
        <f t="array" ref="BI220">K220/IF($L220&gt;0, INDEX($AU$23:$BA$77, $L220+20, $AH220), 1)</f>
        <v>0</v>
      </c>
      <c r="BJ220" s="230">
        <f t="shared" si="406"/>
        <v>0</v>
      </c>
      <c r="BK220" s="229">
        <v>35</v>
      </c>
      <c r="BL220" s="230">
        <f t="shared" si="407"/>
        <v>48</v>
      </c>
      <c r="BM220" s="235">
        <f t="shared" si="408"/>
        <v>2.9108720930232557</v>
      </c>
      <c r="BN220" s="235" cm="1">
        <f t="array" ref="BN220">$BI220 * SUMPRODUCT(INDEX($AR$77:$AT$82,,$AI220),INDEX($AU$77:$BA$82,,$AH220), N($AQ$77:$AQ$82&gt;$AO220)) / BM220 / 1000</f>
        <v>0</v>
      </c>
      <c r="BO220" s="232">
        <f t="shared" si="246"/>
        <v>30</v>
      </c>
      <c r="BP220" s="230">
        <f t="shared" si="409"/>
        <v>43</v>
      </c>
      <c r="BQ220" s="235">
        <f t="shared" si="410"/>
        <v>3.2938815789473681</v>
      </c>
      <c r="BR220" s="235" cm="1">
        <f t="array" ref="BR220">$BI220 * IF($AH220&lt;=2,
SUMPRODUCT(INDEX($AR$72:$AT$76,,$AI220), INDEX($AU$72:$BA$76,,$AH220), 1 / ($BB$72:$BB$76*BQ220 + (1-$BB$72:$BB$76)*BM220), N($AQ$72:$AQ$76&gt;$AO220)),
SUMPRODUCT(INDEX($AR$67:$AT$76,,$AI220), INDEX($AU$67:$BA$76,,$AH220), 1 / ($BC$67:$BC$76*BQ220 + (1-$BC$67:$BC$76)*BM220), N($AQ$67:$AQ$76&gt;$AO220))
) / 1000</f>
        <v>0</v>
      </c>
      <c r="BS220" s="232">
        <f t="shared" si="249"/>
        <v>25</v>
      </c>
      <c r="BT220" s="230">
        <f t="shared" si="411"/>
        <v>38</v>
      </c>
      <c r="BU220" s="235">
        <f t="shared" si="412"/>
        <v>3.792954545454545</v>
      </c>
      <c r="BV220" s="235" cm="1">
        <f t="array" ref="BV220">$BI220 * IF($AH220&lt;=2,
SUMPRODUCT(INDEX($AR$67:$AT$71,,$AI220), INDEX($AU$67:$BA$71,,$AH220), 1 / ($BB$67:$BB$71*BU220 + (1-$BB$67:$BB$71)*BQ220), N($AQ$67:$AQ$71&gt;$AO220)),
SUMPRODUCT(INDEX($AR$57:$AT$66,,$AI220), INDEX($AU$57:$BA$66,,$AH220), 1 / ($BC$57:$BC$66*BU220 + (1-$BC$57:$BC$66)*BQ220), N($AQ$57:$AQ$66&gt;$AO220))
) / 1000</f>
        <v>0</v>
      </c>
      <c r="BW220" s="232">
        <f t="shared" si="252"/>
        <v>20</v>
      </c>
      <c r="BX220" s="230">
        <f t="shared" si="413"/>
        <v>33</v>
      </c>
      <c r="BY220" s="235">
        <f t="shared" si="414"/>
        <v>4.4702678571428569</v>
      </c>
      <c r="BZ220" s="235" cm="1">
        <f t="array" ref="BZ220">$BI220 * IF($AH220&lt;=2,
SUMPRODUCT(INDEX($AR$62:$AT$66,,$AI220), INDEX($AU$62:$BA$66,,$AH220), 1 / ($BB$62:$BB$66*BY220 + (1-$BB$62:$BB$66)*BU220), N($AQ$62:$AQ$66&gt;$AO220)),
SUMPRODUCT(INDEX($AR$47:$AT$56,,$AI220), INDEX($AU$47:$BA$56,,$AH220), 1 / ($BC$47:$BC$56*BY220 + (1-$BC$47:$BC$56)*BU220), N($AQ$47:$AQ$56&gt;$AO220))
) / 1000</f>
        <v>0</v>
      </c>
      <c r="CA220" s="235" cm="1">
        <f t="array" ref="CA220">$BI220 * IF($AH220&lt;=2,
SUMPRODUCT(INDEX($AR$23:$AT$61,,$AI220), INDEX($AU$23:$BA$61,,$AH220), 1 / ($BB$23:$BB$61*BY220), N($AQ$23:$AQ$61&gt;$AO220)),
SUMPRODUCT(INDEX($AR$23:$AT$46,,$AI220), INDEX($AU$23:$BA$46,,$AH220), 1 / ($BC$23:$BC$46*BY220), N($AQ$23:$AQ$46&gt;$AO220))
) / 1000</f>
        <v>0</v>
      </c>
      <c r="CB220" s="230">
        <f t="shared" si="415"/>
        <v>0</v>
      </c>
      <c r="CC220" s="238"/>
      <c r="CD220" s="229" cm="1">
        <f t="array" ref="CD220">IF(ISBLANK(Y220), INDEX(Use, $AH220, 4) - AN220*INDEX(Use, $AH220, 6) - (Q220-X220), Y220)</f>
        <v>7</v>
      </c>
      <c r="CE220" s="229">
        <f t="shared" si="416"/>
        <v>32</v>
      </c>
      <c r="CF220" s="230">
        <f t="shared" si="417"/>
        <v>0</v>
      </c>
      <c r="CG220" s="229">
        <v>35</v>
      </c>
      <c r="CH220" s="230">
        <f t="shared" si="418"/>
        <v>48</v>
      </c>
      <c r="CI220" s="235">
        <f t="shared" si="419"/>
        <v>3.0748170731707316</v>
      </c>
      <c r="CJ220" s="235" cm="1">
        <f t="array" ref="CJ220">$BI220 * SUMPRODUCT(INDEX($AR$77:$AT$82,,$AI220),INDEX($AU$77:$BA$82,,$AH220), N($AQ$77:$AQ$82&gt;$AO220)) / CI220 / 1000</f>
        <v>0</v>
      </c>
      <c r="CK220" s="232">
        <f t="shared" si="260"/>
        <v>30</v>
      </c>
      <c r="CL220" s="230">
        <f t="shared" si="420"/>
        <v>43</v>
      </c>
      <c r="CM220" s="235">
        <f t="shared" si="421"/>
        <v>3.5018750000000001</v>
      </c>
      <c r="CN220" s="235" cm="1">
        <f t="array" ref="CN220">$BI220 * IF($AH220&lt;=2,
SUMPRODUCT(INDEX($AR$72:$AT$76,,$AI220), INDEX($AU$72:$BA$76,,$AH220), 1 / ($BB$72:$BB$76*CM220 + (1-$BB$72:$BB$76)*CI220), N($AQ$72:$AQ$76&gt;$AO220)),
SUMPRODUCT(INDEX($AR$67:$AT$76,,$AI220), INDEX($AU$67:$BA$76,,$AH220), 1 / ($BC$67:$BC$76*CM220 + (1-$BC$67:$BC$76)*CI220), N($AQ$67:$AQ$76&gt;$AO220))
) / 1000</f>
        <v>0</v>
      </c>
      <c r="CO220" s="232">
        <f t="shared" si="263"/>
        <v>25</v>
      </c>
      <c r="CP220" s="230">
        <f t="shared" si="422"/>
        <v>38</v>
      </c>
      <c r="CQ220" s="235">
        <f t="shared" si="423"/>
        <v>4.0666935483870965</v>
      </c>
      <c r="CR220" s="235" cm="1">
        <f t="array" ref="CR220">$BI220 * IF($AH220&lt;=2,
SUMPRODUCT(INDEX($AR$67:$AT$71,,$AI220), INDEX($AU$67:$BA$71,,$AH220), 1 / ($BB$67:$BB$71*CQ220 + (1-$BB$67:$BB$71)*CM220), N($AQ$67:$AQ$71&gt;$AO220)),
SUMPRODUCT(INDEX($AR$57:$AT$66,,$AI220), INDEX($AU$57:$BA$66,,$AH220), 1 / ($BC$57:$BC$66*CQ220 + (1-$BC$57:$BC$66)*CM220), N($AQ$57:$AQ$66&gt;$AO220))
) / 1000</f>
        <v>0</v>
      </c>
      <c r="CS220" s="232">
        <f t="shared" si="266"/>
        <v>20</v>
      </c>
      <c r="CT220" s="230">
        <f t="shared" si="424"/>
        <v>33</v>
      </c>
      <c r="CU220" s="235">
        <f t="shared" si="425"/>
        <v>4.8487499999999999</v>
      </c>
      <c r="CV220" s="235" cm="1">
        <f t="array" ref="CV220">$BI220 * IF($AH220&lt;=2,
SUMPRODUCT(INDEX($AR$62:$AT$66,,$AI220), INDEX($AU$62:$BA$66,,$AH220), 1 / ($BB$62:$BB$66*CU220 + (1-$BB$62:$BB$66)*CQ220), N($AQ$62:$AQ$66&gt;$AO220)),
SUMPRODUCT(INDEX($AR$47:$AT$56,,$AI220), INDEX($AU$47:$BA$56,,$AH220), 1 / ($BC$47:$BC$56*CU220 + (1-$BC$47:$BC$56)*CQ220), N($AQ$47:$AQ$56&gt;$AO220))
) / 1000</f>
        <v>0</v>
      </c>
      <c r="CW220" s="235" cm="1">
        <f t="array" ref="CW220">$BI220 * IF($AH220&lt;=2,
SUMPRODUCT(INDEX($AR$23:$AT$61,,$AI220), INDEX($AU$23:$BA$61,,$AH220), 1 / ($BB$23:$BB$61*CU220), N($AQ$23:$AQ$61&gt;$AO220)),
SUMPRODUCT(INDEX($AR$23:$AT$46,,$AI220), INDEX($AU$23:$BA$46,,$AH220), 1 / ($BC$23:$BC$46*CU220), N($AQ$23:$AQ$46&gt;$AO220))
) / 1000</f>
        <v>0</v>
      </c>
      <c r="CX220" s="230">
        <f t="shared" si="426"/>
        <v>0</v>
      </c>
      <c r="CY220" s="238"/>
    </row>
    <row r="221" spans="1:103" s="76" customFormat="1" ht="14.25" customHeight="1" x14ac:dyDescent="0.2">
      <c r="A221" s="231" t="b">
        <f t="shared" si="229"/>
        <v>0</v>
      </c>
      <c r="B221" s="245">
        <v>199</v>
      </c>
      <c r="C221" s="258"/>
      <c r="D221" s="258"/>
      <c r="E221" s="246"/>
      <c r="F221" s="247" t="str">
        <f>IF(ISBLANK(E221), "", VLOOKUP(E221, Z!$A$2:$C$4127, 3, FALSE))</f>
        <v/>
      </c>
      <c r="G221" s="248"/>
      <c r="H221" s="248"/>
      <c r="I221" s="249"/>
      <c r="J221" s="250"/>
      <c r="K221" s="259"/>
      <c r="L221" s="260"/>
      <c r="M221" s="252" t="str" cm="1">
        <f t="array" ref="M221">INDEX(Trad, 53, $A$20)</f>
        <v>Verschmutzt</v>
      </c>
      <c r="N221" s="253"/>
      <c r="O221" s="253"/>
      <c r="P221" s="254"/>
      <c r="Q221" s="251"/>
      <c r="R221" s="251"/>
      <c r="S221" s="264">
        <f t="shared" si="401"/>
        <v>0</v>
      </c>
      <c r="T221" s="252" t="str" cm="1">
        <f t="array" ref="T221">INDEX(Trad, 52, $A$20)</f>
        <v>Sauber</v>
      </c>
      <c r="U221" s="253"/>
      <c r="V221" s="253"/>
      <c r="W221" s="254"/>
      <c r="X221" s="251"/>
      <c r="Y221" s="251"/>
      <c r="Z221" s="264">
        <f t="shared" si="402"/>
        <v>0</v>
      </c>
      <c r="AA221" s="261"/>
      <c r="AB221" s="258"/>
      <c r="AC221" s="246"/>
      <c r="AD221" s="247" t="str">
        <f>IF(ISBLANK(AC221), "", VLOOKUP(AC221, Z!$A$2:$C$4127, 3, FALSE))</f>
        <v/>
      </c>
      <c r="AE221" s="262"/>
      <c r="AF221" s="263">
        <f t="shared" si="403"/>
        <v>0</v>
      </c>
      <c r="AG221" s="238"/>
      <c r="AH221" s="229">
        <f t="shared" si="427"/>
        <v>1</v>
      </c>
      <c r="AI221" s="229">
        <f t="shared" si="428"/>
        <v>1</v>
      </c>
      <c r="AJ221" s="229">
        <f t="shared" si="429"/>
        <v>0</v>
      </c>
      <c r="AK221" s="229">
        <v>0</v>
      </c>
      <c r="AL221" s="229">
        <v>0</v>
      </c>
      <c r="AM221" s="229">
        <v>1</v>
      </c>
      <c r="AN221" s="229">
        <v>0</v>
      </c>
      <c r="AO221" s="229">
        <f t="shared" si="404"/>
        <v>-100</v>
      </c>
      <c r="AP221" s="238"/>
      <c r="AQ221" s="255"/>
      <c r="AR221" s="255"/>
      <c r="AS221" s="256"/>
      <c r="AT221" s="256"/>
      <c r="AU221" s="256"/>
      <c r="AV221" s="256"/>
      <c r="AW221" s="256"/>
      <c r="AX221" s="256"/>
      <c r="AY221" s="256"/>
      <c r="AZ221" s="256"/>
      <c r="BA221" s="256"/>
      <c r="BB221" s="256"/>
      <c r="BC221" s="256"/>
      <c r="BD221" s="238"/>
      <c r="BE221" s="229" cm="1">
        <f t="array" ref="BE221">IF(ISBLANK(R221), INDEX(Use, $AH221, 4) - AM221*INDEX(Use, $AH221, 6), R221)</f>
        <v>5</v>
      </c>
      <c r="BF221" s="229">
        <f t="shared" si="405"/>
        <v>30</v>
      </c>
      <c r="BG221" s="229">
        <f t="shared" si="241"/>
        <v>13</v>
      </c>
      <c r="BH221" s="229">
        <f t="shared" si="242"/>
        <v>0</v>
      </c>
      <c r="BI221" s="234" cm="1">
        <f t="array" ref="BI221">K221/IF($L221&gt;0, INDEX($AU$23:$BA$77, $L221+20, $AH221), 1)</f>
        <v>0</v>
      </c>
      <c r="BJ221" s="230">
        <f t="shared" si="406"/>
        <v>0</v>
      </c>
      <c r="BK221" s="229">
        <v>35</v>
      </c>
      <c r="BL221" s="230">
        <f t="shared" si="407"/>
        <v>48</v>
      </c>
      <c r="BM221" s="235">
        <f t="shared" si="408"/>
        <v>2.9108720930232557</v>
      </c>
      <c r="BN221" s="235" cm="1">
        <f t="array" ref="BN221">$BI221 * SUMPRODUCT(INDEX($AR$77:$AT$82,,$AI221),INDEX($AU$77:$BA$82,,$AH221), N($AQ$77:$AQ$82&gt;$AO221)) / BM221 / 1000</f>
        <v>0</v>
      </c>
      <c r="BO221" s="232">
        <f t="shared" si="246"/>
        <v>30</v>
      </c>
      <c r="BP221" s="230">
        <f t="shared" si="409"/>
        <v>43</v>
      </c>
      <c r="BQ221" s="235">
        <f t="shared" si="410"/>
        <v>3.2938815789473681</v>
      </c>
      <c r="BR221" s="235" cm="1">
        <f t="array" ref="BR221">$BI221 * IF($AH221&lt;=2,
SUMPRODUCT(INDEX($AR$72:$AT$76,,$AI221), INDEX($AU$72:$BA$76,,$AH221), 1 / ($BB$72:$BB$76*BQ221 + (1-$BB$72:$BB$76)*BM221), N($AQ$72:$AQ$76&gt;$AO221)),
SUMPRODUCT(INDEX($AR$67:$AT$76,,$AI221), INDEX($AU$67:$BA$76,,$AH221), 1 / ($BC$67:$BC$76*BQ221 + (1-$BC$67:$BC$76)*BM221), N($AQ$67:$AQ$76&gt;$AO221))
) / 1000</f>
        <v>0</v>
      </c>
      <c r="BS221" s="232">
        <f t="shared" si="249"/>
        <v>25</v>
      </c>
      <c r="BT221" s="230">
        <f t="shared" si="411"/>
        <v>38</v>
      </c>
      <c r="BU221" s="235">
        <f t="shared" si="412"/>
        <v>3.792954545454545</v>
      </c>
      <c r="BV221" s="235" cm="1">
        <f t="array" ref="BV221">$BI221 * IF($AH221&lt;=2,
SUMPRODUCT(INDEX($AR$67:$AT$71,,$AI221), INDEX($AU$67:$BA$71,,$AH221), 1 / ($BB$67:$BB$71*BU221 + (1-$BB$67:$BB$71)*BQ221), N($AQ$67:$AQ$71&gt;$AO221)),
SUMPRODUCT(INDEX($AR$57:$AT$66,,$AI221), INDEX($AU$57:$BA$66,,$AH221), 1 / ($BC$57:$BC$66*BU221 + (1-$BC$57:$BC$66)*BQ221), N($AQ$57:$AQ$66&gt;$AO221))
) / 1000</f>
        <v>0</v>
      </c>
      <c r="BW221" s="232">
        <f t="shared" si="252"/>
        <v>20</v>
      </c>
      <c r="BX221" s="230">
        <f t="shared" si="413"/>
        <v>33</v>
      </c>
      <c r="BY221" s="235">
        <f t="shared" si="414"/>
        <v>4.4702678571428569</v>
      </c>
      <c r="BZ221" s="235" cm="1">
        <f t="array" ref="BZ221">$BI221 * IF($AH221&lt;=2,
SUMPRODUCT(INDEX($AR$62:$AT$66,,$AI221), INDEX($AU$62:$BA$66,,$AH221), 1 / ($BB$62:$BB$66*BY221 + (1-$BB$62:$BB$66)*BU221), N($AQ$62:$AQ$66&gt;$AO221)),
SUMPRODUCT(INDEX($AR$47:$AT$56,,$AI221), INDEX($AU$47:$BA$56,,$AH221), 1 / ($BC$47:$BC$56*BY221 + (1-$BC$47:$BC$56)*BU221), N($AQ$47:$AQ$56&gt;$AO221))
) / 1000</f>
        <v>0</v>
      </c>
      <c r="CA221" s="235" cm="1">
        <f t="array" ref="CA221">$BI221 * IF($AH221&lt;=2,
SUMPRODUCT(INDEX($AR$23:$AT$61,,$AI221), INDEX($AU$23:$BA$61,,$AH221), 1 / ($BB$23:$BB$61*BY221), N($AQ$23:$AQ$61&gt;$AO221)),
SUMPRODUCT(INDEX($AR$23:$AT$46,,$AI221), INDEX($AU$23:$BA$46,,$AH221), 1 / ($BC$23:$BC$46*BY221), N($AQ$23:$AQ$46&gt;$AO221))
) / 1000</f>
        <v>0</v>
      </c>
      <c r="CB221" s="230">
        <f t="shared" si="415"/>
        <v>0</v>
      </c>
      <c r="CC221" s="238"/>
      <c r="CD221" s="229" cm="1">
        <f t="array" ref="CD221">IF(ISBLANK(Y221), INDEX(Use, $AH221, 4) - AN221*INDEX(Use, $AH221, 6) - (Q221-X221), Y221)</f>
        <v>7</v>
      </c>
      <c r="CE221" s="229">
        <f t="shared" si="416"/>
        <v>32</v>
      </c>
      <c r="CF221" s="230">
        <f t="shared" si="417"/>
        <v>0</v>
      </c>
      <c r="CG221" s="229">
        <v>35</v>
      </c>
      <c r="CH221" s="230">
        <f t="shared" si="418"/>
        <v>48</v>
      </c>
      <c r="CI221" s="235">
        <f t="shared" si="419"/>
        <v>3.0748170731707316</v>
      </c>
      <c r="CJ221" s="235" cm="1">
        <f t="array" ref="CJ221">$BI221 * SUMPRODUCT(INDEX($AR$77:$AT$82,,$AI221),INDEX($AU$77:$BA$82,,$AH221), N($AQ$77:$AQ$82&gt;$AO221)) / CI221 / 1000</f>
        <v>0</v>
      </c>
      <c r="CK221" s="232">
        <f t="shared" si="260"/>
        <v>30</v>
      </c>
      <c r="CL221" s="230">
        <f t="shared" si="420"/>
        <v>43</v>
      </c>
      <c r="CM221" s="235">
        <f t="shared" si="421"/>
        <v>3.5018750000000001</v>
      </c>
      <c r="CN221" s="235" cm="1">
        <f t="array" ref="CN221">$BI221 * IF($AH221&lt;=2,
SUMPRODUCT(INDEX($AR$72:$AT$76,,$AI221), INDEX($AU$72:$BA$76,,$AH221), 1 / ($BB$72:$BB$76*CM221 + (1-$BB$72:$BB$76)*CI221), N($AQ$72:$AQ$76&gt;$AO221)),
SUMPRODUCT(INDEX($AR$67:$AT$76,,$AI221), INDEX($AU$67:$BA$76,,$AH221), 1 / ($BC$67:$BC$76*CM221 + (1-$BC$67:$BC$76)*CI221), N($AQ$67:$AQ$76&gt;$AO221))
) / 1000</f>
        <v>0</v>
      </c>
      <c r="CO221" s="232">
        <f t="shared" si="263"/>
        <v>25</v>
      </c>
      <c r="CP221" s="230">
        <f t="shared" si="422"/>
        <v>38</v>
      </c>
      <c r="CQ221" s="235">
        <f t="shared" si="423"/>
        <v>4.0666935483870965</v>
      </c>
      <c r="CR221" s="235" cm="1">
        <f t="array" ref="CR221">$BI221 * IF($AH221&lt;=2,
SUMPRODUCT(INDEX($AR$67:$AT$71,,$AI221), INDEX($AU$67:$BA$71,,$AH221), 1 / ($BB$67:$BB$71*CQ221 + (1-$BB$67:$BB$71)*CM221), N($AQ$67:$AQ$71&gt;$AO221)),
SUMPRODUCT(INDEX($AR$57:$AT$66,,$AI221), INDEX($AU$57:$BA$66,,$AH221), 1 / ($BC$57:$BC$66*CQ221 + (1-$BC$57:$BC$66)*CM221), N($AQ$57:$AQ$66&gt;$AO221))
) / 1000</f>
        <v>0</v>
      </c>
      <c r="CS221" s="232">
        <f t="shared" si="266"/>
        <v>20</v>
      </c>
      <c r="CT221" s="230">
        <f t="shared" si="424"/>
        <v>33</v>
      </c>
      <c r="CU221" s="235">
        <f t="shared" si="425"/>
        <v>4.8487499999999999</v>
      </c>
      <c r="CV221" s="235" cm="1">
        <f t="array" ref="CV221">$BI221 * IF($AH221&lt;=2,
SUMPRODUCT(INDEX($AR$62:$AT$66,,$AI221), INDEX($AU$62:$BA$66,,$AH221), 1 / ($BB$62:$BB$66*CU221 + (1-$BB$62:$BB$66)*CQ221), N($AQ$62:$AQ$66&gt;$AO221)),
SUMPRODUCT(INDEX($AR$47:$AT$56,,$AI221), INDEX($AU$47:$BA$56,,$AH221), 1 / ($BC$47:$BC$56*CU221 + (1-$BC$47:$BC$56)*CQ221), N($AQ$47:$AQ$56&gt;$AO221))
) / 1000</f>
        <v>0</v>
      </c>
      <c r="CW221" s="235" cm="1">
        <f t="array" ref="CW221">$BI221 * IF($AH221&lt;=2,
SUMPRODUCT(INDEX($AR$23:$AT$61,,$AI221), INDEX($AU$23:$BA$61,,$AH221), 1 / ($BB$23:$BB$61*CU221), N($AQ$23:$AQ$61&gt;$AO221)),
SUMPRODUCT(INDEX($AR$23:$AT$46,,$AI221), INDEX($AU$23:$BA$46,,$AH221), 1 / ($BC$23:$BC$46*CU221), N($AQ$23:$AQ$46&gt;$AO221))
) / 1000</f>
        <v>0</v>
      </c>
      <c r="CX221" s="230">
        <f t="shared" si="426"/>
        <v>0</v>
      </c>
      <c r="CY221" s="238"/>
    </row>
    <row r="222" spans="1:103" s="76" customFormat="1" ht="14.25" customHeight="1" x14ac:dyDescent="0.2">
      <c r="A222" s="231" t="b">
        <f t="shared" si="229"/>
        <v>0</v>
      </c>
      <c r="B222" s="245">
        <v>200</v>
      </c>
      <c r="C222" s="258"/>
      <c r="D222" s="258"/>
      <c r="E222" s="246"/>
      <c r="F222" s="247" t="str">
        <f>IF(ISBLANK(E222), "", VLOOKUP(E222, Z!$A$2:$C$4127, 3, FALSE))</f>
        <v/>
      </c>
      <c r="G222" s="248"/>
      <c r="H222" s="248"/>
      <c r="I222" s="249"/>
      <c r="J222" s="250"/>
      <c r="K222" s="259"/>
      <c r="L222" s="260"/>
      <c r="M222" s="252" t="str" cm="1">
        <f t="array" ref="M222">INDEX(Trad, 53, $A$20)</f>
        <v>Verschmutzt</v>
      </c>
      <c r="N222" s="253"/>
      <c r="O222" s="253"/>
      <c r="P222" s="254"/>
      <c r="Q222" s="251"/>
      <c r="R222" s="251"/>
      <c r="S222" s="264">
        <f t="shared" si="401"/>
        <v>0</v>
      </c>
      <c r="T222" s="252" t="str" cm="1">
        <f t="array" ref="T222">INDEX(Trad, 52, $A$20)</f>
        <v>Sauber</v>
      </c>
      <c r="U222" s="253"/>
      <c r="V222" s="253"/>
      <c r="W222" s="254"/>
      <c r="X222" s="251"/>
      <c r="Y222" s="251"/>
      <c r="Z222" s="264">
        <f t="shared" si="402"/>
        <v>0</v>
      </c>
      <c r="AA222" s="261"/>
      <c r="AB222" s="258"/>
      <c r="AC222" s="246"/>
      <c r="AD222" s="247" t="str">
        <f>IF(ISBLANK(AC222), "", VLOOKUP(AC222, Z!$A$2:$C$4127, 3, FALSE))</f>
        <v/>
      </c>
      <c r="AE222" s="262"/>
      <c r="AF222" s="263">
        <f t="shared" si="403"/>
        <v>0</v>
      </c>
      <c r="AG222" s="238"/>
      <c r="AH222" s="229">
        <f t="shared" si="427"/>
        <v>1</v>
      </c>
      <c r="AI222" s="229">
        <f t="shared" si="428"/>
        <v>1</v>
      </c>
      <c r="AJ222" s="229">
        <f t="shared" si="429"/>
        <v>0</v>
      </c>
      <c r="AK222" s="229">
        <v>0</v>
      </c>
      <c r="AL222" s="229">
        <v>0</v>
      </c>
      <c r="AM222" s="229">
        <v>1</v>
      </c>
      <c r="AN222" s="229">
        <v>0</v>
      </c>
      <c r="AO222" s="229">
        <f t="shared" si="404"/>
        <v>-100</v>
      </c>
      <c r="AP222" s="238"/>
      <c r="AQ222" s="255"/>
      <c r="AR222" s="255"/>
      <c r="AS222" s="256"/>
      <c r="AT222" s="256"/>
      <c r="AU222" s="256"/>
      <c r="AV222" s="256"/>
      <c r="AW222" s="256"/>
      <c r="AX222" s="256"/>
      <c r="AY222" s="256"/>
      <c r="AZ222" s="256"/>
      <c r="BA222" s="256"/>
      <c r="BB222" s="256"/>
      <c r="BC222" s="256"/>
      <c r="BD222" s="238"/>
      <c r="BE222" s="229" cm="1">
        <f t="array" ref="BE222">IF(ISBLANK(R222), INDEX(Use, $AH222, 4) - AM222*INDEX(Use, $AH222, 6), R222)</f>
        <v>5</v>
      </c>
      <c r="BF222" s="229">
        <f t="shared" si="405"/>
        <v>30</v>
      </c>
      <c r="BG222" s="229">
        <f t="shared" si="241"/>
        <v>13</v>
      </c>
      <c r="BH222" s="229">
        <f t="shared" si="242"/>
        <v>0</v>
      </c>
      <c r="BI222" s="234" cm="1">
        <f t="array" ref="BI222">K222/IF($L222&gt;0, INDEX($AU$23:$BA$77, $L222+20, $AH222), 1)</f>
        <v>0</v>
      </c>
      <c r="BJ222" s="230">
        <f t="shared" si="406"/>
        <v>0</v>
      </c>
      <c r="BK222" s="229">
        <v>35</v>
      </c>
      <c r="BL222" s="230">
        <f t="shared" si="407"/>
        <v>48</v>
      </c>
      <c r="BM222" s="235">
        <f t="shared" si="408"/>
        <v>2.9108720930232557</v>
      </c>
      <c r="BN222" s="235" cm="1">
        <f t="array" ref="BN222">$BI222 * SUMPRODUCT(INDEX($AR$77:$AT$82,,$AI222),INDEX($AU$77:$BA$82,,$AH222), N($AQ$77:$AQ$82&gt;$AO222)) / BM222 / 1000</f>
        <v>0</v>
      </c>
      <c r="BO222" s="232">
        <f t="shared" si="246"/>
        <v>30</v>
      </c>
      <c r="BP222" s="230">
        <f t="shared" si="409"/>
        <v>43</v>
      </c>
      <c r="BQ222" s="235">
        <f t="shared" si="410"/>
        <v>3.2938815789473681</v>
      </c>
      <c r="BR222" s="235" cm="1">
        <f t="array" ref="BR222">$BI222 * IF($AH222&lt;=2,
SUMPRODUCT(INDEX($AR$72:$AT$76,,$AI222), INDEX($AU$72:$BA$76,,$AH222), 1 / ($BB$72:$BB$76*BQ222 + (1-$BB$72:$BB$76)*BM222), N($AQ$72:$AQ$76&gt;$AO222)),
SUMPRODUCT(INDEX($AR$67:$AT$76,,$AI222), INDEX($AU$67:$BA$76,,$AH222), 1 / ($BC$67:$BC$76*BQ222 + (1-$BC$67:$BC$76)*BM222), N($AQ$67:$AQ$76&gt;$AO222))
) / 1000</f>
        <v>0</v>
      </c>
      <c r="BS222" s="232">
        <f t="shared" si="249"/>
        <v>25</v>
      </c>
      <c r="BT222" s="230">
        <f t="shared" si="411"/>
        <v>38</v>
      </c>
      <c r="BU222" s="235">
        <f t="shared" si="412"/>
        <v>3.792954545454545</v>
      </c>
      <c r="BV222" s="235" cm="1">
        <f t="array" ref="BV222">$BI222 * IF($AH222&lt;=2,
SUMPRODUCT(INDEX($AR$67:$AT$71,,$AI222), INDEX($AU$67:$BA$71,,$AH222), 1 / ($BB$67:$BB$71*BU222 + (1-$BB$67:$BB$71)*BQ222), N($AQ$67:$AQ$71&gt;$AO222)),
SUMPRODUCT(INDEX($AR$57:$AT$66,,$AI222), INDEX($AU$57:$BA$66,,$AH222), 1 / ($BC$57:$BC$66*BU222 + (1-$BC$57:$BC$66)*BQ222), N($AQ$57:$AQ$66&gt;$AO222))
) / 1000</f>
        <v>0</v>
      </c>
      <c r="BW222" s="232">
        <f t="shared" si="252"/>
        <v>20</v>
      </c>
      <c r="BX222" s="230">
        <f t="shared" si="413"/>
        <v>33</v>
      </c>
      <c r="BY222" s="235">
        <f t="shared" si="414"/>
        <v>4.4702678571428569</v>
      </c>
      <c r="BZ222" s="235" cm="1">
        <f t="array" ref="BZ222">$BI222 * IF($AH222&lt;=2,
SUMPRODUCT(INDEX($AR$62:$AT$66,,$AI222), INDEX($AU$62:$BA$66,,$AH222), 1 / ($BB$62:$BB$66*BY222 + (1-$BB$62:$BB$66)*BU222), N($AQ$62:$AQ$66&gt;$AO222)),
SUMPRODUCT(INDEX($AR$47:$AT$56,,$AI222), INDEX($AU$47:$BA$56,,$AH222), 1 / ($BC$47:$BC$56*BY222 + (1-$BC$47:$BC$56)*BU222), N($AQ$47:$AQ$56&gt;$AO222))
) / 1000</f>
        <v>0</v>
      </c>
      <c r="CA222" s="235" cm="1">
        <f t="array" ref="CA222">$BI222 * IF($AH222&lt;=2,
SUMPRODUCT(INDEX($AR$23:$AT$61,,$AI222), INDEX($AU$23:$BA$61,,$AH222), 1 / ($BB$23:$BB$61*BY222), N($AQ$23:$AQ$61&gt;$AO222)),
SUMPRODUCT(INDEX($AR$23:$AT$46,,$AI222), INDEX($AU$23:$BA$46,,$AH222), 1 / ($BC$23:$BC$46*BY222), N($AQ$23:$AQ$46&gt;$AO222))
) / 1000</f>
        <v>0</v>
      </c>
      <c r="CB222" s="230">
        <f t="shared" si="415"/>
        <v>0</v>
      </c>
      <c r="CC222" s="238"/>
      <c r="CD222" s="229" cm="1">
        <f t="array" ref="CD222">IF(ISBLANK(Y222), INDEX(Use, $AH222, 4) - AN222*INDEX(Use, $AH222, 6) - (Q222-X222), Y222)</f>
        <v>7</v>
      </c>
      <c r="CE222" s="229">
        <f t="shared" si="416"/>
        <v>32</v>
      </c>
      <c r="CF222" s="230">
        <f t="shared" si="417"/>
        <v>0</v>
      </c>
      <c r="CG222" s="229">
        <v>35</v>
      </c>
      <c r="CH222" s="230">
        <f t="shared" si="418"/>
        <v>48</v>
      </c>
      <c r="CI222" s="235">
        <f t="shared" si="419"/>
        <v>3.0748170731707316</v>
      </c>
      <c r="CJ222" s="235" cm="1">
        <f t="array" ref="CJ222">$BI222 * SUMPRODUCT(INDEX($AR$77:$AT$82,,$AI222),INDEX($AU$77:$BA$82,,$AH222), N($AQ$77:$AQ$82&gt;$AO222)) / CI222 / 1000</f>
        <v>0</v>
      </c>
      <c r="CK222" s="232">
        <f t="shared" si="260"/>
        <v>30</v>
      </c>
      <c r="CL222" s="230">
        <f t="shared" si="420"/>
        <v>43</v>
      </c>
      <c r="CM222" s="235">
        <f t="shared" si="421"/>
        <v>3.5018750000000001</v>
      </c>
      <c r="CN222" s="235" cm="1">
        <f t="array" ref="CN222">$BI222 * IF($AH222&lt;=2,
SUMPRODUCT(INDEX($AR$72:$AT$76,,$AI222), INDEX($AU$72:$BA$76,,$AH222), 1 / ($BB$72:$BB$76*CM222 + (1-$BB$72:$BB$76)*CI222), N($AQ$72:$AQ$76&gt;$AO222)),
SUMPRODUCT(INDEX($AR$67:$AT$76,,$AI222), INDEX($AU$67:$BA$76,,$AH222), 1 / ($BC$67:$BC$76*CM222 + (1-$BC$67:$BC$76)*CI222), N($AQ$67:$AQ$76&gt;$AO222))
) / 1000</f>
        <v>0</v>
      </c>
      <c r="CO222" s="232">
        <f t="shared" si="263"/>
        <v>25</v>
      </c>
      <c r="CP222" s="230">
        <f t="shared" si="422"/>
        <v>38</v>
      </c>
      <c r="CQ222" s="235">
        <f t="shared" si="423"/>
        <v>4.0666935483870965</v>
      </c>
      <c r="CR222" s="235" cm="1">
        <f t="array" ref="CR222">$BI222 * IF($AH222&lt;=2,
SUMPRODUCT(INDEX($AR$67:$AT$71,,$AI222), INDEX($AU$67:$BA$71,,$AH222), 1 / ($BB$67:$BB$71*CQ222 + (1-$BB$67:$BB$71)*CM222), N($AQ$67:$AQ$71&gt;$AO222)),
SUMPRODUCT(INDEX($AR$57:$AT$66,,$AI222), INDEX($AU$57:$BA$66,,$AH222), 1 / ($BC$57:$BC$66*CQ222 + (1-$BC$57:$BC$66)*CM222), N($AQ$57:$AQ$66&gt;$AO222))
) / 1000</f>
        <v>0</v>
      </c>
      <c r="CS222" s="232">
        <f t="shared" si="266"/>
        <v>20</v>
      </c>
      <c r="CT222" s="230">
        <f t="shared" si="424"/>
        <v>33</v>
      </c>
      <c r="CU222" s="235">
        <f t="shared" si="425"/>
        <v>4.8487499999999999</v>
      </c>
      <c r="CV222" s="235" cm="1">
        <f t="array" ref="CV222">$BI222 * IF($AH222&lt;=2,
SUMPRODUCT(INDEX($AR$62:$AT$66,,$AI222), INDEX($AU$62:$BA$66,,$AH222), 1 / ($BB$62:$BB$66*CU222 + (1-$BB$62:$BB$66)*CQ222), N($AQ$62:$AQ$66&gt;$AO222)),
SUMPRODUCT(INDEX($AR$47:$AT$56,,$AI222), INDEX($AU$47:$BA$56,,$AH222), 1 / ($BC$47:$BC$56*CU222 + (1-$BC$47:$BC$56)*CQ222), N($AQ$47:$AQ$56&gt;$AO222))
) / 1000</f>
        <v>0</v>
      </c>
      <c r="CW222" s="235" cm="1">
        <f t="array" ref="CW222">$BI222 * IF($AH222&lt;=2,
SUMPRODUCT(INDEX($AR$23:$AT$61,,$AI222), INDEX($AU$23:$BA$61,,$AH222), 1 / ($BB$23:$BB$61*CU222), N($AQ$23:$AQ$61&gt;$AO222)),
SUMPRODUCT(INDEX($AR$23:$AT$46,,$AI222), INDEX($AU$23:$BA$46,,$AH222), 1 / ($BC$23:$BC$46*CU222), N($AQ$23:$AQ$46&gt;$AO222))
) / 1000</f>
        <v>0</v>
      </c>
      <c r="CX222" s="230">
        <f t="shared" si="426"/>
        <v>0</v>
      </c>
      <c r="CY222" s="238"/>
    </row>
    <row r="223" spans="1:103" s="76" customFormat="1" ht="14.25" customHeight="1" x14ac:dyDescent="0.2">
      <c r="A223" s="231" t="b">
        <f t="shared" si="229"/>
        <v>0</v>
      </c>
      <c r="B223" s="245">
        <v>201</v>
      </c>
      <c r="C223" s="258"/>
      <c r="D223" s="258"/>
      <c r="E223" s="246"/>
      <c r="F223" s="247" t="str">
        <f>IF(ISBLANK(E223), "", VLOOKUP(E223, Z!$A$2:$C$4127, 3, FALSE))</f>
        <v/>
      </c>
      <c r="G223" s="248"/>
      <c r="H223" s="248"/>
      <c r="I223" s="249"/>
      <c r="J223" s="250"/>
      <c r="K223" s="259"/>
      <c r="L223" s="260"/>
      <c r="M223" s="252" t="str" cm="1">
        <f t="array" ref="M223">INDEX(Trad, 53, $A$20)</f>
        <v>Verschmutzt</v>
      </c>
      <c r="N223" s="253"/>
      <c r="O223" s="253"/>
      <c r="P223" s="254"/>
      <c r="Q223" s="251"/>
      <c r="R223" s="251"/>
      <c r="S223" s="264">
        <f t="shared" si="401"/>
        <v>0</v>
      </c>
      <c r="T223" s="252" t="str" cm="1">
        <f t="array" ref="T223">INDEX(Trad, 52, $A$20)</f>
        <v>Sauber</v>
      </c>
      <c r="U223" s="253"/>
      <c r="V223" s="253"/>
      <c r="W223" s="254"/>
      <c r="X223" s="251"/>
      <c r="Y223" s="251"/>
      <c r="Z223" s="264">
        <f t="shared" si="402"/>
        <v>0</v>
      </c>
      <c r="AA223" s="261"/>
      <c r="AB223" s="258"/>
      <c r="AC223" s="246"/>
      <c r="AD223" s="247" t="str">
        <f>IF(ISBLANK(AC223), "", VLOOKUP(AC223, Z!$A$2:$C$4127, 3, FALSE))</f>
        <v/>
      </c>
      <c r="AE223" s="262"/>
      <c r="AF223" s="263">
        <f t="shared" si="403"/>
        <v>0</v>
      </c>
      <c r="AG223" s="238"/>
      <c r="AH223" s="229">
        <f t="shared" si="427"/>
        <v>1</v>
      </c>
      <c r="AI223" s="229">
        <f t="shared" si="428"/>
        <v>1</v>
      </c>
      <c r="AJ223" s="229">
        <f t="shared" si="429"/>
        <v>0</v>
      </c>
      <c r="AK223" s="229">
        <v>0</v>
      </c>
      <c r="AL223" s="229">
        <v>0</v>
      </c>
      <c r="AM223" s="229">
        <v>1</v>
      </c>
      <c r="AN223" s="229">
        <v>0</v>
      </c>
      <c r="AO223" s="229">
        <f t="shared" si="404"/>
        <v>-100</v>
      </c>
      <c r="AP223" s="238"/>
      <c r="AQ223" s="255"/>
      <c r="AR223" s="255"/>
      <c r="AS223" s="256"/>
      <c r="AT223" s="256"/>
      <c r="AU223" s="256"/>
      <c r="AV223" s="256"/>
      <c r="AW223" s="256"/>
      <c r="AX223" s="256"/>
      <c r="AY223" s="256"/>
      <c r="AZ223" s="256"/>
      <c r="BA223" s="256"/>
      <c r="BB223" s="256"/>
      <c r="BC223" s="256"/>
      <c r="BD223" s="238"/>
      <c r="BE223" s="229" cm="1">
        <f t="array" ref="BE223">IF(ISBLANK(R223), INDEX(Use, $AH223, 4) - AM223*INDEX(Use, $AH223, 6), R223)</f>
        <v>5</v>
      </c>
      <c r="BF223" s="229">
        <f t="shared" si="405"/>
        <v>30</v>
      </c>
      <c r="BG223" s="229">
        <f t="shared" si="241"/>
        <v>13</v>
      </c>
      <c r="BH223" s="229">
        <f t="shared" si="242"/>
        <v>0</v>
      </c>
      <c r="BI223" s="234" cm="1">
        <f t="array" ref="BI223">K223/IF($L223&gt;0, INDEX($AU$23:$BA$77, $L223+20, $AH223), 1)</f>
        <v>0</v>
      </c>
      <c r="BJ223" s="230">
        <f t="shared" si="406"/>
        <v>0</v>
      </c>
      <c r="BK223" s="229">
        <v>35</v>
      </c>
      <c r="BL223" s="230">
        <f t="shared" si="407"/>
        <v>48</v>
      </c>
      <c r="BM223" s="235">
        <f t="shared" si="408"/>
        <v>2.9108720930232557</v>
      </c>
      <c r="BN223" s="235" cm="1">
        <f t="array" ref="BN223">$BI223 * SUMPRODUCT(INDEX($AR$77:$AT$82,,$AI223),INDEX($AU$77:$BA$82,,$AH223), N($AQ$77:$AQ$82&gt;$AO223)) / BM223 / 1000</f>
        <v>0</v>
      </c>
      <c r="BO223" s="232">
        <f t="shared" si="246"/>
        <v>30</v>
      </c>
      <c r="BP223" s="230">
        <f t="shared" si="409"/>
        <v>43</v>
      </c>
      <c r="BQ223" s="235">
        <f t="shared" si="410"/>
        <v>3.2938815789473681</v>
      </c>
      <c r="BR223" s="235" cm="1">
        <f t="array" ref="BR223">$BI223 * IF($AH223&lt;=2,
SUMPRODUCT(INDEX($AR$72:$AT$76,,$AI223), INDEX($AU$72:$BA$76,,$AH223), 1 / ($BB$72:$BB$76*BQ223 + (1-$BB$72:$BB$76)*BM223), N($AQ$72:$AQ$76&gt;$AO223)),
SUMPRODUCT(INDEX($AR$67:$AT$76,,$AI223), INDEX($AU$67:$BA$76,,$AH223), 1 / ($BC$67:$BC$76*BQ223 + (1-$BC$67:$BC$76)*BM223), N($AQ$67:$AQ$76&gt;$AO223))
) / 1000</f>
        <v>0</v>
      </c>
      <c r="BS223" s="232">
        <f t="shared" si="249"/>
        <v>25</v>
      </c>
      <c r="BT223" s="230">
        <f t="shared" si="411"/>
        <v>38</v>
      </c>
      <c r="BU223" s="235">
        <f t="shared" si="412"/>
        <v>3.792954545454545</v>
      </c>
      <c r="BV223" s="235" cm="1">
        <f t="array" ref="BV223">$BI223 * IF($AH223&lt;=2,
SUMPRODUCT(INDEX($AR$67:$AT$71,,$AI223), INDEX($AU$67:$BA$71,,$AH223), 1 / ($BB$67:$BB$71*BU223 + (1-$BB$67:$BB$71)*BQ223), N($AQ$67:$AQ$71&gt;$AO223)),
SUMPRODUCT(INDEX($AR$57:$AT$66,,$AI223), INDEX($AU$57:$BA$66,,$AH223), 1 / ($BC$57:$BC$66*BU223 + (1-$BC$57:$BC$66)*BQ223), N($AQ$57:$AQ$66&gt;$AO223))
) / 1000</f>
        <v>0</v>
      </c>
      <c r="BW223" s="232">
        <f t="shared" si="252"/>
        <v>20</v>
      </c>
      <c r="BX223" s="230">
        <f t="shared" si="413"/>
        <v>33</v>
      </c>
      <c r="BY223" s="235">
        <f t="shared" si="414"/>
        <v>4.4702678571428569</v>
      </c>
      <c r="BZ223" s="235" cm="1">
        <f t="array" ref="BZ223">$BI223 * IF($AH223&lt;=2,
SUMPRODUCT(INDEX($AR$62:$AT$66,,$AI223), INDEX($AU$62:$BA$66,,$AH223), 1 / ($BB$62:$BB$66*BY223 + (1-$BB$62:$BB$66)*BU223), N($AQ$62:$AQ$66&gt;$AO223)),
SUMPRODUCT(INDEX($AR$47:$AT$56,,$AI223), INDEX($AU$47:$BA$56,,$AH223), 1 / ($BC$47:$BC$56*BY223 + (1-$BC$47:$BC$56)*BU223), N($AQ$47:$AQ$56&gt;$AO223))
) / 1000</f>
        <v>0</v>
      </c>
      <c r="CA223" s="235" cm="1">
        <f t="array" ref="CA223">$BI223 * IF($AH223&lt;=2,
SUMPRODUCT(INDEX($AR$23:$AT$61,,$AI223), INDEX($AU$23:$BA$61,,$AH223), 1 / ($BB$23:$BB$61*BY223), N($AQ$23:$AQ$61&gt;$AO223)),
SUMPRODUCT(INDEX($AR$23:$AT$46,,$AI223), INDEX($AU$23:$BA$46,,$AH223), 1 / ($BC$23:$BC$46*BY223), N($AQ$23:$AQ$46&gt;$AO223))
) / 1000</f>
        <v>0</v>
      </c>
      <c r="CB223" s="230">
        <f t="shared" si="415"/>
        <v>0</v>
      </c>
      <c r="CC223" s="238"/>
      <c r="CD223" s="229" cm="1">
        <f t="array" ref="CD223">IF(ISBLANK(Y223), INDEX(Use, $AH223, 4) - AN223*INDEX(Use, $AH223, 6) - (Q223-X223), Y223)</f>
        <v>7</v>
      </c>
      <c r="CE223" s="229">
        <f t="shared" si="416"/>
        <v>32</v>
      </c>
      <c r="CF223" s="230">
        <f t="shared" si="417"/>
        <v>0</v>
      </c>
      <c r="CG223" s="229">
        <v>35</v>
      </c>
      <c r="CH223" s="230">
        <f t="shared" si="418"/>
        <v>48</v>
      </c>
      <c r="CI223" s="235">
        <f t="shared" si="419"/>
        <v>3.0748170731707316</v>
      </c>
      <c r="CJ223" s="235" cm="1">
        <f t="array" ref="CJ223">$BI223 * SUMPRODUCT(INDEX($AR$77:$AT$82,,$AI223),INDEX($AU$77:$BA$82,,$AH223), N($AQ$77:$AQ$82&gt;$AO223)) / CI223 / 1000</f>
        <v>0</v>
      </c>
      <c r="CK223" s="232">
        <f t="shared" si="260"/>
        <v>30</v>
      </c>
      <c r="CL223" s="230">
        <f t="shared" si="420"/>
        <v>43</v>
      </c>
      <c r="CM223" s="235">
        <f t="shared" si="421"/>
        <v>3.5018750000000001</v>
      </c>
      <c r="CN223" s="235" cm="1">
        <f t="array" ref="CN223">$BI223 * IF($AH223&lt;=2,
SUMPRODUCT(INDEX($AR$72:$AT$76,,$AI223), INDEX($AU$72:$BA$76,,$AH223), 1 / ($BB$72:$BB$76*CM223 + (1-$BB$72:$BB$76)*CI223), N($AQ$72:$AQ$76&gt;$AO223)),
SUMPRODUCT(INDEX($AR$67:$AT$76,,$AI223), INDEX($AU$67:$BA$76,,$AH223), 1 / ($BC$67:$BC$76*CM223 + (1-$BC$67:$BC$76)*CI223), N($AQ$67:$AQ$76&gt;$AO223))
) / 1000</f>
        <v>0</v>
      </c>
      <c r="CO223" s="232">
        <f t="shared" si="263"/>
        <v>25</v>
      </c>
      <c r="CP223" s="230">
        <f t="shared" si="422"/>
        <v>38</v>
      </c>
      <c r="CQ223" s="235">
        <f t="shared" si="423"/>
        <v>4.0666935483870965</v>
      </c>
      <c r="CR223" s="235" cm="1">
        <f t="array" ref="CR223">$BI223 * IF($AH223&lt;=2,
SUMPRODUCT(INDEX($AR$67:$AT$71,,$AI223), INDEX($AU$67:$BA$71,,$AH223), 1 / ($BB$67:$BB$71*CQ223 + (1-$BB$67:$BB$71)*CM223), N($AQ$67:$AQ$71&gt;$AO223)),
SUMPRODUCT(INDEX($AR$57:$AT$66,,$AI223), INDEX($AU$57:$BA$66,,$AH223), 1 / ($BC$57:$BC$66*CQ223 + (1-$BC$57:$BC$66)*CM223), N($AQ$57:$AQ$66&gt;$AO223))
) / 1000</f>
        <v>0</v>
      </c>
      <c r="CS223" s="232">
        <f t="shared" si="266"/>
        <v>20</v>
      </c>
      <c r="CT223" s="230">
        <f t="shared" si="424"/>
        <v>33</v>
      </c>
      <c r="CU223" s="235">
        <f t="shared" si="425"/>
        <v>4.8487499999999999</v>
      </c>
      <c r="CV223" s="235" cm="1">
        <f t="array" ref="CV223">$BI223 * IF($AH223&lt;=2,
SUMPRODUCT(INDEX($AR$62:$AT$66,,$AI223), INDEX($AU$62:$BA$66,,$AH223), 1 / ($BB$62:$BB$66*CU223 + (1-$BB$62:$BB$66)*CQ223), N($AQ$62:$AQ$66&gt;$AO223)),
SUMPRODUCT(INDEX($AR$47:$AT$56,,$AI223), INDEX($AU$47:$BA$56,,$AH223), 1 / ($BC$47:$BC$56*CU223 + (1-$BC$47:$BC$56)*CQ223), N($AQ$47:$AQ$56&gt;$AO223))
) / 1000</f>
        <v>0</v>
      </c>
      <c r="CW223" s="235" cm="1">
        <f t="array" ref="CW223">$BI223 * IF($AH223&lt;=2,
SUMPRODUCT(INDEX($AR$23:$AT$61,,$AI223), INDEX($AU$23:$BA$61,,$AH223), 1 / ($BB$23:$BB$61*CU223), N($AQ$23:$AQ$61&gt;$AO223)),
SUMPRODUCT(INDEX($AR$23:$AT$46,,$AI223), INDEX($AU$23:$BA$46,,$AH223), 1 / ($BC$23:$BC$46*CU223), N($AQ$23:$AQ$46&gt;$AO223))
) / 1000</f>
        <v>0</v>
      </c>
      <c r="CX223" s="230">
        <f t="shared" si="426"/>
        <v>0</v>
      </c>
      <c r="CY223" s="238"/>
    </row>
    <row r="224" spans="1:103" s="76" customFormat="1" ht="14.25" customHeight="1" x14ac:dyDescent="0.2">
      <c r="A224" s="231" t="b">
        <f t="shared" si="229"/>
        <v>0</v>
      </c>
      <c r="B224" s="245">
        <v>202</v>
      </c>
      <c r="C224" s="258"/>
      <c r="D224" s="258"/>
      <c r="E224" s="246"/>
      <c r="F224" s="247" t="str">
        <f>IF(ISBLANK(E224), "", VLOOKUP(E224, Z!$A$2:$C$4127, 3, FALSE))</f>
        <v/>
      </c>
      <c r="G224" s="248"/>
      <c r="H224" s="248"/>
      <c r="I224" s="249"/>
      <c r="J224" s="250"/>
      <c r="K224" s="259"/>
      <c r="L224" s="260"/>
      <c r="M224" s="252" t="str" cm="1">
        <f t="array" ref="M224">INDEX(Trad, 53, $A$20)</f>
        <v>Verschmutzt</v>
      </c>
      <c r="N224" s="253"/>
      <c r="O224" s="253"/>
      <c r="P224" s="254"/>
      <c r="Q224" s="251"/>
      <c r="R224" s="251"/>
      <c r="S224" s="264">
        <f t="shared" si="401"/>
        <v>0</v>
      </c>
      <c r="T224" s="252" t="str" cm="1">
        <f t="array" ref="T224">INDEX(Trad, 52, $A$20)</f>
        <v>Sauber</v>
      </c>
      <c r="U224" s="253"/>
      <c r="V224" s="253"/>
      <c r="W224" s="254"/>
      <c r="X224" s="251"/>
      <c r="Y224" s="251"/>
      <c r="Z224" s="264">
        <f t="shared" si="402"/>
        <v>0</v>
      </c>
      <c r="AA224" s="261"/>
      <c r="AB224" s="258"/>
      <c r="AC224" s="246"/>
      <c r="AD224" s="247" t="str">
        <f>IF(ISBLANK(AC224), "", VLOOKUP(AC224, Z!$A$2:$C$4127, 3, FALSE))</f>
        <v/>
      </c>
      <c r="AE224" s="262"/>
      <c r="AF224" s="263">
        <f t="shared" si="403"/>
        <v>0</v>
      </c>
      <c r="AG224" s="238"/>
      <c r="AH224" s="229">
        <f t="shared" si="427"/>
        <v>1</v>
      </c>
      <c r="AI224" s="229">
        <f t="shared" si="428"/>
        <v>1</v>
      </c>
      <c r="AJ224" s="229">
        <f t="shared" si="429"/>
        <v>0</v>
      </c>
      <c r="AK224" s="229">
        <v>0</v>
      </c>
      <c r="AL224" s="229">
        <v>0</v>
      </c>
      <c r="AM224" s="229">
        <v>1</v>
      </c>
      <c r="AN224" s="229">
        <v>0</v>
      </c>
      <c r="AO224" s="229">
        <f t="shared" si="404"/>
        <v>-100</v>
      </c>
      <c r="AP224" s="238"/>
      <c r="AQ224" s="255"/>
      <c r="AR224" s="255"/>
      <c r="AS224" s="256"/>
      <c r="AT224" s="256"/>
      <c r="AU224" s="256"/>
      <c r="AV224" s="256"/>
      <c r="AW224" s="256"/>
      <c r="AX224" s="256"/>
      <c r="AY224" s="256"/>
      <c r="AZ224" s="256"/>
      <c r="BA224" s="256"/>
      <c r="BB224" s="256"/>
      <c r="BC224" s="256"/>
      <c r="BD224" s="238"/>
      <c r="BE224" s="229" cm="1">
        <f t="array" ref="BE224">IF(ISBLANK(R224), INDEX(Use, $AH224, 4) - AM224*INDEX(Use, $AH224, 6), R224)</f>
        <v>5</v>
      </c>
      <c r="BF224" s="229">
        <f t="shared" si="405"/>
        <v>30</v>
      </c>
      <c r="BG224" s="229">
        <f t="shared" si="241"/>
        <v>13</v>
      </c>
      <c r="BH224" s="229">
        <f t="shared" si="242"/>
        <v>0</v>
      </c>
      <c r="BI224" s="234" cm="1">
        <f t="array" ref="BI224">K224/IF($L224&gt;0, INDEX($AU$23:$BA$77, $L224+20, $AH224), 1)</f>
        <v>0</v>
      </c>
      <c r="BJ224" s="230">
        <f t="shared" si="406"/>
        <v>0</v>
      </c>
      <c r="BK224" s="229">
        <v>35</v>
      </c>
      <c r="BL224" s="230">
        <f t="shared" si="407"/>
        <v>48</v>
      </c>
      <c r="BM224" s="235">
        <f t="shared" si="408"/>
        <v>2.9108720930232557</v>
      </c>
      <c r="BN224" s="235" cm="1">
        <f t="array" ref="BN224">$BI224 * SUMPRODUCT(INDEX($AR$77:$AT$82,,$AI224),INDEX($AU$77:$BA$82,,$AH224), N($AQ$77:$AQ$82&gt;$AO224)) / BM224 / 1000</f>
        <v>0</v>
      </c>
      <c r="BO224" s="232">
        <f t="shared" si="246"/>
        <v>30</v>
      </c>
      <c r="BP224" s="230">
        <f t="shared" si="409"/>
        <v>43</v>
      </c>
      <c r="BQ224" s="235">
        <f t="shared" si="410"/>
        <v>3.2938815789473681</v>
      </c>
      <c r="BR224" s="235" cm="1">
        <f t="array" ref="BR224">$BI224 * IF($AH224&lt;=2,
SUMPRODUCT(INDEX($AR$72:$AT$76,,$AI224), INDEX($AU$72:$BA$76,,$AH224), 1 / ($BB$72:$BB$76*BQ224 + (1-$BB$72:$BB$76)*BM224), N($AQ$72:$AQ$76&gt;$AO224)),
SUMPRODUCT(INDEX($AR$67:$AT$76,,$AI224), INDEX($AU$67:$BA$76,,$AH224), 1 / ($BC$67:$BC$76*BQ224 + (1-$BC$67:$BC$76)*BM224), N($AQ$67:$AQ$76&gt;$AO224))
) / 1000</f>
        <v>0</v>
      </c>
      <c r="BS224" s="232">
        <f t="shared" si="249"/>
        <v>25</v>
      </c>
      <c r="BT224" s="230">
        <f t="shared" si="411"/>
        <v>38</v>
      </c>
      <c r="BU224" s="235">
        <f t="shared" si="412"/>
        <v>3.792954545454545</v>
      </c>
      <c r="BV224" s="235" cm="1">
        <f t="array" ref="BV224">$BI224 * IF($AH224&lt;=2,
SUMPRODUCT(INDEX($AR$67:$AT$71,,$AI224), INDEX($AU$67:$BA$71,,$AH224), 1 / ($BB$67:$BB$71*BU224 + (1-$BB$67:$BB$71)*BQ224), N($AQ$67:$AQ$71&gt;$AO224)),
SUMPRODUCT(INDEX($AR$57:$AT$66,,$AI224), INDEX($AU$57:$BA$66,,$AH224), 1 / ($BC$57:$BC$66*BU224 + (1-$BC$57:$BC$66)*BQ224), N($AQ$57:$AQ$66&gt;$AO224))
) / 1000</f>
        <v>0</v>
      </c>
      <c r="BW224" s="232">
        <f t="shared" si="252"/>
        <v>20</v>
      </c>
      <c r="BX224" s="230">
        <f t="shared" si="413"/>
        <v>33</v>
      </c>
      <c r="BY224" s="235">
        <f t="shared" si="414"/>
        <v>4.4702678571428569</v>
      </c>
      <c r="BZ224" s="235" cm="1">
        <f t="array" ref="BZ224">$BI224 * IF($AH224&lt;=2,
SUMPRODUCT(INDEX($AR$62:$AT$66,,$AI224), INDEX($AU$62:$BA$66,,$AH224), 1 / ($BB$62:$BB$66*BY224 + (1-$BB$62:$BB$66)*BU224), N($AQ$62:$AQ$66&gt;$AO224)),
SUMPRODUCT(INDEX($AR$47:$AT$56,,$AI224), INDEX($AU$47:$BA$56,,$AH224), 1 / ($BC$47:$BC$56*BY224 + (1-$BC$47:$BC$56)*BU224), N($AQ$47:$AQ$56&gt;$AO224))
) / 1000</f>
        <v>0</v>
      </c>
      <c r="CA224" s="235" cm="1">
        <f t="array" ref="CA224">$BI224 * IF($AH224&lt;=2,
SUMPRODUCT(INDEX($AR$23:$AT$61,,$AI224), INDEX($AU$23:$BA$61,,$AH224), 1 / ($BB$23:$BB$61*BY224), N($AQ$23:$AQ$61&gt;$AO224)),
SUMPRODUCT(INDEX($AR$23:$AT$46,,$AI224), INDEX($AU$23:$BA$46,,$AH224), 1 / ($BC$23:$BC$46*BY224), N($AQ$23:$AQ$46&gt;$AO224))
) / 1000</f>
        <v>0</v>
      </c>
      <c r="CB224" s="230">
        <f t="shared" si="415"/>
        <v>0</v>
      </c>
      <c r="CC224" s="238"/>
      <c r="CD224" s="229" cm="1">
        <f t="array" ref="CD224">IF(ISBLANK(Y224), INDEX(Use, $AH224, 4) - AN224*INDEX(Use, $AH224, 6) - (Q224-X224), Y224)</f>
        <v>7</v>
      </c>
      <c r="CE224" s="229">
        <f t="shared" si="416"/>
        <v>32</v>
      </c>
      <c r="CF224" s="230">
        <f t="shared" si="417"/>
        <v>0</v>
      </c>
      <c r="CG224" s="229">
        <v>35</v>
      </c>
      <c r="CH224" s="230">
        <f t="shared" si="418"/>
        <v>48</v>
      </c>
      <c r="CI224" s="235">
        <f t="shared" si="419"/>
        <v>3.0748170731707316</v>
      </c>
      <c r="CJ224" s="235" cm="1">
        <f t="array" ref="CJ224">$BI224 * SUMPRODUCT(INDEX($AR$77:$AT$82,,$AI224),INDEX($AU$77:$BA$82,,$AH224), N($AQ$77:$AQ$82&gt;$AO224)) / CI224 / 1000</f>
        <v>0</v>
      </c>
      <c r="CK224" s="232">
        <f t="shared" si="260"/>
        <v>30</v>
      </c>
      <c r="CL224" s="230">
        <f t="shared" si="420"/>
        <v>43</v>
      </c>
      <c r="CM224" s="235">
        <f t="shared" si="421"/>
        <v>3.5018750000000001</v>
      </c>
      <c r="CN224" s="235" cm="1">
        <f t="array" ref="CN224">$BI224 * IF($AH224&lt;=2,
SUMPRODUCT(INDEX($AR$72:$AT$76,,$AI224), INDEX($AU$72:$BA$76,,$AH224), 1 / ($BB$72:$BB$76*CM224 + (1-$BB$72:$BB$76)*CI224), N($AQ$72:$AQ$76&gt;$AO224)),
SUMPRODUCT(INDEX($AR$67:$AT$76,,$AI224), INDEX($AU$67:$BA$76,,$AH224), 1 / ($BC$67:$BC$76*CM224 + (1-$BC$67:$BC$76)*CI224), N($AQ$67:$AQ$76&gt;$AO224))
) / 1000</f>
        <v>0</v>
      </c>
      <c r="CO224" s="232">
        <f t="shared" si="263"/>
        <v>25</v>
      </c>
      <c r="CP224" s="230">
        <f t="shared" si="422"/>
        <v>38</v>
      </c>
      <c r="CQ224" s="235">
        <f t="shared" si="423"/>
        <v>4.0666935483870965</v>
      </c>
      <c r="CR224" s="235" cm="1">
        <f t="array" ref="CR224">$BI224 * IF($AH224&lt;=2,
SUMPRODUCT(INDEX($AR$67:$AT$71,,$AI224), INDEX($AU$67:$BA$71,,$AH224), 1 / ($BB$67:$BB$71*CQ224 + (1-$BB$67:$BB$71)*CM224), N($AQ$67:$AQ$71&gt;$AO224)),
SUMPRODUCT(INDEX($AR$57:$AT$66,,$AI224), INDEX($AU$57:$BA$66,,$AH224), 1 / ($BC$57:$BC$66*CQ224 + (1-$BC$57:$BC$66)*CM224), N($AQ$57:$AQ$66&gt;$AO224))
) / 1000</f>
        <v>0</v>
      </c>
      <c r="CS224" s="232">
        <f t="shared" si="266"/>
        <v>20</v>
      </c>
      <c r="CT224" s="230">
        <f t="shared" si="424"/>
        <v>33</v>
      </c>
      <c r="CU224" s="235">
        <f t="shared" si="425"/>
        <v>4.8487499999999999</v>
      </c>
      <c r="CV224" s="235" cm="1">
        <f t="array" ref="CV224">$BI224 * IF($AH224&lt;=2,
SUMPRODUCT(INDEX($AR$62:$AT$66,,$AI224), INDEX($AU$62:$BA$66,,$AH224), 1 / ($BB$62:$BB$66*CU224 + (1-$BB$62:$BB$66)*CQ224), N($AQ$62:$AQ$66&gt;$AO224)),
SUMPRODUCT(INDEX($AR$47:$AT$56,,$AI224), INDEX($AU$47:$BA$56,,$AH224), 1 / ($BC$47:$BC$56*CU224 + (1-$BC$47:$BC$56)*CQ224), N($AQ$47:$AQ$56&gt;$AO224))
) / 1000</f>
        <v>0</v>
      </c>
      <c r="CW224" s="235" cm="1">
        <f t="array" ref="CW224">$BI224 * IF($AH224&lt;=2,
SUMPRODUCT(INDEX($AR$23:$AT$61,,$AI224), INDEX($AU$23:$BA$61,,$AH224), 1 / ($BB$23:$BB$61*CU224), N($AQ$23:$AQ$61&gt;$AO224)),
SUMPRODUCT(INDEX($AR$23:$AT$46,,$AI224), INDEX($AU$23:$BA$46,,$AH224), 1 / ($BC$23:$BC$46*CU224), N($AQ$23:$AQ$46&gt;$AO224))
) / 1000</f>
        <v>0</v>
      </c>
      <c r="CX224" s="230">
        <f t="shared" si="426"/>
        <v>0</v>
      </c>
      <c r="CY224" s="238"/>
    </row>
    <row r="225" spans="1:103" s="76" customFormat="1" ht="14.25" customHeight="1" x14ac:dyDescent="0.2">
      <c r="A225" s="231" t="b">
        <f t="shared" si="229"/>
        <v>0</v>
      </c>
      <c r="B225" s="245">
        <v>203</v>
      </c>
      <c r="C225" s="258"/>
      <c r="D225" s="258"/>
      <c r="E225" s="246"/>
      <c r="F225" s="247" t="str">
        <f>IF(ISBLANK(E225), "", VLOOKUP(E225, Z!$A$2:$C$4127, 3, FALSE))</f>
        <v/>
      </c>
      <c r="G225" s="248"/>
      <c r="H225" s="248"/>
      <c r="I225" s="249"/>
      <c r="J225" s="250"/>
      <c r="K225" s="259"/>
      <c r="L225" s="260"/>
      <c r="M225" s="252" t="str" cm="1">
        <f t="array" ref="M225">INDEX(Trad, 53, $A$20)</f>
        <v>Verschmutzt</v>
      </c>
      <c r="N225" s="253"/>
      <c r="O225" s="253"/>
      <c r="P225" s="254"/>
      <c r="Q225" s="251"/>
      <c r="R225" s="251"/>
      <c r="S225" s="264">
        <f t="shared" si="401"/>
        <v>0</v>
      </c>
      <c r="T225" s="252" t="str" cm="1">
        <f t="array" ref="T225">INDEX(Trad, 52, $A$20)</f>
        <v>Sauber</v>
      </c>
      <c r="U225" s="253"/>
      <c r="V225" s="253"/>
      <c r="W225" s="254"/>
      <c r="X225" s="251"/>
      <c r="Y225" s="251"/>
      <c r="Z225" s="264">
        <f t="shared" si="402"/>
        <v>0</v>
      </c>
      <c r="AA225" s="261"/>
      <c r="AB225" s="258"/>
      <c r="AC225" s="246"/>
      <c r="AD225" s="247" t="str">
        <f>IF(ISBLANK(AC225), "", VLOOKUP(AC225, Z!$A$2:$C$4127, 3, FALSE))</f>
        <v/>
      </c>
      <c r="AE225" s="262"/>
      <c r="AF225" s="263">
        <f t="shared" si="403"/>
        <v>0</v>
      </c>
      <c r="AG225" s="238"/>
      <c r="AH225" s="229">
        <f t="shared" si="427"/>
        <v>1</v>
      </c>
      <c r="AI225" s="229">
        <f t="shared" si="428"/>
        <v>1</v>
      </c>
      <c r="AJ225" s="229">
        <f t="shared" si="429"/>
        <v>0</v>
      </c>
      <c r="AK225" s="229">
        <v>0</v>
      </c>
      <c r="AL225" s="229">
        <v>0</v>
      </c>
      <c r="AM225" s="229">
        <v>1</v>
      </c>
      <c r="AN225" s="229">
        <v>0</v>
      </c>
      <c r="AO225" s="229">
        <f t="shared" si="404"/>
        <v>-100</v>
      </c>
      <c r="AP225" s="238"/>
      <c r="AQ225" s="255"/>
      <c r="AR225" s="255"/>
      <c r="AS225" s="256"/>
      <c r="AT225" s="256"/>
      <c r="AU225" s="256"/>
      <c r="AV225" s="256"/>
      <c r="AW225" s="256"/>
      <c r="AX225" s="256"/>
      <c r="AY225" s="256"/>
      <c r="AZ225" s="256"/>
      <c r="BA225" s="256"/>
      <c r="BB225" s="256"/>
      <c r="BC225" s="256"/>
      <c r="BD225" s="238"/>
      <c r="BE225" s="229" cm="1">
        <f t="array" ref="BE225">IF(ISBLANK(R225), INDEX(Use, $AH225, 4) - AM225*INDEX(Use, $AH225, 6), R225)</f>
        <v>5</v>
      </c>
      <c r="BF225" s="229">
        <f t="shared" si="405"/>
        <v>30</v>
      </c>
      <c r="BG225" s="229">
        <f t="shared" si="241"/>
        <v>13</v>
      </c>
      <c r="BH225" s="229">
        <f t="shared" si="242"/>
        <v>0</v>
      </c>
      <c r="BI225" s="234" cm="1">
        <f t="array" ref="BI225">K225/IF($L225&gt;0, INDEX($AU$23:$BA$77, $L225+20, $AH225), 1)</f>
        <v>0</v>
      </c>
      <c r="BJ225" s="230">
        <f t="shared" si="406"/>
        <v>0</v>
      </c>
      <c r="BK225" s="229">
        <v>35</v>
      </c>
      <c r="BL225" s="230">
        <f t="shared" si="407"/>
        <v>48</v>
      </c>
      <c r="BM225" s="235">
        <f t="shared" si="408"/>
        <v>2.9108720930232557</v>
      </c>
      <c r="BN225" s="235" cm="1">
        <f t="array" ref="BN225">$BI225 * SUMPRODUCT(INDEX($AR$77:$AT$82,,$AI225),INDEX($AU$77:$BA$82,,$AH225), N($AQ$77:$AQ$82&gt;$AO225)) / BM225 / 1000</f>
        <v>0</v>
      </c>
      <c r="BO225" s="232">
        <f t="shared" si="246"/>
        <v>30</v>
      </c>
      <c r="BP225" s="230">
        <f t="shared" si="409"/>
        <v>43</v>
      </c>
      <c r="BQ225" s="235">
        <f t="shared" si="410"/>
        <v>3.2938815789473681</v>
      </c>
      <c r="BR225" s="235" cm="1">
        <f t="array" ref="BR225">$BI225 * IF($AH225&lt;=2,
SUMPRODUCT(INDEX($AR$72:$AT$76,,$AI225), INDEX($AU$72:$BA$76,,$AH225), 1 / ($BB$72:$BB$76*BQ225 + (1-$BB$72:$BB$76)*BM225), N($AQ$72:$AQ$76&gt;$AO225)),
SUMPRODUCT(INDEX($AR$67:$AT$76,,$AI225), INDEX($AU$67:$BA$76,,$AH225), 1 / ($BC$67:$BC$76*BQ225 + (1-$BC$67:$BC$76)*BM225), N($AQ$67:$AQ$76&gt;$AO225))
) / 1000</f>
        <v>0</v>
      </c>
      <c r="BS225" s="232">
        <f t="shared" si="249"/>
        <v>25</v>
      </c>
      <c r="BT225" s="230">
        <f t="shared" si="411"/>
        <v>38</v>
      </c>
      <c r="BU225" s="235">
        <f t="shared" si="412"/>
        <v>3.792954545454545</v>
      </c>
      <c r="BV225" s="235" cm="1">
        <f t="array" ref="BV225">$BI225 * IF($AH225&lt;=2,
SUMPRODUCT(INDEX($AR$67:$AT$71,,$AI225), INDEX($AU$67:$BA$71,,$AH225), 1 / ($BB$67:$BB$71*BU225 + (1-$BB$67:$BB$71)*BQ225), N($AQ$67:$AQ$71&gt;$AO225)),
SUMPRODUCT(INDEX($AR$57:$AT$66,,$AI225), INDEX($AU$57:$BA$66,,$AH225), 1 / ($BC$57:$BC$66*BU225 + (1-$BC$57:$BC$66)*BQ225), N($AQ$57:$AQ$66&gt;$AO225))
) / 1000</f>
        <v>0</v>
      </c>
      <c r="BW225" s="232">
        <f t="shared" si="252"/>
        <v>20</v>
      </c>
      <c r="BX225" s="230">
        <f t="shared" si="413"/>
        <v>33</v>
      </c>
      <c r="BY225" s="235">
        <f t="shared" si="414"/>
        <v>4.4702678571428569</v>
      </c>
      <c r="BZ225" s="235" cm="1">
        <f t="array" ref="BZ225">$BI225 * IF($AH225&lt;=2,
SUMPRODUCT(INDEX($AR$62:$AT$66,,$AI225), INDEX($AU$62:$BA$66,,$AH225), 1 / ($BB$62:$BB$66*BY225 + (1-$BB$62:$BB$66)*BU225), N($AQ$62:$AQ$66&gt;$AO225)),
SUMPRODUCT(INDEX($AR$47:$AT$56,,$AI225), INDEX($AU$47:$BA$56,,$AH225), 1 / ($BC$47:$BC$56*BY225 + (1-$BC$47:$BC$56)*BU225), N($AQ$47:$AQ$56&gt;$AO225))
) / 1000</f>
        <v>0</v>
      </c>
      <c r="CA225" s="235" cm="1">
        <f t="array" ref="CA225">$BI225 * IF($AH225&lt;=2,
SUMPRODUCT(INDEX($AR$23:$AT$61,,$AI225), INDEX($AU$23:$BA$61,,$AH225), 1 / ($BB$23:$BB$61*BY225), N($AQ$23:$AQ$61&gt;$AO225)),
SUMPRODUCT(INDEX($AR$23:$AT$46,,$AI225), INDEX($AU$23:$BA$46,,$AH225), 1 / ($BC$23:$BC$46*BY225), N($AQ$23:$AQ$46&gt;$AO225))
) / 1000</f>
        <v>0</v>
      </c>
      <c r="CB225" s="230">
        <f t="shared" si="415"/>
        <v>0</v>
      </c>
      <c r="CC225" s="238"/>
      <c r="CD225" s="229" cm="1">
        <f t="array" ref="CD225">IF(ISBLANK(Y225), INDEX(Use, $AH225, 4) - AN225*INDEX(Use, $AH225, 6) - (Q225-X225), Y225)</f>
        <v>7</v>
      </c>
      <c r="CE225" s="229">
        <f t="shared" si="416"/>
        <v>32</v>
      </c>
      <c r="CF225" s="230">
        <f t="shared" si="417"/>
        <v>0</v>
      </c>
      <c r="CG225" s="229">
        <v>35</v>
      </c>
      <c r="CH225" s="230">
        <f t="shared" si="418"/>
        <v>48</v>
      </c>
      <c r="CI225" s="235">
        <f t="shared" si="419"/>
        <v>3.0748170731707316</v>
      </c>
      <c r="CJ225" s="235" cm="1">
        <f t="array" ref="CJ225">$BI225 * SUMPRODUCT(INDEX($AR$77:$AT$82,,$AI225),INDEX($AU$77:$BA$82,,$AH225), N($AQ$77:$AQ$82&gt;$AO225)) / CI225 / 1000</f>
        <v>0</v>
      </c>
      <c r="CK225" s="232">
        <f t="shared" si="260"/>
        <v>30</v>
      </c>
      <c r="CL225" s="230">
        <f t="shared" si="420"/>
        <v>43</v>
      </c>
      <c r="CM225" s="235">
        <f t="shared" si="421"/>
        <v>3.5018750000000001</v>
      </c>
      <c r="CN225" s="235" cm="1">
        <f t="array" ref="CN225">$BI225 * IF($AH225&lt;=2,
SUMPRODUCT(INDEX($AR$72:$AT$76,,$AI225), INDEX($AU$72:$BA$76,,$AH225), 1 / ($BB$72:$BB$76*CM225 + (1-$BB$72:$BB$76)*CI225), N($AQ$72:$AQ$76&gt;$AO225)),
SUMPRODUCT(INDEX($AR$67:$AT$76,,$AI225), INDEX($AU$67:$BA$76,,$AH225), 1 / ($BC$67:$BC$76*CM225 + (1-$BC$67:$BC$76)*CI225), N($AQ$67:$AQ$76&gt;$AO225))
) / 1000</f>
        <v>0</v>
      </c>
      <c r="CO225" s="232">
        <f t="shared" si="263"/>
        <v>25</v>
      </c>
      <c r="CP225" s="230">
        <f t="shared" si="422"/>
        <v>38</v>
      </c>
      <c r="CQ225" s="235">
        <f t="shared" si="423"/>
        <v>4.0666935483870965</v>
      </c>
      <c r="CR225" s="235" cm="1">
        <f t="array" ref="CR225">$BI225 * IF($AH225&lt;=2,
SUMPRODUCT(INDEX($AR$67:$AT$71,,$AI225), INDEX($AU$67:$BA$71,,$AH225), 1 / ($BB$67:$BB$71*CQ225 + (1-$BB$67:$BB$71)*CM225), N($AQ$67:$AQ$71&gt;$AO225)),
SUMPRODUCT(INDEX($AR$57:$AT$66,,$AI225), INDEX($AU$57:$BA$66,,$AH225), 1 / ($BC$57:$BC$66*CQ225 + (1-$BC$57:$BC$66)*CM225), N($AQ$57:$AQ$66&gt;$AO225))
) / 1000</f>
        <v>0</v>
      </c>
      <c r="CS225" s="232">
        <f t="shared" si="266"/>
        <v>20</v>
      </c>
      <c r="CT225" s="230">
        <f t="shared" si="424"/>
        <v>33</v>
      </c>
      <c r="CU225" s="235">
        <f t="shared" si="425"/>
        <v>4.8487499999999999</v>
      </c>
      <c r="CV225" s="235" cm="1">
        <f t="array" ref="CV225">$BI225 * IF($AH225&lt;=2,
SUMPRODUCT(INDEX($AR$62:$AT$66,,$AI225), INDEX($AU$62:$BA$66,,$AH225), 1 / ($BB$62:$BB$66*CU225 + (1-$BB$62:$BB$66)*CQ225), N($AQ$62:$AQ$66&gt;$AO225)),
SUMPRODUCT(INDEX($AR$47:$AT$56,,$AI225), INDEX($AU$47:$BA$56,,$AH225), 1 / ($BC$47:$BC$56*CU225 + (1-$BC$47:$BC$56)*CQ225), N($AQ$47:$AQ$56&gt;$AO225))
) / 1000</f>
        <v>0</v>
      </c>
      <c r="CW225" s="235" cm="1">
        <f t="array" ref="CW225">$BI225 * IF($AH225&lt;=2,
SUMPRODUCT(INDEX($AR$23:$AT$61,,$AI225), INDEX($AU$23:$BA$61,,$AH225), 1 / ($BB$23:$BB$61*CU225), N($AQ$23:$AQ$61&gt;$AO225)),
SUMPRODUCT(INDEX($AR$23:$AT$46,,$AI225), INDEX($AU$23:$BA$46,,$AH225), 1 / ($BC$23:$BC$46*CU225), N($AQ$23:$AQ$46&gt;$AO225))
) / 1000</f>
        <v>0</v>
      </c>
      <c r="CX225" s="230">
        <f t="shared" si="426"/>
        <v>0</v>
      </c>
      <c r="CY225" s="238"/>
    </row>
    <row r="226" spans="1:103" s="76" customFormat="1" ht="14.25" customHeight="1" x14ac:dyDescent="0.2">
      <c r="A226" s="231" t="b">
        <f t="shared" si="229"/>
        <v>0</v>
      </c>
      <c r="B226" s="245">
        <v>204</v>
      </c>
      <c r="C226" s="258"/>
      <c r="D226" s="258"/>
      <c r="E226" s="246"/>
      <c r="F226" s="247" t="str">
        <f>IF(ISBLANK(E226), "", VLOOKUP(E226, Z!$A$2:$C$4127, 3, FALSE))</f>
        <v/>
      </c>
      <c r="G226" s="248"/>
      <c r="H226" s="248"/>
      <c r="I226" s="249"/>
      <c r="J226" s="250"/>
      <c r="K226" s="259"/>
      <c r="L226" s="260"/>
      <c r="M226" s="252" t="str" cm="1">
        <f t="array" ref="M226">INDEX(Trad, 53, $A$20)</f>
        <v>Verschmutzt</v>
      </c>
      <c r="N226" s="253"/>
      <c r="O226" s="253"/>
      <c r="P226" s="254"/>
      <c r="Q226" s="251"/>
      <c r="R226" s="251"/>
      <c r="S226" s="264">
        <f t="shared" si="401"/>
        <v>0</v>
      </c>
      <c r="T226" s="252" t="str" cm="1">
        <f t="array" ref="T226">INDEX(Trad, 52, $A$20)</f>
        <v>Sauber</v>
      </c>
      <c r="U226" s="253"/>
      <c r="V226" s="253"/>
      <c r="W226" s="254"/>
      <c r="X226" s="251"/>
      <c r="Y226" s="251"/>
      <c r="Z226" s="264">
        <f t="shared" si="402"/>
        <v>0</v>
      </c>
      <c r="AA226" s="261"/>
      <c r="AB226" s="258"/>
      <c r="AC226" s="246"/>
      <c r="AD226" s="247" t="str">
        <f>IF(ISBLANK(AC226), "", VLOOKUP(AC226, Z!$A$2:$C$4127, 3, FALSE))</f>
        <v/>
      </c>
      <c r="AE226" s="262"/>
      <c r="AF226" s="263">
        <f t="shared" si="403"/>
        <v>0</v>
      </c>
      <c r="AG226" s="238"/>
      <c r="AH226" s="229">
        <f t="shared" si="427"/>
        <v>1</v>
      </c>
      <c r="AI226" s="229">
        <f t="shared" si="428"/>
        <v>1</v>
      </c>
      <c r="AJ226" s="229">
        <f t="shared" si="429"/>
        <v>0</v>
      </c>
      <c r="AK226" s="229">
        <v>0</v>
      </c>
      <c r="AL226" s="229">
        <v>0</v>
      </c>
      <c r="AM226" s="229">
        <v>1</v>
      </c>
      <c r="AN226" s="229">
        <v>0</v>
      </c>
      <c r="AO226" s="229">
        <f t="shared" si="404"/>
        <v>-100</v>
      </c>
      <c r="AP226" s="238"/>
      <c r="AQ226" s="255"/>
      <c r="AR226" s="255"/>
      <c r="AS226" s="256"/>
      <c r="AT226" s="256"/>
      <c r="AU226" s="256"/>
      <c r="AV226" s="256"/>
      <c r="AW226" s="256"/>
      <c r="AX226" s="256"/>
      <c r="AY226" s="256"/>
      <c r="AZ226" s="256"/>
      <c r="BA226" s="256"/>
      <c r="BB226" s="256"/>
      <c r="BC226" s="256"/>
      <c r="BD226" s="238"/>
      <c r="BE226" s="229" cm="1">
        <f t="array" ref="BE226">IF(ISBLANK(R226), INDEX(Use, $AH226, 4) - AM226*INDEX(Use, $AH226, 6), R226)</f>
        <v>5</v>
      </c>
      <c r="BF226" s="229">
        <f t="shared" si="405"/>
        <v>30</v>
      </c>
      <c r="BG226" s="229">
        <f t="shared" si="241"/>
        <v>13</v>
      </c>
      <c r="BH226" s="229">
        <f t="shared" si="242"/>
        <v>0</v>
      </c>
      <c r="BI226" s="234" cm="1">
        <f t="array" ref="BI226">K226/IF($L226&gt;0, INDEX($AU$23:$BA$77, $L226+20, $AH226), 1)</f>
        <v>0</v>
      </c>
      <c r="BJ226" s="230">
        <f t="shared" si="406"/>
        <v>0</v>
      </c>
      <c r="BK226" s="229">
        <v>35</v>
      </c>
      <c r="BL226" s="230">
        <f t="shared" si="407"/>
        <v>48</v>
      </c>
      <c r="BM226" s="235">
        <f t="shared" si="408"/>
        <v>2.9108720930232557</v>
      </c>
      <c r="BN226" s="235" cm="1">
        <f t="array" ref="BN226">$BI226 * SUMPRODUCT(INDEX($AR$77:$AT$82,,$AI226),INDEX($AU$77:$BA$82,,$AH226), N($AQ$77:$AQ$82&gt;$AO226)) / BM226 / 1000</f>
        <v>0</v>
      </c>
      <c r="BO226" s="232">
        <f t="shared" si="246"/>
        <v>30</v>
      </c>
      <c r="BP226" s="230">
        <f t="shared" si="409"/>
        <v>43</v>
      </c>
      <c r="BQ226" s="235">
        <f t="shared" si="410"/>
        <v>3.2938815789473681</v>
      </c>
      <c r="BR226" s="235" cm="1">
        <f t="array" ref="BR226">$BI226 * IF($AH226&lt;=2,
SUMPRODUCT(INDEX($AR$72:$AT$76,,$AI226), INDEX($AU$72:$BA$76,,$AH226), 1 / ($BB$72:$BB$76*BQ226 + (1-$BB$72:$BB$76)*BM226), N($AQ$72:$AQ$76&gt;$AO226)),
SUMPRODUCT(INDEX($AR$67:$AT$76,,$AI226), INDEX($AU$67:$BA$76,,$AH226), 1 / ($BC$67:$BC$76*BQ226 + (1-$BC$67:$BC$76)*BM226), N($AQ$67:$AQ$76&gt;$AO226))
) / 1000</f>
        <v>0</v>
      </c>
      <c r="BS226" s="232">
        <f t="shared" si="249"/>
        <v>25</v>
      </c>
      <c r="BT226" s="230">
        <f t="shared" si="411"/>
        <v>38</v>
      </c>
      <c r="BU226" s="235">
        <f t="shared" si="412"/>
        <v>3.792954545454545</v>
      </c>
      <c r="BV226" s="235" cm="1">
        <f t="array" ref="BV226">$BI226 * IF($AH226&lt;=2,
SUMPRODUCT(INDEX($AR$67:$AT$71,,$AI226), INDEX($AU$67:$BA$71,,$AH226), 1 / ($BB$67:$BB$71*BU226 + (1-$BB$67:$BB$71)*BQ226), N($AQ$67:$AQ$71&gt;$AO226)),
SUMPRODUCT(INDEX($AR$57:$AT$66,,$AI226), INDEX($AU$57:$BA$66,,$AH226), 1 / ($BC$57:$BC$66*BU226 + (1-$BC$57:$BC$66)*BQ226), N($AQ$57:$AQ$66&gt;$AO226))
) / 1000</f>
        <v>0</v>
      </c>
      <c r="BW226" s="232">
        <f t="shared" si="252"/>
        <v>20</v>
      </c>
      <c r="BX226" s="230">
        <f t="shared" si="413"/>
        <v>33</v>
      </c>
      <c r="BY226" s="235">
        <f t="shared" si="414"/>
        <v>4.4702678571428569</v>
      </c>
      <c r="BZ226" s="235" cm="1">
        <f t="array" ref="BZ226">$BI226 * IF($AH226&lt;=2,
SUMPRODUCT(INDEX($AR$62:$AT$66,,$AI226), INDEX($AU$62:$BA$66,,$AH226), 1 / ($BB$62:$BB$66*BY226 + (1-$BB$62:$BB$66)*BU226), N($AQ$62:$AQ$66&gt;$AO226)),
SUMPRODUCT(INDEX($AR$47:$AT$56,,$AI226), INDEX($AU$47:$BA$56,,$AH226), 1 / ($BC$47:$BC$56*BY226 + (1-$BC$47:$BC$56)*BU226), N($AQ$47:$AQ$56&gt;$AO226))
) / 1000</f>
        <v>0</v>
      </c>
      <c r="CA226" s="235" cm="1">
        <f t="array" ref="CA226">$BI226 * IF($AH226&lt;=2,
SUMPRODUCT(INDEX($AR$23:$AT$61,,$AI226), INDEX($AU$23:$BA$61,,$AH226), 1 / ($BB$23:$BB$61*BY226), N($AQ$23:$AQ$61&gt;$AO226)),
SUMPRODUCT(INDEX($AR$23:$AT$46,,$AI226), INDEX($AU$23:$BA$46,,$AH226), 1 / ($BC$23:$BC$46*BY226), N($AQ$23:$AQ$46&gt;$AO226))
) / 1000</f>
        <v>0</v>
      </c>
      <c r="CB226" s="230">
        <f t="shared" si="415"/>
        <v>0</v>
      </c>
      <c r="CC226" s="238"/>
      <c r="CD226" s="229" cm="1">
        <f t="array" ref="CD226">IF(ISBLANK(Y226), INDEX(Use, $AH226, 4) - AN226*INDEX(Use, $AH226, 6) - (Q226-X226), Y226)</f>
        <v>7</v>
      </c>
      <c r="CE226" s="229">
        <f t="shared" si="416"/>
        <v>32</v>
      </c>
      <c r="CF226" s="230">
        <f t="shared" si="417"/>
        <v>0</v>
      </c>
      <c r="CG226" s="229">
        <v>35</v>
      </c>
      <c r="CH226" s="230">
        <f t="shared" si="418"/>
        <v>48</v>
      </c>
      <c r="CI226" s="235">
        <f t="shared" si="419"/>
        <v>3.0748170731707316</v>
      </c>
      <c r="CJ226" s="235" cm="1">
        <f t="array" ref="CJ226">$BI226 * SUMPRODUCT(INDEX($AR$77:$AT$82,,$AI226),INDEX($AU$77:$BA$82,,$AH226), N($AQ$77:$AQ$82&gt;$AO226)) / CI226 / 1000</f>
        <v>0</v>
      </c>
      <c r="CK226" s="232">
        <f t="shared" si="260"/>
        <v>30</v>
      </c>
      <c r="CL226" s="230">
        <f t="shared" si="420"/>
        <v>43</v>
      </c>
      <c r="CM226" s="235">
        <f t="shared" si="421"/>
        <v>3.5018750000000001</v>
      </c>
      <c r="CN226" s="235" cm="1">
        <f t="array" ref="CN226">$BI226 * IF($AH226&lt;=2,
SUMPRODUCT(INDEX($AR$72:$AT$76,,$AI226), INDEX($AU$72:$BA$76,,$AH226), 1 / ($BB$72:$BB$76*CM226 + (1-$BB$72:$BB$76)*CI226), N($AQ$72:$AQ$76&gt;$AO226)),
SUMPRODUCT(INDEX($AR$67:$AT$76,,$AI226), INDEX($AU$67:$BA$76,,$AH226), 1 / ($BC$67:$BC$76*CM226 + (1-$BC$67:$BC$76)*CI226), N($AQ$67:$AQ$76&gt;$AO226))
) / 1000</f>
        <v>0</v>
      </c>
      <c r="CO226" s="232">
        <f t="shared" si="263"/>
        <v>25</v>
      </c>
      <c r="CP226" s="230">
        <f t="shared" si="422"/>
        <v>38</v>
      </c>
      <c r="CQ226" s="235">
        <f t="shared" si="423"/>
        <v>4.0666935483870965</v>
      </c>
      <c r="CR226" s="235" cm="1">
        <f t="array" ref="CR226">$BI226 * IF($AH226&lt;=2,
SUMPRODUCT(INDEX($AR$67:$AT$71,,$AI226), INDEX($AU$67:$BA$71,,$AH226), 1 / ($BB$67:$BB$71*CQ226 + (1-$BB$67:$BB$71)*CM226), N($AQ$67:$AQ$71&gt;$AO226)),
SUMPRODUCT(INDEX($AR$57:$AT$66,,$AI226), INDEX($AU$57:$BA$66,,$AH226), 1 / ($BC$57:$BC$66*CQ226 + (1-$BC$57:$BC$66)*CM226), N($AQ$57:$AQ$66&gt;$AO226))
) / 1000</f>
        <v>0</v>
      </c>
      <c r="CS226" s="232">
        <f t="shared" si="266"/>
        <v>20</v>
      </c>
      <c r="CT226" s="230">
        <f t="shared" si="424"/>
        <v>33</v>
      </c>
      <c r="CU226" s="235">
        <f t="shared" si="425"/>
        <v>4.8487499999999999</v>
      </c>
      <c r="CV226" s="235" cm="1">
        <f t="array" ref="CV226">$BI226 * IF($AH226&lt;=2,
SUMPRODUCT(INDEX($AR$62:$AT$66,,$AI226), INDEX($AU$62:$BA$66,,$AH226), 1 / ($BB$62:$BB$66*CU226 + (1-$BB$62:$BB$66)*CQ226), N($AQ$62:$AQ$66&gt;$AO226)),
SUMPRODUCT(INDEX($AR$47:$AT$56,,$AI226), INDEX($AU$47:$BA$56,,$AH226), 1 / ($BC$47:$BC$56*CU226 + (1-$BC$47:$BC$56)*CQ226), N($AQ$47:$AQ$56&gt;$AO226))
) / 1000</f>
        <v>0</v>
      </c>
      <c r="CW226" s="235" cm="1">
        <f t="array" ref="CW226">$BI226 * IF($AH226&lt;=2,
SUMPRODUCT(INDEX($AR$23:$AT$61,,$AI226), INDEX($AU$23:$BA$61,,$AH226), 1 / ($BB$23:$BB$61*CU226), N($AQ$23:$AQ$61&gt;$AO226)),
SUMPRODUCT(INDEX($AR$23:$AT$46,,$AI226), INDEX($AU$23:$BA$46,,$AH226), 1 / ($BC$23:$BC$46*CU226), N($AQ$23:$AQ$46&gt;$AO226))
) / 1000</f>
        <v>0</v>
      </c>
      <c r="CX226" s="230">
        <f t="shared" si="426"/>
        <v>0</v>
      </c>
      <c r="CY226" s="238"/>
    </row>
    <row r="227" spans="1:103" s="76" customFormat="1" ht="14.25" customHeight="1" x14ac:dyDescent="0.2">
      <c r="A227" s="231" t="b">
        <f t="shared" si="229"/>
        <v>0</v>
      </c>
      <c r="B227" s="245">
        <v>205</v>
      </c>
      <c r="C227" s="258"/>
      <c r="D227" s="258"/>
      <c r="E227" s="246"/>
      <c r="F227" s="247" t="str">
        <f>IF(ISBLANK(E227), "", VLOOKUP(E227, Z!$A$2:$C$4127, 3, FALSE))</f>
        <v/>
      </c>
      <c r="G227" s="248"/>
      <c r="H227" s="248"/>
      <c r="I227" s="249"/>
      <c r="J227" s="250"/>
      <c r="K227" s="259"/>
      <c r="L227" s="260"/>
      <c r="M227" s="252" t="str" cm="1">
        <f t="array" ref="M227">INDEX(Trad, 53, $A$20)</f>
        <v>Verschmutzt</v>
      </c>
      <c r="N227" s="253"/>
      <c r="O227" s="253"/>
      <c r="P227" s="254"/>
      <c r="Q227" s="251"/>
      <c r="R227" s="251"/>
      <c r="S227" s="264">
        <f t="shared" si="401"/>
        <v>0</v>
      </c>
      <c r="T227" s="252" t="str" cm="1">
        <f t="array" ref="T227">INDEX(Trad, 52, $A$20)</f>
        <v>Sauber</v>
      </c>
      <c r="U227" s="253"/>
      <c r="V227" s="253"/>
      <c r="W227" s="254"/>
      <c r="X227" s="251"/>
      <c r="Y227" s="251"/>
      <c r="Z227" s="264">
        <f t="shared" si="402"/>
        <v>0</v>
      </c>
      <c r="AA227" s="261"/>
      <c r="AB227" s="258"/>
      <c r="AC227" s="246"/>
      <c r="AD227" s="247" t="str">
        <f>IF(ISBLANK(AC227), "", VLOOKUP(AC227, Z!$A$2:$C$4127, 3, FALSE))</f>
        <v/>
      </c>
      <c r="AE227" s="262"/>
      <c r="AF227" s="263">
        <f t="shared" si="403"/>
        <v>0</v>
      </c>
      <c r="AG227" s="238"/>
      <c r="AH227" s="229">
        <f t="shared" si="427"/>
        <v>1</v>
      </c>
      <c r="AI227" s="229">
        <f t="shared" si="428"/>
        <v>1</v>
      </c>
      <c r="AJ227" s="229">
        <f t="shared" si="429"/>
        <v>0</v>
      </c>
      <c r="AK227" s="229">
        <v>0</v>
      </c>
      <c r="AL227" s="229">
        <v>0</v>
      </c>
      <c r="AM227" s="229">
        <v>1</v>
      </c>
      <c r="AN227" s="229">
        <v>0</v>
      </c>
      <c r="AO227" s="229">
        <f t="shared" si="404"/>
        <v>-100</v>
      </c>
      <c r="AP227" s="238"/>
      <c r="AQ227" s="255"/>
      <c r="AR227" s="255"/>
      <c r="AS227" s="256"/>
      <c r="AT227" s="256"/>
      <c r="AU227" s="256"/>
      <c r="AV227" s="256"/>
      <c r="AW227" s="256"/>
      <c r="AX227" s="256"/>
      <c r="AY227" s="256"/>
      <c r="AZ227" s="256"/>
      <c r="BA227" s="256"/>
      <c r="BB227" s="256"/>
      <c r="BC227" s="256"/>
      <c r="BD227" s="238"/>
      <c r="BE227" s="229" cm="1">
        <f t="array" ref="BE227">IF(ISBLANK(R227), INDEX(Use, $AH227, 4) - AM227*INDEX(Use, $AH227, 6), R227)</f>
        <v>5</v>
      </c>
      <c r="BF227" s="229">
        <f t="shared" si="405"/>
        <v>30</v>
      </c>
      <c r="BG227" s="229">
        <f t="shared" si="241"/>
        <v>13</v>
      </c>
      <c r="BH227" s="229">
        <f t="shared" si="242"/>
        <v>0</v>
      </c>
      <c r="BI227" s="234" cm="1">
        <f t="array" ref="BI227">K227/IF($L227&gt;0, INDEX($AU$23:$BA$77, $L227+20, $AH227), 1)</f>
        <v>0</v>
      </c>
      <c r="BJ227" s="230">
        <f t="shared" si="406"/>
        <v>0</v>
      </c>
      <c r="BK227" s="229">
        <v>35</v>
      </c>
      <c r="BL227" s="230">
        <f t="shared" si="407"/>
        <v>48</v>
      </c>
      <c r="BM227" s="235">
        <f t="shared" si="408"/>
        <v>2.9108720930232557</v>
      </c>
      <c r="BN227" s="235" cm="1">
        <f t="array" ref="BN227">$BI227 * SUMPRODUCT(INDEX($AR$77:$AT$82,,$AI227),INDEX($AU$77:$BA$82,,$AH227), N($AQ$77:$AQ$82&gt;$AO227)) / BM227 / 1000</f>
        <v>0</v>
      </c>
      <c r="BO227" s="232">
        <f t="shared" si="246"/>
        <v>30</v>
      </c>
      <c r="BP227" s="230">
        <f t="shared" si="409"/>
        <v>43</v>
      </c>
      <c r="BQ227" s="235">
        <f t="shared" si="410"/>
        <v>3.2938815789473681</v>
      </c>
      <c r="BR227" s="235" cm="1">
        <f t="array" ref="BR227">$BI227 * IF($AH227&lt;=2,
SUMPRODUCT(INDEX($AR$72:$AT$76,,$AI227), INDEX($AU$72:$BA$76,,$AH227), 1 / ($BB$72:$BB$76*BQ227 + (1-$BB$72:$BB$76)*BM227), N($AQ$72:$AQ$76&gt;$AO227)),
SUMPRODUCT(INDEX($AR$67:$AT$76,,$AI227), INDEX($AU$67:$BA$76,,$AH227), 1 / ($BC$67:$BC$76*BQ227 + (1-$BC$67:$BC$76)*BM227), N($AQ$67:$AQ$76&gt;$AO227))
) / 1000</f>
        <v>0</v>
      </c>
      <c r="BS227" s="232">
        <f t="shared" si="249"/>
        <v>25</v>
      </c>
      <c r="BT227" s="230">
        <f t="shared" si="411"/>
        <v>38</v>
      </c>
      <c r="BU227" s="235">
        <f t="shared" si="412"/>
        <v>3.792954545454545</v>
      </c>
      <c r="BV227" s="235" cm="1">
        <f t="array" ref="BV227">$BI227 * IF($AH227&lt;=2,
SUMPRODUCT(INDEX($AR$67:$AT$71,,$AI227), INDEX($AU$67:$BA$71,,$AH227), 1 / ($BB$67:$BB$71*BU227 + (1-$BB$67:$BB$71)*BQ227), N($AQ$67:$AQ$71&gt;$AO227)),
SUMPRODUCT(INDEX($AR$57:$AT$66,,$AI227), INDEX($AU$57:$BA$66,,$AH227), 1 / ($BC$57:$BC$66*BU227 + (1-$BC$57:$BC$66)*BQ227), N($AQ$57:$AQ$66&gt;$AO227))
) / 1000</f>
        <v>0</v>
      </c>
      <c r="BW227" s="232">
        <f t="shared" si="252"/>
        <v>20</v>
      </c>
      <c r="BX227" s="230">
        <f t="shared" si="413"/>
        <v>33</v>
      </c>
      <c r="BY227" s="235">
        <f t="shared" si="414"/>
        <v>4.4702678571428569</v>
      </c>
      <c r="BZ227" s="235" cm="1">
        <f t="array" ref="BZ227">$BI227 * IF($AH227&lt;=2,
SUMPRODUCT(INDEX($AR$62:$AT$66,,$AI227), INDEX($AU$62:$BA$66,,$AH227), 1 / ($BB$62:$BB$66*BY227 + (1-$BB$62:$BB$66)*BU227), N($AQ$62:$AQ$66&gt;$AO227)),
SUMPRODUCT(INDEX($AR$47:$AT$56,,$AI227), INDEX($AU$47:$BA$56,,$AH227), 1 / ($BC$47:$BC$56*BY227 + (1-$BC$47:$BC$56)*BU227), N($AQ$47:$AQ$56&gt;$AO227))
) / 1000</f>
        <v>0</v>
      </c>
      <c r="CA227" s="235" cm="1">
        <f t="array" ref="CA227">$BI227 * IF($AH227&lt;=2,
SUMPRODUCT(INDEX($AR$23:$AT$61,,$AI227), INDEX($AU$23:$BA$61,,$AH227), 1 / ($BB$23:$BB$61*BY227), N($AQ$23:$AQ$61&gt;$AO227)),
SUMPRODUCT(INDEX($AR$23:$AT$46,,$AI227), INDEX($AU$23:$BA$46,,$AH227), 1 / ($BC$23:$BC$46*BY227), N($AQ$23:$AQ$46&gt;$AO227))
) / 1000</f>
        <v>0</v>
      </c>
      <c r="CB227" s="230">
        <f t="shared" si="415"/>
        <v>0</v>
      </c>
      <c r="CC227" s="238"/>
      <c r="CD227" s="229" cm="1">
        <f t="array" ref="CD227">IF(ISBLANK(Y227), INDEX(Use, $AH227, 4) - AN227*INDEX(Use, $AH227, 6) - (Q227-X227), Y227)</f>
        <v>7</v>
      </c>
      <c r="CE227" s="229">
        <f t="shared" si="416"/>
        <v>32</v>
      </c>
      <c r="CF227" s="230">
        <f t="shared" si="417"/>
        <v>0</v>
      </c>
      <c r="CG227" s="229">
        <v>35</v>
      </c>
      <c r="CH227" s="230">
        <f t="shared" si="418"/>
        <v>48</v>
      </c>
      <c r="CI227" s="235">
        <f t="shared" si="419"/>
        <v>3.0748170731707316</v>
      </c>
      <c r="CJ227" s="235" cm="1">
        <f t="array" ref="CJ227">$BI227 * SUMPRODUCT(INDEX($AR$77:$AT$82,,$AI227),INDEX($AU$77:$BA$82,,$AH227), N($AQ$77:$AQ$82&gt;$AO227)) / CI227 / 1000</f>
        <v>0</v>
      </c>
      <c r="CK227" s="232">
        <f t="shared" si="260"/>
        <v>30</v>
      </c>
      <c r="CL227" s="230">
        <f t="shared" si="420"/>
        <v>43</v>
      </c>
      <c r="CM227" s="235">
        <f t="shared" si="421"/>
        <v>3.5018750000000001</v>
      </c>
      <c r="CN227" s="235" cm="1">
        <f t="array" ref="CN227">$BI227 * IF($AH227&lt;=2,
SUMPRODUCT(INDEX($AR$72:$AT$76,,$AI227), INDEX($AU$72:$BA$76,,$AH227), 1 / ($BB$72:$BB$76*CM227 + (1-$BB$72:$BB$76)*CI227), N($AQ$72:$AQ$76&gt;$AO227)),
SUMPRODUCT(INDEX($AR$67:$AT$76,,$AI227), INDEX($AU$67:$BA$76,,$AH227), 1 / ($BC$67:$BC$76*CM227 + (1-$BC$67:$BC$76)*CI227), N($AQ$67:$AQ$76&gt;$AO227))
) / 1000</f>
        <v>0</v>
      </c>
      <c r="CO227" s="232">
        <f t="shared" si="263"/>
        <v>25</v>
      </c>
      <c r="CP227" s="230">
        <f t="shared" si="422"/>
        <v>38</v>
      </c>
      <c r="CQ227" s="235">
        <f t="shared" si="423"/>
        <v>4.0666935483870965</v>
      </c>
      <c r="CR227" s="235" cm="1">
        <f t="array" ref="CR227">$BI227 * IF($AH227&lt;=2,
SUMPRODUCT(INDEX($AR$67:$AT$71,,$AI227), INDEX($AU$67:$BA$71,,$AH227), 1 / ($BB$67:$BB$71*CQ227 + (1-$BB$67:$BB$71)*CM227), N($AQ$67:$AQ$71&gt;$AO227)),
SUMPRODUCT(INDEX($AR$57:$AT$66,,$AI227), INDEX($AU$57:$BA$66,,$AH227), 1 / ($BC$57:$BC$66*CQ227 + (1-$BC$57:$BC$66)*CM227), N($AQ$57:$AQ$66&gt;$AO227))
) / 1000</f>
        <v>0</v>
      </c>
      <c r="CS227" s="232">
        <f t="shared" si="266"/>
        <v>20</v>
      </c>
      <c r="CT227" s="230">
        <f t="shared" si="424"/>
        <v>33</v>
      </c>
      <c r="CU227" s="235">
        <f t="shared" si="425"/>
        <v>4.8487499999999999</v>
      </c>
      <c r="CV227" s="235" cm="1">
        <f t="array" ref="CV227">$BI227 * IF($AH227&lt;=2,
SUMPRODUCT(INDEX($AR$62:$AT$66,,$AI227), INDEX($AU$62:$BA$66,,$AH227), 1 / ($BB$62:$BB$66*CU227 + (1-$BB$62:$BB$66)*CQ227), N($AQ$62:$AQ$66&gt;$AO227)),
SUMPRODUCT(INDEX($AR$47:$AT$56,,$AI227), INDEX($AU$47:$BA$56,,$AH227), 1 / ($BC$47:$BC$56*CU227 + (1-$BC$47:$BC$56)*CQ227), N($AQ$47:$AQ$56&gt;$AO227))
) / 1000</f>
        <v>0</v>
      </c>
      <c r="CW227" s="235" cm="1">
        <f t="array" ref="CW227">$BI227 * IF($AH227&lt;=2,
SUMPRODUCT(INDEX($AR$23:$AT$61,,$AI227), INDEX($AU$23:$BA$61,,$AH227), 1 / ($BB$23:$BB$61*CU227), N($AQ$23:$AQ$61&gt;$AO227)),
SUMPRODUCT(INDEX($AR$23:$AT$46,,$AI227), INDEX($AU$23:$BA$46,,$AH227), 1 / ($BC$23:$BC$46*CU227), N($AQ$23:$AQ$46&gt;$AO227))
) / 1000</f>
        <v>0</v>
      </c>
      <c r="CX227" s="230">
        <f t="shared" si="426"/>
        <v>0</v>
      </c>
      <c r="CY227" s="238"/>
    </row>
    <row r="228" spans="1:103" s="76" customFormat="1" ht="14.25" customHeight="1" x14ac:dyDescent="0.2">
      <c r="A228" s="231" t="b">
        <f t="shared" si="229"/>
        <v>0</v>
      </c>
      <c r="B228" s="245">
        <v>206</v>
      </c>
      <c r="C228" s="258"/>
      <c r="D228" s="258"/>
      <c r="E228" s="246"/>
      <c r="F228" s="247" t="str">
        <f>IF(ISBLANK(E228), "", VLOOKUP(E228, Z!$A$2:$C$4127, 3, FALSE))</f>
        <v/>
      </c>
      <c r="G228" s="248"/>
      <c r="H228" s="248"/>
      <c r="I228" s="249"/>
      <c r="J228" s="250"/>
      <c r="K228" s="259"/>
      <c r="L228" s="260"/>
      <c r="M228" s="252" t="str" cm="1">
        <f t="array" ref="M228">INDEX(Trad, 53, $A$20)</f>
        <v>Verschmutzt</v>
      </c>
      <c r="N228" s="253"/>
      <c r="O228" s="253"/>
      <c r="P228" s="254"/>
      <c r="Q228" s="251"/>
      <c r="R228" s="251"/>
      <c r="S228" s="264">
        <f t="shared" si="401"/>
        <v>0</v>
      </c>
      <c r="T228" s="252" t="str" cm="1">
        <f t="array" ref="T228">INDEX(Trad, 52, $A$20)</f>
        <v>Sauber</v>
      </c>
      <c r="U228" s="253"/>
      <c r="V228" s="253"/>
      <c r="W228" s="254"/>
      <c r="X228" s="251"/>
      <c r="Y228" s="251"/>
      <c r="Z228" s="264">
        <f t="shared" si="402"/>
        <v>0</v>
      </c>
      <c r="AA228" s="261"/>
      <c r="AB228" s="258"/>
      <c r="AC228" s="246"/>
      <c r="AD228" s="247" t="str">
        <f>IF(ISBLANK(AC228), "", VLOOKUP(AC228, Z!$A$2:$C$4127, 3, FALSE))</f>
        <v/>
      </c>
      <c r="AE228" s="262"/>
      <c r="AF228" s="263">
        <f t="shared" si="403"/>
        <v>0</v>
      </c>
      <c r="AG228" s="238"/>
      <c r="AH228" s="229">
        <f t="shared" si="427"/>
        <v>1</v>
      </c>
      <c r="AI228" s="229">
        <f t="shared" si="428"/>
        <v>1</v>
      </c>
      <c r="AJ228" s="229">
        <f t="shared" si="429"/>
        <v>0</v>
      </c>
      <c r="AK228" s="229">
        <v>0</v>
      </c>
      <c r="AL228" s="229">
        <v>0</v>
      </c>
      <c r="AM228" s="229">
        <v>1</v>
      </c>
      <c r="AN228" s="229">
        <v>0</v>
      </c>
      <c r="AO228" s="229">
        <f t="shared" si="404"/>
        <v>-100</v>
      </c>
      <c r="AP228" s="238"/>
      <c r="AQ228" s="255"/>
      <c r="AR228" s="255"/>
      <c r="AS228" s="256"/>
      <c r="AT228" s="256"/>
      <c r="AU228" s="256"/>
      <c r="AV228" s="256"/>
      <c r="AW228" s="256"/>
      <c r="AX228" s="256"/>
      <c r="AY228" s="256"/>
      <c r="AZ228" s="256"/>
      <c r="BA228" s="256"/>
      <c r="BB228" s="256"/>
      <c r="BC228" s="256"/>
      <c r="BD228" s="238"/>
      <c r="BE228" s="229" cm="1">
        <f t="array" ref="BE228">IF(ISBLANK(R228), INDEX(Use, $AH228, 4) - AM228*INDEX(Use, $AH228, 6), R228)</f>
        <v>5</v>
      </c>
      <c r="BF228" s="229">
        <f t="shared" si="405"/>
        <v>30</v>
      </c>
      <c r="BG228" s="229">
        <f t="shared" si="241"/>
        <v>13</v>
      </c>
      <c r="BH228" s="229">
        <f t="shared" si="242"/>
        <v>0</v>
      </c>
      <c r="BI228" s="234" cm="1">
        <f t="array" ref="BI228">K228/IF($L228&gt;0, INDEX($AU$23:$BA$77, $L228+20, $AH228), 1)</f>
        <v>0</v>
      </c>
      <c r="BJ228" s="230">
        <f t="shared" si="406"/>
        <v>0</v>
      </c>
      <c r="BK228" s="229">
        <v>35</v>
      </c>
      <c r="BL228" s="230">
        <f t="shared" si="407"/>
        <v>48</v>
      </c>
      <c r="BM228" s="235">
        <f t="shared" si="408"/>
        <v>2.9108720930232557</v>
      </c>
      <c r="BN228" s="235" cm="1">
        <f t="array" ref="BN228">$BI228 * SUMPRODUCT(INDEX($AR$77:$AT$82,,$AI228),INDEX($AU$77:$BA$82,,$AH228), N($AQ$77:$AQ$82&gt;$AO228)) / BM228 / 1000</f>
        <v>0</v>
      </c>
      <c r="BO228" s="232">
        <f t="shared" si="246"/>
        <v>30</v>
      </c>
      <c r="BP228" s="230">
        <f t="shared" si="409"/>
        <v>43</v>
      </c>
      <c r="BQ228" s="235">
        <f t="shared" si="410"/>
        <v>3.2938815789473681</v>
      </c>
      <c r="BR228" s="235" cm="1">
        <f t="array" ref="BR228">$BI228 * IF($AH228&lt;=2,
SUMPRODUCT(INDEX($AR$72:$AT$76,,$AI228), INDEX($AU$72:$BA$76,,$AH228), 1 / ($BB$72:$BB$76*BQ228 + (1-$BB$72:$BB$76)*BM228), N($AQ$72:$AQ$76&gt;$AO228)),
SUMPRODUCT(INDEX($AR$67:$AT$76,,$AI228), INDEX($AU$67:$BA$76,,$AH228), 1 / ($BC$67:$BC$76*BQ228 + (1-$BC$67:$BC$76)*BM228), N($AQ$67:$AQ$76&gt;$AO228))
) / 1000</f>
        <v>0</v>
      </c>
      <c r="BS228" s="232">
        <f t="shared" si="249"/>
        <v>25</v>
      </c>
      <c r="BT228" s="230">
        <f t="shared" si="411"/>
        <v>38</v>
      </c>
      <c r="BU228" s="235">
        <f t="shared" si="412"/>
        <v>3.792954545454545</v>
      </c>
      <c r="BV228" s="235" cm="1">
        <f t="array" ref="BV228">$BI228 * IF($AH228&lt;=2,
SUMPRODUCT(INDEX($AR$67:$AT$71,,$AI228), INDEX($AU$67:$BA$71,,$AH228), 1 / ($BB$67:$BB$71*BU228 + (1-$BB$67:$BB$71)*BQ228), N($AQ$67:$AQ$71&gt;$AO228)),
SUMPRODUCT(INDEX($AR$57:$AT$66,,$AI228), INDEX($AU$57:$BA$66,,$AH228), 1 / ($BC$57:$BC$66*BU228 + (1-$BC$57:$BC$66)*BQ228), N($AQ$57:$AQ$66&gt;$AO228))
) / 1000</f>
        <v>0</v>
      </c>
      <c r="BW228" s="232">
        <f t="shared" si="252"/>
        <v>20</v>
      </c>
      <c r="BX228" s="230">
        <f t="shared" si="413"/>
        <v>33</v>
      </c>
      <c r="BY228" s="235">
        <f t="shared" si="414"/>
        <v>4.4702678571428569</v>
      </c>
      <c r="BZ228" s="235" cm="1">
        <f t="array" ref="BZ228">$BI228 * IF($AH228&lt;=2,
SUMPRODUCT(INDEX($AR$62:$AT$66,,$AI228), INDEX($AU$62:$BA$66,,$AH228), 1 / ($BB$62:$BB$66*BY228 + (1-$BB$62:$BB$66)*BU228), N($AQ$62:$AQ$66&gt;$AO228)),
SUMPRODUCT(INDEX($AR$47:$AT$56,,$AI228), INDEX($AU$47:$BA$56,,$AH228), 1 / ($BC$47:$BC$56*BY228 + (1-$BC$47:$BC$56)*BU228), N($AQ$47:$AQ$56&gt;$AO228))
) / 1000</f>
        <v>0</v>
      </c>
      <c r="CA228" s="235" cm="1">
        <f t="array" ref="CA228">$BI228 * IF($AH228&lt;=2,
SUMPRODUCT(INDEX($AR$23:$AT$61,,$AI228), INDEX($AU$23:$BA$61,,$AH228), 1 / ($BB$23:$BB$61*BY228), N($AQ$23:$AQ$61&gt;$AO228)),
SUMPRODUCT(INDEX($AR$23:$AT$46,,$AI228), INDEX($AU$23:$BA$46,,$AH228), 1 / ($BC$23:$BC$46*BY228), N($AQ$23:$AQ$46&gt;$AO228))
) / 1000</f>
        <v>0</v>
      </c>
      <c r="CB228" s="230">
        <f t="shared" si="415"/>
        <v>0</v>
      </c>
      <c r="CC228" s="238"/>
      <c r="CD228" s="229" cm="1">
        <f t="array" ref="CD228">IF(ISBLANK(Y228), INDEX(Use, $AH228, 4) - AN228*INDEX(Use, $AH228, 6) - (Q228-X228), Y228)</f>
        <v>7</v>
      </c>
      <c r="CE228" s="229">
        <f t="shared" si="416"/>
        <v>32</v>
      </c>
      <c r="CF228" s="230">
        <f t="shared" si="417"/>
        <v>0</v>
      </c>
      <c r="CG228" s="229">
        <v>35</v>
      </c>
      <c r="CH228" s="230">
        <f t="shared" si="418"/>
        <v>48</v>
      </c>
      <c r="CI228" s="235">
        <f t="shared" si="419"/>
        <v>3.0748170731707316</v>
      </c>
      <c r="CJ228" s="235" cm="1">
        <f t="array" ref="CJ228">$BI228 * SUMPRODUCT(INDEX($AR$77:$AT$82,,$AI228),INDEX($AU$77:$BA$82,,$AH228), N($AQ$77:$AQ$82&gt;$AO228)) / CI228 / 1000</f>
        <v>0</v>
      </c>
      <c r="CK228" s="232">
        <f t="shared" si="260"/>
        <v>30</v>
      </c>
      <c r="CL228" s="230">
        <f t="shared" si="420"/>
        <v>43</v>
      </c>
      <c r="CM228" s="235">
        <f t="shared" si="421"/>
        <v>3.5018750000000001</v>
      </c>
      <c r="CN228" s="235" cm="1">
        <f t="array" ref="CN228">$BI228 * IF($AH228&lt;=2,
SUMPRODUCT(INDEX($AR$72:$AT$76,,$AI228), INDEX($AU$72:$BA$76,,$AH228), 1 / ($BB$72:$BB$76*CM228 + (1-$BB$72:$BB$76)*CI228), N($AQ$72:$AQ$76&gt;$AO228)),
SUMPRODUCT(INDEX($AR$67:$AT$76,,$AI228), INDEX($AU$67:$BA$76,,$AH228), 1 / ($BC$67:$BC$76*CM228 + (1-$BC$67:$BC$76)*CI228), N($AQ$67:$AQ$76&gt;$AO228))
) / 1000</f>
        <v>0</v>
      </c>
      <c r="CO228" s="232">
        <f t="shared" si="263"/>
        <v>25</v>
      </c>
      <c r="CP228" s="230">
        <f t="shared" si="422"/>
        <v>38</v>
      </c>
      <c r="CQ228" s="235">
        <f t="shared" si="423"/>
        <v>4.0666935483870965</v>
      </c>
      <c r="CR228" s="235" cm="1">
        <f t="array" ref="CR228">$BI228 * IF($AH228&lt;=2,
SUMPRODUCT(INDEX($AR$67:$AT$71,,$AI228), INDEX($AU$67:$BA$71,,$AH228), 1 / ($BB$67:$BB$71*CQ228 + (1-$BB$67:$BB$71)*CM228), N($AQ$67:$AQ$71&gt;$AO228)),
SUMPRODUCT(INDEX($AR$57:$AT$66,,$AI228), INDEX($AU$57:$BA$66,,$AH228), 1 / ($BC$57:$BC$66*CQ228 + (1-$BC$57:$BC$66)*CM228), N($AQ$57:$AQ$66&gt;$AO228))
) / 1000</f>
        <v>0</v>
      </c>
      <c r="CS228" s="232">
        <f t="shared" si="266"/>
        <v>20</v>
      </c>
      <c r="CT228" s="230">
        <f t="shared" si="424"/>
        <v>33</v>
      </c>
      <c r="CU228" s="235">
        <f t="shared" si="425"/>
        <v>4.8487499999999999</v>
      </c>
      <c r="CV228" s="235" cm="1">
        <f t="array" ref="CV228">$BI228 * IF($AH228&lt;=2,
SUMPRODUCT(INDEX($AR$62:$AT$66,,$AI228), INDEX($AU$62:$BA$66,,$AH228), 1 / ($BB$62:$BB$66*CU228 + (1-$BB$62:$BB$66)*CQ228), N($AQ$62:$AQ$66&gt;$AO228)),
SUMPRODUCT(INDEX($AR$47:$AT$56,,$AI228), INDEX($AU$47:$BA$56,,$AH228), 1 / ($BC$47:$BC$56*CU228 + (1-$BC$47:$BC$56)*CQ228), N($AQ$47:$AQ$56&gt;$AO228))
) / 1000</f>
        <v>0</v>
      </c>
      <c r="CW228" s="235" cm="1">
        <f t="array" ref="CW228">$BI228 * IF($AH228&lt;=2,
SUMPRODUCT(INDEX($AR$23:$AT$61,,$AI228), INDEX($AU$23:$BA$61,,$AH228), 1 / ($BB$23:$BB$61*CU228), N($AQ$23:$AQ$61&gt;$AO228)),
SUMPRODUCT(INDEX($AR$23:$AT$46,,$AI228), INDEX($AU$23:$BA$46,,$AH228), 1 / ($BC$23:$BC$46*CU228), N($AQ$23:$AQ$46&gt;$AO228))
) / 1000</f>
        <v>0</v>
      </c>
      <c r="CX228" s="230">
        <f t="shared" si="426"/>
        <v>0</v>
      </c>
      <c r="CY228" s="238"/>
    </row>
    <row r="229" spans="1:103" s="76" customFormat="1" ht="14.25" customHeight="1" x14ac:dyDescent="0.2">
      <c r="A229" s="231" t="b">
        <f t="shared" si="229"/>
        <v>0</v>
      </c>
      <c r="B229" s="245">
        <v>207</v>
      </c>
      <c r="C229" s="258"/>
      <c r="D229" s="258"/>
      <c r="E229" s="246"/>
      <c r="F229" s="247" t="str">
        <f>IF(ISBLANK(E229), "", VLOOKUP(E229, Z!$A$2:$C$4127, 3, FALSE))</f>
        <v/>
      </c>
      <c r="G229" s="248"/>
      <c r="H229" s="248"/>
      <c r="I229" s="249"/>
      <c r="J229" s="250"/>
      <c r="K229" s="259"/>
      <c r="L229" s="260"/>
      <c r="M229" s="252" t="str" cm="1">
        <f t="array" ref="M229">INDEX(Trad, 53, $A$20)</f>
        <v>Verschmutzt</v>
      </c>
      <c r="N229" s="253"/>
      <c r="O229" s="253"/>
      <c r="P229" s="254"/>
      <c r="Q229" s="251"/>
      <c r="R229" s="251"/>
      <c r="S229" s="264">
        <f t="shared" si="401"/>
        <v>0</v>
      </c>
      <c r="T229" s="252" t="str" cm="1">
        <f t="array" ref="T229">INDEX(Trad, 52, $A$20)</f>
        <v>Sauber</v>
      </c>
      <c r="U229" s="253"/>
      <c r="V229" s="253"/>
      <c r="W229" s="254"/>
      <c r="X229" s="251"/>
      <c r="Y229" s="251"/>
      <c r="Z229" s="264">
        <f t="shared" si="402"/>
        <v>0</v>
      </c>
      <c r="AA229" s="261"/>
      <c r="AB229" s="258"/>
      <c r="AC229" s="246"/>
      <c r="AD229" s="247" t="str">
        <f>IF(ISBLANK(AC229), "", VLOOKUP(AC229, Z!$A$2:$C$4127, 3, FALSE))</f>
        <v/>
      </c>
      <c r="AE229" s="262"/>
      <c r="AF229" s="263">
        <f t="shared" si="403"/>
        <v>0</v>
      </c>
      <c r="AG229" s="238"/>
      <c r="AH229" s="229">
        <f t="shared" si="427"/>
        <v>1</v>
      </c>
      <c r="AI229" s="229">
        <f t="shared" si="428"/>
        <v>1</v>
      </c>
      <c r="AJ229" s="229">
        <f t="shared" si="429"/>
        <v>0</v>
      </c>
      <c r="AK229" s="229">
        <v>0</v>
      </c>
      <c r="AL229" s="229">
        <v>0</v>
      </c>
      <c r="AM229" s="229">
        <v>1</v>
      </c>
      <c r="AN229" s="229">
        <v>0</v>
      </c>
      <c r="AO229" s="229">
        <f t="shared" si="404"/>
        <v>-100</v>
      </c>
      <c r="AP229" s="238"/>
      <c r="AQ229" s="255"/>
      <c r="AR229" s="255"/>
      <c r="AS229" s="256"/>
      <c r="AT229" s="256"/>
      <c r="AU229" s="256"/>
      <c r="AV229" s="256"/>
      <c r="AW229" s="256"/>
      <c r="AX229" s="256"/>
      <c r="AY229" s="256"/>
      <c r="AZ229" s="256"/>
      <c r="BA229" s="256"/>
      <c r="BB229" s="256"/>
      <c r="BC229" s="256"/>
      <c r="BD229" s="238"/>
      <c r="BE229" s="229" cm="1">
        <f t="array" ref="BE229">IF(ISBLANK(R229), INDEX(Use, $AH229, 4) - AM229*INDEX(Use, $AH229, 6), R229)</f>
        <v>5</v>
      </c>
      <c r="BF229" s="229">
        <f t="shared" si="405"/>
        <v>30</v>
      </c>
      <c r="BG229" s="229">
        <f t="shared" si="241"/>
        <v>13</v>
      </c>
      <c r="BH229" s="229">
        <f t="shared" si="242"/>
        <v>0</v>
      </c>
      <c r="BI229" s="234" cm="1">
        <f t="array" ref="BI229">K229/IF($L229&gt;0, INDEX($AU$23:$BA$77, $L229+20, $AH229), 1)</f>
        <v>0</v>
      </c>
      <c r="BJ229" s="230">
        <f t="shared" si="406"/>
        <v>0</v>
      </c>
      <c r="BK229" s="229">
        <v>35</v>
      </c>
      <c r="BL229" s="230">
        <f t="shared" si="407"/>
        <v>48</v>
      </c>
      <c r="BM229" s="235">
        <f t="shared" si="408"/>
        <v>2.9108720930232557</v>
      </c>
      <c r="BN229" s="235" cm="1">
        <f t="array" ref="BN229">$BI229 * SUMPRODUCT(INDEX($AR$77:$AT$82,,$AI229),INDEX($AU$77:$BA$82,,$AH229), N($AQ$77:$AQ$82&gt;$AO229)) / BM229 / 1000</f>
        <v>0</v>
      </c>
      <c r="BO229" s="232">
        <f t="shared" si="246"/>
        <v>30</v>
      </c>
      <c r="BP229" s="230">
        <f t="shared" si="409"/>
        <v>43</v>
      </c>
      <c r="BQ229" s="235">
        <f t="shared" si="410"/>
        <v>3.2938815789473681</v>
      </c>
      <c r="BR229" s="235" cm="1">
        <f t="array" ref="BR229">$BI229 * IF($AH229&lt;=2,
SUMPRODUCT(INDEX($AR$72:$AT$76,,$AI229), INDEX($AU$72:$BA$76,,$AH229), 1 / ($BB$72:$BB$76*BQ229 + (1-$BB$72:$BB$76)*BM229), N($AQ$72:$AQ$76&gt;$AO229)),
SUMPRODUCT(INDEX($AR$67:$AT$76,,$AI229), INDEX($AU$67:$BA$76,,$AH229), 1 / ($BC$67:$BC$76*BQ229 + (1-$BC$67:$BC$76)*BM229), N($AQ$67:$AQ$76&gt;$AO229))
) / 1000</f>
        <v>0</v>
      </c>
      <c r="BS229" s="232">
        <f t="shared" si="249"/>
        <v>25</v>
      </c>
      <c r="BT229" s="230">
        <f t="shared" si="411"/>
        <v>38</v>
      </c>
      <c r="BU229" s="235">
        <f t="shared" si="412"/>
        <v>3.792954545454545</v>
      </c>
      <c r="BV229" s="235" cm="1">
        <f t="array" ref="BV229">$BI229 * IF($AH229&lt;=2,
SUMPRODUCT(INDEX($AR$67:$AT$71,,$AI229), INDEX($AU$67:$BA$71,,$AH229), 1 / ($BB$67:$BB$71*BU229 + (1-$BB$67:$BB$71)*BQ229), N($AQ$67:$AQ$71&gt;$AO229)),
SUMPRODUCT(INDEX($AR$57:$AT$66,,$AI229), INDEX($AU$57:$BA$66,,$AH229), 1 / ($BC$57:$BC$66*BU229 + (1-$BC$57:$BC$66)*BQ229), N($AQ$57:$AQ$66&gt;$AO229))
) / 1000</f>
        <v>0</v>
      </c>
      <c r="BW229" s="232">
        <f t="shared" si="252"/>
        <v>20</v>
      </c>
      <c r="BX229" s="230">
        <f t="shared" si="413"/>
        <v>33</v>
      </c>
      <c r="BY229" s="235">
        <f t="shared" si="414"/>
        <v>4.4702678571428569</v>
      </c>
      <c r="BZ229" s="235" cm="1">
        <f t="array" ref="BZ229">$BI229 * IF($AH229&lt;=2,
SUMPRODUCT(INDEX($AR$62:$AT$66,,$AI229), INDEX($AU$62:$BA$66,,$AH229), 1 / ($BB$62:$BB$66*BY229 + (1-$BB$62:$BB$66)*BU229), N($AQ$62:$AQ$66&gt;$AO229)),
SUMPRODUCT(INDEX($AR$47:$AT$56,,$AI229), INDEX($AU$47:$BA$56,,$AH229), 1 / ($BC$47:$BC$56*BY229 + (1-$BC$47:$BC$56)*BU229), N($AQ$47:$AQ$56&gt;$AO229))
) / 1000</f>
        <v>0</v>
      </c>
      <c r="CA229" s="235" cm="1">
        <f t="array" ref="CA229">$BI229 * IF($AH229&lt;=2,
SUMPRODUCT(INDEX($AR$23:$AT$61,,$AI229), INDEX($AU$23:$BA$61,,$AH229), 1 / ($BB$23:$BB$61*BY229), N($AQ$23:$AQ$61&gt;$AO229)),
SUMPRODUCT(INDEX($AR$23:$AT$46,,$AI229), INDEX($AU$23:$BA$46,,$AH229), 1 / ($BC$23:$BC$46*BY229), N($AQ$23:$AQ$46&gt;$AO229))
) / 1000</f>
        <v>0</v>
      </c>
      <c r="CB229" s="230">
        <f t="shared" si="415"/>
        <v>0</v>
      </c>
      <c r="CC229" s="238"/>
      <c r="CD229" s="229" cm="1">
        <f t="array" ref="CD229">IF(ISBLANK(Y229), INDEX(Use, $AH229, 4) - AN229*INDEX(Use, $AH229, 6) - (Q229-X229), Y229)</f>
        <v>7</v>
      </c>
      <c r="CE229" s="229">
        <f t="shared" si="416"/>
        <v>32</v>
      </c>
      <c r="CF229" s="230">
        <f t="shared" si="417"/>
        <v>0</v>
      </c>
      <c r="CG229" s="229">
        <v>35</v>
      </c>
      <c r="CH229" s="230">
        <f t="shared" si="418"/>
        <v>48</v>
      </c>
      <c r="CI229" s="235">
        <f t="shared" si="419"/>
        <v>3.0748170731707316</v>
      </c>
      <c r="CJ229" s="235" cm="1">
        <f t="array" ref="CJ229">$BI229 * SUMPRODUCT(INDEX($AR$77:$AT$82,,$AI229),INDEX($AU$77:$BA$82,,$AH229), N($AQ$77:$AQ$82&gt;$AO229)) / CI229 / 1000</f>
        <v>0</v>
      </c>
      <c r="CK229" s="232">
        <f t="shared" si="260"/>
        <v>30</v>
      </c>
      <c r="CL229" s="230">
        <f t="shared" si="420"/>
        <v>43</v>
      </c>
      <c r="CM229" s="235">
        <f t="shared" si="421"/>
        <v>3.5018750000000001</v>
      </c>
      <c r="CN229" s="235" cm="1">
        <f t="array" ref="CN229">$BI229 * IF($AH229&lt;=2,
SUMPRODUCT(INDEX($AR$72:$AT$76,,$AI229), INDEX($AU$72:$BA$76,,$AH229), 1 / ($BB$72:$BB$76*CM229 + (1-$BB$72:$BB$76)*CI229), N($AQ$72:$AQ$76&gt;$AO229)),
SUMPRODUCT(INDEX($AR$67:$AT$76,,$AI229), INDEX($AU$67:$BA$76,,$AH229), 1 / ($BC$67:$BC$76*CM229 + (1-$BC$67:$BC$76)*CI229), N($AQ$67:$AQ$76&gt;$AO229))
) / 1000</f>
        <v>0</v>
      </c>
      <c r="CO229" s="232">
        <f t="shared" si="263"/>
        <v>25</v>
      </c>
      <c r="CP229" s="230">
        <f t="shared" si="422"/>
        <v>38</v>
      </c>
      <c r="CQ229" s="235">
        <f t="shared" si="423"/>
        <v>4.0666935483870965</v>
      </c>
      <c r="CR229" s="235" cm="1">
        <f t="array" ref="CR229">$BI229 * IF($AH229&lt;=2,
SUMPRODUCT(INDEX($AR$67:$AT$71,,$AI229), INDEX($AU$67:$BA$71,,$AH229), 1 / ($BB$67:$BB$71*CQ229 + (1-$BB$67:$BB$71)*CM229), N($AQ$67:$AQ$71&gt;$AO229)),
SUMPRODUCT(INDEX($AR$57:$AT$66,,$AI229), INDEX($AU$57:$BA$66,,$AH229), 1 / ($BC$57:$BC$66*CQ229 + (1-$BC$57:$BC$66)*CM229), N($AQ$57:$AQ$66&gt;$AO229))
) / 1000</f>
        <v>0</v>
      </c>
      <c r="CS229" s="232">
        <f t="shared" si="266"/>
        <v>20</v>
      </c>
      <c r="CT229" s="230">
        <f t="shared" si="424"/>
        <v>33</v>
      </c>
      <c r="CU229" s="235">
        <f t="shared" si="425"/>
        <v>4.8487499999999999</v>
      </c>
      <c r="CV229" s="235" cm="1">
        <f t="array" ref="CV229">$BI229 * IF($AH229&lt;=2,
SUMPRODUCT(INDEX($AR$62:$AT$66,,$AI229), INDEX($AU$62:$BA$66,,$AH229), 1 / ($BB$62:$BB$66*CU229 + (1-$BB$62:$BB$66)*CQ229), N($AQ$62:$AQ$66&gt;$AO229)),
SUMPRODUCT(INDEX($AR$47:$AT$56,,$AI229), INDEX($AU$47:$BA$56,,$AH229), 1 / ($BC$47:$BC$56*CU229 + (1-$BC$47:$BC$56)*CQ229), N($AQ$47:$AQ$56&gt;$AO229))
) / 1000</f>
        <v>0</v>
      </c>
      <c r="CW229" s="235" cm="1">
        <f t="array" ref="CW229">$BI229 * IF($AH229&lt;=2,
SUMPRODUCT(INDEX($AR$23:$AT$61,,$AI229), INDEX($AU$23:$BA$61,,$AH229), 1 / ($BB$23:$BB$61*CU229), N($AQ$23:$AQ$61&gt;$AO229)),
SUMPRODUCT(INDEX($AR$23:$AT$46,,$AI229), INDEX($AU$23:$BA$46,,$AH229), 1 / ($BC$23:$BC$46*CU229), N($AQ$23:$AQ$46&gt;$AO229))
) / 1000</f>
        <v>0</v>
      </c>
      <c r="CX229" s="230">
        <f t="shared" si="426"/>
        <v>0</v>
      </c>
      <c r="CY229" s="238"/>
    </row>
    <row r="230" spans="1:103" s="76" customFormat="1" ht="14.25" customHeight="1" x14ac:dyDescent="0.2">
      <c r="A230" s="231" t="b">
        <f t="shared" si="229"/>
        <v>0</v>
      </c>
      <c r="B230" s="245">
        <v>208</v>
      </c>
      <c r="C230" s="258"/>
      <c r="D230" s="258"/>
      <c r="E230" s="246"/>
      <c r="F230" s="247" t="str">
        <f>IF(ISBLANK(E230), "", VLOOKUP(E230, Z!$A$2:$C$4127, 3, FALSE))</f>
        <v/>
      </c>
      <c r="G230" s="248"/>
      <c r="H230" s="248"/>
      <c r="I230" s="249"/>
      <c r="J230" s="250"/>
      <c r="K230" s="259"/>
      <c r="L230" s="260"/>
      <c r="M230" s="252" t="str" cm="1">
        <f t="array" ref="M230">INDEX(Trad, 53, $A$20)</f>
        <v>Verschmutzt</v>
      </c>
      <c r="N230" s="253"/>
      <c r="O230" s="253"/>
      <c r="P230" s="254"/>
      <c r="Q230" s="251"/>
      <c r="R230" s="251"/>
      <c r="S230" s="264">
        <f t="shared" si="401"/>
        <v>0</v>
      </c>
      <c r="T230" s="252" t="str" cm="1">
        <f t="array" ref="T230">INDEX(Trad, 52, $A$20)</f>
        <v>Sauber</v>
      </c>
      <c r="U230" s="253"/>
      <c r="V230" s="253"/>
      <c r="W230" s="254"/>
      <c r="X230" s="251"/>
      <c r="Y230" s="251"/>
      <c r="Z230" s="264">
        <f t="shared" si="402"/>
        <v>0</v>
      </c>
      <c r="AA230" s="261"/>
      <c r="AB230" s="258"/>
      <c r="AC230" s="246"/>
      <c r="AD230" s="247" t="str">
        <f>IF(ISBLANK(AC230), "", VLOOKUP(AC230, Z!$A$2:$C$4127, 3, FALSE))</f>
        <v/>
      </c>
      <c r="AE230" s="262"/>
      <c r="AF230" s="263">
        <f t="shared" si="403"/>
        <v>0</v>
      </c>
      <c r="AG230" s="238"/>
      <c r="AH230" s="229">
        <f t="shared" si="427"/>
        <v>1</v>
      </c>
      <c r="AI230" s="229">
        <f t="shared" si="428"/>
        <v>1</v>
      </c>
      <c r="AJ230" s="229">
        <f t="shared" si="429"/>
        <v>0</v>
      </c>
      <c r="AK230" s="229">
        <v>0</v>
      </c>
      <c r="AL230" s="229">
        <v>0</v>
      </c>
      <c r="AM230" s="229">
        <v>1</v>
      </c>
      <c r="AN230" s="229">
        <v>0</v>
      </c>
      <c r="AO230" s="229">
        <f t="shared" si="404"/>
        <v>-100</v>
      </c>
      <c r="AP230" s="238"/>
      <c r="AQ230" s="255"/>
      <c r="AR230" s="255"/>
      <c r="AS230" s="256"/>
      <c r="AT230" s="256"/>
      <c r="AU230" s="256"/>
      <c r="AV230" s="256"/>
      <c r="AW230" s="256"/>
      <c r="AX230" s="256"/>
      <c r="AY230" s="256"/>
      <c r="AZ230" s="256"/>
      <c r="BA230" s="256"/>
      <c r="BB230" s="256"/>
      <c r="BC230" s="256"/>
      <c r="BD230" s="238"/>
      <c r="BE230" s="229" cm="1">
        <f t="array" ref="BE230">IF(ISBLANK(R230), INDEX(Use, $AH230, 4) - AM230*INDEX(Use, $AH230, 6), R230)</f>
        <v>5</v>
      </c>
      <c r="BF230" s="229">
        <f t="shared" si="405"/>
        <v>30</v>
      </c>
      <c r="BG230" s="229">
        <f t="shared" si="241"/>
        <v>13</v>
      </c>
      <c r="BH230" s="229">
        <f t="shared" si="242"/>
        <v>0</v>
      </c>
      <c r="BI230" s="234" cm="1">
        <f t="array" ref="BI230">K230/IF($L230&gt;0, INDEX($AU$23:$BA$77, $L230+20, $AH230), 1)</f>
        <v>0</v>
      </c>
      <c r="BJ230" s="230">
        <f t="shared" si="406"/>
        <v>0</v>
      </c>
      <c r="BK230" s="229">
        <v>35</v>
      </c>
      <c r="BL230" s="230">
        <f t="shared" si="407"/>
        <v>48</v>
      </c>
      <c r="BM230" s="235">
        <f t="shared" si="408"/>
        <v>2.9108720930232557</v>
      </c>
      <c r="BN230" s="235" cm="1">
        <f t="array" ref="BN230">$BI230 * SUMPRODUCT(INDEX($AR$77:$AT$82,,$AI230),INDEX($AU$77:$BA$82,,$AH230), N($AQ$77:$AQ$82&gt;$AO230)) / BM230 / 1000</f>
        <v>0</v>
      </c>
      <c r="BO230" s="232">
        <f t="shared" si="246"/>
        <v>30</v>
      </c>
      <c r="BP230" s="230">
        <f t="shared" si="409"/>
        <v>43</v>
      </c>
      <c r="BQ230" s="235">
        <f t="shared" si="410"/>
        <v>3.2938815789473681</v>
      </c>
      <c r="BR230" s="235" cm="1">
        <f t="array" ref="BR230">$BI230 * IF($AH230&lt;=2,
SUMPRODUCT(INDEX($AR$72:$AT$76,,$AI230), INDEX($AU$72:$BA$76,,$AH230), 1 / ($BB$72:$BB$76*BQ230 + (1-$BB$72:$BB$76)*BM230), N($AQ$72:$AQ$76&gt;$AO230)),
SUMPRODUCT(INDEX($AR$67:$AT$76,,$AI230), INDEX($AU$67:$BA$76,,$AH230), 1 / ($BC$67:$BC$76*BQ230 + (1-$BC$67:$BC$76)*BM230), N($AQ$67:$AQ$76&gt;$AO230))
) / 1000</f>
        <v>0</v>
      </c>
      <c r="BS230" s="232">
        <f t="shared" si="249"/>
        <v>25</v>
      </c>
      <c r="BT230" s="230">
        <f t="shared" si="411"/>
        <v>38</v>
      </c>
      <c r="BU230" s="235">
        <f t="shared" si="412"/>
        <v>3.792954545454545</v>
      </c>
      <c r="BV230" s="235" cm="1">
        <f t="array" ref="BV230">$BI230 * IF($AH230&lt;=2,
SUMPRODUCT(INDEX($AR$67:$AT$71,,$AI230), INDEX($AU$67:$BA$71,,$AH230), 1 / ($BB$67:$BB$71*BU230 + (1-$BB$67:$BB$71)*BQ230), N($AQ$67:$AQ$71&gt;$AO230)),
SUMPRODUCT(INDEX($AR$57:$AT$66,,$AI230), INDEX($AU$57:$BA$66,,$AH230), 1 / ($BC$57:$BC$66*BU230 + (1-$BC$57:$BC$66)*BQ230), N($AQ$57:$AQ$66&gt;$AO230))
) / 1000</f>
        <v>0</v>
      </c>
      <c r="BW230" s="232">
        <f t="shared" si="252"/>
        <v>20</v>
      </c>
      <c r="BX230" s="230">
        <f t="shared" si="413"/>
        <v>33</v>
      </c>
      <c r="BY230" s="235">
        <f t="shared" si="414"/>
        <v>4.4702678571428569</v>
      </c>
      <c r="BZ230" s="235" cm="1">
        <f t="array" ref="BZ230">$BI230 * IF($AH230&lt;=2,
SUMPRODUCT(INDEX($AR$62:$AT$66,,$AI230), INDEX($AU$62:$BA$66,,$AH230), 1 / ($BB$62:$BB$66*BY230 + (1-$BB$62:$BB$66)*BU230), N($AQ$62:$AQ$66&gt;$AO230)),
SUMPRODUCT(INDEX($AR$47:$AT$56,,$AI230), INDEX($AU$47:$BA$56,,$AH230), 1 / ($BC$47:$BC$56*BY230 + (1-$BC$47:$BC$56)*BU230), N($AQ$47:$AQ$56&gt;$AO230))
) / 1000</f>
        <v>0</v>
      </c>
      <c r="CA230" s="235" cm="1">
        <f t="array" ref="CA230">$BI230 * IF($AH230&lt;=2,
SUMPRODUCT(INDEX($AR$23:$AT$61,,$AI230), INDEX($AU$23:$BA$61,,$AH230), 1 / ($BB$23:$BB$61*BY230), N($AQ$23:$AQ$61&gt;$AO230)),
SUMPRODUCT(INDEX($AR$23:$AT$46,,$AI230), INDEX($AU$23:$BA$46,,$AH230), 1 / ($BC$23:$BC$46*BY230), N($AQ$23:$AQ$46&gt;$AO230))
) / 1000</f>
        <v>0</v>
      </c>
      <c r="CB230" s="230">
        <f t="shared" si="415"/>
        <v>0</v>
      </c>
      <c r="CC230" s="238"/>
      <c r="CD230" s="229" cm="1">
        <f t="array" ref="CD230">IF(ISBLANK(Y230), INDEX(Use, $AH230, 4) - AN230*INDEX(Use, $AH230, 6) - (Q230-X230), Y230)</f>
        <v>7</v>
      </c>
      <c r="CE230" s="229">
        <f t="shared" si="416"/>
        <v>32</v>
      </c>
      <c r="CF230" s="230">
        <f t="shared" si="417"/>
        <v>0</v>
      </c>
      <c r="CG230" s="229">
        <v>35</v>
      </c>
      <c r="CH230" s="230">
        <f t="shared" si="418"/>
        <v>48</v>
      </c>
      <c r="CI230" s="235">
        <f t="shared" si="419"/>
        <v>3.0748170731707316</v>
      </c>
      <c r="CJ230" s="235" cm="1">
        <f t="array" ref="CJ230">$BI230 * SUMPRODUCT(INDEX($AR$77:$AT$82,,$AI230),INDEX($AU$77:$BA$82,,$AH230), N($AQ$77:$AQ$82&gt;$AO230)) / CI230 / 1000</f>
        <v>0</v>
      </c>
      <c r="CK230" s="232">
        <f t="shared" si="260"/>
        <v>30</v>
      </c>
      <c r="CL230" s="230">
        <f t="shared" si="420"/>
        <v>43</v>
      </c>
      <c r="CM230" s="235">
        <f t="shared" si="421"/>
        <v>3.5018750000000001</v>
      </c>
      <c r="CN230" s="235" cm="1">
        <f t="array" ref="CN230">$BI230 * IF($AH230&lt;=2,
SUMPRODUCT(INDEX($AR$72:$AT$76,,$AI230), INDEX($AU$72:$BA$76,,$AH230), 1 / ($BB$72:$BB$76*CM230 + (1-$BB$72:$BB$76)*CI230), N($AQ$72:$AQ$76&gt;$AO230)),
SUMPRODUCT(INDEX($AR$67:$AT$76,,$AI230), INDEX($AU$67:$BA$76,,$AH230), 1 / ($BC$67:$BC$76*CM230 + (1-$BC$67:$BC$76)*CI230), N($AQ$67:$AQ$76&gt;$AO230))
) / 1000</f>
        <v>0</v>
      </c>
      <c r="CO230" s="232">
        <f t="shared" si="263"/>
        <v>25</v>
      </c>
      <c r="CP230" s="230">
        <f t="shared" si="422"/>
        <v>38</v>
      </c>
      <c r="CQ230" s="235">
        <f t="shared" si="423"/>
        <v>4.0666935483870965</v>
      </c>
      <c r="CR230" s="235" cm="1">
        <f t="array" ref="CR230">$BI230 * IF($AH230&lt;=2,
SUMPRODUCT(INDEX($AR$67:$AT$71,,$AI230), INDEX($AU$67:$BA$71,,$AH230), 1 / ($BB$67:$BB$71*CQ230 + (1-$BB$67:$BB$71)*CM230), N($AQ$67:$AQ$71&gt;$AO230)),
SUMPRODUCT(INDEX($AR$57:$AT$66,,$AI230), INDEX($AU$57:$BA$66,,$AH230), 1 / ($BC$57:$BC$66*CQ230 + (1-$BC$57:$BC$66)*CM230), N($AQ$57:$AQ$66&gt;$AO230))
) / 1000</f>
        <v>0</v>
      </c>
      <c r="CS230" s="232">
        <f t="shared" si="266"/>
        <v>20</v>
      </c>
      <c r="CT230" s="230">
        <f t="shared" si="424"/>
        <v>33</v>
      </c>
      <c r="CU230" s="235">
        <f t="shared" si="425"/>
        <v>4.8487499999999999</v>
      </c>
      <c r="CV230" s="235" cm="1">
        <f t="array" ref="CV230">$BI230 * IF($AH230&lt;=2,
SUMPRODUCT(INDEX($AR$62:$AT$66,,$AI230), INDEX($AU$62:$BA$66,,$AH230), 1 / ($BB$62:$BB$66*CU230 + (1-$BB$62:$BB$66)*CQ230), N($AQ$62:$AQ$66&gt;$AO230)),
SUMPRODUCT(INDEX($AR$47:$AT$56,,$AI230), INDEX($AU$47:$BA$56,,$AH230), 1 / ($BC$47:$BC$56*CU230 + (1-$BC$47:$BC$56)*CQ230), N($AQ$47:$AQ$56&gt;$AO230))
) / 1000</f>
        <v>0</v>
      </c>
      <c r="CW230" s="235" cm="1">
        <f t="array" ref="CW230">$BI230 * IF($AH230&lt;=2,
SUMPRODUCT(INDEX($AR$23:$AT$61,,$AI230), INDEX($AU$23:$BA$61,,$AH230), 1 / ($BB$23:$BB$61*CU230), N($AQ$23:$AQ$61&gt;$AO230)),
SUMPRODUCT(INDEX($AR$23:$AT$46,,$AI230), INDEX($AU$23:$BA$46,,$AH230), 1 / ($BC$23:$BC$46*CU230), N($AQ$23:$AQ$46&gt;$AO230))
) / 1000</f>
        <v>0</v>
      </c>
      <c r="CX230" s="230">
        <f t="shared" si="426"/>
        <v>0</v>
      </c>
      <c r="CY230" s="238"/>
    </row>
    <row r="231" spans="1:103" s="76" customFormat="1" ht="14.25" customHeight="1" x14ac:dyDescent="0.2">
      <c r="A231" s="231" t="b">
        <f t="shared" si="229"/>
        <v>0</v>
      </c>
      <c r="B231" s="245">
        <v>209</v>
      </c>
      <c r="C231" s="258"/>
      <c r="D231" s="258"/>
      <c r="E231" s="246"/>
      <c r="F231" s="247" t="str">
        <f>IF(ISBLANK(E231), "", VLOOKUP(E231, Z!$A$2:$C$4127, 3, FALSE))</f>
        <v/>
      </c>
      <c r="G231" s="248"/>
      <c r="H231" s="248"/>
      <c r="I231" s="249"/>
      <c r="J231" s="250"/>
      <c r="K231" s="259"/>
      <c r="L231" s="260"/>
      <c r="M231" s="252" t="str" cm="1">
        <f t="array" ref="M231">INDEX(Trad, 53, $A$20)</f>
        <v>Verschmutzt</v>
      </c>
      <c r="N231" s="253"/>
      <c r="O231" s="253"/>
      <c r="P231" s="254"/>
      <c r="Q231" s="251"/>
      <c r="R231" s="251"/>
      <c r="S231" s="264">
        <f t="shared" si="401"/>
        <v>0</v>
      </c>
      <c r="T231" s="252" t="str" cm="1">
        <f t="array" ref="T231">INDEX(Trad, 52, $A$20)</f>
        <v>Sauber</v>
      </c>
      <c r="U231" s="253"/>
      <c r="V231" s="253"/>
      <c r="W231" s="254"/>
      <c r="X231" s="251"/>
      <c r="Y231" s="251"/>
      <c r="Z231" s="264">
        <f t="shared" si="402"/>
        <v>0</v>
      </c>
      <c r="AA231" s="261"/>
      <c r="AB231" s="258"/>
      <c r="AC231" s="246"/>
      <c r="AD231" s="247" t="str">
        <f>IF(ISBLANK(AC231), "", VLOOKUP(AC231, Z!$A$2:$C$4127, 3, FALSE))</f>
        <v/>
      </c>
      <c r="AE231" s="262"/>
      <c r="AF231" s="263">
        <f t="shared" si="403"/>
        <v>0</v>
      </c>
      <c r="AG231" s="238"/>
      <c r="AH231" s="229">
        <f t="shared" si="427"/>
        <v>1</v>
      </c>
      <c r="AI231" s="229">
        <f t="shared" si="428"/>
        <v>1</v>
      </c>
      <c r="AJ231" s="229">
        <f t="shared" si="429"/>
        <v>0</v>
      </c>
      <c r="AK231" s="229">
        <v>0</v>
      </c>
      <c r="AL231" s="229">
        <v>0</v>
      </c>
      <c r="AM231" s="229">
        <v>1</v>
      </c>
      <c r="AN231" s="229">
        <v>0</v>
      </c>
      <c r="AO231" s="229">
        <f t="shared" si="404"/>
        <v>-100</v>
      </c>
      <c r="AP231" s="238"/>
      <c r="AQ231" s="255"/>
      <c r="AR231" s="255"/>
      <c r="AS231" s="256"/>
      <c r="AT231" s="256"/>
      <c r="AU231" s="256"/>
      <c r="AV231" s="256"/>
      <c r="AW231" s="256"/>
      <c r="AX231" s="256"/>
      <c r="AY231" s="256"/>
      <c r="AZ231" s="256"/>
      <c r="BA231" s="256"/>
      <c r="BB231" s="256"/>
      <c r="BC231" s="256"/>
      <c r="BD231" s="238"/>
      <c r="BE231" s="229" cm="1">
        <f t="array" ref="BE231">IF(ISBLANK(R231), INDEX(Use, $AH231, 4) - AM231*INDEX(Use, $AH231, 6), R231)</f>
        <v>5</v>
      </c>
      <c r="BF231" s="229">
        <f t="shared" si="405"/>
        <v>30</v>
      </c>
      <c r="BG231" s="229">
        <f t="shared" si="241"/>
        <v>13</v>
      </c>
      <c r="BH231" s="229">
        <f t="shared" si="242"/>
        <v>0</v>
      </c>
      <c r="BI231" s="234" cm="1">
        <f t="array" ref="BI231">K231/IF($L231&gt;0, INDEX($AU$23:$BA$77, $L231+20, $AH231), 1)</f>
        <v>0</v>
      </c>
      <c r="BJ231" s="230">
        <f t="shared" si="406"/>
        <v>0</v>
      </c>
      <c r="BK231" s="229">
        <v>35</v>
      </c>
      <c r="BL231" s="230">
        <f t="shared" si="407"/>
        <v>48</v>
      </c>
      <c r="BM231" s="235">
        <f t="shared" si="408"/>
        <v>2.9108720930232557</v>
      </c>
      <c r="BN231" s="235" cm="1">
        <f t="array" ref="BN231">$BI231 * SUMPRODUCT(INDEX($AR$77:$AT$82,,$AI231),INDEX($AU$77:$BA$82,,$AH231), N($AQ$77:$AQ$82&gt;$AO231)) / BM231 / 1000</f>
        <v>0</v>
      </c>
      <c r="BO231" s="232">
        <f t="shared" si="246"/>
        <v>30</v>
      </c>
      <c r="BP231" s="230">
        <f t="shared" si="409"/>
        <v>43</v>
      </c>
      <c r="BQ231" s="235">
        <f t="shared" si="410"/>
        <v>3.2938815789473681</v>
      </c>
      <c r="BR231" s="235" cm="1">
        <f t="array" ref="BR231">$BI231 * IF($AH231&lt;=2,
SUMPRODUCT(INDEX($AR$72:$AT$76,,$AI231), INDEX($AU$72:$BA$76,,$AH231), 1 / ($BB$72:$BB$76*BQ231 + (1-$BB$72:$BB$76)*BM231), N($AQ$72:$AQ$76&gt;$AO231)),
SUMPRODUCT(INDEX($AR$67:$AT$76,,$AI231), INDEX($AU$67:$BA$76,,$AH231), 1 / ($BC$67:$BC$76*BQ231 + (1-$BC$67:$BC$76)*BM231), N($AQ$67:$AQ$76&gt;$AO231))
) / 1000</f>
        <v>0</v>
      </c>
      <c r="BS231" s="232">
        <f t="shared" si="249"/>
        <v>25</v>
      </c>
      <c r="BT231" s="230">
        <f t="shared" si="411"/>
        <v>38</v>
      </c>
      <c r="BU231" s="235">
        <f t="shared" si="412"/>
        <v>3.792954545454545</v>
      </c>
      <c r="BV231" s="235" cm="1">
        <f t="array" ref="BV231">$BI231 * IF($AH231&lt;=2,
SUMPRODUCT(INDEX($AR$67:$AT$71,,$AI231), INDEX($AU$67:$BA$71,,$AH231), 1 / ($BB$67:$BB$71*BU231 + (1-$BB$67:$BB$71)*BQ231), N($AQ$67:$AQ$71&gt;$AO231)),
SUMPRODUCT(INDEX($AR$57:$AT$66,,$AI231), INDEX($AU$57:$BA$66,,$AH231), 1 / ($BC$57:$BC$66*BU231 + (1-$BC$57:$BC$66)*BQ231), N($AQ$57:$AQ$66&gt;$AO231))
) / 1000</f>
        <v>0</v>
      </c>
      <c r="BW231" s="232">
        <f t="shared" si="252"/>
        <v>20</v>
      </c>
      <c r="BX231" s="230">
        <f t="shared" si="413"/>
        <v>33</v>
      </c>
      <c r="BY231" s="235">
        <f t="shared" si="414"/>
        <v>4.4702678571428569</v>
      </c>
      <c r="BZ231" s="235" cm="1">
        <f t="array" ref="BZ231">$BI231 * IF($AH231&lt;=2,
SUMPRODUCT(INDEX($AR$62:$AT$66,,$AI231), INDEX($AU$62:$BA$66,,$AH231), 1 / ($BB$62:$BB$66*BY231 + (1-$BB$62:$BB$66)*BU231), N($AQ$62:$AQ$66&gt;$AO231)),
SUMPRODUCT(INDEX($AR$47:$AT$56,,$AI231), INDEX($AU$47:$BA$56,,$AH231), 1 / ($BC$47:$BC$56*BY231 + (1-$BC$47:$BC$56)*BU231), N($AQ$47:$AQ$56&gt;$AO231))
) / 1000</f>
        <v>0</v>
      </c>
      <c r="CA231" s="235" cm="1">
        <f t="array" ref="CA231">$BI231 * IF($AH231&lt;=2,
SUMPRODUCT(INDEX($AR$23:$AT$61,,$AI231), INDEX($AU$23:$BA$61,,$AH231), 1 / ($BB$23:$BB$61*BY231), N($AQ$23:$AQ$61&gt;$AO231)),
SUMPRODUCT(INDEX($AR$23:$AT$46,,$AI231), INDEX($AU$23:$BA$46,,$AH231), 1 / ($BC$23:$BC$46*BY231), N($AQ$23:$AQ$46&gt;$AO231))
) / 1000</f>
        <v>0</v>
      </c>
      <c r="CB231" s="230">
        <f t="shared" si="415"/>
        <v>0</v>
      </c>
      <c r="CC231" s="238"/>
      <c r="CD231" s="229" cm="1">
        <f t="array" ref="CD231">IF(ISBLANK(Y231), INDEX(Use, $AH231, 4) - AN231*INDEX(Use, $AH231, 6) - (Q231-X231), Y231)</f>
        <v>7</v>
      </c>
      <c r="CE231" s="229">
        <f t="shared" si="416"/>
        <v>32</v>
      </c>
      <c r="CF231" s="230">
        <f t="shared" si="417"/>
        <v>0</v>
      </c>
      <c r="CG231" s="229">
        <v>35</v>
      </c>
      <c r="CH231" s="230">
        <f t="shared" si="418"/>
        <v>48</v>
      </c>
      <c r="CI231" s="235">
        <f t="shared" si="419"/>
        <v>3.0748170731707316</v>
      </c>
      <c r="CJ231" s="235" cm="1">
        <f t="array" ref="CJ231">$BI231 * SUMPRODUCT(INDEX($AR$77:$AT$82,,$AI231),INDEX($AU$77:$BA$82,,$AH231), N($AQ$77:$AQ$82&gt;$AO231)) / CI231 / 1000</f>
        <v>0</v>
      </c>
      <c r="CK231" s="232">
        <f t="shared" si="260"/>
        <v>30</v>
      </c>
      <c r="CL231" s="230">
        <f t="shared" si="420"/>
        <v>43</v>
      </c>
      <c r="CM231" s="235">
        <f t="shared" si="421"/>
        <v>3.5018750000000001</v>
      </c>
      <c r="CN231" s="235" cm="1">
        <f t="array" ref="CN231">$BI231 * IF($AH231&lt;=2,
SUMPRODUCT(INDEX($AR$72:$AT$76,,$AI231), INDEX($AU$72:$BA$76,,$AH231), 1 / ($BB$72:$BB$76*CM231 + (1-$BB$72:$BB$76)*CI231), N($AQ$72:$AQ$76&gt;$AO231)),
SUMPRODUCT(INDEX($AR$67:$AT$76,,$AI231), INDEX($AU$67:$BA$76,,$AH231), 1 / ($BC$67:$BC$76*CM231 + (1-$BC$67:$BC$76)*CI231), N($AQ$67:$AQ$76&gt;$AO231))
) / 1000</f>
        <v>0</v>
      </c>
      <c r="CO231" s="232">
        <f t="shared" si="263"/>
        <v>25</v>
      </c>
      <c r="CP231" s="230">
        <f t="shared" si="422"/>
        <v>38</v>
      </c>
      <c r="CQ231" s="235">
        <f t="shared" si="423"/>
        <v>4.0666935483870965</v>
      </c>
      <c r="CR231" s="235" cm="1">
        <f t="array" ref="CR231">$BI231 * IF($AH231&lt;=2,
SUMPRODUCT(INDEX($AR$67:$AT$71,,$AI231), INDEX($AU$67:$BA$71,,$AH231), 1 / ($BB$67:$BB$71*CQ231 + (1-$BB$67:$BB$71)*CM231), N($AQ$67:$AQ$71&gt;$AO231)),
SUMPRODUCT(INDEX($AR$57:$AT$66,,$AI231), INDEX($AU$57:$BA$66,,$AH231), 1 / ($BC$57:$BC$66*CQ231 + (1-$BC$57:$BC$66)*CM231), N($AQ$57:$AQ$66&gt;$AO231))
) / 1000</f>
        <v>0</v>
      </c>
      <c r="CS231" s="232">
        <f t="shared" si="266"/>
        <v>20</v>
      </c>
      <c r="CT231" s="230">
        <f t="shared" si="424"/>
        <v>33</v>
      </c>
      <c r="CU231" s="235">
        <f t="shared" si="425"/>
        <v>4.8487499999999999</v>
      </c>
      <c r="CV231" s="235" cm="1">
        <f t="array" ref="CV231">$BI231 * IF($AH231&lt;=2,
SUMPRODUCT(INDEX($AR$62:$AT$66,,$AI231), INDEX($AU$62:$BA$66,,$AH231), 1 / ($BB$62:$BB$66*CU231 + (1-$BB$62:$BB$66)*CQ231), N($AQ$62:$AQ$66&gt;$AO231)),
SUMPRODUCT(INDEX($AR$47:$AT$56,,$AI231), INDEX($AU$47:$BA$56,,$AH231), 1 / ($BC$47:$BC$56*CU231 + (1-$BC$47:$BC$56)*CQ231), N($AQ$47:$AQ$56&gt;$AO231))
) / 1000</f>
        <v>0</v>
      </c>
      <c r="CW231" s="235" cm="1">
        <f t="array" ref="CW231">$BI231 * IF($AH231&lt;=2,
SUMPRODUCT(INDEX($AR$23:$AT$61,,$AI231), INDEX($AU$23:$BA$61,,$AH231), 1 / ($BB$23:$BB$61*CU231), N($AQ$23:$AQ$61&gt;$AO231)),
SUMPRODUCT(INDEX($AR$23:$AT$46,,$AI231), INDEX($AU$23:$BA$46,,$AH231), 1 / ($BC$23:$BC$46*CU231), N($AQ$23:$AQ$46&gt;$AO231))
) / 1000</f>
        <v>0</v>
      </c>
      <c r="CX231" s="230">
        <f t="shared" si="426"/>
        <v>0</v>
      </c>
      <c r="CY231" s="238"/>
    </row>
    <row r="232" spans="1:103" s="76" customFormat="1" ht="14.25" customHeight="1" x14ac:dyDescent="0.2">
      <c r="A232" s="231" t="b">
        <f t="shared" si="229"/>
        <v>0</v>
      </c>
      <c r="B232" s="245">
        <v>210</v>
      </c>
      <c r="C232" s="258"/>
      <c r="D232" s="258"/>
      <c r="E232" s="246"/>
      <c r="F232" s="247" t="str">
        <f>IF(ISBLANK(E232), "", VLOOKUP(E232, Z!$A$2:$C$4127, 3, FALSE))</f>
        <v/>
      </c>
      <c r="G232" s="248"/>
      <c r="H232" s="248"/>
      <c r="I232" s="249"/>
      <c r="J232" s="250"/>
      <c r="K232" s="259"/>
      <c r="L232" s="260"/>
      <c r="M232" s="252" t="str" cm="1">
        <f t="array" ref="M232">INDEX(Trad, 53, $A$20)</f>
        <v>Verschmutzt</v>
      </c>
      <c r="N232" s="253"/>
      <c r="O232" s="253"/>
      <c r="P232" s="254"/>
      <c r="Q232" s="251"/>
      <c r="R232" s="251"/>
      <c r="S232" s="264">
        <f t="shared" si="401"/>
        <v>0</v>
      </c>
      <c r="T232" s="252" t="str" cm="1">
        <f t="array" ref="T232">INDEX(Trad, 52, $A$20)</f>
        <v>Sauber</v>
      </c>
      <c r="U232" s="253"/>
      <c r="V232" s="253"/>
      <c r="W232" s="254"/>
      <c r="X232" s="251"/>
      <c r="Y232" s="251"/>
      <c r="Z232" s="264">
        <f t="shared" si="402"/>
        <v>0</v>
      </c>
      <c r="AA232" s="261"/>
      <c r="AB232" s="258"/>
      <c r="AC232" s="246"/>
      <c r="AD232" s="247" t="str">
        <f>IF(ISBLANK(AC232), "", VLOOKUP(AC232, Z!$A$2:$C$4127, 3, FALSE))</f>
        <v/>
      </c>
      <c r="AE232" s="262"/>
      <c r="AF232" s="263">
        <f t="shared" si="403"/>
        <v>0</v>
      </c>
      <c r="AG232" s="238"/>
      <c r="AH232" s="229">
        <f t="shared" si="427"/>
        <v>1</v>
      </c>
      <c r="AI232" s="229">
        <f t="shared" si="428"/>
        <v>1</v>
      </c>
      <c r="AJ232" s="229">
        <f t="shared" si="429"/>
        <v>0</v>
      </c>
      <c r="AK232" s="229">
        <v>0</v>
      </c>
      <c r="AL232" s="229">
        <v>0</v>
      </c>
      <c r="AM232" s="229">
        <v>1</v>
      </c>
      <c r="AN232" s="229">
        <v>0</v>
      </c>
      <c r="AO232" s="229">
        <f t="shared" si="404"/>
        <v>-100</v>
      </c>
      <c r="AP232" s="238"/>
      <c r="AQ232" s="255"/>
      <c r="AR232" s="255"/>
      <c r="AS232" s="256"/>
      <c r="AT232" s="256"/>
      <c r="AU232" s="256"/>
      <c r="AV232" s="256"/>
      <c r="AW232" s="256"/>
      <c r="AX232" s="256"/>
      <c r="AY232" s="256"/>
      <c r="AZ232" s="256"/>
      <c r="BA232" s="256"/>
      <c r="BB232" s="256"/>
      <c r="BC232" s="256"/>
      <c r="BD232" s="238"/>
      <c r="BE232" s="229" cm="1">
        <f t="array" ref="BE232">IF(ISBLANK(R232), INDEX(Use, $AH232, 4) - AM232*INDEX(Use, $AH232, 6), R232)</f>
        <v>5</v>
      </c>
      <c r="BF232" s="229">
        <f t="shared" si="405"/>
        <v>30</v>
      </c>
      <c r="BG232" s="229">
        <f t="shared" si="241"/>
        <v>13</v>
      </c>
      <c r="BH232" s="229">
        <f t="shared" si="242"/>
        <v>0</v>
      </c>
      <c r="BI232" s="234" cm="1">
        <f t="array" ref="BI232">K232/IF($L232&gt;0, INDEX($AU$23:$BA$77, $L232+20, $AH232), 1)</f>
        <v>0</v>
      </c>
      <c r="BJ232" s="230">
        <f t="shared" si="406"/>
        <v>0</v>
      </c>
      <c r="BK232" s="229">
        <v>35</v>
      </c>
      <c r="BL232" s="230">
        <f t="shared" si="407"/>
        <v>48</v>
      </c>
      <c r="BM232" s="235">
        <f t="shared" si="408"/>
        <v>2.9108720930232557</v>
      </c>
      <c r="BN232" s="235" cm="1">
        <f t="array" ref="BN232">$BI232 * SUMPRODUCT(INDEX($AR$77:$AT$82,,$AI232),INDEX($AU$77:$BA$82,,$AH232), N($AQ$77:$AQ$82&gt;$AO232)) / BM232 / 1000</f>
        <v>0</v>
      </c>
      <c r="BO232" s="232">
        <f t="shared" si="246"/>
        <v>30</v>
      </c>
      <c r="BP232" s="230">
        <f t="shared" si="409"/>
        <v>43</v>
      </c>
      <c r="BQ232" s="235">
        <f t="shared" si="410"/>
        <v>3.2938815789473681</v>
      </c>
      <c r="BR232" s="235" cm="1">
        <f t="array" ref="BR232">$BI232 * IF($AH232&lt;=2,
SUMPRODUCT(INDEX($AR$72:$AT$76,,$AI232), INDEX($AU$72:$BA$76,,$AH232), 1 / ($BB$72:$BB$76*BQ232 + (1-$BB$72:$BB$76)*BM232), N($AQ$72:$AQ$76&gt;$AO232)),
SUMPRODUCT(INDEX($AR$67:$AT$76,,$AI232), INDEX($AU$67:$BA$76,,$AH232), 1 / ($BC$67:$BC$76*BQ232 + (1-$BC$67:$BC$76)*BM232), N($AQ$67:$AQ$76&gt;$AO232))
) / 1000</f>
        <v>0</v>
      </c>
      <c r="BS232" s="232">
        <f t="shared" si="249"/>
        <v>25</v>
      </c>
      <c r="BT232" s="230">
        <f t="shared" si="411"/>
        <v>38</v>
      </c>
      <c r="BU232" s="235">
        <f t="shared" si="412"/>
        <v>3.792954545454545</v>
      </c>
      <c r="BV232" s="235" cm="1">
        <f t="array" ref="BV232">$BI232 * IF($AH232&lt;=2,
SUMPRODUCT(INDEX($AR$67:$AT$71,,$AI232), INDEX($AU$67:$BA$71,,$AH232), 1 / ($BB$67:$BB$71*BU232 + (1-$BB$67:$BB$71)*BQ232), N($AQ$67:$AQ$71&gt;$AO232)),
SUMPRODUCT(INDEX($AR$57:$AT$66,,$AI232), INDEX($AU$57:$BA$66,,$AH232), 1 / ($BC$57:$BC$66*BU232 + (1-$BC$57:$BC$66)*BQ232), N($AQ$57:$AQ$66&gt;$AO232))
) / 1000</f>
        <v>0</v>
      </c>
      <c r="BW232" s="232">
        <f t="shared" si="252"/>
        <v>20</v>
      </c>
      <c r="BX232" s="230">
        <f t="shared" si="413"/>
        <v>33</v>
      </c>
      <c r="BY232" s="235">
        <f t="shared" si="414"/>
        <v>4.4702678571428569</v>
      </c>
      <c r="BZ232" s="235" cm="1">
        <f t="array" ref="BZ232">$BI232 * IF($AH232&lt;=2,
SUMPRODUCT(INDEX($AR$62:$AT$66,,$AI232), INDEX($AU$62:$BA$66,,$AH232), 1 / ($BB$62:$BB$66*BY232 + (1-$BB$62:$BB$66)*BU232), N($AQ$62:$AQ$66&gt;$AO232)),
SUMPRODUCT(INDEX($AR$47:$AT$56,,$AI232), INDEX($AU$47:$BA$56,,$AH232), 1 / ($BC$47:$BC$56*BY232 + (1-$BC$47:$BC$56)*BU232), N($AQ$47:$AQ$56&gt;$AO232))
) / 1000</f>
        <v>0</v>
      </c>
      <c r="CA232" s="235" cm="1">
        <f t="array" ref="CA232">$BI232 * IF($AH232&lt;=2,
SUMPRODUCT(INDEX($AR$23:$AT$61,,$AI232), INDEX($AU$23:$BA$61,,$AH232), 1 / ($BB$23:$BB$61*BY232), N($AQ$23:$AQ$61&gt;$AO232)),
SUMPRODUCT(INDEX($AR$23:$AT$46,,$AI232), INDEX($AU$23:$BA$46,,$AH232), 1 / ($BC$23:$BC$46*BY232), N($AQ$23:$AQ$46&gt;$AO232))
) / 1000</f>
        <v>0</v>
      </c>
      <c r="CB232" s="230">
        <f t="shared" si="415"/>
        <v>0</v>
      </c>
      <c r="CC232" s="238"/>
      <c r="CD232" s="229" cm="1">
        <f t="array" ref="CD232">IF(ISBLANK(Y232), INDEX(Use, $AH232, 4) - AN232*INDEX(Use, $AH232, 6) - (Q232-X232), Y232)</f>
        <v>7</v>
      </c>
      <c r="CE232" s="229">
        <f t="shared" si="416"/>
        <v>32</v>
      </c>
      <c r="CF232" s="230">
        <f t="shared" si="417"/>
        <v>0</v>
      </c>
      <c r="CG232" s="229">
        <v>35</v>
      </c>
      <c r="CH232" s="230">
        <f t="shared" si="418"/>
        <v>48</v>
      </c>
      <c r="CI232" s="235">
        <f t="shared" si="419"/>
        <v>3.0748170731707316</v>
      </c>
      <c r="CJ232" s="235" cm="1">
        <f t="array" ref="CJ232">$BI232 * SUMPRODUCT(INDEX($AR$77:$AT$82,,$AI232),INDEX($AU$77:$BA$82,,$AH232), N($AQ$77:$AQ$82&gt;$AO232)) / CI232 / 1000</f>
        <v>0</v>
      </c>
      <c r="CK232" s="232">
        <f t="shared" si="260"/>
        <v>30</v>
      </c>
      <c r="CL232" s="230">
        <f t="shared" si="420"/>
        <v>43</v>
      </c>
      <c r="CM232" s="235">
        <f t="shared" si="421"/>
        <v>3.5018750000000001</v>
      </c>
      <c r="CN232" s="235" cm="1">
        <f t="array" ref="CN232">$BI232 * IF($AH232&lt;=2,
SUMPRODUCT(INDEX($AR$72:$AT$76,,$AI232), INDEX($AU$72:$BA$76,,$AH232), 1 / ($BB$72:$BB$76*CM232 + (1-$BB$72:$BB$76)*CI232), N($AQ$72:$AQ$76&gt;$AO232)),
SUMPRODUCT(INDEX($AR$67:$AT$76,,$AI232), INDEX($AU$67:$BA$76,,$AH232), 1 / ($BC$67:$BC$76*CM232 + (1-$BC$67:$BC$76)*CI232), N($AQ$67:$AQ$76&gt;$AO232))
) / 1000</f>
        <v>0</v>
      </c>
      <c r="CO232" s="232">
        <f t="shared" si="263"/>
        <v>25</v>
      </c>
      <c r="CP232" s="230">
        <f t="shared" si="422"/>
        <v>38</v>
      </c>
      <c r="CQ232" s="235">
        <f t="shared" si="423"/>
        <v>4.0666935483870965</v>
      </c>
      <c r="CR232" s="235" cm="1">
        <f t="array" ref="CR232">$BI232 * IF($AH232&lt;=2,
SUMPRODUCT(INDEX($AR$67:$AT$71,,$AI232), INDEX($AU$67:$BA$71,,$AH232), 1 / ($BB$67:$BB$71*CQ232 + (1-$BB$67:$BB$71)*CM232), N($AQ$67:$AQ$71&gt;$AO232)),
SUMPRODUCT(INDEX($AR$57:$AT$66,,$AI232), INDEX($AU$57:$BA$66,,$AH232), 1 / ($BC$57:$BC$66*CQ232 + (1-$BC$57:$BC$66)*CM232), N($AQ$57:$AQ$66&gt;$AO232))
) / 1000</f>
        <v>0</v>
      </c>
      <c r="CS232" s="232">
        <f t="shared" si="266"/>
        <v>20</v>
      </c>
      <c r="CT232" s="230">
        <f t="shared" si="424"/>
        <v>33</v>
      </c>
      <c r="CU232" s="235">
        <f t="shared" si="425"/>
        <v>4.8487499999999999</v>
      </c>
      <c r="CV232" s="235" cm="1">
        <f t="array" ref="CV232">$BI232 * IF($AH232&lt;=2,
SUMPRODUCT(INDEX($AR$62:$AT$66,,$AI232), INDEX($AU$62:$BA$66,,$AH232), 1 / ($BB$62:$BB$66*CU232 + (1-$BB$62:$BB$66)*CQ232), N($AQ$62:$AQ$66&gt;$AO232)),
SUMPRODUCT(INDEX($AR$47:$AT$56,,$AI232), INDEX($AU$47:$BA$56,,$AH232), 1 / ($BC$47:$BC$56*CU232 + (1-$BC$47:$BC$56)*CQ232), N($AQ$47:$AQ$56&gt;$AO232))
) / 1000</f>
        <v>0</v>
      </c>
      <c r="CW232" s="235" cm="1">
        <f t="array" ref="CW232">$BI232 * IF($AH232&lt;=2,
SUMPRODUCT(INDEX($AR$23:$AT$61,,$AI232), INDEX($AU$23:$BA$61,,$AH232), 1 / ($BB$23:$BB$61*CU232), N($AQ$23:$AQ$61&gt;$AO232)),
SUMPRODUCT(INDEX($AR$23:$AT$46,,$AI232), INDEX($AU$23:$BA$46,,$AH232), 1 / ($BC$23:$BC$46*CU232), N($AQ$23:$AQ$46&gt;$AO232))
) / 1000</f>
        <v>0</v>
      </c>
      <c r="CX232" s="230">
        <f t="shared" si="426"/>
        <v>0</v>
      </c>
      <c r="CY232" s="238"/>
    </row>
    <row r="233" spans="1:103" s="76" customFormat="1" ht="14.25" customHeight="1" x14ac:dyDescent="0.2">
      <c r="A233" s="231" t="b">
        <f t="shared" si="229"/>
        <v>0</v>
      </c>
      <c r="B233" s="245">
        <v>211</v>
      </c>
      <c r="C233" s="258"/>
      <c r="D233" s="258"/>
      <c r="E233" s="246"/>
      <c r="F233" s="247" t="str">
        <f>IF(ISBLANK(E233), "", VLOOKUP(E233, Z!$A$2:$C$4127, 3, FALSE))</f>
        <v/>
      </c>
      <c r="G233" s="248"/>
      <c r="H233" s="248"/>
      <c r="I233" s="249"/>
      <c r="J233" s="250"/>
      <c r="K233" s="259"/>
      <c r="L233" s="260"/>
      <c r="M233" s="252" t="str" cm="1">
        <f t="array" ref="M233">INDEX(Trad, 53, $A$20)</f>
        <v>Verschmutzt</v>
      </c>
      <c r="N233" s="253"/>
      <c r="O233" s="253"/>
      <c r="P233" s="254"/>
      <c r="Q233" s="251"/>
      <c r="R233" s="251"/>
      <c r="S233" s="264">
        <f t="shared" si="401"/>
        <v>0</v>
      </c>
      <c r="T233" s="252" t="str" cm="1">
        <f t="array" ref="T233">INDEX(Trad, 52, $A$20)</f>
        <v>Sauber</v>
      </c>
      <c r="U233" s="253"/>
      <c r="V233" s="253"/>
      <c r="W233" s="254"/>
      <c r="X233" s="251"/>
      <c r="Y233" s="251"/>
      <c r="Z233" s="264">
        <f t="shared" si="402"/>
        <v>0</v>
      </c>
      <c r="AA233" s="261"/>
      <c r="AB233" s="258"/>
      <c r="AC233" s="246"/>
      <c r="AD233" s="247" t="str">
        <f>IF(ISBLANK(AC233), "", VLOOKUP(AC233, Z!$A$2:$C$4127, 3, FALSE))</f>
        <v/>
      </c>
      <c r="AE233" s="262"/>
      <c r="AF233" s="263">
        <f t="shared" si="403"/>
        <v>0</v>
      </c>
      <c r="AG233" s="238"/>
      <c r="AH233" s="229">
        <f t="shared" si="427"/>
        <v>1</v>
      </c>
      <c r="AI233" s="229">
        <f t="shared" si="428"/>
        <v>1</v>
      </c>
      <c r="AJ233" s="229">
        <f t="shared" si="429"/>
        <v>0</v>
      </c>
      <c r="AK233" s="229">
        <v>0</v>
      </c>
      <c r="AL233" s="229">
        <v>0</v>
      </c>
      <c r="AM233" s="229">
        <v>1</v>
      </c>
      <c r="AN233" s="229">
        <v>0</v>
      </c>
      <c r="AO233" s="229">
        <f t="shared" si="404"/>
        <v>-100</v>
      </c>
      <c r="AP233" s="238"/>
      <c r="AQ233" s="255"/>
      <c r="AR233" s="255"/>
      <c r="AS233" s="256"/>
      <c r="AT233" s="256"/>
      <c r="AU233" s="256"/>
      <c r="AV233" s="256"/>
      <c r="AW233" s="256"/>
      <c r="AX233" s="256"/>
      <c r="AY233" s="256"/>
      <c r="AZ233" s="256"/>
      <c r="BA233" s="256"/>
      <c r="BB233" s="256"/>
      <c r="BC233" s="256"/>
      <c r="BD233" s="238"/>
      <c r="BE233" s="229" cm="1">
        <f t="array" ref="BE233">IF(ISBLANK(R233), INDEX(Use, $AH233, 4) - AM233*INDEX(Use, $AH233, 6), R233)</f>
        <v>5</v>
      </c>
      <c r="BF233" s="229">
        <f t="shared" si="405"/>
        <v>30</v>
      </c>
      <c r="BG233" s="229">
        <f t="shared" si="241"/>
        <v>13</v>
      </c>
      <c r="BH233" s="229">
        <f t="shared" si="242"/>
        <v>0</v>
      </c>
      <c r="BI233" s="234" cm="1">
        <f t="array" ref="BI233">K233/IF($L233&gt;0, INDEX($AU$23:$BA$77, $L233+20, $AH233), 1)</f>
        <v>0</v>
      </c>
      <c r="BJ233" s="230">
        <f t="shared" si="406"/>
        <v>0</v>
      </c>
      <c r="BK233" s="229">
        <v>35</v>
      </c>
      <c r="BL233" s="230">
        <f t="shared" si="407"/>
        <v>48</v>
      </c>
      <c r="BM233" s="235">
        <f t="shared" si="408"/>
        <v>2.9108720930232557</v>
      </c>
      <c r="BN233" s="235" cm="1">
        <f t="array" ref="BN233">$BI233 * SUMPRODUCT(INDEX($AR$77:$AT$82,,$AI233),INDEX($AU$77:$BA$82,,$AH233), N($AQ$77:$AQ$82&gt;$AO233)) / BM233 / 1000</f>
        <v>0</v>
      </c>
      <c r="BO233" s="232">
        <f t="shared" si="246"/>
        <v>30</v>
      </c>
      <c r="BP233" s="230">
        <f t="shared" si="409"/>
        <v>43</v>
      </c>
      <c r="BQ233" s="235">
        <f t="shared" si="410"/>
        <v>3.2938815789473681</v>
      </c>
      <c r="BR233" s="235" cm="1">
        <f t="array" ref="BR233">$BI233 * IF($AH233&lt;=2,
SUMPRODUCT(INDEX($AR$72:$AT$76,,$AI233), INDEX($AU$72:$BA$76,,$AH233), 1 / ($BB$72:$BB$76*BQ233 + (1-$BB$72:$BB$76)*BM233), N($AQ$72:$AQ$76&gt;$AO233)),
SUMPRODUCT(INDEX($AR$67:$AT$76,,$AI233), INDEX($AU$67:$BA$76,,$AH233), 1 / ($BC$67:$BC$76*BQ233 + (1-$BC$67:$BC$76)*BM233), N($AQ$67:$AQ$76&gt;$AO233))
) / 1000</f>
        <v>0</v>
      </c>
      <c r="BS233" s="232">
        <f t="shared" si="249"/>
        <v>25</v>
      </c>
      <c r="BT233" s="230">
        <f t="shared" si="411"/>
        <v>38</v>
      </c>
      <c r="BU233" s="235">
        <f t="shared" si="412"/>
        <v>3.792954545454545</v>
      </c>
      <c r="BV233" s="235" cm="1">
        <f t="array" ref="BV233">$BI233 * IF($AH233&lt;=2,
SUMPRODUCT(INDEX($AR$67:$AT$71,,$AI233), INDEX($AU$67:$BA$71,,$AH233), 1 / ($BB$67:$BB$71*BU233 + (1-$BB$67:$BB$71)*BQ233), N($AQ$67:$AQ$71&gt;$AO233)),
SUMPRODUCT(INDEX($AR$57:$AT$66,,$AI233), INDEX($AU$57:$BA$66,,$AH233), 1 / ($BC$57:$BC$66*BU233 + (1-$BC$57:$BC$66)*BQ233), N($AQ$57:$AQ$66&gt;$AO233))
) / 1000</f>
        <v>0</v>
      </c>
      <c r="BW233" s="232">
        <f t="shared" si="252"/>
        <v>20</v>
      </c>
      <c r="BX233" s="230">
        <f t="shared" si="413"/>
        <v>33</v>
      </c>
      <c r="BY233" s="235">
        <f t="shared" si="414"/>
        <v>4.4702678571428569</v>
      </c>
      <c r="BZ233" s="235" cm="1">
        <f t="array" ref="BZ233">$BI233 * IF($AH233&lt;=2,
SUMPRODUCT(INDEX($AR$62:$AT$66,,$AI233), INDEX($AU$62:$BA$66,,$AH233), 1 / ($BB$62:$BB$66*BY233 + (1-$BB$62:$BB$66)*BU233), N($AQ$62:$AQ$66&gt;$AO233)),
SUMPRODUCT(INDEX($AR$47:$AT$56,,$AI233), INDEX($AU$47:$BA$56,,$AH233), 1 / ($BC$47:$BC$56*BY233 + (1-$BC$47:$BC$56)*BU233), N($AQ$47:$AQ$56&gt;$AO233))
) / 1000</f>
        <v>0</v>
      </c>
      <c r="CA233" s="235" cm="1">
        <f t="array" ref="CA233">$BI233 * IF($AH233&lt;=2,
SUMPRODUCT(INDEX($AR$23:$AT$61,,$AI233), INDEX($AU$23:$BA$61,,$AH233), 1 / ($BB$23:$BB$61*BY233), N($AQ$23:$AQ$61&gt;$AO233)),
SUMPRODUCT(INDEX($AR$23:$AT$46,,$AI233), INDEX($AU$23:$BA$46,,$AH233), 1 / ($BC$23:$BC$46*BY233), N($AQ$23:$AQ$46&gt;$AO233))
) / 1000</f>
        <v>0</v>
      </c>
      <c r="CB233" s="230">
        <f t="shared" si="415"/>
        <v>0</v>
      </c>
      <c r="CC233" s="238"/>
      <c r="CD233" s="229" cm="1">
        <f t="array" ref="CD233">IF(ISBLANK(Y233), INDEX(Use, $AH233, 4) - AN233*INDEX(Use, $AH233, 6) - (Q233-X233), Y233)</f>
        <v>7</v>
      </c>
      <c r="CE233" s="229">
        <f t="shared" si="416"/>
        <v>32</v>
      </c>
      <c r="CF233" s="230">
        <f t="shared" si="417"/>
        <v>0</v>
      </c>
      <c r="CG233" s="229">
        <v>35</v>
      </c>
      <c r="CH233" s="230">
        <f t="shared" si="418"/>
        <v>48</v>
      </c>
      <c r="CI233" s="235">
        <f t="shared" si="419"/>
        <v>3.0748170731707316</v>
      </c>
      <c r="CJ233" s="235" cm="1">
        <f t="array" ref="CJ233">$BI233 * SUMPRODUCT(INDEX($AR$77:$AT$82,,$AI233),INDEX($AU$77:$BA$82,,$AH233), N($AQ$77:$AQ$82&gt;$AO233)) / CI233 / 1000</f>
        <v>0</v>
      </c>
      <c r="CK233" s="232">
        <f t="shared" si="260"/>
        <v>30</v>
      </c>
      <c r="CL233" s="230">
        <f t="shared" si="420"/>
        <v>43</v>
      </c>
      <c r="CM233" s="235">
        <f t="shared" si="421"/>
        <v>3.5018750000000001</v>
      </c>
      <c r="CN233" s="235" cm="1">
        <f t="array" ref="CN233">$BI233 * IF($AH233&lt;=2,
SUMPRODUCT(INDEX($AR$72:$AT$76,,$AI233), INDEX($AU$72:$BA$76,,$AH233), 1 / ($BB$72:$BB$76*CM233 + (1-$BB$72:$BB$76)*CI233), N($AQ$72:$AQ$76&gt;$AO233)),
SUMPRODUCT(INDEX($AR$67:$AT$76,,$AI233), INDEX($AU$67:$BA$76,,$AH233), 1 / ($BC$67:$BC$76*CM233 + (1-$BC$67:$BC$76)*CI233), N($AQ$67:$AQ$76&gt;$AO233))
) / 1000</f>
        <v>0</v>
      </c>
      <c r="CO233" s="232">
        <f t="shared" si="263"/>
        <v>25</v>
      </c>
      <c r="CP233" s="230">
        <f t="shared" si="422"/>
        <v>38</v>
      </c>
      <c r="CQ233" s="235">
        <f t="shared" si="423"/>
        <v>4.0666935483870965</v>
      </c>
      <c r="CR233" s="235" cm="1">
        <f t="array" ref="CR233">$BI233 * IF($AH233&lt;=2,
SUMPRODUCT(INDEX($AR$67:$AT$71,,$AI233), INDEX($AU$67:$BA$71,,$AH233), 1 / ($BB$67:$BB$71*CQ233 + (1-$BB$67:$BB$71)*CM233), N($AQ$67:$AQ$71&gt;$AO233)),
SUMPRODUCT(INDEX($AR$57:$AT$66,,$AI233), INDEX($AU$57:$BA$66,,$AH233), 1 / ($BC$57:$BC$66*CQ233 + (1-$BC$57:$BC$66)*CM233), N($AQ$57:$AQ$66&gt;$AO233))
) / 1000</f>
        <v>0</v>
      </c>
      <c r="CS233" s="232">
        <f t="shared" si="266"/>
        <v>20</v>
      </c>
      <c r="CT233" s="230">
        <f t="shared" si="424"/>
        <v>33</v>
      </c>
      <c r="CU233" s="235">
        <f t="shared" si="425"/>
        <v>4.8487499999999999</v>
      </c>
      <c r="CV233" s="235" cm="1">
        <f t="array" ref="CV233">$BI233 * IF($AH233&lt;=2,
SUMPRODUCT(INDEX($AR$62:$AT$66,,$AI233), INDEX($AU$62:$BA$66,,$AH233), 1 / ($BB$62:$BB$66*CU233 + (1-$BB$62:$BB$66)*CQ233), N($AQ$62:$AQ$66&gt;$AO233)),
SUMPRODUCT(INDEX($AR$47:$AT$56,,$AI233), INDEX($AU$47:$BA$56,,$AH233), 1 / ($BC$47:$BC$56*CU233 + (1-$BC$47:$BC$56)*CQ233), N($AQ$47:$AQ$56&gt;$AO233))
) / 1000</f>
        <v>0</v>
      </c>
      <c r="CW233" s="235" cm="1">
        <f t="array" ref="CW233">$BI233 * IF($AH233&lt;=2,
SUMPRODUCT(INDEX($AR$23:$AT$61,,$AI233), INDEX($AU$23:$BA$61,,$AH233), 1 / ($BB$23:$BB$61*CU233), N($AQ$23:$AQ$61&gt;$AO233)),
SUMPRODUCT(INDEX($AR$23:$AT$46,,$AI233), INDEX($AU$23:$BA$46,,$AH233), 1 / ($BC$23:$BC$46*CU233), N($AQ$23:$AQ$46&gt;$AO233))
) / 1000</f>
        <v>0</v>
      </c>
      <c r="CX233" s="230">
        <f t="shared" si="426"/>
        <v>0</v>
      </c>
      <c r="CY233" s="238"/>
    </row>
    <row r="234" spans="1:103" s="76" customFormat="1" ht="14.25" customHeight="1" x14ac:dyDescent="0.2">
      <c r="A234" s="231" t="b">
        <f t="shared" si="229"/>
        <v>0</v>
      </c>
      <c r="B234" s="245">
        <v>212</v>
      </c>
      <c r="C234" s="258"/>
      <c r="D234" s="258"/>
      <c r="E234" s="246"/>
      <c r="F234" s="247" t="str">
        <f>IF(ISBLANK(E234), "", VLOOKUP(E234, Z!$A$2:$C$4127, 3, FALSE))</f>
        <v/>
      </c>
      <c r="G234" s="248"/>
      <c r="H234" s="248"/>
      <c r="I234" s="249"/>
      <c r="J234" s="250"/>
      <c r="K234" s="259"/>
      <c r="L234" s="260"/>
      <c r="M234" s="252" t="str" cm="1">
        <f t="array" ref="M234">INDEX(Trad, 53, $A$20)</f>
        <v>Verschmutzt</v>
      </c>
      <c r="N234" s="253"/>
      <c r="O234" s="253"/>
      <c r="P234" s="254"/>
      <c r="Q234" s="251"/>
      <c r="R234" s="251"/>
      <c r="S234" s="264">
        <f t="shared" si="401"/>
        <v>0</v>
      </c>
      <c r="T234" s="252" t="str" cm="1">
        <f t="array" ref="T234">INDEX(Trad, 52, $A$20)</f>
        <v>Sauber</v>
      </c>
      <c r="U234" s="253"/>
      <c r="V234" s="253"/>
      <c r="W234" s="254"/>
      <c r="X234" s="251"/>
      <c r="Y234" s="251"/>
      <c r="Z234" s="264">
        <f t="shared" si="402"/>
        <v>0</v>
      </c>
      <c r="AA234" s="261"/>
      <c r="AB234" s="258"/>
      <c r="AC234" s="246"/>
      <c r="AD234" s="247" t="str">
        <f>IF(ISBLANK(AC234), "", VLOOKUP(AC234, Z!$A$2:$C$4127, 3, FALSE))</f>
        <v/>
      </c>
      <c r="AE234" s="262"/>
      <c r="AF234" s="263">
        <f t="shared" si="403"/>
        <v>0</v>
      </c>
      <c r="AG234" s="238"/>
      <c r="AH234" s="229">
        <f t="shared" si="427"/>
        <v>1</v>
      </c>
      <c r="AI234" s="229">
        <f t="shared" si="428"/>
        <v>1</v>
      </c>
      <c r="AJ234" s="229">
        <f t="shared" si="429"/>
        <v>0</v>
      </c>
      <c r="AK234" s="229">
        <v>0</v>
      </c>
      <c r="AL234" s="229">
        <v>0</v>
      </c>
      <c r="AM234" s="229">
        <v>1</v>
      </c>
      <c r="AN234" s="229">
        <v>0</v>
      </c>
      <c r="AO234" s="229">
        <f t="shared" si="404"/>
        <v>-100</v>
      </c>
      <c r="AP234" s="238"/>
      <c r="AQ234" s="255"/>
      <c r="AR234" s="255"/>
      <c r="AS234" s="256"/>
      <c r="AT234" s="256"/>
      <c r="AU234" s="256"/>
      <c r="AV234" s="256"/>
      <c r="AW234" s="256"/>
      <c r="AX234" s="256"/>
      <c r="AY234" s="256"/>
      <c r="AZ234" s="256"/>
      <c r="BA234" s="256"/>
      <c r="BB234" s="256"/>
      <c r="BC234" s="256"/>
      <c r="BD234" s="238"/>
      <c r="BE234" s="229" cm="1">
        <f t="array" ref="BE234">IF(ISBLANK(R234), INDEX(Use, $AH234, 4) - AM234*INDEX(Use, $AH234, 6), R234)</f>
        <v>5</v>
      </c>
      <c r="BF234" s="229">
        <f t="shared" si="405"/>
        <v>30</v>
      </c>
      <c r="BG234" s="229">
        <f t="shared" si="241"/>
        <v>13</v>
      </c>
      <c r="BH234" s="229">
        <f t="shared" si="242"/>
        <v>0</v>
      </c>
      <c r="BI234" s="234" cm="1">
        <f t="array" ref="BI234">K234/IF($L234&gt;0, INDEX($AU$23:$BA$77, $L234+20, $AH234), 1)</f>
        <v>0</v>
      </c>
      <c r="BJ234" s="230">
        <f t="shared" si="406"/>
        <v>0</v>
      </c>
      <c r="BK234" s="229">
        <v>35</v>
      </c>
      <c r="BL234" s="230">
        <f t="shared" si="407"/>
        <v>48</v>
      </c>
      <c r="BM234" s="235">
        <f t="shared" si="408"/>
        <v>2.9108720930232557</v>
      </c>
      <c r="BN234" s="235" cm="1">
        <f t="array" ref="BN234">$BI234 * SUMPRODUCT(INDEX($AR$77:$AT$82,,$AI234),INDEX($AU$77:$BA$82,,$AH234), N($AQ$77:$AQ$82&gt;$AO234)) / BM234 / 1000</f>
        <v>0</v>
      </c>
      <c r="BO234" s="232">
        <f t="shared" si="246"/>
        <v>30</v>
      </c>
      <c r="BP234" s="230">
        <f t="shared" si="409"/>
        <v>43</v>
      </c>
      <c r="BQ234" s="235">
        <f t="shared" si="410"/>
        <v>3.2938815789473681</v>
      </c>
      <c r="BR234" s="235" cm="1">
        <f t="array" ref="BR234">$BI234 * IF($AH234&lt;=2,
SUMPRODUCT(INDEX($AR$72:$AT$76,,$AI234), INDEX($AU$72:$BA$76,,$AH234), 1 / ($BB$72:$BB$76*BQ234 + (1-$BB$72:$BB$76)*BM234), N($AQ$72:$AQ$76&gt;$AO234)),
SUMPRODUCT(INDEX($AR$67:$AT$76,,$AI234), INDEX($AU$67:$BA$76,,$AH234), 1 / ($BC$67:$BC$76*BQ234 + (1-$BC$67:$BC$76)*BM234), N($AQ$67:$AQ$76&gt;$AO234))
) / 1000</f>
        <v>0</v>
      </c>
      <c r="BS234" s="232">
        <f t="shared" si="249"/>
        <v>25</v>
      </c>
      <c r="BT234" s="230">
        <f t="shared" si="411"/>
        <v>38</v>
      </c>
      <c r="BU234" s="235">
        <f t="shared" si="412"/>
        <v>3.792954545454545</v>
      </c>
      <c r="BV234" s="235" cm="1">
        <f t="array" ref="BV234">$BI234 * IF($AH234&lt;=2,
SUMPRODUCT(INDEX($AR$67:$AT$71,,$AI234), INDEX($AU$67:$BA$71,,$AH234), 1 / ($BB$67:$BB$71*BU234 + (1-$BB$67:$BB$71)*BQ234), N($AQ$67:$AQ$71&gt;$AO234)),
SUMPRODUCT(INDEX($AR$57:$AT$66,,$AI234), INDEX($AU$57:$BA$66,,$AH234), 1 / ($BC$57:$BC$66*BU234 + (1-$BC$57:$BC$66)*BQ234), N($AQ$57:$AQ$66&gt;$AO234))
) / 1000</f>
        <v>0</v>
      </c>
      <c r="BW234" s="232">
        <f t="shared" si="252"/>
        <v>20</v>
      </c>
      <c r="BX234" s="230">
        <f t="shared" si="413"/>
        <v>33</v>
      </c>
      <c r="BY234" s="235">
        <f t="shared" si="414"/>
        <v>4.4702678571428569</v>
      </c>
      <c r="BZ234" s="235" cm="1">
        <f t="array" ref="BZ234">$BI234 * IF($AH234&lt;=2,
SUMPRODUCT(INDEX($AR$62:$AT$66,,$AI234), INDEX($AU$62:$BA$66,,$AH234), 1 / ($BB$62:$BB$66*BY234 + (1-$BB$62:$BB$66)*BU234), N($AQ$62:$AQ$66&gt;$AO234)),
SUMPRODUCT(INDEX($AR$47:$AT$56,,$AI234), INDEX($AU$47:$BA$56,,$AH234), 1 / ($BC$47:$BC$56*BY234 + (1-$BC$47:$BC$56)*BU234), N($AQ$47:$AQ$56&gt;$AO234))
) / 1000</f>
        <v>0</v>
      </c>
      <c r="CA234" s="235" cm="1">
        <f t="array" ref="CA234">$BI234 * IF($AH234&lt;=2,
SUMPRODUCT(INDEX($AR$23:$AT$61,,$AI234), INDEX($AU$23:$BA$61,,$AH234), 1 / ($BB$23:$BB$61*BY234), N($AQ$23:$AQ$61&gt;$AO234)),
SUMPRODUCT(INDEX($AR$23:$AT$46,,$AI234), INDEX($AU$23:$BA$46,,$AH234), 1 / ($BC$23:$BC$46*BY234), N($AQ$23:$AQ$46&gt;$AO234))
) / 1000</f>
        <v>0</v>
      </c>
      <c r="CB234" s="230">
        <f t="shared" si="415"/>
        <v>0</v>
      </c>
      <c r="CC234" s="238"/>
      <c r="CD234" s="229" cm="1">
        <f t="array" ref="CD234">IF(ISBLANK(Y234), INDEX(Use, $AH234, 4) - AN234*INDEX(Use, $AH234, 6) - (Q234-X234), Y234)</f>
        <v>7</v>
      </c>
      <c r="CE234" s="229">
        <f t="shared" si="416"/>
        <v>32</v>
      </c>
      <c r="CF234" s="230">
        <f t="shared" si="417"/>
        <v>0</v>
      </c>
      <c r="CG234" s="229">
        <v>35</v>
      </c>
      <c r="CH234" s="230">
        <f t="shared" si="418"/>
        <v>48</v>
      </c>
      <c r="CI234" s="235">
        <f t="shared" si="419"/>
        <v>3.0748170731707316</v>
      </c>
      <c r="CJ234" s="235" cm="1">
        <f t="array" ref="CJ234">$BI234 * SUMPRODUCT(INDEX($AR$77:$AT$82,,$AI234),INDEX($AU$77:$BA$82,,$AH234), N($AQ$77:$AQ$82&gt;$AO234)) / CI234 / 1000</f>
        <v>0</v>
      </c>
      <c r="CK234" s="232">
        <f t="shared" si="260"/>
        <v>30</v>
      </c>
      <c r="CL234" s="230">
        <f t="shared" si="420"/>
        <v>43</v>
      </c>
      <c r="CM234" s="235">
        <f t="shared" si="421"/>
        <v>3.5018750000000001</v>
      </c>
      <c r="CN234" s="235" cm="1">
        <f t="array" ref="CN234">$BI234 * IF($AH234&lt;=2,
SUMPRODUCT(INDEX($AR$72:$AT$76,,$AI234), INDEX($AU$72:$BA$76,,$AH234), 1 / ($BB$72:$BB$76*CM234 + (1-$BB$72:$BB$76)*CI234), N($AQ$72:$AQ$76&gt;$AO234)),
SUMPRODUCT(INDEX($AR$67:$AT$76,,$AI234), INDEX($AU$67:$BA$76,,$AH234), 1 / ($BC$67:$BC$76*CM234 + (1-$BC$67:$BC$76)*CI234), N($AQ$67:$AQ$76&gt;$AO234))
) / 1000</f>
        <v>0</v>
      </c>
      <c r="CO234" s="232">
        <f t="shared" si="263"/>
        <v>25</v>
      </c>
      <c r="CP234" s="230">
        <f t="shared" si="422"/>
        <v>38</v>
      </c>
      <c r="CQ234" s="235">
        <f t="shared" si="423"/>
        <v>4.0666935483870965</v>
      </c>
      <c r="CR234" s="235" cm="1">
        <f t="array" ref="CR234">$BI234 * IF($AH234&lt;=2,
SUMPRODUCT(INDEX($AR$67:$AT$71,,$AI234), INDEX($AU$67:$BA$71,,$AH234), 1 / ($BB$67:$BB$71*CQ234 + (1-$BB$67:$BB$71)*CM234), N($AQ$67:$AQ$71&gt;$AO234)),
SUMPRODUCT(INDEX($AR$57:$AT$66,,$AI234), INDEX($AU$57:$BA$66,,$AH234), 1 / ($BC$57:$BC$66*CQ234 + (1-$BC$57:$BC$66)*CM234), N($AQ$57:$AQ$66&gt;$AO234))
) / 1000</f>
        <v>0</v>
      </c>
      <c r="CS234" s="232">
        <f t="shared" si="266"/>
        <v>20</v>
      </c>
      <c r="CT234" s="230">
        <f t="shared" si="424"/>
        <v>33</v>
      </c>
      <c r="CU234" s="235">
        <f t="shared" si="425"/>
        <v>4.8487499999999999</v>
      </c>
      <c r="CV234" s="235" cm="1">
        <f t="array" ref="CV234">$BI234 * IF($AH234&lt;=2,
SUMPRODUCT(INDEX($AR$62:$AT$66,,$AI234), INDEX($AU$62:$BA$66,,$AH234), 1 / ($BB$62:$BB$66*CU234 + (1-$BB$62:$BB$66)*CQ234), N($AQ$62:$AQ$66&gt;$AO234)),
SUMPRODUCT(INDEX($AR$47:$AT$56,,$AI234), INDEX($AU$47:$BA$56,,$AH234), 1 / ($BC$47:$BC$56*CU234 + (1-$BC$47:$BC$56)*CQ234), N($AQ$47:$AQ$56&gt;$AO234))
) / 1000</f>
        <v>0</v>
      </c>
      <c r="CW234" s="235" cm="1">
        <f t="array" ref="CW234">$BI234 * IF($AH234&lt;=2,
SUMPRODUCT(INDEX($AR$23:$AT$61,,$AI234), INDEX($AU$23:$BA$61,,$AH234), 1 / ($BB$23:$BB$61*CU234), N($AQ$23:$AQ$61&gt;$AO234)),
SUMPRODUCT(INDEX($AR$23:$AT$46,,$AI234), INDEX($AU$23:$BA$46,,$AH234), 1 / ($BC$23:$BC$46*CU234), N($AQ$23:$AQ$46&gt;$AO234))
) / 1000</f>
        <v>0</v>
      </c>
      <c r="CX234" s="230">
        <f t="shared" si="426"/>
        <v>0</v>
      </c>
      <c r="CY234" s="238"/>
    </row>
    <row r="235" spans="1:103" s="76" customFormat="1" ht="14.25" customHeight="1" x14ac:dyDescent="0.2">
      <c r="A235" s="231" t="b">
        <f t="shared" si="229"/>
        <v>0</v>
      </c>
      <c r="B235" s="245">
        <v>213</v>
      </c>
      <c r="C235" s="258"/>
      <c r="D235" s="258"/>
      <c r="E235" s="246"/>
      <c r="F235" s="247" t="str">
        <f>IF(ISBLANK(E235), "", VLOOKUP(E235, Z!$A$2:$C$4127, 3, FALSE))</f>
        <v/>
      </c>
      <c r="G235" s="248"/>
      <c r="H235" s="248"/>
      <c r="I235" s="249"/>
      <c r="J235" s="250"/>
      <c r="K235" s="259"/>
      <c r="L235" s="260"/>
      <c r="M235" s="252" t="str" cm="1">
        <f t="array" ref="M235">INDEX(Trad, 53, $A$20)</f>
        <v>Verschmutzt</v>
      </c>
      <c r="N235" s="253"/>
      <c r="O235" s="253"/>
      <c r="P235" s="254"/>
      <c r="Q235" s="251"/>
      <c r="R235" s="251"/>
      <c r="S235" s="264">
        <f t="shared" si="401"/>
        <v>0</v>
      </c>
      <c r="T235" s="252" t="str" cm="1">
        <f t="array" ref="T235">INDEX(Trad, 52, $A$20)</f>
        <v>Sauber</v>
      </c>
      <c r="U235" s="253"/>
      <c r="V235" s="253"/>
      <c r="W235" s="254"/>
      <c r="X235" s="251"/>
      <c r="Y235" s="251"/>
      <c r="Z235" s="264">
        <f t="shared" si="402"/>
        <v>0</v>
      </c>
      <c r="AA235" s="261"/>
      <c r="AB235" s="258"/>
      <c r="AC235" s="246"/>
      <c r="AD235" s="247" t="str">
        <f>IF(ISBLANK(AC235), "", VLOOKUP(AC235, Z!$A$2:$C$4127, 3, FALSE))</f>
        <v/>
      </c>
      <c r="AE235" s="262"/>
      <c r="AF235" s="263">
        <f t="shared" si="403"/>
        <v>0</v>
      </c>
      <c r="AG235" s="238"/>
      <c r="AH235" s="229">
        <f t="shared" si="427"/>
        <v>1</v>
      </c>
      <c r="AI235" s="229">
        <f t="shared" si="428"/>
        <v>1</v>
      </c>
      <c r="AJ235" s="229">
        <f t="shared" si="429"/>
        <v>0</v>
      </c>
      <c r="AK235" s="229">
        <v>0</v>
      </c>
      <c r="AL235" s="229">
        <v>0</v>
      </c>
      <c r="AM235" s="229">
        <v>1</v>
      </c>
      <c r="AN235" s="229">
        <v>0</v>
      </c>
      <c r="AO235" s="229">
        <f t="shared" si="404"/>
        <v>-100</v>
      </c>
      <c r="AP235" s="238"/>
      <c r="AQ235" s="255"/>
      <c r="AR235" s="255"/>
      <c r="AS235" s="256"/>
      <c r="AT235" s="256"/>
      <c r="AU235" s="256"/>
      <c r="AV235" s="256"/>
      <c r="AW235" s="256"/>
      <c r="AX235" s="256"/>
      <c r="AY235" s="256"/>
      <c r="AZ235" s="256"/>
      <c r="BA235" s="256"/>
      <c r="BB235" s="256"/>
      <c r="BC235" s="256"/>
      <c r="BD235" s="238"/>
      <c r="BE235" s="229" cm="1">
        <f t="array" ref="BE235">IF(ISBLANK(R235), INDEX(Use, $AH235, 4) - AM235*INDEX(Use, $AH235, 6), R235)</f>
        <v>5</v>
      </c>
      <c r="BF235" s="229">
        <f t="shared" si="405"/>
        <v>30</v>
      </c>
      <c r="BG235" s="229">
        <f t="shared" si="241"/>
        <v>13</v>
      </c>
      <c r="BH235" s="229">
        <f t="shared" si="242"/>
        <v>0</v>
      </c>
      <c r="BI235" s="234" cm="1">
        <f t="array" ref="BI235">K235/IF($L235&gt;0, INDEX($AU$23:$BA$77, $L235+20, $AH235), 1)</f>
        <v>0</v>
      </c>
      <c r="BJ235" s="230">
        <f t="shared" si="406"/>
        <v>0</v>
      </c>
      <c r="BK235" s="229">
        <v>35</v>
      </c>
      <c r="BL235" s="230">
        <f t="shared" si="407"/>
        <v>48</v>
      </c>
      <c r="BM235" s="235">
        <f t="shared" si="408"/>
        <v>2.9108720930232557</v>
      </c>
      <c r="BN235" s="235" cm="1">
        <f t="array" ref="BN235">$BI235 * SUMPRODUCT(INDEX($AR$77:$AT$82,,$AI235),INDEX($AU$77:$BA$82,,$AH235), N($AQ$77:$AQ$82&gt;$AO235)) / BM235 / 1000</f>
        <v>0</v>
      </c>
      <c r="BO235" s="232">
        <f t="shared" si="246"/>
        <v>30</v>
      </c>
      <c r="BP235" s="230">
        <f t="shared" si="409"/>
        <v>43</v>
      </c>
      <c r="BQ235" s="235">
        <f t="shared" si="410"/>
        <v>3.2938815789473681</v>
      </c>
      <c r="BR235" s="235" cm="1">
        <f t="array" ref="BR235">$BI235 * IF($AH235&lt;=2,
SUMPRODUCT(INDEX($AR$72:$AT$76,,$AI235), INDEX($AU$72:$BA$76,,$AH235), 1 / ($BB$72:$BB$76*BQ235 + (1-$BB$72:$BB$76)*BM235), N($AQ$72:$AQ$76&gt;$AO235)),
SUMPRODUCT(INDEX($AR$67:$AT$76,,$AI235), INDEX($AU$67:$BA$76,,$AH235), 1 / ($BC$67:$BC$76*BQ235 + (1-$BC$67:$BC$76)*BM235), N($AQ$67:$AQ$76&gt;$AO235))
) / 1000</f>
        <v>0</v>
      </c>
      <c r="BS235" s="232">
        <f t="shared" si="249"/>
        <v>25</v>
      </c>
      <c r="BT235" s="230">
        <f t="shared" si="411"/>
        <v>38</v>
      </c>
      <c r="BU235" s="235">
        <f t="shared" si="412"/>
        <v>3.792954545454545</v>
      </c>
      <c r="BV235" s="235" cm="1">
        <f t="array" ref="BV235">$BI235 * IF($AH235&lt;=2,
SUMPRODUCT(INDEX($AR$67:$AT$71,,$AI235), INDEX($AU$67:$BA$71,,$AH235), 1 / ($BB$67:$BB$71*BU235 + (1-$BB$67:$BB$71)*BQ235), N($AQ$67:$AQ$71&gt;$AO235)),
SUMPRODUCT(INDEX($AR$57:$AT$66,,$AI235), INDEX($AU$57:$BA$66,,$AH235), 1 / ($BC$57:$BC$66*BU235 + (1-$BC$57:$BC$66)*BQ235), N($AQ$57:$AQ$66&gt;$AO235))
) / 1000</f>
        <v>0</v>
      </c>
      <c r="BW235" s="232">
        <f t="shared" si="252"/>
        <v>20</v>
      </c>
      <c r="BX235" s="230">
        <f t="shared" si="413"/>
        <v>33</v>
      </c>
      <c r="BY235" s="235">
        <f t="shared" si="414"/>
        <v>4.4702678571428569</v>
      </c>
      <c r="BZ235" s="235" cm="1">
        <f t="array" ref="BZ235">$BI235 * IF($AH235&lt;=2,
SUMPRODUCT(INDEX($AR$62:$AT$66,,$AI235), INDEX($AU$62:$BA$66,,$AH235), 1 / ($BB$62:$BB$66*BY235 + (1-$BB$62:$BB$66)*BU235), N($AQ$62:$AQ$66&gt;$AO235)),
SUMPRODUCT(INDEX($AR$47:$AT$56,,$AI235), INDEX($AU$47:$BA$56,,$AH235), 1 / ($BC$47:$BC$56*BY235 + (1-$BC$47:$BC$56)*BU235), N($AQ$47:$AQ$56&gt;$AO235))
) / 1000</f>
        <v>0</v>
      </c>
      <c r="CA235" s="235" cm="1">
        <f t="array" ref="CA235">$BI235 * IF($AH235&lt;=2,
SUMPRODUCT(INDEX($AR$23:$AT$61,,$AI235), INDEX($AU$23:$BA$61,,$AH235), 1 / ($BB$23:$BB$61*BY235), N($AQ$23:$AQ$61&gt;$AO235)),
SUMPRODUCT(INDEX($AR$23:$AT$46,,$AI235), INDEX($AU$23:$BA$46,,$AH235), 1 / ($BC$23:$BC$46*BY235), N($AQ$23:$AQ$46&gt;$AO235))
) / 1000</f>
        <v>0</v>
      </c>
      <c r="CB235" s="230">
        <f t="shared" si="415"/>
        <v>0</v>
      </c>
      <c r="CC235" s="238"/>
      <c r="CD235" s="229" cm="1">
        <f t="array" ref="CD235">IF(ISBLANK(Y235), INDEX(Use, $AH235, 4) - AN235*INDEX(Use, $AH235, 6) - (Q235-X235), Y235)</f>
        <v>7</v>
      </c>
      <c r="CE235" s="229">
        <f t="shared" si="416"/>
        <v>32</v>
      </c>
      <c r="CF235" s="230">
        <f t="shared" si="417"/>
        <v>0</v>
      </c>
      <c r="CG235" s="229">
        <v>35</v>
      </c>
      <c r="CH235" s="230">
        <f t="shared" si="418"/>
        <v>48</v>
      </c>
      <c r="CI235" s="235">
        <f t="shared" si="419"/>
        <v>3.0748170731707316</v>
      </c>
      <c r="CJ235" s="235" cm="1">
        <f t="array" ref="CJ235">$BI235 * SUMPRODUCT(INDEX($AR$77:$AT$82,,$AI235),INDEX($AU$77:$BA$82,,$AH235), N($AQ$77:$AQ$82&gt;$AO235)) / CI235 / 1000</f>
        <v>0</v>
      </c>
      <c r="CK235" s="232">
        <f t="shared" si="260"/>
        <v>30</v>
      </c>
      <c r="CL235" s="230">
        <f t="shared" si="420"/>
        <v>43</v>
      </c>
      <c r="CM235" s="235">
        <f t="shared" si="421"/>
        <v>3.5018750000000001</v>
      </c>
      <c r="CN235" s="235" cm="1">
        <f t="array" ref="CN235">$BI235 * IF($AH235&lt;=2,
SUMPRODUCT(INDEX($AR$72:$AT$76,,$AI235), INDEX($AU$72:$BA$76,,$AH235), 1 / ($BB$72:$BB$76*CM235 + (1-$BB$72:$BB$76)*CI235), N($AQ$72:$AQ$76&gt;$AO235)),
SUMPRODUCT(INDEX($AR$67:$AT$76,,$AI235), INDEX($AU$67:$BA$76,,$AH235), 1 / ($BC$67:$BC$76*CM235 + (1-$BC$67:$BC$76)*CI235), N($AQ$67:$AQ$76&gt;$AO235))
) / 1000</f>
        <v>0</v>
      </c>
      <c r="CO235" s="232">
        <f t="shared" si="263"/>
        <v>25</v>
      </c>
      <c r="CP235" s="230">
        <f t="shared" si="422"/>
        <v>38</v>
      </c>
      <c r="CQ235" s="235">
        <f t="shared" si="423"/>
        <v>4.0666935483870965</v>
      </c>
      <c r="CR235" s="235" cm="1">
        <f t="array" ref="CR235">$BI235 * IF($AH235&lt;=2,
SUMPRODUCT(INDEX($AR$67:$AT$71,,$AI235), INDEX($AU$67:$BA$71,,$AH235), 1 / ($BB$67:$BB$71*CQ235 + (1-$BB$67:$BB$71)*CM235), N($AQ$67:$AQ$71&gt;$AO235)),
SUMPRODUCT(INDEX($AR$57:$AT$66,,$AI235), INDEX($AU$57:$BA$66,,$AH235), 1 / ($BC$57:$BC$66*CQ235 + (1-$BC$57:$BC$66)*CM235), N($AQ$57:$AQ$66&gt;$AO235))
) / 1000</f>
        <v>0</v>
      </c>
      <c r="CS235" s="232">
        <f t="shared" si="266"/>
        <v>20</v>
      </c>
      <c r="CT235" s="230">
        <f t="shared" si="424"/>
        <v>33</v>
      </c>
      <c r="CU235" s="235">
        <f t="shared" si="425"/>
        <v>4.8487499999999999</v>
      </c>
      <c r="CV235" s="235" cm="1">
        <f t="array" ref="CV235">$BI235 * IF($AH235&lt;=2,
SUMPRODUCT(INDEX($AR$62:$AT$66,,$AI235), INDEX($AU$62:$BA$66,,$AH235), 1 / ($BB$62:$BB$66*CU235 + (1-$BB$62:$BB$66)*CQ235), N($AQ$62:$AQ$66&gt;$AO235)),
SUMPRODUCT(INDEX($AR$47:$AT$56,,$AI235), INDEX($AU$47:$BA$56,,$AH235), 1 / ($BC$47:$BC$56*CU235 + (1-$BC$47:$BC$56)*CQ235), N($AQ$47:$AQ$56&gt;$AO235))
) / 1000</f>
        <v>0</v>
      </c>
      <c r="CW235" s="235" cm="1">
        <f t="array" ref="CW235">$BI235 * IF($AH235&lt;=2,
SUMPRODUCT(INDEX($AR$23:$AT$61,,$AI235), INDEX($AU$23:$BA$61,,$AH235), 1 / ($BB$23:$BB$61*CU235), N($AQ$23:$AQ$61&gt;$AO235)),
SUMPRODUCT(INDEX($AR$23:$AT$46,,$AI235), INDEX($AU$23:$BA$46,,$AH235), 1 / ($BC$23:$BC$46*CU235), N($AQ$23:$AQ$46&gt;$AO235))
) / 1000</f>
        <v>0</v>
      </c>
      <c r="CX235" s="230">
        <f t="shared" si="426"/>
        <v>0</v>
      </c>
      <c r="CY235" s="238"/>
    </row>
    <row r="236" spans="1:103" s="76" customFormat="1" ht="14.25" customHeight="1" x14ac:dyDescent="0.2">
      <c r="A236" s="231" t="b">
        <f t="shared" si="229"/>
        <v>0</v>
      </c>
      <c r="B236" s="245">
        <v>214</v>
      </c>
      <c r="C236" s="258"/>
      <c r="D236" s="258"/>
      <c r="E236" s="246"/>
      <c r="F236" s="247" t="str">
        <f>IF(ISBLANK(E236), "", VLOOKUP(E236, Z!$A$2:$C$4127, 3, FALSE))</f>
        <v/>
      </c>
      <c r="G236" s="248"/>
      <c r="H236" s="248"/>
      <c r="I236" s="249"/>
      <c r="J236" s="250"/>
      <c r="K236" s="259"/>
      <c r="L236" s="260"/>
      <c r="M236" s="252" t="str" cm="1">
        <f t="array" ref="M236">INDEX(Trad, 53, $A$20)</f>
        <v>Verschmutzt</v>
      </c>
      <c r="N236" s="253"/>
      <c r="O236" s="253"/>
      <c r="P236" s="254"/>
      <c r="Q236" s="251"/>
      <c r="R236" s="251"/>
      <c r="S236" s="264">
        <f t="shared" si="401"/>
        <v>0</v>
      </c>
      <c r="T236" s="252" t="str" cm="1">
        <f t="array" ref="T236">INDEX(Trad, 52, $A$20)</f>
        <v>Sauber</v>
      </c>
      <c r="U236" s="253"/>
      <c r="V236" s="253"/>
      <c r="W236" s="254"/>
      <c r="X236" s="251"/>
      <c r="Y236" s="251"/>
      <c r="Z236" s="264">
        <f t="shared" si="402"/>
        <v>0</v>
      </c>
      <c r="AA236" s="261"/>
      <c r="AB236" s="258"/>
      <c r="AC236" s="246"/>
      <c r="AD236" s="247" t="str">
        <f>IF(ISBLANK(AC236), "", VLOOKUP(AC236, Z!$A$2:$C$4127, 3, FALSE))</f>
        <v/>
      </c>
      <c r="AE236" s="262"/>
      <c r="AF236" s="263">
        <f t="shared" si="403"/>
        <v>0</v>
      </c>
      <c r="AG236" s="238"/>
      <c r="AH236" s="229">
        <f t="shared" si="427"/>
        <v>1</v>
      </c>
      <c r="AI236" s="229">
        <f t="shared" si="428"/>
        <v>1</v>
      </c>
      <c r="AJ236" s="229">
        <f t="shared" si="429"/>
        <v>0</v>
      </c>
      <c r="AK236" s="229">
        <v>0</v>
      </c>
      <c r="AL236" s="229">
        <v>0</v>
      </c>
      <c r="AM236" s="229">
        <v>1</v>
      </c>
      <c r="AN236" s="229">
        <v>0</v>
      </c>
      <c r="AO236" s="229">
        <f t="shared" si="404"/>
        <v>-100</v>
      </c>
      <c r="AP236" s="238"/>
      <c r="AQ236" s="255"/>
      <c r="AR236" s="255"/>
      <c r="AS236" s="256"/>
      <c r="AT236" s="256"/>
      <c r="AU236" s="256"/>
      <c r="AV236" s="256"/>
      <c r="AW236" s="256"/>
      <c r="AX236" s="256"/>
      <c r="AY236" s="256"/>
      <c r="AZ236" s="256"/>
      <c r="BA236" s="256"/>
      <c r="BB236" s="256"/>
      <c r="BC236" s="256"/>
      <c r="BD236" s="238"/>
      <c r="BE236" s="229" cm="1">
        <f t="array" ref="BE236">IF(ISBLANK(R236), INDEX(Use, $AH236, 4) - AM236*INDEX(Use, $AH236, 6), R236)</f>
        <v>5</v>
      </c>
      <c r="BF236" s="229">
        <f t="shared" si="405"/>
        <v>30</v>
      </c>
      <c r="BG236" s="229">
        <f t="shared" si="241"/>
        <v>13</v>
      </c>
      <c r="BH236" s="229">
        <f t="shared" si="242"/>
        <v>0</v>
      </c>
      <c r="BI236" s="234" cm="1">
        <f t="array" ref="BI236">K236/IF($L236&gt;0, INDEX($AU$23:$BA$77, $L236+20, $AH236), 1)</f>
        <v>0</v>
      </c>
      <c r="BJ236" s="230">
        <f t="shared" si="406"/>
        <v>0</v>
      </c>
      <c r="BK236" s="229">
        <v>35</v>
      </c>
      <c r="BL236" s="230">
        <f t="shared" si="407"/>
        <v>48</v>
      </c>
      <c r="BM236" s="235">
        <f t="shared" si="408"/>
        <v>2.9108720930232557</v>
      </c>
      <c r="BN236" s="235" cm="1">
        <f t="array" ref="BN236">$BI236 * SUMPRODUCT(INDEX($AR$77:$AT$82,,$AI236),INDEX($AU$77:$BA$82,,$AH236), N($AQ$77:$AQ$82&gt;$AO236)) / BM236 / 1000</f>
        <v>0</v>
      </c>
      <c r="BO236" s="232">
        <f t="shared" si="246"/>
        <v>30</v>
      </c>
      <c r="BP236" s="230">
        <f t="shared" si="409"/>
        <v>43</v>
      </c>
      <c r="BQ236" s="235">
        <f t="shared" si="410"/>
        <v>3.2938815789473681</v>
      </c>
      <c r="BR236" s="235" cm="1">
        <f t="array" ref="BR236">$BI236 * IF($AH236&lt;=2,
SUMPRODUCT(INDEX($AR$72:$AT$76,,$AI236), INDEX($AU$72:$BA$76,,$AH236), 1 / ($BB$72:$BB$76*BQ236 + (1-$BB$72:$BB$76)*BM236), N($AQ$72:$AQ$76&gt;$AO236)),
SUMPRODUCT(INDEX($AR$67:$AT$76,,$AI236), INDEX($AU$67:$BA$76,,$AH236), 1 / ($BC$67:$BC$76*BQ236 + (1-$BC$67:$BC$76)*BM236), N($AQ$67:$AQ$76&gt;$AO236))
) / 1000</f>
        <v>0</v>
      </c>
      <c r="BS236" s="232">
        <f t="shared" si="249"/>
        <v>25</v>
      </c>
      <c r="BT236" s="230">
        <f t="shared" si="411"/>
        <v>38</v>
      </c>
      <c r="BU236" s="235">
        <f t="shared" si="412"/>
        <v>3.792954545454545</v>
      </c>
      <c r="BV236" s="235" cm="1">
        <f t="array" ref="BV236">$BI236 * IF($AH236&lt;=2,
SUMPRODUCT(INDEX($AR$67:$AT$71,,$AI236), INDEX($AU$67:$BA$71,,$AH236), 1 / ($BB$67:$BB$71*BU236 + (1-$BB$67:$BB$71)*BQ236), N($AQ$67:$AQ$71&gt;$AO236)),
SUMPRODUCT(INDEX($AR$57:$AT$66,,$AI236), INDEX($AU$57:$BA$66,,$AH236), 1 / ($BC$57:$BC$66*BU236 + (1-$BC$57:$BC$66)*BQ236), N($AQ$57:$AQ$66&gt;$AO236))
) / 1000</f>
        <v>0</v>
      </c>
      <c r="BW236" s="232">
        <f t="shared" si="252"/>
        <v>20</v>
      </c>
      <c r="BX236" s="230">
        <f t="shared" si="413"/>
        <v>33</v>
      </c>
      <c r="BY236" s="235">
        <f t="shared" si="414"/>
        <v>4.4702678571428569</v>
      </c>
      <c r="BZ236" s="235" cm="1">
        <f t="array" ref="BZ236">$BI236 * IF($AH236&lt;=2,
SUMPRODUCT(INDEX($AR$62:$AT$66,,$AI236), INDEX($AU$62:$BA$66,,$AH236), 1 / ($BB$62:$BB$66*BY236 + (1-$BB$62:$BB$66)*BU236), N($AQ$62:$AQ$66&gt;$AO236)),
SUMPRODUCT(INDEX($AR$47:$AT$56,,$AI236), INDEX($AU$47:$BA$56,,$AH236), 1 / ($BC$47:$BC$56*BY236 + (1-$BC$47:$BC$56)*BU236), N($AQ$47:$AQ$56&gt;$AO236))
) / 1000</f>
        <v>0</v>
      </c>
      <c r="CA236" s="235" cm="1">
        <f t="array" ref="CA236">$BI236 * IF($AH236&lt;=2,
SUMPRODUCT(INDEX($AR$23:$AT$61,,$AI236), INDEX($AU$23:$BA$61,,$AH236), 1 / ($BB$23:$BB$61*BY236), N($AQ$23:$AQ$61&gt;$AO236)),
SUMPRODUCT(INDEX($AR$23:$AT$46,,$AI236), INDEX($AU$23:$BA$46,,$AH236), 1 / ($BC$23:$BC$46*BY236), N($AQ$23:$AQ$46&gt;$AO236))
) / 1000</f>
        <v>0</v>
      </c>
      <c r="CB236" s="230">
        <f t="shared" si="415"/>
        <v>0</v>
      </c>
      <c r="CC236" s="238"/>
      <c r="CD236" s="229" cm="1">
        <f t="array" ref="CD236">IF(ISBLANK(Y236), INDEX(Use, $AH236, 4) - AN236*INDEX(Use, $AH236, 6) - (Q236-X236), Y236)</f>
        <v>7</v>
      </c>
      <c r="CE236" s="229">
        <f t="shared" si="416"/>
        <v>32</v>
      </c>
      <c r="CF236" s="230">
        <f t="shared" si="417"/>
        <v>0</v>
      </c>
      <c r="CG236" s="229">
        <v>35</v>
      </c>
      <c r="CH236" s="230">
        <f t="shared" si="418"/>
        <v>48</v>
      </c>
      <c r="CI236" s="235">
        <f t="shared" si="419"/>
        <v>3.0748170731707316</v>
      </c>
      <c r="CJ236" s="235" cm="1">
        <f t="array" ref="CJ236">$BI236 * SUMPRODUCT(INDEX($AR$77:$AT$82,,$AI236),INDEX($AU$77:$BA$82,,$AH236), N($AQ$77:$AQ$82&gt;$AO236)) / CI236 / 1000</f>
        <v>0</v>
      </c>
      <c r="CK236" s="232">
        <f t="shared" si="260"/>
        <v>30</v>
      </c>
      <c r="CL236" s="230">
        <f t="shared" si="420"/>
        <v>43</v>
      </c>
      <c r="CM236" s="235">
        <f t="shared" si="421"/>
        <v>3.5018750000000001</v>
      </c>
      <c r="CN236" s="235" cm="1">
        <f t="array" ref="CN236">$BI236 * IF($AH236&lt;=2,
SUMPRODUCT(INDEX($AR$72:$AT$76,,$AI236), INDEX($AU$72:$BA$76,,$AH236), 1 / ($BB$72:$BB$76*CM236 + (1-$BB$72:$BB$76)*CI236), N($AQ$72:$AQ$76&gt;$AO236)),
SUMPRODUCT(INDEX($AR$67:$AT$76,,$AI236), INDEX($AU$67:$BA$76,,$AH236), 1 / ($BC$67:$BC$76*CM236 + (1-$BC$67:$BC$76)*CI236), N($AQ$67:$AQ$76&gt;$AO236))
) / 1000</f>
        <v>0</v>
      </c>
      <c r="CO236" s="232">
        <f t="shared" si="263"/>
        <v>25</v>
      </c>
      <c r="CP236" s="230">
        <f t="shared" si="422"/>
        <v>38</v>
      </c>
      <c r="CQ236" s="235">
        <f t="shared" si="423"/>
        <v>4.0666935483870965</v>
      </c>
      <c r="CR236" s="235" cm="1">
        <f t="array" ref="CR236">$BI236 * IF($AH236&lt;=2,
SUMPRODUCT(INDEX($AR$67:$AT$71,,$AI236), INDEX($AU$67:$BA$71,,$AH236), 1 / ($BB$67:$BB$71*CQ236 + (1-$BB$67:$BB$71)*CM236), N($AQ$67:$AQ$71&gt;$AO236)),
SUMPRODUCT(INDEX($AR$57:$AT$66,,$AI236), INDEX($AU$57:$BA$66,,$AH236), 1 / ($BC$57:$BC$66*CQ236 + (1-$BC$57:$BC$66)*CM236), N($AQ$57:$AQ$66&gt;$AO236))
) / 1000</f>
        <v>0</v>
      </c>
      <c r="CS236" s="232">
        <f t="shared" si="266"/>
        <v>20</v>
      </c>
      <c r="CT236" s="230">
        <f t="shared" si="424"/>
        <v>33</v>
      </c>
      <c r="CU236" s="235">
        <f t="shared" si="425"/>
        <v>4.8487499999999999</v>
      </c>
      <c r="CV236" s="235" cm="1">
        <f t="array" ref="CV236">$BI236 * IF($AH236&lt;=2,
SUMPRODUCT(INDEX($AR$62:$AT$66,,$AI236), INDEX($AU$62:$BA$66,,$AH236), 1 / ($BB$62:$BB$66*CU236 + (1-$BB$62:$BB$66)*CQ236), N($AQ$62:$AQ$66&gt;$AO236)),
SUMPRODUCT(INDEX($AR$47:$AT$56,,$AI236), INDEX($AU$47:$BA$56,,$AH236), 1 / ($BC$47:$BC$56*CU236 + (1-$BC$47:$BC$56)*CQ236), N($AQ$47:$AQ$56&gt;$AO236))
) / 1000</f>
        <v>0</v>
      </c>
      <c r="CW236" s="235" cm="1">
        <f t="array" ref="CW236">$BI236 * IF($AH236&lt;=2,
SUMPRODUCT(INDEX($AR$23:$AT$61,,$AI236), INDEX($AU$23:$BA$61,,$AH236), 1 / ($BB$23:$BB$61*CU236), N($AQ$23:$AQ$61&gt;$AO236)),
SUMPRODUCT(INDEX($AR$23:$AT$46,,$AI236), INDEX($AU$23:$BA$46,,$AH236), 1 / ($BC$23:$BC$46*CU236), N($AQ$23:$AQ$46&gt;$AO236))
) / 1000</f>
        <v>0</v>
      </c>
      <c r="CX236" s="230">
        <f t="shared" si="426"/>
        <v>0</v>
      </c>
      <c r="CY236" s="238"/>
    </row>
    <row r="237" spans="1:103" s="76" customFormat="1" ht="14.25" customHeight="1" x14ac:dyDescent="0.2">
      <c r="A237" s="231" t="b">
        <f t="shared" si="229"/>
        <v>0</v>
      </c>
      <c r="B237" s="245">
        <v>215</v>
      </c>
      <c r="C237" s="258"/>
      <c r="D237" s="258"/>
      <c r="E237" s="246"/>
      <c r="F237" s="247" t="str">
        <f>IF(ISBLANK(E237), "", VLOOKUP(E237, Z!$A$2:$C$4127, 3, FALSE))</f>
        <v/>
      </c>
      <c r="G237" s="248"/>
      <c r="H237" s="248"/>
      <c r="I237" s="249"/>
      <c r="J237" s="250"/>
      <c r="K237" s="259"/>
      <c r="L237" s="260"/>
      <c r="M237" s="252" t="str" cm="1">
        <f t="array" ref="M237">INDEX(Trad, 53, $A$20)</f>
        <v>Verschmutzt</v>
      </c>
      <c r="N237" s="253"/>
      <c r="O237" s="253"/>
      <c r="P237" s="254"/>
      <c r="Q237" s="251"/>
      <c r="R237" s="251"/>
      <c r="S237" s="264">
        <f t="shared" si="401"/>
        <v>0</v>
      </c>
      <c r="T237" s="252" t="str" cm="1">
        <f t="array" ref="T237">INDEX(Trad, 52, $A$20)</f>
        <v>Sauber</v>
      </c>
      <c r="U237" s="253"/>
      <c r="V237" s="253"/>
      <c r="W237" s="254"/>
      <c r="X237" s="251"/>
      <c r="Y237" s="251"/>
      <c r="Z237" s="264">
        <f t="shared" si="402"/>
        <v>0</v>
      </c>
      <c r="AA237" s="261"/>
      <c r="AB237" s="258"/>
      <c r="AC237" s="246"/>
      <c r="AD237" s="247" t="str">
        <f>IF(ISBLANK(AC237), "", VLOOKUP(AC237, Z!$A$2:$C$4127, 3, FALSE))</f>
        <v/>
      </c>
      <c r="AE237" s="262"/>
      <c r="AF237" s="263">
        <f t="shared" si="403"/>
        <v>0</v>
      </c>
      <c r="AG237" s="238"/>
      <c r="AH237" s="229">
        <f t="shared" si="427"/>
        <v>1</v>
      </c>
      <c r="AI237" s="229">
        <f t="shared" si="428"/>
        <v>1</v>
      </c>
      <c r="AJ237" s="229">
        <f t="shared" si="429"/>
        <v>0</v>
      </c>
      <c r="AK237" s="229">
        <v>0</v>
      </c>
      <c r="AL237" s="229">
        <v>0</v>
      </c>
      <c r="AM237" s="229">
        <v>1</v>
      </c>
      <c r="AN237" s="229">
        <v>0</v>
      </c>
      <c r="AO237" s="229">
        <f t="shared" si="404"/>
        <v>-100</v>
      </c>
      <c r="AP237" s="238"/>
      <c r="AQ237" s="255"/>
      <c r="AR237" s="255"/>
      <c r="AS237" s="256"/>
      <c r="AT237" s="256"/>
      <c r="AU237" s="256"/>
      <c r="AV237" s="256"/>
      <c r="AW237" s="256"/>
      <c r="AX237" s="256"/>
      <c r="AY237" s="256"/>
      <c r="AZ237" s="256"/>
      <c r="BA237" s="256"/>
      <c r="BB237" s="256"/>
      <c r="BC237" s="256"/>
      <c r="BD237" s="238"/>
      <c r="BE237" s="229" cm="1">
        <f t="array" ref="BE237">IF(ISBLANK(R237), INDEX(Use, $AH237, 4) - AM237*INDEX(Use, $AH237, 6), R237)</f>
        <v>5</v>
      </c>
      <c r="BF237" s="229">
        <f t="shared" si="405"/>
        <v>30</v>
      </c>
      <c r="BG237" s="229">
        <f t="shared" si="241"/>
        <v>13</v>
      </c>
      <c r="BH237" s="229">
        <f t="shared" si="242"/>
        <v>0</v>
      </c>
      <c r="BI237" s="234" cm="1">
        <f t="array" ref="BI237">K237/IF($L237&gt;0, INDEX($AU$23:$BA$77, $L237+20, $AH237), 1)</f>
        <v>0</v>
      </c>
      <c r="BJ237" s="230">
        <f t="shared" si="406"/>
        <v>0</v>
      </c>
      <c r="BK237" s="229">
        <v>35</v>
      </c>
      <c r="BL237" s="230">
        <f t="shared" si="407"/>
        <v>48</v>
      </c>
      <c r="BM237" s="235">
        <f t="shared" si="408"/>
        <v>2.9108720930232557</v>
      </c>
      <c r="BN237" s="235" cm="1">
        <f t="array" ref="BN237">$BI237 * SUMPRODUCT(INDEX($AR$77:$AT$82,,$AI237),INDEX($AU$77:$BA$82,,$AH237), N($AQ$77:$AQ$82&gt;$AO237)) / BM237 / 1000</f>
        <v>0</v>
      </c>
      <c r="BO237" s="232">
        <f t="shared" si="246"/>
        <v>30</v>
      </c>
      <c r="BP237" s="230">
        <f t="shared" si="409"/>
        <v>43</v>
      </c>
      <c r="BQ237" s="235">
        <f t="shared" si="410"/>
        <v>3.2938815789473681</v>
      </c>
      <c r="BR237" s="235" cm="1">
        <f t="array" ref="BR237">$BI237 * IF($AH237&lt;=2,
SUMPRODUCT(INDEX($AR$72:$AT$76,,$AI237), INDEX($AU$72:$BA$76,,$AH237), 1 / ($BB$72:$BB$76*BQ237 + (1-$BB$72:$BB$76)*BM237), N($AQ$72:$AQ$76&gt;$AO237)),
SUMPRODUCT(INDEX($AR$67:$AT$76,,$AI237), INDEX($AU$67:$BA$76,,$AH237), 1 / ($BC$67:$BC$76*BQ237 + (1-$BC$67:$BC$76)*BM237), N($AQ$67:$AQ$76&gt;$AO237))
) / 1000</f>
        <v>0</v>
      </c>
      <c r="BS237" s="232">
        <f t="shared" si="249"/>
        <v>25</v>
      </c>
      <c r="BT237" s="230">
        <f t="shared" si="411"/>
        <v>38</v>
      </c>
      <c r="BU237" s="235">
        <f t="shared" si="412"/>
        <v>3.792954545454545</v>
      </c>
      <c r="BV237" s="235" cm="1">
        <f t="array" ref="BV237">$BI237 * IF($AH237&lt;=2,
SUMPRODUCT(INDEX($AR$67:$AT$71,,$AI237), INDEX($AU$67:$BA$71,,$AH237), 1 / ($BB$67:$BB$71*BU237 + (1-$BB$67:$BB$71)*BQ237), N($AQ$67:$AQ$71&gt;$AO237)),
SUMPRODUCT(INDEX($AR$57:$AT$66,,$AI237), INDEX($AU$57:$BA$66,,$AH237), 1 / ($BC$57:$BC$66*BU237 + (1-$BC$57:$BC$66)*BQ237), N($AQ$57:$AQ$66&gt;$AO237))
) / 1000</f>
        <v>0</v>
      </c>
      <c r="BW237" s="232">
        <f t="shared" si="252"/>
        <v>20</v>
      </c>
      <c r="BX237" s="230">
        <f t="shared" si="413"/>
        <v>33</v>
      </c>
      <c r="BY237" s="235">
        <f t="shared" si="414"/>
        <v>4.4702678571428569</v>
      </c>
      <c r="BZ237" s="235" cm="1">
        <f t="array" ref="BZ237">$BI237 * IF($AH237&lt;=2,
SUMPRODUCT(INDEX($AR$62:$AT$66,,$AI237), INDEX($AU$62:$BA$66,,$AH237), 1 / ($BB$62:$BB$66*BY237 + (1-$BB$62:$BB$66)*BU237), N($AQ$62:$AQ$66&gt;$AO237)),
SUMPRODUCT(INDEX($AR$47:$AT$56,,$AI237), INDEX($AU$47:$BA$56,,$AH237), 1 / ($BC$47:$BC$56*BY237 + (1-$BC$47:$BC$56)*BU237), N($AQ$47:$AQ$56&gt;$AO237))
) / 1000</f>
        <v>0</v>
      </c>
      <c r="CA237" s="235" cm="1">
        <f t="array" ref="CA237">$BI237 * IF($AH237&lt;=2,
SUMPRODUCT(INDEX($AR$23:$AT$61,,$AI237), INDEX($AU$23:$BA$61,,$AH237), 1 / ($BB$23:$BB$61*BY237), N($AQ$23:$AQ$61&gt;$AO237)),
SUMPRODUCT(INDEX($AR$23:$AT$46,,$AI237), INDEX($AU$23:$BA$46,,$AH237), 1 / ($BC$23:$BC$46*BY237), N($AQ$23:$AQ$46&gt;$AO237))
) / 1000</f>
        <v>0</v>
      </c>
      <c r="CB237" s="230">
        <f t="shared" si="415"/>
        <v>0</v>
      </c>
      <c r="CC237" s="238"/>
      <c r="CD237" s="229" cm="1">
        <f t="array" ref="CD237">IF(ISBLANK(Y237), INDEX(Use, $AH237, 4) - AN237*INDEX(Use, $AH237, 6) - (Q237-X237), Y237)</f>
        <v>7</v>
      </c>
      <c r="CE237" s="229">
        <f t="shared" si="416"/>
        <v>32</v>
      </c>
      <c r="CF237" s="230">
        <f t="shared" si="417"/>
        <v>0</v>
      </c>
      <c r="CG237" s="229">
        <v>35</v>
      </c>
      <c r="CH237" s="230">
        <f t="shared" si="418"/>
        <v>48</v>
      </c>
      <c r="CI237" s="235">
        <f t="shared" si="419"/>
        <v>3.0748170731707316</v>
      </c>
      <c r="CJ237" s="235" cm="1">
        <f t="array" ref="CJ237">$BI237 * SUMPRODUCT(INDEX($AR$77:$AT$82,,$AI237),INDEX($AU$77:$BA$82,,$AH237), N($AQ$77:$AQ$82&gt;$AO237)) / CI237 / 1000</f>
        <v>0</v>
      </c>
      <c r="CK237" s="232">
        <f t="shared" si="260"/>
        <v>30</v>
      </c>
      <c r="CL237" s="230">
        <f t="shared" si="420"/>
        <v>43</v>
      </c>
      <c r="CM237" s="235">
        <f t="shared" si="421"/>
        <v>3.5018750000000001</v>
      </c>
      <c r="CN237" s="235" cm="1">
        <f t="array" ref="CN237">$BI237 * IF($AH237&lt;=2,
SUMPRODUCT(INDEX($AR$72:$AT$76,,$AI237), INDEX($AU$72:$BA$76,,$AH237), 1 / ($BB$72:$BB$76*CM237 + (1-$BB$72:$BB$76)*CI237), N($AQ$72:$AQ$76&gt;$AO237)),
SUMPRODUCT(INDEX($AR$67:$AT$76,,$AI237), INDEX($AU$67:$BA$76,,$AH237), 1 / ($BC$67:$BC$76*CM237 + (1-$BC$67:$BC$76)*CI237), N($AQ$67:$AQ$76&gt;$AO237))
) / 1000</f>
        <v>0</v>
      </c>
      <c r="CO237" s="232">
        <f t="shared" si="263"/>
        <v>25</v>
      </c>
      <c r="CP237" s="230">
        <f t="shared" si="422"/>
        <v>38</v>
      </c>
      <c r="CQ237" s="235">
        <f t="shared" si="423"/>
        <v>4.0666935483870965</v>
      </c>
      <c r="CR237" s="235" cm="1">
        <f t="array" ref="CR237">$BI237 * IF($AH237&lt;=2,
SUMPRODUCT(INDEX($AR$67:$AT$71,,$AI237), INDEX($AU$67:$BA$71,,$AH237), 1 / ($BB$67:$BB$71*CQ237 + (1-$BB$67:$BB$71)*CM237), N($AQ$67:$AQ$71&gt;$AO237)),
SUMPRODUCT(INDEX($AR$57:$AT$66,,$AI237), INDEX($AU$57:$BA$66,,$AH237), 1 / ($BC$57:$BC$66*CQ237 + (1-$BC$57:$BC$66)*CM237), N($AQ$57:$AQ$66&gt;$AO237))
) / 1000</f>
        <v>0</v>
      </c>
      <c r="CS237" s="232">
        <f t="shared" si="266"/>
        <v>20</v>
      </c>
      <c r="CT237" s="230">
        <f t="shared" si="424"/>
        <v>33</v>
      </c>
      <c r="CU237" s="235">
        <f t="shared" si="425"/>
        <v>4.8487499999999999</v>
      </c>
      <c r="CV237" s="235" cm="1">
        <f t="array" ref="CV237">$BI237 * IF($AH237&lt;=2,
SUMPRODUCT(INDEX($AR$62:$AT$66,,$AI237), INDEX($AU$62:$BA$66,,$AH237), 1 / ($BB$62:$BB$66*CU237 + (1-$BB$62:$BB$66)*CQ237), N($AQ$62:$AQ$66&gt;$AO237)),
SUMPRODUCT(INDEX($AR$47:$AT$56,,$AI237), INDEX($AU$47:$BA$56,,$AH237), 1 / ($BC$47:$BC$56*CU237 + (1-$BC$47:$BC$56)*CQ237), N($AQ$47:$AQ$56&gt;$AO237))
) / 1000</f>
        <v>0</v>
      </c>
      <c r="CW237" s="235" cm="1">
        <f t="array" ref="CW237">$BI237 * IF($AH237&lt;=2,
SUMPRODUCT(INDEX($AR$23:$AT$61,,$AI237), INDEX($AU$23:$BA$61,,$AH237), 1 / ($BB$23:$BB$61*CU237), N($AQ$23:$AQ$61&gt;$AO237)),
SUMPRODUCT(INDEX($AR$23:$AT$46,,$AI237), INDEX($AU$23:$BA$46,,$AH237), 1 / ($BC$23:$BC$46*CU237), N($AQ$23:$AQ$46&gt;$AO237))
) / 1000</f>
        <v>0</v>
      </c>
      <c r="CX237" s="230">
        <f t="shared" si="426"/>
        <v>0</v>
      </c>
      <c r="CY237" s="238"/>
    </row>
    <row r="238" spans="1:103" s="76" customFormat="1" ht="14.25" customHeight="1" x14ac:dyDescent="0.2">
      <c r="A238" s="231" t="b">
        <f t="shared" si="229"/>
        <v>0</v>
      </c>
      <c r="B238" s="245">
        <v>216</v>
      </c>
      <c r="C238" s="258"/>
      <c r="D238" s="258"/>
      <c r="E238" s="246"/>
      <c r="F238" s="247" t="str">
        <f>IF(ISBLANK(E238), "", VLOOKUP(E238, Z!$A$2:$C$4127, 3, FALSE))</f>
        <v/>
      </c>
      <c r="G238" s="248"/>
      <c r="H238" s="248"/>
      <c r="I238" s="249"/>
      <c r="J238" s="250"/>
      <c r="K238" s="259"/>
      <c r="L238" s="260"/>
      <c r="M238" s="252" t="str" cm="1">
        <f t="array" ref="M238">INDEX(Trad, 53, $A$20)</f>
        <v>Verschmutzt</v>
      </c>
      <c r="N238" s="253"/>
      <c r="O238" s="253"/>
      <c r="P238" s="254"/>
      <c r="Q238" s="251"/>
      <c r="R238" s="251"/>
      <c r="S238" s="264">
        <f t="shared" si="401"/>
        <v>0</v>
      </c>
      <c r="T238" s="252" t="str" cm="1">
        <f t="array" ref="T238">INDEX(Trad, 52, $A$20)</f>
        <v>Sauber</v>
      </c>
      <c r="U238" s="253"/>
      <c r="V238" s="253"/>
      <c r="W238" s="254"/>
      <c r="X238" s="251"/>
      <c r="Y238" s="251"/>
      <c r="Z238" s="264">
        <f t="shared" si="402"/>
        <v>0</v>
      </c>
      <c r="AA238" s="261"/>
      <c r="AB238" s="258"/>
      <c r="AC238" s="246"/>
      <c r="AD238" s="247" t="str">
        <f>IF(ISBLANK(AC238), "", VLOOKUP(AC238, Z!$A$2:$C$4127, 3, FALSE))</f>
        <v/>
      </c>
      <c r="AE238" s="262"/>
      <c r="AF238" s="263">
        <f t="shared" si="403"/>
        <v>0</v>
      </c>
      <c r="AG238" s="238"/>
      <c r="AH238" s="229">
        <f t="shared" si="427"/>
        <v>1</v>
      </c>
      <c r="AI238" s="229">
        <f t="shared" si="428"/>
        <v>1</v>
      </c>
      <c r="AJ238" s="229">
        <f t="shared" si="429"/>
        <v>0</v>
      </c>
      <c r="AK238" s="229">
        <v>0</v>
      </c>
      <c r="AL238" s="229">
        <v>0</v>
      </c>
      <c r="AM238" s="229">
        <v>1</v>
      </c>
      <c r="AN238" s="229">
        <v>0</v>
      </c>
      <c r="AO238" s="229">
        <f t="shared" si="404"/>
        <v>-100</v>
      </c>
      <c r="AP238" s="238"/>
      <c r="AQ238" s="255"/>
      <c r="AR238" s="255"/>
      <c r="AS238" s="256"/>
      <c r="AT238" s="256"/>
      <c r="AU238" s="256"/>
      <c r="AV238" s="256"/>
      <c r="AW238" s="256"/>
      <c r="AX238" s="256"/>
      <c r="AY238" s="256"/>
      <c r="AZ238" s="256"/>
      <c r="BA238" s="256"/>
      <c r="BB238" s="256"/>
      <c r="BC238" s="256"/>
      <c r="BD238" s="238"/>
      <c r="BE238" s="229" cm="1">
        <f t="array" ref="BE238">IF(ISBLANK(R238), INDEX(Use, $AH238, 4) - AM238*INDEX(Use, $AH238, 6), R238)</f>
        <v>5</v>
      </c>
      <c r="BF238" s="229">
        <f t="shared" si="405"/>
        <v>30</v>
      </c>
      <c r="BG238" s="229">
        <f t="shared" si="241"/>
        <v>13</v>
      </c>
      <c r="BH238" s="229">
        <f t="shared" si="242"/>
        <v>0</v>
      </c>
      <c r="BI238" s="234" cm="1">
        <f t="array" ref="BI238">K238/IF($L238&gt;0, INDEX($AU$23:$BA$77, $L238+20, $AH238), 1)</f>
        <v>0</v>
      </c>
      <c r="BJ238" s="230">
        <f t="shared" si="406"/>
        <v>0</v>
      </c>
      <c r="BK238" s="229">
        <v>35</v>
      </c>
      <c r="BL238" s="230">
        <f t="shared" si="407"/>
        <v>48</v>
      </c>
      <c r="BM238" s="235">
        <f t="shared" si="408"/>
        <v>2.9108720930232557</v>
      </c>
      <c r="BN238" s="235" cm="1">
        <f t="array" ref="BN238">$BI238 * SUMPRODUCT(INDEX($AR$77:$AT$82,,$AI238),INDEX($AU$77:$BA$82,,$AH238), N($AQ$77:$AQ$82&gt;$AO238)) / BM238 / 1000</f>
        <v>0</v>
      </c>
      <c r="BO238" s="232">
        <f t="shared" si="246"/>
        <v>30</v>
      </c>
      <c r="BP238" s="230">
        <f t="shared" si="409"/>
        <v>43</v>
      </c>
      <c r="BQ238" s="235">
        <f t="shared" si="410"/>
        <v>3.2938815789473681</v>
      </c>
      <c r="BR238" s="235" cm="1">
        <f t="array" ref="BR238">$BI238 * IF($AH238&lt;=2,
SUMPRODUCT(INDEX($AR$72:$AT$76,,$AI238), INDEX($AU$72:$BA$76,,$AH238), 1 / ($BB$72:$BB$76*BQ238 + (1-$BB$72:$BB$76)*BM238), N($AQ$72:$AQ$76&gt;$AO238)),
SUMPRODUCT(INDEX($AR$67:$AT$76,,$AI238), INDEX($AU$67:$BA$76,,$AH238), 1 / ($BC$67:$BC$76*BQ238 + (1-$BC$67:$BC$76)*BM238), N($AQ$67:$AQ$76&gt;$AO238))
) / 1000</f>
        <v>0</v>
      </c>
      <c r="BS238" s="232">
        <f t="shared" si="249"/>
        <v>25</v>
      </c>
      <c r="BT238" s="230">
        <f t="shared" si="411"/>
        <v>38</v>
      </c>
      <c r="BU238" s="235">
        <f t="shared" si="412"/>
        <v>3.792954545454545</v>
      </c>
      <c r="BV238" s="235" cm="1">
        <f t="array" ref="BV238">$BI238 * IF($AH238&lt;=2,
SUMPRODUCT(INDEX($AR$67:$AT$71,,$AI238), INDEX($AU$67:$BA$71,,$AH238), 1 / ($BB$67:$BB$71*BU238 + (1-$BB$67:$BB$71)*BQ238), N($AQ$67:$AQ$71&gt;$AO238)),
SUMPRODUCT(INDEX($AR$57:$AT$66,,$AI238), INDEX($AU$57:$BA$66,,$AH238), 1 / ($BC$57:$BC$66*BU238 + (1-$BC$57:$BC$66)*BQ238), N($AQ$57:$AQ$66&gt;$AO238))
) / 1000</f>
        <v>0</v>
      </c>
      <c r="BW238" s="232">
        <f t="shared" si="252"/>
        <v>20</v>
      </c>
      <c r="BX238" s="230">
        <f t="shared" si="413"/>
        <v>33</v>
      </c>
      <c r="BY238" s="235">
        <f t="shared" si="414"/>
        <v>4.4702678571428569</v>
      </c>
      <c r="BZ238" s="235" cm="1">
        <f t="array" ref="BZ238">$BI238 * IF($AH238&lt;=2,
SUMPRODUCT(INDEX($AR$62:$AT$66,,$AI238), INDEX($AU$62:$BA$66,,$AH238), 1 / ($BB$62:$BB$66*BY238 + (1-$BB$62:$BB$66)*BU238), N($AQ$62:$AQ$66&gt;$AO238)),
SUMPRODUCT(INDEX($AR$47:$AT$56,,$AI238), INDEX($AU$47:$BA$56,,$AH238), 1 / ($BC$47:$BC$56*BY238 + (1-$BC$47:$BC$56)*BU238), N($AQ$47:$AQ$56&gt;$AO238))
) / 1000</f>
        <v>0</v>
      </c>
      <c r="CA238" s="235" cm="1">
        <f t="array" ref="CA238">$BI238 * IF($AH238&lt;=2,
SUMPRODUCT(INDEX($AR$23:$AT$61,,$AI238), INDEX($AU$23:$BA$61,,$AH238), 1 / ($BB$23:$BB$61*BY238), N($AQ$23:$AQ$61&gt;$AO238)),
SUMPRODUCT(INDEX($AR$23:$AT$46,,$AI238), INDEX($AU$23:$BA$46,,$AH238), 1 / ($BC$23:$BC$46*BY238), N($AQ$23:$AQ$46&gt;$AO238))
) / 1000</f>
        <v>0</v>
      </c>
      <c r="CB238" s="230">
        <f t="shared" si="415"/>
        <v>0</v>
      </c>
      <c r="CC238" s="238"/>
      <c r="CD238" s="229" cm="1">
        <f t="array" ref="CD238">IF(ISBLANK(Y238), INDEX(Use, $AH238, 4) - AN238*INDEX(Use, $AH238, 6) - (Q238-X238), Y238)</f>
        <v>7</v>
      </c>
      <c r="CE238" s="229">
        <f t="shared" si="416"/>
        <v>32</v>
      </c>
      <c r="CF238" s="230">
        <f t="shared" si="417"/>
        <v>0</v>
      </c>
      <c r="CG238" s="229">
        <v>35</v>
      </c>
      <c r="CH238" s="230">
        <f t="shared" si="418"/>
        <v>48</v>
      </c>
      <c r="CI238" s="235">
        <f t="shared" si="419"/>
        <v>3.0748170731707316</v>
      </c>
      <c r="CJ238" s="235" cm="1">
        <f t="array" ref="CJ238">$BI238 * SUMPRODUCT(INDEX($AR$77:$AT$82,,$AI238),INDEX($AU$77:$BA$82,,$AH238), N($AQ$77:$AQ$82&gt;$AO238)) / CI238 / 1000</f>
        <v>0</v>
      </c>
      <c r="CK238" s="232">
        <f t="shared" si="260"/>
        <v>30</v>
      </c>
      <c r="CL238" s="230">
        <f t="shared" si="420"/>
        <v>43</v>
      </c>
      <c r="CM238" s="235">
        <f t="shared" si="421"/>
        <v>3.5018750000000001</v>
      </c>
      <c r="CN238" s="235" cm="1">
        <f t="array" ref="CN238">$BI238 * IF($AH238&lt;=2,
SUMPRODUCT(INDEX($AR$72:$AT$76,,$AI238), INDEX($AU$72:$BA$76,,$AH238), 1 / ($BB$72:$BB$76*CM238 + (1-$BB$72:$BB$76)*CI238), N($AQ$72:$AQ$76&gt;$AO238)),
SUMPRODUCT(INDEX($AR$67:$AT$76,,$AI238), INDEX($AU$67:$BA$76,,$AH238), 1 / ($BC$67:$BC$76*CM238 + (1-$BC$67:$BC$76)*CI238), N($AQ$67:$AQ$76&gt;$AO238))
) / 1000</f>
        <v>0</v>
      </c>
      <c r="CO238" s="232">
        <f t="shared" si="263"/>
        <v>25</v>
      </c>
      <c r="CP238" s="230">
        <f t="shared" si="422"/>
        <v>38</v>
      </c>
      <c r="CQ238" s="235">
        <f t="shared" si="423"/>
        <v>4.0666935483870965</v>
      </c>
      <c r="CR238" s="235" cm="1">
        <f t="array" ref="CR238">$BI238 * IF($AH238&lt;=2,
SUMPRODUCT(INDEX($AR$67:$AT$71,,$AI238), INDEX($AU$67:$BA$71,,$AH238), 1 / ($BB$67:$BB$71*CQ238 + (1-$BB$67:$BB$71)*CM238), N($AQ$67:$AQ$71&gt;$AO238)),
SUMPRODUCT(INDEX($AR$57:$AT$66,,$AI238), INDEX($AU$57:$BA$66,,$AH238), 1 / ($BC$57:$BC$66*CQ238 + (1-$BC$57:$BC$66)*CM238), N($AQ$57:$AQ$66&gt;$AO238))
) / 1000</f>
        <v>0</v>
      </c>
      <c r="CS238" s="232">
        <f t="shared" si="266"/>
        <v>20</v>
      </c>
      <c r="CT238" s="230">
        <f t="shared" si="424"/>
        <v>33</v>
      </c>
      <c r="CU238" s="235">
        <f t="shared" si="425"/>
        <v>4.8487499999999999</v>
      </c>
      <c r="CV238" s="235" cm="1">
        <f t="array" ref="CV238">$BI238 * IF($AH238&lt;=2,
SUMPRODUCT(INDEX($AR$62:$AT$66,,$AI238), INDEX($AU$62:$BA$66,,$AH238), 1 / ($BB$62:$BB$66*CU238 + (1-$BB$62:$BB$66)*CQ238), N($AQ$62:$AQ$66&gt;$AO238)),
SUMPRODUCT(INDEX($AR$47:$AT$56,,$AI238), INDEX($AU$47:$BA$56,,$AH238), 1 / ($BC$47:$BC$56*CU238 + (1-$BC$47:$BC$56)*CQ238), N($AQ$47:$AQ$56&gt;$AO238))
) / 1000</f>
        <v>0</v>
      </c>
      <c r="CW238" s="235" cm="1">
        <f t="array" ref="CW238">$BI238 * IF($AH238&lt;=2,
SUMPRODUCT(INDEX($AR$23:$AT$61,,$AI238), INDEX($AU$23:$BA$61,,$AH238), 1 / ($BB$23:$BB$61*CU238), N($AQ$23:$AQ$61&gt;$AO238)),
SUMPRODUCT(INDEX($AR$23:$AT$46,,$AI238), INDEX($AU$23:$BA$46,,$AH238), 1 / ($BC$23:$BC$46*CU238), N($AQ$23:$AQ$46&gt;$AO238))
) / 1000</f>
        <v>0</v>
      </c>
      <c r="CX238" s="230">
        <f t="shared" si="426"/>
        <v>0</v>
      </c>
      <c r="CY238" s="238"/>
    </row>
    <row r="239" spans="1:103" s="76" customFormat="1" ht="14.25" customHeight="1" x14ac:dyDescent="0.2">
      <c r="A239" s="231" t="b">
        <f t="shared" si="229"/>
        <v>0</v>
      </c>
      <c r="B239" s="245">
        <v>217</v>
      </c>
      <c r="C239" s="258"/>
      <c r="D239" s="258"/>
      <c r="E239" s="246"/>
      <c r="F239" s="247" t="str">
        <f>IF(ISBLANK(E239), "", VLOOKUP(E239, Z!$A$2:$C$4127, 3, FALSE))</f>
        <v/>
      </c>
      <c r="G239" s="248"/>
      <c r="H239" s="248"/>
      <c r="I239" s="249"/>
      <c r="J239" s="250"/>
      <c r="K239" s="259"/>
      <c r="L239" s="260"/>
      <c r="M239" s="252" t="str" cm="1">
        <f t="array" ref="M239">INDEX(Trad, 53, $A$20)</f>
        <v>Verschmutzt</v>
      </c>
      <c r="N239" s="253"/>
      <c r="O239" s="253"/>
      <c r="P239" s="254"/>
      <c r="Q239" s="251"/>
      <c r="R239" s="251"/>
      <c r="S239" s="264">
        <f t="shared" si="401"/>
        <v>0</v>
      </c>
      <c r="T239" s="252" t="str" cm="1">
        <f t="array" ref="T239">INDEX(Trad, 52, $A$20)</f>
        <v>Sauber</v>
      </c>
      <c r="U239" s="253"/>
      <c r="V239" s="253"/>
      <c r="W239" s="254"/>
      <c r="X239" s="251"/>
      <c r="Y239" s="251"/>
      <c r="Z239" s="264">
        <f t="shared" si="402"/>
        <v>0</v>
      </c>
      <c r="AA239" s="261"/>
      <c r="AB239" s="258"/>
      <c r="AC239" s="246"/>
      <c r="AD239" s="247" t="str">
        <f>IF(ISBLANK(AC239), "", VLOOKUP(AC239, Z!$A$2:$C$4127, 3, FALSE))</f>
        <v/>
      </c>
      <c r="AE239" s="262"/>
      <c r="AF239" s="263">
        <f t="shared" si="403"/>
        <v>0</v>
      </c>
      <c r="AG239" s="238"/>
      <c r="AH239" s="229">
        <f t="shared" si="427"/>
        <v>1</v>
      </c>
      <c r="AI239" s="229">
        <f t="shared" si="428"/>
        <v>1</v>
      </c>
      <c r="AJ239" s="229">
        <f t="shared" si="429"/>
        <v>0</v>
      </c>
      <c r="AK239" s="229">
        <v>0</v>
      </c>
      <c r="AL239" s="229">
        <v>0</v>
      </c>
      <c r="AM239" s="229">
        <v>1</v>
      </c>
      <c r="AN239" s="229">
        <v>0</v>
      </c>
      <c r="AO239" s="229">
        <f t="shared" si="404"/>
        <v>-100</v>
      </c>
      <c r="AP239" s="238"/>
      <c r="AQ239" s="255"/>
      <c r="AR239" s="255"/>
      <c r="AS239" s="256"/>
      <c r="AT239" s="256"/>
      <c r="AU239" s="256"/>
      <c r="AV239" s="256"/>
      <c r="AW239" s="256"/>
      <c r="AX239" s="256"/>
      <c r="AY239" s="256"/>
      <c r="AZ239" s="256"/>
      <c r="BA239" s="256"/>
      <c r="BB239" s="256"/>
      <c r="BC239" s="256"/>
      <c r="BD239" s="238"/>
      <c r="BE239" s="229" cm="1">
        <f t="array" ref="BE239">IF(ISBLANK(R239), INDEX(Use, $AH239, 4) - AM239*INDEX(Use, $AH239, 6), R239)</f>
        <v>5</v>
      </c>
      <c r="BF239" s="229">
        <f t="shared" si="405"/>
        <v>30</v>
      </c>
      <c r="BG239" s="229">
        <f t="shared" si="241"/>
        <v>13</v>
      </c>
      <c r="BH239" s="229">
        <f t="shared" si="242"/>
        <v>0</v>
      </c>
      <c r="BI239" s="234" cm="1">
        <f t="array" ref="BI239">K239/IF($L239&gt;0, INDEX($AU$23:$BA$77, $L239+20, $AH239), 1)</f>
        <v>0</v>
      </c>
      <c r="BJ239" s="230">
        <f t="shared" si="406"/>
        <v>0</v>
      </c>
      <c r="BK239" s="229">
        <v>35</v>
      </c>
      <c r="BL239" s="230">
        <f t="shared" si="407"/>
        <v>48</v>
      </c>
      <c r="BM239" s="235">
        <f t="shared" si="408"/>
        <v>2.9108720930232557</v>
      </c>
      <c r="BN239" s="235" cm="1">
        <f t="array" ref="BN239">$BI239 * SUMPRODUCT(INDEX($AR$77:$AT$82,,$AI239),INDEX($AU$77:$BA$82,,$AH239), N($AQ$77:$AQ$82&gt;$AO239)) / BM239 / 1000</f>
        <v>0</v>
      </c>
      <c r="BO239" s="232">
        <f t="shared" si="246"/>
        <v>30</v>
      </c>
      <c r="BP239" s="230">
        <f t="shared" si="409"/>
        <v>43</v>
      </c>
      <c r="BQ239" s="235">
        <f t="shared" si="410"/>
        <v>3.2938815789473681</v>
      </c>
      <c r="BR239" s="235" cm="1">
        <f t="array" ref="BR239">$BI239 * IF($AH239&lt;=2,
SUMPRODUCT(INDEX($AR$72:$AT$76,,$AI239), INDEX($AU$72:$BA$76,,$AH239), 1 / ($BB$72:$BB$76*BQ239 + (1-$BB$72:$BB$76)*BM239), N($AQ$72:$AQ$76&gt;$AO239)),
SUMPRODUCT(INDEX($AR$67:$AT$76,,$AI239), INDEX($AU$67:$BA$76,,$AH239), 1 / ($BC$67:$BC$76*BQ239 + (1-$BC$67:$BC$76)*BM239), N($AQ$67:$AQ$76&gt;$AO239))
) / 1000</f>
        <v>0</v>
      </c>
      <c r="BS239" s="232">
        <f t="shared" si="249"/>
        <v>25</v>
      </c>
      <c r="BT239" s="230">
        <f t="shared" si="411"/>
        <v>38</v>
      </c>
      <c r="BU239" s="235">
        <f t="shared" si="412"/>
        <v>3.792954545454545</v>
      </c>
      <c r="BV239" s="235" cm="1">
        <f t="array" ref="BV239">$BI239 * IF($AH239&lt;=2,
SUMPRODUCT(INDEX($AR$67:$AT$71,,$AI239), INDEX($AU$67:$BA$71,,$AH239), 1 / ($BB$67:$BB$71*BU239 + (1-$BB$67:$BB$71)*BQ239), N($AQ$67:$AQ$71&gt;$AO239)),
SUMPRODUCT(INDEX($AR$57:$AT$66,,$AI239), INDEX($AU$57:$BA$66,,$AH239), 1 / ($BC$57:$BC$66*BU239 + (1-$BC$57:$BC$66)*BQ239), N($AQ$57:$AQ$66&gt;$AO239))
) / 1000</f>
        <v>0</v>
      </c>
      <c r="BW239" s="232">
        <f t="shared" si="252"/>
        <v>20</v>
      </c>
      <c r="BX239" s="230">
        <f t="shared" si="413"/>
        <v>33</v>
      </c>
      <c r="BY239" s="235">
        <f t="shared" si="414"/>
        <v>4.4702678571428569</v>
      </c>
      <c r="BZ239" s="235" cm="1">
        <f t="array" ref="BZ239">$BI239 * IF($AH239&lt;=2,
SUMPRODUCT(INDEX($AR$62:$AT$66,,$AI239), INDEX($AU$62:$BA$66,,$AH239), 1 / ($BB$62:$BB$66*BY239 + (1-$BB$62:$BB$66)*BU239), N($AQ$62:$AQ$66&gt;$AO239)),
SUMPRODUCT(INDEX($AR$47:$AT$56,,$AI239), INDEX($AU$47:$BA$56,,$AH239), 1 / ($BC$47:$BC$56*BY239 + (1-$BC$47:$BC$56)*BU239), N($AQ$47:$AQ$56&gt;$AO239))
) / 1000</f>
        <v>0</v>
      </c>
      <c r="CA239" s="235" cm="1">
        <f t="array" ref="CA239">$BI239 * IF($AH239&lt;=2,
SUMPRODUCT(INDEX($AR$23:$AT$61,,$AI239), INDEX($AU$23:$BA$61,,$AH239), 1 / ($BB$23:$BB$61*BY239), N($AQ$23:$AQ$61&gt;$AO239)),
SUMPRODUCT(INDEX($AR$23:$AT$46,,$AI239), INDEX($AU$23:$BA$46,,$AH239), 1 / ($BC$23:$BC$46*BY239), N($AQ$23:$AQ$46&gt;$AO239))
) / 1000</f>
        <v>0</v>
      </c>
      <c r="CB239" s="230">
        <f t="shared" si="415"/>
        <v>0</v>
      </c>
      <c r="CC239" s="238"/>
      <c r="CD239" s="229" cm="1">
        <f t="array" ref="CD239">IF(ISBLANK(Y239), INDEX(Use, $AH239, 4) - AN239*INDEX(Use, $AH239, 6) - (Q239-X239), Y239)</f>
        <v>7</v>
      </c>
      <c r="CE239" s="229">
        <f t="shared" si="416"/>
        <v>32</v>
      </c>
      <c r="CF239" s="230">
        <f t="shared" si="417"/>
        <v>0</v>
      </c>
      <c r="CG239" s="229">
        <v>35</v>
      </c>
      <c r="CH239" s="230">
        <f t="shared" si="418"/>
        <v>48</v>
      </c>
      <c r="CI239" s="235">
        <f t="shared" si="419"/>
        <v>3.0748170731707316</v>
      </c>
      <c r="CJ239" s="235" cm="1">
        <f t="array" ref="CJ239">$BI239 * SUMPRODUCT(INDEX($AR$77:$AT$82,,$AI239),INDEX($AU$77:$BA$82,,$AH239), N($AQ$77:$AQ$82&gt;$AO239)) / CI239 / 1000</f>
        <v>0</v>
      </c>
      <c r="CK239" s="232">
        <f t="shared" si="260"/>
        <v>30</v>
      </c>
      <c r="CL239" s="230">
        <f t="shared" si="420"/>
        <v>43</v>
      </c>
      <c r="CM239" s="235">
        <f t="shared" si="421"/>
        <v>3.5018750000000001</v>
      </c>
      <c r="CN239" s="235" cm="1">
        <f t="array" ref="CN239">$BI239 * IF($AH239&lt;=2,
SUMPRODUCT(INDEX($AR$72:$AT$76,,$AI239), INDEX($AU$72:$BA$76,,$AH239), 1 / ($BB$72:$BB$76*CM239 + (1-$BB$72:$BB$76)*CI239), N($AQ$72:$AQ$76&gt;$AO239)),
SUMPRODUCT(INDEX($AR$67:$AT$76,,$AI239), INDEX($AU$67:$BA$76,,$AH239), 1 / ($BC$67:$BC$76*CM239 + (1-$BC$67:$BC$76)*CI239), N($AQ$67:$AQ$76&gt;$AO239))
) / 1000</f>
        <v>0</v>
      </c>
      <c r="CO239" s="232">
        <f t="shared" si="263"/>
        <v>25</v>
      </c>
      <c r="CP239" s="230">
        <f t="shared" si="422"/>
        <v>38</v>
      </c>
      <c r="CQ239" s="235">
        <f t="shared" si="423"/>
        <v>4.0666935483870965</v>
      </c>
      <c r="CR239" s="235" cm="1">
        <f t="array" ref="CR239">$BI239 * IF($AH239&lt;=2,
SUMPRODUCT(INDEX($AR$67:$AT$71,,$AI239), INDEX($AU$67:$BA$71,,$AH239), 1 / ($BB$67:$BB$71*CQ239 + (1-$BB$67:$BB$71)*CM239), N($AQ$67:$AQ$71&gt;$AO239)),
SUMPRODUCT(INDEX($AR$57:$AT$66,,$AI239), INDEX($AU$57:$BA$66,,$AH239), 1 / ($BC$57:$BC$66*CQ239 + (1-$BC$57:$BC$66)*CM239), N($AQ$57:$AQ$66&gt;$AO239))
) / 1000</f>
        <v>0</v>
      </c>
      <c r="CS239" s="232">
        <f t="shared" si="266"/>
        <v>20</v>
      </c>
      <c r="CT239" s="230">
        <f t="shared" si="424"/>
        <v>33</v>
      </c>
      <c r="CU239" s="235">
        <f t="shared" si="425"/>
        <v>4.8487499999999999</v>
      </c>
      <c r="CV239" s="235" cm="1">
        <f t="array" ref="CV239">$BI239 * IF($AH239&lt;=2,
SUMPRODUCT(INDEX($AR$62:$AT$66,,$AI239), INDEX($AU$62:$BA$66,,$AH239), 1 / ($BB$62:$BB$66*CU239 + (1-$BB$62:$BB$66)*CQ239), N($AQ$62:$AQ$66&gt;$AO239)),
SUMPRODUCT(INDEX($AR$47:$AT$56,,$AI239), INDEX($AU$47:$BA$56,,$AH239), 1 / ($BC$47:$BC$56*CU239 + (1-$BC$47:$BC$56)*CQ239), N($AQ$47:$AQ$56&gt;$AO239))
) / 1000</f>
        <v>0</v>
      </c>
      <c r="CW239" s="235" cm="1">
        <f t="array" ref="CW239">$BI239 * IF($AH239&lt;=2,
SUMPRODUCT(INDEX($AR$23:$AT$61,,$AI239), INDEX($AU$23:$BA$61,,$AH239), 1 / ($BB$23:$BB$61*CU239), N($AQ$23:$AQ$61&gt;$AO239)),
SUMPRODUCT(INDEX($AR$23:$AT$46,,$AI239), INDEX($AU$23:$BA$46,,$AH239), 1 / ($BC$23:$BC$46*CU239), N($AQ$23:$AQ$46&gt;$AO239))
) / 1000</f>
        <v>0</v>
      </c>
      <c r="CX239" s="230">
        <f t="shared" si="426"/>
        <v>0</v>
      </c>
      <c r="CY239" s="238"/>
    </row>
    <row r="240" spans="1:103" s="76" customFormat="1" ht="14.25" customHeight="1" x14ac:dyDescent="0.2">
      <c r="A240" s="231" t="b">
        <f t="shared" si="229"/>
        <v>0</v>
      </c>
      <c r="B240" s="245">
        <v>218</v>
      </c>
      <c r="C240" s="258"/>
      <c r="D240" s="258"/>
      <c r="E240" s="246"/>
      <c r="F240" s="247" t="str">
        <f>IF(ISBLANK(E240), "", VLOOKUP(E240, Z!$A$2:$C$4127, 3, FALSE))</f>
        <v/>
      </c>
      <c r="G240" s="248"/>
      <c r="H240" s="248"/>
      <c r="I240" s="249"/>
      <c r="J240" s="250"/>
      <c r="K240" s="259"/>
      <c r="L240" s="260"/>
      <c r="M240" s="252" t="str" cm="1">
        <f t="array" ref="M240">INDEX(Trad, 53, $A$20)</f>
        <v>Verschmutzt</v>
      </c>
      <c r="N240" s="253"/>
      <c r="O240" s="253"/>
      <c r="P240" s="254"/>
      <c r="Q240" s="251"/>
      <c r="R240" s="251"/>
      <c r="S240" s="264">
        <f t="shared" si="401"/>
        <v>0</v>
      </c>
      <c r="T240" s="252" t="str" cm="1">
        <f t="array" ref="T240">INDEX(Trad, 52, $A$20)</f>
        <v>Sauber</v>
      </c>
      <c r="U240" s="253"/>
      <c r="V240" s="253"/>
      <c r="W240" s="254"/>
      <c r="X240" s="251"/>
      <c r="Y240" s="251"/>
      <c r="Z240" s="264">
        <f t="shared" si="402"/>
        <v>0</v>
      </c>
      <c r="AA240" s="261"/>
      <c r="AB240" s="258"/>
      <c r="AC240" s="246"/>
      <c r="AD240" s="247" t="str">
        <f>IF(ISBLANK(AC240), "", VLOOKUP(AC240, Z!$A$2:$C$4127, 3, FALSE))</f>
        <v/>
      </c>
      <c r="AE240" s="262"/>
      <c r="AF240" s="263">
        <f t="shared" si="403"/>
        <v>0</v>
      </c>
      <c r="AG240" s="238"/>
      <c r="AH240" s="229">
        <f t="shared" si="427"/>
        <v>1</v>
      </c>
      <c r="AI240" s="229">
        <f t="shared" si="428"/>
        <v>1</v>
      </c>
      <c r="AJ240" s="229">
        <f t="shared" si="429"/>
        <v>0</v>
      </c>
      <c r="AK240" s="229">
        <v>0</v>
      </c>
      <c r="AL240" s="229">
        <v>0</v>
      </c>
      <c r="AM240" s="229">
        <v>1</v>
      </c>
      <c r="AN240" s="229">
        <v>0</v>
      </c>
      <c r="AO240" s="229">
        <f t="shared" si="404"/>
        <v>-100</v>
      </c>
      <c r="AP240" s="238"/>
      <c r="AQ240" s="255"/>
      <c r="AR240" s="255"/>
      <c r="AS240" s="256"/>
      <c r="AT240" s="256"/>
      <c r="AU240" s="256"/>
      <c r="AV240" s="256"/>
      <c r="AW240" s="256"/>
      <c r="AX240" s="256"/>
      <c r="AY240" s="256"/>
      <c r="AZ240" s="256"/>
      <c r="BA240" s="256"/>
      <c r="BB240" s="256"/>
      <c r="BC240" s="256"/>
      <c r="BD240" s="238"/>
      <c r="BE240" s="229" cm="1">
        <f t="array" ref="BE240">IF(ISBLANK(R240), INDEX(Use, $AH240, 4) - AM240*INDEX(Use, $AH240, 6), R240)</f>
        <v>5</v>
      </c>
      <c r="BF240" s="229">
        <f t="shared" si="405"/>
        <v>30</v>
      </c>
      <c r="BG240" s="229">
        <f t="shared" si="241"/>
        <v>13</v>
      </c>
      <c r="BH240" s="229">
        <f t="shared" si="242"/>
        <v>0</v>
      </c>
      <c r="BI240" s="234" cm="1">
        <f t="array" ref="BI240">K240/IF($L240&gt;0, INDEX($AU$23:$BA$77, $L240+20, $AH240), 1)</f>
        <v>0</v>
      </c>
      <c r="BJ240" s="230">
        <f t="shared" si="406"/>
        <v>0</v>
      </c>
      <c r="BK240" s="229">
        <v>35</v>
      </c>
      <c r="BL240" s="230">
        <f t="shared" si="407"/>
        <v>48</v>
      </c>
      <c r="BM240" s="235">
        <f t="shared" si="408"/>
        <v>2.9108720930232557</v>
      </c>
      <c r="BN240" s="235" cm="1">
        <f t="array" ref="BN240">$BI240 * SUMPRODUCT(INDEX($AR$77:$AT$82,,$AI240),INDEX($AU$77:$BA$82,,$AH240), N($AQ$77:$AQ$82&gt;$AO240)) / BM240 / 1000</f>
        <v>0</v>
      </c>
      <c r="BO240" s="232">
        <f t="shared" si="246"/>
        <v>30</v>
      </c>
      <c r="BP240" s="230">
        <f t="shared" si="409"/>
        <v>43</v>
      </c>
      <c r="BQ240" s="235">
        <f t="shared" si="410"/>
        <v>3.2938815789473681</v>
      </c>
      <c r="BR240" s="235" cm="1">
        <f t="array" ref="BR240">$BI240 * IF($AH240&lt;=2,
SUMPRODUCT(INDEX($AR$72:$AT$76,,$AI240), INDEX($AU$72:$BA$76,,$AH240), 1 / ($BB$72:$BB$76*BQ240 + (1-$BB$72:$BB$76)*BM240), N($AQ$72:$AQ$76&gt;$AO240)),
SUMPRODUCT(INDEX($AR$67:$AT$76,,$AI240), INDEX($AU$67:$BA$76,,$AH240), 1 / ($BC$67:$BC$76*BQ240 + (1-$BC$67:$BC$76)*BM240), N($AQ$67:$AQ$76&gt;$AO240))
) / 1000</f>
        <v>0</v>
      </c>
      <c r="BS240" s="232">
        <f t="shared" si="249"/>
        <v>25</v>
      </c>
      <c r="BT240" s="230">
        <f t="shared" si="411"/>
        <v>38</v>
      </c>
      <c r="BU240" s="235">
        <f t="shared" si="412"/>
        <v>3.792954545454545</v>
      </c>
      <c r="BV240" s="235" cm="1">
        <f t="array" ref="BV240">$BI240 * IF($AH240&lt;=2,
SUMPRODUCT(INDEX($AR$67:$AT$71,,$AI240), INDEX($AU$67:$BA$71,,$AH240), 1 / ($BB$67:$BB$71*BU240 + (1-$BB$67:$BB$71)*BQ240), N($AQ$67:$AQ$71&gt;$AO240)),
SUMPRODUCT(INDEX($AR$57:$AT$66,,$AI240), INDEX($AU$57:$BA$66,,$AH240), 1 / ($BC$57:$BC$66*BU240 + (1-$BC$57:$BC$66)*BQ240), N($AQ$57:$AQ$66&gt;$AO240))
) / 1000</f>
        <v>0</v>
      </c>
      <c r="BW240" s="232">
        <f t="shared" si="252"/>
        <v>20</v>
      </c>
      <c r="BX240" s="230">
        <f t="shared" si="413"/>
        <v>33</v>
      </c>
      <c r="BY240" s="235">
        <f t="shared" si="414"/>
        <v>4.4702678571428569</v>
      </c>
      <c r="BZ240" s="235" cm="1">
        <f t="array" ref="BZ240">$BI240 * IF($AH240&lt;=2,
SUMPRODUCT(INDEX($AR$62:$AT$66,,$AI240), INDEX($AU$62:$BA$66,,$AH240), 1 / ($BB$62:$BB$66*BY240 + (1-$BB$62:$BB$66)*BU240), N($AQ$62:$AQ$66&gt;$AO240)),
SUMPRODUCT(INDEX($AR$47:$AT$56,,$AI240), INDEX($AU$47:$BA$56,,$AH240), 1 / ($BC$47:$BC$56*BY240 + (1-$BC$47:$BC$56)*BU240), N($AQ$47:$AQ$56&gt;$AO240))
) / 1000</f>
        <v>0</v>
      </c>
      <c r="CA240" s="235" cm="1">
        <f t="array" ref="CA240">$BI240 * IF($AH240&lt;=2,
SUMPRODUCT(INDEX($AR$23:$AT$61,,$AI240), INDEX($AU$23:$BA$61,,$AH240), 1 / ($BB$23:$BB$61*BY240), N($AQ$23:$AQ$61&gt;$AO240)),
SUMPRODUCT(INDEX($AR$23:$AT$46,,$AI240), INDEX($AU$23:$BA$46,,$AH240), 1 / ($BC$23:$BC$46*BY240), N($AQ$23:$AQ$46&gt;$AO240))
) / 1000</f>
        <v>0</v>
      </c>
      <c r="CB240" s="230">
        <f t="shared" si="415"/>
        <v>0</v>
      </c>
      <c r="CC240" s="238"/>
      <c r="CD240" s="229" cm="1">
        <f t="array" ref="CD240">IF(ISBLANK(Y240), INDEX(Use, $AH240, 4) - AN240*INDEX(Use, $AH240, 6) - (Q240-X240), Y240)</f>
        <v>7</v>
      </c>
      <c r="CE240" s="229">
        <f t="shared" si="416"/>
        <v>32</v>
      </c>
      <c r="CF240" s="230">
        <f t="shared" si="417"/>
        <v>0</v>
      </c>
      <c r="CG240" s="229">
        <v>35</v>
      </c>
      <c r="CH240" s="230">
        <f t="shared" si="418"/>
        <v>48</v>
      </c>
      <c r="CI240" s="235">
        <f t="shared" si="419"/>
        <v>3.0748170731707316</v>
      </c>
      <c r="CJ240" s="235" cm="1">
        <f t="array" ref="CJ240">$BI240 * SUMPRODUCT(INDEX($AR$77:$AT$82,,$AI240),INDEX($AU$77:$BA$82,,$AH240), N($AQ$77:$AQ$82&gt;$AO240)) / CI240 / 1000</f>
        <v>0</v>
      </c>
      <c r="CK240" s="232">
        <f t="shared" si="260"/>
        <v>30</v>
      </c>
      <c r="CL240" s="230">
        <f t="shared" si="420"/>
        <v>43</v>
      </c>
      <c r="CM240" s="235">
        <f t="shared" si="421"/>
        <v>3.5018750000000001</v>
      </c>
      <c r="CN240" s="235" cm="1">
        <f t="array" ref="CN240">$BI240 * IF($AH240&lt;=2,
SUMPRODUCT(INDEX($AR$72:$AT$76,,$AI240), INDEX($AU$72:$BA$76,,$AH240), 1 / ($BB$72:$BB$76*CM240 + (1-$BB$72:$BB$76)*CI240), N($AQ$72:$AQ$76&gt;$AO240)),
SUMPRODUCT(INDEX($AR$67:$AT$76,,$AI240), INDEX($AU$67:$BA$76,,$AH240), 1 / ($BC$67:$BC$76*CM240 + (1-$BC$67:$BC$76)*CI240), N($AQ$67:$AQ$76&gt;$AO240))
) / 1000</f>
        <v>0</v>
      </c>
      <c r="CO240" s="232">
        <f t="shared" si="263"/>
        <v>25</v>
      </c>
      <c r="CP240" s="230">
        <f t="shared" si="422"/>
        <v>38</v>
      </c>
      <c r="CQ240" s="235">
        <f t="shared" si="423"/>
        <v>4.0666935483870965</v>
      </c>
      <c r="CR240" s="235" cm="1">
        <f t="array" ref="CR240">$BI240 * IF($AH240&lt;=2,
SUMPRODUCT(INDEX($AR$67:$AT$71,,$AI240), INDEX($AU$67:$BA$71,,$AH240), 1 / ($BB$67:$BB$71*CQ240 + (1-$BB$67:$BB$71)*CM240), N($AQ$67:$AQ$71&gt;$AO240)),
SUMPRODUCT(INDEX($AR$57:$AT$66,,$AI240), INDEX($AU$57:$BA$66,,$AH240), 1 / ($BC$57:$BC$66*CQ240 + (1-$BC$57:$BC$66)*CM240), N($AQ$57:$AQ$66&gt;$AO240))
) / 1000</f>
        <v>0</v>
      </c>
      <c r="CS240" s="232">
        <f t="shared" si="266"/>
        <v>20</v>
      </c>
      <c r="CT240" s="230">
        <f t="shared" si="424"/>
        <v>33</v>
      </c>
      <c r="CU240" s="235">
        <f t="shared" si="425"/>
        <v>4.8487499999999999</v>
      </c>
      <c r="CV240" s="235" cm="1">
        <f t="array" ref="CV240">$BI240 * IF($AH240&lt;=2,
SUMPRODUCT(INDEX($AR$62:$AT$66,,$AI240), INDEX($AU$62:$BA$66,,$AH240), 1 / ($BB$62:$BB$66*CU240 + (1-$BB$62:$BB$66)*CQ240), N($AQ$62:$AQ$66&gt;$AO240)),
SUMPRODUCT(INDEX($AR$47:$AT$56,,$AI240), INDEX($AU$47:$BA$56,,$AH240), 1 / ($BC$47:$BC$56*CU240 + (1-$BC$47:$BC$56)*CQ240), N($AQ$47:$AQ$56&gt;$AO240))
) / 1000</f>
        <v>0</v>
      </c>
      <c r="CW240" s="235" cm="1">
        <f t="array" ref="CW240">$BI240 * IF($AH240&lt;=2,
SUMPRODUCT(INDEX($AR$23:$AT$61,,$AI240), INDEX($AU$23:$BA$61,,$AH240), 1 / ($BB$23:$BB$61*CU240), N($AQ$23:$AQ$61&gt;$AO240)),
SUMPRODUCT(INDEX($AR$23:$AT$46,,$AI240), INDEX($AU$23:$BA$46,,$AH240), 1 / ($BC$23:$BC$46*CU240), N($AQ$23:$AQ$46&gt;$AO240))
) / 1000</f>
        <v>0</v>
      </c>
      <c r="CX240" s="230">
        <f t="shared" si="426"/>
        <v>0</v>
      </c>
      <c r="CY240" s="238"/>
    </row>
    <row r="241" spans="1:103" s="76" customFormat="1" ht="14.25" customHeight="1" x14ac:dyDescent="0.2">
      <c r="A241" s="231" t="b">
        <f t="shared" si="229"/>
        <v>0</v>
      </c>
      <c r="B241" s="245">
        <v>219</v>
      </c>
      <c r="C241" s="258"/>
      <c r="D241" s="258"/>
      <c r="E241" s="246"/>
      <c r="F241" s="247" t="str">
        <f>IF(ISBLANK(E241), "", VLOOKUP(E241, Z!$A$2:$C$4127, 3, FALSE))</f>
        <v/>
      </c>
      <c r="G241" s="248"/>
      <c r="H241" s="248"/>
      <c r="I241" s="249"/>
      <c r="J241" s="250"/>
      <c r="K241" s="259"/>
      <c r="L241" s="260"/>
      <c r="M241" s="252" t="str" cm="1">
        <f t="array" ref="M241">INDEX(Trad, 53, $A$20)</f>
        <v>Verschmutzt</v>
      </c>
      <c r="N241" s="253"/>
      <c r="O241" s="253"/>
      <c r="P241" s="254"/>
      <c r="Q241" s="251"/>
      <c r="R241" s="251"/>
      <c r="S241" s="264">
        <f t="shared" si="401"/>
        <v>0</v>
      </c>
      <c r="T241" s="252" t="str" cm="1">
        <f t="array" ref="T241">INDEX(Trad, 52, $A$20)</f>
        <v>Sauber</v>
      </c>
      <c r="U241" s="253"/>
      <c r="V241" s="253"/>
      <c r="W241" s="254"/>
      <c r="X241" s="251"/>
      <c r="Y241" s="251"/>
      <c r="Z241" s="264">
        <f t="shared" si="402"/>
        <v>0</v>
      </c>
      <c r="AA241" s="261"/>
      <c r="AB241" s="258"/>
      <c r="AC241" s="246"/>
      <c r="AD241" s="247" t="str">
        <f>IF(ISBLANK(AC241), "", VLOOKUP(AC241, Z!$A$2:$C$4127, 3, FALSE))</f>
        <v/>
      </c>
      <c r="AE241" s="262"/>
      <c r="AF241" s="263">
        <f t="shared" si="403"/>
        <v>0</v>
      </c>
      <c r="AG241" s="238"/>
      <c r="AH241" s="229">
        <f t="shared" si="427"/>
        <v>1</v>
      </c>
      <c r="AI241" s="229">
        <f t="shared" si="428"/>
        <v>1</v>
      </c>
      <c r="AJ241" s="229">
        <f t="shared" si="429"/>
        <v>0</v>
      </c>
      <c r="AK241" s="229">
        <v>0</v>
      </c>
      <c r="AL241" s="229">
        <v>0</v>
      </c>
      <c r="AM241" s="229">
        <v>1</v>
      </c>
      <c r="AN241" s="229">
        <v>0</v>
      </c>
      <c r="AO241" s="229">
        <f t="shared" si="404"/>
        <v>-100</v>
      </c>
      <c r="AP241" s="238"/>
      <c r="AQ241" s="255"/>
      <c r="AR241" s="255"/>
      <c r="AS241" s="256"/>
      <c r="AT241" s="256"/>
      <c r="AU241" s="256"/>
      <c r="AV241" s="256"/>
      <c r="AW241" s="256"/>
      <c r="AX241" s="256"/>
      <c r="AY241" s="256"/>
      <c r="AZ241" s="256"/>
      <c r="BA241" s="256"/>
      <c r="BB241" s="256"/>
      <c r="BC241" s="256"/>
      <c r="BD241" s="238"/>
      <c r="BE241" s="229" cm="1">
        <f t="array" ref="BE241">IF(ISBLANK(R241), INDEX(Use, $AH241, 4) - AM241*INDEX(Use, $AH241, 6), R241)</f>
        <v>5</v>
      </c>
      <c r="BF241" s="229">
        <f t="shared" si="405"/>
        <v>30</v>
      </c>
      <c r="BG241" s="229">
        <f t="shared" si="241"/>
        <v>13</v>
      </c>
      <c r="BH241" s="229">
        <f t="shared" si="242"/>
        <v>0</v>
      </c>
      <c r="BI241" s="234" cm="1">
        <f t="array" ref="BI241">K241/IF($L241&gt;0, INDEX($AU$23:$BA$77, $L241+20, $AH241), 1)</f>
        <v>0</v>
      </c>
      <c r="BJ241" s="230">
        <f t="shared" si="406"/>
        <v>0</v>
      </c>
      <c r="BK241" s="229">
        <v>35</v>
      </c>
      <c r="BL241" s="230">
        <f t="shared" si="407"/>
        <v>48</v>
      </c>
      <c r="BM241" s="235">
        <f t="shared" si="408"/>
        <v>2.9108720930232557</v>
      </c>
      <c r="BN241" s="235" cm="1">
        <f t="array" ref="BN241">$BI241 * SUMPRODUCT(INDEX($AR$77:$AT$82,,$AI241),INDEX($AU$77:$BA$82,,$AH241), N($AQ$77:$AQ$82&gt;$AO241)) / BM241 / 1000</f>
        <v>0</v>
      </c>
      <c r="BO241" s="232">
        <f t="shared" si="246"/>
        <v>30</v>
      </c>
      <c r="BP241" s="230">
        <f t="shared" si="409"/>
        <v>43</v>
      </c>
      <c r="BQ241" s="235">
        <f t="shared" si="410"/>
        <v>3.2938815789473681</v>
      </c>
      <c r="BR241" s="235" cm="1">
        <f t="array" ref="BR241">$BI241 * IF($AH241&lt;=2,
SUMPRODUCT(INDEX($AR$72:$AT$76,,$AI241), INDEX($AU$72:$BA$76,,$AH241), 1 / ($BB$72:$BB$76*BQ241 + (1-$BB$72:$BB$76)*BM241), N($AQ$72:$AQ$76&gt;$AO241)),
SUMPRODUCT(INDEX($AR$67:$AT$76,,$AI241), INDEX($AU$67:$BA$76,,$AH241), 1 / ($BC$67:$BC$76*BQ241 + (1-$BC$67:$BC$76)*BM241), N($AQ$67:$AQ$76&gt;$AO241))
) / 1000</f>
        <v>0</v>
      </c>
      <c r="BS241" s="232">
        <f t="shared" si="249"/>
        <v>25</v>
      </c>
      <c r="BT241" s="230">
        <f t="shared" si="411"/>
        <v>38</v>
      </c>
      <c r="BU241" s="235">
        <f t="shared" si="412"/>
        <v>3.792954545454545</v>
      </c>
      <c r="BV241" s="235" cm="1">
        <f t="array" ref="BV241">$BI241 * IF($AH241&lt;=2,
SUMPRODUCT(INDEX($AR$67:$AT$71,,$AI241), INDEX($AU$67:$BA$71,,$AH241), 1 / ($BB$67:$BB$71*BU241 + (1-$BB$67:$BB$71)*BQ241), N($AQ$67:$AQ$71&gt;$AO241)),
SUMPRODUCT(INDEX($AR$57:$AT$66,,$AI241), INDEX($AU$57:$BA$66,,$AH241), 1 / ($BC$57:$BC$66*BU241 + (1-$BC$57:$BC$66)*BQ241), N($AQ$57:$AQ$66&gt;$AO241))
) / 1000</f>
        <v>0</v>
      </c>
      <c r="BW241" s="232">
        <f t="shared" si="252"/>
        <v>20</v>
      </c>
      <c r="BX241" s="230">
        <f t="shared" si="413"/>
        <v>33</v>
      </c>
      <c r="BY241" s="235">
        <f t="shared" si="414"/>
        <v>4.4702678571428569</v>
      </c>
      <c r="BZ241" s="235" cm="1">
        <f t="array" ref="BZ241">$BI241 * IF($AH241&lt;=2,
SUMPRODUCT(INDEX($AR$62:$AT$66,,$AI241), INDEX($AU$62:$BA$66,,$AH241), 1 / ($BB$62:$BB$66*BY241 + (1-$BB$62:$BB$66)*BU241), N($AQ$62:$AQ$66&gt;$AO241)),
SUMPRODUCT(INDEX($AR$47:$AT$56,,$AI241), INDEX($AU$47:$BA$56,,$AH241), 1 / ($BC$47:$BC$56*BY241 + (1-$BC$47:$BC$56)*BU241), N($AQ$47:$AQ$56&gt;$AO241))
) / 1000</f>
        <v>0</v>
      </c>
      <c r="CA241" s="235" cm="1">
        <f t="array" ref="CA241">$BI241 * IF($AH241&lt;=2,
SUMPRODUCT(INDEX($AR$23:$AT$61,,$AI241), INDEX($AU$23:$BA$61,,$AH241), 1 / ($BB$23:$BB$61*BY241), N($AQ$23:$AQ$61&gt;$AO241)),
SUMPRODUCT(INDEX($AR$23:$AT$46,,$AI241), INDEX($AU$23:$BA$46,,$AH241), 1 / ($BC$23:$BC$46*BY241), N($AQ$23:$AQ$46&gt;$AO241))
) / 1000</f>
        <v>0</v>
      </c>
      <c r="CB241" s="230">
        <f t="shared" si="415"/>
        <v>0</v>
      </c>
      <c r="CC241" s="238"/>
      <c r="CD241" s="229" cm="1">
        <f t="array" ref="CD241">IF(ISBLANK(Y241), INDEX(Use, $AH241, 4) - AN241*INDEX(Use, $AH241, 6) - (Q241-X241), Y241)</f>
        <v>7</v>
      </c>
      <c r="CE241" s="229">
        <f t="shared" si="416"/>
        <v>32</v>
      </c>
      <c r="CF241" s="230">
        <f t="shared" si="417"/>
        <v>0</v>
      </c>
      <c r="CG241" s="229">
        <v>35</v>
      </c>
      <c r="CH241" s="230">
        <f t="shared" si="418"/>
        <v>48</v>
      </c>
      <c r="CI241" s="235">
        <f t="shared" si="419"/>
        <v>3.0748170731707316</v>
      </c>
      <c r="CJ241" s="235" cm="1">
        <f t="array" ref="CJ241">$BI241 * SUMPRODUCT(INDEX($AR$77:$AT$82,,$AI241),INDEX($AU$77:$BA$82,,$AH241), N($AQ$77:$AQ$82&gt;$AO241)) / CI241 / 1000</f>
        <v>0</v>
      </c>
      <c r="CK241" s="232">
        <f t="shared" si="260"/>
        <v>30</v>
      </c>
      <c r="CL241" s="230">
        <f t="shared" si="420"/>
        <v>43</v>
      </c>
      <c r="CM241" s="235">
        <f t="shared" si="421"/>
        <v>3.5018750000000001</v>
      </c>
      <c r="CN241" s="235" cm="1">
        <f t="array" ref="CN241">$BI241 * IF($AH241&lt;=2,
SUMPRODUCT(INDEX($AR$72:$AT$76,,$AI241), INDEX($AU$72:$BA$76,,$AH241), 1 / ($BB$72:$BB$76*CM241 + (1-$BB$72:$BB$76)*CI241), N($AQ$72:$AQ$76&gt;$AO241)),
SUMPRODUCT(INDEX($AR$67:$AT$76,,$AI241), INDEX($AU$67:$BA$76,,$AH241), 1 / ($BC$67:$BC$76*CM241 + (1-$BC$67:$BC$76)*CI241), N($AQ$67:$AQ$76&gt;$AO241))
) / 1000</f>
        <v>0</v>
      </c>
      <c r="CO241" s="232">
        <f t="shared" si="263"/>
        <v>25</v>
      </c>
      <c r="CP241" s="230">
        <f t="shared" si="422"/>
        <v>38</v>
      </c>
      <c r="CQ241" s="235">
        <f t="shared" si="423"/>
        <v>4.0666935483870965</v>
      </c>
      <c r="CR241" s="235" cm="1">
        <f t="array" ref="CR241">$BI241 * IF($AH241&lt;=2,
SUMPRODUCT(INDEX($AR$67:$AT$71,,$AI241), INDEX($AU$67:$BA$71,,$AH241), 1 / ($BB$67:$BB$71*CQ241 + (1-$BB$67:$BB$71)*CM241), N($AQ$67:$AQ$71&gt;$AO241)),
SUMPRODUCT(INDEX($AR$57:$AT$66,,$AI241), INDEX($AU$57:$BA$66,,$AH241), 1 / ($BC$57:$BC$66*CQ241 + (1-$BC$57:$BC$66)*CM241), N($AQ$57:$AQ$66&gt;$AO241))
) / 1000</f>
        <v>0</v>
      </c>
      <c r="CS241" s="232">
        <f t="shared" si="266"/>
        <v>20</v>
      </c>
      <c r="CT241" s="230">
        <f t="shared" si="424"/>
        <v>33</v>
      </c>
      <c r="CU241" s="235">
        <f t="shared" si="425"/>
        <v>4.8487499999999999</v>
      </c>
      <c r="CV241" s="235" cm="1">
        <f t="array" ref="CV241">$BI241 * IF($AH241&lt;=2,
SUMPRODUCT(INDEX($AR$62:$AT$66,,$AI241), INDEX($AU$62:$BA$66,,$AH241), 1 / ($BB$62:$BB$66*CU241 + (1-$BB$62:$BB$66)*CQ241), N($AQ$62:$AQ$66&gt;$AO241)),
SUMPRODUCT(INDEX($AR$47:$AT$56,,$AI241), INDEX($AU$47:$BA$56,,$AH241), 1 / ($BC$47:$BC$56*CU241 + (1-$BC$47:$BC$56)*CQ241), N($AQ$47:$AQ$56&gt;$AO241))
) / 1000</f>
        <v>0</v>
      </c>
      <c r="CW241" s="235" cm="1">
        <f t="array" ref="CW241">$BI241 * IF($AH241&lt;=2,
SUMPRODUCT(INDEX($AR$23:$AT$61,,$AI241), INDEX($AU$23:$BA$61,,$AH241), 1 / ($BB$23:$BB$61*CU241), N($AQ$23:$AQ$61&gt;$AO241)),
SUMPRODUCT(INDEX($AR$23:$AT$46,,$AI241), INDEX($AU$23:$BA$46,,$AH241), 1 / ($BC$23:$BC$46*CU241), N($AQ$23:$AQ$46&gt;$AO241))
) / 1000</f>
        <v>0</v>
      </c>
      <c r="CX241" s="230">
        <f t="shared" si="426"/>
        <v>0</v>
      </c>
      <c r="CY241" s="238"/>
    </row>
    <row r="242" spans="1:103" s="76" customFormat="1" ht="14.25" customHeight="1" x14ac:dyDescent="0.2">
      <c r="A242" s="231" t="b">
        <f t="shared" si="229"/>
        <v>0</v>
      </c>
      <c r="B242" s="245">
        <v>220</v>
      </c>
      <c r="C242" s="258"/>
      <c r="D242" s="258"/>
      <c r="E242" s="246"/>
      <c r="F242" s="247" t="str">
        <f>IF(ISBLANK(E242), "", VLOOKUP(E242, Z!$A$2:$C$4127, 3, FALSE))</f>
        <v/>
      </c>
      <c r="G242" s="248"/>
      <c r="H242" s="248"/>
      <c r="I242" s="249"/>
      <c r="J242" s="250"/>
      <c r="K242" s="259"/>
      <c r="L242" s="260"/>
      <c r="M242" s="252" t="str" cm="1">
        <f t="array" ref="M242">INDEX(Trad, 53, $A$20)</f>
        <v>Verschmutzt</v>
      </c>
      <c r="N242" s="253"/>
      <c r="O242" s="253"/>
      <c r="P242" s="254"/>
      <c r="Q242" s="251"/>
      <c r="R242" s="251"/>
      <c r="S242" s="264">
        <f t="shared" si="401"/>
        <v>0</v>
      </c>
      <c r="T242" s="252" t="str" cm="1">
        <f t="array" ref="T242">INDEX(Trad, 52, $A$20)</f>
        <v>Sauber</v>
      </c>
      <c r="U242" s="253"/>
      <c r="V242" s="253"/>
      <c r="W242" s="254"/>
      <c r="X242" s="251"/>
      <c r="Y242" s="251"/>
      <c r="Z242" s="264">
        <f t="shared" si="402"/>
        <v>0</v>
      </c>
      <c r="AA242" s="261"/>
      <c r="AB242" s="258"/>
      <c r="AC242" s="246"/>
      <c r="AD242" s="247" t="str">
        <f>IF(ISBLANK(AC242), "", VLOOKUP(AC242, Z!$A$2:$C$4127, 3, FALSE))</f>
        <v/>
      </c>
      <c r="AE242" s="262"/>
      <c r="AF242" s="263">
        <f t="shared" si="403"/>
        <v>0</v>
      </c>
      <c r="AG242" s="238"/>
      <c r="AH242" s="229">
        <f t="shared" si="427"/>
        <v>1</v>
      </c>
      <c r="AI242" s="229">
        <f t="shared" si="428"/>
        <v>1</v>
      </c>
      <c r="AJ242" s="229">
        <f t="shared" si="429"/>
        <v>0</v>
      </c>
      <c r="AK242" s="229">
        <v>0</v>
      </c>
      <c r="AL242" s="229">
        <v>0</v>
      </c>
      <c r="AM242" s="229">
        <v>1</v>
      </c>
      <c r="AN242" s="229">
        <v>0</v>
      </c>
      <c r="AO242" s="229">
        <f t="shared" si="404"/>
        <v>-100</v>
      </c>
      <c r="AP242" s="238"/>
      <c r="AQ242" s="255"/>
      <c r="AR242" s="255"/>
      <c r="AS242" s="256"/>
      <c r="AT242" s="256"/>
      <c r="AU242" s="256"/>
      <c r="AV242" s="256"/>
      <c r="AW242" s="256"/>
      <c r="AX242" s="256"/>
      <c r="AY242" s="256"/>
      <c r="AZ242" s="256"/>
      <c r="BA242" s="256"/>
      <c r="BB242" s="256"/>
      <c r="BC242" s="256"/>
      <c r="BD242" s="238"/>
      <c r="BE242" s="229" cm="1">
        <f t="array" ref="BE242">IF(ISBLANK(R242), INDEX(Use, $AH242, 4) - AM242*INDEX(Use, $AH242, 6), R242)</f>
        <v>5</v>
      </c>
      <c r="BF242" s="229">
        <f t="shared" si="405"/>
        <v>30</v>
      </c>
      <c r="BG242" s="229">
        <f t="shared" si="241"/>
        <v>13</v>
      </c>
      <c r="BH242" s="229">
        <f t="shared" si="242"/>
        <v>0</v>
      </c>
      <c r="BI242" s="234" cm="1">
        <f t="array" ref="BI242">K242/IF($L242&gt;0, INDEX($AU$23:$BA$77, $L242+20, $AH242), 1)</f>
        <v>0</v>
      </c>
      <c r="BJ242" s="230">
        <f t="shared" si="406"/>
        <v>0</v>
      </c>
      <c r="BK242" s="229">
        <v>35</v>
      </c>
      <c r="BL242" s="230">
        <f t="shared" si="407"/>
        <v>48</v>
      </c>
      <c r="BM242" s="235">
        <f t="shared" si="408"/>
        <v>2.9108720930232557</v>
      </c>
      <c r="BN242" s="235" cm="1">
        <f t="array" ref="BN242">$BI242 * SUMPRODUCT(INDEX($AR$77:$AT$82,,$AI242),INDEX($AU$77:$BA$82,,$AH242), N($AQ$77:$AQ$82&gt;$AO242)) / BM242 / 1000</f>
        <v>0</v>
      </c>
      <c r="BO242" s="232">
        <f t="shared" si="246"/>
        <v>30</v>
      </c>
      <c r="BP242" s="230">
        <f t="shared" si="409"/>
        <v>43</v>
      </c>
      <c r="BQ242" s="235">
        <f t="shared" si="410"/>
        <v>3.2938815789473681</v>
      </c>
      <c r="BR242" s="235" cm="1">
        <f t="array" ref="BR242">$BI242 * IF($AH242&lt;=2,
SUMPRODUCT(INDEX($AR$72:$AT$76,,$AI242), INDEX($AU$72:$BA$76,,$AH242), 1 / ($BB$72:$BB$76*BQ242 + (1-$BB$72:$BB$76)*BM242), N($AQ$72:$AQ$76&gt;$AO242)),
SUMPRODUCT(INDEX($AR$67:$AT$76,,$AI242), INDEX($AU$67:$BA$76,,$AH242), 1 / ($BC$67:$BC$76*BQ242 + (1-$BC$67:$BC$76)*BM242), N($AQ$67:$AQ$76&gt;$AO242))
) / 1000</f>
        <v>0</v>
      </c>
      <c r="BS242" s="232">
        <f t="shared" si="249"/>
        <v>25</v>
      </c>
      <c r="BT242" s="230">
        <f t="shared" si="411"/>
        <v>38</v>
      </c>
      <c r="BU242" s="235">
        <f t="shared" si="412"/>
        <v>3.792954545454545</v>
      </c>
      <c r="BV242" s="235" cm="1">
        <f t="array" ref="BV242">$BI242 * IF($AH242&lt;=2,
SUMPRODUCT(INDEX($AR$67:$AT$71,,$AI242), INDEX($AU$67:$BA$71,,$AH242), 1 / ($BB$67:$BB$71*BU242 + (1-$BB$67:$BB$71)*BQ242), N($AQ$67:$AQ$71&gt;$AO242)),
SUMPRODUCT(INDEX($AR$57:$AT$66,,$AI242), INDEX($AU$57:$BA$66,,$AH242), 1 / ($BC$57:$BC$66*BU242 + (1-$BC$57:$BC$66)*BQ242), N($AQ$57:$AQ$66&gt;$AO242))
) / 1000</f>
        <v>0</v>
      </c>
      <c r="BW242" s="232">
        <f t="shared" si="252"/>
        <v>20</v>
      </c>
      <c r="BX242" s="230">
        <f t="shared" si="413"/>
        <v>33</v>
      </c>
      <c r="BY242" s="235">
        <f t="shared" si="414"/>
        <v>4.4702678571428569</v>
      </c>
      <c r="BZ242" s="235" cm="1">
        <f t="array" ref="BZ242">$BI242 * IF($AH242&lt;=2,
SUMPRODUCT(INDEX($AR$62:$AT$66,,$AI242), INDEX($AU$62:$BA$66,,$AH242), 1 / ($BB$62:$BB$66*BY242 + (1-$BB$62:$BB$66)*BU242), N($AQ$62:$AQ$66&gt;$AO242)),
SUMPRODUCT(INDEX($AR$47:$AT$56,,$AI242), INDEX($AU$47:$BA$56,,$AH242), 1 / ($BC$47:$BC$56*BY242 + (1-$BC$47:$BC$56)*BU242), N($AQ$47:$AQ$56&gt;$AO242))
) / 1000</f>
        <v>0</v>
      </c>
      <c r="CA242" s="235" cm="1">
        <f t="array" ref="CA242">$BI242 * IF($AH242&lt;=2,
SUMPRODUCT(INDEX($AR$23:$AT$61,,$AI242), INDEX($AU$23:$BA$61,,$AH242), 1 / ($BB$23:$BB$61*BY242), N($AQ$23:$AQ$61&gt;$AO242)),
SUMPRODUCT(INDEX($AR$23:$AT$46,,$AI242), INDEX($AU$23:$BA$46,,$AH242), 1 / ($BC$23:$BC$46*BY242), N($AQ$23:$AQ$46&gt;$AO242))
) / 1000</f>
        <v>0</v>
      </c>
      <c r="CB242" s="230">
        <f t="shared" si="415"/>
        <v>0</v>
      </c>
      <c r="CC242" s="238"/>
      <c r="CD242" s="229" cm="1">
        <f t="array" ref="CD242">IF(ISBLANK(Y242), INDEX(Use, $AH242, 4) - AN242*INDEX(Use, $AH242, 6) - (Q242-X242), Y242)</f>
        <v>7</v>
      </c>
      <c r="CE242" s="229">
        <f t="shared" si="416"/>
        <v>32</v>
      </c>
      <c r="CF242" s="230">
        <f t="shared" si="417"/>
        <v>0</v>
      </c>
      <c r="CG242" s="229">
        <v>35</v>
      </c>
      <c r="CH242" s="230">
        <f t="shared" si="418"/>
        <v>48</v>
      </c>
      <c r="CI242" s="235">
        <f t="shared" si="419"/>
        <v>3.0748170731707316</v>
      </c>
      <c r="CJ242" s="235" cm="1">
        <f t="array" ref="CJ242">$BI242 * SUMPRODUCT(INDEX($AR$77:$AT$82,,$AI242),INDEX($AU$77:$BA$82,,$AH242), N($AQ$77:$AQ$82&gt;$AO242)) / CI242 / 1000</f>
        <v>0</v>
      </c>
      <c r="CK242" s="232">
        <f t="shared" si="260"/>
        <v>30</v>
      </c>
      <c r="CL242" s="230">
        <f t="shared" si="420"/>
        <v>43</v>
      </c>
      <c r="CM242" s="235">
        <f t="shared" si="421"/>
        <v>3.5018750000000001</v>
      </c>
      <c r="CN242" s="235" cm="1">
        <f t="array" ref="CN242">$BI242 * IF($AH242&lt;=2,
SUMPRODUCT(INDEX($AR$72:$AT$76,,$AI242), INDEX($AU$72:$BA$76,,$AH242), 1 / ($BB$72:$BB$76*CM242 + (1-$BB$72:$BB$76)*CI242), N($AQ$72:$AQ$76&gt;$AO242)),
SUMPRODUCT(INDEX($AR$67:$AT$76,,$AI242), INDEX($AU$67:$BA$76,,$AH242), 1 / ($BC$67:$BC$76*CM242 + (1-$BC$67:$BC$76)*CI242), N($AQ$67:$AQ$76&gt;$AO242))
) / 1000</f>
        <v>0</v>
      </c>
      <c r="CO242" s="232">
        <f t="shared" si="263"/>
        <v>25</v>
      </c>
      <c r="CP242" s="230">
        <f t="shared" si="422"/>
        <v>38</v>
      </c>
      <c r="CQ242" s="235">
        <f t="shared" si="423"/>
        <v>4.0666935483870965</v>
      </c>
      <c r="CR242" s="235" cm="1">
        <f t="array" ref="CR242">$BI242 * IF($AH242&lt;=2,
SUMPRODUCT(INDEX($AR$67:$AT$71,,$AI242), INDEX($AU$67:$BA$71,,$AH242), 1 / ($BB$67:$BB$71*CQ242 + (1-$BB$67:$BB$71)*CM242), N($AQ$67:$AQ$71&gt;$AO242)),
SUMPRODUCT(INDEX($AR$57:$AT$66,,$AI242), INDEX($AU$57:$BA$66,,$AH242), 1 / ($BC$57:$BC$66*CQ242 + (1-$BC$57:$BC$66)*CM242), N($AQ$57:$AQ$66&gt;$AO242))
) / 1000</f>
        <v>0</v>
      </c>
      <c r="CS242" s="232">
        <f t="shared" si="266"/>
        <v>20</v>
      </c>
      <c r="CT242" s="230">
        <f t="shared" si="424"/>
        <v>33</v>
      </c>
      <c r="CU242" s="235">
        <f t="shared" si="425"/>
        <v>4.8487499999999999</v>
      </c>
      <c r="CV242" s="235" cm="1">
        <f t="array" ref="CV242">$BI242 * IF($AH242&lt;=2,
SUMPRODUCT(INDEX($AR$62:$AT$66,,$AI242), INDEX($AU$62:$BA$66,,$AH242), 1 / ($BB$62:$BB$66*CU242 + (1-$BB$62:$BB$66)*CQ242), N($AQ$62:$AQ$66&gt;$AO242)),
SUMPRODUCT(INDEX($AR$47:$AT$56,,$AI242), INDEX($AU$47:$BA$56,,$AH242), 1 / ($BC$47:$BC$56*CU242 + (1-$BC$47:$BC$56)*CQ242), N($AQ$47:$AQ$56&gt;$AO242))
) / 1000</f>
        <v>0</v>
      </c>
      <c r="CW242" s="235" cm="1">
        <f t="array" ref="CW242">$BI242 * IF($AH242&lt;=2,
SUMPRODUCT(INDEX($AR$23:$AT$61,,$AI242), INDEX($AU$23:$BA$61,,$AH242), 1 / ($BB$23:$BB$61*CU242), N($AQ$23:$AQ$61&gt;$AO242)),
SUMPRODUCT(INDEX($AR$23:$AT$46,,$AI242), INDEX($AU$23:$BA$46,,$AH242), 1 / ($BC$23:$BC$46*CU242), N($AQ$23:$AQ$46&gt;$AO242))
) / 1000</f>
        <v>0</v>
      </c>
      <c r="CX242" s="230">
        <f t="shared" si="426"/>
        <v>0</v>
      </c>
      <c r="CY242" s="238"/>
    </row>
    <row r="243" spans="1:103" s="76" customFormat="1" ht="14.25" customHeight="1" x14ac:dyDescent="0.2">
      <c r="A243" s="231" t="b">
        <f t="shared" si="229"/>
        <v>0</v>
      </c>
      <c r="B243" s="245">
        <v>221</v>
      </c>
      <c r="C243" s="258"/>
      <c r="D243" s="258"/>
      <c r="E243" s="246"/>
      <c r="F243" s="247" t="str">
        <f>IF(ISBLANK(E243), "", VLOOKUP(E243, Z!$A$2:$C$4127, 3, FALSE))</f>
        <v/>
      </c>
      <c r="G243" s="248"/>
      <c r="H243" s="248"/>
      <c r="I243" s="249"/>
      <c r="J243" s="250"/>
      <c r="K243" s="259"/>
      <c r="L243" s="260"/>
      <c r="M243" s="252" t="str" cm="1">
        <f t="array" ref="M243">INDEX(Trad, 53, $A$20)</f>
        <v>Verschmutzt</v>
      </c>
      <c r="N243" s="253"/>
      <c r="O243" s="253"/>
      <c r="P243" s="254"/>
      <c r="Q243" s="251"/>
      <c r="R243" s="251"/>
      <c r="S243" s="264">
        <f t="shared" si="401"/>
        <v>0</v>
      </c>
      <c r="T243" s="252" t="str" cm="1">
        <f t="array" ref="T243">INDEX(Trad, 52, $A$20)</f>
        <v>Sauber</v>
      </c>
      <c r="U243" s="253"/>
      <c r="V243" s="253"/>
      <c r="W243" s="254"/>
      <c r="X243" s="251"/>
      <c r="Y243" s="251"/>
      <c r="Z243" s="264">
        <f t="shared" si="402"/>
        <v>0</v>
      </c>
      <c r="AA243" s="261"/>
      <c r="AB243" s="258"/>
      <c r="AC243" s="246"/>
      <c r="AD243" s="247" t="str">
        <f>IF(ISBLANK(AC243), "", VLOOKUP(AC243, Z!$A$2:$C$4127, 3, FALSE))</f>
        <v/>
      </c>
      <c r="AE243" s="262"/>
      <c r="AF243" s="263">
        <f t="shared" si="403"/>
        <v>0</v>
      </c>
      <c r="AG243" s="238"/>
      <c r="AH243" s="229">
        <f t="shared" si="427"/>
        <v>1</v>
      </c>
      <c r="AI243" s="229">
        <f t="shared" si="428"/>
        <v>1</v>
      </c>
      <c r="AJ243" s="229">
        <f t="shared" si="429"/>
        <v>0</v>
      </c>
      <c r="AK243" s="229">
        <v>0</v>
      </c>
      <c r="AL243" s="229">
        <v>0</v>
      </c>
      <c r="AM243" s="229">
        <v>1</v>
      </c>
      <c r="AN243" s="229">
        <v>0</v>
      </c>
      <c r="AO243" s="229">
        <f t="shared" si="404"/>
        <v>-100</v>
      </c>
      <c r="AP243" s="238"/>
      <c r="AQ243" s="255"/>
      <c r="AR243" s="255"/>
      <c r="AS243" s="256"/>
      <c r="AT243" s="256"/>
      <c r="AU243" s="256"/>
      <c r="AV243" s="256"/>
      <c r="AW243" s="256"/>
      <c r="AX243" s="256"/>
      <c r="AY243" s="256"/>
      <c r="AZ243" s="256"/>
      <c r="BA243" s="256"/>
      <c r="BB243" s="256"/>
      <c r="BC243" s="256"/>
      <c r="BD243" s="238"/>
      <c r="BE243" s="229" cm="1">
        <f t="array" ref="BE243">IF(ISBLANK(R243), INDEX(Use, $AH243, 4) - AM243*INDEX(Use, $AH243, 6), R243)</f>
        <v>5</v>
      </c>
      <c r="BF243" s="229">
        <f t="shared" si="405"/>
        <v>30</v>
      </c>
      <c r="BG243" s="229">
        <f t="shared" si="241"/>
        <v>13</v>
      </c>
      <c r="BH243" s="229">
        <f t="shared" si="242"/>
        <v>0</v>
      </c>
      <c r="BI243" s="234" cm="1">
        <f t="array" ref="BI243">K243/IF($L243&gt;0, INDEX($AU$23:$BA$77, $L243+20, $AH243), 1)</f>
        <v>0</v>
      </c>
      <c r="BJ243" s="230">
        <f t="shared" si="406"/>
        <v>0</v>
      </c>
      <c r="BK243" s="229">
        <v>35</v>
      </c>
      <c r="BL243" s="230">
        <f t="shared" si="407"/>
        <v>48</v>
      </c>
      <c r="BM243" s="235">
        <f t="shared" si="408"/>
        <v>2.9108720930232557</v>
      </c>
      <c r="BN243" s="235" cm="1">
        <f t="array" ref="BN243">$BI243 * SUMPRODUCT(INDEX($AR$77:$AT$82,,$AI243),INDEX($AU$77:$BA$82,,$AH243), N($AQ$77:$AQ$82&gt;$AO243)) / BM243 / 1000</f>
        <v>0</v>
      </c>
      <c r="BO243" s="232">
        <f t="shared" si="246"/>
        <v>30</v>
      </c>
      <c r="BP243" s="230">
        <f t="shared" si="409"/>
        <v>43</v>
      </c>
      <c r="BQ243" s="235">
        <f t="shared" si="410"/>
        <v>3.2938815789473681</v>
      </c>
      <c r="BR243" s="235" cm="1">
        <f t="array" ref="BR243">$BI243 * IF($AH243&lt;=2,
SUMPRODUCT(INDEX($AR$72:$AT$76,,$AI243), INDEX($AU$72:$BA$76,,$AH243), 1 / ($BB$72:$BB$76*BQ243 + (1-$BB$72:$BB$76)*BM243), N($AQ$72:$AQ$76&gt;$AO243)),
SUMPRODUCT(INDEX($AR$67:$AT$76,,$AI243), INDEX($AU$67:$BA$76,,$AH243), 1 / ($BC$67:$BC$76*BQ243 + (1-$BC$67:$BC$76)*BM243), N($AQ$67:$AQ$76&gt;$AO243))
) / 1000</f>
        <v>0</v>
      </c>
      <c r="BS243" s="232">
        <f t="shared" si="249"/>
        <v>25</v>
      </c>
      <c r="BT243" s="230">
        <f t="shared" si="411"/>
        <v>38</v>
      </c>
      <c r="BU243" s="235">
        <f t="shared" si="412"/>
        <v>3.792954545454545</v>
      </c>
      <c r="BV243" s="235" cm="1">
        <f t="array" ref="BV243">$BI243 * IF($AH243&lt;=2,
SUMPRODUCT(INDEX($AR$67:$AT$71,,$AI243), INDEX($AU$67:$BA$71,,$AH243), 1 / ($BB$67:$BB$71*BU243 + (1-$BB$67:$BB$71)*BQ243), N($AQ$67:$AQ$71&gt;$AO243)),
SUMPRODUCT(INDEX($AR$57:$AT$66,,$AI243), INDEX($AU$57:$BA$66,,$AH243), 1 / ($BC$57:$BC$66*BU243 + (1-$BC$57:$BC$66)*BQ243), N($AQ$57:$AQ$66&gt;$AO243))
) / 1000</f>
        <v>0</v>
      </c>
      <c r="BW243" s="232">
        <f t="shared" si="252"/>
        <v>20</v>
      </c>
      <c r="BX243" s="230">
        <f t="shared" si="413"/>
        <v>33</v>
      </c>
      <c r="BY243" s="235">
        <f t="shared" si="414"/>
        <v>4.4702678571428569</v>
      </c>
      <c r="BZ243" s="235" cm="1">
        <f t="array" ref="BZ243">$BI243 * IF($AH243&lt;=2,
SUMPRODUCT(INDEX($AR$62:$AT$66,,$AI243), INDEX($AU$62:$BA$66,,$AH243), 1 / ($BB$62:$BB$66*BY243 + (1-$BB$62:$BB$66)*BU243), N($AQ$62:$AQ$66&gt;$AO243)),
SUMPRODUCT(INDEX($AR$47:$AT$56,,$AI243), INDEX($AU$47:$BA$56,,$AH243), 1 / ($BC$47:$BC$56*BY243 + (1-$BC$47:$BC$56)*BU243), N($AQ$47:$AQ$56&gt;$AO243))
) / 1000</f>
        <v>0</v>
      </c>
      <c r="CA243" s="235" cm="1">
        <f t="array" ref="CA243">$BI243 * IF($AH243&lt;=2,
SUMPRODUCT(INDEX($AR$23:$AT$61,,$AI243), INDEX($AU$23:$BA$61,,$AH243), 1 / ($BB$23:$BB$61*BY243), N($AQ$23:$AQ$61&gt;$AO243)),
SUMPRODUCT(INDEX($AR$23:$AT$46,,$AI243), INDEX($AU$23:$BA$46,,$AH243), 1 / ($BC$23:$BC$46*BY243), N($AQ$23:$AQ$46&gt;$AO243))
) / 1000</f>
        <v>0</v>
      </c>
      <c r="CB243" s="230">
        <f t="shared" si="415"/>
        <v>0</v>
      </c>
      <c r="CC243" s="238"/>
      <c r="CD243" s="229" cm="1">
        <f t="array" ref="CD243">IF(ISBLANK(Y243), INDEX(Use, $AH243, 4) - AN243*INDEX(Use, $AH243, 6) - (Q243-X243), Y243)</f>
        <v>7</v>
      </c>
      <c r="CE243" s="229">
        <f t="shared" si="416"/>
        <v>32</v>
      </c>
      <c r="CF243" s="230">
        <f t="shared" si="417"/>
        <v>0</v>
      </c>
      <c r="CG243" s="229">
        <v>35</v>
      </c>
      <c r="CH243" s="230">
        <f t="shared" si="418"/>
        <v>48</v>
      </c>
      <c r="CI243" s="235">
        <f t="shared" si="419"/>
        <v>3.0748170731707316</v>
      </c>
      <c r="CJ243" s="235" cm="1">
        <f t="array" ref="CJ243">$BI243 * SUMPRODUCT(INDEX($AR$77:$AT$82,,$AI243),INDEX($AU$77:$BA$82,,$AH243), N($AQ$77:$AQ$82&gt;$AO243)) / CI243 / 1000</f>
        <v>0</v>
      </c>
      <c r="CK243" s="232">
        <f t="shared" si="260"/>
        <v>30</v>
      </c>
      <c r="CL243" s="230">
        <f t="shared" si="420"/>
        <v>43</v>
      </c>
      <c r="CM243" s="235">
        <f t="shared" si="421"/>
        <v>3.5018750000000001</v>
      </c>
      <c r="CN243" s="235" cm="1">
        <f t="array" ref="CN243">$BI243 * IF($AH243&lt;=2,
SUMPRODUCT(INDEX($AR$72:$AT$76,,$AI243), INDEX($AU$72:$BA$76,,$AH243), 1 / ($BB$72:$BB$76*CM243 + (1-$BB$72:$BB$76)*CI243), N($AQ$72:$AQ$76&gt;$AO243)),
SUMPRODUCT(INDEX($AR$67:$AT$76,,$AI243), INDEX($AU$67:$BA$76,,$AH243), 1 / ($BC$67:$BC$76*CM243 + (1-$BC$67:$BC$76)*CI243), N($AQ$67:$AQ$76&gt;$AO243))
) / 1000</f>
        <v>0</v>
      </c>
      <c r="CO243" s="232">
        <f t="shared" si="263"/>
        <v>25</v>
      </c>
      <c r="CP243" s="230">
        <f t="shared" si="422"/>
        <v>38</v>
      </c>
      <c r="CQ243" s="235">
        <f t="shared" si="423"/>
        <v>4.0666935483870965</v>
      </c>
      <c r="CR243" s="235" cm="1">
        <f t="array" ref="CR243">$BI243 * IF($AH243&lt;=2,
SUMPRODUCT(INDEX($AR$67:$AT$71,,$AI243), INDEX($AU$67:$BA$71,,$AH243), 1 / ($BB$67:$BB$71*CQ243 + (1-$BB$67:$BB$71)*CM243), N($AQ$67:$AQ$71&gt;$AO243)),
SUMPRODUCT(INDEX($AR$57:$AT$66,,$AI243), INDEX($AU$57:$BA$66,,$AH243), 1 / ($BC$57:$BC$66*CQ243 + (1-$BC$57:$BC$66)*CM243), N($AQ$57:$AQ$66&gt;$AO243))
) / 1000</f>
        <v>0</v>
      </c>
      <c r="CS243" s="232">
        <f t="shared" si="266"/>
        <v>20</v>
      </c>
      <c r="CT243" s="230">
        <f t="shared" si="424"/>
        <v>33</v>
      </c>
      <c r="CU243" s="235">
        <f t="shared" si="425"/>
        <v>4.8487499999999999</v>
      </c>
      <c r="CV243" s="235" cm="1">
        <f t="array" ref="CV243">$BI243 * IF($AH243&lt;=2,
SUMPRODUCT(INDEX($AR$62:$AT$66,,$AI243), INDEX($AU$62:$BA$66,,$AH243), 1 / ($BB$62:$BB$66*CU243 + (1-$BB$62:$BB$66)*CQ243), N($AQ$62:$AQ$66&gt;$AO243)),
SUMPRODUCT(INDEX($AR$47:$AT$56,,$AI243), INDEX($AU$47:$BA$56,,$AH243), 1 / ($BC$47:$BC$56*CU243 + (1-$BC$47:$BC$56)*CQ243), N($AQ$47:$AQ$56&gt;$AO243))
) / 1000</f>
        <v>0</v>
      </c>
      <c r="CW243" s="235" cm="1">
        <f t="array" ref="CW243">$BI243 * IF($AH243&lt;=2,
SUMPRODUCT(INDEX($AR$23:$AT$61,,$AI243), INDEX($AU$23:$BA$61,,$AH243), 1 / ($BB$23:$BB$61*CU243), N($AQ$23:$AQ$61&gt;$AO243)),
SUMPRODUCT(INDEX($AR$23:$AT$46,,$AI243), INDEX($AU$23:$BA$46,,$AH243), 1 / ($BC$23:$BC$46*CU243), N($AQ$23:$AQ$46&gt;$AO243))
) / 1000</f>
        <v>0</v>
      </c>
      <c r="CX243" s="230">
        <f t="shared" si="426"/>
        <v>0</v>
      </c>
      <c r="CY243" s="238"/>
    </row>
    <row r="244" spans="1:103" s="76" customFormat="1" ht="14.25" customHeight="1" x14ac:dyDescent="0.2">
      <c r="A244" s="231" t="b">
        <f t="shared" si="229"/>
        <v>0</v>
      </c>
      <c r="B244" s="245">
        <v>222</v>
      </c>
      <c r="C244" s="258"/>
      <c r="D244" s="258"/>
      <c r="E244" s="246"/>
      <c r="F244" s="247" t="str">
        <f>IF(ISBLANK(E244), "", VLOOKUP(E244, Z!$A$2:$C$4127, 3, FALSE))</f>
        <v/>
      </c>
      <c r="G244" s="248"/>
      <c r="H244" s="248"/>
      <c r="I244" s="249"/>
      <c r="J244" s="250"/>
      <c r="K244" s="259"/>
      <c r="L244" s="260"/>
      <c r="M244" s="252" t="str" cm="1">
        <f t="array" ref="M244">INDEX(Trad, 53, $A$20)</f>
        <v>Verschmutzt</v>
      </c>
      <c r="N244" s="253"/>
      <c r="O244" s="253"/>
      <c r="P244" s="254"/>
      <c r="Q244" s="251"/>
      <c r="R244" s="251"/>
      <c r="S244" s="264">
        <f t="shared" si="401"/>
        <v>0</v>
      </c>
      <c r="T244" s="252" t="str" cm="1">
        <f t="array" ref="T244">INDEX(Trad, 52, $A$20)</f>
        <v>Sauber</v>
      </c>
      <c r="U244" s="253"/>
      <c r="V244" s="253"/>
      <c r="W244" s="254"/>
      <c r="X244" s="251"/>
      <c r="Y244" s="251"/>
      <c r="Z244" s="264">
        <f t="shared" si="402"/>
        <v>0</v>
      </c>
      <c r="AA244" s="261"/>
      <c r="AB244" s="258"/>
      <c r="AC244" s="246"/>
      <c r="AD244" s="247" t="str">
        <f>IF(ISBLANK(AC244), "", VLOOKUP(AC244, Z!$A$2:$C$4127, 3, FALSE))</f>
        <v/>
      </c>
      <c r="AE244" s="262"/>
      <c r="AF244" s="263">
        <f t="shared" si="403"/>
        <v>0</v>
      </c>
      <c r="AG244" s="238"/>
      <c r="AH244" s="229">
        <f t="shared" si="427"/>
        <v>1</v>
      </c>
      <c r="AI244" s="229">
        <f t="shared" si="428"/>
        <v>1</v>
      </c>
      <c r="AJ244" s="229">
        <f t="shared" si="429"/>
        <v>0</v>
      </c>
      <c r="AK244" s="229">
        <v>0</v>
      </c>
      <c r="AL244" s="229">
        <v>0</v>
      </c>
      <c r="AM244" s="229">
        <v>1</v>
      </c>
      <c r="AN244" s="229">
        <v>0</v>
      </c>
      <c r="AO244" s="229">
        <f t="shared" si="404"/>
        <v>-100</v>
      </c>
      <c r="AP244" s="238"/>
      <c r="AQ244" s="255"/>
      <c r="AR244" s="255"/>
      <c r="AS244" s="256"/>
      <c r="AT244" s="256"/>
      <c r="AU244" s="256"/>
      <c r="AV244" s="256"/>
      <c r="AW244" s="256"/>
      <c r="AX244" s="256"/>
      <c r="AY244" s="256"/>
      <c r="AZ244" s="256"/>
      <c r="BA244" s="256"/>
      <c r="BB244" s="256"/>
      <c r="BC244" s="256"/>
      <c r="BD244" s="238"/>
      <c r="BE244" s="229" cm="1">
        <f t="array" ref="BE244">IF(ISBLANK(R244), INDEX(Use, $AH244, 4) - AM244*INDEX(Use, $AH244, 6), R244)</f>
        <v>5</v>
      </c>
      <c r="BF244" s="229">
        <f t="shared" si="405"/>
        <v>30</v>
      </c>
      <c r="BG244" s="229">
        <f t="shared" si="241"/>
        <v>13</v>
      </c>
      <c r="BH244" s="229">
        <f t="shared" si="242"/>
        <v>0</v>
      </c>
      <c r="BI244" s="234" cm="1">
        <f t="array" ref="BI244">K244/IF($L244&gt;0, INDEX($AU$23:$BA$77, $L244+20, $AH244), 1)</f>
        <v>0</v>
      </c>
      <c r="BJ244" s="230">
        <f t="shared" si="406"/>
        <v>0</v>
      </c>
      <c r="BK244" s="229">
        <v>35</v>
      </c>
      <c r="BL244" s="230">
        <f t="shared" si="407"/>
        <v>48</v>
      </c>
      <c r="BM244" s="235">
        <f t="shared" si="408"/>
        <v>2.9108720930232557</v>
      </c>
      <c r="BN244" s="235" cm="1">
        <f t="array" ref="BN244">$BI244 * SUMPRODUCT(INDEX($AR$77:$AT$82,,$AI244),INDEX($AU$77:$BA$82,,$AH244), N($AQ$77:$AQ$82&gt;$AO244)) / BM244 / 1000</f>
        <v>0</v>
      </c>
      <c r="BO244" s="232">
        <f t="shared" si="246"/>
        <v>30</v>
      </c>
      <c r="BP244" s="230">
        <f t="shared" si="409"/>
        <v>43</v>
      </c>
      <c r="BQ244" s="235">
        <f t="shared" si="410"/>
        <v>3.2938815789473681</v>
      </c>
      <c r="BR244" s="235" cm="1">
        <f t="array" ref="BR244">$BI244 * IF($AH244&lt;=2,
SUMPRODUCT(INDEX($AR$72:$AT$76,,$AI244), INDEX($AU$72:$BA$76,,$AH244), 1 / ($BB$72:$BB$76*BQ244 + (1-$BB$72:$BB$76)*BM244), N($AQ$72:$AQ$76&gt;$AO244)),
SUMPRODUCT(INDEX($AR$67:$AT$76,,$AI244), INDEX($AU$67:$BA$76,,$AH244), 1 / ($BC$67:$BC$76*BQ244 + (1-$BC$67:$BC$76)*BM244), N($AQ$67:$AQ$76&gt;$AO244))
) / 1000</f>
        <v>0</v>
      </c>
      <c r="BS244" s="232">
        <f t="shared" si="249"/>
        <v>25</v>
      </c>
      <c r="BT244" s="230">
        <f t="shared" si="411"/>
        <v>38</v>
      </c>
      <c r="BU244" s="235">
        <f t="shared" si="412"/>
        <v>3.792954545454545</v>
      </c>
      <c r="BV244" s="235" cm="1">
        <f t="array" ref="BV244">$BI244 * IF($AH244&lt;=2,
SUMPRODUCT(INDEX($AR$67:$AT$71,,$AI244), INDEX($AU$67:$BA$71,,$AH244), 1 / ($BB$67:$BB$71*BU244 + (1-$BB$67:$BB$71)*BQ244), N($AQ$67:$AQ$71&gt;$AO244)),
SUMPRODUCT(INDEX($AR$57:$AT$66,,$AI244), INDEX($AU$57:$BA$66,,$AH244), 1 / ($BC$57:$BC$66*BU244 + (1-$BC$57:$BC$66)*BQ244), N($AQ$57:$AQ$66&gt;$AO244))
) / 1000</f>
        <v>0</v>
      </c>
      <c r="BW244" s="232">
        <f t="shared" si="252"/>
        <v>20</v>
      </c>
      <c r="BX244" s="230">
        <f t="shared" si="413"/>
        <v>33</v>
      </c>
      <c r="BY244" s="235">
        <f t="shared" si="414"/>
        <v>4.4702678571428569</v>
      </c>
      <c r="BZ244" s="235" cm="1">
        <f t="array" ref="BZ244">$BI244 * IF($AH244&lt;=2,
SUMPRODUCT(INDEX($AR$62:$AT$66,,$AI244), INDEX($AU$62:$BA$66,,$AH244), 1 / ($BB$62:$BB$66*BY244 + (1-$BB$62:$BB$66)*BU244), N($AQ$62:$AQ$66&gt;$AO244)),
SUMPRODUCT(INDEX($AR$47:$AT$56,,$AI244), INDEX($AU$47:$BA$56,,$AH244), 1 / ($BC$47:$BC$56*BY244 + (1-$BC$47:$BC$56)*BU244), N($AQ$47:$AQ$56&gt;$AO244))
) / 1000</f>
        <v>0</v>
      </c>
      <c r="CA244" s="235" cm="1">
        <f t="array" ref="CA244">$BI244 * IF($AH244&lt;=2,
SUMPRODUCT(INDEX($AR$23:$AT$61,,$AI244), INDEX($AU$23:$BA$61,,$AH244), 1 / ($BB$23:$BB$61*BY244), N($AQ$23:$AQ$61&gt;$AO244)),
SUMPRODUCT(INDEX($AR$23:$AT$46,,$AI244), INDEX($AU$23:$BA$46,,$AH244), 1 / ($BC$23:$BC$46*BY244), N($AQ$23:$AQ$46&gt;$AO244))
) / 1000</f>
        <v>0</v>
      </c>
      <c r="CB244" s="230">
        <f t="shared" si="415"/>
        <v>0</v>
      </c>
      <c r="CC244" s="238"/>
      <c r="CD244" s="229" cm="1">
        <f t="array" ref="CD244">IF(ISBLANK(Y244), INDEX(Use, $AH244, 4) - AN244*INDEX(Use, $AH244, 6) - (Q244-X244), Y244)</f>
        <v>7</v>
      </c>
      <c r="CE244" s="229">
        <f t="shared" si="416"/>
        <v>32</v>
      </c>
      <c r="CF244" s="230">
        <f t="shared" si="417"/>
        <v>0</v>
      </c>
      <c r="CG244" s="229">
        <v>35</v>
      </c>
      <c r="CH244" s="230">
        <f t="shared" si="418"/>
        <v>48</v>
      </c>
      <c r="CI244" s="235">
        <f t="shared" si="419"/>
        <v>3.0748170731707316</v>
      </c>
      <c r="CJ244" s="235" cm="1">
        <f t="array" ref="CJ244">$BI244 * SUMPRODUCT(INDEX($AR$77:$AT$82,,$AI244),INDEX($AU$77:$BA$82,,$AH244), N($AQ$77:$AQ$82&gt;$AO244)) / CI244 / 1000</f>
        <v>0</v>
      </c>
      <c r="CK244" s="232">
        <f t="shared" si="260"/>
        <v>30</v>
      </c>
      <c r="CL244" s="230">
        <f t="shared" si="420"/>
        <v>43</v>
      </c>
      <c r="CM244" s="235">
        <f t="shared" si="421"/>
        <v>3.5018750000000001</v>
      </c>
      <c r="CN244" s="235" cm="1">
        <f t="array" ref="CN244">$BI244 * IF($AH244&lt;=2,
SUMPRODUCT(INDEX($AR$72:$AT$76,,$AI244), INDEX($AU$72:$BA$76,,$AH244), 1 / ($BB$72:$BB$76*CM244 + (1-$BB$72:$BB$76)*CI244), N($AQ$72:$AQ$76&gt;$AO244)),
SUMPRODUCT(INDEX($AR$67:$AT$76,,$AI244), INDEX($AU$67:$BA$76,,$AH244), 1 / ($BC$67:$BC$76*CM244 + (1-$BC$67:$BC$76)*CI244), N($AQ$67:$AQ$76&gt;$AO244))
) / 1000</f>
        <v>0</v>
      </c>
      <c r="CO244" s="232">
        <f t="shared" si="263"/>
        <v>25</v>
      </c>
      <c r="CP244" s="230">
        <f t="shared" si="422"/>
        <v>38</v>
      </c>
      <c r="CQ244" s="235">
        <f t="shared" si="423"/>
        <v>4.0666935483870965</v>
      </c>
      <c r="CR244" s="235" cm="1">
        <f t="array" ref="CR244">$BI244 * IF($AH244&lt;=2,
SUMPRODUCT(INDEX($AR$67:$AT$71,,$AI244), INDEX($AU$67:$BA$71,,$AH244), 1 / ($BB$67:$BB$71*CQ244 + (1-$BB$67:$BB$71)*CM244), N($AQ$67:$AQ$71&gt;$AO244)),
SUMPRODUCT(INDEX($AR$57:$AT$66,,$AI244), INDEX($AU$57:$BA$66,,$AH244), 1 / ($BC$57:$BC$66*CQ244 + (1-$BC$57:$BC$66)*CM244), N($AQ$57:$AQ$66&gt;$AO244))
) / 1000</f>
        <v>0</v>
      </c>
      <c r="CS244" s="232">
        <f t="shared" si="266"/>
        <v>20</v>
      </c>
      <c r="CT244" s="230">
        <f t="shared" si="424"/>
        <v>33</v>
      </c>
      <c r="CU244" s="235">
        <f t="shared" si="425"/>
        <v>4.8487499999999999</v>
      </c>
      <c r="CV244" s="235" cm="1">
        <f t="array" ref="CV244">$BI244 * IF($AH244&lt;=2,
SUMPRODUCT(INDEX($AR$62:$AT$66,,$AI244), INDEX($AU$62:$BA$66,,$AH244), 1 / ($BB$62:$BB$66*CU244 + (1-$BB$62:$BB$66)*CQ244), N($AQ$62:$AQ$66&gt;$AO244)),
SUMPRODUCT(INDEX($AR$47:$AT$56,,$AI244), INDEX($AU$47:$BA$56,,$AH244), 1 / ($BC$47:$BC$56*CU244 + (1-$BC$47:$BC$56)*CQ244), N($AQ$47:$AQ$56&gt;$AO244))
) / 1000</f>
        <v>0</v>
      </c>
      <c r="CW244" s="235" cm="1">
        <f t="array" ref="CW244">$BI244 * IF($AH244&lt;=2,
SUMPRODUCT(INDEX($AR$23:$AT$61,,$AI244), INDEX($AU$23:$BA$61,,$AH244), 1 / ($BB$23:$BB$61*CU244), N($AQ$23:$AQ$61&gt;$AO244)),
SUMPRODUCT(INDEX($AR$23:$AT$46,,$AI244), INDEX($AU$23:$BA$46,,$AH244), 1 / ($BC$23:$BC$46*CU244), N($AQ$23:$AQ$46&gt;$AO244))
) / 1000</f>
        <v>0</v>
      </c>
      <c r="CX244" s="230">
        <f t="shared" si="426"/>
        <v>0</v>
      </c>
      <c r="CY244" s="238"/>
    </row>
    <row r="245" spans="1:103" s="76" customFormat="1" ht="14.25" customHeight="1" x14ac:dyDescent="0.2">
      <c r="A245" s="231" t="b">
        <f t="shared" si="229"/>
        <v>0</v>
      </c>
      <c r="B245" s="245">
        <v>223</v>
      </c>
      <c r="C245" s="258"/>
      <c r="D245" s="258"/>
      <c r="E245" s="246"/>
      <c r="F245" s="247" t="str">
        <f>IF(ISBLANK(E245), "", VLOOKUP(E245, Z!$A$2:$C$4127, 3, FALSE))</f>
        <v/>
      </c>
      <c r="G245" s="248"/>
      <c r="H245" s="248"/>
      <c r="I245" s="249"/>
      <c r="J245" s="250"/>
      <c r="K245" s="259"/>
      <c r="L245" s="260"/>
      <c r="M245" s="252" t="str" cm="1">
        <f t="array" ref="M245">INDEX(Trad, 53, $A$20)</f>
        <v>Verschmutzt</v>
      </c>
      <c r="N245" s="253"/>
      <c r="O245" s="253"/>
      <c r="P245" s="254"/>
      <c r="Q245" s="251"/>
      <c r="R245" s="251"/>
      <c r="S245" s="264">
        <f t="shared" si="401"/>
        <v>0</v>
      </c>
      <c r="T245" s="252" t="str" cm="1">
        <f t="array" ref="T245">INDEX(Trad, 52, $A$20)</f>
        <v>Sauber</v>
      </c>
      <c r="U245" s="253"/>
      <c r="V245" s="253"/>
      <c r="W245" s="254"/>
      <c r="X245" s="251"/>
      <c r="Y245" s="251"/>
      <c r="Z245" s="264">
        <f t="shared" si="402"/>
        <v>0</v>
      </c>
      <c r="AA245" s="261"/>
      <c r="AB245" s="258"/>
      <c r="AC245" s="246"/>
      <c r="AD245" s="247" t="str">
        <f>IF(ISBLANK(AC245), "", VLOOKUP(AC245, Z!$A$2:$C$4127, 3, FALSE))</f>
        <v/>
      </c>
      <c r="AE245" s="262"/>
      <c r="AF245" s="263">
        <f t="shared" si="403"/>
        <v>0</v>
      </c>
      <c r="AG245" s="238"/>
      <c r="AH245" s="229">
        <f t="shared" si="427"/>
        <v>1</v>
      </c>
      <c r="AI245" s="229">
        <f t="shared" si="428"/>
        <v>1</v>
      </c>
      <c r="AJ245" s="229">
        <f t="shared" si="429"/>
        <v>0</v>
      </c>
      <c r="AK245" s="229">
        <v>0</v>
      </c>
      <c r="AL245" s="229">
        <v>0</v>
      </c>
      <c r="AM245" s="229">
        <v>1</v>
      </c>
      <c r="AN245" s="229">
        <v>0</v>
      </c>
      <c r="AO245" s="229">
        <f t="shared" si="404"/>
        <v>-100</v>
      </c>
      <c r="AP245" s="238"/>
      <c r="AQ245" s="255"/>
      <c r="AR245" s="255"/>
      <c r="AS245" s="256"/>
      <c r="AT245" s="256"/>
      <c r="AU245" s="256"/>
      <c r="AV245" s="256"/>
      <c r="AW245" s="256"/>
      <c r="AX245" s="256"/>
      <c r="AY245" s="256"/>
      <c r="AZ245" s="256"/>
      <c r="BA245" s="256"/>
      <c r="BB245" s="256"/>
      <c r="BC245" s="256"/>
      <c r="BD245" s="238"/>
      <c r="BE245" s="229" cm="1">
        <f t="array" ref="BE245">IF(ISBLANK(R245), INDEX(Use, $AH245, 4) - AM245*INDEX(Use, $AH245, 6), R245)</f>
        <v>5</v>
      </c>
      <c r="BF245" s="229">
        <f t="shared" si="405"/>
        <v>30</v>
      </c>
      <c r="BG245" s="229">
        <f t="shared" si="241"/>
        <v>13</v>
      </c>
      <c r="BH245" s="229">
        <f t="shared" si="242"/>
        <v>0</v>
      </c>
      <c r="BI245" s="234" cm="1">
        <f t="array" ref="BI245">K245/IF($L245&gt;0, INDEX($AU$23:$BA$77, $L245+20, $AH245), 1)</f>
        <v>0</v>
      </c>
      <c r="BJ245" s="230">
        <f t="shared" si="406"/>
        <v>0</v>
      </c>
      <c r="BK245" s="229">
        <v>35</v>
      </c>
      <c r="BL245" s="230">
        <f t="shared" si="407"/>
        <v>48</v>
      </c>
      <c r="BM245" s="235">
        <f t="shared" si="408"/>
        <v>2.9108720930232557</v>
      </c>
      <c r="BN245" s="235" cm="1">
        <f t="array" ref="BN245">$BI245 * SUMPRODUCT(INDEX($AR$77:$AT$82,,$AI245),INDEX($AU$77:$BA$82,,$AH245), N($AQ$77:$AQ$82&gt;$AO245)) / BM245 / 1000</f>
        <v>0</v>
      </c>
      <c r="BO245" s="232">
        <f t="shared" si="246"/>
        <v>30</v>
      </c>
      <c r="BP245" s="230">
        <f t="shared" si="409"/>
        <v>43</v>
      </c>
      <c r="BQ245" s="235">
        <f t="shared" si="410"/>
        <v>3.2938815789473681</v>
      </c>
      <c r="BR245" s="235" cm="1">
        <f t="array" ref="BR245">$BI245 * IF($AH245&lt;=2,
SUMPRODUCT(INDEX($AR$72:$AT$76,,$AI245), INDEX($AU$72:$BA$76,,$AH245), 1 / ($BB$72:$BB$76*BQ245 + (1-$BB$72:$BB$76)*BM245), N($AQ$72:$AQ$76&gt;$AO245)),
SUMPRODUCT(INDEX($AR$67:$AT$76,,$AI245), INDEX($AU$67:$BA$76,,$AH245), 1 / ($BC$67:$BC$76*BQ245 + (1-$BC$67:$BC$76)*BM245), N($AQ$67:$AQ$76&gt;$AO245))
) / 1000</f>
        <v>0</v>
      </c>
      <c r="BS245" s="232">
        <f t="shared" si="249"/>
        <v>25</v>
      </c>
      <c r="BT245" s="230">
        <f t="shared" si="411"/>
        <v>38</v>
      </c>
      <c r="BU245" s="235">
        <f t="shared" si="412"/>
        <v>3.792954545454545</v>
      </c>
      <c r="BV245" s="235" cm="1">
        <f t="array" ref="BV245">$BI245 * IF($AH245&lt;=2,
SUMPRODUCT(INDEX($AR$67:$AT$71,,$AI245), INDEX($AU$67:$BA$71,,$AH245), 1 / ($BB$67:$BB$71*BU245 + (1-$BB$67:$BB$71)*BQ245), N($AQ$67:$AQ$71&gt;$AO245)),
SUMPRODUCT(INDEX($AR$57:$AT$66,,$AI245), INDEX($AU$57:$BA$66,,$AH245), 1 / ($BC$57:$BC$66*BU245 + (1-$BC$57:$BC$66)*BQ245), N($AQ$57:$AQ$66&gt;$AO245))
) / 1000</f>
        <v>0</v>
      </c>
      <c r="BW245" s="232">
        <f t="shared" si="252"/>
        <v>20</v>
      </c>
      <c r="BX245" s="230">
        <f t="shared" si="413"/>
        <v>33</v>
      </c>
      <c r="BY245" s="235">
        <f t="shared" si="414"/>
        <v>4.4702678571428569</v>
      </c>
      <c r="BZ245" s="235" cm="1">
        <f t="array" ref="BZ245">$BI245 * IF($AH245&lt;=2,
SUMPRODUCT(INDEX($AR$62:$AT$66,,$AI245), INDEX($AU$62:$BA$66,,$AH245), 1 / ($BB$62:$BB$66*BY245 + (1-$BB$62:$BB$66)*BU245), N($AQ$62:$AQ$66&gt;$AO245)),
SUMPRODUCT(INDEX($AR$47:$AT$56,,$AI245), INDEX($AU$47:$BA$56,,$AH245), 1 / ($BC$47:$BC$56*BY245 + (1-$BC$47:$BC$56)*BU245), N($AQ$47:$AQ$56&gt;$AO245))
) / 1000</f>
        <v>0</v>
      </c>
      <c r="CA245" s="235" cm="1">
        <f t="array" ref="CA245">$BI245 * IF($AH245&lt;=2,
SUMPRODUCT(INDEX($AR$23:$AT$61,,$AI245), INDEX($AU$23:$BA$61,,$AH245), 1 / ($BB$23:$BB$61*BY245), N($AQ$23:$AQ$61&gt;$AO245)),
SUMPRODUCT(INDEX($AR$23:$AT$46,,$AI245), INDEX($AU$23:$BA$46,,$AH245), 1 / ($BC$23:$BC$46*BY245), N($AQ$23:$AQ$46&gt;$AO245))
) / 1000</f>
        <v>0</v>
      </c>
      <c r="CB245" s="230">
        <f t="shared" si="415"/>
        <v>0</v>
      </c>
      <c r="CC245" s="238"/>
      <c r="CD245" s="229" cm="1">
        <f t="array" ref="CD245">IF(ISBLANK(Y245), INDEX(Use, $AH245, 4) - AN245*INDEX(Use, $AH245, 6) - (Q245-X245), Y245)</f>
        <v>7</v>
      </c>
      <c r="CE245" s="229">
        <f t="shared" si="416"/>
        <v>32</v>
      </c>
      <c r="CF245" s="230">
        <f t="shared" si="417"/>
        <v>0</v>
      </c>
      <c r="CG245" s="229">
        <v>35</v>
      </c>
      <c r="CH245" s="230">
        <f t="shared" si="418"/>
        <v>48</v>
      </c>
      <c r="CI245" s="235">
        <f t="shared" si="419"/>
        <v>3.0748170731707316</v>
      </c>
      <c r="CJ245" s="235" cm="1">
        <f t="array" ref="CJ245">$BI245 * SUMPRODUCT(INDEX($AR$77:$AT$82,,$AI245),INDEX($AU$77:$BA$82,,$AH245), N($AQ$77:$AQ$82&gt;$AO245)) / CI245 / 1000</f>
        <v>0</v>
      </c>
      <c r="CK245" s="232">
        <f t="shared" si="260"/>
        <v>30</v>
      </c>
      <c r="CL245" s="230">
        <f t="shared" si="420"/>
        <v>43</v>
      </c>
      <c r="CM245" s="235">
        <f t="shared" si="421"/>
        <v>3.5018750000000001</v>
      </c>
      <c r="CN245" s="235" cm="1">
        <f t="array" ref="CN245">$BI245 * IF($AH245&lt;=2,
SUMPRODUCT(INDEX($AR$72:$AT$76,,$AI245), INDEX($AU$72:$BA$76,,$AH245), 1 / ($BB$72:$BB$76*CM245 + (1-$BB$72:$BB$76)*CI245), N($AQ$72:$AQ$76&gt;$AO245)),
SUMPRODUCT(INDEX($AR$67:$AT$76,,$AI245), INDEX($AU$67:$BA$76,,$AH245), 1 / ($BC$67:$BC$76*CM245 + (1-$BC$67:$BC$76)*CI245), N($AQ$67:$AQ$76&gt;$AO245))
) / 1000</f>
        <v>0</v>
      </c>
      <c r="CO245" s="232">
        <f t="shared" si="263"/>
        <v>25</v>
      </c>
      <c r="CP245" s="230">
        <f t="shared" si="422"/>
        <v>38</v>
      </c>
      <c r="CQ245" s="235">
        <f t="shared" si="423"/>
        <v>4.0666935483870965</v>
      </c>
      <c r="CR245" s="235" cm="1">
        <f t="array" ref="CR245">$BI245 * IF($AH245&lt;=2,
SUMPRODUCT(INDEX($AR$67:$AT$71,,$AI245), INDEX($AU$67:$BA$71,,$AH245), 1 / ($BB$67:$BB$71*CQ245 + (1-$BB$67:$BB$71)*CM245), N($AQ$67:$AQ$71&gt;$AO245)),
SUMPRODUCT(INDEX($AR$57:$AT$66,,$AI245), INDEX($AU$57:$BA$66,,$AH245), 1 / ($BC$57:$BC$66*CQ245 + (1-$BC$57:$BC$66)*CM245), N($AQ$57:$AQ$66&gt;$AO245))
) / 1000</f>
        <v>0</v>
      </c>
      <c r="CS245" s="232">
        <f t="shared" si="266"/>
        <v>20</v>
      </c>
      <c r="CT245" s="230">
        <f t="shared" si="424"/>
        <v>33</v>
      </c>
      <c r="CU245" s="235">
        <f t="shared" si="425"/>
        <v>4.8487499999999999</v>
      </c>
      <c r="CV245" s="235" cm="1">
        <f t="array" ref="CV245">$BI245 * IF($AH245&lt;=2,
SUMPRODUCT(INDEX($AR$62:$AT$66,,$AI245), INDEX($AU$62:$BA$66,,$AH245), 1 / ($BB$62:$BB$66*CU245 + (1-$BB$62:$BB$66)*CQ245), N($AQ$62:$AQ$66&gt;$AO245)),
SUMPRODUCT(INDEX($AR$47:$AT$56,,$AI245), INDEX($AU$47:$BA$56,,$AH245), 1 / ($BC$47:$BC$56*CU245 + (1-$BC$47:$BC$56)*CQ245), N($AQ$47:$AQ$56&gt;$AO245))
) / 1000</f>
        <v>0</v>
      </c>
      <c r="CW245" s="235" cm="1">
        <f t="array" ref="CW245">$BI245 * IF($AH245&lt;=2,
SUMPRODUCT(INDEX($AR$23:$AT$61,,$AI245), INDEX($AU$23:$BA$61,,$AH245), 1 / ($BB$23:$BB$61*CU245), N($AQ$23:$AQ$61&gt;$AO245)),
SUMPRODUCT(INDEX($AR$23:$AT$46,,$AI245), INDEX($AU$23:$BA$46,,$AH245), 1 / ($BC$23:$BC$46*CU245), N($AQ$23:$AQ$46&gt;$AO245))
) / 1000</f>
        <v>0</v>
      </c>
      <c r="CX245" s="230">
        <f t="shared" si="426"/>
        <v>0</v>
      </c>
      <c r="CY245" s="238"/>
    </row>
    <row r="246" spans="1:103" s="76" customFormat="1" ht="14.25" customHeight="1" x14ac:dyDescent="0.2">
      <c r="A246" s="231" t="b">
        <f t="shared" si="229"/>
        <v>0</v>
      </c>
      <c r="B246" s="245">
        <v>224</v>
      </c>
      <c r="C246" s="258"/>
      <c r="D246" s="258"/>
      <c r="E246" s="246"/>
      <c r="F246" s="247" t="str">
        <f>IF(ISBLANK(E246), "", VLOOKUP(E246, Z!$A$2:$C$4127, 3, FALSE))</f>
        <v/>
      </c>
      <c r="G246" s="248"/>
      <c r="H246" s="248"/>
      <c r="I246" s="249"/>
      <c r="J246" s="250"/>
      <c r="K246" s="259"/>
      <c r="L246" s="260"/>
      <c r="M246" s="252" t="str" cm="1">
        <f t="array" ref="M246">INDEX(Trad, 53, $A$20)</f>
        <v>Verschmutzt</v>
      </c>
      <c r="N246" s="253"/>
      <c r="O246" s="253"/>
      <c r="P246" s="254"/>
      <c r="Q246" s="251"/>
      <c r="R246" s="251"/>
      <c r="S246" s="264">
        <f t="shared" si="401"/>
        <v>0</v>
      </c>
      <c r="T246" s="252" t="str" cm="1">
        <f t="array" ref="T246">INDEX(Trad, 52, $A$20)</f>
        <v>Sauber</v>
      </c>
      <c r="U246" s="253"/>
      <c r="V246" s="253"/>
      <c r="W246" s="254"/>
      <c r="X246" s="251"/>
      <c r="Y246" s="251"/>
      <c r="Z246" s="264">
        <f t="shared" si="402"/>
        <v>0</v>
      </c>
      <c r="AA246" s="261"/>
      <c r="AB246" s="258"/>
      <c r="AC246" s="246"/>
      <c r="AD246" s="247" t="str">
        <f>IF(ISBLANK(AC246), "", VLOOKUP(AC246, Z!$A$2:$C$4127, 3, FALSE))</f>
        <v/>
      </c>
      <c r="AE246" s="262"/>
      <c r="AF246" s="263">
        <f t="shared" si="403"/>
        <v>0</v>
      </c>
      <c r="AG246" s="238"/>
      <c r="AH246" s="229">
        <f t="shared" si="427"/>
        <v>1</v>
      </c>
      <c r="AI246" s="229">
        <f t="shared" si="428"/>
        <v>1</v>
      </c>
      <c r="AJ246" s="229">
        <f t="shared" si="429"/>
        <v>0</v>
      </c>
      <c r="AK246" s="229">
        <v>0</v>
      </c>
      <c r="AL246" s="229">
        <v>0</v>
      </c>
      <c r="AM246" s="229">
        <v>1</v>
      </c>
      <c r="AN246" s="229">
        <v>0</v>
      </c>
      <c r="AO246" s="229">
        <f t="shared" si="404"/>
        <v>-100</v>
      </c>
      <c r="AP246" s="238"/>
      <c r="AQ246" s="255"/>
      <c r="AR246" s="255"/>
      <c r="AS246" s="256"/>
      <c r="AT246" s="256"/>
      <c r="AU246" s="256"/>
      <c r="AV246" s="256"/>
      <c r="AW246" s="256"/>
      <c r="AX246" s="256"/>
      <c r="AY246" s="256"/>
      <c r="AZ246" s="256"/>
      <c r="BA246" s="256"/>
      <c r="BB246" s="256"/>
      <c r="BC246" s="256"/>
      <c r="BD246" s="238"/>
      <c r="BE246" s="229" cm="1">
        <f t="array" ref="BE246">IF(ISBLANK(R246), INDEX(Use, $AH246, 4) - AM246*INDEX(Use, $AH246, 6), R246)</f>
        <v>5</v>
      </c>
      <c r="BF246" s="229">
        <f t="shared" si="405"/>
        <v>30</v>
      </c>
      <c r="BG246" s="229">
        <f t="shared" si="241"/>
        <v>13</v>
      </c>
      <c r="BH246" s="229">
        <f t="shared" si="242"/>
        <v>0</v>
      </c>
      <c r="BI246" s="234" cm="1">
        <f t="array" ref="BI246">K246/IF($L246&gt;0, INDEX($AU$23:$BA$77, $L246+20, $AH246), 1)</f>
        <v>0</v>
      </c>
      <c r="BJ246" s="230">
        <f t="shared" si="406"/>
        <v>0</v>
      </c>
      <c r="BK246" s="229">
        <v>35</v>
      </c>
      <c r="BL246" s="230">
        <f t="shared" si="407"/>
        <v>48</v>
      </c>
      <c r="BM246" s="235">
        <f t="shared" si="408"/>
        <v>2.9108720930232557</v>
      </c>
      <c r="BN246" s="235" cm="1">
        <f t="array" ref="BN246">$BI246 * SUMPRODUCT(INDEX($AR$77:$AT$82,,$AI246),INDEX($AU$77:$BA$82,,$AH246), N($AQ$77:$AQ$82&gt;$AO246)) / BM246 / 1000</f>
        <v>0</v>
      </c>
      <c r="BO246" s="232">
        <f t="shared" si="246"/>
        <v>30</v>
      </c>
      <c r="BP246" s="230">
        <f t="shared" si="409"/>
        <v>43</v>
      </c>
      <c r="BQ246" s="235">
        <f t="shared" si="410"/>
        <v>3.2938815789473681</v>
      </c>
      <c r="BR246" s="235" cm="1">
        <f t="array" ref="BR246">$BI246 * IF($AH246&lt;=2,
SUMPRODUCT(INDEX($AR$72:$AT$76,,$AI246), INDEX($AU$72:$BA$76,,$AH246), 1 / ($BB$72:$BB$76*BQ246 + (1-$BB$72:$BB$76)*BM246), N($AQ$72:$AQ$76&gt;$AO246)),
SUMPRODUCT(INDEX($AR$67:$AT$76,,$AI246), INDEX($AU$67:$BA$76,,$AH246), 1 / ($BC$67:$BC$76*BQ246 + (1-$BC$67:$BC$76)*BM246), N($AQ$67:$AQ$76&gt;$AO246))
) / 1000</f>
        <v>0</v>
      </c>
      <c r="BS246" s="232">
        <f t="shared" si="249"/>
        <v>25</v>
      </c>
      <c r="BT246" s="230">
        <f t="shared" si="411"/>
        <v>38</v>
      </c>
      <c r="BU246" s="235">
        <f t="shared" si="412"/>
        <v>3.792954545454545</v>
      </c>
      <c r="BV246" s="235" cm="1">
        <f t="array" ref="BV246">$BI246 * IF($AH246&lt;=2,
SUMPRODUCT(INDEX($AR$67:$AT$71,,$AI246), INDEX($AU$67:$BA$71,,$AH246), 1 / ($BB$67:$BB$71*BU246 + (1-$BB$67:$BB$71)*BQ246), N($AQ$67:$AQ$71&gt;$AO246)),
SUMPRODUCT(INDEX($AR$57:$AT$66,,$AI246), INDEX($AU$57:$BA$66,,$AH246), 1 / ($BC$57:$BC$66*BU246 + (1-$BC$57:$BC$66)*BQ246), N($AQ$57:$AQ$66&gt;$AO246))
) / 1000</f>
        <v>0</v>
      </c>
      <c r="BW246" s="232">
        <f t="shared" si="252"/>
        <v>20</v>
      </c>
      <c r="BX246" s="230">
        <f t="shared" si="413"/>
        <v>33</v>
      </c>
      <c r="BY246" s="235">
        <f t="shared" si="414"/>
        <v>4.4702678571428569</v>
      </c>
      <c r="BZ246" s="235" cm="1">
        <f t="array" ref="BZ246">$BI246 * IF($AH246&lt;=2,
SUMPRODUCT(INDEX($AR$62:$AT$66,,$AI246), INDEX($AU$62:$BA$66,,$AH246), 1 / ($BB$62:$BB$66*BY246 + (1-$BB$62:$BB$66)*BU246), N($AQ$62:$AQ$66&gt;$AO246)),
SUMPRODUCT(INDEX($AR$47:$AT$56,,$AI246), INDEX($AU$47:$BA$56,,$AH246), 1 / ($BC$47:$BC$56*BY246 + (1-$BC$47:$BC$56)*BU246), N($AQ$47:$AQ$56&gt;$AO246))
) / 1000</f>
        <v>0</v>
      </c>
      <c r="CA246" s="235" cm="1">
        <f t="array" ref="CA246">$BI246 * IF($AH246&lt;=2,
SUMPRODUCT(INDEX($AR$23:$AT$61,,$AI246), INDEX($AU$23:$BA$61,,$AH246), 1 / ($BB$23:$BB$61*BY246), N($AQ$23:$AQ$61&gt;$AO246)),
SUMPRODUCT(INDEX($AR$23:$AT$46,,$AI246), INDEX($AU$23:$BA$46,,$AH246), 1 / ($BC$23:$BC$46*BY246), N($AQ$23:$AQ$46&gt;$AO246))
) / 1000</f>
        <v>0</v>
      </c>
      <c r="CB246" s="230">
        <f t="shared" si="415"/>
        <v>0</v>
      </c>
      <c r="CC246" s="238"/>
      <c r="CD246" s="229" cm="1">
        <f t="array" ref="CD246">IF(ISBLANK(Y246), INDEX(Use, $AH246, 4) - AN246*INDEX(Use, $AH246, 6) - (Q246-X246), Y246)</f>
        <v>7</v>
      </c>
      <c r="CE246" s="229">
        <f t="shared" si="416"/>
        <v>32</v>
      </c>
      <c r="CF246" s="230">
        <f t="shared" si="417"/>
        <v>0</v>
      </c>
      <c r="CG246" s="229">
        <v>35</v>
      </c>
      <c r="CH246" s="230">
        <f t="shared" si="418"/>
        <v>48</v>
      </c>
      <c r="CI246" s="235">
        <f t="shared" si="419"/>
        <v>3.0748170731707316</v>
      </c>
      <c r="CJ246" s="235" cm="1">
        <f t="array" ref="CJ246">$BI246 * SUMPRODUCT(INDEX($AR$77:$AT$82,,$AI246),INDEX($AU$77:$BA$82,,$AH246), N($AQ$77:$AQ$82&gt;$AO246)) / CI246 / 1000</f>
        <v>0</v>
      </c>
      <c r="CK246" s="232">
        <f t="shared" si="260"/>
        <v>30</v>
      </c>
      <c r="CL246" s="230">
        <f t="shared" si="420"/>
        <v>43</v>
      </c>
      <c r="CM246" s="235">
        <f t="shared" si="421"/>
        <v>3.5018750000000001</v>
      </c>
      <c r="CN246" s="235" cm="1">
        <f t="array" ref="CN246">$BI246 * IF($AH246&lt;=2,
SUMPRODUCT(INDEX($AR$72:$AT$76,,$AI246), INDEX($AU$72:$BA$76,,$AH246), 1 / ($BB$72:$BB$76*CM246 + (1-$BB$72:$BB$76)*CI246), N($AQ$72:$AQ$76&gt;$AO246)),
SUMPRODUCT(INDEX($AR$67:$AT$76,,$AI246), INDEX($AU$67:$BA$76,,$AH246), 1 / ($BC$67:$BC$76*CM246 + (1-$BC$67:$BC$76)*CI246), N($AQ$67:$AQ$76&gt;$AO246))
) / 1000</f>
        <v>0</v>
      </c>
      <c r="CO246" s="232">
        <f t="shared" si="263"/>
        <v>25</v>
      </c>
      <c r="CP246" s="230">
        <f t="shared" si="422"/>
        <v>38</v>
      </c>
      <c r="CQ246" s="235">
        <f t="shared" si="423"/>
        <v>4.0666935483870965</v>
      </c>
      <c r="CR246" s="235" cm="1">
        <f t="array" ref="CR246">$BI246 * IF($AH246&lt;=2,
SUMPRODUCT(INDEX($AR$67:$AT$71,,$AI246), INDEX($AU$67:$BA$71,,$AH246), 1 / ($BB$67:$BB$71*CQ246 + (1-$BB$67:$BB$71)*CM246), N($AQ$67:$AQ$71&gt;$AO246)),
SUMPRODUCT(INDEX($AR$57:$AT$66,,$AI246), INDEX($AU$57:$BA$66,,$AH246), 1 / ($BC$57:$BC$66*CQ246 + (1-$BC$57:$BC$66)*CM246), N($AQ$57:$AQ$66&gt;$AO246))
) / 1000</f>
        <v>0</v>
      </c>
      <c r="CS246" s="232">
        <f t="shared" si="266"/>
        <v>20</v>
      </c>
      <c r="CT246" s="230">
        <f t="shared" si="424"/>
        <v>33</v>
      </c>
      <c r="CU246" s="235">
        <f t="shared" si="425"/>
        <v>4.8487499999999999</v>
      </c>
      <c r="CV246" s="235" cm="1">
        <f t="array" ref="CV246">$BI246 * IF($AH246&lt;=2,
SUMPRODUCT(INDEX($AR$62:$AT$66,,$AI246), INDEX($AU$62:$BA$66,,$AH246), 1 / ($BB$62:$BB$66*CU246 + (1-$BB$62:$BB$66)*CQ246), N($AQ$62:$AQ$66&gt;$AO246)),
SUMPRODUCT(INDEX($AR$47:$AT$56,,$AI246), INDEX($AU$47:$BA$56,,$AH246), 1 / ($BC$47:$BC$56*CU246 + (1-$BC$47:$BC$56)*CQ246), N($AQ$47:$AQ$56&gt;$AO246))
) / 1000</f>
        <v>0</v>
      </c>
      <c r="CW246" s="235" cm="1">
        <f t="array" ref="CW246">$BI246 * IF($AH246&lt;=2,
SUMPRODUCT(INDEX($AR$23:$AT$61,,$AI246), INDEX($AU$23:$BA$61,,$AH246), 1 / ($BB$23:$BB$61*CU246), N($AQ$23:$AQ$61&gt;$AO246)),
SUMPRODUCT(INDEX($AR$23:$AT$46,,$AI246), INDEX($AU$23:$BA$46,,$AH246), 1 / ($BC$23:$BC$46*CU246), N($AQ$23:$AQ$46&gt;$AO246))
) / 1000</f>
        <v>0</v>
      </c>
      <c r="CX246" s="230">
        <f t="shared" si="426"/>
        <v>0</v>
      </c>
      <c r="CY246" s="238"/>
    </row>
    <row r="247" spans="1:103" s="76" customFormat="1" ht="14.25" customHeight="1" x14ac:dyDescent="0.2">
      <c r="A247" s="231" t="b">
        <f t="shared" si="229"/>
        <v>0</v>
      </c>
      <c r="B247" s="245">
        <v>225</v>
      </c>
      <c r="C247" s="258"/>
      <c r="D247" s="258"/>
      <c r="E247" s="246"/>
      <c r="F247" s="247" t="str">
        <f>IF(ISBLANK(E247), "", VLOOKUP(E247, Z!$A$2:$C$4127, 3, FALSE))</f>
        <v/>
      </c>
      <c r="G247" s="248"/>
      <c r="H247" s="248"/>
      <c r="I247" s="249"/>
      <c r="J247" s="250"/>
      <c r="K247" s="259"/>
      <c r="L247" s="260"/>
      <c r="M247" s="252" t="str" cm="1">
        <f t="array" ref="M247">INDEX(Trad, 53, $A$20)</f>
        <v>Verschmutzt</v>
      </c>
      <c r="N247" s="253"/>
      <c r="O247" s="253"/>
      <c r="P247" s="254"/>
      <c r="Q247" s="251"/>
      <c r="R247" s="251"/>
      <c r="S247" s="264">
        <f t="shared" si="401"/>
        <v>0</v>
      </c>
      <c r="T247" s="252" t="str" cm="1">
        <f t="array" ref="T247">INDEX(Trad, 52, $A$20)</f>
        <v>Sauber</v>
      </c>
      <c r="U247" s="253"/>
      <c r="V247" s="253"/>
      <c r="W247" s="254"/>
      <c r="X247" s="251"/>
      <c r="Y247" s="251"/>
      <c r="Z247" s="264">
        <f t="shared" si="402"/>
        <v>0</v>
      </c>
      <c r="AA247" s="261"/>
      <c r="AB247" s="258"/>
      <c r="AC247" s="246"/>
      <c r="AD247" s="247" t="str">
        <f>IF(ISBLANK(AC247), "", VLOOKUP(AC247, Z!$A$2:$C$4127, 3, FALSE))</f>
        <v/>
      </c>
      <c r="AE247" s="262"/>
      <c r="AF247" s="263">
        <f t="shared" si="403"/>
        <v>0</v>
      </c>
      <c r="AG247" s="238"/>
      <c r="AH247" s="229">
        <f t="shared" si="427"/>
        <v>1</v>
      </c>
      <c r="AI247" s="229">
        <f t="shared" si="428"/>
        <v>1</v>
      </c>
      <c r="AJ247" s="229">
        <f t="shared" si="429"/>
        <v>0</v>
      </c>
      <c r="AK247" s="229">
        <v>0</v>
      </c>
      <c r="AL247" s="229">
        <v>0</v>
      </c>
      <c r="AM247" s="229">
        <v>1</v>
      </c>
      <c r="AN247" s="229">
        <v>0</v>
      </c>
      <c r="AO247" s="229">
        <f t="shared" si="404"/>
        <v>-100</v>
      </c>
      <c r="AP247" s="238"/>
      <c r="AQ247" s="255"/>
      <c r="AR247" s="255"/>
      <c r="AS247" s="256"/>
      <c r="AT247" s="256"/>
      <c r="AU247" s="256"/>
      <c r="AV247" s="256"/>
      <c r="AW247" s="256"/>
      <c r="AX247" s="256"/>
      <c r="AY247" s="256"/>
      <c r="AZ247" s="256"/>
      <c r="BA247" s="256"/>
      <c r="BB247" s="256"/>
      <c r="BC247" s="256"/>
      <c r="BD247" s="238"/>
      <c r="BE247" s="229" cm="1">
        <f t="array" ref="BE247">IF(ISBLANK(R247), INDEX(Use, $AH247, 4) - AM247*INDEX(Use, $AH247, 6), R247)</f>
        <v>5</v>
      </c>
      <c r="BF247" s="229">
        <f t="shared" si="405"/>
        <v>30</v>
      </c>
      <c r="BG247" s="229">
        <f t="shared" si="241"/>
        <v>13</v>
      </c>
      <c r="BH247" s="229">
        <f t="shared" si="242"/>
        <v>0</v>
      </c>
      <c r="BI247" s="234" cm="1">
        <f t="array" ref="BI247">K247/IF($L247&gt;0, INDEX($AU$23:$BA$77, $L247+20, $AH247), 1)</f>
        <v>0</v>
      </c>
      <c r="BJ247" s="230">
        <f t="shared" si="406"/>
        <v>0</v>
      </c>
      <c r="BK247" s="229">
        <v>35</v>
      </c>
      <c r="BL247" s="230">
        <f t="shared" si="407"/>
        <v>48</v>
      </c>
      <c r="BM247" s="235">
        <f t="shared" si="408"/>
        <v>2.9108720930232557</v>
      </c>
      <c r="BN247" s="235" cm="1">
        <f t="array" ref="BN247">$BI247 * SUMPRODUCT(INDEX($AR$77:$AT$82,,$AI247),INDEX($AU$77:$BA$82,,$AH247), N($AQ$77:$AQ$82&gt;$AO247)) / BM247 / 1000</f>
        <v>0</v>
      </c>
      <c r="BO247" s="232">
        <f t="shared" si="246"/>
        <v>30</v>
      </c>
      <c r="BP247" s="230">
        <f t="shared" si="409"/>
        <v>43</v>
      </c>
      <c r="BQ247" s="235">
        <f t="shared" si="410"/>
        <v>3.2938815789473681</v>
      </c>
      <c r="BR247" s="235" cm="1">
        <f t="array" ref="BR247">$BI247 * IF($AH247&lt;=2,
SUMPRODUCT(INDEX($AR$72:$AT$76,,$AI247), INDEX($AU$72:$BA$76,,$AH247), 1 / ($BB$72:$BB$76*BQ247 + (1-$BB$72:$BB$76)*BM247), N($AQ$72:$AQ$76&gt;$AO247)),
SUMPRODUCT(INDEX($AR$67:$AT$76,,$AI247), INDEX($AU$67:$BA$76,,$AH247), 1 / ($BC$67:$BC$76*BQ247 + (1-$BC$67:$BC$76)*BM247), N($AQ$67:$AQ$76&gt;$AO247))
) / 1000</f>
        <v>0</v>
      </c>
      <c r="BS247" s="232">
        <f t="shared" si="249"/>
        <v>25</v>
      </c>
      <c r="BT247" s="230">
        <f t="shared" si="411"/>
        <v>38</v>
      </c>
      <c r="BU247" s="235">
        <f t="shared" si="412"/>
        <v>3.792954545454545</v>
      </c>
      <c r="BV247" s="235" cm="1">
        <f t="array" ref="BV247">$BI247 * IF($AH247&lt;=2,
SUMPRODUCT(INDEX($AR$67:$AT$71,,$AI247), INDEX($AU$67:$BA$71,,$AH247), 1 / ($BB$67:$BB$71*BU247 + (1-$BB$67:$BB$71)*BQ247), N($AQ$67:$AQ$71&gt;$AO247)),
SUMPRODUCT(INDEX($AR$57:$AT$66,,$AI247), INDEX($AU$57:$BA$66,,$AH247), 1 / ($BC$57:$BC$66*BU247 + (1-$BC$57:$BC$66)*BQ247), N($AQ$57:$AQ$66&gt;$AO247))
) / 1000</f>
        <v>0</v>
      </c>
      <c r="BW247" s="232">
        <f t="shared" si="252"/>
        <v>20</v>
      </c>
      <c r="BX247" s="230">
        <f t="shared" si="413"/>
        <v>33</v>
      </c>
      <c r="BY247" s="235">
        <f t="shared" si="414"/>
        <v>4.4702678571428569</v>
      </c>
      <c r="BZ247" s="235" cm="1">
        <f t="array" ref="BZ247">$BI247 * IF($AH247&lt;=2,
SUMPRODUCT(INDEX($AR$62:$AT$66,,$AI247), INDEX($AU$62:$BA$66,,$AH247), 1 / ($BB$62:$BB$66*BY247 + (1-$BB$62:$BB$66)*BU247), N($AQ$62:$AQ$66&gt;$AO247)),
SUMPRODUCT(INDEX($AR$47:$AT$56,,$AI247), INDEX($AU$47:$BA$56,,$AH247), 1 / ($BC$47:$BC$56*BY247 + (1-$BC$47:$BC$56)*BU247), N($AQ$47:$AQ$56&gt;$AO247))
) / 1000</f>
        <v>0</v>
      </c>
      <c r="CA247" s="235" cm="1">
        <f t="array" ref="CA247">$BI247 * IF($AH247&lt;=2,
SUMPRODUCT(INDEX($AR$23:$AT$61,,$AI247), INDEX($AU$23:$BA$61,,$AH247), 1 / ($BB$23:$BB$61*BY247), N($AQ$23:$AQ$61&gt;$AO247)),
SUMPRODUCT(INDEX($AR$23:$AT$46,,$AI247), INDEX($AU$23:$BA$46,,$AH247), 1 / ($BC$23:$BC$46*BY247), N($AQ$23:$AQ$46&gt;$AO247))
) / 1000</f>
        <v>0</v>
      </c>
      <c r="CB247" s="230">
        <f t="shared" si="415"/>
        <v>0</v>
      </c>
      <c r="CC247" s="238"/>
      <c r="CD247" s="229" cm="1">
        <f t="array" ref="CD247">IF(ISBLANK(Y247), INDEX(Use, $AH247, 4) - AN247*INDEX(Use, $AH247, 6) - (Q247-X247), Y247)</f>
        <v>7</v>
      </c>
      <c r="CE247" s="229">
        <f t="shared" si="416"/>
        <v>32</v>
      </c>
      <c r="CF247" s="230">
        <f t="shared" si="417"/>
        <v>0</v>
      </c>
      <c r="CG247" s="229">
        <v>35</v>
      </c>
      <c r="CH247" s="230">
        <f t="shared" si="418"/>
        <v>48</v>
      </c>
      <c r="CI247" s="235">
        <f t="shared" si="419"/>
        <v>3.0748170731707316</v>
      </c>
      <c r="CJ247" s="235" cm="1">
        <f t="array" ref="CJ247">$BI247 * SUMPRODUCT(INDEX($AR$77:$AT$82,,$AI247),INDEX($AU$77:$BA$82,,$AH247), N($AQ$77:$AQ$82&gt;$AO247)) / CI247 / 1000</f>
        <v>0</v>
      </c>
      <c r="CK247" s="232">
        <f t="shared" si="260"/>
        <v>30</v>
      </c>
      <c r="CL247" s="230">
        <f t="shared" si="420"/>
        <v>43</v>
      </c>
      <c r="CM247" s="235">
        <f t="shared" si="421"/>
        <v>3.5018750000000001</v>
      </c>
      <c r="CN247" s="235" cm="1">
        <f t="array" ref="CN247">$BI247 * IF($AH247&lt;=2,
SUMPRODUCT(INDEX($AR$72:$AT$76,,$AI247), INDEX($AU$72:$BA$76,,$AH247), 1 / ($BB$72:$BB$76*CM247 + (1-$BB$72:$BB$76)*CI247), N($AQ$72:$AQ$76&gt;$AO247)),
SUMPRODUCT(INDEX($AR$67:$AT$76,,$AI247), INDEX($AU$67:$BA$76,,$AH247), 1 / ($BC$67:$BC$76*CM247 + (1-$BC$67:$BC$76)*CI247), N($AQ$67:$AQ$76&gt;$AO247))
) / 1000</f>
        <v>0</v>
      </c>
      <c r="CO247" s="232">
        <f t="shared" si="263"/>
        <v>25</v>
      </c>
      <c r="CP247" s="230">
        <f t="shared" si="422"/>
        <v>38</v>
      </c>
      <c r="CQ247" s="235">
        <f t="shared" si="423"/>
        <v>4.0666935483870965</v>
      </c>
      <c r="CR247" s="235" cm="1">
        <f t="array" ref="CR247">$BI247 * IF($AH247&lt;=2,
SUMPRODUCT(INDEX($AR$67:$AT$71,,$AI247), INDEX($AU$67:$BA$71,,$AH247), 1 / ($BB$67:$BB$71*CQ247 + (1-$BB$67:$BB$71)*CM247), N($AQ$67:$AQ$71&gt;$AO247)),
SUMPRODUCT(INDEX($AR$57:$AT$66,,$AI247), INDEX($AU$57:$BA$66,,$AH247), 1 / ($BC$57:$BC$66*CQ247 + (1-$BC$57:$BC$66)*CM247), N($AQ$57:$AQ$66&gt;$AO247))
) / 1000</f>
        <v>0</v>
      </c>
      <c r="CS247" s="232">
        <f t="shared" si="266"/>
        <v>20</v>
      </c>
      <c r="CT247" s="230">
        <f t="shared" si="424"/>
        <v>33</v>
      </c>
      <c r="CU247" s="235">
        <f t="shared" si="425"/>
        <v>4.8487499999999999</v>
      </c>
      <c r="CV247" s="235" cm="1">
        <f t="array" ref="CV247">$BI247 * IF($AH247&lt;=2,
SUMPRODUCT(INDEX($AR$62:$AT$66,,$AI247), INDEX($AU$62:$BA$66,,$AH247), 1 / ($BB$62:$BB$66*CU247 + (1-$BB$62:$BB$66)*CQ247), N($AQ$62:$AQ$66&gt;$AO247)),
SUMPRODUCT(INDEX($AR$47:$AT$56,,$AI247), INDEX($AU$47:$BA$56,,$AH247), 1 / ($BC$47:$BC$56*CU247 + (1-$BC$47:$BC$56)*CQ247), N($AQ$47:$AQ$56&gt;$AO247))
) / 1000</f>
        <v>0</v>
      </c>
      <c r="CW247" s="235" cm="1">
        <f t="array" ref="CW247">$BI247 * IF($AH247&lt;=2,
SUMPRODUCT(INDEX($AR$23:$AT$61,,$AI247), INDEX($AU$23:$BA$61,,$AH247), 1 / ($BB$23:$BB$61*CU247), N($AQ$23:$AQ$61&gt;$AO247)),
SUMPRODUCT(INDEX($AR$23:$AT$46,,$AI247), INDEX($AU$23:$BA$46,,$AH247), 1 / ($BC$23:$BC$46*CU247), N($AQ$23:$AQ$46&gt;$AO247))
) / 1000</f>
        <v>0</v>
      </c>
      <c r="CX247" s="230">
        <f t="shared" si="426"/>
        <v>0</v>
      </c>
      <c r="CY247" s="238"/>
    </row>
    <row r="248" spans="1:103" s="76" customFormat="1" ht="14.25" customHeight="1" x14ac:dyDescent="0.2">
      <c r="A248" s="231" t="b">
        <f t="shared" si="229"/>
        <v>0</v>
      </c>
      <c r="B248" s="245">
        <v>226</v>
      </c>
      <c r="C248" s="258"/>
      <c r="D248" s="258"/>
      <c r="E248" s="246"/>
      <c r="F248" s="247" t="str">
        <f>IF(ISBLANK(E248), "", VLOOKUP(E248, Z!$A$2:$C$4127, 3, FALSE))</f>
        <v/>
      </c>
      <c r="G248" s="248"/>
      <c r="H248" s="248"/>
      <c r="I248" s="249"/>
      <c r="J248" s="250"/>
      <c r="K248" s="259"/>
      <c r="L248" s="260"/>
      <c r="M248" s="252" t="str" cm="1">
        <f t="array" ref="M248">INDEX(Trad, 53, $A$20)</f>
        <v>Verschmutzt</v>
      </c>
      <c r="N248" s="253"/>
      <c r="O248" s="253"/>
      <c r="P248" s="254"/>
      <c r="Q248" s="251"/>
      <c r="R248" s="251"/>
      <c r="S248" s="264">
        <f t="shared" si="401"/>
        <v>0</v>
      </c>
      <c r="T248" s="252" t="str" cm="1">
        <f t="array" ref="T248">INDEX(Trad, 52, $A$20)</f>
        <v>Sauber</v>
      </c>
      <c r="U248" s="253"/>
      <c r="V248" s="253"/>
      <c r="W248" s="254"/>
      <c r="X248" s="251"/>
      <c r="Y248" s="251"/>
      <c r="Z248" s="264">
        <f t="shared" si="402"/>
        <v>0</v>
      </c>
      <c r="AA248" s="261"/>
      <c r="AB248" s="258"/>
      <c r="AC248" s="246"/>
      <c r="AD248" s="247" t="str">
        <f>IF(ISBLANK(AC248), "", VLOOKUP(AC248, Z!$A$2:$C$4127, 3, FALSE))</f>
        <v/>
      </c>
      <c r="AE248" s="262"/>
      <c r="AF248" s="263">
        <f t="shared" si="403"/>
        <v>0</v>
      </c>
      <c r="AG248" s="238"/>
      <c r="AH248" s="229">
        <f t="shared" si="427"/>
        <v>1</v>
      </c>
      <c r="AI248" s="229">
        <f t="shared" si="428"/>
        <v>1</v>
      </c>
      <c r="AJ248" s="229">
        <f t="shared" si="429"/>
        <v>0</v>
      </c>
      <c r="AK248" s="229">
        <v>0</v>
      </c>
      <c r="AL248" s="229">
        <v>0</v>
      </c>
      <c r="AM248" s="229">
        <v>1</v>
      </c>
      <c r="AN248" s="229">
        <v>0</v>
      </c>
      <c r="AO248" s="229">
        <f t="shared" si="404"/>
        <v>-100</v>
      </c>
      <c r="AP248" s="238"/>
      <c r="AQ248" s="255"/>
      <c r="AR248" s="255"/>
      <c r="AS248" s="256"/>
      <c r="AT248" s="256"/>
      <c r="AU248" s="256"/>
      <c r="AV248" s="256"/>
      <c r="AW248" s="256"/>
      <c r="AX248" s="256"/>
      <c r="AY248" s="256"/>
      <c r="AZ248" s="256"/>
      <c r="BA248" s="256"/>
      <c r="BB248" s="256"/>
      <c r="BC248" s="256"/>
      <c r="BD248" s="238"/>
      <c r="BE248" s="229" cm="1">
        <f t="array" ref="BE248">IF(ISBLANK(R248), INDEX(Use, $AH248, 4) - AM248*INDEX(Use, $AH248, 6), R248)</f>
        <v>5</v>
      </c>
      <c r="BF248" s="229">
        <f t="shared" si="405"/>
        <v>30</v>
      </c>
      <c r="BG248" s="229">
        <f t="shared" si="241"/>
        <v>13</v>
      </c>
      <c r="BH248" s="229">
        <f t="shared" si="242"/>
        <v>0</v>
      </c>
      <c r="BI248" s="234" cm="1">
        <f t="array" ref="BI248">K248/IF($L248&gt;0, INDEX($AU$23:$BA$77, $L248+20, $AH248), 1)</f>
        <v>0</v>
      </c>
      <c r="BJ248" s="230">
        <f t="shared" si="406"/>
        <v>0</v>
      </c>
      <c r="BK248" s="229">
        <v>35</v>
      </c>
      <c r="BL248" s="230">
        <f t="shared" si="407"/>
        <v>48</v>
      </c>
      <c r="BM248" s="235">
        <f t="shared" si="408"/>
        <v>2.9108720930232557</v>
      </c>
      <c r="BN248" s="235" cm="1">
        <f t="array" ref="BN248">$BI248 * SUMPRODUCT(INDEX($AR$77:$AT$82,,$AI248),INDEX($AU$77:$BA$82,,$AH248), N($AQ$77:$AQ$82&gt;$AO248)) / BM248 / 1000</f>
        <v>0</v>
      </c>
      <c r="BO248" s="232">
        <f t="shared" si="246"/>
        <v>30</v>
      </c>
      <c r="BP248" s="230">
        <f t="shared" si="409"/>
        <v>43</v>
      </c>
      <c r="BQ248" s="235">
        <f t="shared" si="410"/>
        <v>3.2938815789473681</v>
      </c>
      <c r="BR248" s="235" cm="1">
        <f t="array" ref="BR248">$BI248 * IF($AH248&lt;=2,
SUMPRODUCT(INDEX($AR$72:$AT$76,,$AI248), INDEX($AU$72:$BA$76,,$AH248), 1 / ($BB$72:$BB$76*BQ248 + (1-$BB$72:$BB$76)*BM248), N($AQ$72:$AQ$76&gt;$AO248)),
SUMPRODUCT(INDEX($AR$67:$AT$76,,$AI248), INDEX($AU$67:$BA$76,,$AH248), 1 / ($BC$67:$BC$76*BQ248 + (1-$BC$67:$BC$76)*BM248), N($AQ$67:$AQ$76&gt;$AO248))
) / 1000</f>
        <v>0</v>
      </c>
      <c r="BS248" s="232">
        <f t="shared" si="249"/>
        <v>25</v>
      </c>
      <c r="BT248" s="230">
        <f t="shared" si="411"/>
        <v>38</v>
      </c>
      <c r="BU248" s="235">
        <f t="shared" si="412"/>
        <v>3.792954545454545</v>
      </c>
      <c r="BV248" s="235" cm="1">
        <f t="array" ref="BV248">$BI248 * IF($AH248&lt;=2,
SUMPRODUCT(INDEX($AR$67:$AT$71,,$AI248), INDEX($AU$67:$BA$71,,$AH248), 1 / ($BB$67:$BB$71*BU248 + (1-$BB$67:$BB$71)*BQ248), N($AQ$67:$AQ$71&gt;$AO248)),
SUMPRODUCT(INDEX($AR$57:$AT$66,,$AI248), INDEX($AU$57:$BA$66,,$AH248), 1 / ($BC$57:$BC$66*BU248 + (1-$BC$57:$BC$66)*BQ248), N($AQ$57:$AQ$66&gt;$AO248))
) / 1000</f>
        <v>0</v>
      </c>
      <c r="BW248" s="232">
        <f t="shared" si="252"/>
        <v>20</v>
      </c>
      <c r="BX248" s="230">
        <f t="shared" si="413"/>
        <v>33</v>
      </c>
      <c r="BY248" s="235">
        <f t="shared" si="414"/>
        <v>4.4702678571428569</v>
      </c>
      <c r="BZ248" s="235" cm="1">
        <f t="array" ref="BZ248">$BI248 * IF($AH248&lt;=2,
SUMPRODUCT(INDEX($AR$62:$AT$66,,$AI248), INDEX($AU$62:$BA$66,,$AH248), 1 / ($BB$62:$BB$66*BY248 + (1-$BB$62:$BB$66)*BU248), N($AQ$62:$AQ$66&gt;$AO248)),
SUMPRODUCT(INDEX($AR$47:$AT$56,,$AI248), INDEX($AU$47:$BA$56,,$AH248), 1 / ($BC$47:$BC$56*BY248 + (1-$BC$47:$BC$56)*BU248), N($AQ$47:$AQ$56&gt;$AO248))
) / 1000</f>
        <v>0</v>
      </c>
      <c r="CA248" s="235" cm="1">
        <f t="array" ref="CA248">$BI248 * IF($AH248&lt;=2,
SUMPRODUCT(INDEX($AR$23:$AT$61,,$AI248), INDEX($AU$23:$BA$61,,$AH248), 1 / ($BB$23:$BB$61*BY248), N($AQ$23:$AQ$61&gt;$AO248)),
SUMPRODUCT(INDEX($AR$23:$AT$46,,$AI248), INDEX($AU$23:$BA$46,,$AH248), 1 / ($BC$23:$BC$46*BY248), N($AQ$23:$AQ$46&gt;$AO248))
) / 1000</f>
        <v>0</v>
      </c>
      <c r="CB248" s="230">
        <f t="shared" si="415"/>
        <v>0</v>
      </c>
      <c r="CC248" s="238"/>
      <c r="CD248" s="229" cm="1">
        <f t="array" ref="CD248">IF(ISBLANK(Y248), INDEX(Use, $AH248, 4) - AN248*INDEX(Use, $AH248, 6) - (Q248-X248), Y248)</f>
        <v>7</v>
      </c>
      <c r="CE248" s="229">
        <f t="shared" si="416"/>
        <v>32</v>
      </c>
      <c r="CF248" s="230">
        <f t="shared" si="417"/>
        <v>0</v>
      </c>
      <c r="CG248" s="229">
        <v>35</v>
      </c>
      <c r="CH248" s="230">
        <f t="shared" si="418"/>
        <v>48</v>
      </c>
      <c r="CI248" s="235">
        <f t="shared" si="419"/>
        <v>3.0748170731707316</v>
      </c>
      <c r="CJ248" s="235" cm="1">
        <f t="array" ref="CJ248">$BI248 * SUMPRODUCT(INDEX($AR$77:$AT$82,,$AI248),INDEX($AU$77:$BA$82,,$AH248), N($AQ$77:$AQ$82&gt;$AO248)) / CI248 / 1000</f>
        <v>0</v>
      </c>
      <c r="CK248" s="232">
        <f t="shared" si="260"/>
        <v>30</v>
      </c>
      <c r="CL248" s="230">
        <f t="shared" si="420"/>
        <v>43</v>
      </c>
      <c r="CM248" s="235">
        <f t="shared" si="421"/>
        <v>3.5018750000000001</v>
      </c>
      <c r="CN248" s="235" cm="1">
        <f t="array" ref="CN248">$BI248 * IF($AH248&lt;=2,
SUMPRODUCT(INDEX($AR$72:$AT$76,,$AI248), INDEX($AU$72:$BA$76,,$AH248), 1 / ($BB$72:$BB$76*CM248 + (1-$BB$72:$BB$76)*CI248), N($AQ$72:$AQ$76&gt;$AO248)),
SUMPRODUCT(INDEX($AR$67:$AT$76,,$AI248), INDEX($AU$67:$BA$76,,$AH248), 1 / ($BC$67:$BC$76*CM248 + (1-$BC$67:$BC$76)*CI248), N($AQ$67:$AQ$76&gt;$AO248))
) / 1000</f>
        <v>0</v>
      </c>
      <c r="CO248" s="232">
        <f t="shared" si="263"/>
        <v>25</v>
      </c>
      <c r="CP248" s="230">
        <f t="shared" si="422"/>
        <v>38</v>
      </c>
      <c r="CQ248" s="235">
        <f t="shared" si="423"/>
        <v>4.0666935483870965</v>
      </c>
      <c r="CR248" s="235" cm="1">
        <f t="array" ref="CR248">$BI248 * IF($AH248&lt;=2,
SUMPRODUCT(INDEX($AR$67:$AT$71,,$AI248), INDEX($AU$67:$BA$71,,$AH248), 1 / ($BB$67:$BB$71*CQ248 + (1-$BB$67:$BB$71)*CM248), N($AQ$67:$AQ$71&gt;$AO248)),
SUMPRODUCT(INDEX($AR$57:$AT$66,,$AI248), INDEX($AU$57:$BA$66,,$AH248), 1 / ($BC$57:$BC$66*CQ248 + (1-$BC$57:$BC$66)*CM248), N($AQ$57:$AQ$66&gt;$AO248))
) / 1000</f>
        <v>0</v>
      </c>
      <c r="CS248" s="232">
        <f t="shared" si="266"/>
        <v>20</v>
      </c>
      <c r="CT248" s="230">
        <f t="shared" si="424"/>
        <v>33</v>
      </c>
      <c r="CU248" s="235">
        <f t="shared" si="425"/>
        <v>4.8487499999999999</v>
      </c>
      <c r="CV248" s="235" cm="1">
        <f t="array" ref="CV248">$BI248 * IF($AH248&lt;=2,
SUMPRODUCT(INDEX($AR$62:$AT$66,,$AI248), INDEX($AU$62:$BA$66,,$AH248), 1 / ($BB$62:$BB$66*CU248 + (1-$BB$62:$BB$66)*CQ248), N($AQ$62:$AQ$66&gt;$AO248)),
SUMPRODUCT(INDEX($AR$47:$AT$56,,$AI248), INDEX($AU$47:$BA$56,,$AH248), 1 / ($BC$47:$BC$56*CU248 + (1-$BC$47:$BC$56)*CQ248), N($AQ$47:$AQ$56&gt;$AO248))
) / 1000</f>
        <v>0</v>
      </c>
      <c r="CW248" s="235" cm="1">
        <f t="array" ref="CW248">$BI248 * IF($AH248&lt;=2,
SUMPRODUCT(INDEX($AR$23:$AT$61,,$AI248), INDEX($AU$23:$BA$61,,$AH248), 1 / ($BB$23:$BB$61*CU248), N($AQ$23:$AQ$61&gt;$AO248)),
SUMPRODUCT(INDEX($AR$23:$AT$46,,$AI248), INDEX($AU$23:$BA$46,,$AH248), 1 / ($BC$23:$BC$46*CU248), N($AQ$23:$AQ$46&gt;$AO248))
) / 1000</f>
        <v>0</v>
      </c>
      <c r="CX248" s="230">
        <f t="shared" si="426"/>
        <v>0</v>
      </c>
      <c r="CY248" s="238"/>
    </row>
    <row r="249" spans="1:103" s="76" customFormat="1" ht="14.25" customHeight="1" x14ac:dyDescent="0.2">
      <c r="A249" s="231" t="b">
        <f t="shared" si="229"/>
        <v>0</v>
      </c>
      <c r="B249" s="245">
        <v>227</v>
      </c>
      <c r="C249" s="258"/>
      <c r="D249" s="258"/>
      <c r="E249" s="246"/>
      <c r="F249" s="247" t="str">
        <f>IF(ISBLANK(E249), "", VLOOKUP(E249, Z!$A$2:$C$4127, 3, FALSE))</f>
        <v/>
      </c>
      <c r="G249" s="248"/>
      <c r="H249" s="248"/>
      <c r="I249" s="249"/>
      <c r="J249" s="250"/>
      <c r="K249" s="259"/>
      <c r="L249" s="260"/>
      <c r="M249" s="252" t="str" cm="1">
        <f t="array" ref="M249">INDEX(Trad, 53, $A$20)</f>
        <v>Verschmutzt</v>
      </c>
      <c r="N249" s="253"/>
      <c r="O249" s="253"/>
      <c r="P249" s="254"/>
      <c r="Q249" s="251"/>
      <c r="R249" s="251"/>
      <c r="S249" s="264">
        <f t="shared" si="401"/>
        <v>0</v>
      </c>
      <c r="T249" s="252" t="str" cm="1">
        <f t="array" ref="T249">INDEX(Trad, 52, $A$20)</f>
        <v>Sauber</v>
      </c>
      <c r="U249" s="253"/>
      <c r="V249" s="253"/>
      <c r="W249" s="254"/>
      <c r="X249" s="251"/>
      <c r="Y249" s="251"/>
      <c r="Z249" s="264">
        <f t="shared" si="402"/>
        <v>0</v>
      </c>
      <c r="AA249" s="261"/>
      <c r="AB249" s="258"/>
      <c r="AC249" s="246"/>
      <c r="AD249" s="247" t="str">
        <f>IF(ISBLANK(AC249), "", VLOOKUP(AC249, Z!$A$2:$C$4127, 3, FALSE))</f>
        <v/>
      </c>
      <c r="AE249" s="262"/>
      <c r="AF249" s="263">
        <f t="shared" si="403"/>
        <v>0</v>
      </c>
      <c r="AG249" s="238"/>
      <c r="AH249" s="229">
        <f t="shared" si="427"/>
        <v>1</v>
      </c>
      <c r="AI249" s="229">
        <f t="shared" si="428"/>
        <v>1</v>
      </c>
      <c r="AJ249" s="229">
        <f t="shared" si="429"/>
        <v>0</v>
      </c>
      <c r="AK249" s="229">
        <v>0</v>
      </c>
      <c r="AL249" s="229">
        <v>0</v>
      </c>
      <c r="AM249" s="229">
        <v>1</v>
      </c>
      <c r="AN249" s="229">
        <v>0</v>
      </c>
      <c r="AO249" s="229">
        <f t="shared" si="404"/>
        <v>-100</v>
      </c>
      <c r="AP249" s="238"/>
      <c r="AQ249" s="255"/>
      <c r="AR249" s="255"/>
      <c r="AS249" s="256"/>
      <c r="AT249" s="256"/>
      <c r="AU249" s="256"/>
      <c r="AV249" s="256"/>
      <c r="AW249" s="256"/>
      <c r="AX249" s="256"/>
      <c r="AY249" s="256"/>
      <c r="AZ249" s="256"/>
      <c r="BA249" s="256"/>
      <c r="BB249" s="256"/>
      <c r="BC249" s="256"/>
      <c r="BD249" s="238"/>
      <c r="BE249" s="229" cm="1">
        <f t="array" ref="BE249">IF(ISBLANK(R249), INDEX(Use, $AH249, 4) - AM249*INDEX(Use, $AH249, 6), R249)</f>
        <v>5</v>
      </c>
      <c r="BF249" s="229">
        <f t="shared" si="405"/>
        <v>30</v>
      </c>
      <c r="BG249" s="229">
        <f t="shared" si="241"/>
        <v>13</v>
      </c>
      <c r="BH249" s="229">
        <f t="shared" si="242"/>
        <v>0</v>
      </c>
      <c r="BI249" s="234" cm="1">
        <f t="array" ref="BI249">K249/IF($L249&gt;0, INDEX($AU$23:$BA$77, $L249+20, $AH249), 1)</f>
        <v>0</v>
      </c>
      <c r="BJ249" s="230">
        <f t="shared" si="406"/>
        <v>0</v>
      </c>
      <c r="BK249" s="229">
        <v>35</v>
      </c>
      <c r="BL249" s="230">
        <f t="shared" si="407"/>
        <v>48</v>
      </c>
      <c r="BM249" s="235">
        <f t="shared" si="408"/>
        <v>2.9108720930232557</v>
      </c>
      <c r="BN249" s="235" cm="1">
        <f t="array" ref="BN249">$BI249 * SUMPRODUCT(INDEX($AR$77:$AT$82,,$AI249),INDEX($AU$77:$BA$82,,$AH249), N($AQ$77:$AQ$82&gt;$AO249)) / BM249 / 1000</f>
        <v>0</v>
      </c>
      <c r="BO249" s="232">
        <f t="shared" si="246"/>
        <v>30</v>
      </c>
      <c r="BP249" s="230">
        <f t="shared" si="409"/>
        <v>43</v>
      </c>
      <c r="BQ249" s="235">
        <f t="shared" si="410"/>
        <v>3.2938815789473681</v>
      </c>
      <c r="BR249" s="235" cm="1">
        <f t="array" ref="BR249">$BI249 * IF($AH249&lt;=2,
SUMPRODUCT(INDEX($AR$72:$AT$76,,$AI249), INDEX($AU$72:$BA$76,,$AH249), 1 / ($BB$72:$BB$76*BQ249 + (1-$BB$72:$BB$76)*BM249), N($AQ$72:$AQ$76&gt;$AO249)),
SUMPRODUCT(INDEX($AR$67:$AT$76,,$AI249), INDEX($AU$67:$BA$76,,$AH249), 1 / ($BC$67:$BC$76*BQ249 + (1-$BC$67:$BC$76)*BM249), N($AQ$67:$AQ$76&gt;$AO249))
) / 1000</f>
        <v>0</v>
      </c>
      <c r="BS249" s="232">
        <f t="shared" si="249"/>
        <v>25</v>
      </c>
      <c r="BT249" s="230">
        <f t="shared" si="411"/>
        <v>38</v>
      </c>
      <c r="BU249" s="235">
        <f t="shared" si="412"/>
        <v>3.792954545454545</v>
      </c>
      <c r="BV249" s="235" cm="1">
        <f t="array" ref="BV249">$BI249 * IF($AH249&lt;=2,
SUMPRODUCT(INDEX($AR$67:$AT$71,,$AI249), INDEX($AU$67:$BA$71,,$AH249), 1 / ($BB$67:$BB$71*BU249 + (1-$BB$67:$BB$71)*BQ249), N($AQ$67:$AQ$71&gt;$AO249)),
SUMPRODUCT(INDEX($AR$57:$AT$66,,$AI249), INDEX($AU$57:$BA$66,,$AH249), 1 / ($BC$57:$BC$66*BU249 + (1-$BC$57:$BC$66)*BQ249), N($AQ$57:$AQ$66&gt;$AO249))
) / 1000</f>
        <v>0</v>
      </c>
      <c r="BW249" s="232">
        <f t="shared" si="252"/>
        <v>20</v>
      </c>
      <c r="BX249" s="230">
        <f t="shared" si="413"/>
        <v>33</v>
      </c>
      <c r="BY249" s="235">
        <f t="shared" si="414"/>
        <v>4.4702678571428569</v>
      </c>
      <c r="BZ249" s="235" cm="1">
        <f t="array" ref="BZ249">$BI249 * IF($AH249&lt;=2,
SUMPRODUCT(INDEX($AR$62:$AT$66,,$AI249), INDEX($AU$62:$BA$66,,$AH249), 1 / ($BB$62:$BB$66*BY249 + (1-$BB$62:$BB$66)*BU249), N($AQ$62:$AQ$66&gt;$AO249)),
SUMPRODUCT(INDEX($AR$47:$AT$56,,$AI249), INDEX($AU$47:$BA$56,,$AH249), 1 / ($BC$47:$BC$56*BY249 + (1-$BC$47:$BC$56)*BU249), N($AQ$47:$AQ$56&gt;$AO249))
) / 1000</f>
        <v>0</v>
      </c>
      <c r="CA249" s="235" cm="1">
        <f t="array" ref="CA249">$BI249 * IF($AH249&lt;=2,
SUMPRODUCT(INDEX($AR$23:$AT$61,,$AI249), INDEX($AU$23:$BA$61,,$AH249), 1 / ($BB$23:$BB$61*BY249), N($AQ$23:$AQ$61&gt;$AO249)),
SUMPRODUCT(INDEX($AR$23:$AT$46,,$AI249), INDEX($AU$23:$BA$46,,$AH249), 1 / ($BC$23:$BC$46*BY249), N($AQ$23:$AQ$46&gt;$AO249))
) / 1000</f>
        <v>0</v>
      </c>
      <c r="CB249" s="230">
        <f t="shared" si="415"/>
        <v>0</v>
      </c>
      <c r="CC249" s="238"/>
      <c r="CD249" s="229" cm="1">
        <f t="array" ref="CD249">IF(ISBLANK(Y249), INDEX(Use, $AH249, 4) - AN249*INDEX(Use, $AH249, 6) - (Q249-X249), Y249)</f>
        <v>7</v>
      </c>
      <c r="CE249" s="229">
        <f t="shared" si="416"/>
        <v>32</v>
      </c>
      <c r="CF249" s="230">
        <f t="shared" si="417"/>
        <v>0</v>
      </c>
      <c r="CG249" s="229">
        <v>35</v>
      </c>
      <c r="CH249" s="230">
        <f t="shared" si="418"/>
        <v>48</v>
      </c>
      <c r="CI249" s="235">
        <f t="shared" si="419"/>
        <v>3.0748170731707316</v>
      </c>
      <c r="CJ249" s="235" cm="1">
        <f t="array" ref="CJ249">$BI249 * SUMPRODUCT(INDEX($AR$77:$AT$82,,$AI249),INDEX($AU$77:$BA$82,,$AH249), N($AQ$77:$AQ$82&gt;$AO249)) / CI249 / 1000</f>
        <v>0</v>
      </c>
      <c r="CK249" s="232">
        <f t="shared" si="260"/>
        <v>30</v>
      </c>
      <c r="CL249" s="230">
        <f t="shared" si="420"/>
        <v>43</v>
      </c>
      <c r="CM249" s="235">
        <f t="shared" si="421"/>
        <v>3.5018750000000001</v>
      </c>
      <c r="CN249" s="235" cm="1">
        <f t="array" ref="CN249">$BI249 * IF($AH249&lt;=2,
SUMPRODUCT(INDEX($AR$72:$AT$76,,$AI249), INDEX($AU$72:$BA$76,,$AH249), 1 / ($BB$72:$BB$76*CM249 + (1-$BB$72:$BB$76)*CI249), N($AQ$72:$AQ$76&gt;$AO249)),
SUMPRODUCT(INDEX($AR$67:$AT$76,,$AI249), INDEX($AU$67:$BA$76,,$AH249), 1 / ($BC$67:$BC$76*CM249 + (1-$BC$67:$BC$76)*CI249), N($AQ$67:$AQ$76&gt;$AO249))
) / 1000</f>
        <v>0</v>
      </c>
      <c r="CO249" s="232">
        <f t="shared" si="263"/>
        <v>25</v>
      </c>
      <c r="CP249" s="230">
        <f t="shared" si="422"/>
        <v>38</v>
      </c>
      <c r="CQ249" s="235">
        <f t="shared" si="423"/>
        <v>4.0666935483870965</v>
      </c>
      <c r="CR249" s="235" cm="1">
        <f t="array" ref="CR249">$BI249 * IF($AH249&lt;=2,
SUMPRODUCT(INDEX($AR$67:$AT$71,,$AI249), INDEX($AU$67:$BA$71,,$AH249), 1 / ($BB$67:$BB$71*CQ249 + (1-$BB$67:$BB$71)*CM249), N($AQ$67:$AQ$71&gt;$AO249)),
SUMPRODUCT(INDEX($AR$57:$AT$66,,$AI249), INDEX($AU$57:$BA$66,,$AH249), 1 / ($BC$57:$BC$66*CQ249 + (1-$BC$57:$BC$66)*CM249), N($AQ$57:$AQ$66&gt;$AO249))
) / 1000</f>
        <v>0</v>
      </c>
      <c r="CS249" s="232">
        <f t="shared" si="266"/>
        <v>20</v>
      </c>
      <c r="CT249" s="230">
        <f t="shared" si="424"/>
        <v>33</v>
      </c>
      <c r="CU249" s="235">
        <f t="shared" si="425"/>
        <v>4.8487499999999999</v>
      </c>
      <c r="CV249" s="235" cm="1">
        <f t="array" ref="CV249">$BI249 * IF($AH249&lt;=2,
SUMPRODUCT(INDEX($AR$62:$AT$66,,$AI249), INDEX($AU$62:$BA$66,,$AH249), 1 / ($BB$62:$BB$66*CU249 + (1-$BB$62:$BB$66)*CQ249), N($AQ$62:$AQ$66&gt;$AO249)),
SUMPRODUCT(INDEX($AR$47:$AT$56,,$AI249), INDEX($AU$47:$BA$56,,$AH249), 1 / ($BC$47:$BC$56*CU249 + (1-$BC$47:$BC$56)*CQ249), N($AQ$47:$AQ$56&gt;$AO249))
) / 1000</f>
        <v>0</v>
      </c>
      <c r="CW249" s="235" cm="1">
        <f t="array" ref="CW249">$BI249 * IF($AH249&lt;=2,
SUMPRODUCT(INDEX($AR$23:$AT$61,,$AI249), INDEX($AU$23:$BA$61,,$AH249), 1 / ($BB$23:$BB$61*CU249), N($AQ$23:$AQ$61&gt;$AO249)),
SUMPRODUCT(INDEX($AR$23:$AT$46,,$AI249), INDEX($AU$23:$BA$46,,$AH249), 1 / ($BC$23:$BC$46*CU249), N($AQ$23:$AQ$46&gt;$AO249))
) / 1000</f>
        <v>0</v>
      </c>
      <c r="CX249" s="230">
        <f t="shared" si="426"/>
        <v>0</v>
      </c>
      <c r="CY249" s="238"/>
    </row>
    <row r="250" spans="1:103" s="76" customFormat="1" ht="14.25" customHeight="1" x14ac:dyDescent="0.2">
      <c r="A250" s="231" t="b">
        <f t="shared" si="229"/>
        <v>0</v>
      </c>
      <c r="B250" s="245">
        <v>228</v>
      </c>
      <c r="C250" s="258"/>
      <c r="D250" s="258"/>
      <c r="E250" s="246"/>
      <c r="F250" s="247" t="str">
        <f>IF(ISBLANK(E250), "", VLOOKUP(E250, Z!$A$2:$C$4127, 3, FALSE))</f>
        <v/>
      </c>
      <c r="G250" s="248"/>
      <c r="H250" s="248"/>
      <c r="I250" s="249"/>
      <c r="J250" s="250"/>
      <c r="K250" s="259"/>
      <c r="L250" s="260"/>
      <c r="M250" s="252" t="str" cm="1">
        <f t="array" ref="M250">INDEX(Trad, 53, $A$20)</f>
        <v>Verschmutzt</v>
      </c>
      <c r="N250" s="253"/>
      <c r="O250" s="253"/>
      <c r="P250" s="254"/>
      <c r="Q250" s="251"/>
      <c r="R250" s="251"/>
      <c r="S250" s="264">
        <f t="shared" si="401"/>
        <v>0</v>
      </c>
      <c r="T250" s="252" t="str" cm="1">
        <f t="array" ref="T250">INDEX(Trad, 52, $A$20)</f>
        <v>Sauber</v>
      </c>
      <c r="U250" s="253"/>
      <c r="V250" s="253"/>
      <c r="W250" s="254"/>
      <c r="X250" s="251"/>
      <c r="Y250" s="251"/>
      <c r="Z250" s="264">
        <f t="shared" si="402"/>
        <v>0</v>
      </c>
      <c r="AA250" s="261"/>
      <c r="AB250" s="258"/>
      <c r="AC250" s="246"/>
      <c r="AD250" s="247" t="str">
        <f>IF(ISBLANK(AC250), "", VLOOKUP(AC250, Z!$A$2:$C$4127, 3, FALSE))</f>
        <v/>
      </c>
      <c r="AE250" s="262"/>
      <c r="AF250" s="263">
        <f t="shared" si="403"/>
        <v>0</v>
      </c>
      <c r="AG250" s="238"/>
      <c r="AH250" s="229">
        <f t="shared" si="427"/>
        <v>1</v>
      </c>
      <c r="AI250" s="229">
        <f t="shared" si="428"/>
        <v>1</v>
      </c>
      <c r="AJ250" s="229">
        <f t="shared" si="429"/>
        <v>0</v>
      </c>
      <c r="AK250" s="229">
        <v>0</v>
      </c>
      <c r="AL250" s="229">
        <v>0</v>
      </c>
      <c r="AM250" s="229">
        <v>1</v>
      </c>
      <c r="AN250" s="229">
        <v>0</v>
      </c>
      <c r="AO250" s="229">
        <f t="shared" si="404"/>
        <v>-100</v>
      </c>
      <c r="AP250" s="238"/>
      <c r="AQ250" s="255"/>
      <c r="AR250" s="255"/>
      <c r="AS250" s="256"/>
      <c r="AT250" s="256"/>
      <c r="AU250" s="256"/>
      <c r="AV250" s="256"/>
      <c r="AW250" s="256"/>
      <c r="AX250" s="256"/>
      <c r="AY250" s="256"/>
      <c r="AZ250" s="256"/>
      <c r="BA250" s="256"/>
      <c r="BB250" s="256"/>
      <c r="BC250" s="256"/>
      <c r="BD250" s="238"/>
      <c r="BE250" s="229" cm="1">
        <f t="array" ref="BE250">IF(ISBLANK(R250), INDEX(Use, $AH250, 4) - AM250*INDEX(Use, $AH250, 6), R250)</f>
        <v>5</v>
      </c>
      <c r="BF250" s="229">
        <f t="shared" si="405"/>
        <v>30</v>
      </c>
      <c r="BG250" s="229">
        <f t="shared" si="241"/>
        <v>13</v>
      </c>
      <c r="BH250" s="229">
        <f t="shared" si="242"/>
        <v>0</v>
      </c>
      <c r="BI250" s="234" cm="1">
        <f t="array" ref="BI250">K250/IF($L250&gt;0, INDEX($AU$23:$BA$77, $L250+20, $AH250), 1)</f>
        <v>0</v>
      </c>
      <c r="BJ250" s="230">
        <f t="shared" si="406"/>
        <v>0</v>
      </c>
      <c r="BK250" s="229">
        <v>35</v>
      </c>
      <c r="BL250" s="230">
        <f t="shared" si="407"/>
        <v>48</v>
      </c>
      <c r="BM250" s="235">
        <f t="shared" si="408"/>
        <v>2.9108720930232557</v>
      </c>
      <c r="BN250" s="235" cm="1">
        <f t="array" ref="BN250">$BI250 * SUMPRODUCT(INDEX($AR$77:$AT$82,,$AI250),INDEX($AU$77:$BA$82,,$AH250), N($AQ$77:$AQ$82&gt;$AO250)) / BM250 / 1000</f>
        <v>0</v>
      </c>
      <c r="BO250" s="232">
        <f t="shared" si="246"/>
        <v>30</v>
      </c>
      <c r="BP250" s="230">
        <f t="shared" si="409"/>
        <v>43</v>
      </c>
      <c r="BQ250" s="235">
        <f t="shared" si="410"/>
        <v>3.2938815789473681</v>
      </c>
      <c r="BR250" s="235" cm="1">
        <f t="array" ref="BR250">$BI250 * IF($AH250&lt;=2,
SUMPRODUCT(INDEX($AR$72:$AT$76,,$AI250), INDEX($AU$72:$BA$76,,$AH250), 1 / ($BB$72:$BB$76*BQ250 + (1-$BB$72:$BB$76)*BM250), N($AQ$72:$AQ$76&gt;$AO250)),
SUMPRODUCT(INDEX($AR$67:$AT$76,,$AI250), INDEX($AU$67:$BA$76,,$AH250), 1 / ($BC$67:$BC$76*BQ250 + (1-$BC$67:$BC$76)*BM250), N($AQ$67:$AQ$76&gt;$AO250))
) / 1000</f>
        <v>0</v>
      </c>
      <c r="BS250" s="232">
        <f t="shared" si="249"/>
        <v>25</v>
      </c>
      <c r="BT250" s="230">
        <f t="shared" si="411"/>
        <v>38</v>
      </c>
      <c r="BU250" s="235">
        <f t="shared" si="412"/>
        <v>3.792954545454545</v>
      </c>
      <c r="BV250" s="235" cm="1">
        <f t="array" ref="BV250">$BI250 * IF($AH250&lt;=2,
SUMPRODUCT(INDEX($AR$67:$AT$71,,$AI250), INDEX($AU$67:$BA$71,,$AH250), 1 / ($BB$67:$BB$71*BU250 + (1-$BB$67:$BB$71)*BQ250), N($AQ$67:$AQ$71&gt;$AO250)),
SUMPRODUCT(INDEX($AR$57:$AT$66,,$AI250), INDEX($AU$57:$BA$66,,$AH250), 1 / ($BC$57:$BC$66*BU250 + (1-$BC$57:$BC$66)*BQ250), N($AQ$57:$AQ$66&gt;$AO250))
) / 1000</f>
        <v>0</v>
      </c>
      <c r="BW250" s="232">
        <f t="shared" si="252"/>
        <v>20</v>
      </c>
      <c r="BX250" s="230">
        <f t="shared" si="413"/>
        <v>33</v>
      </c>
      <c r="BY250" s="235">
        <f t="shared" si="414"/>
        <v>4.4702678571428569</v>
      </c>
      <c r="BZ250" s="235" cm="1">
        <f t="array" ref="BZ250">$BI250 * IF($AH250&lt;=2,
SUMPRODUCT(INDEX($AR$62:$AT$66,,$AI250), INDEX($AU$62:$BA$66,,$AH250), 1 / ($BB$62:$BB$66*BY250 + (1-$BB$62:$BB$66)*BU250), N($AQ$62:$AQ$66&gt;$AO250)),
SUMPRODUCT(INDEX($AR$47:$AT$56,,$AI250), INDEX($AU$47:$BA$56,,$AH250), 1 / ($BC$47:$BC$56*BY250 + (1-$BC$47:$BC$56)*BU250), N($AQ$47:$AQ$56&gt;$AO250))
) / 1000</f>
        <v>0</v>
      </c>
      <c r="CA250" s="235" cm="1">
        <f t="array" ref="CA250">$BI250 * IF($AH250&lt;=2,
SUMPRODUCT(INDEX($AR$23:$AT$61,,$AI250), INDEX($AU$23:$BA$61,,$AH250), 1 / ($BB$23:$BB$61*BY250), N($AQ$23:$AQ$61&gt;$AO250)),
SUMPRODUCT(INDEX($AR$23:$AT$46,,$AI250), INDEX($AU$23:$BA$46,,$AH250), 1 / ($BC$23:$BC$46*BY250), N($AQ$23:$AQ$46&gt;$AO250))
) / 1000</f>
        <v>0</v>
      </c>
      <c r="CB250" s="230">
        <f t="shared" si="415"/>
        <v>0</v>
      </c>
      <c r="CC250" s="238"/>
      <c r="CD250" s="229" cm="1">
        <f t="array" ref="CD250">IF(ISBLANK(Y250), INDEX(Use, $AH250, 4) - AN250*INDEX(Use, $AH250, 6) - (Q250-X250), Y250)</f>
        <v>7</v>
      </c>
      <c r="CE250" s="229">
        <f t="shared" si="416"/>
        <v>32</v>
      </c>
      <c r="CF250" s="230">
        <f t="shared" si="417"/>
        <v>0</v>
      </c>
      <c r="CG250" s="229">
        <v>35</v>
      </c>
      <c r="CH250" s="230">
        <f t="shared" si="418"/>
        <v>48</v>
      </c>
      <c r="CI250" s="235">
        <f t="shared" si="419"/>
        <v>3.0748170731707316</v>
      </c>
      <c r="CJ250" s="235" cm="1">
        <f t="array" ref="CJ250">$BI250 * SUMPRODUCT(INDEX($AR$77:$AT$82,,$AI250),INDEX($AU$77:$BA$82,,$AH250), N($AQ$77:$AQ$82&gt;$AO250)) / CI250 / 1000</f>
        <v>0</v>
      </c>
      <c r="CK250" s="232">
        <f t="shared" si="260"/>
        <v>30</v>
      </c>
      <c r="CL250" s="230">
        <f t="shared" si="420"/>
        <v>43</v>
      </c>
      <c r="CM250" s="235">
        <f t="shared" si="421"/>
        <v>3.5018750000000001</v>
      </c>
      <c r="CN250" s="235" cm="1">
        <f t="array" ref="CN250">$BI250 * IF($AH250&lt;=2,
SUMPRODUCT(INDEX($AR$72:$AT$76,,$AI250), INDEX($AU$72:$BA$76,,$AH250), 1 / ($BB$72:$BB$76*CM250 + (1-$BB$72:$BB$76)*CI250), N($AQ$72:$AQ$76&gt;$AO250)),
SUMPRODUCT(INDEX($AR$67:$AT$76,,$AI250), INDEX($AU$67:$BA$76,,$AH250), 1 / ($BC$67:$BC$76*CM250 + (1-$BC$67:$BC$76)*CI250), N($AQ$67:$AQ$76&gt;$AO250))
) / 1000</f>
        <v>0</v>
      </c>
      <c r="CO250" s="232">
        <f t="shared" si="263"/>
        <v>25</v>
      </c>
      <c r="CP250" s="230">
        <f t="shared" si="422"/>
        <v>38</v>
      </c>
      <c r="CQ250" s="235">
        <f t="shared" si="423"/>
        <v>4.0666935483870965</v>
      </c>
      <c r="CR250" s="235" cm="1">
        <f t="array" ref="CR250">$BI250 * IF($AH250&lt;=2,
SUMPRODUCT(INDEX($AR$67:$AT$71,,$AI250), INDEX($AU$67:$BA$71,,$AH250), 1 / ($BB$67:$BB$71*CQ250 + (1-$BB$67:$BB$71)*CM250), N($AQ$67:$AQ$71&gt;$AO250)),
SUMPRODUCT(INDEX($AR$57:$AT$66,,$AI250), INDEX($AU$57:$BA$66,,$AH250), 1 / ($BC$57:$BC$66*CQ250 + (1-$BC$57:$BC$66)*CM250), N($AQ$57:$AQ$66&gt;$AO250))
) / 1000</f>
        <v>0</v>
      </c>
      <c r="CS250" s="232">
        <f t="shared" si="266"/>
        <v>20</v>
      </c>
      <c r="CT250" s="230">
        <f t="shared" si="424"/>
        <v>33</v>
      </c>
      <c r="CU250" s="235">
        <f t="shared" si="425"/>
        <v>4.8487499999999999</v>
      </c>
      <c r="CV250" s="235" cm="1">
        <f t="array" ref="CV250">$BI250 * IF($AH250&lt;=2,
SUMPRODUCT(INDEX($AR$62:$AT$66,,$AI250), INDEX($AU$62:$BA$66,,$AH250), 1 / ($BB$62:$BB$66*CU250 + (1-$BB$62:$BB$66)*CQ250), N($AQ$62:$AQ$66&gt;$AO250)),
SUMPRODUCT(INDEX($AR$47:$AT$56,,$AI250), INDEX($AU$47:$BA$56,,$AH250), 1 / ($BC$47:$BC$56*CU250 + (1-$BC$47:$BC$56)*CQ250), N($AQ$47:$AQ$56&gt;$AO250))
) / 1000</f>
        <v>0</v>
      </c>
      <c r="CW250" s="235" cm="1">
        <f t="array" ref="CW250">$BI250 * IF($AH250&lt;=2,
SUMPRODUCT(INDEX($AR$23:$AT$61,,$AI250), INDEX($AU$23:$BA$61,,$AH250), 1 / ($BB$23:$BB$61*CU250), N($AQ$23:$AQ$61&gt;$AO250)),
SUMPRODUCT(INDEX($AR$23:$AT$46,,$AI250), INDEX($AU$23:$BA$46,,$AH250), 1 / ($BC$23:$BC$46*CU250), N($AQ$23:$AQ$46&gt;$AO250))
) / 1000</f>
        <v>0</v>
      </c>
      <c r="CX250" s="230">
        <f t="shared" si="426"/>
        <v>0</v>
      </c>
      <c r="CY250" s="238"/>
    </row>
    <row r="251" spans="1:103" s="76" customFormat="1" ht="14.25" customHeight="1" x14ac:dyDescent="0.2">
      <c r="A251" s="231" t="b">
        <f t="shared" si="229"/>
        <v>0</v>
      </c>
      <c r="B251" s="245">
        <v>229</v>
      </c>
      <c r="C251" s="258"/>
      <c r="D251" s="258"/>
      <c r="E251" s="246"/>
      <c r="F251" s="247" t="str">
        <f>IF(ISBLANK(E251), "", VLOOKUP(E251, Z!$A$2:$C$4127, 3, FALSE))</f>
        <v/>
      </c>
      <c r="G251" s="248"/>
      <c r="H251" s="248"/>
      <c r="I251" s="249"/>
      <c r="J251" s="250"/>
      <c r="K251" s="259"/>
      <c r="L251" s="260"/>
      <c r="M251" s="252" t="str" cm="1">
        <f t="array" ref="M251">INDEX(Trad, 53, $A$20)</f>
        <v>Verschmutzt</v>
      </c>
      <c r="N251" s="253"/>
      <c r="O251" s="253"/>
      <c r="P251" s="254"/>
      <c r="Q251" s="251"/>
      <c r="R251" s="251"/>
      <c r="S251" s="264">
        <f t="shared" ref="S251:S314" si="430">CB251*1000</f>
        <v>0</v>
      </c>
      <c r="T251" s="252" t="str" cm="1">
        <f t="array" ref="T251">INDEX(Trad, 52, $A$20)</f>
        <v>Sauber</v>
      </c>
      <c r="U251" s="253"/>
      <c r="V251" s="253"/>
      <c r="W251" s="254"/>
      <c r="X251" s="251"/>
      <c r="Y251" s="251"/>
      <c r="Z251" s="264">
        <f t="shared" ref="Z251:Z314" si="431">CX251*1000</f>
        <v>0</v>
      </c>
      <c r="AA251" s="261"/>
      <c r="AB251" s="258"/>
      <c r="AC251" s="246"/>
      <c r="AD251" s="247" t="str">
        <f>IF(ISBLANK(AC251), "", VLOOKUP(AC251, Z!$A$2:$C$4127, 3, FALSE))</f>
        <v/>
      </c>
      <c r="AE251" s="262"/>
      <c r="AF251" s="263">
        <f t="shared" ref="AF251:AF314" si="432">0.75*AP$23*(S251-Z251)</f>
        <v>0</v>
      </c>
      <c r="AG251" s="238"/>
      <c r="AH251" s="229">
        <f t="shared" si="427"/>
        <v>1</v>
      </c>
      <c r="AI251" s="229">
        <f t="shared" si="428"/>
        <v>1</v>
      </c>
      <c r="AJ251" s="229">
        <f t="shared" si="429"/>
        <v>0</v>
      </c>
      <c r="AK251" s="229">
        <v>0</v>
      </c>
      <c r="AL251" s="229">
        <v>0</v>
      </c>
      <c r="AM251" s="229">
        <v>1</v>
      </c>
      <c r="AN251" s="229">
        <v>0</v>
      </c>
      <c r="AO251" s="229">
        <f t="shared" ref="AO251:AO314" si="433">IF(AND(J251="x", AH251=5), 11, IF(AND(J251="x", AH251=6), 19, -100))</f>
        <v>-100</v>
      </c>
      <c r="AP251" s="238"/>
      <c r="AQ251" s="255"/>
      <c r="AR251" s="255"/>
      <c r="AS251" s="256"/>
      <c r="AT251" s="256"/>
      <c r="AU251" s="256"/>
      <c r="AV251" s="256"/>
      <c r="AW251" s="256"/>
      <c r="AX251" s="256"/>
      <c r="AY251" s="256"/>
      <c r="AZ251" s="256"/>
      <c r="BA251" s="256"/>
      <c r="BB251" s="256"/>
      <c r="BC251" s="256"/>
      <c r="BD251" s="238"/>
      <c r="BE251" s="229" cm="1">
        <f t="array" ref="BE251">IF(ISBLANK(R251), INDEX(Use, $AH251, 4) - AM251*INDEX(Use, $AH251, 6), R251)</f>
        <v>5</v>
      </c>
      <c r="BF251" s="229">
        <f t="shared" ref="BF251:BF314" si="434">MAX(25, BE251+25)</f>
        <v>30</v>
      </c>
      <c r="BG251" s="229">
        <f t="shared" si="241"/>
        <v>13</v>
      </c>
      <c r="BH251" s="229">
        <f t="shared" si="242"/>
        <v>0</v>
      </c>
      <c r="BI251" s="234" cm="1">
        <f t="array" ref="BI251">K251/IF($L251&gt;0, INDEX($AU$23:$BA$77, $L251+20, $AH251), 1)</f>
        <v>0</v>
      </c>
      <c r="BJ251" s="230">
        <f t="shared" ref="BJ251:BJ314" si="435">P251 /  IF(AH251&lt;=2, 0.7 + 0.3 * (O251-20)/(35-20), 0.4 + 0.6 * (O251-5)/(35-5))</f>
        <v>0</v>
      </c>
      <c r="BK251" s="229">
        <v>35</v>
      </c>
      <c r="BL251" s="230">
        <f t="shared" ref="BL251:BL314" si="436">MAX($N251, MAX($BF251, $BK251 + $BG251 + $BH251 + 0.35*$AK251*$BG251 + BJ251))</f>
        <v>48</v>
      </c>
      <c r="BM251" s="235">
        <f t="shared" ref="BM251:BM314" si="437">0.45*($BE251+273.15)/(BL251-$BE251)</f>
        <v>2.9108720930232557</v>
      </c>
      <c r="BN251" s="235" cm="1">
        <f t="array" ref="BN251">$BI251 * SUMPRODUCT(INDEX($AR$77:$AT$82,,$AI251),INDEX($AU$77:$BA$82,,$AH251), N($AQ$77:$AQ$82&gt;$AO251)) / BM251 / 1000</f>
        <v>0</v>
      </c>
      <c r="BO251" s="232">
        <f t="shared" si="246"/>
        <v>30</v>
      </c>
      <c r="BP251" s="230">
        <f t="shared" ref="BP251:BP314" si="438">MAX($N251, MAX($BF251, BO251 + $BG251 + $BH251 + IF($AH251&lt;=2, (BO251-20)/(35-20), 0.6+0.4*(BO251-5)/(35-5))*0.35*$AK251*$BG251) + IF($AH251&lt;=2,0.9,0.8)*$BJ251)</f>
        <v>43</v>
      </c>
      <c r="BQ251" s="235">
        <f t="shared" ref="BQ251:BQ314" si="439">0.45*($BE251+273.15)/(BP251-$BE251)</f>
        <v>3.2938815789473681</v>
      </c>
      <c r="BR251" s="235" cm="1">
        <f t="array" ref="BR251">$BI251 * IF($AH251&lt;=2,
SUMPRODUCT(INDEX($AR$72:$AT$76,,$AI251), INDEX($AU$72:$BA$76,,$AH251), 1 / ($BB$72:$BB$76*BQ251 + (1-$BB$72:$BB$76)*BM251), N($AQ$72:$AQ$76&gt;$AO251)),
SUMPRODUCT(INDEX($AR$67:$AT$76,,$AI251), INDEX($AU$67:$BA$76,,$AH251), 1 / ($BC$67:$BC$76*BQ251 + (1-$BC$67:$BC$76)*BM251), N($AQ$67:$AQ$76&gt;$AO251))
) / 1000</f>
        <v>0</v>
      </c>
      <c r="BS251" s="232">
        <f t="shared" si="249"/>
        <v>25</v>
      </c>
      <c r="BT251" s="230">
        <f t="shared" ref="BT251:BT314" si="440">MAX($N251, MAX($BF251, BS251 + $BG251 + $BH251 + IF($AH251&lt;=2, (BS251-20)/(35-20), 0.6+0.4*(BS251-5)/(35-5))*0.35*$AK251*$BG251) + IF($AH251&lt;=2,0.8,0.6)*$BJ251)</f>
        <v>38</v>
      </c>
      <c r="BU251" s="235">
        <f t="shared" ref="BU251:BU314" si="441">0.45*($BE251+273.15)/(BT251-$BE251)</f>
        <v>3.792954545454545</v>
      </c>
      <c r="BV251" s="235" cm="1">
        <f t="array" ref="BV251">$BI251 * IF($AH251&lt;=2,
SUMPRODUCT(INDEX($AR$67:$AT$71,,$AI251), INDEX($AU$67:$BA$71,,$AH251), 1 / ($BB$67:$BB$71*BU251 + (1-$BB$67:$BB$71)*BQ251), N($AQ$67:$AQ$71&gt;$AO251)),
SUMPRODUCT(INDEX($AR$57:$AT$66,,$AI251), INDEX($AU$57:$BA$66,,$AH251), 1 / ($BC$57:$BC$66*BU251 + (1-$BC$57:$BC$66)*BQ251), N($AQ$57:$AQ$66&gt;$AO251))
) / 1000</f>
        <v>0</v>
      </c>
      <c r="BW251" s="232">
        <f t="shared" si="252"/>
        <v>20</v>
      </c>
      <c r="BX251" s="230">
        <f t="shared" ref="BX251:BX314" si="442">MAX($N251, MAX($BF251, BW251 + $BG251 + $BH251 + IF($AH251&lt;=2, (BW251-20)/(35-20), 0.6+0.4*(BW251-5)/(35-5))*0.35*$AK251*$BG251) + IF($AH251&lt;=2,0.7,0.4)*$BJ251)</f>
        <v>33</v>
      </c>
      <c r="BY251" s="235">
        <f t="shared" ref="BY251:BY314" si="443">0.45*($BE251+273.15)/(BX251-$BE251)</f>
        <v>4.4702678571428569</v>
      </c>
      <c r="BZ251" s="235" cm="1">
        <f t="array" ref="BZ251">$BI251 * IF($AH251&lt;=2,
SUMPRODUCT(INDEX($AR$62:$AT$66,,$AI251), INDEX($AU$62:$BA$66,,$AH251), 1 / ($BB$62:$BB$66*BY251 + (1-$BB$62:$BB$66)*BU251), N($AQ$62:$AQ$66&gt;$AO251)),
SUMPRODUCT(INDEX($AR$47:$AT$56,,$AI251), INDEX($AU$47:$BA$56,,$AH251), 1 / ($BC$47:$BC$56*BY251 + (1-$BC$47:$BC$56)*BU251), N($AQ$47:$AQ$56&gt;$AO251))
) / 1000</f>
        <v>0</v>
      </c>
      <c r="CA251" s="235" cm="1">
        <f t="array" ref="CA251">$BI251 * IF($AH251&lt;=2,
SUMPRODUCT(INDEX($AR$23:$AT$61,,$AI251), INDEX($AU$23:$BA$61,,$AH251), 1 / ($BB$23:$BB$61*BY251), N($AQ$23:$AQ$61&gt;$AO251)),
SUMPRODUCT(INDEX($AR$23:$AT$46,,$AI251), INDEX($AU$23:$BA$46,,$AH251), 1 / ($BC$23:$BC$46*BY251), N($AQ$23:$AQ$46&gt;$AO251))
) / 1000</f>
        <v>0</v>
      </c>
      <c r="CB251" s="230">
        <f t="shared" ref="CB251:CB314" si="444">BN251+BR251+BV251+BZ251+CA251</f>
        <v>0</v>
      </c>
      <c r="CC251" s="238"/>
      <c r="CD251" s="229" cm="1">
        <f t="array" ref="CD251">IF(ISBLANK(Y251), INDEX(Use, $AH251, 4) - AN251*INDEX(Use, $AH251, 6) - (Q251-X251), Y251)</f>
        <v>7</v>
      </c>
      <c r="CE251" s="229">
        <f t="shared" ref="CE251:CE314" si="445">MAX(25, CD251+25)</f>
        <v>32</v>
      </c>
      <c r="CF251" s="230">
        <f t="shared" ref="CF251:CF314" si="446">W251 /  IF(AH251&lt;=2, 0.7 + 0.3 * (V251-20)/(35-20), 0.4 + 0.6 * (V251-5)/(35-5))</f>
        <v>0</v>
      </c>
      <c r="CG251" s="229">
        <v>35</v>
      </c>
      <c r="CH251" s="230">
        <f t="shared" ref="CH251:CH314" si="447">MAX($U251, MAX($CE251, $BK251 + $BG251 + $BH251 + 0.35*$AL251*$BG251 + CF251))</f>
        <v>48</v>
      </c>
      <c r="CI251" s="235">
        <f t="shared" ref="CI251:CI314" si="448">0.45*($CD251+273.15)/(CH251-$CD251)</f>
        <v>3.0748170731707316</v>
      </c>
      <c r="CJ251" s="235" cm="1">
        <f t="array" ref="CJ251">$BI251 * SUMPRODUCT(INDEX($AR$77:$AT$82,,$AI251),INDEX($AU$77:$BA$82,,$AH251), N($AQ$77:$AQ$82&gt;$AO251)) / CI251 / 1000</f>
        <v>0</v>
      </c>
      <c r="CK251" s="232">
        <f t="shared" si="260"/>
        <v>30</v>
      </c>
      <c r="CL251" s="230">
        <f t="shared" ref="CL251:CL314" si="449">MAX($U251, MAX($CE251, CK251 + $BG251 + $BH251 + IF($AH251&lt;=2, (CK251-20)/(35-20), 0.6+0.4*(CK251-5)/(35-5))*0.35*$AL251*$BG251) + IF($AH251&lt;=2,0.9,0.8)*$CF251)</f>
        <v>43</v>
      </c>
      <c r="CM251" s="235">
        <f t="shared" ref="CM251:CM314" si="450">0.45*($CD251+273.15)/(CL251-$CD251)</f>
        <v>3.5018750000000001</v>
      </c>
      <c r="CN251" s="235" cm="1">
        <f t="array" ref="CN251">$BI251 * IF($AH251&lt;=2,
SUMPRODUCT(INDEX($AR$72:$AT$76,,$AI251), INDEX($AU$72:$BA$76,,$AH251), 1 / ($BB$72:$BB$76*CM251 + (1-$BB$72:$BB$76)*CI251), N($AQ$72:$AQ$76&gt;$AO251)),
SUMPRODUCT(INDEX($AR$67:$AT$76,,$AI251), INDEX($AU$67:$BA$76,,$AH251), 1 / ($BC$67:$BC$76*CM251 + (1-$BC$67:$BC$76)*CI251), N($AQ$67:$AQ$76&gt;$AO251))
) / 1000</f>
        <v>0</v>
      </c>
      <c r="CO251" s="232">
        <f t="shared" si="263"/>
        <v>25</v>
      </c>
      <c r="CP251" s="230">
        <f t="shared" ref="CP251:CP314" si="451">MAX($U251, MAX($CE251, CO251 + $BG251 + $BH251 + IF($AH251&lt;=2, (CO251-20)/(35-20), 0.6+0.4*(CO251-5)/(35-5))*0.35*$AL251*$BG251) + IF($AH251&lt;=2,0.8,0.6)*$CF251)</f>
        <v>38</v>
      </c>
      <c r="CQ251" s="235">
        <f t="shared" ref="CQ251:CQ314" si="452">0.45*($CD251+273.15)/(CP251-$CD251)</f>
        <v>4.0666935483870965</v>
      </c>
      <c r="CR251" s="235" cm="1">
        <f t="array" ref="CR251">$BI251 * IF($AH251&lt;=2,
SUMPRODUCT(INDEX($AR$67:$AT$71,,$AI251), INDEX($AU$67:$BA$71,,$AH251), 1 / ($BB$67:$BB$71*CQ251 + (1-$BB$67:$BB$71)*CM251), N($AQ$67:$AQ$71&gt;$AO251)),
SUMPRODUCT(INDEX($AR$57:$AT$66,,$AI251), INDEX($AU$57:$BA$66,,$AH251), 1 / ($BC$57:$BC$66*CQ251 + (1-$BC$57:$BC$66)*CM251), N($AQ$57:$AQ$66&gt;$AO251))
) / 1000</f>
        <v>0</v>
      </c>
      <c r="CS251" s="232">
        <f t="shared" si="266"/>
        <v>20</v>
      </c>
      <c r="CT251" s="230">
        <f t="shared" ref="CT251:CT314" si="453">MAX($U251, MAX($CE251, CS251 + $BG251 + $BH251 + IF($AH251&lt;=2, (CS251-20)/(35-20), 0.6+0.4*(CS251-5)/(35-5))*0.35*$AL251*$BG251) + IF($AH251&lt;=2,0.7,0.4)*$CF251)</f>
        <v>33</v>
      </c>
      <c r="CU251" s="235">
        <f t="shared" ref="CU251:CU314" si="454">0.45*($CD251+273.15)/(CT251-$CD251)</f>
        <v>4.8487499999999999</v>
      </c>
      <c r="CV251" s="235" cm="1">
        <f t="array" ref="CV251">$BI251 * IF($AH251&lt;=2,
SUMPRODUCT(INDEX($AR$62:$AT$66,,$AI251), INDEX($AU$62:$BA$66,,$AH251), 1 / ($BB$62:$BB$66*CU251 + (1-$BB$62:$BB$66)*CQ251), N($AQ$62:$AQ$66&gt;$AO251)),
SUMPRODUCT(INDEX($AR$47:$AT$56,,$AI251), INDEX($AU$47:$BA$56,,$AH251), 1 / ($BC$47:$BC$56*CU251 + (1-$BC$47:$BC$56)*CQ251), N($AQ$47:$AQ$56&gt;$AO251))
) / 1000</f>
        <v>0</v>
      </c>
      <c r="CW251" s="235" cm="1">
        <f t="array" ref="CW251">$BI251 * IF($AH251&lt;=2,
SUMPRODUCT(INDEX($AR$23:$AT$61,,$AI251), INDEX($AU$23:$BA$61,,$AH251), 1 / ($BB$23:$BB$61*CU251), N($AQ$23:$AQ$61&gt;$AO251)),
SUMPRODUCT(INDEX($AR$23:$AT$46,,$AI251), INDEX($AU$23:$BA$46,,$AH251), 1 / ($BC$23:$BC$46*CU251), N($AQ$23:$AQ$46&gt;$AO251))
) / 1000</f>
        <v>0</v>
      </c>
      <c r="CX251" s="230">
        <f t="shared" ref="CX251:CX314" si="455">CJ251+CN251+CR251+CV251+CW251</f>
        <v>0</v>
      </c>
      <c r="CY251" s="238"/>
    </row>
    <row r="252" spans="1:103" s="76" customFormat="1" ht="14.25" customHeight="1" x14ac:dyDescent="0.2">
      <c r="A252" s="231" t="b">
        <f t="shared" si="229"/>
        <v>0</v>
      </c>
      <c r="B252" s="245">
        <v>230</v>
      </c>
      <c r="C252" s="258"/>
      <c r="D252" s="258"/>
      <c r="E252" s="246"/>
      <c r="F252" s="247" t="str">
        <f>IF(ISBLANK(E252), "", VLOOKUP(E252, Z!$A$2:$C$4127, 3, FALSE))</f>
        <v/>
      </c>
      <c r="G252" s="248"/>
      <c r="H252" s="248"/>
      <c r="I252" s="249"/>
      <c r="J252" s="250"/>
      <c r="K252" s="259"/>
      <c r="L252" s="260"/>
      <c r="M252" s="252" t="str" cm="1">
        <f t="array" ref="M252">INDEX(Trad, 53, $A$20)</f>
        <v>Verschmutzt</v>
      </c>
      <c r="N252" s="253"/>
      <c r="O252" s="253"/>
      <c r="P252" s="254"/>
      <c r="Q252" s="251"/>
      <c r="R252" s="251"/>
      <c r="S252" s="264">
        <f t="shared" si="430"/>
        <v>0</v>
      </c>
      <c r="T252" s="252" t="str" cm="1">
        <f t="array" ref="T252">INDEX(Trad, 52, $A$20)</f>
        <v>Sauber</v>
      </c>
      <c r="U252" s="253"/>
      <c r="V252" s="253"/>
      <c r="W252" s="254"/>
      <c r="X252" s="251"/>
      <c r="Y252" s="251"/>
      <c r="Z252" s="264">
        <f t="shared" si="431"/>
        <v>0</v>
      </c>
      <c r="AA252" s="261"/>
      <c r="AB252" s="258"/>
      <c r="AC252" s="246"/>
      <c r="AD252" s="247" t="str">
        <f>IF(ISBLANK(AC252), "", VLOOKUP(AC252, Z!$A$2:$C$4127, 3, FALSE))</f>
        <v/>
      </c>
      <c r="AE252" s="262"/>
      <c r="AF252" s="263">
        <f t="shared" si="432"/>
        <v>0</v>
      </c>
      <c r="AG252" s="238"/>
      <c r="AH252" s="229">
        <f t="shared" ref="AH252:AH315" si="456">IF(ISBLANK(H252), 1, IFERROR(MATCH(H252, INDEX(Use,,1), 0), IFERROR(MATCH(H252, INDEX(Use,,2), 0), MATCH(H252, INDEX(Use,,3), 0))))</f>
        <v>1</v>
      </c>
      <c r="AI252" s="229">
        <f t="shared" ref="AI252:AI315" si="457">IF(ISBLANK(G252), 1, IFERROR(MATCH(G252, INDEX(Loc,,1), 0), IFERROR(MATCH(G252, INDEX(Loc,,2), 0), MATCH(G252, INDEX(Loc,,3), 0))))</f>
        <v>1</v>
      </c>
      <c r="AJ252" s="229">
        <f t="shared" ref="AJ252:AJ315" si="458">_xlfn.IFNA(IF(IFERROR(MATCH(I252, INDEX(Medium,,1), 0), IFERROR(MATCH(I252, INDEX(Medium,,2), 0), MATCH(I252, INDEX(Medium,,3), 0))) = 2, 1, 0), 0)</f>
        <v>0</v>
      </c>
      <c r="AK252" s="229">
        <v>0</v>
      </c>
      <c r="AL252" s="229">
        <v>0</v>
      </c>
      <c r="AM252" s="229">
        <v>1</v>
      </c>
      <c r="AN252" s="229">
        <v>0</v>
      </c>
      <c r="AO252" s="229">
        <f t="shared" si="433"/>
        <v>-100</v>
      </c>
      <c r="AP252" s="238"/>
      <c r="AQ252" s="255"/>
      <c r="AR252" s="255"/>
      <c r="AS252" s="256"/>
      <c r="AT252" s="256"/>
      <c r="AU252" s="256"/>
      <c r="AV252" s="256"/>
      <c r="AW252" s="256"/>
      <c r="AX252" s="256"/>
      <c r="AY252" s="256"/>
      <c r="AZ252" s="256"/>
      <c r="BA252" s="256"/>
      <c r="BB252" s="256"/>
      <c r="BC252" s="256"/>
      <c r="BD252" s="238"/>
      <c r="BE252" s="229" cm="1">
        <f t="array" ref="BE252">IF(ISBLANK(R252), INDEX(Use, $AH252, 4) - AM252*INDEX(Use, $AH252, 6), R252)</f>
        <v>5</v>
      </c>
      <c r="BF252" s="229">
        <f t="shared" si="434"/>
        <v>30</v>
      </c>
      <c r="BG252" s="229">
        <f t="shared" si="241"/>
        <v>13</v>
      </c>
      <c r="BH252" s="229">
        <f t="shared" si="242"/>
        <v>0</v>
      </c>
      <c r="BI252" s="234" cm="1">
        <f t="array" ref="BI252">K252/IF($L252&gt;0, INDEX($AU$23:$BA$77, $L252+20, $AH252), 1)</f>
        <v>0</v>
      </c>
      <c r="BJ252" s="230">
        <f t="shared" si="435"/>
        <v>0</v>
      </c>
      <c r="BK252" s="229">
        <v>35</v>
      </c>
      <c r="BL252" s="230">
        <f t="shared" si="436"/>
        <v>48</v>
      </c>
      <c r="BM252" s="235">
        <f t="shared" si="437"/>
        <v>2.9108720930232557</v>
      </c>
      <c r="BN252" s="235" cm="1">
        <f t="array" ref="BN252">$BI252 * SUMPRODUCT(INDEX($AR$77:$AT$82,,$AI252),INDEX($AU$77:$BA$82,,$AH252), N($AQ$77:$AQ$82&gt;$AO252)) / BM252 / 1000</f>
        <v>0</v>
      </c>
      <c r="BO252" s="232">
        <f t="shared" si="246"/>
        <v>30</v>
      </c>
      <c r="BP252" s="230">
        <f t="shared" si="438"/>
        <v>43</v>
      </c>
      <c r="BQ252" s="235">
        <f t="shared" si="439"/>
        <v>3.2938815789473681</v>
      </c>
      <c r="BR252" s="235" cm="1">
        <f t="array" ref="BR252">$BI252 * IF($AH252&lt;=2,
SUMPRODUCT(INDEX($AR$72:$AT$76,,$AI252), INDEX($AU$72:$BA$76,,$AH252), 1 / ($BB$72:$BB$76*BQ252 + (1-$BB$72:$BB$76)*BM252), N($AQ$72:$AQ$76&gt;$AO252)),
SUMPRODUCT(INDEX($AR$67:$AT$76,,$AI252), INDEX($AU$67:$BA$76,,$AH252), 1 / ($BC$67:$BC$76*BQ252 + (1-$BC$67:$BC$76)*BM252), N($AQ$67:$AQ$76&gt;$AO252))
) / 1000</f>
        <v>0</v>
      </c>
      <c r="BS252" s="232">
        <f t="shared" si="249"/>
        <v>25</v>
      </c>
      <c r="BT252" s="230">
        <f t="shared" si="440"/>
        <v>38</v>
      </c>
      <c r="BU252" s="235">
        <f t="shared" si="441"/>
        <v>3.792954545454545</v>
      </c>
      <c r="BV252" s="235" cm="1">
        <f t="array" ref="BV252">$BI252 * IF($AH252&lt;=2,
SUMPRODUCT(INDEX($AR$67:$AT$71,,$AI252), INDEX($AU$67:$BA$71,,$AH252), 1 / ($BB$67:$BB$71*BU252 + (1-$BB$67:$BB$71)*BQ252), N($AQ$67:$AQ$71&gt;$AO252)),
SUMPRODUCT(INDEX($AR$57:$AT$66,,$AI252), INDEX($AU$57:$BA$66,,$AH252), 1 / ($BC$57:$BC$66*BU252 + (1-$BC$57:$BC$66)*BQ252), N($AQ$57:$AQ$66&gt;$AO252))
) / 1000</f>
        <v>0</v>
      </c>
      <c r="BW252" s="232">
        <f t="shared" si="252"/>
        <v>20</v>
      </c>
      <c r="BX252" s="230">
        <f t="shared" si="442"/>
        <v>33</v>
      </c>
      <c r="BY252" s="235">
        <f t="shared" si="443"/>
        <v>4.4702678571428569</v>
      </c>
      <c r="BZ252" s="235" cm="1">
        <f t="array" ref="BZ252">$BI252 * IF($AH252&lt;=2,
SUMPRODUCT(INDEX($AR$62:$AT$66,,$AI252), INDEX($AU$62:$BA$66,,$AH252), 1 / ($BB$62:$BB$66*BY252 + (1-$BB$62:$BB$66)*BU252), N($AQ$62:$AQ$66&gt;$AO252)),
SUMPRODUCT(INDEX($AR$47:$AT$56,,$AI252), INDEX($AU$47:$BA$56,,$AH252), 1 / ($BC$47:$BC$56*BY252 + (1-$BC$47:$BC$56)*BU252), N($AQ$47:$AQ$56&gt;$AO252))
) / 1000</f>
        <v>0</v>
      </c>
      <c r="CA252" s="235" cm="1">
        <f t="array" ref="CA252">$BI252 * IF($AH252&lt;=2,
SUMPRODUCT(INDEX($AR$23:$AT$61,,$AI252), INDEX($AU$23:$BA$61,,$AH252), 1 / ($BB$23:$BB$61*BY252), N($AQ$23:$AQ$61&gt;$AO252)),
SUMPRODUCT(INDEX($AR$23:$AT$46,,$AI252), INDEX($AU$23:$BA$46,,$AH252), 1 / ($BC$23:$BC$46*BY252), N($AQ$23:$AQ$46&gt;$AO252))
) / 1000</f>
        <v>0</v>
      </c>
      <c r="CB252" s="230">
        <f t="shared" si="444"/>
        <v>0</v>
      </c>
      <c r="CC252" s="238"/>
      <c r="CD252" s="229" cm="1">
        <f t="array" ref="CD252">IF(ISBLANK(Y252), INDEX(Use, $AH252, 4) - AN252*INDEX(Use, $AH252, 6) - (Q252-X252), Y252)</f>
        <v>7</v>
      </c>
      <c r="CE252" s="229">
        <f t="shared" si="445"/>
        <v>32</v>
      </c>
      <c r="CF252" s="230">
        <f t="shared" si="446"/>
        <v>0</v>
      </c>
      <c r="CG252" s="229">
        <v>35</v>
      </c>
      <c r="CH252" s="230">
        <f t="shared" si="447"/>
        <v>48</v>
      </c>
      <c r="CI252" s="235">
        <f t="shared" si="448"/>
        <v>3.0748170731707316</v>
      </c>
      <c r="CJ252" s="235" cm="1">
        <f t="array" ref="CJ252">$BI252 * SUMPRODUCT(INDEX($AR$77:$AT$82,,$AI252),INDEX($AU$77:$BA$82,,$AH252), N($AQ$77:$AQ$82&gt;$AO252)) / CI252 / 1000</f>
        <v>0</v>
      </c>
      <c r="CK252" s="232">
        <f t="shared" si="260"/>
        <v>30</v>
      </c>
      <c r="CL252" s="230">
        <f t="shared" si="449"/>
        <v>43</v>
      </c>
      <c r="CM252" s="235">
        <f t="shared" si="450"/>
        <v>3.5018750000000001</v>
      </c>
      <c r="CN252" s="235" cm="1">
        <f t="array" ref="CN252">$BI252 * IF($AH252&lt;=2,
SUMPRODUCT(INDEX($AR$72:$AT$76,,$AI252), INDEX($AU$72:$BA$76,,$AH252), 1 / ($BB$72:$BB$76*CM252 + (1-$BB$72:$BB$76)*CI252), N($AQ$72:$AQ$76&gt;$AO252)),
SUMPRODUCT(INDEX($AR$67:$AT$76,,$AI252), INDEX($AU$67:$BA$76,,$AH252), 1 / ($BC$67:$BC$76*CM252 + (1-$BC$67:$BC$76)*CI252), N($AQ$67:$AQ$76&gt;$AO252))
) / 1000</f>
        <v>0</v>
      </c>
      <c r="CO252" s="232">
        <f t="shared" si="263"/>
        <v>25</v>
      </c>
      <c r="CP252" s="230">
        <f t="shared" si="451"/>
        <v>38</v>
      </c>
      <c r="CQ252" s="235">
        <f t="shared" si="452"/>
        <v>4.0666935483870965</v>
      </c>
      <c r="CR252" s="235" cm="1">
        <f t="array" ref="CR252">$BI252 * IF($AH252&lt;=2,
SUMPRODUCT(INDEX($AR$67:$AT$71,,$AI252), INDEX($AU$67:$BA$71,,$AH252), 1 / ($BB$67:$BB$71*CQ252 + (1-$BB$67:$BB$71)*CM252), N($AQ$67:$AQ$71&gt;$AO252)),
SUMPRODUCT(INDEX($AR$57:$AT$66,,$AI252), INDEX($AU$57:$BA$66,,$AH252), 1 / ($BC$57:$BC$66*CQ252 + (1-$BC$57:$BC$66)*CM252), N($AQ$57:$AQ$66&gt;$AO252))
) / 1000</f>
        <v>0</v>
      </c>
      <c r="CS252" s="232">
        <f t="shared" si="266"/>
        <v>20</v>
      </c>
      <c r="CT252" s="230">
        <f t="shared" si="453"/>
        <v>33</v>
      </c>
      <c r="CU252" s="235">
        <f t="shared" si="454"/>
        <v>4.8487499999999999</v>
      </c>
      <c r="CV252" s="235" cm="1">
        <f t="array" ref="CV252">$BI252 * IF($AH252&lt;=2,
SUMPRODUCT(INDEX($AR$62:$AT$66,,$AI252), INDEX($AU$62:$BA$66,,$AH252), 1 / ($BB$62:$BB$66*CU252 + (1-$BB$62:$BB$66)*CQ252), N($AQ$62:$AQ$66&gt;$AO252)),
SUMPRODUCT(INDEX($AR$47:$AT$56,,$AI252), INDEX($AU$47:$BA$56,,$AH252), 1 / ($BC$47:$BC$56*CU252 + (1-$BC$47:$BC$56)*CQ252), N($AQ$47:$AQ$56&gt;$AO252))
) / 1000</f>
        <v>0</v>
      </c>
      <c r="CW252" s="235" cm="1">
        <f t="array" ref="CW252">$BI252 * IF($AH252&lt;=2,
SUMPRODUCT(INDEX($AR$23:$AT$61,,$AI252), INDEX($AU$23:$BA$61,,$AH252), 1 / ($BB$23:$BB$61*CU252), N($AQ$23:$AQ$61&gt;$AO252)),
SUMPRODUCT(INDEX($AR$23:$AT$46,,$AI252), INDEX($AU$23:$BA$46,,$AH252), 1 / ($BC$23:$BC$46*CU252), N($AQ$23:$AQ$46&gt;$AO252))
) / 1000</f>
        <v>0</v>
      </c>
      <c r="CX252" s="230">
        <f t="shared" si="455"/>
        <v>0</v>
      </c>
      <c r="CY252" s="238"/>
    </row>
    <row r="253" spans="1:103" s="76" customFormat="1" ht="14.25" customHeight="1" x14ac:dyDescent="0.2">
      <c r="A253" s="231" t="b">
        <f t="shared" si="229"/>
        <v>0</v>
      </c>
      <c r="B253" s="245">
        <v>231</v>
      </c>
      <c r="C253" s="258"/>
      <c r="D253" s="258"/>
      <c r="E253" s="246"/>
      <c r="F253" s="247" t="str">
        <f>IF(ISBLANK(E253), "", VLOOKUP(E253, Z!$A$2:$C$4127, 3, FALSE))</f>
        <v/>
      </c>
      <c r="G253" s="248"/>
      <c r="H253" s="248"/>
      <c r="I253" s="249"/>
      <c r="J253" s="250"/>
      <c r="K253" s="259"/>
      <c r="L253" s="260"/>
      <c r="M253" s="252" t="str" cm="1">
        <f t="array" ref="M253">INDEX(Trad, 53, $A$20)</f>
        <v>Verschmutzt</v>
      </c>
      <c r="N253" s="253"/>
      <c r="O253" s="253"/>
      <c r="P253" s="254"/>
      <c r="Q253" s="251"/>
      <c r="R253" s="251"/>
      <c r="S253" s="264">
        <f t="shared" si="430"/>
        <v>0</v>
      </c>
      <c r="T253" s="252" t="str" cm="1">
        <f t="array" ref="T253">INDEX(Trad, 52, $A$20)</f>
        <v>Sauber</v>
      </c>
      <c r="U253" s="253"/>
      <c r="V253" s="253"/>
      <c r="W253" s="254"/>
      <c r="X253" s="251"/>
      <c r="Y253" s="251"/>
      <c r="Z253" s="264">
        <f t="shared" si="431"/>
        <v>0</v>
      </c>
      <c r="AA253" s="261"/>
      <c r="AB253" s="258"/>
      <c r="AC253" s="246"/>
      <c r="AD253" s="247" t="str">
        <f>IF(ISBLANK(AC253), "", VLOOKUP(AC253, Z!$A$2:$C$4127, 3, FALSE))</f>
        <v/>
      </c>
      <c r="AE253" s="262"/>
      <c r="AF253" s="263">
        <f t="shared" si="432"/>
        <v>0</v>
      </c>
      <c r="AG253" s="238"/>
      <c r="AH253" s="229">
        <f t="shared" si="456"/>
        <v>1</v>
      </c>
      <c r="AI253" s="229">
        <f t="shared" si="457"/>
        <v>1</v>
      </c>
      <c r="AJ253" s="229">
        <f t="shared" si="458"/>
        <v>0</v>
      </c>
      <c r="AK253" s="229">
        <v>0</v>
      </c>
      <c r="AL253" s="229">
        <v>0</v>
      </c>
      <c r="AM253" s="229">
        <v>1</v>
      </c>
      <c r="AN253" s="229">
        <v>0</v>
      </c>
      <c r="AO253" s="229">
        <f t="shared" si="433"/>
        <v>-100</v>
      </c>
      <c r="AP253" s="238"/>
      <c r="AQ253" s="255"/>
      <c r="AR253" s="255"/>
      <c r="AS253" s="256"/>
      <c r="AT253" s="256"/>
      <c r="AU253" s="256"/>
      <c r="AV253" s="256"/>
      <c r="AW253" s="256"/>
      <c r="AX253" s="256"/>
      <c r="AY253" s="256"/>
      <c r="AZ253" s="256"/>
      <c r="BA253" s="256"/>
      <c r="BB253" s="256"/>
      <c r="BC253" s="256"/>
      <c r="BD253" s="238"/>
      <c r="BE253" s="229" cm="1">
        <f t="array" ref="BE253">IF(ISBLANK(R253), INDEX(Use, $AH253, 4) - AM253*INDEX(Use, $AH253, 6), R253)</f>
        <v>5</v>
      </c>
      <c r="BF253" s="229">
        <f t="shared" si="434"/>
        <v>30</v>
      </c>
      <c r="BG253" s="229">
        <f t="shared" si="241"/>
        <v>13</v>
      </c>
      <c r="BH253" s="229">
        <f t="shared" si="242"/>
        <v>0</v>
      </c>
      <c r="BI253" s="234" cm="1">
        <f t="array" ref="BI253">K253/IF($L253&gt;0, INDEX($AU$23:$BA$77, $L253+20, $AH253), 1)</f>
        <v>0</v>
      </c>
      <c r="BJ253" s="230">
        <f t="shared" si="435"/>
        <v>0</v>
      </c>
      <c r="BK253" s="229">
        <v>35</v>
      </c>
      <c r="BL253" s="230">
        <f t="shared" si="436"/>
        <v>48</v>
      </c>
      <c r="BM253" s="235">
        <f t="shared" si="437"/>
        <v>2.9108720930232557</v>
      </c>
      <c r="BN253" s="235" cm="1">
        <f t="array" ref="BN253">$BI253 * SUMPRODUCT(INDEX($AR$77:$AT$82,,$AI253),INDEX($AU$77:$BA$82,,$AH253), N($AQ$77:$AQ$82&gt;$AO253)) / BM253 / 1000</f>
        <v>0</v>
      </c>
      <c r="BO253" s="232">
        <f t="shared" si="246"/>
        <v>30</v>
      </c>
      <c r="BP253" s="230">
        <f t="shared" si="438"/>
        <v>43</v>
      </c>
      <c r="BQ253" s="235">
        <f t="shared" si="439"/>
        <v>3.2938815789473681</v>
      </c>
      <c r="BR253" s="235" cm="1">
        <f t="array" ref="BR253">$BI253 * IF($AH253&lt;=2,
SUMPRODUCT(INDEX($AR$72:$AT$76,,$AI253), INDEX($AU$72:$BA$76,,$AH253), 1 / ($BB$72:$BB$76*BQ253 + (1-$BB$72:$BB$76)*BM253), N($AQ$72:$AQ$76&gt;$AO253)),
SUMPRODUCT(INDEX($AR$67:$AT$76,,$AI253), INDEX($AU$67:$BA$76,,$AH253), 1 / ($BC$67:$BC$76*BQ253 + (1-$BC$67:$BC$76)*BM253), N($AQ$67:$AQ$76&gt;$AO253))
) / 1000</f>
        <v>0</v>
      </c>
      <c r="BS253" s="232">
        <f t="shared" si="249"/>
        <v>25</v>
      </c>
      <c r="BT253" s="230">
        <f t="shared" si="440"/>
        <v>38</v>
      </c>
      <c r="BU253" s="235">
        <f t="shared" si="441"/>
        <v>3.792954545454545</v>
      </c>
      <c r="BV253" s="235" cm="1">
        <f t="array" ref="BV253">$BI253 * IF($AH253&lt;=2,
SUMPRODUCT(INDEX($AR$67:$AT$71,,$AI253), INDEX($AU$67:$BA$71,,$AH253), 1 / ($BB$67:$BB$71*BU253 + (1-$BB$67:$BB$71)*BQ253), N($AQ$67:$AQ$71&gt;$AO253)),
SUMPRODUCT(INDEX($AR$57:$AT$66,,$AI253), INDEX($AU$57:$BA$66,,$AH253), 1 / ($BC$57:$BC$66*BU253 + (1-$BC$57:$BC$66)*BQ253), N($AQ$57:$AQ$66&gt;$AO253))
) / 1000</f>
        <v>0</v>
      </c>
      <c r="BW253" s="232">
        <f t="shared" si="252"/>
        <v>20</v>
      </c>
      <c r="BX253" s="230">
        <f t="shared" si="442"/>
        <v>33</v>
      </c>
      <c r="BY253" s="235">
        <f t="shared" si="443"/>
        <v>4.4702678571428569</v>
      </c>
      <c r="BZ253" s="235" cm="1">
        <f t="array" ref="BZ253">$BI253 * IF($AH253&lt;=2,
SUMPRODUCT(INDEX($AR$62:$AT$66,,$AI253), INDEX($AU$62:$BA$66,,$AH253), 1 / ($BB$62:$BB$66*BY253 + (1-$BB$62:$BB$66)*BU253), N($AQ$62:$AQ$66&gt;$AO253)),
SUMPRODUCT(INDEX($AR$47:$AT$56,,$AI253), INDEX($AU$47:$BA$56,,$AH253), 1 / ($BC$47:$BC$56*BY253 + (1-$BC$47:$BC$56)*BU253), N($AQ$47:$AQ$56&gt;$AO253))
) / 1000</f>
        <v>0</v>
      </c>
      <c r="CA253" s="235" cm="1">
        <f t="array" ref="CA253">$BI253 * IF($AH253&lt;=2,
SUMPRODUCT(INDEX($AR$23:$AT$61,,$AI253), INDEX($AU$23:$BA$61,,$AH253), 1 / ($BB$23:$BB$61*BY253), N($AQ$23:$AQ$61&gt;$AO253)),
SUMPRODUCT(INDEX($AR$23:$AT$46,,$AI253), INDEX($AU$23:$BA$46,,$AH253), 1 / ($BC$23:$BC$46*BY253), N($AQ$23:$AQ$46&gt;$AO253))
) / 1000</f>
        <v>0</v>
      </c>
      <c r="CB253" s="230">
        <f t="shared" si="444"/>
        <v>0</v>
      </c>
      <c r="CC253" s="238"/>
      <c r="CD253" s="229" cm="1">
        <f t="array" ref="CD253">IF(ISBLANK(Y253), INDEX(Use, $AH253, 4) - AN253*INDEX(Use, $AH253, 6) - (Q253-X253), Y253)</f>
        <v>7</v>
      </c>
      <c r="CE253" s="229">
        <f t="shared" si="445"/>
        <v>32</v>
      </c>
      <c r="CF253" s="230">
        <f t="shared" si="446"/>
        <v>0</v>
      </c>
      <c r="CG253" s="229">
        <v>35</v>
      </c>
      <c r="CH253" s="230">
        <f t="shared" si="447"/>
        <v>48</v>
      </c>
      <c r="CI253" s="235">
        <f t="shared" si="448"/>
        <v>3.0748170731707316</v>
      </c>
      <c r="CJ253" s="235" cm="1">
        <f t="array" ref="CJ253">$BI253 * SUMPRODUCT(INDEX($AR$77:$AT$82,,$AI253),INDEX($AU$77:$BA$82,,$AH253), N($AQ$77:$AQ$82&gt;$AO253)) / CI253 / 1000</f>
        <v>0</v>
      </c>
      <c r="CK253" s="232">
        <f t="shared" si="260"/>
        <v>30</v>
      </c>
      <c r="CL253" s="230">
        <f t="shared" si="449"/>
        <v>43</v>
      </c>
      <c r="CM253" s="235">
        <f t="shared" si="450"/>
        <v>3.5018750000000001</v>
      </c>
      <c r="CN253" s="235" cm="1">
        <f t="array" ref="CN253">$BI253 * IF($AH253&lt;=2,
SUMPRODUCT(INDEX($AR$72:$AT$76,,$AI253), INDEX($AU$72:$BA$76,,$AH253), 1 / ($BB$72:$BB$76*CM253 + (1-$BB$72:$BB$76)*CI253), N($AQ$72:$AQ$76&gt;$AO253)),
SUMPRODUCT(INDEX($AR$67:$AT$76,,$AI253), INDEX($AU$67:$BA$76,,$AH253), 1 / ($BC$67:$BC$76*CM253 + (1-$BC$67:$BC$76)*CI253), N($AQ$67:$AQ$76&gt;$AO253))
) / 1000</f>
        <v>0</v>
      </c>
      <c r="CO253" s="232">
        <f t="shared" si="263"/>
        <v>25</v>
      </c>
      <c r="CP253" s="230">
        <f t="shared" si="451"/>
        <v>38</v>
      </c>
      <c r="CQ253" s="235">
        <f t="shared" si="452"/>
        <v>4.0666935483870965</v>
      </c>
      <c r="CR253" s="235" cm="1">
        <f t="array" ref="CR253">$BI253 * IF($AH253&lt;=2,
SUMPRODUCT(INDEX($AR$67:$AT$71,,$AI253), INDEX($AU$67:$BA$71,,$AH253), 1 / ($BB$67:$BB$71*CQ253 + (1-$BB$67:$BB$71)*CM253), N($AQ$67:$AQ$71&gt;$AO253)),
SUMPRODUCT(INDEX($AR$57:$AT$66,,$AI253), INDEX($AU$57:$BA$66,,$AH253), 1 / ($BC$57:$BC$66*CQ253 + (1-$BC$57:$BC$66)*CM253), N($AQ$57:$AQ$66&gt;$AO253))
) / 1000</f>
        <v>0</v>
      </c>
      <c r="CS253" s="232">
        <f t="shared" si="266"/>
        <v>20</v>
      </c>
      <c r="CT253" s="230">
        <f t="shared" si="453"/>
        <v>33</v>
      </c>
      <c r="CU253" s="235">
        <f t="shared" si="454"/>
        <v>4.8487499999999999</v>
      </c>
      <c r="CV253" s="235" cm="1">
        <f t="array" ref="CV253">$BI253 * IF($AH253&lt;=2,
SUMPRODUCT(INDEX($AR$62:$AT$66,,$AI253), INDEX($AU$62:$BA$66,,$AH253), 1 / ($BB$62:$BB$66*CU253 + (1-$BB$62:$BB$66)*CQ253), N($AQ$62:$AQ$66&gt;$AO253)),
SUMPRODUCT(INDEX($AR$47:$AT$56,,$AI253), INDEX($AU$47:$BA$56,,$AH253), 1 / ($BC$47:$BC$56*CU253 + (1-$BC$47:$BC$56)*CQ253), N($AQ$47:$AQ$56&gt;$AO253))
) / 1000</f>
        <v>0</v>
      </c>
      <c r="CW253" s="235" cm="1">
        <f t="array" ref="CW253">$BI253 * IF($AH253&lt;=2,
SUMPRODUCT(INDEX($AR$23:$AT$61,,$AI253), INDEX($AU$23:$BA$61,,$AH253), 1 / ($BB$23:$BB$61*CU253), N($AQ$23:$AQ$61&gt;$AO253)),
SUMPRODUCT(INDEX($AR$23:$AT$46,,$AI253), INDEX($AU$23:$BA$46,,$AH253), 1 / ($BC$23:$BC$46*CU253), N($AQ$23:$AQ$46&gt;$AO253))
) / 1000</f>
        <v>0</v>
      </c>
      <c r="CX253" s="230">
        <f t="shared" si="455"/>
        <v>0</v>
      </c>
      <c r="CY253" s="238"/>
    </row>
    <row r="254" spans="1:103" s="76" customFormat="1" ht="14.25" customHeight="1" x14ac:dyDescent="0.2">
      <c r="A254" s="231" t="b">
        <f t="shared" si="229"/>
        <v>0</v>
      </c>
      <c r="B254" s="245">
        <v>232</v>
      </c>
      <c r="C254" s="258"/>
      <c r="D254" s="258"/>
      <c r="E254" s="246"/>
      <c r="F254" s="247" t="str">
        <f>IF(ISBLANK(E254), "", VLOOKUP(E254, Z!$A$2:$C$4127, 3, FALSE))</f>
        <v/>
      </c>
      <c r="G254" s="248"/>
      <c r="H254" s="248"/>
      <c r="I254" s="249"/>
      <c r="J254" s="250"/>
      <c r="K254" s="259"/>
      <c r="L254" s="260"/>
      <c r="M254" s="252" t="str" cm="1">
        <f t="array" ref="M254">INDEX(Trad, 53, $A$20)</f>
        <v>Verschmutzt</v>
      </c>
      <c r="N254" s="253"/>
      <c r="O254" s="253"/>
      <c r="P254" s="254"/>
      <c r="Q254" s="251"/>
      <c r="R254" s="251"/>
      <c r="S254" s="264">
        <f t="shared" si="430"/>
        <v>0</v>
      </c>
      <c r="T254" s="252" t="str" cm="1">
        <f t="array" ref="T254">INDEX(Trad, 52, $A$20)</f>
        <v>Sauber</v>
      </c>
      <c r="U254" s="253"/>
      <c r="V254" s="253"/>
      <c r="W254" s="254"/>
      <c r="X254" s="251"/>
      <c r="Y254" s="251"/>
      <c r="Z254" s="264">
        <f t="shared" si="431"/>
        <v>0</v>
      </c>
      <c r="AA254" s="261"/>
      <c r="AB254" s="258"/>
      <c r="AC254" s="246"/>
      <c r="AD254" s="247" t="str">
        <f>IF(ISBLANK(AC254), "", VLOOKUP(AC254, Z!$A$2:$C$4127, 3, FALSE))</f>
        <v/>
      </c>
      <c r="AE254" s="262"/>
      <c r="AF254" s="263">
        <f t="shared" si="432"/>
        <v>0</v>
      </c>
      <c r="AG254" s="238"/>
      <c r="AH254" s="229">
        <f t="shared" si="456"/>
        <v>1</v>
      </c>
      <c r="AI254" s="229">
        <f t="shared" si="457"/>
        <v>1</v>
      </c>
      <c r="AJ254" s="229">
        <f t="shared" si="458"/>
        <v>0</v>
      </c>
      <c r="AK254" s="229">
        <v>0</v>
      </c>
      <c r="AL254" s="229">
        <v>0</v>
      </c>
      <c r="AM254" s="229">
        <v>1</v>
      </c>
      <c r="AN254" s="229">
        <v>0</v>
      </c>
      <c r="AO254" s="229">
        <f t="shared" si="433"/>
        <v>-100</v>
      </c>
      <c r="AP254" s="238"/>
      <c r="AQ254" s="255"/>
      <c r="AR254" s="255"/>
      <c r="AS254" s="256"/>
      <c r="AT254" s="256"/>
      <c r="AU254" s="256"/>
      <c r="AV254" s="256"/>
      <c r="AW254" s="256"/>
      <c r="AX254" s="256"/>
      <c r="AY254" s="256"/>
      <c r="AZ254" s="256"/>
      <c r="BA254" s="256"/>
      <c r="BB254" s="256"/>
      <c r="BC254" s="256"/>
      <c r="BD254" s="238"/>
      <c r="BE254" s="229" cm="1">
        <f t="array" ref="BE254">IF(ISBLANK(R254), INDEX(Use, $AH254, 4) - AM254*INDEX(Use, $AH254, 6), R254)</f>
        <v>5</v>
      </c>
      <c r="BF254" s="229">
        <f t="shared" si="434"/>
        <v>30</v>
      </c>
      <c r="BG254" s="229">
        <f t="shared" si="241"/>
        <v>13</v>
      </c>
      <c r="BH254" s="229">
        <f t="shared" si="242"/>
        <v>0</v>
      </c>
      <c r="BI254" s="234" cm="1">
        <f t="array" ref="BI254">K254/IF($L254&gt;0, INDEX($AU$23:$BA$77, $L254+20, $AH254), 1)</f>
        <v>0</v>
      </c>
      <c r="BJ254" s="230">
        <f t="shared" si="435"/>
        <v>0</v>
      </c>
      <c r="BK254" s="229">
        <v>35</v>
      </c>
      <c r="BL254" s="230">
        <f t="shared" si="436"/>
        <v>48</v>
      </c>
      <c r="BM254" s="235">
        <f t="shared" si="437"/>
        <v>2.9108720930232557</v>
      </c>
      <c r="BN254" s="235" cm="1">
        <f t="array" ref="BN254">$BI254 * SUMPRODUCT(INDEX($AR$77:$AT$82,,$AI254),INDEX($AU$77:$BA$82,,$AH254), N($AQ$77:$AQ$82&gt;$AO254)) / BM254 / 1000</f>
        <v>0</v>
      </c>
      <c r="BO254" s="232">
        <f t="shared" si="246"/>
        <v>30</v>
      </c>
      <c r="BP254" s="230">
        <f t="shared" si="438"/>
        <v>43</v>
      </c>
      <c r="BQ254" s="235">
        <f t="shared" si="439"/>
        <v>3.2938815789473681</v>
      </c>
      <c r="BR254" s="235" cm="1">
        <f t="array" ref="BR254">$BI254 * IF($AH254&lt;=2,
SUMPRODUCT(INDEX($AR$72:$AT$76,,$AI254), INDEX($AU$72:$BA$76,,$AH254), 1 / ($BB$72:$BB$76*BQ254 + (1-$BB$72:$BB$76)*BM254), N($AQ$72:$AQ$76&gt;$AO254)),
SUMPRODUCT(INDEX($AR$67:$AT$76,,$AI254), INDEX($AU$67:$BA$76,,$AH254), 1 / ($BC$67:$BC$76*BQ254 + (1-$BC$67:$BC$76)*BM254), N($AQ$67:$AQ$76&gt;$AO254))
) / 1000</f>
        <v>0</v>
      </c>
      <c r="BS254" s="232">
        <f t="shared" si="249"/>
        <v>25</v>
      </c>
      <c r="BT254" s="230">
        <f t="shared" si="440"/>
        <v>38</v>
      </c>
      <c r="BU254" s="235">
        <f t="shared" si="441"/>
        <v>3.792954545454545</v>
      </c>
      <c r="BV254" s="235" cm="1">
        <f t="array" ref="BV254">$BI254 * IF($AH254&lt;=2,
SUMPRODUCT(INDEX($AR$67:$AT$71,,$AI254), INDEX($AU$67:$BA$71,,$AH254), 1 / ($BB$67:$BB$71*BU254 + (1-$BB$67:$BB$71)*BQ254), N($AQ$67:$AQ$71&gt;$AO254)),
SUMPRODUCT(INDEX($AR$57:$AT$66,,$AI254), INDEX($AU$57:$BA$66,,$AH254), 1 / ($BC$57:$BC$66*BU254 + (1-$BC$57:$BC$66)*BQ254), N($AQ$57:$AQ$66&gt;$AO254))
) / 1000</f>
        <v>0</v>
      </c>
      <c r="BW254" s="232">
        <f t="shared" si="252"/>
        <v>20</v>
      </c>
      <c r="BX254" s="230">
        <f t="shared" si="442"/>
        <v>33</v>
      </c>
      <c r="BY254" s="235">
        <f t="shared" si="443"/>
        <v>4.4702678571428569</v>
      </c>
      <c r="BZ254" s="235" cm="1">
        <f t="array" ref="BZ254">$BI254 * IF($AH254&lt;=2,
SUMPRODUCT(INDEX($AR$62:$AT$66,,$AI254), INDEX($AU$62:$BA$66,,$AH254), 1 / ($BB$62:$BB$66*BY254 + (1-$BB$62:$BB$66)*BU254), N($AQ$62:$AQ$66&gt;$AO254)),
SUMPRODUCT(INDEX($AR$47:$AT$56,,$AI254), INDEX($AU$47:$BA$56,,$AH254), 1 / ($BC$47:$BC$56*BY254 + (1-$BC$47:$BC$56)*BU254), N($AQ$47:$AQ$56&gt;$AO254))
) / 1000</f>
        <v>0</v>
      </c>
      <c r="CA254" s="235" cm="1">
        <f t="array" ref="CA254">$BI254 * IF($AH254&lt;=2,
SUMPRODUCT(INDEX($AR$23:$AT$61,,$AI254), INDEX($AU$23:$BA$61,,$AH254), 1 / ($BB$23:$BB$61*BY254), N($AQ$23:$AQ$61&gt;$AO254)),
SUMPRODUCT(INDEX($AR$23:$AT$46,,$AI254), INDEX($AU$23:$BA$46,,$AH254), 1 / ($BC$23:$BC$46*BY254), N($AQ$23:$AQ$46&gt;$AO254))
) / 1000</f>
        <v>0</v>
      </c>
      <c r="CB254" s="230">
        <f t="shared" si="444"/>
        <v>0</v>
      </c>
      <c r="CC254" s="238"/>
      <c r="CD254" s="229" cm="1">
        <f t="array" ref="CD254">IF(ISBLANK(Y254), INDEX(Use, $AH254, 4) - AN254*INDEX(Use, $AH254, 6) - (Q254-X254), Y254)</f>
        <v>7</v>
      </c>
      <c r="CE254" s="229">
        <f t="shared" si="445"/>
        <v>32</v>
      </c>
      <c r="CF254" s="230">
        <f t="shared" si="446"/>
        <v>0</v>
      </c>
      <c r="CG254" s="229">
        <v>35</v>
      </c>
      <c r="CH254" s="230">
        <f t="shared" si="447"/>
        <v>48</v>
      </c>
      <c r="CI254" s="235">
        <f t="shared" si="448"/>
        <v>3.0748170731707316</v>
      </c>
      <c r="CJ254" s="235" cm="1">
        <f t="array" ref="CJ254">$BI254 * SUMPRODUCT(INDEX($AR$77:$AT$82,,$AI254),INDEX($AU$77:$BA$82,,$AH254), N($AQ$77:$AQ$82&gt;$AO254)) / CI254 / 1000</f>
        <v>0</v>
      </c>
      <c r="CK254" s="232">
        <f t="shared" si="260"/>
        <v>30</v>
      </c>
      <c r="CL254" s="230">
        <f t="shared" si="449"/>
        <v>43</v>
      </c>
      <c r="CM254" s="235">
        <f t="shared" si="450"/>
        <v>3.5018750000000001</v>
      </c>
      <c r="CN254" s="235" cm="1">
        <f t="array" ref="CN254">$BI254 * IF($AH254&lt;=2,
SUMPRODUCT(INDEX($AR$72:$AT$76,,$AI254), INDEX($AU$72:$BA$76,,$AH254), 1 / ($BB$72:$BB$76*CM254 + (1-$BB$72:$BB$76)*CI254), N($AQ$72:$AQ$76&gt;$AO254)),
SUMPRODUCT(INDEX($AR$67:$AT$76,,$AI254), INDEX($AU$67:$BA$76,,$AH254), 1 / ($BC$67:$BC$76*CM254 + (1-$BC$67:$BC$76)*CI254), N($AQ$67:$AQ$76&gt;$AO254))
) / 1000</f>
        <v>0</v>
      </c>
      <c r="CO254" s="232">
        <f t="shared" si="263"/>
        <v>25</v>
      </c>
      <c r="CP254" s="230">
        <f t="shared" si="451"/>
        <v>38</v>
      </c>
      <c r="CQ254" s="235">
        <f t="shared" si="452"/>
        <v>4.0666935483870965</v>
      </c>
      <c r="CR254" s="235" cm="1">
        <f t="array" ref="CR254">$BI254 * IF($AH254&lt;=2,
SUMPRODUCT(INDEX($AR$67:$AT$71,,$AI254), INDEX($AU$67:$BA$71,,$AH254), 1 / ($BB$67:$BB$71*CQ254 + (1-$BB$67:$BB$71)*CM254), N($AQ$67:$AQ$71&gt;$AO254)),
SUMPRODUCT(INDEX($AR$57:$AT$66,,$AI254), INDEX($AU$57:$BA$66,,$AH254), 1 / ($BC$57:$BC$66*CQ254 + (1-$BC$57:$BC$66)*CM254), N($AQ$57:$AQ$66&gt;$AO254))
) / 1000</f>
        <v>0</v>
      </c>
      <c r="CS254" s="232">
        <f t="shared" si="266"/>
        <v>20</v>
      </c>
      <c r="CT254" s="230">
        <f t="shared" si="453"/>
        <v>33</v>
      </c>
      <c r="CU254" s="235">
        <f t="shared" si="454"/>
        <v>4.8487499999999999</v>
      </c>
      <c r="CV254" s="235" cm="1">
        <f t="array" ref="CV254">$BI254 * IF($AH254&lt;=2,
SUMPRODUCT(INDEX($AR$62:$AT$66,,$AI254), INDEX($AU$62:$BA$66,,$AH254), 1 / ($BB$62:$BB$66*CU254 + (1-$BB$62:$BB$66)*CQ254), N($AQ$62:$AQ$66&gt;$AO254)),
SUMPRODUCT(INDEX($AR$47:$AT$56,,$AI254), INDEX($AU$47:$BA$56,,$AH254), 1 / ($BC$47:$BC$56*CU254 + (1-$BC$47:$BC$56)*CQ254), N($AQ$47:$AQ$56&gt;$AO254))
) / 1000</f>
        <v>0</v>
      </c>
      <c r="CW254" s="235" cm="1">
        <f t="array" ref="CW254">$BI254 * IF($AH254&lt;=2,
SUMPRODUCT(INDEX($AR$23:$AT$61,,$AI254), INDEX($AU$23:$BA$61,,$AH254), 1 / ($BB$23:$BB$61*CU254), N($AQ$23:$AQ$61&gt;$AO254)),
SUMPRODUCT(INDEX($AR$23:$AT$46,,$AI254), INDEX($AU$23:$BA$46,,$AH254), 1 / ($BC$23:$BC$46*CU254), N($AQ$23:$AQ$46&gt;$AO254))
) / 1000</f>
        <v>0</v>
      </c>
      <c r="CX254" s="230">
        <f t="shared" si="455"/>
        <v>0</v>
      </c>
      <c r="CY254" s="238"/>
    </row>
    <row r="255" spans="1:103" s="76" customFormat="1" ht="14.25" customHeight="1" x14ac:dyDescent="0.2">
      <c r="A255" s="231" t="b">
        <f t="shared" si="229"/>
        <v>0</v>
      </c>
      <c r="B255" s="245">
        <v>233</v>
      </c>
      <c r="C255" s="258"/>
      <c r="D255" s="258"/>
      <c r="E255" s="246"/>
      <c r="F255" s="247" t="str">
        <f>IF(ISBLANK(E255), "", VLOOKUP(E255, Z!$A$2:$C$4127, 3, FALSE))</f>
        <v/>
      </c>
      <c r="G255" s="248"/>
      <c r="H255" s="248"/>
      <c r="I255" s="249"/>
      <c r="J255" s="250"/>
      <c r="K255" s="259"/>
      <c r="L255" s="260"/>
      <c r="M255" s="252" t="str" cm="1">
        <f t="array" ref="M255">INDEX(Trad, 53, $A$20)</f>
        <v>Verschmutzt</v>
      </c>
      <c r="N255" s="253"/>
      <c r="O255" s="253"/>
      <c r="P255" s="254"/>
      <c r="Q255" s="251"/>
      <c r="R255" s="251"/>
      <c r="S255" s="264">
        <f t="shared" si="430"/>
        <v>0</v>
      </c>
      <c r="T255" s="252" t="str" cm="1">
        <f t="array" ref="T255">INDEX(Trad, 52, $A$20)</f>
        <v>Sauber</v>
      </c>
      <c r="U255" s="253"/>
      <c r="V255" s="253"/>
      <c r="W255" s="254"/>
      <c r="X255" s="251"/>
      <c r="Y255" s="251"/>
      <c r="Z255" s="264">
        <f t="shared" si="431"/>
        <v>0</v>
      </c>
      <c r="AA255" s="261"/>
      <c r="AB255" s="258"/>
      <c r="AC255" s="246"/>
      <c r="AD255" s="247" t="str">
        <f>IF(ISBLANK(AC255), "", VLOOKUP(AC255, Z!$A$2:$C$4127, 3, FALSE))</f>
        <v/>
      </c>
      <c r="AE255" s="262"/>
      <c r="AF255" s="263">
        <f t="shared" si="432"/>
        <v>0</v>
      </c>
      <c r="AG255" s="238"/>
      <c r="AH255" s="229">
        <f t="shared" si="456"/>
        <v>1</v>
      </c>
      <c r="AI255" s="229">
        <f t="shared" si="457"/>
        <v>1</v>
      </c>
      <c r="AJ255" s="229">
        <f t="shared" si="458"/>
        <v>0</v>
      </c>
      <c r="AK255" s="229">
        <v>0</v>
      </c>
      <c r="AL255" s="229">
        <v>0</v>
      </c>
      <c r="AM255" s="229">
        <v>1</v>
      </c>
      <c r="AN255" s="229">
        <v>0</v>
      </c>
      <c r="AO255" s="229">
        <f t="shared" si="433"/>
        <v>-100</v>
      </c>
      <c r="AP255" s="238"/>
      <c r="AQ255" s="255"/>
      <c r="AR255" s="255"/>
      <c r="AS255" s="256"/>
      <c r="AT255" s="256"/>
      <c r="AU255" s="256"/>
      <c r="AV255" s="256"/>
      <c r="AW255" s="256"/>
      <c r="AX255" s="256"/>
      <c r="AY255" s="256"/>
      <c r="AZ255" s="256"/>
      <c r="BA255" s="256"/>
      <c r="BB255" s="256"/>
      <c r="BC255" s="256"/>
      <c r="BD255" s="238"/>
      <c r="BE255" s="229" cm="1">
        <f t="array" ref="BE255">IF(ISBLANK(R255), INDEX(Use, $AH255, 4) - AM255*INDEX(Use, $AH255, 6), R255)</f>
        <v>5</v>
      </c>
      <c r="BF255" s="229">
        <f t="shared" si="434"/>
        <v>30</v>
      </c>
      <c r="BG255" s="229">
        <f t="shared" si="241"/>
        <v>13</v>
      </c>
      <c r="BH255" s="229">
        <f t="shared" si="242"/>
        <v>0</v>
      </c>
      <c r="BI255" s="234" cm="1">
        <f t="array" ref="BI255">K255/IF($L255&gt;0, INDEX($AU$23:$BA$77, $L255+20, $AH255), 1)</f>
        <v>0</v>
      </c>
      <c r="BJ255" s="230">
        <f t="shared" si="435"/>
        <v>0</v>
      </c>
      <c r="BK255" s="229">
        <v>35</v>
      </c>
      <c r="BL255" s="230">
        <f t="shared" si="436"/>
        <v>48</v>
      </c>
      <c r="BM255" s="235">
        <f t="shared" si="437"/>
        <v>2.9108720930232557</v>
      </c>
      <c r="BN255" s="235" cm="1">
        <f t="array" ref="BN255">$BI255 * SUMPRODUCT(INDEX($AR$77:$AT$82,,$AI255),INDEX($AU$77:$BA$82,,$AH255), N($AQ$77:$AQ$82&gt;$AO255)) / BM255 / 1000</f>
        <v>0</v>
      </c>
      <c r="BO255" s="232">
        <f t="shared" si="246"/>
        <v>30</v>
      </c>
      <c r="BP255" s="230">
        <f t="shared" si="438"/>
        <v>43</v>
      </c>
      <c r="BQ255" s="235">
        <f t="shared" si="439"/>
        <v>3.2938815789473681</v>
      </c>
      <c r="BR255" s="235" cm="1">
        <f t="array" ref="BR255">$BI255 * IF($AH255&lt;=2,
SUMPRODUCT(INDEX($AR$72:$AT$76,,$AI255), INDEX($AU$72:$BA$76,,$AH255), 1 / ($BB$72:$BB$76*BQ255 + (1-$BB$72:$BB$76)*BM255), N($AQ$72:$AQ$76&gt;$AO255)),
SUMPRODUCT(INDEX($AR$67:$AT$76,,$AI255), INDEX($AU$67:$BA$76,,$AH255), 1 / ($BC$67:$BC$76*BQ255 + (1-$BC$67:$BC$76)*BM255), N($AQ$67:$AQ$76&gt;$AO255))
) / 1000</f>
        <v>0</v>
      </c>
      <c r="BS255" s="232">
        <f t="shared" si="249"/>
        <v>25</v>
      </c>
      <c r="BT255" s="230">
        <f t="shared" si="440"/>
        <v>38</v>
      </c>
      <c r="BU255" s="235">
        <f t="shared" si="441"/>
        <v>3.792954545454545</v>
      </c>
      <c r="BV255" s="235" cm="1">
        <f t="array" ref="BV255">$BI255 * IF($AH255&lt;=2,
SUMPRODUCT(INDEX($AR$67:$AT$71,,$AI255), INDEX($AU$67:$BA$71,,$AH255), 1 / ($BB$67:$BB$71*BU255 + (1-$BB$67:$BB$71)*BQ255), N($AQ$67:$AQ$71&gt;$AO255)),
SUMPRODUCT(INDEX($AR$57:$AT$66,,$AI255), INDEX($AU$57:$BA$66,,$AH255), 1 / ($BC$57:$BC$66*BU255 + (1-$BC$57:$BC$66)*BQ255), N($AQ$57:$AQ$66&gt;$AO255))
) / 1000</f>
        <v>0</v>
      </c>
      <c r="BW255" s="232">
        <f t="shared" si="252"/>
        <v>20</v>
      </c>
      <c r="BX255" s="230">
        <f t="shared" si="442"/>
        <v>33</v>
      </c>
      <c r="BY255" s="235">
        <f t="shared" si="443"/>
        <v>4.4702678571428569</v>
      </c>
      <c r="BZ255" s="235" cm="1">
        <f t="array" ref="BZ255">$BI255 * IF($AH255&lt;=2,
SUMPRODUCT(INDEX($AR$62:$AT$66,,$AI255), INDEX($AU$62:$BA$66,,$AH255), 1 / ($BB$62:$BB$66*BY255 + (1-$BB$62:$BB$66)*BU255), N($AQ$62:$AQ$66&gt;$AO255)),
SUMPRODUCT(INDEX($AR$47:$AT$56,,$AI255), INDEX($AU$47:$BA$56,,$AH255), 1 / ($BC$47:$BC$56*BY255 + (1-$BC$47:$BC$56)*BU255), N($AQ$47:$AQ$56&gt;$AO255))
) / 1000</f>
        <v>0</v>
      </c>
      <c r="CA255" s="235" cm="1">
        <f t="array" ref="CA255">$BI255 * IF($AH255&lt;=2,
SUMPRODUCT(INDEX($AR$23:$AT$61,,$AI255), INDEX($AU$23:$BA$61,,$AH255), 1 / ($BB$23:$BB$61*BY255), N($AQ$23:$AQ$61&gt;$AO255)),
SUMPRODUCT(INDEX($AR$23:$AT$46,,$AI255), INDEX($AU$23:$BA$46,,$AH255), 1 / ($BC$23:$BC$46*BY255), N($AQ$23:$AQ$46&gt;$AO255))
) / 1000</f>
        <v>0</v>
      </c>
      <c r="CB255" s="230">
        <f t="shared" si="444"/>
        <v>0</v>
      </c>
      <c r="CC255" s="238"/>
      <c r="CD255" s="229" cm="1">
        <f t="array" ref="CD255">IF(ISBLANK(Y255), INDEX(Use, $AH255, 4) - AN255*INDEX(Use, $AH255, 6) - (Q255-X255), Y255)</f>
        <v>7</v>
      </c>
      <c r="CE255" s="229">
        <f t="shared" si="445"/>
        <v>32</v>
      </c>
      <c r="CF255" s="230">
        <f t="shared" si="446"/>
        <v>0</v>
      </c>
      <c r="CG255" s="229">
        <v>35</v>
      </c>
      <c r="CH255" s="230">
        <f t="shared" si="447"/>
        <v>48</v>
      </c>
      <c r="CI255" s="235">
        <f t="shared" si="448"/>
        <v>3.0748170731707316</v>
      </c>
      <c r="CJ255" s="235" cm="1">
        <f t="array" ref="CJ255">$BI255 * SUMPRODUCT(INDEX($AR$77:$AT$82,,$AI255),INDEX($AU$77:$BA$82,,$AH255), N($AQ$77:$AQ$82&gt;$AO255)) / CI255 / 1000</f>
        <v>0</v>
      </c>
      <c r="CK255" s="232">
        <f t="shared" si="260"/>
        <v>30</v>
      </c>
      <c r="CL255" s="230">
        <f t="shared" si="449"/>
        <v>43</v>
      </c>
      <c r="CM255" s="235">
        <f t="shared" si="450"/>
        <v>3.5018750000000001</v>
      </c>
      <c r="CN255" s="235" cm="1">
        <f t="array" ref="CN255">$BI255 * IF($AH255&lt;=2,
SUMPRODUCT(INDEX($AR$72:$AT$76,,$AI255), INDEX($AU$72:$BA$76,,$AH255), 1 / ($BB$72:$BB$76*CM255 + (1-$BB$72:$BB$76)*CI255), N($AQ$72:$AQ$76&gt;$AO255)),
SUMPRODUCT(INDEX($AR$67:$AT$76,,$AI255), INDEX($AU$67:$BA$76,,$AH255), 1 / ($BC$67:$BC$76*CM255 + (1-$BC$67:$BC$76)*CI255), N($AQ$67:$AQ$76&gt;$AO255))
) / 1000</f>
        <v>0</v>
      </c>
      <c r="CO255" s="232">
        <f t="shared" si="263"/>
        <v>25</v>
      </c>
      <c r="CP255" s="230">
        <f t="shared" si="451"/>
        <v>38</v>
      </c>
      <c r="CQ255" s="235">
        <f t="shared" si="452"/>
        <v>4.0666935483870965</v>
      </c>
      <c r="CR255" s="235" cm="1">
        <f t="array" ref="CR255">$BI255 * IF($AH255&lt;=2,
SUMPRODUCT(INDEX($AR$67:$AT$71,,$AI255), INDEX($AU$67:$BA$71,,$AH255), 1 / ($BB$67:$BB$71*CQ255 + (1-$BB$67:$BB$71)*CM255), N($AQ$67:$AQ$71&gt;$AO255)),
SUMPRODUCT(INDEX($AR$57:$AT$66,,$AI255), INDEX($AU$57:$BA$66,,$AH255), 1 / ($BC$57:$BC$66*CQ255 + (1-$BC$57:$BC$66)*CM255), N($AQ$57:$AQ$66&gt;$AO255))
) / 1000</f>
        <v>0</v>
      </c>
      <c r="CS255" s="232">
        <f t="shared" si="266"/>
        <v>20</v>
      </c>
      <c r="CT255" s="230">
        <f t="shared" si="453"/>
        <v>33</v>
      </c>
      <c r="CU255" s="235">
        <f t="shared" si="454"/>
        <v>4.8487499999999999</v>
      </c>
      <c r="CV255" s="235" cm="1">
        <f t="array" ref="CV255">$BI255 * IF($AH255&lt;=2,
SUMPRODUCT(INDEX($AR$62:$AT$66,,$AI255), INDEX($AU$62:$BA$66,,$AH255), 1 / ($BB$62:$BB$66*CU255 + (1-$BB$62:$BB$66)*CQ255), N($AQ$62:$AQ$66&gt;$AO255)),
SUMPRODUCT(INDEX($AR$47:$AT$56,,$AI255), INDEX($AU$47:$BA$56,,$AH255), 1 / ($BC$47:$BC$56*CU255 + (1-$BC$47:$BC$56)*CQ255), N($AQ$47:$AQ$56&gt;$AO255))
) / 1000</f>
        <v>0</v>
      </c>
      <c r="CW255" s="235" cm="1">
        <f t="array" ref="CW255">$BI255 * IF($AH255&lt;=2,
SUMPRODUCT(INDEX($AR$23:$AT$61,,$AI255), INDEX($AU$23:$BA$61,,$AH255), 1 / ($BB$23:$BB$61*CU255), N($AQ$23:$AQ$61&gt;$AO255)),
SUMPRODUCT(INDEX($AR$23:$AT$46,,$AI255), INDEX($AU$23:$BA$46,,$AH255), 1 / ($BC$23:$BC$46*CU255), N($AQ$23:$AQ$46&gt;$AO255))
) / 1000</f>
        <v>0</v>
      </c>
      <c r="CX255" s="230">
        <f t="shared" si="455"/>
        <v>0</v>
      </c>
      <c r="CY255" s="238"/>
    </row>
    <row r="256" spans="1:103" s="76" customFormat="1" ht="14.25" customHeight="1" x14ac:dyDescent="0.2">
      <c r="A256" s="231" t="b">
        <f t="shared" si="229"/>
        <v>0</v>
      </c>
      <c r="B256" s="245">
        <v>234</v>
      </c>
      <c r="C256" s="258"/>
      <c r="D256" s="258"/>
      <c r="E256" s="246"/>
      <c r="F256" s="247" t="str">
        <f>IF(ISBLANK(E256), "", VLOOKUP(E256, Z!$A$2:$C$4127, 3, FALSE))</f>
        <v/>
      </c>
      <c r="G256" s="248"/>
      <c r="H256" s="248"/>
      <c r="I256" s="249"/>
      <c r="J256" s="250"/>
      <c r="K256" s="259"/>
      <c r="L256" s="260"/>
      <c r="M256" s="252" t="str" cm="1">
        <f t="array" ref="M256">INDEX(Trad, 53, $A$20)</f>
        <v>Verschmutzt</v>
      </c>
      <c r="N256" s="253"/>
      <c r="O256" s="253"/>
      <c r="P256" s="254"/>
      <c r="Q256" s="251"/>
      <c r="R256" s="251"/>
      <c r="S256" s="264">
        <f t="shared" si="430"/>
        <v>0</v>
      </c>
      <c r="T256" s="252" t="str" cm="1">
        <f t="array" ref="T256">INDEX(Trad, 52, $A$20)</f>
        <v>Sauber</v>
      </c>
      <c r="U256" s="253"/>
      <c r="V256" s="253"/>
      <c r="W256" s="254"/>
      <c r="X256" s="251"/>
      <c r="Y256" s="251"/>
      <c r="Z256" s="264">
        <f t="shared" si="431"/>
        <v>0</v>
      </c>
      <c r="AA256" s="261"/>
      <c r="AB256" s="258"/>
      <c r="AC256" s="246"/>
      <c r="AD256" s="247" t="str">
        <f>IF(ISBLANK(AC256), "", VLOOKUP(AC256, Z!$A$2:$C$4127, 3, FALSE))</f>
        <v/>
      </c>
      <c r="AE256" s="262"/>
      <c r="AF256" s="263">
        <f t="shared" si="432"/>
        <v>0</v>
      </c>
      <c r="AG256" s="238"/>
      <c r="AH256" s="229">
        <f t="shared" si="456"/>
        <v>1</v>
      </c>
      <c r="AI256" s="229">
        <f t="shared" si="457"/>
        <v>1</v>
      </c>
      <c r="AJ256" s="229">
        <f t="shared" si="458"/>
        <v>0</v>
      </c>
      <c r="AK256" s="229">
        <v>0</v>
      </c>
      <c r="AL256" s="229">
        <v>0</v>
      </c>
      <c r="AM256" s="229">
        <v>1</v>
      </c>
      <c r="AN256" s="229">
        <v>0</v>
      </c>
      <c r="AO256" s="229">
        <f t="shared" si="433"/>
        <v>-100</v>
      </c>
      <c r="AP256" s="238"/>
      <c r="AQ256" s="255"/>
      <c r="AR256" s="255"/>
      <c r="AS256" s="256"/>
      <c r="AT256" s="256"/>
      <c r="AU256" s="256"/>
      <c r="AV256" s="256"/>
      <c r="AW256" s="256"/>
      <c r="AX256" s="256"/>
      <c r="AY256" s="256"/>
      <c r="AZ256" s="256"/>
      <c r="BA256" s="256"/>
      <c r="BB256" s="256"/>
      <c r="BC256" s="256"/>
      <c r="BD256" s="238"/>
      <c r="BE256" s="229" cm="1">
        <f t="array" ref="BE256">IF(ISBLANK(R256), INDEX(Use, $AH256, 4) - AM256*INDEX(Use, $AH256, 6), R256)</f>
        <v>5</v>
      </c>
      <c r="BF256" s="229">
        <f t="shared" si="434"/>
        <v>30</v>
      </c>
      <c r="BG256" s="229">
        <f t="shared" si="241"/>
        <v>13</v>
      </c>
      <c r="BH256" s="229">
        <f t="shared" si="242"/>
        <v>0</v>
      </c>
      <c r="BI256" s="234" cm="1">
        <f t="array" ref="BI256">K256/IF($L256&gt;0, INDEX($AU$23:$BA$77, $L256+20, $AH256), 1)</f>
        <v>0</v>
      </c>
      <c r="BJ256" s="230">
        <f t="shared" si="435"/>
        <v>0</v>
      </c>
      <c r="BK256" s="229">
        <v>35</v>
      </c>
      <c r="BL256" s="230">
        <f t="shared" si="436"/>
        <v>48</v>
      </c>
      <c r="BM256" s="235">
        <f t="shared" si="437"/>
        <v>2.9108720930232557</v>
      </c>
      <c r="BN256" s="235" cm="1">
        <f t="array" ref="BN256">$BI256 * SUMPRODUCT(INDEX($AR$77:$AT$82,,$AI256),INDEX($AU$77:$BA$82,,$AH256), N($AQ$77:$AQ$82&gt;$AO256)) / BM256 / 1000</f>
        <v>0</v>
      </c>
      <c r="BO256" s="232">
        <f t="shared" si="246"/>
        <v>30</v>
      </c>
      <c r="BP256" s="230">
        <f t="shared" si="438"/>
        <v>43</v>
      </c>
      <c r="BQ256" s="235">
        <f t="shared" si="439"/>
        <v>3.2938815789473681</v>
      </c>
      <c r="BR256" s="235" cm="1">
        <f t="array" ref="BR256">$BI256 * IF($AH256&lt;=2,
SUMPRODUCT(INDEX($AR$72:$AT$76,,$AI256), INDEX($AU$72:$BA$76,,$AH256), 1 / ($BB$72:$BB$76*BQ256 + (1-$BB$72:$BB$76)*BM256), N($AQ$72:$AQ$76&gt;$AO256)),
SUMPRODUCT(INDEX($AR$67:$AT$76,,$AI256), INDEX($AU$67:$BA$76,,$AH256), 1 / ($BC$67:$BC$76*BQ256 + (1-$BC$67:$BC$76)*BM256), N($AQ$67:$AQ$76&gt;$AO256))
) / 1000</f>
        <v>0</v>
      </c>
      <c r="BS256" s="232">
        <f t="shared" si="249"/>
        <v>25</v>
      </c>
      <c r="BT256" s="230">
        <f t="shared" si="440"/>
        <v>38</v>
      </c>
      <c r="BU256" s="235">
        <f t="shared" si="441"/>
        <v>3.792954545454545</v>
      </c>
      <c r="BV256" s="235" cm="1">
        <f t="array" ref="BV256">$BI256 * IF($AH256&lt;=2,
SUMPRODUCT(INDEX($AR$67:$AT$71,,$AI256), INDEX($AU$67:$BA$71,,$AH256), 1 / ($BB$67:$BB$71*BU256 + (1-$BB$67:$BB$71)*BQ256), N($AQ$67:$AQ$71&gt;$AO256)),
SUMPRODUCT(INDEX($AR$57:$AT$66,,$AI256), INDEX($AU$57:$BA$66,,$AH256), 1 / ($BC$57:$BC$66*BU256 + (1-$BC$57:$BC$66)*BQ256), N($AQ$57:$AQ$66&gt;$AO256))
) / 1000</f>
        <v>0</v>
      </c>
      <c r="BW256" s="232">
        <f t="shared" si="252"/>
        <v>20</v>
      </c>
      <c r="BX256" s="230">
        <f t="shared" si="442"/>
        <v>33</v>
      </c>
      <c r="BY256" s="235">
        <f t="shared" si="443"/>
        <v>4.4702678571428569</v>
      </c>
      <c r="BZ256" s="235" cm="1">
        <f t="array" ref="BZ256">$BI256 * IF($AH256&lt;=2,
SUMPRODUCT(INDEX($AR$62:$AT$66,,$AI256), INDEX($AU$62:$BA$66,,$AH256), 1 / ($BB$62:$BB$66*BY256 + (1-$BB$62:$BB$66)*BU256), N($AQ$62:$AQ$66&gt;$AO256)),
SUMPRODUCT(INDEX($AR$47:$AT$56,,$AI256), INDEX($AU$47:$BA$56,,$AH256), 1 / ($BC$47:$BC$56*BY256 + (1-$BC$47:$BC$56)*BU256), N($AQ$47:$AQ$56&gt;$AO256))
) / 1000</f>
        <v>0</v>
      </c>
      <c r="CA256" s="235" cm="1">
        <f t="array" ref="CA256">$BI256 * IF($AH256&lt;=2,
SUMPRODUCT(INDEX($AR$23:$AT$61,,$AI256), INDEX($AU$23:$BA$61,,$AH256), 1 / ($BB$23:$BB$61*BY256), N($AQ$23:$AQ$61&gt;$AO256)),
SUMPRODUCT(INDEX($AR$23:$AT$46,,$AI256), INDEX($AU$23:$BA$46,,$AH256), 1 / ($BC$23:$BC$46*BY256), N($AQ$23:$AQ$46&gt;$AO256))
) / 1000</f>
        <v>0</v>
      </c>
      <c r="CB256" s="230">
        <f t="shared" si="444"/>
        <v>0</v>
      </c>
      <c r="CC256" s="238"/>
      <c r="CD256" s="229" cm="1">
        <f t="array" ref="CD256">IF(ISBLANK(Y256), INDEX(Use, $AH256, 4) - AN256*INDEX(Use, $AH256, 6) - (Q256-X256), Y256)</f>
        <v>7</v>
      </c>
      <c r="CE256" s="229">
        <f t="shared" si="445"/>
        <v>32</v>
      </c>
      <c r="CF256" s="230">
        <f t="shared" si="446"/>
        <v>0</v>
      </c>
      <c r="CG256" s="229">
        <v>35</v>
      </c>
      <c r="CH256" s="230">
        <f t="shared" si="447"/>
        <v>48</v>
      </c>
      <c r="CI256" s="235">
        <f t="shared" si="448"/>
        <v>3.0748170731707316</v>
      </c>
      <c r="CJ256" s="235" cm="1">
        <f t="array" ref="CJ256">$BI256 * SUMPRODUCT(INDEX($AR$77:$AT$82,,$AI256),INDEX($AU$77:$BA$82,,$AH256), N($AQ$77:$AQ$82&gt;$AO256)) / CI256 / 1000</f>
        <v>0</v>
      </c>
      <c r="CK256" s="232">
        <f t="shared" si="260"/>
        <v>30</v>
      </c>
      <c r="CL256" s="230">
        <f t="shared" si="449"/>
        <v>43</v>
      </c>
      <c r="CM256" s="235">
        <f t="shared" si="450"/>
        <v>3.5018750000000001</v>
      </c>
      <c r="CN256" s="235" cm="1">
        <f t="array" ref="CN256">$BI256 * IF($AH256&lt;=2,
SUMPRODUCT(INDEX($AR$72:$AT$76,,$AI256), INDEX($AU$72:$BA$76,,$AH256), 1 / ($BB$72:$BB$76*CM256 + (1-$BB$72:$BB$76)*CI256), N($AQ$72:$AQ$76&gt;$AO256)),
SUMPRODUCT(INDEX($AR$67:$AT$76,,$AI256), INDEX($AU$67:$BA$76,,$AH256), 1 / ($BC$67:$BC$76*CM256 + (1-$BC$67:$BC$76)*CI256), N($AQ$67:$AQ$76&gt;$AO256))
) / 1000</f>
        <v>0</v>
      </c>
      <c r="CO256" s="232">
        <f t="shared" si="263"/>
        <v>25</v>
      </c>
      <c r="CP256" s="230">
        <f t="shared" si="451"/>
        <v>38</v>
      </c>
      <c r="CQ256" s="235">
        <f t="shared" si="452"/>
        <v>4.0666935483870965</v>
      </c>
      <c r="CR256" s="235" cm="1">
        <f t="array" ref="CR256">$BI256 * IF($AH256&lt;=2,
SUMPRODUCT(INDEX($AR$67:$AT$71,,$AI256), INDEX($AU$67:$BA$71,,$AH256), 1 / ($BB$67:$BB$71*CQ256 + (1-$BB$67:$BB$71)*CM256), N($AQ$67:$AQ$71&gt;$AO256)),
SUMPRODUCT(INDEX($AR$57:$AT$66,,$AI256), INDEX($AU$57:$BA$66,,$AH256), 1 / ($BC$57:$BC$66*CQ256 + (1-$BC$57:$BC$66)*CM256), N($AQ$57:$AQ$66&gt;$AO256))
) / 1000</f>
        <v>0</v>
      </c>
      <c r="CS256" s="232">
        <f t="shared" si="266"/>
        <v>20</v>
      </c>
      <c r="CT256" s="230">
        <f t="shared" si="453"/>
        <v>33</v>
      </c>
      <c r="CU256" s="235">
        <f t="shared" si="454"/>
        <v>4.8487499999999999</v>
      </c>
      <c r="CV256" s="235" cm="1">
        <f t="array" ref="CV256">$BI256 * IF($AH256&lt;=2,
SUMPRODUCT(INDEX($AR$62:$AT$66,,$AI256), INDEX($AU$62:$BA$66,,$AH256), 1 / ($BB$62:$BB$66*CU256 + (1-$BB$62:$BB$66)*CQ256), N($AQ$62:$AQ$66&gt;$AO256)),
SUMPRODUCT(INDEX($AR$47:$AT$56,,$AI256), INDEX($AU$47:$BA$56,,$AH256), 1 / ($BC$47:$BC$56*CU256 + (1-$BC$47:$BC$56)*CQ256), N($AQ$47:$AQ$56&gt;$AO256))
) / 1000</f>
        <v>0</v>
      </c>
      <c r="CW256" s="235" cm="1">
        <f t="array" ref="CW256">$BI256 * IF($AH256&lt;=2,
SUMPRODUCT(INDEX($AR$23:$AT$61,,$AI256), INDEX($AU$23:$BA$61,,$AH256), 1 / ($BB$23:$BB$61*CU256), N($AQ$23:$AQ$61&gt;$AO256)),
SUMPRODUCT(INDEX($AR$23:$AT$46,,$AI256), INDEX($AU$23:$BA$46,,$AH256), 1 / ($BC$23:$BC$46*CU256), N($AQ$23:$AQ$46&gt;$AO256))
) / 1000</f>
        <v>0</v>
      </c>
      <c r="CX256" s="230">
        <f t="shared" si="455"/>
        <v>0</v>
      </c>
      <c r="CY256" s="238"/>
    </row>
    <row r="257" spans="1:103" s="76" customFormat="1" ht="14.25" customHeight="1" x14ac:dyDescent="0.2">
      <c r="A257" s="231" t="b">
        <f t="shared" si="229"/>
        <v>0</v>
      </c>
      <c r="B257" s="245">
        <v>235</v>
      </c>
      <c r="C257" s="258"/>
      <c r="D257" s="258"/>
      <c r="E257" s="246"/>
      <c r="F257" s="247" t="str">
        <f>IF(ISBLANK(E257), "", VLOOKUP(E257, Z!$A$2:$C$4127, 3, FALSE))</f>
        <v/>
      </c>
      <c r="G257" s="248"/>
      <c r="H257" s="248"/>
      <c r="I257" s="249"/>
      <c r="J257" s="250"/>
      <c r="K257" s="259"/>
      <c r="L257" s="260"/>
      <c r="M257" s="252" t="str" cm="1">
        <f t="array" ref="M257">INDEX(Trad, 53, $A$20)</f>
        <v>Verschmutzt</v>
      </c>
      <c r="N257" s="253"/>
      <c r="O257" s="253"/>
      <c r="P257" s="254"/>
      <c r="Q257" s="251"/>
      <c r="R257" s="251"/>
      <c r="S257" s="264">
        <f t="shared" si="430"/>
        <v>0</v>
      </c>
      <c r="T257" s="252" t="str" cm="1">
        <f t="array" ref="T257">INDEX(Trad, 52, $A$20)</f>
        <v>Sauber</v>
      </c>
      <c r="U257" s="253"/>
      <c r="V257" s="253"/>
      <c r="W257" s="254"/>
      <c r="X257" s="251"/>
      <c r="Y257" s="251"/>
      <c r="Z257" s="264">
        <f t="shared" si="431"/>
        <v>0</v>
      </c>
      <c r="AA257" s="261"/>
      <c r="AB257" s="258"/>
      <c r="AC257" s="246"/>
      <c r="AD257" s="247" t="str">
        <f>IF(ISBLANK(AC257), "", VLOOKUP(AC257, Z!$A$2:$C$4127, 3, FALSE))</f>
        <v/>
      </c>
      <c r="AE257" s="262"/>
      <c r="AF257" s="263">
        <f t="shared" si="432"/>
        <v>0</v>
      </c>
      <c r="AG257" s="238"/>
      <c r="AH257" s="229">
        <f t="shared" si="456"/>
        <v>1</v>
      </c>
      <c r="AI257" s="229">
        <f t="shared" si="457"/>
        <v>1</v>
      </c>
      <c r="AJ257" s="229">
        <f t="shared" si="458"/>
        <v>0</v>
      </c>
      <c r="AK257" s="229">
        <v>0</v>
      </c>
      <c r="AL257" s="229">
        <v>0</v>
      </c>
      <c r="AM257" s="229">
        <v>1</v>
      </c>
      <c r="AN257" s="229">
        <v>0</v>
      </c>
      <c r="AO257" s="229">
        <f t="shared" si="433"/>
        <v>-100</v>
      </c>
      <c r="AP257" s="238"/>
      <c r="AQ257" s="255"/>
      <c r="AR257" s="255"/>
      <c r="AS257" s="256"/>
      <c r="AT257" s="256"/>
      <c r="AU257" s="256"/>
      <c r="AV257" s="256"/>
      <c r="AW257" s="256"/>
      <c r="AX257" s="256"/>
      <c r="AY257" s="256"/>
      <c r="AZ257" s="256"/>
      <c r="BA257" s="256"/>
      <c r="BB257" s="256"/>
      <c r="BC257" s="256"/>
      <c r="BD257" s="238"/>
      <c r="BE257" s="229" cm="1">
        <f t="array" ref="BE257">IF(ISBLANK(R257), INDEX(Use, $AH257, 4) - AM257*INDEX(Use, $AH257, 6), R257)</f>
        <v>5</v>
      </c>
      <c r="BF257" s="229">
        <f t="shared" si="434"/>
        <v>30</v>
      </c>
      <c r="BG257" s="229">
        <f t="shared" si="241"/>
        <v>13</v>
      </c>
      <c r="BH257" s="229">
        <f t="shared" si="242"/>
        <v>0</v>
      </c>
      <c r="BI257" s="234" cm="1">
        <f t="array" ref="BI257">K257/IF($L257&gt;0, INDEX($AU$23:$BA$77, $L257+20, $AH257), 1)</f>
        <v>0</v>
      </c>
      <c r="BJ257" s="230">
        <f t="shared" si="435"/>
        <v>0</v>
      </c>
      <c r="BK257" s="229">
        <v>35</v>
      </c>
      <c r="BL257" s="230">
        <f t="shared" si="436"/>
        <v>48</v>
      </c>
      <c r="BM257" s="235">
        <f t="shared" si="437"/>
        <v>2.9108720930232557</v>
      </c>
      <c r="BN257" s="235" cm="1">
        <f t="array" ref="BN257">$BI257 * SUMPRODUCT(INDEX($AR$77:$AT$82,,$AI257),INDEX($AU$77:$BA$82,,$AH257), N($AQ$77:$AQ$82&gt;$AO257)) / BM257 / 1000</f>
        <v>0</v>
      </c>
      <c r="BO257" s="232">
        <f t="shared" si="246"/>
        <v>30</v>
      </c>
      <c r="BP257" s="230">
        <f t="shared" si="438"/>
        <v>43</v>
      </c>
      <c r="BQ257" s="235">
        <f t="shared" si="439"/>
        <v>3.2938815789473681</v>
      </c>
      <c r="BR257" s="235" cm="1">
        <f t="array" ref="BR257">$BI257 * IF($AH257&lt;=2,
SUMPRODUCT(INDEX($AR$72:$AT$76,,$AI257), INDEX($AU$72:$BA$76,,$AH257), 1 / ($BB$72:$BB$76*BQ257 + (1-$BB$72:$BB$76)*BM257), N($AQ$72:$AQ$76&gt;$AO257)),
SUMPRODUCT(INDEX($AR$67:$AT$76,,$AI257), INDEX($AU$67:$BA$76,,$AH257), 1 / ($BC$67:$BC$76*BQ257 + (1-$BC$67:$BC$76)*BM257), N($AQ$67:$AQ$76&gt;$AO257))
) / 1000</f>
        <v>0</v>
      </c>
      <c r="BS257" s="232">
        <f t="shared" si="249"/>
        <v>25</v>
      </c>
      <c r="BT257" s="230">
        <f t="shared" si="440"/>
        <v>38</v>
      </c>
      <c r="BU257" s="235">
        <f t="shared" si="441"/>
        <v>3.792954545454545</v>
      </c>
      <c r="BV257" s="235" cm="1">
        <f t="array" ref="BV257">$BI257 * IF($AH257&lt;=2,
SUMPRODUCT(INDEX($AR$67:$AT$71,,$AI257), INDEX($AU$67:$BA$71,,$AH257), 1 / ($BB$67:$BB$71*BU257 + (1-$BB$67:$BB$71)*BQ257), N($AQ$67:$AQ$71&gt;$AO257)),
SUMPRODUCT(INDEX($AR$57:$AT$66,,$AI257), INDEX($AU$57:$BA$66,,$AH257), 1 / ($BC$57:$BC$66*BU257 + (1-$BC$57:$BC$66)*BQ257), N($AQ$57:$AQ$66&gt;$AO257))
) / 1000</f>
        <v>0</v>
      </c>
      <c r="BW257" s="232">
        <f t="shared" si="252"/>
        <v>20</v>
      </c>
      <c r="BX257" s="230">
        <f t="shared" si="442"/>
        <v>33</v>
      </c>
      <c r="BY257" s="235">
        <f t="shared" si="443"/>
        <v>4.4702678571428569</v>
      </c>
      <c r="BZ257" s="235" cm="1">
        <f t="array" ref="BZ257">$BI257 * IF($AH257&lt;=2,
SUMPRODUCT(INDEX($AR$62:$AT$66,,$AI257), INDEX($AU$62:$BA$66,,$AH257), 1 / ($BB$62:$BB$66*BY257 + (1-$BB$62:$BB$66)*BU257), N($AQ$62:$AQ$66&gt;$AO257)),
SUMPRODUCT(INDEX($AR$47:$AT$56,,$AI257), INDEX($AU$47:$BA$56,,$AH257), 1 / ($BC$47:$BC$56*BY257 + (1-$BC$47:$BC$56)*BU257), N($AQ$47:$AQ$56&gt;$AO257))
) / 1000</f>
        <v>0</v>
      </c>
      <c r="CA257" s="235" cm="1">
        <f t="array" ref="CA257">$BI257 * IF($AH257&lt;=2,
SUMPRODUCT(INDEX($AR$23:$AT$61,,$AI257), INDEX($AU$23:$BA$61,,$AH257), 1 / ($BB$23:$BB$61*BY257), N($AQ$23:$AQ$61&gt;$AO257)),
SUMPRODUCT(INDEX($AR$23:$AT$46,,$AI257), INDEX($AU$23:$BA$46,,$AH257), 1 / ($BC$23:$BC$46*BY257), N($AQ$23:$AQ$46&gt;$AO257))
) / 1000</f>
        <v>0</v>
      </c>
      <c r="CB257" s="230">
        <f t="shared" si="444"/>
        <v>0</v>
      </c>
      <c r="CC257" s="238"/>
      <c r="CD257" s="229" cm="1">
        <f t="array" ref="CD257">IF(ISBLANK(Y257), INDEX(Use, $AH257, 4) - AN257*INDEX(Use, $AH257, 6) - (Q257-X257), Y257)</f>
        <v>7</v>
      </c>
      <c r="CE257" s="229">
        <f t="shared" si="445"/>
        <v>32</v>
      </c>
      <c r="CF257" s="230">
        <f t="shared" si="446"/>
        <v>0</v>
      </c>
      <c r="CG257" s="229">
        <v>35</v>
      </c>
      <c r="CH257" s="230">
        <f t="shared" si="447"/>
        <v>48</v>
      </c>
      <c r="CI257" s="235">
        <f t="shared" si="448"/>
        <v>3.0748170731707316</v>
      </c>
      <c r="CJ257" s="235" cm="1">
        <f t="array" ref="CJ257">$BI257 * SUMPRODUCT(INDEX($AR$77:$AT$82,,$AI257),INDEX($AU$77:$BA$82,,$AH257), N($AQ$77:$AQ$82&gt;$AO257)) / CI257 / 1000</f>
        <v>0</v>
      </c>
      <c r="CK257" s="232">
        <f t="shared" si="260"/>
        <v>30</v>
      </c>
      <c r="CL257" s="230">
        <f t="shared" si="449"/>
        <v>43</v>
      </c>
      <c r="CM257" s="235">
        <f t="shared" si="450"/>
        <v>3.5018750000000001</v>
      </c>
      <c r="CN257" s="235" cm="1">
        <f t="array" ref="CN257">$BI257 * IF($AH257&lt;=2,
SUMPRODUCT(INDEX($AR$72:$AT$76,,$AI257), INDEX($AU$72:$BA$76,,$AH257), 1 / ($BB$72:$BB$76*CM257 + (1-$BB$72:$BB$76)*CI257), N($AQ$72:$AQ$76&gt;$AO257)),
SUMPRODUCT(INDEX($AR$67:$AT$76,,$AI257), INDEX($AU$67:$BA$76,,$AH257), 1 / ($BC$67:$BC$76*CM257 + (1-$BC$67:$BC$76)*CI257), N($AQ$67:$AQ$76&gt;$AO257))
) / 1000</f>
        <v>0</v>
      </c>
      <c r="CO257" s="232">
        <f t="shared" si="263"/>
        <v>25</v>
      </c>
      <c r="CP257" s="230">
        <f t="shared" si="451"/>
        <v>38</v>
      </c>
      <c r="CQ257" s="235">
        <f t="shared" si="452"/>
        <v>4.0666935483870965</v>
      </c>
      <c r="CR257" s="235" cm="1">
        <f t="array" ref="CR257">$BI257 * IF($AH257&lt;=2,
SUMPRODUCT(INDEX($AR$67:$AT$71,,$AI257), INDEX($AU$67:$BA$71,,$AH257), 1 / ($BB$67:$BB$71*CQ257 + (1-$BB$67:$BB$71)*CM257), N($AQ$67:$AQ$71&gt;$AO257)),
SUMPRODUCT(INDEX($AR$57:$AT$66,,$AI257), INDEX($AU$57:$BA$66,,$AH257), 1 / ($BC$57:$BC$66*CQ257 + (1-$BC$57:$BC$66)*CM257), N($AQ$57:$AQ$66&gt;$AO257))
) / 1000</f>
        <v>0</v>
      </c>
      <c r="CS257" s="232">
        <f t="shared" si="266"/>
        <v>20</v>
      </c>
      <c r="CT257" s="230">
        <f t="shared" si="453"/>
        <v>33</v>
      </c>
      <c r="CU257" s="235">
        <f t="shared" si="454"/>
        <v>4.8487499999999999</v>
      </c>
      <c r="CV257" s="235" cm="1">
        <f t="array" ref="CV257">$BI257 * IF($AH257&lt;=2,
SUMPRODUCT(INDEX($AR$62:$AT$66,,$AI257), INDEX($AU$62:$BA$66,,$AH257), 1 / ($BB$62:$BB$66*CU257 + (1-$BB$62:$BB$66)*CQ257), N($AQ$62:$AQ$66&gt;$AO257)),
SUMPRODUCT(INDEX($AR$47:$AT$56,,$AI257), INDEX($AU$47:$BA$56,,$AH257), 1 / ($BC$47:$BC$56*CU257 + (1-$BC$47:$BC$56)*CQ257), N($AQ$47:$AQ$56&gt;$AO257))
) / 1000</f>
        <v>0</v>
      </c>
      <c r="CW257" s="235" cm="1">
        <f t="array" ref="CW257">$BI257 * IF($AH257&lt;=2,
SUMPRODUCT(INDEX($AR$23:$AT$61,,$AI257), INDEX($AU$23:$BA$61,,$AH257), 1 / ($BB$23:$BB$61*CU257), N($AQ$23:$AQ$61&gt;$AO257)),
SUMPRODUCT(INDEX($AR$23:$AT$46,,$AI257), INDEX($AU$23:$BA$46,,$AH257), 1 / ($BC$23:$BC$46*CU257), N($AQ$23:$AQ$46&gt;$AO257))
) / 1000</f>
        <v>0</v>
      </c>
      <c r="CX257" s="230">
        <f t="shared" si="455"/>
        <v>0</v>
      </c>
      <c r="CY257" s="238"/>
    </row>
    <row r="258" spans="1:103" s="76" customFormat="1" ht="14.25" customHeight="1" x14ac:dyDescent="0.2">
      <c r="A258" s="231" t="b">
        <f t="shared" si="229"/>
        <v>0</v>
      </c>
      <c r="B258" s="245">
        <v>236</v>
      </c>
      <c r="C258" s="258"/>
      <c r="D258" s="258"/>
      <c r="E258" s="246"/>
      <c r="F258" s="247" t="str">
        <f>IF(ISBLANK(E258), "", VLOOKUP(E258, Z!$A$2:$C$4127, 3, FALSE))</f>
        <v/>
      </c>
      <c r="G258" s="248"/>
      <c r="H258" s="248"/>
      <c r="I258" s="249"/>
      <c r="J258" s="250"/>
      <c r="K258" s="259"/>
      <c r="L258" s="260"/>
      <c r="M258" s="252" t="str" cm="1">
        <f t="array" ref="M258">INDEX(Trad, 53, $A$20)</f>
        <v>Verschmutzt</v>
      </c>
      <c r="N258" s="253"/>
      <c r="O258" s="253"/>
      <c r="P258" s="254"/>
      <c r="Q258" s="251"/>
      <c r="R258" s="251"/>
      <c r="S258" s="264">
        <f t="shared" si="430"/>
        <v>0</v>
      </c>
      <c r="T258" s="252" t="str" cm="1">
        <f t="array" ref="T258">INDEX(Trad, 52, $A$20)</f>
        <v>Sauber</v>
      </c>
      <c r="U258" s="253"/>
      <c r="V258" s="253"/>
      <c r="W258" s="254"/>
      <c r="X258" s="251"/>
      <c r="Y258" s="251"/>
      <c r="Z258" s="264">
        <f t="shared" si="431"/>
        <v>0</v>
      </c>
      <c r="AA258" s="261"/>
      <c r="AB258" s="258"/>
      <c r="AC258" s="246"/>
      <c r="AD258" s="247" t="str">
        <f>IF(ISBLANK(AC258), "", VLOOKUP(AC258, Z!$A$2:$C$4127, 3, FALSE))</f>
        <v/>
      </c>
      <c r="AE258" s="262"/>
      <c r="AF258" s="263">
        <f t="shared" si="432"/>
        <v>0</v>
      </c>
      <c r="AG258" s="238"/>
      <c r="AH258" s="229">
        <f t="shared" si="456"/>
        <v>1</v>
      </c>
      <c r="AI258" s="229">
        <f t="shared" si="457"/>
        <v>1</v>
      </c>
      <c r="AJ258" s="229">
        <f t="shared" si="458"/>
        <v>0</v>
      </c>
      <c r="AK258" s="229">
        <v>0</v>
      </c>
      <c r="AL258" s="229">
        <v>0</v>
      </c>
      <c r="AM258" s="229">
        <v>1</v>
      </c>
      <c r="AN258" s="229">
        <v>0</v>
      </c>
      <c r="AO258" s="229">
        <f t="shared" si="433"/>
        <v>-100</v>
      </c>
      <c r="AP258" s="238"/>
      <c r="AQ258" s="255"/>
      <c r="AR258" s="255"/>
      <c r="AS258" s="256"/>
      <c r="AT258" s="256"/>
      <c r="AU258" s="256"/>
      <c r="AV258" s="256"/>
      <c r="AW258" s="256"/>
      <c r="AX258" s="256"/>
      <c r="AY258" s="256"/>
      <c r="AZ258" s="256"/>
      <c r="BA258" s="256"/>
      <c r="BB258" s="256"/>
      <c r="BC258" s="256"/>
      <c r="BD258" s="238"/>
      <c r="BE258" s="229" cm="1">
        <f t="array" ref="BE258">IF(ISBLANK(R258), INDEX(Use, $AH258, 4) - AM258*INDEX(Use, $AH258, 6), R258)</f>
        <v>5</v>
      </c>
      <c r="BF258" s="229">
        <f t="shared" si="434"/>
        <v>30</v>
      </c>
      <c r="BG258" s="229">
        <f t="shared" si="241"/>
        <v>13</v>
      </c>
      <c r="BH258" s="229">
        <f t="shared" si="242"/>
        <v>0</v>
      </c>
      <c r="BI258" s="234" cm="1">
        <f t="array" ref="BI258">K258/IF($L258&gt;0, INDEX($AU$23:$BA$77, $L258+20, $AH258), 1)</f>
        <v>0</v>
      </c>
      <c r="BJ258" s="230">
        <f t="shared" si="435"/>
        <v>0</v>
      </c>
      <c r="BK258" s="229">
        <v>35</v>
      </c>
      <c r="BL258" s="230">
        <f t="shared" si="436"/>
        <v>48</v>
      </c>
      <c r="BM258" s="235">
        <f t="shared" si="437"/>
        <v>2.9108720930232557</v>
      </c>
      <c r="BN258" s="235" cm="1">
        <f t="array" ref="BN258">$BI258 * SUMPRODUCT(INDEX($AR$77:$AT$82,,$AI258),INDEX($AU$77:$BA$82,,$AH258), N($AQ$77:$AQ$82&gt;$AO258)) / BM258 / 1000</f>
        <v>0</v>
      </c>
      <c r="BO258" s="232">
        <f t="shared" si="246"/>
        <v>30</v>
      </c>
      <c r="BP258" s="230">
        <f t="shared" si="438"/>
        <v>43</v>
      </c>
      <c r="BQ258" s="235">
        <f t="shared" si="439"/>
        <v>3.2938815789473681</v>
      </c>
      <c r="BR258" s="235" cm="1">
        <f t="array" ref="BR258">$BI258 * IF($AH258&lt;=2,
SUMPRODUCT(INDEX($AR$72:$AT$76,,$AI258), INDEX($AU$72:$BA$76,,$AH258), 1 / ($BB$72:$BB$76*BQ258 + (1-$BB$72:$BB$76)*BM258), N($AQ$72:$AQ$76&gt;$AO258)),
SUMPRODUCT(INDEX($AR$67:$AT$76,,$AI258), INDEX($AU$67:$BA$76,,$AH258), 1 / ($BC$67:$BC$76*BQ258 + (1-$BC$67:$BC$76)*BM258), N($AQ$67:$AQ$76&gt;$AO258))
) / 1000</f>
        <v>0</v>
      </c>
      <c r="BS258" s="232">
        <f t="shared" si="249"/>
        <v>25</v>
      </c>
      <c r="BT258" s="230">
        <f t="shared" si="440"/>
        <v>38</v>
      </c>
      <c r="BU258" s="235">
        <f t="shared" si="441"/>
        <v>3.792954545454545</v>
      </c>
      <c r="BV258" s="235" cm="1">
        <f t="array" ref="BV258">$BI258 * IF($AH258&lt;=2,
SUMPRODUCT(INDEX($AR$67:$AT$71,,$AI258), INDEX($AU$67:$BA$71,,$AH258), 1 / ($BB$67:$BB$71*BU258 + (1-$BB$67:$BB$71)*BQ258), N($AQ$67:$AQ$71&gt;$AO258)),
SUMPRODUCT(INDEX($AR$57:$AT$66,,$AI258), INDEX($AU$57:$BA$66,,$AH258), 1 / ($BC$57:$BC$66*BU258 + (1-$BC$57:$BC$66)*BQ258), N($AQ$57:$AQ$66&gt;$AO258))
) / 1000</f>
        <v>0</v>
      </c>
      <c r="BW258" s="232">
        <f t="shared" si="252"/>
        <v>20</v>
      </c>
      <c r="BX258" s="230">
        <f t="shared" si="442"/>
        <v>33</v>
      </c>
      <c r="BY258" s="235">
        <f t="shared" si="443"/>
        <v>4.4702678571428569</v>
      </c>
      <c r="BZ258" s="235" cm="1">
        <f t="array" ref="BZ258">$BI258 * IF($AH258&lt;=2,
SUMPRODUCT(INDEX($AR$62:$AT$66,,$AI258), INDEX($AU$62:$BA$66,,$AH258), 1 / ($BB$62:$BB$66*BY258 + (1-$BB$62:$BB$66)*BU258), N($AQ$62:$AQ$66&gt;$AO258)),
SUMPRODUCT(INDEX($AR$47:$AT$56,,$AI258), INDEX($AU$47:$BA$56,,$AH258), 1 / ($BC$47:$BC$56*BY258 + (1-$BC$47:$BC$56)*BU258), N($AQ$47:$AQ$56&gt;$AO258))
) / 1000</f>
        <v>0</v>
      </c>
      <c r="CA258" s="235" cm="1">
        <f t="array" ref="CA258">$BI258 * IF($AH258&lt;=2,
SUMPRODUCT(INDEX($AR$23:$AT$61,,$AI258), INDEX($AU$23:$BA$61,,$AH258), 1 / ($BB$23:$BB$61*BY258), N($AQ$23:$AQ$61&gt;$AO258)),
SUMPRODUCT(INDEX($AR$23:$AT$46,,$AI258), INDEX($AU$23:$BA$46,,$AH258), 1 / ($BC$23:$BC$46*BY258), N($AQ$23:$AQ$46&gt;$AO258))
) / 1000</f>
        <v>0</v>
      </c>
      <c r="CB258" s="230">
        <f t="shared" si="444"/>
        <v>0</v>
      </c>
      <c r="CC258" s="238"/>
      <c r="CD258" s="229" cm="1">
        <f t="array" ref="CD258">IF(ISBLANK(Y258), INDEX(Use, $AH258, 4) - AN258*INDEX(Use, $AH258, 6) - (Q258-X258), Y258)</f>
        <v>7</v>
      </c>
      <c r="CE258" s="229">
        <f t="shared" si="445"/>
        <v>32</v>
      </c>
      <c r="CF258" s="230">
        <f t="shared" si="446"/>
        <v>0</v>
      </c>
      <c r="CG258" s="229">
        <v>35</v>
      </c>
      <c r="CH258" s="230">
        <f t="shared" si="447"/>
        <v>48</v>
      </c>
      <c r="CI258" s="235">
        <f t="shared" si="448"/>
        <v>3.0748170731707316</v>
      </c>
      <c r="CJ258" s="235" cm="1">
        <f t="array" ref="CJ258">$BI258 * SUMPRODUCT(INDEX($AR$77:$AT$82,,$AI258),INDEX($AU$77:$BA$82,,$AH258), N($AQ$77:$AQ$82&gt;$AO258)) / CI258 / 1000</f>
        <v>0</v>
      </c>
      <c r="CK258" s="232">
        <f t="shared" si="260"/>
        <v>30</v>
      </c>
      <c r="CL258" s="230">
        <f t="shared" si="449"/>
        <v>43</v>
      </c>
      <c r="CM258" s="235">
        <f t="shared" si="450"/>
        <v>3.5018750000000001</v>
      </c>
      <c r="CN258" s="235" cm="1">
        <f t="array" ref="CN258">$BI258 * IF($AH258&lt;=2,
SUMPRODUCT(INDEX($AR$72:$AT$76,,$AI258), INDEX($AU$72:$BA$76,,$AH258), 1 / ($BB$72:$BB$76*CM258 + (1-$BB$72:$BB$76)*CI258), N($AQ$72:$AQ$76&gt;$AO258)),
SUMPRODUCT(INDEX($AR$67:$AT$76,,$AI258), INDEX($AU$67:$BA$76,,$AH258), 1 / ($BC$67:$BC$76*CM258 + (1-$BC$67:$BC$76)*CI258), N($AQ$67:$AQ$76&gt;$AO258))
) / 1000</f>
        <v>0</v>
      </c>
      <c r="CO258" s="232">
        <f t="shared" si="263"/>
        <v>25</v>
      </c>
      <c r="CP258" s="230">
        <f t="shared" si="451"/>
        <v>38</v>
      </c>
      <c r="CQ258" s="235">
        <f t="shared" si="452"/>
        <v>4.0666935483870965</v>
      </c>
      <c r="CR258" s="235" cm="1">
        <f t="array" ref="CR258">$BI258 * IF($AH258&lt;=2,
SUMPRODUCT(INDEX($AR$67:$AT$71,,$AI258), INDEX($AU$67:$BA$71,,$AH258), 1 / ($BB$67:$BB$71*CQ258 + (1-$BB$67:$BB$71)*CM258), N($AQ$67:$AQ$71&gt;$AO258)),
SUMPRODUCT(INDEX($AR$57:$AT$66,,$AI258), INDEX($AU$57:$BA$66,,$AH258), 1 / ($BC$57:$BC$66*CQ258 + (1-$BC$57:$BC$66)*CM258), N($AQ$57:$AQ$66&gt;$AO258))
) / 1000</f>
        <v>0</v>
      </c>
      <c r="CS258" s="232">
        <f t="shared" si="266"/>
        <v>20</v>
      </c>
      <c r="CT258" s="230">
        <f t="shared" si="453"/>
        <v>33</v>
      </c>
      <c r="CU258" s="235">
        <f t="shared" si="454"/>
        <v>4.8487499999999999</v>
      </c>
      <c r="CV258" s="235" cm="1">
        <f t="array" ref="CV258">$BI258 * IF($AH258&lt;=2,
SUMPRODUCT(INDEX($AR$62:$AT$66,,$AI258), INDEX($AU$62:$BA$66,,$AH258), 1 / ($BB$62:$BB$66*CU258 + (1-$BB$62:$BB$66)*CQ258), N($AQ$62:$AQ$66&gt;$AO258)),
SUMPRODUCT(INDEX($AR$47:$AT$56,,$AI258), INDEX($AU$47:$BA$56,,$AH258), 1 / ($BC$47:$BC$56*CU258 + (1-$BC$47:$BC$56)*CQ258), N($AQ$47:$AQ$56&gt;$AO258))
) / 1000</f>
        <v>0</v>
      </c>
      <c r="CW258" s="235" cm="1">
        <f t="array" ref="CW258">$BI258 * IF($AH258&lt;=2,
SUMPRODUCT(INDEX($AR$23:$AT$61,,$AI258), INDEX($AU$23:$BA$61,,$AH258), 1 / ($BB$23:$BB$61*CU258), N($AQ$23:$AQ$61&gt;$AO258)),
SUMPRODUCT(INDEX($AR$23:$AT$46,,$AI258), INDEX($AU$23:$BA$46,,$AH258), 1 / ($BC$23:$BC$46*CU258), N($AQ$23:$AQ$46&gt;$AO258))
) / 1000</f>
        <v>0</v>
      </c>
      <c r="CX258" s="230">
        <f t="shared" si="455"/>
        <v>0</v>
      </c>
      <c r="CY258" s="238"/>
    </row>
    <row r="259" spans="1:103" s="76" customFormat="1" ht="14.25" customHeight="1" x14ac:dyDescent="0.2">
      <c r="A259" s="231" t="b">
        <f t="shared" si="229"/>
        <v>0</v>
      </c>
      <c r="B259" s="245">
        <v>237</v>
      </c>
      <c r="C259" s="258"/>
      <c r="D259" s="258"/>
      <c r="E259" s="246"/>
      <c r="F259" s="247" t="str">
        <f>IF(ISBLANK(E259), "", VLOOKUP(E259, Z!$A$2:$C$4127, 3, FALSE))</f>
        <v/>
      </c>
      <c r="G259" s="248"/>
      <c r="H259" s="248"/>
      <c r="I259" s="249"/>
      <c r="J259" s="250"/>
      <c r="K259" s="259"/>
      <c r="L259" s="260"/>
      <c r="M259" s="252" t="str" cm="1">
        <f t="array" ref="M259">INDEX(Trad, 53, $A$20)</f>
        <v>Verschmutzt</v>
      </c>
      <c r="N259" s="253"/>
      <c r="O259" s="253"/>
      <c r="P259" s="254"/>
      <c r="Q259" s="251"/>
      <c r="R259" s="251"/>
      <c r="S259" s="264">
        <f t="shared" si="430"/>
        <v>0</v>
      </c>
      <c r="T259" s="252" t="str" cm="1">
        <f t="array" ref="T259">INDEX(Trad, 52, $A$20)</f>
        <v>Sauber</v>
      </c>
      <c r="U259" s="253"/>
      <c r="V259" s="253"/>
      <c r="W259" s="254"/>
      <c r="X259" s="251"/>
      <c r="Y259" s="251"/>
      <c r="Z259" s="264">
        <f t="shared" si="431"/>
        <v>0</v>
      </c>
      <c r="AA259" s="261"/>
      <c r="AB259" s="258"/>
      <c r="AC259" s="246"/>
      <c r="AD259" s="247" t="str">
        <f>IF(ISBLANK(AC259), "", VLOOKUP(AC259, Z!$A$2:$C$4127, 3, FALSE))</f>
        <v/>
      </c>
      <c r="AE259" s="262"/>
      <c r="AF259" s="263">
        <f t="shared" si="432"/>
        <v>0</v>
      </c>
      <c r="AG259" s="238"/>
      <c r="AH259" s="229">
        <f t="shared" si="456"/>
        <v>1</v>
      </c>
      <c r="AI259" s="229">
        <f t="shared" si="457"/>
        <v>1</v>
      </c>
      <c r="AJ259" s="229">
        <f t="shared" si="458"/>
        <v>0</v>
      </c>
      <c r="AK259" s="229">
        <v>0</v>
      </c>
      <c r="AL259" s="229">
        <v>0</v>
      </c>
      <c r="AM259" s="229">
        <v>1</v>
      </c>
      <c r="AN259" s="229">
        <v>0</v>
      </c>
      <c r="AO259" s="229">
        <f t="shared" si="433"/>
        <v>-100</v>
      </c>
      <c r="AP259" s="238"/>
      <c r="AQ259" s="255"/>
      <c r="AR259" s="255"/>
      <c r="AS259" s="256"/>
      <c r="AT259" s="256"/>
      <c r="AU259" s="256"/>
      <c r="AV259" s="256"/>
      <c r="AW259" s="256"/>
      <c r="AX259" s="256"/>
      <c r="AY259" s="256"/>
      <c r="AZ259" s="256"/>
      <c r="BA259" s="256"/>
      <c r="BB259" s="256"/>
      <c r="BC259" s="256"/>
      <c r="BD259" s="238"/>
      <c r="BE259" s="229" cm="1">
        <f t="array" ref="BE259">IF(ISBLANK(R259), INDEX(Use, $AH259, 4) - AM259*INDEX(Use, $AH259, 6), R259)</f>
        <v>5</v>
      </c>
      <c r="BF259" s="229">
        <f t="shared" si="434"/>
        <v>30</v>
      </c>
      <c r="BG259" s="229">
        <f t="shared" si="241"/>
        <v>13</v>
      </c>
      <c r="BH259" s="229">
        <f t="shared" si="242"/>
        <v>0</v>
      </c>
      <c r="BI259" s="234" cm="1">
        <f t="array" ref="BI259">K259/IF($L259&gt;0, INDEX($AU$23:$BA$77, $L259+20, $AH259), 1)</f>
        <v>0</v>
      </c>
      <c r="BJ259" s="230">
        <f t="shared" si="435"/>
        <v>0</v>
      </c>
      <c r="BK259" s="229">
        <v>35</v>
      </c>
      <c r="BL259" s="230">
        <f t="shared" si="436"/>
        <v>48</v>
      </c>
      <c r="BM259" s="235">
        <f t="shared" si="437"/>
        <v>2.9108720930232557</v>
      </c>
      <c r="BN259" s="235" cm="1">
        <f t="array" ref="BN259">$BI259 * SUMPRODUCT(INDEX($AR$77:$AT$82,,$AI259),INDEX($AU$77:$BA$82,,$AH259), N($AQ$77:$AQ$82&gt;$AO259)) / BM259 / 1000</f>
        <v>0</v>
      </c>
      <c r="BO259" s="232">
        <f t="shared" si="246"/>
        <v>30</v>
      </c>
      <c r="BP259" s="230">
        <f t="shared" si="438"/>
        <v>43</v>
      </c>
      <c r="BQ259" s="235">
        <f t="shared" si="439"/>
        <v>3.2938815789473681</v>
      </c>
      <c r="BR259" s="235" cm="1">
        <f t="array" ref="BR259">$BI259 * IF($AH259&lt;=2,
SUMPRODUCT(INDEX($AR$72:$AT$76,,$AI259), INDEX($AU$72:$BA$76,,$AH259), 1 / ($BB$72:$BB$76*BQ259 + (1-$BB$72:$BB$76)*BM259), N($AQ$72:$AQ$76&gt;$AO259)),
SUMPRODUCT(INDEX($AR$67:$AT$76,,$AI259), INDEX($AU$67:$BA$76,,$AH259), 1 / ($BC$67:$BC$76*BQ259 + (1-$BC$67:$BC$76)*BM259), N($AQ$67:$AQ$76&gt;$AO259))
) / 1000</f>
        <v>0</v>
      </c>
      <c r="BS259" s="232">
        <f t="shared" si="249"/>
        <v>25</v>
      </c>
      <c r="BT259" s="230">
        <f t="shared" si="440"/>
        <v>38</v>
      </c>
      <c r="BU259" s="235">
        <f t="shared" si="441"/>
        <v>3.792954545454545</v>
      </c>
      <c r="BV259" s="235" cm="1">
        <f t="array" ref="BV259">$BI259 * IF($AH259&lt;=2,
SUMPRODUCT(INDEX($AR$67:$AT$71,,$AI259), INDEX($AU$67:$BA$71,,$AH259), 1 / ($BB$67:$BB$71*BU259 + (1-$BB$67:$BB$71)*BQ259), N($AQ$67:$AQ$71&gt;$AO259)),
SUMPRODUCT(INDEX($AR$57:$AT$66,,$AI259), INDEX($AU$57:$BA$66,,$AH259), 1 / ($BC$57:$BC$66*BU259 + (1-$BC$57:$BC$66)*BQ259), N($AQ$57:$AQ$66&gt;$AO259))
) / 1000</f>
        <v>0</v>
      </c>
      <c r="BW259" s="232">
        <f t="shared" si="252"/>
        <v>20</v>
      </c>
      <c r="BX259" s="230">
        <f t="shared" si="442"/>
        <v>33</v>
      </c>
      <c r="BY259" s="235">
        <f t="shared" si="443"/>
        <v>4.4702678571428569</v>
      </c>
      <c r="BZ259" s="235" cm="1">
        <f t="array" ref="BZ259">$BI259 * IF($AH259&lt;=2,
SUMPRODUCT(INDEX($AR$62:$AT$66,,$AI259), INDEX($AU$62:$BA$66,,$AH259), 1 / ($BB$62:$BB$66*BY259 + (1-$BB$62:$BB$66)*BU259), N($AQ$62:$AQ$66&gt;$AO259)),
SUMPRODUCT(INDEX($AR$47:$AT$56,,$AI259), INDEX($AU$47:$BA$56,,$AH259), 1 / ($BC$47:$BC$56*BY259 + (1-$BC$47:$BC$56)*BU259), N($AQ$47:$AQ$56&gt;$AO259))
) / 1000</f>
        <v>0</v>
      </c>
      <c r="CA259" s="235" cm="1">
        <f t="array" ref="CA259">$BI259 * IF($AH259&lt;=2,
SUMPRODUCT(INDEX($AR$23:$AT$61,,$AI259), INDEX($AU$23:$BA$61,,$AH259), 1 / ($BB$23:$BB$61*BY259), N($AQ$23:$AQ$61&gt;$AO259)),
SUMPRODUCT(INDEX($AR$23:$AT$46,,$AI259), INDEX($AU$23:$BA$46,,$AH259), 1 / ($BC$23:$BC$46*BY259), N($AQ$23:$AQ$46&gt;$AO259))
) / 1000</f>
        <v>0</v>
      </c>
      <c r="CB259" s="230">
        <f t="shared" si="444"/>
        <v>0</v>
      </c>
      <c r="CC259" s="238"/>
      <c r="CD259" s="229" cm="1">
        <f t="array" ref="CD259">IF(ISBLANK(Y259), INDEX(Use, $AH259, 4) - AN259*INDEX(Use, $AH259, 6) - (Q259-X259), Y259)</f>
        <v>7</v>
      </c>
      <c r="CE259" s="229">
        <f t="shared" si="445"/>
        <v>32</v>
      </c>
      <c r="CF259" s="230">
        <f t="shared" si="446"/>
        <v>0</v>
      </c>
      <c r="CG259" s="229">
        <v>35</v>
      </c>
      <c r="CH259" s="230">
        <f t="shared" si="447"/>
        <v>48</v>
      </c>
      <c r="CI259" s="235">
        <f t="shared" si="448"/>
        <v>3.0748170731707316</v>
      </c>
      <c r="CJ259" s="235" cm="1">
        <f t="array" ref="CJ259">$BI259 * SUMPRODUCT(INDEX($AR$77:$AT$82,,$AI259),INDEX($AU$77:$BA$82,,$AH259), N($AQ$77:$AQ$82&gt;$AO259)) / CI259 / 1000</f>
        <v>0</v>
      </c>
      <c r="CK259" s="232">
        <f t="shared" si="260"/>
        <v>30</v>
      </c>
      <c r="CL259" s="230">
        <f t="shared" si="449"/>
        <v>43</v>
      </c>
      <c r="CM259" s="235">
        <f t="shared" si="450"/>
        <v>3.5018750000000001</v>
      </c>
      <c r="CN259" s="235" cm="1">
        <f t="array" ref="CN259">$BI259 * IF($AH259&lt;=2,
SUMPRODUCT(INDEX($AR$72:$AT$76,,$AI259), INDEX($AU$72:$BA$76,,$AH259), 1 / ($BB$72:$BB$76*CM259 + (1-$BB$72:$BB$76)*CI259), N($AQ$72:$AQ$76&gt;$AO259)),
SUMPRODUCT(INDEX($AR$67:$AT$76,,$AI259), INDEX($AU$67:$BA$76,,$AH259), 1 / ($BC$67:$BC$76*CM259 + (1-$BC$67:$BC$76)*CI259), N($AQ$67:$AQ$76&gt;$AO259))
) / 1000</f>
        <v>0</v>
      </c>
      <c r="CO259" s="232">
        <f t="shared" si="263"/>
        <v>25</v>
      </c>
      <c r="CP259" s="230">
        <f t="shared" si="451"/>
        <v>38</v>
      </c>
      <c r="CQ259" s="235">
        <f t="shared" si="452"/>
        <v>4.0666935483870965</v>
      </c>
      <c r="CR259" s="235" cm="1">
        <f t="array" ref="CR259">$BI259 * IF($AH259&lt;=2,
SUMPRODUCT(INDEX($AR$67:$AT$71,,$AI259), INDEX($AU$67:$BA$71,,$AH259), 1 / ($BB$67:$BB$71*CQ259 + (1-$BB$67:$BB$71)*CM259), N($AQ$67:$AQ$71&gt;$AO259)),
SUMPRODUCT(INDEX($AR$57:$AT$66,,$AI259), INDEX($AU$57:$BA$66,,$AH259), 1 / ($BC$57:$BC$66*CQ259 + (1-$BC$57:$BC$66)*CM259), N($AQ$57:$AQ$66&gt;$AO259))
) / 1000</f>
        <v>0</v>
      </c>
      <c r="CS259" s="232">
        <f t="shared" si="266"/>
        <v>20</v>
      </c>
      <c r="CT259" s="230">
        <f t="shared" si="453"/>
        <v>33</v>
      </c>
      <c r="CU259" s="235">
        <f t="shared" si="454"/>
        <v>4.8487499999999999</v>
      </c>
      <c r="CV259" s="235" cm="1">
        <f t="array" ref="CV259">$BI259 * IF($AH259&lt;=2,
SUMPRODUCT(INDEX($AR$62:$AT$66,,$AI259), INDEX($AU$62:$BA$66,,$AH259), 1 / ($BB$62:$BB$66*CU259 + (1-$BB$62:$BB$66)*CQ259), N($AQ$62:$AQ$66&gt;$AO259)),
SUMPRODUCT(INDEX($AR$47:$AT$56,,$AI259), INDEX($AU$47:$BA$56,,$AH259), 1 / ($BC$47:$BC$56*CU259 + (1-$BC$47:$BC$56)*CQ259), N($AQ$47:$AQ$56&gt;$AO259))
) / 1000</f>
        <v>0</v>
      </c>
      <c r="CW259" s="235" cm="1">
        <f t="array" ref="CW259">$BI259 * IF($AH259&lt;=2,
SUMPRODUCT(INDEX($AR$23:$AT$61,,$AI259), INDEX($AU$23:$BA$61,,$AH259), 1 / ($BB$23:$BB$61*CU259), N($AQ$23:$AQ$61&gt;$AO259)),
SUMPRODUCT(INDEX($AR$23:$AT$46,,$AI259), INDEX($AU$23:$BA$46,,$AH259), 1 / ($BC$23:$BC$46*CU259), N($AQ$23:$AQ$46&gt;$AO259))
) / 1000</f>
        <v>0</v>
      </c>
      <c r="CX259" s="230">
        <f t="shared" si="455"/>
        <v>0</v>
      </c>
      <c r="CY259" s="238"/>
    </row>
    <row r="260" spans="1:103" s="76" customFormat="1" ht="14.25" customHeight="1" x14ac:dyDescent="0.2">
      <c r="A260" s="231" t="b">
        <f t="shared" si="229"/>
        <v>0</v>
      </c>
      <c r="B260" s="245">
        <v>238</v>
      </c>
      <c r="C260" s="258"/>
      <c r="D260" s="258"/>
      <c r="E260" s="246"/>
      <c r="F260" s="247" t="str">
        <f>IF(ISBLANK(E260), "", VLOOKUP(E260, Z!$A$2:$C$4127, 3, FALSE))</f>
        <v/>
      </c>
      <c r="G260" s="248"/>
      <c r="H260" s="248"/>
      <c r="I260" s="249"/>
      <c r="J260" s="250"/>
      <c r="K260" s="259"/>
      <c r="L260" s="260"/>
      <c r="M260" s="252" t="str" cm="1">
        <f t="array" ref="M260">INDEX(Trad, 53, $A$20)</f>
        <v>Verschmutzt</v>
      </c>
      <c r="N260" s="253"/>
      <c r="O260" s="253"/>
      <c r="P260" s="254"/>
      <c r="Q260" s="251"/>
      <c r="R260" s="251"/>
      <c r="S260" s="264">
        <f t="shared" si="430"/>
        <v>0</v>
      </c>
      <c r="T260" s="252" t="str" cm="1">
        <f t="array" ref="T260">INDEX(Trad, 52, $A$20)</f>
        <v>Sauber</v>
      </c>
      <c r="U260" s="253"/>
      <c r="V260" s="253"/>
      <c r="W260" s="254"/>
      <c r="X260" s="251"/>
      <c r="Y260" s="251"/>
      <c r="Z260" s="264">
        <f t="shared" si="431"/>
        <v>0</v>
      </c>
      <c r="AA260" s="261"/>
      <c r="AB260" s="258"/>
      <c r="AC260" s="246"/>
      <c r="AD260" s="247" t="str">
        <f>IF(ISBLANK(AC260), "", VLOOKUP(AC260, Z!$A$2:$C$4127, 3, FALSE))</f>
        <v/>
      </c>
      <c r="AE260" s="262"/>
      <c r="AF260" s="263">
        <f t="shared" si="432"/>
        <v>0</v>
      </c>
      <c r="AG260" s="238"/>
      <c r="AH260" s="229">
        <f t="shared" si="456"/>
        <v>1</v>
      </c>
      <c r="AI260" s="229">
        <f t="shared" si="457"/>
        <v>1</v>
      </c>
      <c r="AJ260" s="229">
        <f t="shared" si="458"/>
        <v>0</v>
      </c>
      <c r="AK260" s="229">
        <v>0</v>
      </c>
      <c r="AL260" s="229">
        <v>0</v>
      </c>
      <c r="AM260" s="229">
        <v>1</v>
      </c>
      <c r="AN260" s="229">
        <v>0</v>
      </c>
      <c r="AO260" s="229">
        <f t="shared" si="433"/>
        <v>-100</v>
      </c>
      <c r="AP260" s="238"/>
      <c r="AQ260" s="255"/>
      <c r="AR260" s="255"/>
      <c r="AS260" s="256"/>
      <c r="AT260" s="256"/>
      <c r="AU260" s="256"/>
      <c r="AV260" s="256"/>
      <c r="AW260" s="256"/>
      <c r="AX260" s="256"/>
      <c r="AY260" s="256"/>
      <c r="AZ260" s="256"/>
      <c r="BA260" s="256"/>
      <c r="BB260" s="256"/>
      <c r="BC260" s="256"/>
      <c r="BD260" s="238"/>
      <c r="BE260" s="229" cm="1">
        <f t="array" ref="BE260">IF(ISBLANK(R260), INDEX(Use, $AH260, 4) - AM260*INDEX(Use, $AH260, 6), R260)</f>
        <v>5</v>
      </c>
      <c r="BF260" s="229">
        <f t="shared" si="434"/>
        <v>30</v>
      </c>
      <c r="BG260" s="229">
        <f t="shared" si="241"/>
        <v>13</v>
      </c>
      <c r="BH260" s="229">
        <f t="shared" si="242"/>
        <v>0</v>
      </c>
      <c r="BI260" s="234" cm="1">
        <f t="array" ref="BI260">K260/IF($L260&gt;0, INDEX($AU$23:$BA$77, $L260+20, $AH260), 1)</f>
        <v>0</v>
      </c>
      <c r="BJ260" s="230">
        <f t="shared" si="435"/>
        <v>0</v>
      </c>
      <c r="BK260" s="229">
        <v>35</v>
      </c>
      <c r="BL260" s="230">
        <f t="shared" si="436"/>
        <v>48</v>
      </c>
      <c r="BM260" s="235">
        <f t="shared" si="437"/>
        <v>2.9108720930232557</v>
      </c>
      <c r="BN260" s="235" cm="1">
        <f t="array" ref="BN260">$BI260 * SUMPRODUCT(INDEX($AR$77:$AT$82,,$AI260),INDEX($AU$77:$BA$82,,$AH260), N($AQ$77:$AQ$82&gt;$AO260)) / BM260 / 1000</f>
        <v>0</v>
      </c>
      <c r="BO260" s="232">
        <f t="shared" si="246"/>
        <v>30</v>
      </c>
      <c r="BP260" s="230">
        <f t="shared" si="438"/>
        <v>43</v>
      </c>
      <c r="BQ260" s="235">
        <f t="shared" si="439"/>
        <v>3.2938815789473681</v>
      </c>
      <c r="BR260" s="235" cm="1">
        <f t="array" ref="BR260">$BI260 * IF($AH260&lt;=2,
SUMPRODUCT(INDEX($AR$72:$AT$76,,$AI260), INDEX($AU$72:$BA$76,,$AH260), 1 / ($BB$72:$BB$76*BQ260 + (1-$BB$72:$BB$76)*BM260), N($AQ$72:$AQ$76&gt;$AO260)),
SUMPRODUCT(INDEX($AR$67:$AT$76,,$AI260), INDEX($AU$67:$BA$76,,$AH260), 1 / ($BC$67:$BC$76*BQ260 + (1-$BC$67:$BC$76)*BM260), N($AQ$67:$AQ$76&gt;$AO260))
) / 1000</f>
        <v>0</v>
      </c>
      <c r="BS260" s="232">
        <f t="shared" si="249"/>
        <v>25</v>
      </c>
      <c r="BT260" s="230">
        <f t="shared" si="440"/>
        <v>38</v>
      </c>
      <c r="BU260" s="235">
        <f t="shared" si="441"/>
        <v>3.792954545454545</v>
      </c>
      <c r="BV260" s="235" cm="1">
        <f t="array" ref="BV260">$BI260 * IF($AH260&lt;=2,
SUMPRODUCT(INDEX($AR$67:$AT$71,,$AI260), INDEX($AU$67:$BA$71,,$AH260), 1 / ($BB$67:$BB$71*BU260 + (1-$BB$67:$BB$71)*BQ260), N($AQ$67:$AQ$71&gt;$AO260)),
SUMPRODUCT(INDEX($AR$57:$AT$66,,$AI260), INDEX($AU$57:$BA$66,,$AH260), 1 / ($BC$57:$BC$66*BU260 + (1-$BC$57:$BC$66)*BQ260), N($AQ$57:$AQ$66&gt;$AO260))
) / 1000</f>
        <v>0</v>
      </c>
      <c r="BW260" s="232">
        <f t="shared" si="252"/>
        <v>20</v>
      </c>
      <c r="BX260" s="230">
        <f t="shared" si="442"/>
        <v>33</v>
      </c>
      <c r="BY260" s="235">
        <f t="shared" si="443"/>
        <v>4.4702678571428569</v>
      </c>
      <c r="BZ260" s="235" cm="1">
        <f t="array" ref="BZ260">$BI260 * IF($AH260&lt;=2,
SUMPRODUCT(INDEX($AR$62:$AT$66,,$AI260), INDEX($AU$62:$BA$66,,$AH260), 1 / ($BB$62:$BB$66*BY260 + (1-$BB$62:$BB$66)*BU260), N($AQ$62:$AQ$66&gt;$AO260)),
SUMPRODUCT(INDEX($AR$47:$AT$56,,$AI260), INDEX($AU$47:$BA$56,,$AH260), 1 / ($BC$47:$BC$56*BY260 + (1-$BC$47:$BC$56)*BU260), N($AQ$47:$AQ$56&gt;$AO260))
) / 1000</f>
        <v>0</v>
      </c>
      <c r="CA260" s="235" cm="1">
        <f t="array" ref="CA260">$BI260 * IF($AH260&lt;=2,
SUMPRODUCT(INDEX($AR$23:$AT$61,,$AI260), INDEX($AU$23:$BA$61,,$AH260), 1 / ($BB$23:$BB$61*BY260), N($AQ$23:$AQ$61&gt;$AO260)),
SUMPRODUCT(INDEX($AR$23:$AT$46,,$AI260), INDEX($AU$23:$BA$46,,$AH260), 1 / ($BC$23:$BC$46*BY260), N($AQ$23:$AQ$46&gt;$AO260))
) / 1000</f>
        <v>0</v>
      </c>
      <c r="CB260" s="230">
        <f t="shared" si="444"/>
        <v>0</v>
      </c>
      <c r="CC260" s="238"/>
      <c r="CD260" s="229" cm="1">
        <f t="array" ref="CD260">IF(ISBLANK(Y260), INDEX(Use, $AH260, 4) - AN260*INDEX(Use, $AH260, 6) - (Q260-X260), Y260)</f>
        <v>7</v>
      </c>
      <c r="CE260" s="229">
        <f t="shared" si="445"/>
        <v>32</v>
      </c>
      <c r="CF260" s="230">
        <f t="shared" si="446"/>
        <v>0</v>
      </c>
      <c r="CG260" s="229">
        <v>35</v>
      </c>
      <c r="CH260" s="230">
        <f t="shared" si="447"/>
        <v>48</v>
      </c>
      <c r="CI260" s="235">
        <f t="shared" si="448"/>
        <v>3.0748170731707316</v>
      </c>
      <c r="CJ260" s="235" cm="1">
        <f t="array" ref="CJ260">$BI260 * SUMPRODUCT(INDEX($AR$77:$AT$82,,$AI260),INDEX($AU$77:$BA$82,,$AH260), N($AQ$77:$AQ$82&gt;$AO260)) / CI260 / 1000</f>
        <v>0</v>
      </c>
      <c r="CK260" s="232">
        <f t="shared" si="260"/>
        <v>30</v>
      </c>
      <c r="CL260" s="230">
        <f t="shared" si="449"/>
        <v>43</v>
      </c>
      <c r="CM260" s="235">
        <f t="shared" si="450"/>
        <v>3.5018750000000001</v>
      </c>
      <c r="CN260" s="235" cm="1">
        <f t="array" ref="CN260">$BI260 * IF($AH260&lt;=2,
SUMPRODUCT(INDEX($AR$72:$AT$76,,$AI260), INDEX($AU$72:$BA$76,,$AH260), 1 / ($BB$72:$BB$76*CM260 + (1-$BB$72:$BB$76)*CI260), N($AQ$72:$AQ$76&gt;$AO260)),
SUMPRODUCT(INDEX($AR$67:$AT$76,,$AI260), INDEX($AU$67:$BA$76,,$AH260), 1 / ($BC$67:$BC$76*CM260 + (1-$BC$67:$BC$76)*CI260), N($AQ$67:$AQ$76&gt;$AO260))
) / 1000</f>
        <v>0</v>
      </c>
      <c r="CO260" s="232">
        <f t="shared" si="263"/>
        <v>25</v>
      </c>
      <c r="CP260" s="230">
        <f t="shared" si="451"/>
        <v>38</v>
      </c>
      <c r="CQ260" s="235">
        <f t="shared" si="452"/>
        <v>4.0666935483870965</v>
      </c>
      <c r="CR260" s="235" cm="1">
        <f t="array" ref="CR260">$BI260 * IF($AH260&lt;=2,
SUMPRODUCT(INDEX($AR$67:$AT$71,,$AI260), INDEX($AU$67:$BA$71,,$AH260), 1 / ($BB$67:$BB$71*CQ260 + (1-$BB$67:$BB$71)*CM260), N($AQ$67:$AQ$71&gt;$AO260)),
SUMPRODUCT(INDEX($AR$57:$AT$66,,$AI260), INDEX($AU$57:$BA$66,,$AH260), 1 / ($BC$57:$BC$66*CQ260 + (1-$BC$57:$BC$66)*CM260), N($AQ$57:$AQ$66&gt;$AO260))
) / 1000</f>
        <v>0</v>
      </c>
      <c r="CS260" s="232">
        <f t="shared" si="266"/>
        <v>20</v>
      </c>
      <c r="CT260" s="230">
        <f t="shared" si="453"/>
        <v>33</v>
      </c>
      <c r="CU260" s="235">
        <f t="shared" si="454"/>
        <v>4.8487499999999999</v>
      </c>
      <c r="CV260" s="235" cm="1">
        <f t="array" ref="CV260">$BI260 * IF($AH260&lt;=2,
SUMPRODUCT(INDEX($AR$62:$AT$66,,$AI260), INDEX($AU$62:$BA$66,,$AH260), 1 / ($BB$62:$BB$66*CU260 + (1-$BB$62:$BB$66)*CQ260), N($AQ$62:$AQ$66&gt;$AO260)),
SUMPRODUCT(INDEX($AR$47:$AT$56,,$AI260), INDEX($AU$47:$BA$56,,$AH260), 1 / ($BC$47:$BC$56*CU260 + (1-$BC$47:$BC$56)*CQ260), N($AQ$47:$AQ$56&gt;$AO260))
) / 1000</f>
        <v>0</v>
      </c>
      <c r="CW260" s="235" cm="1">
        <f t="array" ref="CW260">$BI260 * IF($AH260&lt;=2,
SUMPRODUCT(INDEX($AR$23:$AT$61,,$AI260), INDEX($AU$23:$BA$61,,$AH260), 1 / ($BB$23:$BB$61*CU260), N($AQ$23:$AQ$61&gt;$AO260)),
SUMPRODUCT(INDEX($AR$23:$AT$46,,$AI260), INDEX($AU$23:$BA$46,,$AH260), 1 / ($BC$23:$BC$46*CU260), N($AQ$23:$AQ$46&gt;$AO260))
) / 1000</f>
        <v>0</v>
      </c>
      <c r="CX260" s="230">
        <f t="shared" si="455"/>
        <v>0</v>
      </c>
      <c r="CY260" s="238"/>
    </row>
    <row r="261" spans="1:103" s="76" customFormat="1" ht="14.25" customHeight="1" x14ac:dyDescent="0.2">
      <c r="A261" s="231" t="b">
        <f t="shared" si="229"/>
        <v>0</v>
      </c>
      <c r="B261" s="245">
        <v>239</v>
      </c>
      <c r="C261" s="258"/>
      <c r="D261" s="258"/>
      <c r="E261" s="246"/>
      <c r="F261" s="247" t="str">
        <f>IF(ISBLANK(E261), "", VLOOKUP(E261, Z!$A$2:$C$4127, 3, FALSE))</f>
        <v/>
      </c>
      <c r="G261" s="248"/>
      <c r="H261" s="248"/>
      <c r="I261" s="249"/>
      <c r="J261" s="250"/>
      <c r="K261" s="259"/>
      <c r="L261" s="260"/>
      <c r="M261" s="252" t="str" cm="1">
        <f t="array" ref="M261">INDEX(Trad, 53, $A$20)</f>
        <v>Verschmutzt</v>
      </c>
      <c r="N261" s="253"/>
      <c r="O261" s="253"/>
      <c r="P261" s="254"/>
      <c r="Q261" s="251"/>
      <c r="R261" s="251"/>
      <c r="S261" s="264">
        <f t="shared" si="430"/>
        <v>0</v>
      </c>
      <c r="T261" s="252" t="str" cm="1">
        <f t="array" ref="T261">INDEX(Trad, 52, $A$20)</f>
        <v>Sauber</v>
      </c>
      <c r="U261" s="253"/>
      <c r="V261" s="253"/>
      <c r="W261" s="254"/>
      <c r="X261" s="251"/>
      <c r="Y261" s="251"/>
      <c r="Z261" s="264">
        <f t="shared" si="431"/>
        <v>0</v>
      </c>
      <c r="AA261" s="261"/>
      <c r="AB261" s="258"/>
      <c r="AC261" s="246"/>
      <c r="AD261" s="247" t="str">
        <f>IF(ISBLANK(AC261), "", VLOOKUP(AC261, Z!$A$2:$C$4127, 3, FALSE))</f>
        <v/>
      </c>
      <c r="AE261" s="262"/>
      <c r="AF261" s="263">
        <f t="shared" si="432"/>
        <v>0</v>
      </c>
      <c r="AG261" s="238"/>
      <c r="AH261" s="229">
        <f t="shared" si="456"/>
        <v>1</v>
      </c>
      <c r="AI261" s="229">
        <f t="shared" si="457"/>
        <v>1</v>
      </c>
      <c r="AJ261" s="229">
        <f t="shared" si="458"/>
        <v>0</v>
      </c>
      <c r="AK261" s="229">
        <v>0</v>
      </c>
      <c r="AL261" s="229">
        <v>0</v>
      </c>
      <c r="AM261" s="229">
        <v>1</v>
      </c>
      <c r="AN261" s="229">
        <v>0</v>
      </c>
      <c r="AO261" s="229">
        <f t="shared" si="433"/>
        <v>-100</v>
      </c>
      <c r="AP261" s="238"/>
      <c r="AQ261" s="255"/>
      <c r="AR261" s="255"/>
      <c r="AS261" s="256"/>
      <c r="AT261" s="256"/>
      <c r="AU261" s="256"/>
      <c r="AV261" s="256"/>
      <c r="AW261" s="256"/>
      <c r="AX261" s="256"/>
      <c r="AY261" s="256"/>
      <c r="AZ261" s="256"/>
      <c r="BA261" s="256"/>
      <c r="BB261" s="256"/>
      <c r="BC261" s="256"/>
      <c r="BD261" s="238"/>
      <c r="BE261" s="229" cm="1">
        <f t="array" ref="BE261">IF(ISBLANK(R261), INDEX(Use, $AH261, 4) - AM261*INDEX(Use, $AH261, 6), R261)</f>
        <v>5</v>
      </c>
      <c r="BF261" s="229">
        <f t="shared" si="434"/>
        <v>30</v>
      </c>
      <c r="BG261" s="229">
        <f t="shared" si="241"/>
        <v>13</v>
      </c>
      <c r="BH261" s="229">
        <f t="shared" si="242"/>
        <v>0</v>
      </c>
      <c r="BI261" s="234" cm="1">
        <f t="array" ref="BI261">K261/IF($L261&gt;0, INDEX($AU$23:$BA$77, $L261+20, $AH261), 1)</f>
        <v>0</v>
      </c>
      <c r="BJ261" s="230">
        <f t="shared" si="435"/>
        <v>0</v>
      </c>
      <c r="BK261" s="229">
        <v>35</v>
      </c>
      <c r="BL261" s="230">
        <f t="shared" si="436"/>
        <v>48</v>
      </c>
      <c r="BM261" s="235">
        <f t="shared" si="437"/>
        <v>2.9108720930232557</v>
      </c>
      <c r="BN261" s="235" cm="1">
        <f t="array" ref="BN261">$BI261 * SUMPRODUCT(INDEX($AR$77:$AT$82,,$AI261),INDEX($AU$77:$BA$82,,$AH261), N($AQ$77:$AQ$82&gt;$AO261)) / BM261 / 1000</f>
        <v>0</v>
      </c>
      <c r="BO261" s="232">
        <f t="shared" si="246"/>
        <v>30</v>
      </c>
      <c r="BP261" s="230">
        <f t="shared" si="438"/>
        <v>43</v>
      </c>
      <c r="BQ261" s="235">
        <f t="shared" si="439"/>
        <v>3.2938815789473681</v>
      </c>
      <c r="BR261" s="235" cm="1">
        <f t="array" ref="BR261">$BI261 * IF($AH261&lt;=2,
SUMPRODUCT(INDEX($AR$72:$AT$76,,$AI261), INDEX($AU$72:$BA$76,,$AH261), 1 / ($BB$72:$BB$76*BQ261 + (1-$BB$72:$BB$76)*BM261), N($AQ$72:$AQ$76&gt;$AO261)),
SUMPRODUCT(INDEX($AR$67:$AT$76,,$AI261), INDEX($AU$67:$BA$76,,$AH261), 1 / ($BC$67:$BC$76*BQ261 + (1-$BC$67:$BC$76)*BM261), N($AQ$67:$AQ$76&gt;$AO261))
) / 1000</f>
        <v>0</v>
      </c>
      <c r="BS261" s="232">
        <f t="shared" si="249"/>
        <v>25</v>
      </c>
      <c r="BT261" s="230">
        <f t="shared" si="440"/>
        <v>38</v>
      </c>
      <c r="BU261" s="235">
        <f t="shared" si="441"/>
        <v>3.792954545454545</v>
      </c>
      <c r="BV261" s="235" cm="1">
        <f t="array" ref="BV261">$BI261 * IF($AH261&lt;=2,
SUMPRODUCT(INDEX($AR$67:$AT$71,,$AI261), INDEX($AU$67:$BA$71,,$AH261), 1 / ($BB$67:$BB$71*BU261 + (1-$BB$67:$BB$71)*BQ261), N($AQ$67:$AQ$71&gt;$AO261)),
SUMPRODUCT(INDEX($AR$57:$AT$66,,$AI261), INDEX($AU$57:$BA$66,,$AH261), 1 / ($BC$57:$BC$66*BU261 + (1-$BC$57:$BC$66)*BQ261), N($AQ$57:$AQ$66&gt;$AO261))
) / 1000</f>
        <v>0</v>
      </c>
      <c r="BW261" s="232">
        <f t="shared" si="252"/>
        <v>20</v>
      </c>
      <c r="BX261" s="230">
        <f t="shared" si="442"/>
        <v>33</v>
      </c>
      <c r="BY261" s="235">
        <f t="shared" si="443"/>
        <v>4.4702678571428569</v>
      </c>
      <c r="BZ261" s="235" cm="1">
        <f t="array" ref="BZ261">$BI261 * IF($AH261&lt;=2,
SUMPRODUCT(INDEX($AR$62:$AT$66,,$AI261), INDEX($AU$62:$BA$66,,$AH261), 1 / ($BB$62:$BB$66*BY261 + (1-$BB$62:$BB$66)*BU261), N($AQ$62:$AQ$66&gt;$AO261)),
SUMPRODUCT(INDEX($AR$47:$AT$56,,$AI261), INDEX($AU$47:$BA$56,,$AH261), 1 / ($BC$47:$BC$56*BY261 + (1-$BC$47:$BC$56)*BU261), N($AQ$47:$AQ$56&gt;$AO261))
) / 1000</f>
        <v>0</v>
      </c>
      <c r="CA261" s="235" cm="1">
        <f t="array" ref="CA261">$BI261 * IF($AH261&lt;=2,
SUMPRODUCT(INDEX($AR$23:$AT$61,,$AI261), INDEX($AU$23:$BA$61,,$AH261), 1 / ($BB$23:$BB$61*BY261), N($AQ$23:$AQ$61&gt;$AO261)),
SUMPRODUCT(INDEX($AR$23:$AT$46,,$AI261), INDEX($AU$23:$BA$46,,$AH261), 1 / ($BC$23:$BC$46*BY261), N($AQ$23:$AQ$46&gt;$AO261))
) / 1000</f>
        <v>0</v>
      </c>
      <c r="CB261" s="230">
        <f t="shared" si="444"/>
        <v>0</v>
      </c>
      <c r="CC261" s="238"/>
      <c r="CD261" s="229" cm="1">
        <f t="array" ref="CD261">IF(ISBLANK(Y261), INDEX(Use, $AH261, 4) - AN261*INDEX(Use, $AH261, 6) - (Q261-X261), Y261)</f>
        <v>7</v>
      </c>
      <c r="CE261" s="229">
        <f t="shared" si="445"/>
        <v>32</v>
      </c>
      <c r="CF261" s="230">
        <f t="shared" si="446"/>
        <v>0</v>
      </c>
      <c r="CG261" s="229">
        <v>35</v>
      </c>
      <c r="CH261" s="230">
        <f t="shared" si="447"/>
        <v>48</v>
      </c>
      <c r="CI261" s="235">
        <f t="shared" si="448"/>
        <v>3.0748170731707316</v>
      </c>
      <c r="CJ261" s="235" cm="1">
        <f t="array" ref="CJ261">$BI261 * SUMPRODUCT(INDEX($AR$77:$AT$82,,$AI261),INDEX($AU$77:$BA$82,,$AH261), N($AQ$77:$AQ$82&gt;$AO261)) / CI261 / 1000</f>
        <v>0</v>
      </c>
      <c r="CK261" s="232">
        <f t="shared" si="260"/>
        <v>30</v>
      </c>
      <c r="CL261" s="230">
        <f t="shared" si="449"/>
        <v>43</v>
      </c>
      <c r="CM261" s="235">
        <f t="shared" si="450"/>
        <v>3.5018750000000001</v>
      </c>
      <c r="CN261" s="235" cm="1">
        <f t="array" ref="CN261">$BI261 * IF($AH261&lt;=2,
SUMPRODUCT(INDEX($AR$72:$AT$76,,$AI261), INDEX($AU$72:$BA$76,,$AH261), 1 / ($BB$72:$BB$76*CM261 + (1-$BB$72:$BB$76)*CI261), N($AQ$72:$AQ$76&gt;$AO261)),
SUMPRODUCT(INDEX($AR$67:$AT$76,,$AI261), INDEX($AU$67:$BA$76,,$AH261), 1 / ($BC$67:$BC$76*CM261 + (1-$BC$67:$BC$76)*CI261), N($AQ$67:$AQ$76&gt;$AO261))
) / 1000</f>
        <v>0</v>
      </c>
      <c r="CO261" s="232">
        <f t="shared" si="263"/>
        <v>25</v>
      </c>
      <c r="CP261" s="230">
        <f t="shared" si="451"/>
        <v>38</v>
      </c>
      <c r="CQ261" s="235">
        <f t="shared" si="452"/>
        <v>4.0666935483870965</v>
      </c>
      <c r="CR261" s="235" cm="1">
        <f t="array" ref="CR261">$BI261 * IF($AH261&lt;=2,
SUMPRODUCT(INDEX($AR$67:$AT$71,,$AI261), INDEX($AU$67:$BA$71,,$AH261), 1 / ($BB$67:$BB$71*CQ261 + (1-$BB$67:$BB$71)*CM261), N($AQ$67:$AQ$71&gt;$AO261)),
SUMPRODUCT(INDEX($AR$57:$AT$66,,$AI261), INDEX($AU$57:$BA$66,,$AH261), 1 / ($BC$57:$BC$66*CQ261 + (1-$BC$57:$BC$66)*CM261), N($AQ$57:$AQ$66&gt;$AO261))
) / 1000</f>
        <v>0</v>
      </c>
      <c r="CS261" s="232">
        <f t="shared" si="266"/>
        <v>20</v>
      </c>
      <c r="CT261" s="230">
        <f t="shared" si="453"/>
        <v>33</v>
      </c>
      <c r="CU261" s="235">
        <f t="shared" si="454"/>
        <v>4.8487499999999999</v>
      </c>
      <c r="CV261" s="235" cm="1">
        <f t="array" ref="CV261">$BI261 * IF($AH261&lt;=2,
SUMPRODUCT(INDEX($AR$62:$AT$66,,$AI261), INDEX($AU$62:$BA$66,,$AH261), 1 / ($BB$62:$BB$66*CU261 + (1-$BB$62:$BB$66)*CQ261), N($AQ$62:$AQ$66&gt;$AO261)),
SUMPRODUCT(INDEX($AR$47:$AT$56,,$AI261), INDEX($AU$47:$BA$56,,$AH261), 1 / ($BC$47:$BC$56*CU261 + (1-$BC$47:$BC$56)*CQ261), N($AQ$47:$AQ$56&gt;$AO261))
) / 1000</f>
        <v>0</v>
      </c>
      <c r="CW261" s="235" cm="1">
        <f t="array" ref="CW261">$BI261 * IF($AH261&lt;=2,
SUMPRODUCT(INDEX($AR$23:$AT$61,,$AI261), INDEX($AU$23:$BA$61,,$AH261), 1 / ($BB$23:$BB$61*CU261), N($AQ$23:$AQ$61&gt;$AO261)),
SUMPRODUCT(INDEX($AR$23:$AT$46,,$AI261), INDEX($AU$23:$BA$46,,$AH261), 1 / ($BC$23:$BC$46*CU261), N($AQ$23:$AQ$46&gt;$AO261))
) / 1000</f>
        <v>0</v>
      </c>
      <c r="CX261" s="230">
        <f t="shared" si="455"/>
        <v>0</v>
      </c>
      <c r="CY261" s="238"/>
    </row>
    <row r="262" spans="1:103" s="76" customFormat="1" ht="14.25" customHeight="1" x14ac:dyDescent="0.2">
      <c r="A262" s="231" t="b">
        <f t="shared" si="229"/>
        <v>0</v>
      </c>
      <c r="B262" s="245">
        <v>240</v>
      </c>
      <c r="C262" s="258"/>
      <c r="D262" s="258"/>
      <c r="E262" s="246"/>
      <c r="F262" s="247" t="str">
        <f>IF(ISBLANK(E262), "", VLOOKUP(E262, Z!$A$2:$C$4127, 3, FALSE))</f>
        <v/>
      </c>
      <c r="G262" s="248"/>
      <c r="H262" s="248"/>
      <c r="I262" s="249"/>
      <c r="J262" s="250"/>
      <c r="K262" s="259"/>
      <c r="L262" s="260"/>
      <c r="M262" s="252" t="str" cm="1">
        <f t="array" ref="M262">INDEX(Trad, 53, $A$20)</f>
        <v>Verschmutzt</v>
      </c>
      <c r="N262" s="253"/>
      <c r="O262" s="253"/>
      <c r="P262" s="254"/>
      <c r="Q262" s="251"/>
      <c r="R262" s="251"/>
      <c r="S262" s="264">
        <f t="shared" si="430"/>
        <v>0</v>
      </c>
      <c r="T262" s="252" t="str" cm="1">
        <f t="array" ref="T262">INDEX(Trad, 52, $A$20)</f>
        <v>Sauber</v>
      </c>
      <c r="U262" s="253"/>
      <c r="V262" s="253"/>
      <c r="W262" s="254"/>
      <c r="X262" s="251"/>
      <c r="Y262" s="251"/>
      <c r="Z262" s="264">
        <f t="shared" si="431"/>
        <v>0</v>
      </c>
      <c r="AA262" s="261"/>
      <c r="AB262" s="258"/>
      <c r="AC262" s="246"/>
      <c r="AD262" s="247" t="str">
        <f>IF(ISBLANK(AC262), "", VLOOKUP(AC262, Z!$A$2:$C$4127, 3, FALSE))</f>
        <v/>
      </c>
      <c r="AE262" s="262"/>
      <c r="AF262" s="263">
        <f t="shared" si="432"/>
        <v>0</v>
      </c>
      <c r="AG262" s="238"/>
      <c r="AH262" s="229">
        <f t="shared" si="456"/>
        <v>1</v>
      </c>
      <c r="AI262" s="229">
        <f t="shared" si="457"/>
        <v>1</v>
      </c>
      <c r="AJ262" s="229">
        <f t="shared" si="458"/>
        <v>0</v>
      </c>
      <c r="AK262" s="229">
        <v>0</v>
      </c>
      <c r="AL262" s="229">
        <v>0</v>
      </c>
      <c r="AM262" s="229">
        <v>1</v>
      </c>
      <c r="AN262" s="229">
        <v>0</v>
      </c>
      <c r="AO262" s="229">
        <f t="shared" si="433"/>
        <v>-100</v>
      </c>
      <c r="AP262" s="238"/>
      <c r="AQ262" s="255"/>
      <c r="AR262" s="255"/>
      <c r="AS262" s="256"/>
      <c r="AT262" s="256"/>
      <c r="AU262" s="256"/>
      <c r="AV262" s="256"/>
      <c r="AW262" s="256"/>
      <c r="AX262" s="256"/>
      <c r="AY262" s="256"/>
      <c r="AZ262" s="256"/>
      <c r="BA262" s="256"/>
      <c r="BB262" s="256"/>
      <c r="BC262" s="256"/>
      <c r="BD262" s="238"/>
      <c r="BE262" s="229" cm="1">
        <f t="array" ref="BE262">IF(ISBLANK(R262), INDEX(Use, $AH262, 4) - AM262*INDEX(Use, $AH262, 6), R262)</f>
        <v>5</v>
      </c>
      <c r="BF262" s="229">
        <f t="shared" si="434"/>
        <v>30</v>
      </c>
      <c r="BG262" s="229">
        <f t="shared" si="241"/>
        <v>13</v>
      </c>
      <c r="BH262" s="229">
        <f t="shared" si="242"/>
        <v>0</v>
      </c>
      <c r="BI262" s="234" cm="1">
        <f t="array" ref="BI262">K262/IF($L262&gt;0, INDEX($AU$23:$BA$77, $L262+20, $AH262), 1)</f>
        <v>0</v>
      </c>
      <c r="BJ262" s="230">
        <f t="shared" si="435"/>
        <v>0</v>
      </c>
      <c r="BK262" s="229">
        <v>35</v>
      </c>
      <c r="BL262" s="230">
        <f t="shared" si="436"/>
        <v>48</v>
      </c>
      <c r="BM262" s="235">
        <f t="shared" si="437"/>
        <v>2.9108720930232557</v>
      </c>
      <c r="BN262" s="235" cm="1">
        <f t="array" ref="BN262">$BI262 * SUMPRODUCT(INDEX($AR$77:$AT$82,,$AI262),INDEX($AU$77:$BA$82,,$AH262), N($AQ$77:$AQ$82&gt;$AO262)) / BM262 / 1000</f>
        <v>0</v>
      </c>
      <c r="BO262" s="232">
        <f t="shared" si="246"/>
        <v>30</v>
      </c>
      <c r="BP262" s="230">
        <f t="shared" si="438"/>
        <v>43</v>
      </c>
      <c r="BQ262" s="235">
        <f t="shared" si="439"/>
        <v>3.2938815789473681</v>
      </c>
      <c r="BR262" s="235" cm="1">
        <f t="array" ref="BR262">$BI262 * IF($AH262&lt;=2,
SUMPRODUCT(INDEX($AR$72:$AT$76,,$AI262), INDEX($AU$72:$BA$76,,$AH262), 1 / ($BB$72:$BB$76*BQ262 + (1-$BB$72:$BB$76)*BM262), N($AQ$72:$AQ$76&gt;$AO262)),
SUMPRODUCT(INDEX($AR$67:$AT$76,,$AI262), INDEX($AU$67:$BA$76,,$AH262), 1 / ($BC$67:$BC$76*BQ262 + (1-$BC$67:$BC$76)*BM262), N($AQ$67:$AQ$76&gt;$AO262))
) / 1000</f>
        <v>0</v>
      </c>
      <c r="BS262" s="232">
        <f t="shared" si="249"/>
        <v>25</v>
      </c>
      <c r="BT262" s="230">
        <f t="shared" si="440"/>
        <v>38</v>
      </c>
      <c r="BU262" s="235">
        <f t="shared" si="441"/>
        <v>3.792954545454545</v>
      </c>
      <c r="BV262" s="235" cm="1">
        <f t="array" ref="BV262">$BI262 * IF($AH262&lt;=2,
SUMPRODUCT(INDEX($AR$67:$AT$71,,$AI262), INDEX($AU$67:$BA$71,,$AH262), 1 / ($BB$67:$BB$71*BU262 + (1-$BB$67:$BB$71)*BQ262), N($AQ$67:$AQ$71&gt;$AO262)),
SUMPRODUCT(INDEX($AR$57:$AT$66,,$AI262), INDEX($AU$57:$BA$66,,$AH262), 1 / ($BC$57:$BC$66*BU262 + (1-$BC$57:$BC$66)*BQ262), N($AQ$57:$AQ$66&gt;$AO262))
) / 1000</f>
        <v>0</v>
      </c>
      <c r="BW262" s="232">
        <f t="shared" si="252"/>
        <v>20</v>
      </c>
      <c r="BX262" s="230">
        <f t="shared" si="442"/>
        <v>33</v>
      </c>
      <c r="BY262" s="235">
        <f t="shared" si="443"/>
        <v>4.4702678571428569</v>
      </c>
      <c r="BZ262" s="235" cm="1">
        <f t="array" ref="BZ262">$BI262 * IF($AH262&lt;=2,
SUMPRODUCT(INDEX($AR$62:$AT$66,,$AI262), INDEX($AU$62:$BA$66,,$AH262), 1 / ($BB$62:$BB$66*BY262 + (1-$BB$62:$BB$66)*BU262), N($AQ$62:$AQ$66&gt;$AO262)),
SUMPRODUCT(INDEX($AR$47:$AT$56,,$AI262), INDEX($AU$47:$BA$56,,$AH262), 1 / ($BC$47:$BC$56*BY262 + (1-$BC$47:$BC$56)*BU262), N($AQ$47:$AQ$56&gt;$AO262))
) / 1000</f>
        <v>0</v>
      </c>
      <c r="CA262" s="235" cm="1">
        <f t="array" ref="CA262">$BI262 * IF($AH262&lt;=2,
SUMPRODUCT(INDEX($AR$23:$AT$61,,$AI262), INDEX($AU$23:$BA$61,,$AH262), 1 / ($BB$23:$BB$61*BY262), N($AQ$23:$AQ$61&gt;$AO262)),
SUMPRODUCT(INDEX($AR$23:$AT$46,,$AI262), INDEX($AU$23:$BA$46,,$AH262), 1 / ($BC$23:$BC$46*BY262), N($AQ$23:$AQ$46&gt;$AO262))
) / 1000</f>
        <v>0</v>
      </c>
      <c r="CB262" s="230">
        <f t="shared" si="444"/>
        <v>0</v>
      </c>
      <c r="CC262" s="238"/>
      <c r="CD262" s="229" cm="1">
        <f t="array" ref="CD262">IF(ISBLANK(Y262), INDEX(Use, $AH262, 4) - AN262*INDEX(Use, $AH262, 6) - (Q262-X262), Y262)</f>
        <v>7</v>
      </c>
      <c r="CE262" s="229">
        <f t="shared" si="445"/>
        <v>32</v>
      </c>
      <c r="CF262" s="230">
        <f t="shared" si="446"/>
        <v>0</v>
      </c>
      <c r="CG262" s="229">
        <v>35</v>
      </c>
      <c r="CH262" s="230">
        <f t="shared" si="447"/>
        <v>48</v>
      </c>
      <c r="CI262" s="235">
        <f t="shared" si="448"/>
        <v>3.0748170731707316</v>
      </c>
      <c r="CJ262" s="235" cm="1">
        <f t="array" ref="CJ262">$BI262 * SUMPRODUCT(INDEX($AR$77:$AT$82,,$AI262),INDEX($AU$77:$BA$82,,$AH262), N($AQ$77:$AQ$82&gt;$AO262)) / CI262 / 1000</f>
        <v>0</v>
      </c>
      <c r="CK262" s="232">
        <f t="shared" si="260"/>
        <v>30</v>
      </c>
      <c r="CL262" s="230">
        <f t="shared" si="449"/>
        <v>43</v>
      </c>
      <c r="CM262" s="235">
        <f t="shared" si="450"/>
        <v>3.5018750000000001</v>
      </c>
      <c r="CN262" s="235" cm="1">
        <f t="array" ref="CN262">$BI262 * IF($AH262&lt;=2,
SUMPRODUCT(INDEX($AR$72:$AT$76,,$AI262), INDEX($AU$72:$BA$76,,$AH262), 1 / ($BB$72:$BB$76*CM262 + (1-$BB$72:$BB$76)*CI262), N($AQ$72:$AQ$76&gt;$AO262)),
SUMPRODUCT(INDEX($AR$67:$AT$76,,$AI262), INDEX($AU$67:$BA$76,,$AH262), 1 / ($BC$67:$BC$76*CM262 + (1-$BC$67:$BC$76)*CI262), N($AQ$67:$AQ$76&gt;$AO262))
) / 1000</f>
        <v>0</v>
      </c>
      <c r="CO262" s="232">
        <f t="shared" si="263"/>
        <v>25</v>
      </c>
      <c r="CP262" s="230">
        <f t="shared" si="451"/>
        <v>38</v>
      </c>
      <c r="CQ262" s="235">
        <f t="shared" si="452"/>
        <v>4.0666935483870965</v>
      </c>
      <c r="CR262" s="235" cm="1">
        <f t="array" ref="CR262">$BI262 * IF($AH262&lt;=2,
SUMPRODUCT(INDEX($AR$67:$AT$71,,$AI262), INDEX($AU$67:$BA$71,,$AH262), 1 / ($BB$67:$BB$71*CQ262 + (1-$BB$67:$BB$71)*CM262), N($AQ$67:$AQ$71&gt;$AO262)),
SUMPRODUCT(INDEX($AR$57:$AT$66,,$AI262), INDEX($AU$57:$BA$66,,$AH262), 1 / ($BC$57:$BC$66*CQ262 + (1-$BC$57:$BC$66)*CM262), N($AQ$57:$AQ$66&gt;$AO262))
) / 1000</f>
        <v>0</v>
      </c>
      <c r="CS262" s="232">
        <f t="shared" si="266"/>
        <v>20</v>
      </c>
      <c r="CT262" s="230">
        <f t="shared" si="453"/>
        <v>33</v>
      </c>
      <c r="CU262" s="235">
        <f t="shared" si="454"/>
        <v>4.8487499999999999</v>
      </c>
      <c r="CV262" s="235" cm="1">
        <f t="array" ref="CV262">$BI262 * IF($AH262&lt;=2,
SUMPRODUCT(INDEX($AR$62:$AT$66,,$AI262), INDEX($AU$62:$BA$66,,$AH262), 1 / ($BB$62:$BB$66*CU262 + (1-$BB$62:$BB$66)*CQ262), N($AQ$62:$AQ$66&gt;$AO262)),
SUMPRODUCT(INDEX($AR$47:$AT$56,,$AI262), INDEX($AU$47:$BA$56,,$AH262), 1 / ($BC$47:$BC$56*CU262 + (1-$BC$47:$BC$56)*CQ262), N($AQ$47:$AQ$56&gt;$AO262))
) / 1000</f>
        <v>0</v>
      </c>
      <c r="CW262" s="235" cm="1">
        <f t="array" ref="CW262">$BI262 * IF($AH262&lt;=2,
SUMPRODUCT(INDEX($AR$23:$AT$61,,$AI262), INDEX($AU$23:$BA$61,,$AH262), 1 / ($BB$23:$BB$61*CU262), N($AQ$23:$AQ$61&gt;$AO262)),
SUMPRODUCT(INDEX($AR$23:$AT$46,,$AI262), INDEX($AU$23:$BA$46,,$AH262), 1 / ($BC$23:$BC$46*CU262), N($AQ$23:$AQ$46&gt;$AO262))
) / 1000</f>
        <v>0</v>
      </c>
      <c r="CX262" s="230">
        <f t="shared" si="455"/>
        <v>0</v>
      </c>
      <c r="CY262" s="238"/>
    </row>
    <row r="263" spans="1:103" s="76" customFormat="1" ht="14.25" customHeight="1" x14ac:dyDescent="0.2">
      <c r="A263" s="231" t="b">
        <f t="shared" si="229"/>
        <v>0</v>
      </c>
      <c r="B263" s="245">
        <v>241</v>
      </c>
      <c r="C263" s="258"/>
      <c r="D263" s="258"/>
      <c r="E263" s="246"/>
      <c r="F263" s="247" t="str">
        <f>IF(ISBLANK(E263), "", VLOOKUP(E263, Z!$A$2:$C$4127, 3, FALSE))</f>
        <v/>
      </c>
      <c r="G263" s="248"/>
      <c r="H263" s="248"/>
      <c r="I263" s="249"/>
      <c r="J263" s="250"/>
      <c r="K263" s="259"/>
      <c r="L263" s="260"/>
      <c r="M263" s="252" t="str" cm="1">
        <f t="array" ref="M263">INDEX(Trad, 53, $A$20)</f>
        <v>Verschmutzt</v>
      </c>
      <c r="N263" s="253"/>
      <c r="O263" s="253"/>
      <c r="P263" s="254"/>
      <c r="Q263" s="251"/>
      <c r="R263" s="251"/>
      <c r="S263" s="264">
        <f t="shared" si="430"/>
        <v>0</v>
      </c>
      <c r="T263" s="252" t="str" cm="1">
        <f t="array" ref="T263">INDEX(Trad, 52, $A$20)</f>
        <v>Sauber</v>
      </c>
      <c r="U263" s="253"/>
      <c r="V263" s="253"/>
      <c r="W263" s="254"/>
      <c r="X263" s="251"/>
      <c r="Y263" s="251"/>
      <c r="Z263" s="264">
        <f t="shared" si="431"/>
        <v>0</v>
      </c>
      <c r="AA263" s="261"/>
      <c r="AB263" s="258"/>
      <c r="AC263" s="246"/>
      <c r="AD263" s="247" t="str">
        <f>IF(ISBLANK(AC263), "", VLOOKUP(AC263, Z!$A$2:$C$4127, 3, FALSE))</f>
        <v/>
      </c>
      <c r="AE263" s="262"/>
      <c r="AF263" s="263">
        <f t="shared" si="432"/>
        <v>0</v>
      </c>
      <c r="AG263" s="238"/>
      <c r="AH263" s="229">
        <f t="shared" si="456"/>
        <v>1</v>
      </c>
      <c r="AI263" s="229">
        <f t="shared" si="457"/>
        <v>1</v>
      </c>
      <c r="AJ263" s="229">
        <f t="shared" si="458"/>
        <v>0</v>
      </c>
      <c r="AK263" s="229">
        <v>0</v>
      </c>
      <c r="AL263" s="229">
        <v>0</v>
      </c>
      <c r="AM263" s="229">
        <v>1</v>
      </c>
      <c r="AN263" s="229">
        <v>0</v>
      </c>
      <c r="AO263" s="229">
        <f t="shared" si="433"/>
        <v>-100</v>
      </c>
      <c r="AP263" s="238"/>
      <c r="AQ263" s="255"/>
      <c r="AR263" s="255"/>
      <c r="AS263" s="256"/>
      <c r="AT263" s="256"/>
      <c r="AU263" s="256"/>
      <c r="AV263" s="256"/>
      <c r="AW263" s="256"/>
      <c r="AX263" s="256"/>
      <c r="AY263" s="256"/>
      <c r="AZ263" s="256"/>
      <c r="BA263" s="256"/>
      <c r="BB263" s="256"/>
      <c r="BC263" s="256"/>
      <c r="BD263" s="238"/>
      <c r="BE263" s="229" cm="1">
        <f t="array" ref="BE263">IF(ISBLANK(R263), INDEX(Use, $AH263, 4) - AM263*INDEX(Use, $AH263, 6), R263)</f>
        <v>5</v>
      </c>
      <c r="BF263" s="229">
        <f t="shared" si="434"/>
        <v>30</v>
      </c>
      <c r="BG263" s="229">
        <f t="shared" si="241"/>
        <v>13</v>
      </c>
      <c r="BH263" s="229">
        <f t="shared" si="242"/>
        <v>0</v>
      </c>
      <c r="BI263" s="234" cm="1">
        <f t="array" ref="BI263">K263/IF($L263&gt;0, INDEX($AU$23:$BA$77, $L263+20, $AH263), 1)</f>
        <v>0</v>
      </c>
      <c r="BJ263" s="230">
        <f t="shared" si="435"/>
        <v>0</v>
      </c>
      <c r="BK263" s="229">
        <v>35</v>
      </c>
      <c r="BL263" s="230">
        <f t="shared" si="436"/>
        <v>48</v>
      </c>
      <c r="BM263" s="235">
        <f t="shared" si="437"/>
        <v>2.9108720930232557</v>
      </c>
      <c r="BN263" s="235" cm="1">
        <f t="array" ref="BN263">$BI263 * SUMPRODUCT(INDEX($AR$77:$AT$82,,$AI263),INDEX($AU$77:$BA$82,,$AH263), N($AQ$77:$AQ$82&gt;$AO263)) / BM263 / 1000</f>
        <v>0</v>
      </c>
      <c r="BO263" s="232">
        <f t="shared" si="246"/>
        <v>30</v>
      </c>
      <c r="BP263" s="230">
        <f t="shared" si="438"/>
        <v>43</v>
      </c>
      <c r="BQ263" s="235">
        <f t="shared" si="439"/>
        <v>3.2938815789473681</v>
      </c>
      <c r="BR263" s="235" cm="1">
        <f t="array" ref="BR263">$BI263 * IF($AH263&lt;=2,
SUMPRODUCT(INDEX($AR$72:$AT$76,,$AI263), INDEX($AU$72:$BA$76,,$AH263), 1 / ($BB$72:$BB$76*BQ263 + (1-$BB$72:$BB$76)*BM263), N($AQ$72:$AQ$76&gt;$AO263)),
SUMPRODUCT(INDEX($AR$67:$AT$76,,$AI263), INDEX($AU$67:$BA$76,,$AH263), 1 / ($BC$67:$BC$76*BQ263 + (1-$BC$67:$BC$76)*BM263), N($AQ$67:$AQ$76&gt;$AO263))
) / 1000</f>
        <v>0</v>
      </c>
      <c r="BS263" s="232">
        <f t="shared" si="249"/>
        <v>25</v>
      </c>
      <c r="BT263" s="230">
        <f t="shared" si="440"/>
        <v>38</v>
      </c>
      <c r="BU263" s="235">
        <f t="shared" si="441"/>
        <v>3.792954545454545</v>
      </c>
      <c r="BV263" s="235" cm="1">
        <f t="array" ref="BV263">$BI263 * IF($AH263&lt;=2,
SUMPRODUCT(INDEX($AR$67:$AT$71,,$AI263), INDEX($AU$67:$BA$71,,$AH263), 1 / ($BB$67:$BB$71*BU263 + (1-$BB$67:$BB$71)*BQ263), N($AQ$67:$AQ$71&gt;$AO263)),
SUMPRODUCT(INDEX($AR$57:$AT$66,,$AI263), INDEX($AU$57:$BA$66,,$AH263), 1 / ($BC$57:$BC$66*BU263 + (1-$BC$57:$BC$66)*BQ263), N($AQ$57:$AQ$66&gt;$AO263))
) / 1000</f>
        <v>0</v>
      </c>
      <c r="BW263" s="232">
        <f t="shared" si="252"/>
        <v>20</v>
      </c>
      <c r="BX263" s="230">
        <f t="shared" si="442"/>
        <v>33</v>
      </c>
      <c r="BY263" s="235">
        <f t="shared" si="443"/>
        <v>4.4702678571428569</v>
      </c>
      <c r="BZ263" s="235" cm="1">
        <f t="array" ref="BZ263">$BI263 * IF($AH263&lt;=2,
SUMPRODUCT(INDEX($AR$62:$AT$66,,$AI263), INDEX($AU$62:$BA$66,,$AH263), 1 / ($BB$62:$BB$66*BY263 + (1-$BB$62:$BB$66)*BU263), N($AQ$62:$AQ$66&gt;$AO263)),
SUMPRODUCT(INDEX($AR$47:$AT$56,,$AI263), INDEX($AU$47:$BA$56,,$AH263), 1 / ($BC$47:$BC$56*BY263 + (1-$BC$47:$BC$56)*BU263), N($AQ$47:$AQ$56&gt;$AO263))
) / 1000</f>
        <v>0</v>
      </c>
      <c r="CA263" s="235" cm="1">
        <f t="array" ref="CA263">$BI263 * IF($AH263&lt;=2,
SUMPRODUCT(INDEX($AR$23:$AT$61,,$AI263), INDEX($AU$23:$BA$61,,$AH263), 1 / ($BB$23:$BB$61*BY263), N($AQ$23:$AQ$61&gt;$AO263)),
SUMPRODUCT(INDEX($AR$23:$AT$46,,$AI263), INDEX($AU$23:$BA$46,,$AH263), 1 / ($BC$23:$BC$46*BY263), N($AQ$23:$AQ$46&gt;$AO263))
) / 1000</f>
        <v>0</v>
      </c>
      <c r="CB263" s="230">
        <f t="shared" si="444"/>
        <v>0</v>
      </c>
      <c r="CC263" s="238"/>
      <c r="CD263" s="229" cm="1">
        <f t="array" ref="CD263">IF(ISBLANK(Y263), INDEX(Use, $AH263, 4) - AN263*INDEX(Use, $AH263, 6) - (Q263-X263), Y263)</f>
        <v>7</v>
      </c>
      <c r="CE263" s="229">
        <f t="shared" si="445"/>
        <v>32</v>
      </c>
      <c r="CF263" s="230">
        <f t="shared" si="446"/>
        <v>0</v>
      </c>
      <c r="CG263" s="229">
        <v>35</v>
      </c>
      <c r="CH263" s="230">
        <f t="shared" si="447"/>
        <v>48</v>
      </c>
      <c r="CI263" s="235">
        <f t="shared" si="448"/>
        <v>3.0748170731707316</v>
      </c>
      <c r="CJ263" s="235" cm="1">
        <f t="array" ref="CJ263">$BI263 * SUMPRODUCT(INDEX($AR$77:$AT$82,,$AI263),INDEX($AU$77:$BA$82,,$AH263), N($AQ$77:$AQ$82&gt;$AO263)) / CI263 / 1000</f>
        <v>0</v>
      </c>
      <c r="CK263" s="232">
        <f t="shared" si="260"/>
        <v>30</v>
      </c>
      <c r="CL263" s="230">
        <f t="shared" si="449"/>
        <v>43</v>
      </c>
      <c r="CM263" s="235">
        <f t="shared" si="450"/>
        <v>3.5018750000000001</v>
      </c>
      <c r="CN263" s="235" cm="1">
        <f t="array" ref="CN263">$BI263 * IF($AH263&lt;=2,
SUMPRODUCT(INDEX($AR$72:$AT$76,,$AI263), INDEX($AU$72:$BA$76,,$AH263), 1 / ($BB$72:$BB$76*CM263 + (1-$BB$72:$BB$76)*CI263), N($AQ$72:$AQ$76&gt;$AO263)),
SUMPRODUCT(INDEX($AR$67:$AT$76,,$AI263), INDEX($AU$67:$BA$76,,$AH263), 1 / ($BC$67:$BC$76*CM263 + (1-$BC$67:$BC$76)*CI263), N($AQ$67:$AQ$76&gt;$AO263))
) / 1000</f>
        <v>0</v>
      </c>
      <c r="CO263" s="232">
        <f t="shared" si="263"/>
        <v>25</v>
      </c>
      <c r="CP263" s="230">
        <f t="shared" si="451"/>
        <v>38</v>
      </c>
      <c r="CQ263" s="235">
        <f t="shared" si="452"/>
        <v>4.0666935483870965</v>
      </c>
      <c r="CR263" s="235" cm="1">
        <f t="array" ref="CR263">$BI263 * IF($AH263&lt;=2,
SUMPRODUCT(INDEX($AR$67:$AT$71,,$AI263), INDEX($AU$67:$BA$71,,$AH263), 1 / ($BB$67:$BB$71*CQ263 + (1-$BB$67:$BB$71)*CM263), N($AQ$67:$AQ$71&gt;$AO263)),
SUMPRODUCT(INDEX($AR$57:$AT$66,,$AI263), INDEX($AU$57:$BA$66,,$AH263), 1 / ($BC$57:$BC$66*CQ263 + (1-$BC$57:$BC$66)*CM263), N($AQ$57:$AQ$66&gt;$AO263))
) / 1000</f>
        <v>0</v>
      </c>
      <c r="CS263" s="232">
        <f t="shared" si="266"/>
        <v>20</v>
      </c>
      <c r="CT263" s="230">
        <f t="shared" si="453"/>
        <v>33</v>
      </c>
      <c r="CU263" s="235">
        <f t="shared" si="454"/>
        <v>4.8487499999999999</v>
      </c>
      <c r="CV263" s="235" cm="1">
        <f t="array" ref="CV263">$BI263 * IF($AH263&lt;=2,
SUMPRODUCT(INDEX($AR$62:$AT$66,,$AI263), INDEX($AU$62:$BA$66,,$AH263), 1 / ($BB$62:$BB$66*CU263 + (1-$BB$62:$BB$66)*CQ263), N($AQ$62:$AQ$66&gt;$AO263)),
SUMPRODUCT(INDEX($AR$47:$AT$56,,$AI263), INDEX($AU$47:$BA$56,,$AH263), 1 / ($BC$47:$BC$56*CU263 + (1-$BC$47:$BC$56)*CQ263), N($AQ$47:$AQ$56&gt;$AO263))
) / 1000</f>
        <v>0</v>
      </c>
      <c r="CW263" s="235" cm="1">
        <f t="array" ref="CW263">$BI263 * IF($AH263&lt;=2,
SUMPRODUCT(INDEX($AR$23:$AT$61,,$AI263), INDEX($AU$23:$BA$61,,$AH263), 1 / ($BB$23:$BB$61*CU263), N($AQ$23:$AQ$61&gt;$AO263)),
SUMPRODUCT(INDEX($AR$23:$AT$46,,$AI263), INDEX($AU$23:$BA$46,,$AH263), 1 / ($BC$23:$BC$46*CU263), N($AQ$23:$AQ$46&gt;$AO263))
) / 1000</f>
        <v>0</v>
      </c>
      <c r="CX263" s="230">
        <f t="shared" si="455"/>
        <v>0</v>
      </c>
      <c r="CY263" s="238"/>
    </row>
    <row r="264" spans="1:103" s="76" customFormat="1" ht="14.25" customHeight="1" x14ac:dyDescent="0.2">
      <c r="A264" s="231" t="b">
        <f t="shared" si="229"/>
        <v>0</v>
      </c>
      <c r="B264" s="245">
        <v>242</v>
      </c>
      <c r="C264" s="258"/>
      <c r="D264" s="258"/>
      <c r="E264" s="246"/>
      <c r="F264" s="247" t="str">
        <f>IF(ISBLANK(E264), "", VLOOKUP(E264, Z!$A$2:$C$4127, 3, FALSE))</f>
        <v/>
      </c>
      <c r="G264" s="248"/>
      <c r="H264" s="248"/>
      <c r="I264" s="249"/>
      <c r="J264" s="250"/>
      <c r="K264" s="259"/>
      <c r="L264" s="260"/>
      <c r="M264" s="252" t="str" cm="1">
        <f t="array" ref="M264">INDEX(Trad, 53, $A$20)</f>
        <v>Verschmutzt</v>
      </c>
      <c r="N264" s="253"/>
      <c r="O264" s="253"/>
      <c r="P264" s="254"/>
      <c r="Q264" s="251"/>
      <c r="R264" s="251"/>
      <c r="S264" s="264">
        <f t="shared" si="430"/>
        <v>0</v>
      </c>
      <c r="T264" s="252" t="str" cm="1">
        <f t="array" ref="T264">INDEX(Trad, 52, $A$20)</f>
        <v>Sauber</v>
      </c>
      <c r="U264" s="253"/>
      <c r="V264" s="253"/>
      <c r="W264" s="254"/>
      <c r="X264" s="251"/>
      <c r="Y264" s="251"/>
      <c r="Z264" s="264">
        <f t="shared" si="431"/>
        <v>0</v>
      </c>
      <c r="AA264" s="261"/>
      <c r="AB264" s="258"/>
      <c r="AC264" s="246"/>
      <c r="AD264" s="247" t="str">
        <f>IF(ISBLANK(AC264), "", VLOOKUP(AC264, Z!$A$2:$C$4127, 3, FALSE))</f>
        <v/>
      </c>
      <c r="AE264" s="262"/>
      <c r="AF264" s="263">
        <f t="shared" si="432"/>
        <v>0</v>
      </c>
      <c r="AG264" s="238"/>
      <c r="AH264" s="229">
        <f t="shared" si="456"/>
        <v>1</v>
      </c>
      <c r="AI264" s="229">
        <f t="shared" si="457"/>
        <v>1</v>
      </c>
      <c r="AJ264" s="229">
        <f t="shared" si="458"/>
        <v>0</v>
      </c>
      <c r="AK264" s="229">
        <v>0</v>
      </c>
      <c r="AL264" s="229">
        <v>0</v>
      </c>
      <c r="AM264" s="229">
        <v>1</v>
      </c>
      <c r="AN264" s="229">
        <v>0</v>
      </c>
      <c r="AO264" s="229">
        <f t="shared" si="433"/>
        <v>-100</v>
      </c>
      <c r="AP264" s="238"/>
      <c r="AQ264" s="255"/>
      <c r="AR264" s="255"/>
      <c r="AS264" s="256"/>
      <c r="AT264" s="256"/>
      <c r="AU264" s="256"/>
      <c r="AV264" s="256"/>
      <c r="AW264" s="256"/>
      <c r="AX264" s="256"/>
      <c r="AY264" s="256"/>
      <c r="AZ264" s="256"/>
      <c r="BA264" s="256"/>
      <c r="BB264" s="256"/>
      <c r="BC264" s="256"/>
      <c r="BD264" s="238"/>
      <c r="BE264" s="229" cm="1">
        <f t="array" ref="BE264">IF(ISBLANK(R264), INDEX(Use, $AH264, 4) - AM264*INDEX(Use, $AH264, 6), R264)</f>
        <v>5</v>
      </c>
      <c r="BF264" s="229">
        <f t="shared" si="434"/>
        <v>30</v>
      </c>
      <c r="BG264" s="229">
        <f t="shared" si="241"/>
        <v>13</v>
      </c>
      <c r="BH264" s="229">
        <f t="shared" si="242"/>
        <v>0</v>
      </c>
      <c r="BI264" s="234" cm="1">
        <f t="array" ref="BI264">K264/IF($L264&gt;0, INDEX($AU$23:$BA$77, $L264+20, $AH264), 1)</f>
        <v>0</v>
      </c>
      <c r="BJ264" s="230">
        <f t="shared" si="435"/>
        <v>0</v>
      </c>
      <c r="BK264" s="229">
        <v>35</v>
      </c>
      <c r="BL264" s="230">
        <f t="shared" si="436"/>
        <v>48</v>
      </c>
      <c r="BM264" s="235">
        <f t="shared" si="437"/>
        <v>2.9108720930232557</v>
      </c>
      <c r="BN264" s="235" cm="1">
        <f t="array" ref="BN264">$BI264 * SUMPRODUCT(INDEX($AR$77:$AT$82,,$AI264),INDEX($AU$77:$BA$82,,$AH264), N($AQ$77:$AQ$82&gt;$AO264)) / BM264 / 1000</f>
        <v>0</v>
      </c>
      <c r="BO264" s="232">
        <f t="shared" si="246"/>
        <v>30</v>
      </c>
      <c r="BP264" s="230">
        <f t="shared" si="438"/>
        <v>43</v>
      </c>
      <c r="BQ264" s="235">
        <f t="shared" si="439"/>
        <v>3.2938815789473681</v>
      </c>
      <c r="BR264" s="235" cm="1">
        <f t="array" ref="BR264">$BI264 * IF($AH264&lt;=2,
SUMPRODUCT(INDEX($AR$72:$AT$76,,$AI264), INDEX($AU$72:$BA$76,,$AH264), 1 / ($BB$72:$BB$76*BQ264 + (1-$BB$72:$BB$76)*BM264), N($AQ$72:$AQ$76&gt;$AO264)),
SUMPRODUCT(INDEX($AR$67:$AT$76,,$AI264), INDEX($AU$67:$BA$76,,$AH264), 1 / ($BC$67:$BC$76*BQ264 + (1-$BC$67:$BC$76)*BM264), N($AQ$67:$AQ$76&gt;$AO264))
) / 1000</f>
        <v>0</v>
      </c>
      <c r="BS264" s="232">
        <f t="shared" si="249"/>
        <v>25</v>
      </c>
      <c r="BT264" s="230">
        <f t="shared" si="440"/>
        <v>38</v>
      </c>
      <c r="BU264" s="235">
        <f t="shared" si="441"/>
        <v>3.792954545454545</v>
      </c>
      <c r="BV264" s="235" cm="1">
        <f t="array" ref="BV264">$BI264 * IF($AH264&lt;=2,
SUMPRODUCT(INDEX($AR$67:$AT$71,,$AI264), INDEX($AU$67:$BA$71,,$AH264), 1 / ($BB$67:$BB$71*BU264 + (1-$BB$67:$BB$71)*BQ264), N($AQ$67:$AQ$71&gt;$AO264)),
SUMPRODUCT(INDEX($AR$57:$AT$66,,$AI264), INDEX($AU$57:$BA$66,,$AH264), 1 / ($BC$57:$BC$66*BU264 + (1-$BC$57:$BC$66)*BQ264), N($AQ$57:$AQ$66&gt;$AO264))
) / 1000</f>
        <v>0</v>
      </c>
      <c r="BW264" s="232">
        <f t="shared" si="252"/>
        <v>20</v>
      </c>
      <c r="BX264" s="230">
        <f t="shared" si="442"/>
        <v>33</v>
      </c>
      <c r="BY264" s="235">
        <f t="shared" si="443"/>
        <v>4.4702678571428569</v>
      </c>
      <c r="BZ264" s="235" cm="1">
        <f t="array" ref="BZ264">$BI264 * IF($AH264&lt;=2,
SUMPRODUCT(INDEX($AR$62:$AT$66,,$AI264), INDEX($AU$62:$BA$66,,$AH264), 1 / ($BB$62:$BB$66*BY264 + (1-$BB$62:$BB$66)*BU264), N($AQ$62:$AQ$66&gt;$AO264)),
SUMPRODUCT(INDEX($AR$47:$AT$56,,$AI264), INDEX($AU$47:$BA$56,,$AH264), 1 / ($BC$47:$BC$56*BY264 + (1-$BC$47:$BC$56)*BU264), N($AQ$47:$AQ$56&gt;$AO264))
) / 1000</f>
        <v>0</v>
      </c>
      <c r="CA264" s="235" cm="1">
        <f t="array" ref="CA264">$BI264 * IF($AH264&lt;=2,
SUMPRODUCT(INDEX($AR$23:$AT$61,,$AI264), INDEX($AU$23:$BA$61,,$AH264), 1 / ($BB$23:$BB$61*BY264), N($AQ$23:$AQ$61&gt;$AO264)),
SUMPRODUCT(INDEX($AR$23:$AT$46,,$AI264), INDEX($AU$23:$BA$46,,$AH264), 1 / ($BC$23:$BC$46*BY264), N($AQ$23:$AQ$46&gt;$AO264))
) / 1000</f>
        <v>0</v>
      </c>
      <c r="CB264" s="230">
        <f t="shared" si="444"/>
        <v>0</v>
      </c>
      <c r="CC264" s="238"/>
      <c r="CD264" s="229" cm="1">
        <f t="array" ref="CD264">IF(ISBLANK(Y264), INDEX(Use, $AH264, 4) - AN264*INDEX(Use, $AH264, 6) - (Q264-X264), Y264)</f>
        <v>7</v>
      </c>
      <c r="CE264" s="229">
        <f t="shared" si="445"/>
        <v>32</v>
      </c>
      <c r="CF264" s="230">
        <f t="shared" si="446"/>
        <v>0</v>
      </c>
      <c r="CG264" s="229">
        <v>35</v>
      </c>
      <c r="CH264" s="230">
        <f t="shared" si="447"/>
        <v>48</v>
      </c>
      <c r="CI264" s="235">
        <f t="shared" si="448"/>
        <v>3.0748170731707316</v>
      </c>
      <c r="CJ264" s="235" cm="1">
        <f t="array" ref="CJ264">$BI264 * SUMPRODUCT(INDEX($AR$77:$AT$82,,$AI264),INDEX($AU$77:$BA$82,,$AH264), N($AQ$77:$AQ$82&gt;$AO264)) / CI264 / 1000</f>
        <v>0</v>
      </c>
      <c r="CK264" s="232">
        <f t="shared" si="260"/>
        <v>30</v>
      </c>
      <c r="CL264" s="230">
        <f t="shared" si="449"/>
        <v>43</v>
      </c>
      <c r="CM264" s="235">
        <f t="shared" si="450"/>
        <v>3.5018750000000001</v>
      </c>
      <c r="CN264" s="235" cm="1">
        <f t="array" ref="CN264">$BI264 * IF($AH264&lt;=2,
SUMPRODUCT(INDEX($AR$72:$AT$76,,$AI264), INDEX($AU$72:$BA$76,,$AH264), 1 / ($BB$72:$BB$76*CM264 + (1-$BB$72:$BB$76)*CI264), N($AQ$72:$AQ$76&gt;$AO264)),
SUMPRODUCT(INDEX($AR$67:$AT$76,,$AI264), INDEX($AU$67:$BA$76,,$AH264), 1 / ($BC$67:$BC$76*CM264 + (1-$BC$67:$BC$76)*CI264), N($AQ$67:$AQ$76&gt;$AO264))
) / 1000</f>
        <v>0</v>
      </c>
      <c r="CO264" s="232">
        <f t="shared" si="263"/>
        <v>25</v>
      </c>
      <c r="CP264" s="230">
        <f t="shared" si="451"/>
        <v>38</v>
      </c>
      <c r="CQ264" s="235">
        <f t="shared" si="452"/>
        <v>4.0666935483870965</v>
      </c>
      <c r="CR264" s="235" cm="1">
        <f t="array" ref="CR264">$BI264 * IF($AH264&lt;=2,
SUMPRODUCT(INDEX($AR$67:$AT$71,,$AI264), INDEX($AU$67:$BA$71,,$AH264), 1 / ($BB$67:$BB$71*CQ264 + (1-$BB$67:$BB$71)*CM264), N($AQ$67:$AQ$71&gt;$AO264)),
SUMPRODUCT(INDEX($AR$57:$AT$66,,$AI264), INDEX($AU$57:$BA$66,,$AH264), 1 / ($BC$57:$BC$66*CQ264 + (1-$BC$57:$BC$66)*CM264), N($AQ$57:$AQ$66&gt;$AO264))
) / 1000</f>
        <v>0</v>
      </c>
      <c r="CS264" s="232">
        <f t="shared" si="266"/>
        <v>20</v>
      </c>
      <c r="CT264" s="230">
        <f t="shared" si="453"/>
        <v>33</v>
      </c>
      <c r="CU264" s="235">
        <f t="shared" si="454"/>
        <v>4.8487499999999999</v>
      </c>
      <c r="CV264" s="235" cm="1">
        <f t="array" ref="CV264">$BI264 * IF($AH264&lt;=2,
SUMPRODUCT(INDEX($AR$62:$AT$66,,$AI264), INDEX($AU$62:$BA$66,,$AH264), 1 / ($BB$62:$BB$66*CU264 + (1-$BB$62:$BB$66)*CQ264), N($AQ$62:$AQ$66&gt;$AO264)),
SUMPRODUCT(INDEX($AR$47:$AT$56,,$AI264), INDEX($AU$47:$BA$56,,$AH264), 1 / ($BC$47:$BC$56*CU264 + (1-$BC$47:$BC$56)*CQ264), N($AQ$47:$AQ$56&gt;$AO264))
) / 1000</f>
        <v>0</v>
      </c>
      <c r="CW264" s="235" cm="1">
        <f t="array" ref="CW264">$BI264 * IF($AH264&lt;=2,
SUMPRODUCT(INDEX($AR$23:$AT$61,,$AI264), INDEX($AU$23:$BA$61,,$AH264), 1 / ($BB$23:$BB$61*CU264), N($AQ$23:$AQ$61&gt;$AO264)),
SUMPRODUCT(INDEX($AR$23:$AT$46,,$AI264), INDEX($AU$23:$BA$46,,$AH264), 1 / ($BC$23:$BC$46*CU264), N($AQ$23:$AQ$46&gt;$AO264))
) / 1000</f>
        <v>0</v>
      </c>
      <c r="CX264" s="230">
        <f t="shared" si="455"/>
        <v>0</v>
      </c>
      <c r="CY264" s="238"/>
    </row>
    <row r="265" spans="1:103" s="76" customFormat="1" ht="14.25" customHeight="1" x14ac:dyDescent="0.2">
      <c r="A265" s="231" t="b">
        <f t="shared" si="229"/>
        <v>0</v>
      </c>
      <c r="B265" s="245">
        <v>243</v>
      </c>
      <c r="C265" s="258"/>
      <c r="D265" s="258"/>
      <c r="E265" s="246"/>
      <c r="F265" s="247" t="str">
        <f>IF(ISBLANK(E265), "", VLOOKUP(E265, Z!$A$2:$C$4127, 3, FALSE))</f>
        <v/>
      </c>
      <c r="G265" s="248"/>
      <c r="H265" s="248"/>
      <c r="I265" s="249"/>
      <c r="J265" s="250"/>
      <c r="K265" s="259"/>
      <c r="L265" s="260"/>
      <c r="M265" s="252" t="str" cm="1">
        <f t="array" ref="M265">INDEX(Trad, 53, $A$20)</f>
        <v>Verschmutzt</v>
      </c>
      <c r="N265" s="253"/>
      <c r="O265" s="253"/>
      <c r="P265" s="254"/>
      <c r="Q265" s="251"/>
      <c r="R265" s="251"/>
      <c r="S265" s="264">
        <f t="shared" si="430"/>
        <v>0</v>
      </c>
      <c r="T265" s="252" t="str" cm="1">
        <f t="array" ref="T265">INDEX(Trad, 52, $A$20)</f>
        <v>Sauber</v>
      </c>
      <c r="U265" s="253"/>
      <c r="V265" s="253"/>
      <c r="W265" s="254"/>
      <c r="X265" s="251"/>
      <c r="Y265" s="251"/>
      <c r="Z265" s="264">
        <f t="shared" si="431"/>
        <v>0</v>
      </c>
      <c r="AA265" s="261"/>
      <c r="AB265" s="258"/>
      <c r="AC265" s="246"/>
      <c r="AD265" s="247" t="str">
        <f>IF(ISBLANK(AC265), "", VLOOKUP(AC265, Z!$A$2:$C$4127, 3, FALSE))</f>
        <v/>
      </c>
      <c r="AE265" s="262"/>
      <c r="AF265" s="263">
        <f t="shared" si="432"/>
        <v>0</v>
      </c>
      <c r="AG265" s="238"/>
      <c r="AH265" s="229">
        <f t="shared" si="456"/>
        <v>1</v>
      </c>
      <c r="AI265" s="229">
        <f t="shared" si="457"/>
        <v>1</v>
      </c>
      <c r="AJ265" s="229">
        <f t="shared" si="458"/>
        <v>0</v>
      </c>
      <c r="AK265" s="229">
        <v>0</v>
      </c>
      <c r="AL265" s="229">
        <v>0</v>
      </c>
      <c r="AM265" s="229">
        <v>1</v>
      </c>
      <c r="AN265" s="229">
        <v>0</v>
      </c>
      <c r="AO265" s="229">
        <f t="shared" si="433"/>
        <v>-100</v>
      </c>
      <c r="AP265" s="238"/>
      <c r="AQ265" s="255"/>
      <c r="AR265" s="255"/>
      <c r="AS265" s="256"/>
      <c r="AT265" s="256"/>
      <c r="AU265" s="256"/>
      <c r="AV265" s="256"/>
      <c r="AW265" s="256"/>
      <c r="AX265" s="256"/>
      <c r="AY265" s="256"/>
      <c r="AZ265" s="256"/>
      <c r="BA265" s="256"/>
      <c r="BB265" s="256"/>
      <c r="BC265" s="256"/>
      <c r="BD265" s="238"/>
      <c r="BE265" s="229" cm="1">
        <f t="array" ref="BE265">IF(ISBLANK(R265), INDEX(Use, $AH265, 4) - AM265*INDEX(Use, $AH265, 6), R265)</f>
        <v>5</v>
      </c>
      <c r="BF265" s="229">
        <f t="shared" si="434"/>
        <v>30</v>
      </c>
      <c r="BG265" s="229">
        <f t="shared" si="241"/>
        <v>13</v>
      </c>
      <c r="BH265" s="229">
        <f t="shared" si="242"/>
        <v>0</v>
      </c>
      <c r="BI265" s="234" cm="1">
        <f t="array" ref="BI265">K265/IF($L265&gt;0, INDEX($AU$23:$BA$77, $L265+20, $AH265), 1)</f>
        <v>0</v>
      </c>
      <c r="BJ265" s="230">
        <f t="shared" si="435"/>
        <v>0</v>
      </c>
      <c r="BK265" s="229">
        <v>35</v>
      </c>
      <c r="BL265" s="230">
        <f t="shared" si="436"/>
        <v>48</v>
      </c>
      <c r="BM265" s="235">
        <f t="shared" si="437"/>
        <v>2.9108720930232557</v>
      </c>
      <c r="BN265" s="235" cm="1">
        <f t="array" ref="BN265">$BI265 * SUMPRODUCT(INDEX($AR$77:$AT$82,,$AI265),INDEX($AU$77:$BA$82,,$AH265), N($AQ$77:$AQ$82&gt;$AO265)) / BM265 / 1000</f>
        <v>0</v>
      </c>
      <c r="BO265" s="232">
        <f t="shared" si="246"/>
        <v>30</v>
      </c>
      <c r="BP265" s="230">
        <f t="shared" si="438"/>
        <v>43</v>
      </c>
      <c r="BQ265" s="235">
        <f t="shared" si="439"/>
        <v>3.2938815789473681</v>
      </c>
      <c r="BR265" s="235" cm="1">
        <f t="array" ref="BR265">$BI265 * IF($AH265&lt;=2,
SUMPRODUCT(INDEX($AR$72:$AT$76,,$AI265), INDEX($AU$72:$BA$76,,$AH265), 1 / ($BB$72:$BB$76*BQ265 + (1-$BB$72:$BB$76)*BM265), N($AQ$72:$AQ$76&gt;$AO265)),
SUMPRODUCT(INDEX($AR$67:$AT$76,,$AI265), INDEX($AU$67:$BA$76,,$AH265), 1 / ($BC$67:$BC$76*BQ265 + (1-$BC$67:$BC$76)*BM265), N($AQ$67:$AQ$76&gt;$AO265))
) / 1000</f>
        <v>0</v>
      </c>
      <c r="BS265" s="232">
        <f t="shared" si="249"/>
        <v>25</v>
      </c>
      <c r="BT265" s="230">
        <f t="shared" si="440"/>
        <v>38</v>
      </c>
      <c r="BU265" s="235">
        <f t="shared" si="441"/>
        <v>3.792954545454545</v>
      </c>
      <c r="BV265" s="235" cm="1">
        <f t="array" ref="BV265">$BI265 * IF($AH265&lt;=2,
SUMPRODUCT(INDEX($AR$67:$AT$71,,$AI265), INDEX($AU$67:$BA$71,,$AH265), 1 / ($BB$67:$BB$71*BU265 + (1-$BB$67:$BB$71)*BQ265), N($AQ$67:$AQ$71&gt;$AO265)),
SUMPRODUCT(INDEX($AR$57:$AT$66,,$AI265), INDEX($AU$57:$BA$66,,$AH265), 1 / ($BC$57:$BC$66*BU265 + (1-$BC$57:$BC$66)*BQ265), N($AQ$57:$AQ$66&gt;$AO265))
) / 1000</f>
        <v>0</v>
      </c>
      <c r="BW265" s="232">
        <f t="shared" si="252"/>
        <v>20</v>
      </c>
      <c r="BX265" s="230">
        <f t="shared" si="442"/>
        <v>33</v>
      </c>
      <c r="BY265" s="235">
        <f t="shared" si="443"/>
        <v>4.4702678571428569</v>
      </c>
      <c r="BZ265" s="235" cm="1">
        <f t="array" ref="BZ265">$BI265 * IF($AH265&lt;=2,
SUMPRODUCT(INDEX($AR$62:$AT$66,,$AI265), INDEX($AU$62:$BA$66,,$AH265), 1 / ($BB$62:$BB$66*BY265 + (1-$BB$62:$BB$66)*BU265), N($AQ$62:$AQ$66&gt;$AO265)),
SUMPRODUCT(INDEX($AR$47:$AT$56,,$AI265), INDEX($AU$47:$BA$56,,$AH265), 1 / ($BC$47:$BC$56*BY265 + (1-$BC$47:$BC$56)*BU265), N($AQ$47:$AQ$56&gt;$AO265))
) / 1000</f>
        <v>0</v>
      </c>
      <c r="CA265" s="235" cm="1">
        <f t="array" ref="CA265">$BI265 * IF($AH265&lt;=2,
SUMPRODUCT(INDEX($AR$23:$AT$61,,$AI265), INDEX($AU$23:$BA$61,,$AH265), 1 / ($BB$23:$BB$61*BY265), N($AQ$23:$AQ$61&gt;$AO265)),
SUMPRODUCT(INDEX($AR$23:$AT$46,,$AI265), INDEX($AU$23:$BA$46,,$AH265), 1 / ($BC$23:$BC$46*BY265), N($AQ$23:$AQ$46&gt;$AO265))
) / 1000</f>
        <v>0</v>
      </c>
      <c r="CB265" s="230">
        <f t="shared" si="444"/>
        <v>0</v>
      </c>
      <c r="CC265" s="238"/>
      <c r="CD265" s="229" cm="1">
        <f t="array" ref="CD265">IF(ISBLANK(Y265), INDEX(Use, $AH265, 4) - AN265*INDEX(Use, $AH265, 6) - (Q265-X265), Y265)</f>
        <v>7</v>
      </c>
      <c r="CE265" s="229">
        <f t="shared" si="445"/>
        <v>32</v>
      </c>
      <c r="CF265" s="230">
        <f t="shared" si="446"/>
        <v>0</v>
      </c>
      <c r="CG265" s="229">
        <v>35</v>
      </c>
      <c r="CH265" s="230">
        <f t="shared" si="447"/>
        <v>48</v>
      </c>
      <c r="CI265" s="235">
        <f t="shared" si="448"/>
        <v>3.0748170731707316</v>
      </c>
      <c r="CJ265" s="235" cm="1">
        <f t="array" ref="CJ265">$BI265 * SUMPRODUCT(INDEX($AR$77:$AT$82,,$AI265),INDEX($AU$77:$BA$82,,$AH265), N($AQ$77:$AQ$82&gt;$AO265)) / CI265 / 1000</f>
        <v>0</v>
      </c>
      <c r="CK265" s="232">
        <f t="shared" si="260"/>
        <v>30</v>
      </c>
      <c r="CL265" s="230">
        <f t="shared" si="449"/>
        <v>43</v>
      </c>
      <c r="CM265" s="235">
        <f t="shared" si="450"/>
        <v>3.5018750000000001</v>
      </c>
      <c r="CN265" s="235" cm="1">
        <f t="array" ref="CN265">$BI265 * IF($AH265&lt;=2,
SUMPRODUCT(INDEX($AR$72:$AT$76,,$AI265), INDEX($AU$72:$BA$76,,$AH265), 1 / ($BB$72:$BB$76*CM265 + (1-$BB$72:$BB$76)*CI265), N($AQ$72:$AQ$76&gt;$AO265)),
SUMPRODUCT(INDEX($AR$67:$AT$76,,$AI265), INDEX($AU$67:$BA$76,,$AH265), 1 / ($BC$67:$BC$76*CM265 + (1-$BC$67:$BC$76)*CI265), N($AQ$67:$AQ$76&gt;$AO265))
) / 1000</f>
        <v>0</v>
      </c>
      <c r="CO265" s="232">
        <f t="shared" si="263"/>
        <v>25</v>
      </c>
      <c r="CP265" s="230">
        <f t="shared" si="451"/>
        <v>38</v>
      </c>
      <c r="CQ265" s="235">
        <f t="shared" si="452"/>
        <v>4.0666935483870965</v>
      </c>
      <c r="CR265" s="235" cm="1">
        <f t="array" ref="CR265">$BI265 * IF($AH265&lt;=2,
SUMPRODUCT(INDEX($AR$67:$AT$71,,$AI265), INDEX($AU$67:$BA$71,,$AH265), 1 / ($BB$67:$BB$71*CQ265 + (1-$BB$67:$BB$71)*CM265), N($AQ$67:$AQ$71&gt;$AO265)),
SUMPRODUCT(INDEX($AR$57:$AT$66,,$AI265), INDEX($AU$57:$BA$66,,$AH265), 1 / ($BC$57:$BC$66*CQ265 + (1-$BC$57:$BC$66)*CM265), N($AQ$57:$AQ$66&gt;$AO265))
) / 1000</f>
        <v>0</v>
      </c>
      <c r="CS265" s="232">
        <f t="shared" si="266"/>
        <v>20</v>
      </c>
      <c r="CT265" s="230">
        <f t="shared" si="453"/>
        <v>33</v>
      </c>
      <c r="CU265" s="235">
        <f t="shared" si="454"/>
        <v>4.8487499999999999</v>
      </c>
      <c r="CV265" s="235" cm="1">
        <f t="array" ref="CV265">$BI265 * IF($AH265&lt;=2,
SUMPRODUCT(INDEX($AR$62:$AT$66,,$AI265), INDEX($AU$62:$BA$66,,$AH265), 1 / ($BB$62:$BB$66*CU265 + (1-$BB$62:$BB$66)*CQ265), N($AQ$62:$AQ$66&gt;$AO265)),
SUMPRODUCT(INDEX($AR$47:$AT$56,,$AI265), INDEX($AU$47:$BA$56,,$AH265), 1 / ($BC$47:$BC$56*CU265 + (1-$BC$47:$BC$56)*CQ265), N($AQ$47:$AQ$56&gt;$AO265))
) / 1000</f>
        <v>0</v>
      </c>
      <c r="CW265" s="235" cm="1">
        <f t="array" ref="CW265">$BI265 * IF($AH265&lt;=2,
SUMPRODUCT(INDEX($AR$23:$AT$61,,$AI265), INDEX($AU$23:$BA$61,,$AH265), 1 / ($BB$23:$BB$61*CU265), N($AQ$23:$AQ$61&gt;$AO265)),
SUMPRODUCT(INDEX($AR$23:$AT$46,,$AI265), INDEX($AU$23:$BA$46,,$AH265), 1 / ($BC$23:$BC$46*CU265), N($AQ$23:$AQ$46&gt;$AO265))
) / 1000</f>
        <v>0</v>
      </c>
      <c r="CX265" s="230">
        <f t="shared" si="455"/>
        <v>0</v>
      </c>
      <c r="CY265" s="238"/>
    </row>
    <row r="266" spans="1:103" s="76" customFormat="1" ht="14.25" customHeight="1" x14ac:dyDescent="0.2">
      <c r="A266" s="231" t="b">
        <f t="shared" si="229"/>
        <v>0</v>
      </c>
      <c r="B266" s="245">
        <v>244</v>
      </c>
      <c r="C266" s="258"/>
      <c r="D266" s="258"/>
      <c r="E266" s="246"/>
      <c r="F266" s="247" t="str">
        <f>IF(ISBLANK(E266), "", VLOOKUP(E266, Z!$A$2:$C$4127, 3, FALSE))</f>
        <v/>
      </c>
      <c r="G266" s="248"/>
      <c r="H266" s="248"/>
      <c r="I266" s="249"/>
      <c r="J266" s="250"/>
      <c r="K266" s="259"/>
      <c r="L266" s="260"/>
      <c r="M266" s="252" t="str" cm="1">
        <f t="array" ref="M266">INDEX(Trad, 53, $A$20)</f>
        <v>Verschmutzt</v>
      </c>
      <c r="N266" s="253"/>
      <c r="O266" s="253"/>
      <c r="P266" s="254"/>
      <c r="Q266" s="251"/>
      <c r="R266" s="251"/>
      <c r="S266" s="264">
        <f t="shared" si="430"/>
        <v>0</v>
      </c>
      <c r="T266" s="252" t="str" cm="1">
        <f t="array" ref="T266">INDEX(Trad, 52, $A$20)</f>
        <v>Sauber</v>
      </c>
      <c r="U266" s="253"/>
      <c r="V266" s="253"/>
      <c r="W266" s="254"/>
      <c r="X266" s="251"/>
      <c r="Y266" s="251"/>
      <c r="Z266" s="264">
        <f t="shared" si="431"/>
        <v>0</v>
      </c>
      <c r="AA266" s="261"/>
      <c r="AB266" s="258"/>
      <c r="AC266" s="246"/>
      <c r="AD266" s="247" t="str">
        <f>IF(ISBLANK(AC266), "", VLOOKUP(AC266, Z!$A$2:$C$4127, 3, FALSE))</f>
        <v/>
      </c>
      <c r="AE266" s="262"/>
      <c r="AF266" s="263">
        <f t="shared" si="432"/>
        <v>0</v>
      </c>
      <c r="AG266" s="238"/>
      <c r="AH266" s="229">
        <f t="shared" si="456"/>
        <v>1</v>
      </c>
      <c r="AI266" s="229">
        <f t="shared" si="457"/>
        <v>1</v>
      </c>
      <c r="AJ266" s="229">
        <f t="shared" si="458"/>
        <v>0</v>
      </c>
      <c r="AK266" s="229">
        <v>0</v>
      </c>
      <c r="AL266" s="229">
        <v>0</v>
      </c>
      <c r="AM266" s="229">
        <v>1</v>
      </c>
      <c r="AN266" s="229">
        <v>0</v>
      </c>
      <c r="AO266" s="229">
        <f t="shared" si="433"/>
        <v>-100</v>
      </c>
      <c r="AP266" s="238"/>
      <c r="AQ266" s="255"/>
      <c r="AR266" s="255"/>
      <c r="AS266" s="256"/>
      <c r="AT266" s="256"/>
      <c r="AU266" s="256"/>
      <c r="AV266" s="256"/>
      <c r="AW266" s="256"/>
      <c r="AX266" s="256"/>
      <c r="AY266" s="256"/>
      <c r="AZ266" s="256"/>
      <c r="BA266" s="256"/>
      <c r="BB266" s="256"/>
      <c r="BC266" s="256"/>
      <c r="BD266" s="238"/>
      <c r="BE266" s="229" cm="1">
        <f t="array" ref="BE266">IF(ISBLANK(R266), INDEX(Use, $AH266, 4) - AM266*INDEX(Use, $AH266, 6), R266)</f>
        <v>5</v>
      </c>
      <c r="BF266" s="229">
        <f t="shared" si="434"/>
        <v>30</v>
      </c>
      <c r="BG266" s="229">
        <f t="shared" si="241"/>
        <v>13</v>
      </c>
      <c r="BH266" s="229">
        <f t="shared" si="242"/>
        <v>0</v>
      </c>
      <c r="BI266" s="234" cm="1">
        <f t="array" ref="BI266">K266/IF($L266&gt;0, INDEX($AU$23:$BA$77, $L266+20, $AH266), 1)</f>
        <v>0</v>
      </c>
      <c r="BJ266" s="230">
        <f t="shared" si="435"/>
        <v>0</v>
      </c>
      <c r="BK266" s="229">
        <v>35</v>
      </c>
      <c r="BL266" s="230">
        <f t="shared" si="436"/>
        <v>48</v>
      </c>
      <c r="BM266" s="235">
        <f t="shared" si="437"/>
        <v>2.9108720930232557</v>
      </c>
      <c r="BN266" s="235" cm="1">
        <f t="array" ref="BN266">$BI266 * SUMPRODUCT(INDEX($AR$77:$AT$82,,$AI266),INDEX($AU$77:$BA$82,,$AH266), N($AQ$77:$AQ$82&gt;$AO266)) / BM266 / 1000</f>
        <v>0</v>
      </c>
      <c r="BO266" s="232">
        <f t="shared" si="246"/>
        <v>30</v>
      </c>
      <c r="BP266" s="230">
        <f t="shared" si="438"/>
        <v>43</v>
      </c>
      <c r="BQ266" s="235">
        <f t="shared" si="439"/>
        <v>3.2938815789473681</v>
      </c>
      <c r="BR266" s="235" cm="1">
        <f t="array" ref="BR266">$BI266 * IF($AH266&lt;=2,
SUMPRODUCT(INDEX($AR$72:$AT$76,,$AI266), INDEX($AU$72:$BA$76,,$AH266), 1 / ($BB$72:$BB$76*BQ266 + (1-$BB$72:$BB$76)*BM266), N($AQ$72:$AQ$76&gt;$AO266)),
SUMPRODUCT(INDEX($AR$67:$AT$76,,$AI266), INDEX($AU$67:$BA$76,,$AH266), 1 / ($BC$67:$BC$76*BQ266 + (1-$BC$67:$BC$76)*BM266), N($AQ$67:$AQ$76&gt;$AO266))
) / 1000</f>
        <v>0</v>
      </c>
      <c r="BS266" s="232">
        <f t="shared" si="249"/>
        <v>25</v>
      </c>
      <c r="BT266" s="230">
        <f t="shared" si="440"/>
        <v>38</v>
      </c>
      <c r="BU266" s="235">
        <f t="shared" si="441"/>
        <v>3.792954545454545</v>
      </c>
      <c r="BV266" s="235" cm="1">
        <f t="array" ref="BV266">$BI266 * IF($AH266&lt;=2,
SUMPRODUCT(INDEX($AR$67:$AT$71,,$AI266), INDEX($AU$67:$BA$71,,$AH266), 1 / ($BB$67:$BB$71*BU266 + (1-$BB$67:$BB$71)*BQ266), N($AQ$67:$AQ$71&gt;$AO266)),
SUMPRODUCT(INDEX($AR$57:$AT$66,,$AI266), INDEX($AU$57:$BA$66,,$AH266), 1 / ($BC$57:$BC$66*BU266 + (1-$BC$57:$BC$66)*BQ266), N($AQ$57:$AQ$66&gt;$AO266))
) / 1000</f>
        <v>0</v>
      </c>
      <c r="BW266" s="232">
        <f t="shared" si="252"/>
        <v>20</v>
      </c>
      <c r="BX266" s="230">
        <f t="shared" si="442"/>
        <v>33</v>
      </c>
      <c r="BY266" s="235">
        <f t="shared" si="443"/>
        <v>4.4702678571428569</v>
      </c>
      <c r="BZ266" s="235" cm="1">
        <f t="array" ref="BZ266">$BI266 * IF($AH266&lt;=2,
SUMPRODUCT(INDEX($AR$62:$AT$66,,$AI266), INDEX($AU$62:$BA$66,,$AH266), 1 / ($BB$62:$BB$66*BY266 + (1-$BB$62:$BB$66)*BU266), N($AQ$62:$AQ$66&gt;$AO266)),
SUMPRODUCT(INDEX($AR$47:$AT$56,,$AI266), INDEX($AU$47:$BA$56,,$AH266), 1 / ($BC$47:$BC$56*BY266 + (1-$BC$47:$BC$56)*BU266), N($AQ$47:$AQ$56&gt;$AO266))
) / 1000</f>
        <v>0</v>
      </c>
      <c r="CA266" s="235" cm="1">
        <f t="array" ref="CA266">$BI266 * IF($AH266&lt;=2,
SUMPRODUCT(INDEX($AR$23:$AT$61,,$AI266), INDEX($AU$23:$BA$61,,$AH266), 1 / ($BB$23:$BB$61*BY266), N($AQ$23:$AQ$61&gt;$AO266)),
SUMPRODUCT(INDEX($AR$23:$AT$46,,$AI266), INDEX($AU$23:$BA$46,,$AH266), 1 / ($BC$23:$BC$46*BY266), N($AQ$23:$AQ$46&gt;$AO266))
) / 1000</f>
        <v>0</v>
      </c>
      <c r="CB266" s="230">
        <f t="shared" si="444"/>
        <v>0</v>
      </c>
      <c r="CC266" s="238"/>
      <c r="CD266" s="229" cm="1">
        <f t="array" ref="CD266">IF(ISBLANK(Y266), INDEX(Use, $AH266, 4) - AN266*INDEX(Use, $AH266, 6) - (Q266-X266), Y266)</f>
        <v>7</v>
      </c>
      <c r="CE266" s="229">
        <f t="shared" si="445"/>
        <v>32</v>
      </c>
      <c r="CF266" s="230">
        <f t="shared" si="446"/>
        <v>0</v>
      </c>
      <c r="CG266" s="229">
        <v>35</v>
      </c>
      <c r="CH266" s="230">
        <f t="shared" si="447"/>
        <v>48</v>
      </c>
      <c r="CI266" s="235">
        <f t="shared" si="448"/>
        <v>3.0748170731707316</v>
      </c>
      <c r="CJ266" s="235" cm="1">
        <f t="array" ref="CJ266">$BI266 * SUMPRODUCT(INDEX($AR$77:$AT$82,,$AI266),INDEX($AU$77:$BA$82,,$AH266), N($AQ$77:$AQ$82&gt;$AO266)) / CI266 / 1000</f>
        <v>0</v>
      </c>
      <c r="CK266" s="232">
        <f t="shared" si="260"/>
        <v>30</v>
      </c>
      <c r="CL266" s="230">
        <f t="shared" si="449"/>
        <v>43</v>
      </c>
      <c r="CM266" s="235">
        <f t="shared" si="450"/>
        <v>3.5018750000000001</v>
      </c>
      <c r="CN266" s="235" cm="1">
        <f t="array" ref="CN266">$BI266 * IF($AH266&lt;=2,
SUMPRODUCT(INDEX($AR$72:$AT$76,,$AI266), INDEX($AU$72:$BA$76,,$AH266), 1 / ($BB$72:$BB$76*CM266 + (1-$BB$72:$BB$76)*CI266), N($AQ$72:$AQ$76&gt;$AO266)),
SUMPRODUCT(INDEX($AR$67:$AT$76,,$AI266), INDEX($AU$67:$BA$76,,$AH266), 1 / ($BC$67:$BC$76*CM266 + (1-$BC$67:$BC$76)*CI266), N($AQ$67:$AQ$76&gt;$AO266))
) / 1000</f>
        <v>0</v>
      </c>
      <c r="CO266" s="232">
        <f t="shared" si="263"/>
        <v>25</v>
      </c>
      <c r="CP266" s="230">
        <f t="shared" si="451"/>
        <v>38</v>
      </c>
      <c r="CQ266" s="235">
        <f t="shared" si="452"/>
        <v>4.0666935483870965</v>
      </c>
      <c r="CR266" s="235" cm="1">
        <f t="array" ref="CR266">$BI266 * IF($AH266&lt;=2,
SUMPRODUCT(INDEX($AR$67:$AT$71,,$AI266), INDEX($AU$67:$BA$71,,$AH266), 1 / ($BB$67:$BB$71*CQ266 + (1-$BB$67:$BB$71)*CM266), N($AQ$67:$AQ$71&gt;$AO266)),
SUMPRODUCT(INDEX($AR$57:$AT$66,,$AI266), INDEX($AU$57:$BA$66,,$AH266), 1 / ($BC$57:$BC$66*CQ266 + (1-$BC$57:$BC$66)*CM266), N($AQ$57:$AQ$66&gt;$AO266))
) / 1000</f>
        <v>0</v>
      </c>
      <c r="CS266" s="232">
        <f t="shared" si="266"/>
        <v>20</v>
      </c>
      <c r="CT266" s="230">
        <f t="shared" si="453"/>
        <v>33</v>
      </c>
      <c r="CU266" s="235">
        <f t="shared" si="454"/>
        <v>4.8487499999999999</v>
      </c>
      <c r="CV266" s="235" cm="1">
        <f t="array" ref="CV266">$BI266 * IF($AH266&lt;=2,
SUMPRODUCT(INDEX($AR$62:$AT$66,,$AI266), INDEX($AU$62:$BA$66,,$AH266), 1 / ($BB$62:$BB$66*CU266 + (1-$BB$62:$BB$66)*CQ266), N($AQ$62:$AQ$66&gt;$AO266)),
SUMPRODUCT(INDEX($AR$47:$AT$56,,$AI266), INDEX($AU$47:$BA$56,,$AH266), 1 / ($BC$47:$BC$56*CU266 + (1-$BC$47:$BC$56)*CQ266), N($AQ$47:$AQ$56&gt;$AO266))
) / 1000</f>
        <v>0</v>
      </c>
      <c r="CW266" s="235" cm="1">
        <f t="array" ref="CW266">$BI266 * IF($AH266&lt;=2,
SUMPRODUCT(INDEX($AR$23:$AT$61,,$AI266), INDEX($AU$23:$BA$61,,$AH266), 1 / ($BB$23:$BB$61*CU266), N($AQ$23:$AQ$61&gt;$AO266)),
SUMPRODUCT(INDEX($AR$23:$AT$46,,$AI266), INDEX($AU$23:$BA$46,,$AH266), 1 / ($BC$23:$BC$46*CU266), N($AQ$23:$AQ$46&gt;$AO266))
) / 1000</f>
        <v>0</v>
      </c>
      <c r="CX266" s="230">
        <f t="shared" si="455"/>
        <v>0</v>
      </c>
      <c r="CY266" s="238"/>
    </row>
    <row r="267" spans="1:103" s="76" customFormat="1" ht="14.25" customHeight="1" x14ac:dyDescent="0.2">
      <c r="A267" s="231" t="b">
        <f t="shared" si="229"/>
        <v>0</v>
      </c>
      <c r="B267" s="245">
        <v>245</v>
      </c>
      <c r="C267" s="258"/>
      <c r="D267" s="258"/>
      <c r="E267" s="246"/>
      <c r="F267" s="247" t="str">
        <f>IF(ISBLANK(E267), "", VLOOKUP(E267, Z!$A$2:$C$4127, 3, FALSE))</f>
        <v/>
      </c>
      <c r="G267" s="248"/>
      <c r="H267" s="248"/>
      <c r="I267" s="249"/>
      <c r="J267" s="250"/>
      <c r="K267" s="259"/>
      <c r="L267" s="260"/>
      <c r="M267" s="252" t="str" cm="1">
        <f t="array" ref="M267">INDEX(Trad, 53, $A$20)</f>
        <v>Verschmutzt</v>
      </c>
      <c r="N267" s="253"/>
      <c r="O267" s="253"/>
      <c r="P267" s="254"/>
      <c r="Q267" s="251"/>
      <c r="R267" s="251"/>
      <c r="S267" s="264">
        <f t="shared" si="430"/>
        <v>0</v>
      </c>
      <c r="T267" s="252" t="str" cm="1">
        <f t="array" ref="T267">INDEX(Trad, 52, $A$20)</f>
        <v>Sauber</v>
      </c>
      <c r="U267" s="253"/>
      <c r="V267" s="253"/>
      <c r="W267" s="254"/>
      <c r="X267" s="251"/>
      <c r="Y267" s="251"/>
      <c r="Z267" s="264">
        <f t="shared" si="431"/>
        <v>0</v>
      </c>
      <c r="AA267" s="261"/>
      <c r="AB267" s="258"/>
      <c r="AC267" s="246"/>
      <c r="AD267" s="247" t="str">
        <f>IF(ISBLANK(AC267), "", VLOOKUP(AC267, Z!$A$2:$C$4127, 3, FALSE))</f>
        <v/>
      </c>
      <c r="AE267" s="262"/>
      <c r="AF267" s="263">
        <f t="shared" si="432"/>
        <v>0</v>
      </c>
      <c r="AG267" s="238"/>
      <c r="AH267" s="229">
        <f t="shared" si="456"/>
        <v>1</v>
      </c>
      <c r="AI267" s="229">
        <f t="shared" si="457"/>
        <v>1</v>
      </c>
      <c r="AJ267" s="229">
        <f t="shared" si="458"/>
        <v>0</v>
      </c>
      <c r="AK267" s="229">
        <v>0</v>
      </c>
      <c r="AL267" s="229">
        <v>0</v>
      </c>
      <c r="AM267" s="229">
        <v>1</v>
      </c>
      <c r="AN267" s="229">
        <v>0</v>
      </c>
      <c r="AO267" s="229">
        <f t="shared" si="433"/>
        <v>-100</v>
      </c>
      <c r="AP267" s="238"/>
      <c r="AQ267" s="255"/>
      <c r="AR267" s="255"/>
      <c r="AS267" s="256"/>
      <c r="AT267" s="256"/>
      <c r="AU267" s="256"/>
      <c r="AV267" s="256"/>
      <c r="AW267" s="256"/>
      <c r="AX267" s="256"/>
      <c r="AY267" s="256"/>
      <c r="AZ267" s="256"/>
      <c r="BA267" s="256"/>
      <c r="BB267" s="256"/>
      <c r="BC267" s="256"/>
      <c r="BD267" s="238"/>
      <c r="BE267" s="229" cm="1">
        <f t="array" ref="BE267">IF(ISBLANK(R267), INDEX(Use, $AH267, 4) - AM267*INDEX(Use, $AH267, 6), R267)</f>
        <v>5</v>
      </c>
      <c r="BF267" s="229">
        <f t="shared" si="434"/>
        <v>30</v>
      </c>
      <c r="BG267" s="229">
        <f t="shared" si="241"/>
        <v>13</v>
      </c>
      <c r="BH267" s="229">
        <f t="shared" si="242"/>
        <v>0</v>
      </c>
      <c r="BI267" s="234" cm="1">
        <f t="array" ref="BI267">K267/IF($L267&gt;0, INDEX($AU$23:$BA$77, $L267+20, $AH267), 1)</f>
        <v>0</v>
      </c>
      <c r="BJ267" s="230">
        <f t="shared" si="435"/>
        <v>0</v>
      </c>
      <c r="BK267" s="229">
        <v>35</v>
      </c>
      <c r="BL267" s="230">
        <f t="shared" si="436"/>
        <v>48</v>
      </c>
      <c r="BM267" s="235">
        <f t="shared" si="437"/>
        <v>2.9108720930232557</v>
      </c>
      <c r="BN267" s="235" cm="1">
        <f t="array" ref="BN267">$BI267 * SUMPRODUCT(INDEX($AR$77:$AT$82,,$AI267),INDEX($AU$77:$BA$82,,$AH267), N($AQ$77:$AQ$82&gt;$AO267)) / BM267 / 1000</f>
        <v>0</v>
      </c>
      <c r="BO267" s="232">
        <f t="shared" si="246"/>
        <v>30</v>
      </c>
      <c r="BP267" s="230">
        <f t="shared" si="438"/>
        <v>43</v>
      </c>
      <c r="BQ267" s="235">
        <f t="shared" si="439"/>
        <v>3.2938815789473681</v>
      </c>
      <c r="BR267" s="235" cm="1">
        <f t="array" ref="BR267">$BI267 * IF($AH267&lt;=2,
SUMPRODUCT(INDEX($AR$72:$AT$76,,$AI267), INDEX($AU$72:$BA$76,,$AH267), 1 / ($BB$72:$BB$76*BQ267 + (1-$BB$72:$BB$76)*BM267), N($AQ$72:$AQ$76&gt;$AO267)),
SUMPRODUCT(INDEX($AR$67:$AT$76,,$AI267), INDEX($AU$67:$BA$76,,$AH267), 1 / ($BC$67:$BC$76*BQ267 + (1-$BC$67:$BC$76)*BM267), N($AQ$67:$AQ$76&gt;$AO267))
) / 1000</f>
        <v>0</v>
      </c>
      <c r="BS267" s="232">
        <f t="shared" si="249"/>
        <v>25</v>
      </c>
      <c r="BT267" s="230">
        <f t="shared" si="440"/>
        <v>38</v>
      </c>
      <c r="BU267" s="235">
        <f t="shared" si="441"/>
        <v>3.792954545454545</v>
      </c>
      <c r="BV267" s="235" cm="1">
        <f t="array" ref="BV267">$BI267 * IF($AH267&lt;=2,
SUMPRODUCT(INDEX($AR$67:$AT$71,,$AI267), INDEX($AU$67:$BA$71,,$AH267), 1 / ($BB$67:$BB$71*BU267 + (1-$BB$67:$BB$71)*BQ267), N($AQ$67:$AQ$71&gt;$AO267)),
SUMPRODUCT(INDEX($AR$57:$AT$66,,$AI267), INDEX($AU$57:$BA$66,,$AH267), 1 / ($BC$57:$BC$66*BU267 + (1-$BC$57:$BC$66)*BQ267), N($AQ$57:$AQ$66&gt;$AO267))
) / 1000</f>
        <v>0</v>
      </c>
      <c r="BW267" s="232">
        <f t="shared" si="252"/>
        <v>20</v>
      </c>
      <c r="BX267" s="230">
        <f t="shared" si="442"/>
        <v>33</v>
      </c>
      <c r="BY267" s="235">
        <f t="shared" si="443"/>
        <v>4.4702678571428569</v>
      </c>
      <c r="BZ267" s="235" cm="1">
        <f t="array" ref="BZ267">$BI267 * IF($AH267&lt;=2,
SUMPRODUCT(INDEX($AR$62:$AT$66,,$AI267), INDEX($AU$62:$BA$66,,$AH267), 1 / ($BB$62:$BB$66*BY267 + (1-$BB$62:$BB$66)*BU267), N($AQ$62:$AQ$66&gt;$AO267)),
SUMPRODUCT(INDEX($AR$47:$AT$56,,$AI267), INDEX($AU$47:$BA$56,,$AH267), 1 / ($BC$47:$BC$56*BY267 + (1-$BC$47:$BC$56)*BU267), N($AQ$47:$AQ$56&gt;$AO267))
) / 1000</f>
        <v>0</v>
      </c>
      <c r="CA267" s="235" cm="1">
        <f t="array" ref="CA267">$BI267 * IF($AH267&lt;=2,
SUMPRODUCT(INDEX($AR$23:$AT$61,,$AI267), INDEX($AU$23:$BA$61,,$AH267), 1 / ($BB$23:$BB$61*BY267), N($AQ$23:$AQ$61&gt;$AO267)),
SUMPRODUCT(INDEX($AR$23:$AT$46,,$AI267), INDEX($AU$23:$BA$46,,$AH267), 1 / ($BC$23:$BC$46*BY267), N($AQ$23:$AQ$46&gt;$AO267))
) / 1000</f>
        <v>0</v>
      </c>
      <c r="CB267" s="230">
        <f t="shared" si="444"/>
        <v>0</v>
      </c>
      <c r="CC267" s="238"/>
      <c r="CD267" s="229" cm="1">
        <f t="array" ref="CD267">IF(ISBLANK(Y267), INDEX(Use, $AH267, 4) - AN267*INDEX(Use, $AH267, 6) - (Q267-X267), Y267)</f>
        <v>7</v>
      </c>
      <c r="CE267" s="229">
        <f t="shared" si="445"/>
        <v>32</v>
      </c>
      <c r="CF267" s="230">
        <f t="shared" si="446"/>
        <v>0</v>
      </c>
      <c r="CG267" s="229">
        <v>35</v>
      </c>
      <c r="CH267" s="230">
        <f t="shared" si="447"/>
        <v>48</v>
      </c>
      <c r="CI267" s="235">
        <f t="shared" si="448"/>
        <v>3.0748170731707316</v>
      </c>
      <c r="CJ267" s="235" cm="1">
        <f t="array" ref="CJ267">$BI267 * SUMPRODUCT(INDEX($AR$77:$AT$82,,$AI267),INDEX($AU$77:$BA$82,,$AH267), N($AQ$77:$AQ$82&gt;$AO267)) / CI267 / 1000</f>
        <v>0</v>
      </c>
      <c r="CK267" s="232">
        <f t="shared" si="260"/>
        <v>30</v>
      </c>
      <c r="CL267" s="230">
        <f t="shared" si="449"/>
        <v>43</v>
      </c>
      <c r="CM267" s="235">
        <f t="shared" si="450"/>
        <v>3.5018750000000001</v>
      </c>
      <c r="CN267" s="235" cm="1">
        <f t="array" ref="CN267">$BI267 * IF($AH267&lt;=2,
SUMPRODUCT(INDEX($AR$72:$AT$76,,$AI267), INDEX($AU$72:$BA$76,,$AH267), 1 / ($BB$72:$BB$76*CM267 + (1-$BB$72:$BB$76)*CI267), N($AQ$72:$AQ$76&gt;$AO267)),
SUMPRODUCT(INDEX($AR$67:$AT$76,,$AI267), INDEX($AU$67:$BA$76,,$AH267), 1 / ($BC$67:$BC$76*CM267 + (1-$BC$67:$BC$76)*CI267), N($AQ$67:$AQ$76&gt;$AO267))
) / 1000</f>
        <v>0</v>
      </c>
      <c r="CO267" s="232">
        <f t="shared" si="263"/>
        <v>25</v>
      </c>
      <c r="CP267" s="230">
        <f t="shared" si="451"/>
        <v>38</v>
      </c>
      <c r="CQ267" s="235">
        <f t="shared" si="452"/>
        <v>4.0666935483870965</v>
      </c>
      <c r="CR267" s="235" cm="1">
        <f t="array" ref="CR267">$BI267 * IF($AH267&lt;=2,
SUMPRODUCT(INDEX($AR$67:$AT$71,,$AI267), INDEX($AU$67:$BA$71,,$AH267), 1 / ($BB$67:$BB$71*CQ267 + (1-$BB$67:$BB$71)*CM267), N($AQ$67:$AQ$71&gt;$AO267)),
SUMPRODUCT(INDEX($AR$57:$AT$66,,$AI267), INDEX($AU$57:$BA$66,,$AH267), 1 / ($BC$57:$BC$66*CQ267 + (1-$BC$57:$BC$66)*CM267), N($AQ$57:$AQ$66&gt;$AO267))
) / 1000</f>
        <v>0</v>
      </c>
      <c r="CS267" s="232">
        <f t="shared" si="266"/>
        <v>20</v>
      </c>
      <c r="CT267" s="230">
        <f t="shared" si="453"/>
        <v>33</v>
      </c>
      <c r="CU267" s="235">
        <f t="shared" si="454"/>
        <v>4.8487499999999999</v>
      </c>
      <c r="CV267" s="235" cm="1">
        <f t="array" ref="CV267">$BI267 * IF($AH267&lt;=2,
SUMPRODUCT(INDEX($AR$62:$AT$66,,$AI267), INDEX($AU$62:$BA$66,,$AH267), 1 / ($BB$62:$BB$66*CU267 + (1-$BB$62:$BB$66)*CQ267), N($AQ$62:$AQ$66&gt;$AO267)),
SUMPRODUCT(INDEX($AR$47:$AT$56,,$AI267), INDEX($AU$47:$BA$56,,$AH267), 1 / ($BC$47:$BC$56*CU267 + (1-$BC$47:$BC$56)*CQ267), N($AQ$47:$AQ$56&gt;$AO267))
) / 1000</f>
        <v>0</v>
      </c>
      <c r="CW267" s="235" cm="1">
        <f t="array" ref="CW267">$BI267 * IF($AH267&lt;=2,
SUMPRODUCT(INDEX($AR$23:$AT$61,,$AI267), INDEX($AU$23:$BA$61,,$AH267), 1 / ($BB$23:$BB$61*CU267), N($AQ$23:$AQ$61&gt;$AO267)),
SUMPRODUCT(INDEX($AR$23:$AT$46,,$AI267), INDEX($AU$23:$BA$46,,$AH267), 1 / ($BC$23:$BC$46*CU267), N($AQ$23:$AQ$46&gt;$AO267))
) / 1000</f>
        <v>0</v>
      </c>
      <c r="CX267" s="230">
        <f t="shared" si="455"/>
        <v>0</v>
      </c>
      <c r="CY267" s="238"/>
    </row>
    <row r="268" spans="1:103" s="76" customFormat="1" ht="14.25" customHeight="1" x14ac:dyDescent="0.2">
      <c r="A268" s="231" t="b">
        <f t="shared" si="229"/>
        <v>0</v>
      </c>
      <c r="B268" s="245">
        <v>246</v>
      </c>
      <c r="C268" s="258"/>
      <c r="D268" s="258"/>
      <c r="E268" s="246"/>
      <c r="F268" s="247" t="str">
        <f>IF(ISBLANK(E268), "", VLOOKUP(E268, Z!$A$2:$C$4127, 3, FALSE))</f>
        <v/>
      </c>
      <c r="G268" s="248"/>
      <c r="H268" s="248"/>
      <c r="I268" s="249"/>
      <c r="J268" s="250"/>
      <c r="K268" s="259"/>
      <c r="L268" s="260"/>
      <c r="M268" s="252" t="str" cm="1">
        <f t="array" ref="M268">INDEX(Trad, 53, $A$20)</f>
        <v>Verschmutzt</v>
      </c>
      <c r="N268" s="253"/>
      <c r="O268" s="253"/>
      <c r="P268" s="254"/>
      <c r="Q268" s="251"/>
      <c r="R268" s="251"/>
      <c r="S268" s="264">
        <f t="shared" si="430"/>
        <v>0</v>
      </c>
      <c r="T268" s="252" t="str" cm="1">
        <f t="array" ref="T268">INDEX(Trad, 52, $A$20)</f>
        <v>Sauber</v>
      </c>
      <c r="U268" s="253"/>
      <c r="V268" s="253"/>
      <c r="W268" s="254"/>
      <c r="X268" s="251"/>
      <c r="Y268" s="251"/>
      <c r="Z268" s="264">
        <f t="shared" si="431"/>
        <v>0</v>
      </c>
      <c r="AA268" s="261"/>
      <c r="AB268" s="258"/>
      <c r="AC268" s="246"/>
      <c r="AD268" s="247" t="str">
        <f>IF(ISBLANK(AC268), "", VLOOKUP(AC268, Z!$A$2:$C$4127, 3, FALSE))</f>
        <v/>
      </c>
      <c r="AE268" s="262"/>
      <c r="AF268" s="263">
        <f t="shared" si="432"/>
        <v>0</v>
      </c>
      <c r="AG268" s="238"/>
      <c r="AH268" s="229">
        <f t="shared" si="456"/>
        <v>1</v>
      </c>
      <c r="AI268" s="229">
        <f t="shared" si="457"/>
        <v>1</v>
      </c>
      <c r="AJ268" s="229">
        <f t="shared" si="458"/>
        <v>0</v>
      </c>
      <c r="AK268" s="229">
        <v>0</v>
      </c>
      <c r="AL268" s="229">
        <v>0</v>
      </c>
      <c r="AM268" s="229">
        <v>1</v>
      </c>
      <c r="AN268" s="229">
        <v>0</v>
      </c>
      <c r="AO268" s="229">
        <f t="shared" si="433"/>
        <v>-100</v>
      </c>
      <c r="AP268" s="238"/>
      <c r="AQ268" s="255"/>
      <c r="AR268" s="255"/>
      <c r="AS268" s="256"/>
      <c r="AT268" s="256"/>
      <c r="AU268" s="256"/>
      <c r="AV268" s="256"/>
      <c r="AW268" s="256"/>
      <c r="AX268" s="256"/>
      <c r="AY268" s="256"/>
      <c r="AZ268" s="256"/>
      <c r="BA268" s="256"/>
      <c r="BB268" s="256"/>
      <c r="BC268" s="256"/>
      <c r="BD268" s="238"/>
      <c r="BE268" s="229" cm="1">
        <f t="array" ref="BE268">IF(ISBLANK(R268), INDEX(Use, $AH268, 4) - AM268*INDEX(Use, $AH268, 6), R268)</f>
        <v>5</v>
      </c>
      <c r="BF268" s="229">
        <f t="shared" si="434"/>
        <v>30</v>
      </c>
      <c r="BG268" s="229">
        <f t="shared" si="241"/>
        <v>13</v>
      </c>
      <c r="BH268" s="229">
        <f t="shared" si="242"/>
        <v>0</v>
      </c>
      <c r="BI268" s="234" cm="1">
        <f t="array" ref="BI268">K268/IF($L268&gt;0, INDEX($AU$23:$BA$77, $L268+20, $AH268), 1)</f>
        <v>0</v>
      </c>
      <c r="BJ268" s="230">
        <f t="shared" si="435"/>
        <v>0</v>
      </c>
      <c r="BK268" s="229">
        <v>35</v>
      </c>
      <c r="BL268" s="230">
        <f t="shared" si="436"/>
        <v>48</v>
      </c>
      <c r="BM268" s="235">
        <f t="shared" si="437"/>
        <v>2.9108720930232557</v>
      </c>
      <c r="BN268" s="235" cm="1">
        <f t="array" ref="BN268">$BI268 * SUMPRODUCT(INDEX($AR$77:$AT$82,,$AI268),INDEX($AU$77:$BA$82,,$AH268), N($AQ$77:$AQ$82&gt;$AO268)) / BM268 / 1000</f>
        <v>0</v>
      </c>
      <c r="BO268" s="232">
        <f t="shared" si="246"/>
        <v>30</v>
      </c>
      <c r="BP268" s="230">
        <f t="shared" si="438"/>
        <v>43</v>
      </c>
      <c r="BQ268" s="235">
        <f t="shared" si="439"/>
        <v>3.2938815789473681</v>
      </c>
      <c r="BR268" s="235" cm="1">
        <f t="array" ref="BR268">$BI268 * IF($AH268&lt;=2,
SUMPRODUCT(INDEX($AR$72:$AT$76,,$AI268), INDEX($AU$72:$BA$76,,$AH268), 1 / ($BB$72:$BB$76*BQ268 + (1-$BB$72:$BB$76)*BM268), N($AQ$72:$AQ$76&gt;$AO268)),
SUMPRODUCT(INDEX($AR$67:$AT$76,,$AI268), INDEX($AU$67:$BA$76,,$AH268), 1 / ($BC$67:$BC$76*BQ268 + (1-$BC$67:$BC$76)*BM268), N($AQ$67:$AQ$76&gt;$AO268))
) / 1000</f>
        <v>0</v>
      </c>
      <c r="BS268" s="232">
        <f t="shared" si="249"/>
        <v>25</v>
      </c>
      <c r="BT268" s="230">
        <f t="shared" si="440"/>
        <v>38</v>
      </c>
      <c r="BU268" s="235">
        <f t="shared" si="441"/>
        <v>3.792954545454545</v>
      </c>
      <c r="BV268" s="235" cm="1">
        <f t="array" ref="BV268">$BI268 * IF($AH268&lt;=2,
SUMPRODUCT(INDEX($AR$67:$AT$71,,$AI268), INDEX($AU$67:$BA$71,,$AH268), 1 / ($BB$67:$BB$71*BU268 + (1-$BB$67:$BB$71)*BQ268), N($AQ$67:$AQ$71&gt;$AO268)),
SUMPRODUCT(INDEX($AR$57:$AT$66,,$AI268), INDEX($AU$57:$BA$66,,$AH268), 1 / ($BC$57:$BC$66*BU268 + (1-$BC$57:$BC$66)*BQ268), N($AQ$57:$AQ$66&gt;$AO268))
) / 1000</f>
        <v>0</v>
      </c>
      <c r="BW268" s="232">
        <f t="shared" si="252"/>
        <v>20</v>
      </c>
      <c r="BX268" s="230">
        <f t="shared" si="442"/>
        <v>33</v>
      </c>
      <c r="BY268" s="235">
        <f t="shared" si="443"/>
        <v>4.4702678571428569</v>
      </c>
      <c r="BZ268" s="235" cm="1">
        <f t="array" ref="BZ268">$BI268 * IF($AH268&lt;=2,
SUMPRODUCT(INDEX($AR$62:$AT$66,,$AI268), INDEX($AU$62:$BA$66,,$AH268), 1 / ($BB$62:$BB$66*BY268 + (1-$BB$62:$BB$66)*BU268), N($AQ$62:$AQ$66&gt;$AO268)),
SUMPRODUCT(INDEX($AR$47:$AT$56,,$AI268), INDEX($AU$47:$BA$56,,$AH268), 1 / ($BC$47:$BC$56*BY268 + (1-$BC$47:$BC$56)*BU268), N($AQ$47:$AQ$56&gt;$AO268))
) / 1000</f>
        <v>0</v>
      </c>
      <c r="CA268" s="235" cm="1">
        <f t="array" ref="CA268">$BI268 * IF($AH268&lt;=2,
SUMPRODUCT(INDEX($AR$23:$AT$61,,$AI268), INDEX($AU$23:$BA$61,,$AH268), 1 / ($BB$23:$BB$61*BY268), N($AQ$23:$AQ$61&gt;$AO268)),
SUMPRODUCT(INDEX($AR$23:$AT$46,,$AI268), INDEX($AU$23:$BA$46,,$AH268), 1 / ($BC$23:$BC$46*BY268), N($AQ$23:$AQ$46&gt;$AO268))
) / 1000</f>
        <v>0</v>
      </c>
      <c r="CB268" s="230">
        <f t="shared" si="444"/>
        <v>0</v>
      </c>
      <c r="CC268" s="238"/>
      <c r="CD268" s="229" cm="1">
        <f t="array" ref="CD268">IF(ISBLANK(Y268), INDEX(Use, $AH268, 4) - AN268*INDEX(Use, $AH268, 6) - (Q268-X268), Y268)</f>
        <v>7</v>
      </c>
      <c r="CE268" s="229">
        <f t="shared" si="445"/>
        <v>32</v>
      </c>
      <c r="CF268" s="230">
        <f t="shared" si="446"/>
        <v>0</v>
      </c>
      <c r="CG268" s="229">
        <v>35</v>
      </c>
      <c r="CH268" s="230">
        <f t="shared" si="447"/>
        <v>48</v>
      </c>
      <c r="CI268" s="235">
        <f t="shared" si="448"/>
        <v>3.0748170731707316</v>
      </c>
      <c r="CJ268" s="235" cm="1">
        <f t="array" ref="CJ268">$BI268 * SUMPRODUCT(INDEX($AR$77:$AT$82,,$AI268),INDEX($AU$77:$BA$82,,$AH268), N($AQ$77:$AQ$82&gt;$AO268)) / CI268 / 1000</f>
        <v>0</v>
      </c>
      <c r="CK268" s="232">
        <f t="shared" si="260"/>
        <v>30</v>
      </c>
      <c r="CL268" s="230">
        <f t="shared" si="449"/>
        <v>43</v>
      </c>
      <c r="CM268" s="235">
        <f t="shared" si="450"/>
        <v>3.5018750000000001</v>
      </c>
      <c r="CN268" s="235" cm="1">
        <f t="array" ref="CN268">$BI268 * IF($AH268&lt;=2,
SUMPRODUCT(INDEX($AR$72:$AT$76,,$AI268), INDEX($AU$72:$BA$76,,$AH268), 1 / ($BB$72:$BB$76*CM268 + (1-$BB$72:$BB$76)*CI268), N($AQ$72:$AQ$76&gt;$AO268)),
SUMPRODUCT(INDEX($AR$67:$AT$76,,$AI268), INDEX($AU$67:$BA$76,,$AH268), 1 / ($BC$67:$BC$76*CM268 + (1-$BC$67:$BC$76)*CI268), N($AQ$67:$AQ$76&gt;$AO268))
) / 1000</f>
        <v>0</v>
      </c>
      <c r="CO268" s="232">
        <f t="shared" si="263"/>
        <v>25</v>
      </c>
      <c r="CP268" s="230">
        <f t="shared" si="451"/>
        <v>38</v>
      </c>
      <c r="CQ268" s="235">
        <f t="shared" si="452"/>
        <v>4.0666935483870965</v>
      </c>
      <c r="CR268" s="235" cm="1">
        <f t="array" ref="CR268">$BI268 * IF($AH268&lt;=2,
SUMPRODUCT(INDEX($AR$67:$AT$71,,$AI268), INDEX($AU$67:$BA$71,,$AH268), 1 / ($BB$67:$BB$71*CQ268 + (1-$BB$67:$BB$71)*CM268), N($AQ$67:$AQ$71&gt;$AO268)),
SUMPRODUCT(INDEX($AR$57:$AT$66,,$AI268), INDEX($AU$57:$BA$66,,$AH268), 1 / ($BC$57:$BC$66*CQ268 + (1-$BC$57:$BC$66)*CM268), N($AQ$57:$AQ$66&gt;$AO268))
) / 1000</f>
        <v>0</v>
      </c>
      <c r="CS268" s="232">
        <f t="shared" si="266"/>
        <v>20</v>
      </c>
      <c r="CT268" s="230">
        <f t="shared" si="453"/>
        <v>33</v>
      </c>
      <c r="CU268" s="235">
        <f t="shared" si="454"/>
        <v>4.8487499999999999</v>
      </c>
      <c r="CV268" s="235" cm="1">
        <f t="array" ref="CV268">$BI268 * IF($AH268&lt;=2,
SUMPRODUCT(INDEX($AR$62:$AT$66,,$AI268), INDEX($AU$62:$BA$66,,$AH268), 1 / ($BB$62:$BB$66*CU268 + (1-$BB$62:$BB$66)*CQ268), N($AQ$62:$AQ$66&gt;$AO268)),
SUMPRODUCT(INDEX($AR$47:$AT$56,,$AI268), INDEX($AU$47:$BA$56,,$AH268), 1 / ($BC$47:$BC$56*CU268 + (1-$BC$47:$BC$56)*CQ268), N($AQ$47:$AQ$56&gt;$AO268))
) / 1000</f>
        <v>0</v>
      </c>
      <c r="CW268" s="235" cm="1">
        <f t="array" ref="CW268">$BI268 * IF($AH268&lt;=2,
SUMPRODUCT(INDEX($AR$23:$AT$61,,$AI268), INDEX($AU$23:$BA$61,,$AH268), 1 / ($BB$23:$BB$61*CU268), N($AQ$23:$AQ$61&gt;$AO268)),
SUMPRODUCT(INDEX($AR$23:$AT$46,,$AI268), INDEX($AU$23:$BA$46,,$AH268), 1 / ($BC$23:$BC$46*CU268), N($AQ$23:$AQ$46&gt;$AO268))
) / 1000</f>
        <v>0</v>
      </c>
      <c r="CX268" s="230">
        <f t="shared" si="455"/>
        <v>0</v>
      </c>
      <c r="CY268" s="238"/>
    </row>
    <row r="269" spans="1:103" s="76" customFormat="1" ht="14.25" customHeight="1" x14ac:dyDescent="0.2">
      <c r="A269" s="231" t="b">
        <f t="shared" si="229"/>
        <v>0</v>
      </c>
      <c r="B269" s="245">
        <v>247</v>
      </c>
      <c r="C269" s="258"/>
      <c r="D269" s="258"/>
      <c r="E269" s="246"/>
      <c r="F269" s="247" t="str">
        <f>IF(ISBLANK(E269), "", VLOOKUP(E269, Z!$A$2:$C$4127, 3, FALSE))</f>
        <v/>
      </c>
      <c r="G269" s="248"/>
      <c r="H269" s="248"/>
      <c r="I269" s="249"/>
      <c r="J269" s="250"/>
      <c r="K269" s="259"/>
      <c r="L269" s="260"/>
      <c r="M269" s="252" t="str" cm="1">
        <f t="array" ref="M269">INDEX(Trad, 53, $A$20)</f>
        <v>Verschmutzt</v>
      </c>
      <c r="N269" s="253"/>
      <c r="O269" s="253"/>
      <c r="P269" s="254"/>
      <c r="Q269" s="251"/>
      <c r="R269" s="251"/>
      <c r="S269" s="264">
        <f t="shared" si="430"/>
        <v>0</v>
      </c>
      <c r="T269" s="252" t="str" cm="1">
        <f t="array" ref="T269">INDEX(Trad, 52, $A$20)</f>
        <v>Sauber</v>
      </c>
      <c r="U269" s="253"/>
      <c r="V269" s="253"/>
      <c r="W269" s="254"/>
      <c r="X269" s="251"/>
      <c r="Y269" s="251"/>
      <c r="Z269" s="264">
        <f t="shared" si="431"/>
        <v>0</v>
      </c>
      <c r="AA269" s="261"/>
      <c r="AB269" s="258"/>
      <c r="AC269" s="246"/>
      <c r="AD269" s="247" t="str">
        <f>IF(ISBLANK(AC269), "", VLOOKUP(AC269, Z!$A$2:$C$4127, 3, FALSE))</f>
        <v/>
      </c>
      <c r="AE269" s="262"/>
      <c r="AF269" s="263">
        <f t="shared" si="432"/>
        <v>0</v>
      </c>
      <c r="AG269" s="238"/>
      <c r="AH269" s="229">
        <f t="shared" si="456"/>
        <v>1</v>
      </c>
      <c r="AI269" s="229">
        <f t="shared" si="457"/>
        <v>1</v>
      </c>
      <c r="AJ269" s="229">
        <f t="shared" si="458"/>
        <v>0</v>
      </c>
      <c r="AK269" s="229">
        <v>0</v>
      </c>
      <c r="AL269" s="229">
        <v>0</v>
      </c>
      <c r="AM269" s="229">
        <v>1</v>
      </c>
      <c r="AN269" s="229">
        <v>0</v>
      </c>
      <c r="AO269" s="229">
        <f t="shared" si="433"/>
        <v>-100</v>
      </c>
      <c r="AP269" s="238"/>
      <c r="AQ269" s="255"/>
      <c r="AR269" s="255"/>
      <c r="AS269" s="256"/>
      <c r="AT269" s="256"/>
      <c r="AU269" s="256"/>
      <c r="AV269" s="256"/>
      <c r="AW269" s="256"/>
      <c r="AX269" s="256"/>
      <c r="AY269" s="256"/>
      <c r="AZ269" s="256"/>
      <c r="BA269" s="256"/>
      <c r="BB269" s="256"/>
      <c r="BC269" s="256"/>
      <c r="BD269" s="238"/>
      <c r="BE269" s="229" cm="1">
        <f t="array" ref="BE269">IF(ISBLANK(R269), INDEX(Use, $AH269, 4) - AM269*INDEX(Use, $AH269, 6), R269)</f>
        <v>5</v>
      </c>
      <c r="BF269" s="229">
        <f t="shared" si="434"/>
        <v>30</v>
      </c>
      <c r="BG269" s="229">
        <f t="shared" si="241"/>
        <v>13</v>
      </c>
      <c r="BH269" s="229">
        <f t="shared" si="242"/>
        <v>0</v>
      </c>
      <c r="BI269" s="234" cm="1">
        <f t="array" ref="BI269">K269/IF($L269&gt;0, INDEX($AU$23:$BA$77, $L269+20, $AH269), 1)</f>
        <v>0</v>
      </c>
      <c r="BJ269" s="230">
        <f t="shared" si="435"/>
        <v>0</v>
      </c>
      <c r="BK269" s="229">
        <v>35</v>
      </c>
      <c r="BL269" s="230">
        <f t="shared" si="436"/>
        <v>48</v>
      </c>
      <c r="BM269" s="235">
        <f t="shared" si="437"/>
        <v>2.9108720930232557</v>
      </c>
      <c r="BN269" s="235" cm="1">
        <f t="array" ref="BN269">$BI269 * SUMPRODUCT(INDEX($AR$77:$AT$82,,$AI269),INDEX($AU$77:$BA$82,,$AH269), N($AQ$77:$AQ$82&gt;$AO269)) / BM269 / 1000</f>
        <v>0</v>
      </c>
      <c r="BO269" s="232">
        <f t="shared" si="246"/>
        <v>30</v>
      </c>
      <c r="BP269" s="230">
        <f t="shared" si="438"/>
        <v>43</v>
      </c>
      <c r="BQ269" s="235">
        <f t="shared" si="439"/>
        <v>3.2938815789473681</v>
      </c>
      <c r="BR269" s="235" cm="1">
        <f t="array" ref="BR269">$BI269 * IF($AH269&lt;=2,
SUMPRODUCT(INDEX($AR$72:$AT$76,,$AI269), INDEX($AU$72:$BA$76,,$AH269), 1 / ($BB$72:$BB$76*BQ269 + (1-$BB$72:$BB$76)*BM269), N($AQ$72:$AQ$76&gt;$AO269)),
SUMPRODUCT(INDEX($AR$67:$AT$76,,$AI269), INDEX($AU$67:$BA$76,,$AH269), 1 / ($BC$67:$BC$76*BQ269 + (1-$BC$67:$BC$76)*BM269), N($AQ$67:$AQ$76&gt;$AO269))
) / 1000</f>
        <v>0</v>
      </c>
      <c r="BS269" s="232">
        <f t="shared" si="249"/>
        <v>25</v>
      </c>
      <c r="BT269" s="230">
        <f t="shared" si="440"/>
        <v>38</v>
      </c>
      <c r="BU269" s="235">
        <f t="shared" si="441"/>
        <v>3.792954545454545</v>
      </c>
      <c r="BV269" s="235" cm="1">
        <f t="array" ref="BV269">$BI269 * IF($AH269&lt;=2,
SUMPRODUCT(INDEX($AR$67:$AT$71,,$AI269), INDEX($AU$67:$BA$71,,$AH269), 1 / ($BB$67:$BB$71*BU269 + (1-$BB$67:$BB$71)*BQ269), N($AQ$67:$AQ$71&gt;$AO269)),
SUMPRODUCT(INDEX($AR$57:$AT$66,,$AI269), INDEX($AU$57:$BA$66,,$AH269), 1 / ($BC$57:$BC$66*BU269 + (1-$BC$57:$BC$66)*BQ269), N($AQ$57:$AQ$66&gt;$AO269))
) / 1000</f>
        <v>0</v>
      </c>
      <c r="BW269" s="232">
        <f t="shared" si="252"/>
        <v>20</v>
      </c>
      <c r="BX269" s="230">
        <f t="shared" si="442"/>
        <v>33</v>
      </c>
      <c r="BY269" s="235">
        <f t="shared" si="443"/>
        <v>4.4702678571428569</v>
      </c>
      <c r="BZ269" s="235" cm="1">
        <f t="array" ref="BZ269">$BI269 * IF($AH269&lt;=2,
SUMPRODUCT(INDEX($AR$62:$AT$66,,$AI269), INDEX($AU$62:$BA$66,,$AH269), 1 / ($BB$62:$BB$66*BY269 + (1-$BB$62:$BB$66)*BU269), N($AQ$62:$AQ$66&gt;$AO269)),
SUMPRODUCT(INDEX($AR$47:$AT$56,,$AI269), INDEX($AU$47:$BA$56,,$AH269), 1 / ($BC$47:$BC$56*BY269 + (1-$BC$47:$BC$56)*BU269), N($AQ$47:$AQ$56&gt;$AO269))
) / 1000</f>
        <v>0</v>
      </c>
      <c r="CA269" s="235" cm="1">
        <f t="array" ref="CA269">$BI269 * IF($AH269&lt;=2,
SUMPRODUCT(INDEX($AR$23:$AT$61,,$AI269), INDEX($AU$23:$BA$61,,$AH269), 1 / ($BB$23:$BB$61*BY269), N($AQ$23:$AQ$61&gt;$AO269)),
SUMPRODUCT(INDEX($AR$23:$AT$46,,$AI269), INDEX($AU$23:$BA$46,,$AH269), 1 / ($BC$23:$BC$46*BY269), N($AQ$23:$AQ$46&gt;$AO269))
) / 1000</f>
        <v>0</v>
      </c>
      <c r="CB269" s="230">
        <f t="shared" si="444"/>
        <v>0</v>
      </c>
      <c r="CC269" s="238"/>
      <c r="CD269" s="229" cm="1">
        <f t="array" ref="CD269">IF(ISBLANK(Y269), INDEX(Use, $AH269, 4) - AN269*INDEX(Use, $AH269, 6) - (Q269-X269), Y269)</f>
        <v>7</v>
      </c>
      <c r="CE269" s="229">
        <f t="shared" si="445"/>
        <v>32</v>
      </c>
      <c r="CF269" s="230">
        <f t="shared" si="446"/>
        <v>0</v>
      </c>
      <c r="CG269" s="229">
        <v>35</v>
      </c>
      <c r="CH269" s="230">
        <f t="shared" si="447"/>
        <v>48</v>
      </c>
      <c r="CI269" s="235">
        <f t="shared" si="448"/>
        <v>3.0748170731707316</v>
      </c>
      <c r="CJ269" s="235" cm="1">
        <f t="array" ref="CJ269">$BI269 * SUMPRODUCT(INDEX($AR$77:$AT$82,,$AI269),INDEX($AU$77:$BA$82,,$AH269), N($AQ$77:$AQ$82&gt;$AO269)) / CI269 / 1000</f>
        <v>0</v>
      </c>
      <c r="CK269" s="232">
        <f t="shared" si="260"/>
        <v>30</v>
      </c>
      <c r="CL269" s="230">
        <f t="shared" si="449"/>
        <v>43</v>
      </c>
      <c r="CM269" s="235">
        <f t="shared" si="450"/>
        <v>3.5018750000000001</v>
      </c>
      <c r="CN269" s="235" cm="1">
        <f t="array" ref="CN269">$BI269 * IF($AH269&lt;=2,
SUMPRODUCT(INDEX($AR$72:$AT$76,,$AI269), INDEX($AU$72:$BA$76,,$AH269), 1 / ($BB$72:$BB$76*CM269 + (1-$BB$72:$BB$76)*CI269), N($AQ$72:$AQ$76&gt;$AO269)),
SUMPRODUCT(INDEX($AR$67:$AT$76,,$AI269), INDEX($AU$67:$BA$76,,$AH269), 1 / ($BC$67:$BC$76*CM269 + (1-$BC$67:$BC$76)*CI269), N($AQ$67:$AQ$76&gt;$AO269))
) / 1000</f>
        <v>0</v>
      </c>
      <c r="CO269" s="232">
        <f t="shared" si="263"/>
        <v>25</v>
      </c>
      <c r="CP269" s="230">
        <f t="shared" si="451"/>
        <v>38</v>
      </c>
      <c r="CQ269" s="235">
        <f t="shared" si="452"/>
        <v>4.0666935483870965</v>
      </c>
      <c r="CR269" s="235" cm="1">
        <f t="array" ref="CR269">$BI269 * IF($AH269&lt;=2,
SUMPRODUCT(INDEX($AR$67:$AT$71,,$AI269), INDEX($AU$67:$BA$71,,$AH269), 1 / ($BB$67:$BB$71*CQ269 + (1-$BB$67:$BB$71)*CM269), N($AQ$67:$AQ$71&gt;$AO269)),
SUMPRODUCT(INDEX($AR$57:$AT$66,,$AI269), INDEX($AU$57:$BA$66,,$AH269), 1 / ($BC$57:$BC$66*CQ269 + (1-$BC$57:$BC$66)*CM269), N($AQ$57:$AQ$66&gt;$AO269))
) / 1000</f>
        <v>0</v>
      </c>
      <c r="CS269" s="232">
        <f t="shared" si="266"/>
        <v>20</v>
      </c>
      <c r="CT269" s="230">
        <f t="shared" si="453"/>
        <v>33</v>
      </c>
      <c r="CU269" s="235">
        <f t="shared" si="454"/>
        <v>4.8487499999999999</v>
      </c>
      <c r="CV269" s="235" cm="1">
        <f t="array" ref="CV269">$BI269 * IF($AH269&lt;=2,
SUMPRODUCT(INDEX($AR$62:$AT$66,,$AI269), INDEX($AU$62:$BA$66,,$AH269), 1 / ($BB$62:$BB$66*CU269 + (1-$BB$62:$BB$66)*CQ269), N($AQ$62:$AQ$66&gt;$AO269)),
SUMPRODUCT(INDEX($AR$47:$AT$56,,$AI269), INDEX($AU$47:$BA$56,,$AH269), 1 / ($BC$47:$BC$56*CU269 + (1-$BC$47:$BC$56)*CQ269), N($AQ$47:$AQ$56&gt;$AO269))
) / 1000</f>
        <v>0</v>
      </c>
      <c r="CW269" s="235" cm="1">
        <f t="array" ref="CW269">$BI269 * IF($AH269&lt;=2,
SUMPRODUCT(INDEX($AR$23:$AT$61,,$AI269), INDEX($AU$23:$BA$61,,$AH269), 1 / ($BB$23:$BB$61*CU269), N($AQ$23:$AQ$61&gt;$AO269)),
SUMPRODUCT(INDEX($AR$23:$AT$46,,$AI269), INDEX($AU$23:$BA$46,,$AH269), 1 / ($BC$23:$BC$46*CU269), N($AQ$23:$AQ$46&gt;$AO269))
) / 1000</f>
        <v>0</v>
      </c>
      <c r="CX269" s="230">
        <f t="shared" si="455"/>
        <v>0</v>
      </c>
      <c r="CY269" s="238"/>
    </row>
    <row r="270" spans="1:103" s="76" customFormat="1" ht="14.25" customHeight="1" x14ac:dyDescent="0.2">
      <c r="A270" s="231" t="b">
        <f t="shared" si="229"/>
        <v>0</v>
      </c>
      <c r="B270" s="245">
        <v>248</v>
      </c>
      <c r="C270" s="258"/>
      <c r="D270" s="258"/>
      <c r="E270" s="246"/>
      <c r="F270" s="247" t="str">
        <f>IF(ISBLANK(E270), "", VLOOKUP(E270, Z!$A$2:$C$4127, 3, FALSE))</f>
        <v/>
      </c>
      <c r="G270" s="248"/>
      <c r="H270" s="248"/>
      <c r="I270" s="249"/>
      <c r="J270" s="250"/>
      <c r="K270" s="259"/>
      <c r="L270" s="260"/>
      <c r="M270" s="252" t="str" cm="1">
        <f t="array" ref="M270">INDEX(Trad, 53, $A$20)</f>
        <v>Verschmutzt</v>
      </c>
      <c r="N270" s="253"/>
      <c r="O270" s="253"/>
      <c r="P270" s="254"/>
      <c r="Q270" s="251"/>
      <c r="R270" s="251"/>
      <c r="S270" s="264">
        <f t="shared" si="430"/>
        <v>0</v>
      </c>
      <c r="T270" s="252" t="str" cm="1">
        <f t="array" ref="T270">INDEX(Trad, 52, $A$20)</f>
        <v>Sauber</v>
      </c>
      <c r="U270" s="253"/>
      <c r="V270" s="253"/>
      <c r="W270" s="254"/>
      <c r="X270" s="251"/>
      <c r="Y270" s="251"/>
      <c r="Z270" s="264">
        <f t="shared" si="431"/>
        <v>0</v>
      </c>
      <c r="AA270" s="261"/>
      <c r="AB270" s="258"/>
      <c r="AC270" s="246"/>
      <c r="AD270" s="247" t="str">
        <f>IF(ISBLANK(AC270), "", VLOOKUP(AC270, Z!$A$2:$C$4127, 3, FALSE))</f>
        <v/>
      </c>
      <c r="AE270" s="262"/>
      <c r="AF270" s="263">
        <f t="shared" si="432"/>
        <v>0</v>
      </c>
      <c r="AG270" s="238"/>
      <c r="AH270" s="229">
        <f t="shared" si="456"/>
        <v>1</v>
      </c>
      <c r="AI270" s="229">
        <f t="shared" si="457"/>
        <v>1</v>
      </c>
      <c r="AJ270" s="229">
        <f t="shared" si="458"/>
        <v>0</v>
      </c>
      <c r="AK270" s="229">
        <v>0</v>
      </c>
      <c r="AL270" s="229">
        <v>0</v>
      </c>
      <c r="AM270" s="229">
        <v>1</v>
      </c>
      <c r="AN270" s="229">
        <v>0</v>
      </c>
      <c r="AO270" s="229">
        <f t="shared" si="433"/>
        <v>-100</v>
      </c>
      <c r="AP270" s="238"/>
      <c r="AQ270" s="255"/>
      <c r="AR270" s="255"/>
      <c r="AS270" s="256"/>
      <c r="AT270" s="256"/>
      <c r="AU270" s="256"/>
      <c r="AV270" s="256"/>
      <c r="AW270" s="256"/>
      <c r="AX270" s="256"/>
      <c r="AY270" s="256"/>
      <c r="AZ270" s="256"/>
      <c r="BA270" s="256"/>
      <c r="BB270" s="256"/>
      <c r="BC270" s="256"/>
      <c r="BD270" s="238"/>
      <c r="BE270" s="229" cm="1">
        <f t="array" ref="BE270">IF(ISBLANK(R270), INDEX(Use, $AH270, 4) - AM270*INDEX(Use, $AH270, 6), R270)</f>
        <v>5</v>
      </c>
      <c r="BF270" s="229">
        <f t="shared" si="434"/>
        <v>30</v>
      </c>
      <c r="BG270" s="229">
        <f t="shared" si="241"/>
        <v>13</v>
      </c>
      <c r="BH270" s="229">
        <f t="shared" si="242"/>
        <v>0</v>
      </c>
      <c r="BI270" s="234" cm="1">
        <f t="array" ref="BI270">K270/IF($L270&gt;0, INDEX($AU$23:$BA$77, $L270+20, $AH270), 1)</f>
        <v>0</v>
      </c>
      <c r="BJ270" s="230">
        <f t="shared" si="435"/>
        <v>0</v>
      </c>
      <c r="BK270" s="229">
        <v>35</v>
      </c>
      <c r="BL270" s="230">
        <f t="shared" si="436"/>
        <v>48</v>
      </c>
      <c r="BM270" s="235">
        <f t="shared" si="437"/>
        <v>2.9108720930232557</v>
      </c>
      <c r="BN270" s="235" cm="1">
        <f t="array" ref="BN270">$BI270 * SUMPRODUCT(INDEX($AR$77:$AT$82,,$AI270),INDEX($AU$77:$BA$82,,$AH270), N($AQ$77:$AQ$82&gt;$AO270)) / BM270 / 1000</f>
        <v>0</v>
      </c>
      <c r="BO270" s="232">
        <f t="shared" si="246"/>
        <v>30</v>
      </c>
      <c r="BP270" s="230">
        <f t="shared" si="438"/>
        <v>43</v>
      </c>
      <c r="BQ270" s="235">
        <f t="shared" si="439"/>
        <v>3.2938815789473681</v>
      </c>
      <c r="BR270" s="235" cm="1">
        <f t="array" ref="BR270">$BI270 * IF($AH270&lt;=2,
SUMPRODUCT(INDEX($AR$72:$AT$76,,$AI270), INDEX($AU$72:$BA$76,,$AH270), 1 / ($BB$72:$BB$76*BQ270 + (1-$BB$72:$BB$76)*BM270), N($AQ$72:$AQ$76&gt;$AO270)),
SUMPRODUCT(INDEX($AR$67:$AT$76,,$AI270), INDEX($AU$67:$BA$76,,$AH270), 1 / ($BC$67:$BC$76*BQ270 + (1-$BC$67:$BC$76)*BM270), N($AQ$67:$AQ$76&gt;$AO270))
) / 1000</f>
        <v>0</v>
      </c>
      <c r="BS270" s="232">
        <f t="shared" si="249"/>
        <v>25</v>
      </c>
      <c r="BT270" s="230">
        <f t="shared" si="440"/>
        <v>38</v>
      </c>
      <c r="BU270" s="235">
        <f t="shared" si="441"/>
        <v>3.792954545454545</v>
      </c>
      <c r="BV270" s="235" cm="1">
        <f t="array" ref="BV270">$BI270 * IF($AH270&lt;=2,
SUMPRODUCT(INDEX($AR$67:$AT$71,,$AI270), INDEX($AU$67:$BA$71,,$AH270), 1 / ($BB$67:$BB$71*BU270 + (1-$BB$67:$BB$71)*BQ270), N($AQ$67:$AQ$71&gt;$AO270)),
SUMPRODUCT(INDEX($AR$57:$AT$66,,$AI270), INDEX($AU$57:$BA$66,,$AH270), 1 / ($BC$57:$BC$66*BU270 + (1-$BC$57:$BC$66)*BQ270), N($AQ$57:$AQ$66&gt;$AO270))
) / 1000</f>
        <v>0</v>
      </c>
      <c r="BW270" s="232">
        <f t="shared" si="252"/>
        <v>20</v>
      </c>
      <c r="BX270" s="230">
        <f t="shared" si="442"/>
        <v>33</v>
      </c>
      <c r="BY270" s="235">
        <f t="shared" si="443"/>
        <v>4.4702678571428569</v>
      </c>
      <c r="BZ270" s="235" cm="1">
        <f t="array" ref="BZ270">$BI270 * IF($AH270&lt;=2,
SUMPRODUCT(INDEX($AR$62:$AT$66,,$AI270), INDEX($AU$62:$BA$66,,$AH270), 1 / ($BB$62:$BB$66*BY270 + (1-$BB$62:$BB$66)*BU270), N($AQ$62:$AQ$66&gt;$AO270)),
SUMPRODUCT(INDEX($AR$47:$AT$56,,$AI270), INDEX($AU$47:$BA$56,,$AH270), 1 / ($BC$47:$BC$56*BY270 + (1-$BC$47:$BC$56)*BU270), N($AQ$47:$AQ$56&gt;$AO270))
) / 1000</f>
        <v>0</v>
      </c>
      <c r="CA270" s="235" cm="1">
        <f t="array" ref="CA270">$BI270 * IF($AH270&lt;=2,
SUMPRODUCT(INDEX($AR$23:$AT$61,,$AI270), INDEX($AU$23:$BA$61,,$AH270), 1 / ($BB$23:$BB$61*BY270), N($AQ$23:$AQ$61&gt;$AO270)),
SUMPRODUCT(INDEX($AR$23:$AT$46,,$AI270), INDEX($AU$23:$BA$46,,$AH270), 1 / ($BC$23:$BC$46*BY270), N($AQ$23:$AQ$46&gt;$AO270))
) / 1000</f>
        <v>0</v>
      </c>
      <c r="CB270" s="230">
        <f t="shared" si="444"/>
        <v>0</v>
      </c>
      <c r="CC270" s="238"/>
      <c r="CD270" s="229" cm="1">
        <f t="array" ref="CD270">IF(ISBLANK(Y270), INDEX(Use, $AH270, 4) - AN270*INDEX(Use, $AH270, 6) - (Q270-X270), Y270)</f>
        <v>7</v>
      </c>
      <c r="CE270" s="229">
        <f t="shared" si="445"/>
        <v>32</v>
      </c>
      <c r="CF270" s="230">
        <f t="shared" si="446"/>
        <v>0</v>
      </c>
      <c r="CG270" s="229">
        <v>35</v>
      </c>
      <c r="CH270" s="230">
        <f t="shared" si="447"/>
        <v>48</v>
      </c>
      <c r="CI270" s="235">
        <f t="shared" si="448"/>
        <v>3.0748170731707316</v>
      </c>
      <c r="CJ270" s="235" cm="1">
        <f t="array" ref="CJ270">$BI270 * SUMPRODUCT(INDEX($AR$77:$AT$82,,$AI270),INDEX($AU$77:$BA$82,,$AH270), N($AQ$77:$AQ$82&gt;$AO270)) / CI270 / 1000</f>
        <v>0</v>
      </c>
      <c r="CK270" s="232">
        <f t="shared" si="260"/>
        <v>30</v>
      </c>
      <c r="CL270" s="230">
        <f t="shared" si="449"/>
        <v>43</v>
      </c>
      <c r="CM270" s="235">
        <f t="shared" si="450"/>
        <v>3.5018750000000001</v>
      </c>
      <c r="CN270" s="235" cm="1">
        <f t="array" ref="CN270">$BI270 * IF($AH270&lt;=2,
SUMPRODUCT(INDEX($AR$72:$AT$76,,$AI270), INDEX($AU$72:$BA$76,,$AH270), 1 / ($BB$72:$BB$76*CM270 + (1-$BB$72:$BB$76)*CI270), N($AQ$72:$AQ$76&gt;$AO270)),
SUMPRODUCT(INDEX($AR$67:$AT$76,,$AI270), INDEX($AU$67:$BA$76,,$AH270), 1 / ($BC$67:$BC$76*CM270 + (1-$BC$67:$BC$76)*CI270), N($AQ$67:$AQ$76&gt;$AO270))
) / 1000</f>
        <v>0</v>
      </c>
      <c r="CO270" s="232">
        <f t="shared" si="263"/>
        <v>25</v>
      </c>
      <c r="CP270" s="230">
        <f t="shared" si="451"/>
        <v>38</v>
      </c>
      <c r="CQ270" s="235">
        <f t="shared" si="452"/>
        <v>4.0666935483870965</v>
      </c>
      <c r="CR270" s="235" cm="1">
        <f t="array" ref="CR270">$BI270 * IF($AH270&lt;=2,
SUMPRODUCT(INDEX($AR$67:$AT$71,,$AI270), INDEX($AU$67:$BA$71,,$AH270), 1 / ($BB$67:$BB$71*CQ270 + (1-$BB$67:$BB$71)*CM270), N($AQ$67:$AQ$71&gt;$AO270)),
SUMPRODUCT(INDEX($AR$57:$AT$66,,$AI270), INDEX($AU$57:$BA$66,,$AH270), 1 / ($BC$57:$BC$66*CQ270 + (1-$BC$57:$BC$66)*CM270), N($AQ$57:$AQ$66&gt;$AO270))
) / 1000</f>
        <v>0</v>
      </c>
      <c r="CS270" s="232">
        <f t="shared" si="266"/>
        <v>20</v>
      </c>
      <c r="CT270" s="230">
        <f t="shared" si="453"/>
        <v>33</v>
      </c>
      <c r="CU270" s="235">
        <f t="shared" si="454"/>
        <v>4.8487499999999999</v>
      </c>
      <c r="CV270" s="235" cm="1">
        <f t="array" ref="CV270">$BI270 * IF($AH270&lt;=2,
SUMPRODUCT(INDEX($AR$62:$AT$66,,$AI270), INDEX($AU$62:$BA$66,,$AH270), 1 / ($BB$62:$BB$66*CU270 + (1-$BB$62:$BB$66)*CQ270), N($AQ$62:$AQ$66&gt;$AO270)),
SUMPRODUCT(INDEX($AR$47:$AT$56,,$AI270), INDEX($AU$47:$BA$56,,$AH270), 1 / ($BC$47:$BC$56*CU270 + (1-$BC$47:$BC$56)*CQ270), N($AQ$47:$AQ$56&gt;$AO270))
) / 1000</f>
        <v>0</v>
      </c>
      <c r="CW270" s="235" cm="1">
        <f t="array" ref="CW270">$BI270 * IF($AH270&lt;=2,
SUMPRODUCT(INDEX($AR$23:$AT$61,,$AI270), INDEX($AU$23:$BA$61,,$AH270), 1 / ($BB$23:$BB$61*CU270), N($AQ$23:$AQ$61&gt;$AO270)),
SUMPRODUCT(INDEX($AR$23:$AT$46,,$AI270), INDEX($AU$23:$BA$46,,$AH270), 1 / ($BC$23:$BC$46*CU270), N($AQ$23:$AQ$46&gt;$AO270))
) / 1000</f>
        <v>0</v>
      </c>
      <c r="CX270" s="230">
        <f t="shared" si="455"/>
        <v>0</v>
      </c>
      <c r="CY270" s="238"/>
    </row>
    <row r="271" spans="1:103" s="76" customFormat="1" ht="14.25" customHeight="1" x14ac:dyDescent="0.2">
      <c r="A271" s="231" t="b">
        <f t="shared" si="229"/>
        <v>0</v>
      </c>
      <c r="B271" s="245">
        <v>249</v>
      </c>
      <c r="C271" s="258"/>
      <c r="D271" s="258"/>
      <c r="E271" s="246"/>
      <c r="F271" s="247" t="str">
        <f>IF(ISBLANK(E271), "", VLOOKUP(E271, Z!$A$2:$C$4127, 3, FALSE))</f>
        <v/>
      </c>
      <c r="G271" s="248"/>
      <c r="H271" s="248"/>
      <c r="I271" s="249"/>
      <c r="J271" s="250"/>
      <c r="K271" s="259"/>
      <c r="L271" s="260"/>
      <c r="M271" s="252" t="str" cm="1">
        <f t="array" ref="M271">INDEX(Trad, 53, $A$20)</f>
        <v>Verschmutzt</v>
      </c>
      <c r="N271" s="253"/>
      <c r="O271" s="253"/>
      <c r="P271" s="254"/>
      <c r="Q271" s="251"/>
      <c r="R271" s="251"/>
      <c r="S271" s="264">
        <f t="shared" si="430"/>
        <v>0</v>
      </c>
      <c r="T271" s="252" t="str" cm="1">
        <f t="array" ref="T271">INDEX(Trad, 52, $A$20)</f>
        <v>Sauber</v>
      </c>
      <c r="U271" s="253"/>
      <c r="V271" s="253"/>
      <c r="W271" s="254"/>
      <c r="X271" s="251"/>
      <c r="Y271" s="251"/>
      <c r="Z271" s="264">
        <f t="shared" si="431"/>
        <v>0</v>
      </c>
      <c r="AA271" s="261"/>
      <c r="AB271" s="258"/>
      <c r="AC271" s="246"/>
      <c r="AD271" s="247" t="str">
        <f>IF(ISBLANK(AC271), "", VLOOKUP(AC271, Z!$A$2:$C$4127, 3, FALSE))</f>
        <v/>
      </c>
      <c r="AE271" s="262"/>
      <c r="AF271" s="263">
        <f t="shared" si="432"/>
        <v>0</v>
      </c>
      <c r="AG271" s="238"/>
      <c r="AH271" s="229">
        <f t="shared" si="456"/>
        <v>1</v>
      </c>
      <c r="AI271" s="229">
        <f t="shared" si="457"/>
        <v>1</v>
      </c>
      <c r="AJ271" s="229">
        <f t="shared" si="458"/>
        <v>0</v>
      </c>
      <c r="AK271" s="229">
        <v>0</v>
      </c>
      <c r="AL271" s="229">
        <v>0</v>
      </c>
      <c r="AM271" s="229">
        <v>1</v>
      </c>
      <c r="AN271" s="229">
        <v>0</v>
      </c>
      <c r="AO271" s="229">
        <f t="shared" si="433"/>
        <v>-100</v>
      </c>
      <c r="AP271" s="238"/>
      <c r="AQ271" s="255"/>
      <c r="AR271" s="255"/>
      <c r="AS271" s="256"/>
      <c r="AT271" s="256"/>
      <c r="AU271" s="256"/>
      <c r="AV271" s="256"/>
      <c r="AW271" s="256"/>
      <c r="AX271" s="256"/>
      <c r="AY271" s="256"/>
      <c r="AZ271" s="256"/>
      <c r="BA271" s="256"/>
      <c r="BB271" s="256"/>
      <c r="BC271" s="256"/>
      <c r="BD271" s="238"/>
      <c r="BE271" s="229" cm="1">
        <f t="array" ref="BE271">IF(ISBLANK(R271), INDEX(Use, $AH271, 4) - AM271*INDEX(Use, $AH271, 6), R271)</f>
        <v>5</v>
      </c>
      <c r="BF271" s="229">
        <f t="shared" si="434"/>
        <v>30</v>
      </c>
      <c r="BG271" s="229">
        <f t="shared" si="241"/>
        <v>13</v>
      </c>
      <c r="BH271" s="229">
        <f t="shared" si="242"/>
        <v>0</v>
      </c>
      <c r="BI271" s="234" cm="1">
        <f t="array" ref="BI271">K271/IF($L271&gt;0, INDEX($AU$23:$BA$77, $L271+20, $AH271), 1)</f>
        <v>0</v>
      </c>
      <c r="BJ271" s="230">
        <f t="shared" si="435"/>
        <v>0</v>
      </c>
      <c r="BK271" s="229">
        <v>35</v>
      </c>
      <c r="BL271" s="230">
        <f t="shared" si="436"/>
        <v>48</v>
      </c>
      <c r="BM271" s="235">
        <f t="shared" si="437"/>
        <v>2.9108720930232557</v>
      </c>
      <c r="BN271" s="235" cm="1">
        <f t="array" ref="BN271">$BI271 * SUMPRODUCT(INDEX($AR$77:$AT$82,,$AI271),INDEX($AU$77:$BA$82,,$AH271), N($AQ$77:$AQ$82&gt;$AO271)) / BM271 / 1000</f>
        <v>0</v>
      </c>
      <c r="BO271" s="232">
        <f t="shared" si="246"/>
        <v>30</v>
      </c>
      <c r="BP271" s="230">
        <f t="shared" si="438"/>
        <v>43</v>
      </c>
      <c r="BQ271" s="235">
        <f t="shared" si="439"/>
        <v>3.2938815789473681</v>
      </c>
      <c r="BR271" s="235" cm="1">
        <f t="array" ref="BR271">$BI271 * IF($AH271&lt;=2,
SUMPRODUCT(INDEX($AR$72:$AT$76,,$AI271), INDEX($AU$72:$BA$76,,$AH271), 1 / ($BB$72:$BB$76*BQ271 + (1-$BB$72:$BB$76)*BM271), N($AQ$72:$AQ$76&gt;$AO271)),
SUMPRODUCT(INDEX($AR$67:$AT$76,,$AI271), INDEX($AU$67:$BA$76,,$AH271), 1 / ($BC$67:$BC$76*BQ271 + (1-$BC$67:$BC$76)*BM271), N($AQ$67:$AQ$76&gt;$AO271))
) / 1000</f>
        <v>0</v>
      </c>
      <c r="BS271" s="232">
        <f t="shared" si="249"/>
        <v>25</v>
      </c>
      <c r="BT271" s="230">
        <f t="shared" si="440"/>
        <v>38</v>
      </c>
      <c r="BU271" s="235">
        <f t="shared" si="441"/>
        <v>3.792954545454545</v>
      </c>
      <c r="BV271" s="235" cm="1">
        <f t="array" ref="BV271">$BI271 * IF($AH271&lt;=2,
SUMPRODUCT(INDEX($AR$67:$AT$71,,$AI271), INDEX($AU$67:$BA$71,,$AH271), 1 / ($BB$67:$BB$71*BU271 + (1-$BB$67:$BB$71)*BQ271), N($AQ$67:$AQ$71&gt;$AO271)),
SUMPRODUCT(INDEX($AR$57:$AT$66,,$AI271), INDEX($AU$57:$BA$66,,$AH271), 1 / ($BC$57:$BC$66*BU271 + (1-$BC$57:$BC$66)*BQ271), N($AQ$57:$AQ$66&gt;$AO271))
) / 1000</f>
        <v>0</v>
      </c>
      <c r="BW271" s="232">
        <f t="shared" si="252"/>
        <v>20</v>
      </c>
      <c r="BX271" s="230">
        <f t="shared" si="442"/>
        <v>33</v>
      </c>
      <c r="BY271" s="235">
        <f t="shared" si="443"/>
        <v>4.4702678571428569</v>
      </c>
      <c r="BZ271" s="235" cm="1">
        <f t="array" ref="BZ271">$BI271 * IF($AH271&lt;=2,
SUMPRODUCT(INDEX($AR$62:$AT$66,,$AI271), INDEX($AU$62:$BA$66,,$AH271), 1 / ($BB$62:$BB$66*BY271 + (1-$BB$62:$BB$66)*BU271), N($AQ$62:$AQ$66&gt;$AO271)),
SUMPRODUCT(INDEX($AR$47:$AT$56,,$AI271), INDEX($AU$47:$BA$56,,$AH271), 1 / ($BC$47:$BC$56*BY271 + (1-$BC$47:$BC$56)*BU271), N($AQ$47:$AQ$56&gt;$AO271))
) / 1000</f>
        <v>0</v>
      </c>
      <c r="CA271" s="235" cm="1">
        <f t="array" ref="CA271">$BI271 * IF($AH271&lt;=2,
SUMPRODUCT(INDEX($AR$23:$AT$61,,$AI271), INDEX($AU$23:$BA$61,,$AH271), 1 / ($BB$23:$BB$61*BY271), N($AQ$23:$AQ$61&gt;$AO271)),
SUMPRODUCT(INDEX($AR$23:$AT$46,,$AI271), INDEX($AU$23:$BA$46,,$AH271), 1 / ($BC$23:$BC$46*BY271), N($AQ$23:$AQ$46&gt;$AO271))
) / 1000</f>
        <v>0</v>
      </c>
      <c r="CB271" s="230">
        <f t="shared" si="444"/>
        <v>0</v>
      </c>
      <c r="CC271" s="238"/>
      <c r="CD271" s="229" cm="1">
        <f t="array" ref="CD271">IF(ISBLANK(Y271), INDEX(Use, $AH271, 4) - AN271*INDEX(Use, $AH271, 6) - (Q271-X271), Y271)</f>
        <v>7</v>
      </c>
      <c r="CE271" s="229">
        <f t="shared" si="445"/>
        <v>32</v>
      </c>
      <c r="CF271" s="230">
        <f t="shared" si="446"/>
        <v>0</v>
      </c>
      <c r="CG271" s="229">
        <v>35</v>
      </c>
      <c r="CH271" s="230">
        <f t="shared" si="447"/>
        <v>48</v>
      </c>
      <c r="CI271" s="235">
        <f t="shared" si="448"/>
        <v>3.0748170731707316</v>
      </c>
      <c r="CJ271" s="235" cm="1">
        <f t="array" ref="CJ271">$BI271 * SUMPRODUCT(INDEX($AR$77:$AT$82,,$AI271),INDEX($AU$77:$BA$82,,$AH271), N($AQ$77:$AQ$82&gt;$AO271)) / CI271 / 1000</f>
        <v>0</v>
      </c>
      <c r="CK271" s="232">
        <f t="shared" si="260"/>
        <v>30</v>
      </c>
      <c r="CL271" s="230">
        <f t="shared" si="449"/>
        <v>43</v>
      </c>
      <c r="CM271" s="235">
        <f t="shared" si="450"/>
        <v>3.5018750000000001</v>
      </c>
      <c r="CN271" s="235" cm="1">
        <f t="array" ref="CN271">$BI271 * IF($AH271&lt;=2,
SUMPRODUCT(INDEX($AR$72:$AT$76,,$AI271), INDEX($AU$72:$BA$76,,$AH271), 1 / ($BB$72:$BB$76*CM271 + (1-$BB$72:$BB$76)*CI271), N($AQ$72:$AQ$76&gt;$AO271)),
SUMPRODUCT(INDEX($AR$67:$AT$76,,$AI271), INDEX($AU$67:$BA$76,,$AH271), 1 / ($BC$67:$BC$76*CM271 + (1-$BC$67:$BC$76)*CI271), N($AQ$67:$AQ$76&gt;$AO271))
) / 1000</f>
        <v>0</v>
      </c>
      <c r="CO271" s="232">
        <f t="shared" si="263"/>
        <v>25</v>
      </c>
      <c r="CP271" s="230">
        <f t="shared" si="451"/>
        <v>38</v>
      </c>
      <c r="CQ271" s="235">
        <f t="shared" si="452"/>
        <v>4.0666935483870965</v>
      </c>
      <c r="CR271" s="235" cm="1">
        <f t="array" ref="CR271">$BI271 * IF($AH271&lt;=2,
SUMPRODUCT(INDEX($AR$67:$AT$71,,$AI271), INDEX($AU$67:$BA$71,,$AH271), 1 / ($BB$67:$BB$71*CQ271 + (1-$BB$67:$BB$71)*CM271), N($AQ$67:$AQ$71&gt;$AO271)),
SUMPRODUCT(INDEX($AR$57:$AT$66,,$AI271), INDEX($AU$57:$BA$66,,$AH271), 1 / ($BC$57:$BC$66*CQ271 + (1-$BC$57:$BC$66)*CM271), N($AQ$57:$AQ$66&gt;$AO271))
) / 1000</f>
        <v>0</v>
      </c>
      <c r="CS271" s="232">
        <f t="shared" si="266"/>
        <v>20</v>
      </c>
      <c r="CT271" s="230">
        <f t="shared" si="453"/>
        <v>33</v>
      </c>
      <c r="CU271" s="235">
        <f t="shared" si="454"/>
        <v>4.8487499999999999</v>
      </c>
      <c r="CV271" s="235" cm="1">
        <f t="array" ref="CV271">$BI271 * IF($AH271&lt;=2,
SUMPRODUCT(INDEX($AR$62:$AT$66,,$AI271), INDEX($AU$62:$BA$66,,$AH271), 1 / ($BB$62:$BB$66*CU271 + (1-$BB$62:$BB$66)*CQ271), N($AQ$62:$AQ$66&gt;$AO271)),
SUMPRODUCT(INDEX($AR$47:$AT$56,,$AI271), INDEX($AU$47:$BA$56,,$AH271), 1 / ($BC$47:$BC$56*CU271 + (1-$BC$47:$BC$56)*CQ271), N($AQ$47:$AQ$56&gt;$AO271))
) / 1000</f>
        <v>0</v>
      </c>
      <c r="CW271" s="235" cm="1">
        <f t="array" ref="CW271">$BI271 * IF($AH271&lt;=2,
SUMPRODUCT(INDEX($AR$23:$AT$61,,$AI271), INDEX($AU$23:$BA$61,,$AH271), 1 / ($BB$23:$BB$61*CU271), N($AQ$23:$AQ$61&gt;$AO271)),
SUMPRODUCT(INDEX($AR$23:$AT$46,,$AI271), INDEX($AU$23:$BA$46,,$AH271), 1 / ($BC$23:$BC$46*CU271), N($AQ$23:$AQ$46&gt;$AO271))
) / 1000</f>
        <v>0</v>
      </c>
      <c r="CX271" s="230">
        <f t="shared" si="455"/>
        <v>0</v>
      </c>
      <c r="CY271" s="238"/>
    </row>
    <row r="272" spans="1:103" s="76" customFormat="1" ht="14.25" customHeight="1" x14ac:dyDescent="0.2">
      <c r="A272" s="231" t="b">
        <f t="shared" si="229"/>
        <v>0</v>
      </c>
      <c r="B272" s="245">
        <v>250</v>
      </c>
      <c r="C272" s="258"/>
      <c r="D272" s="258"/>
      <c r="E272" s="246"/>
      <c r="F272" s="247" t="str">
        <f>IF(ISBLANK(E272), "", VLOOKUP(E272, Z!$A$2:$C$4127, 3, FALSE))</f>
        <v/>
      </c>
      <c r="G272" s="248"/>
      <c r="H272" s="248"/>
      <c r="I272" s="249"/>
      <c r="J272" s="250"/>
      <c r="K272" s="259"/>
      <c r="L272" s="260"/>
      <c r="M272" s="252" t="str" cm="1">
        <f t="array" ref="M272">INDEX(Trad, 53, $A$20)</f>
        <v>Verschmutzt</v>
      </c>
      <c r="N272" s="253"/>
      <c r="O272" s="253"/>
      <c r="P272" s="254"/>
      <c r="Q272" s="251"/>
      <c r="R272" s="251"/>
      <c r="S272" s="264">
        <f t="shared" si="430"/>
        <v>0</v>
      </c>
      <c r="T272" s="252" t="str" cm="1">
        <f t="array" ref="T272">INDEX(Trad, 52, $A$20)</f>
        <v>Sauber</v>
      </c>
      <c r="U272" s="253"/>
      <c r="V272" s="253"/>
      <c r="W272" s="254"/>
      <c r="X272" s="251"/>
      <c r="Y272" s="251"/>
      <c r="Z272" s="264">
        <f t="shared" si="431"/>
        <v>0</v>
      </c>
      <c r="AA272" s="261"/>
      <c r="AB272" s="258"/>
      <c r="AC272" s="246"/>
      <c r="AD272" s="247" t="str">
        <f>IF(ISBLANK(AC272), "", VLOOKUP(AC272, Z!$A$2:$C$4127, 3, FALSE))</f>
        <v/>
      </c>
      <c r="AE272" s="262"/>
      <c r="AF272" s="263">
        <f t="shared" si="432"/>
        <v>0</v>
      </c>
      <c r="AG272" s="238"/>
      <c r="AH272" s="229">
        <f t="shared" si="456"/>
        <v>1</v>
      </c>
      <c r="AI272" s="229">
        <f t="shared" si="457"/>
        <v>1</v>
      </c>
      <c r="AJ272" s="229">
        <f t="shared" si="458"/>
        <v>0</v>
      </c>
      <c r="AK272" s="229">
        <v>0</v>
      </c>
      <c r="AL272" s="229">
        <v>0</v>
      </c>
      <c r="AM272" s="229">
        <v>1</v>
      </c>
      <c r="AN272" s="229">
        <v>0</v>
      </c>
      <c r="AO272" s="229">
        <f t="shared" si="433"/>
        <v>-100</v>
      </c>
      <c r="AP272" s="238"/>
      <c r="AQ272" s="255"/>
      <c r="AR272" s="255"/>
      <c r="AS272" s="256"/>
      <c r="AT272" s="256"/>
      <c r="AU272" s="256"/>
      <c r="AV272" s="256"/>
      <c r="AW272" s="256"/>
      <c r="AX272" s="256"/>
      <c r="AY272" s="256"/>
      <c r="AZ272" s="256"/>
      <c r="BA272" s="256"/>
      <c r="BB272" s="256"/>
      <c r="BC272" s="256"/>
      <c r="BD272" s="238"/>
      <c r="BE272" s="229" cm="1">
        <f t="array" ref="BE272">IF(ISBLANK(R272), INDEX(Use, $AH272, 4) - AM272*INDEX(Use, $AH272, 6), R272)</f>
        <v>5</v>
      </c>
      <c r="BF272" s="229">
        <f t="shared" si="434"/>
        <v>30</v>
      </c>
      <c r="BG272" s="229">
        <f t="shared" si="241"/>
        <v>13</v>
      </c>
      <c r="BH272" s="229">
        <f t="shared" si="242"/>
        <v>0</v>
      </c>
      <c r="BI272" s="234" cm="1">
        <f t="array" ref="BI272">K272/IF($L272&gt;0, INDEX($AU$23:$BA$77, $L272+20, $AH272), 1)</f>
        <v>0</v>
      </c>
      <c r="BJ272" s="230">
        <f t="shared" si="435"/>
        <v>0</v>
      </c>
      <c r="BK272" s="229">
        <v>35</v>
      </c>
      <c r="BL272" s="230">
        <f t="shared" si="436"/>
        <v>48</v>
      </c>
      <c r="BM272" s="235">
        <f t="shared" si="437"/>
        <v>2.9108720930232557</v>
      </c>
      <c r="BN272" s="235" cm="1">
        <f t="array" ref="BN272">$BI272 * SUMPRODUCT(INDEX($AR$77:$AT$82,,$AI272),INDEX($AU$77:$BA$82,,$AH272), N($AQ$77:$AQ$82&gt;$AO272)) / BM272 / 1000</f>
        <v>0</v>
      </c>
      <c r="BO272" s="232">
        <f t="shared" si="246"/>
        <v>30</v>
      </c>
      <c r="BP272" s="230">
        <f t="shared" si="438"/>
        <v>43</v>
      </c>
      <c r="BQ272" s="235">
        <f t="shared" si="439"/>
        <v>3.2938815789473681</v>
      </c>
      <c r="BR272" s="235" cm="1">
        <f t="array" ref="BR272">$BI272 * IF($AH272&lt;=2,
SUMPRODUCT(INDEX($AR$72:$AT$76,,$AI272), INDEX($AU$72:$BA$76,,$AH272), 1 / ($BB$72:$BB$76*BQ272 + (1-$BB$72:$BB$76)*BM272), N($AQ$72:$AQ$76&gt;$AO272)),
SUMPRODUCT(INDEX($AR$67:$AT$76,,$AI272), INDEX($AU$67:$BA$76,,$AH272), 1 / ($BC$67:$BC$76*BQ272 + (1-$BC$67:$BC$76)*BM272), N($AQ$67:$AQ$76&gt;$AO272))
) / 1000</f>
        <v>0</v>
      </c>
      <c r="BS272" s="232">
        <f t="shared" si="249"/>
        <v>25</v>
      </c>
      <c r="BT272" s="230">
        <f t="shared" si="440"/>
        <v>38</v>
      </c>
      <c r="BU272" s="235">
        <f t="shared" si="441"/>
        <v>3.792954545454545</v>
      </c>
      <c r="BV272" s="235" cm="1">
        <f t="array" ref="BV272">$BI272 * IF($AH272&lt;=2,
SUMPRODUCT(INDEX($AR$67:$AT$71,,$AI272), INDEX($AU$67:$BA$71,,$AH272), 1 / ($BB$67:$BB$71*BU272 + (1-$BB$67:$BB$71)*BQ272), N($AQ$67:$AQ$71&gt;$AO272)),
SUMPRODUCT(INDEX($AR$57:$AT$66,,$AI272), INDEX($AU$57:$BA$66,,$AH272), 1 / ($BC$57:$BC$66*BU272 + (1-$BC$57:$BC$66)*BQ272), N($AQ$57:$AQ$66&gt;$AO272))
) / 1000</f>
        <v>0</v>
      </c>
      <c r="BW272" s="232">
        <f t="shared" si="252"/>
        <v>20</v>
      </c>
      <c r="BX272" s="230">
        <f t="shared" si="442"/>
        <v>33</v>
      </c>
      <c r="BY272" s="235">
        <f t="shared" si="443"/>
        <v>4.4702678571428569</v>
      </c>
      <c r="BZ272" s="235" cm="1">
        <f t="array" ref="BZ272">$BI272 * IF($AH272&lt;=2,
SUMPRODUCT(INDEX($AR$62:$AT$66,,$AI272), INDEX($AU$62:$BA$66,,$AH272), 1 / ($BB$62:$BB$66*BY272 + (1-$BB$62:$BB$66)*BU272), N($AQ$62:$AQ$66&gt;$AO272)),
SUMPRODUCT(INDEX($AR$47:$AT$56,,$AI272), INDEX($AU$47:$BA$56,,$AH272), 1 / ($BC$47:$BC$56*BY272 + (1-$BC$47:$BC$56)*BU272), N($AQ$47:$AQ$56&gt;$AO272))
) / 1000</f>
        <v>0</v>
      </c>
      <c r="CA272" s="235" cm="1">
        <f t="array" ref="CA272">$BI272 * IF($AH272&lt;=2,
SUMPRODUCT(INDEX($AR$23:$AT$61,,$AI272), INDEX($AU$23:$BA$61,,$AH272), 1 / ($BB$23:$BB$61*BY272), N($AQ$23:$AQ$61&gt;$AO272)),
SUMPRODUCT(INDEX($AR$23:$AT$46,,$AI272), INDEX($AU$23:$BA$46,,$AH272), 1 / ($BC$23:$BC$46*BY272), N($AQ$23:$AQ$46&gt;$AO272))
) / 1000</f>
        <v>0</v>
      </c>
      <c r="CB272" s="230">
        <f t="shared" si="444"/>
        <v>0</v>
      </c>
      <c r="CC272" s="238"/>
      <c r="CD272" s="229" cm="1">
        <f t="array" ref="CD272">IF(ISBLANK(Y272), INDEX(Use, $AH272, 4) - AN272*INDEX(Use, $AH272, 6) - (Q272-X272), Y272)</f>
        <v>7</v>
      </c>
      <c r="CE272" s="229">
        <f t="shared" si="445"/>
        <v>32</v>
      </c>
      <c r="CF272" s="230">
        <f t="shared" si="446"/>
        <v>0</v>
      </c>
      <c r="CG272" s="229">
        <v>35</v>
      </c>
      <c r="CH272" s="230">
        <f t="shared" si="447"/>
        <v>48</v>
      </c>
      <c r="CI272" s="235">
        <f t="shared" si="448"/>
        <v>3.0748170731707316</v>
      </c>
      <c r="CJ272" s="235" cm="1">
        <f t="array" ref="CJ272">$BI272 * SUMPRODUCT(INDEX($AR$77:$AT$82,,$AI272),INDEX($AU$77:$BA$82,,$AH272), N($AQ$77:$AQ$82&gt;$AO272)) / CI272 / 1000</f>
        <v>0</v>
      </c>
      <c r="CK272" s="232">
        <f t="shared" si="260"/>
        <v>30</v>
      </c>
      <c r="CL272" s="230">
        <f t="shared" si="449"/>
        <v>43</v>
      </c>
      <c r="CM272" s="235">
        <f t="shared" si="450"/>
        <v>3.5018750000000001</v>
      </c>
      <c r="CN272" s="235" cm="1">
        <f t="array" ref="CN272">$BI272 * IF($AH272&lt;=2,
SUMPRODUCT(INDEX($AR$72:$AT$76,,$AI272), INDEX($AU$72:$BA$76,,$AH272), 1 / ($BB$72:$BB$76*CM272 + (1-$BB$72:$BB$76)*CI272), N($AQ$72:$AQ$76&gt;$AO272)),
SUMPRODUCT(INDEX($AR$67:$AT$76,,$AI272), INDEX($AU$67:$BA$76,,$AH272), 1 / ($BC$67:$BC$76*CM272 + (1-$BC$67:$BC$76)*CI272), N($AQ$67:$AQ$76&gt;$AO272))
) / 1000</f>
        <v>0</v>
      </c>
      <c r="CO272" s="232">
        <f t="shared" si="263"/>
        <v>25</v>
      </c>
      <c r="CP272" s="230">
        <f t="shared" si="451"/>
        <v>38</v>
      </c>
      <c r="CQ272" s="235">
        <f t="shared" si="452"/>
        <v>4.0666935483870965</v>
      </c>
      <c r="CR272" s="235" cm="1">
        <f t="array" ref="CR272">$BI272 * IF($AH272&lt;=2,
SUMPRODUCT(INDEX($AR$67:$AT$71,,$AI272), INDEX($AU$67:$BA$71,,$AH272), 1 / ($BB$67:$BB$71*CQ272 + (1-$BB$67:$BB$71)*CM272), N($AQ$67:$AQ$71&gt;$AO272)),
SUMPRODUCT(INDEX($AR$57:$AT$66,,$AI272), INDEX($AU$57:$BA$66,,$AH272), 1 / ($BC$57:$BC$66*CQ272 + (1-$BC$57:$BC$66)*CM272), N($AQ$57:$AQ$66&gt;$AO272))
) / 1000</f>
        <v>0</v>
      </c>
      <c r="CS272" s="232">
        <f t="shared" si="266"/>
        <v>20</v>
      </c>
      <c r="CT272" s="230">
        <f t="shared" si="453"/>
        <v>33</v>
      </c>
      <c r="CU272" s="235">
        <f t="shared" si="454"/>
        <v>4.8487499999999999</v>
      </c>
      <c r="CV272" s="235" cm="1">
        <f t="array" ref="CV272">$BI272 * IF($AH272&lt;=2,
SUMPRODUCT(INDEX($AR$62:$AT$66,,$AI272), INDEX($AU$62:$BA$66,,$AH272), 1 / ($BB$62:$BB$66*CU272 + (1-$BB$62:$BB$66)*CQ272), N($AQ$62:$AQ$66&gt;$AO272)),
SUMPRODUCT(INDEX($AR$47:$AT$56,,$AI272), INDEX($AU$47:$BA$56,,$AH272), 1 / ($BC$47:$BC$56*CU272 + (1-$BC$47:$BC$56)*CQ272), N($AQ$47:$AQ$56&gt;$AO272))
) / 1000</f>
        <v>0</v>
      </c>
      <c r="CW272" s="235" cm="1">
        <f t="array" ref="CW272">$BI272 * IF($AH272&lt;=2,
SUMPRODUCT(INDEX($AR$23:$AT$61,,$AI272), INDEX($AU$23:$BA$61,,$AH272), 1 / ($BB$23:$BB$61*CU272), N($AQ$23:$AQ$61&gt;$AO272)),
SUMPRODUCT(INDEX($AR$23:$AT$46,,$AI272), INDEX($AU$23:$BA$46,,$AH272), 1 / ($BC$23:$BC$46*CU272), N($AQ$23:$AQ$46&gt;$AO272))
) / 1000</f>
        <v>0</v>
      </c>
      <c r="CX272" s="230">
        <f t="shared" si="455"/>
        <v>0</v>
      </c>
      <c r="CY272" s="238"/>
    </row>
    <row r="273" spans="1:103" s="76" customFormat="1" ht="14.25" customHeight="1" x14ac:dyDescent="0.2">
      <c r="A273" s="231" t="b">
        <f t="shared" si="229"/>
        <v>0</v>
      </c>
      <c r="B273" s="245">
        <v>251</v>
      </c>
      <c r="C273" s="258"/>
      <c r="D273" s="258"/>
      <c r="E273" s="246"/>
      <c r="F273" s="247" t="str">
        <f>IF(ISBLANK(E273), "", VLOOKUP(E273, Z!$A$2:$C$4127, 3, FALSE))</f>
        <v/>
      </c>
      <c r="G273" s="248"/>
      <c r="H273" s="248"/>
      <c r="I273" s="249"/>
      <c r="J273" s="250"/>
      <c r="K273" s="259"/>
      <c r="L273" s="260"/>
      <c r="M273" s="252" t="str" cm="1">
        <f t="array" ref="M273">INDEX(Trad, 53, $A$20)</f>
        <v>Verschmutzt</v>
      </c>
      <c r="N273" s="253"/>
      <c r="O273" s="253"/>
      <c r="P273" s="254"/>
      <c r="Q273" s="251"/>
      <c r="R273" s="251"/>
      <c r="S273" s="264">
        <f t="shared" si="430"/>
        <v>0</v>
      </c>
      <c r="T273" s="252" t="str" cm="1">
        <f t="array" ref="T273">INDEX(Trad, 52, $A$20)</f>
        <v>Sauber</v>
      </c>
      <c r="U273" s="253"/>
      <c r="V273" s="253"/>
      <c r="W273" s="254"/>
      <c r="X273" s="251"/>
      <c r="Y273" s="251"/>
      <c r="Z273" s="264">
        <f t="shared" si="431"/>
        <v>0</v>
      </c>
      <c r="AA273" s="261"/>
      <c r="AB273" s="258"/>
      <c r="AC273" s="246"/>
      <c r="AD273" s="247" t="str">
        <f>IF(ISBLANK(AC273), "", VLOOKUP(AC273, Z!$A$2:$C$4127, 3, FALSE))</f>
        <v/>
      </c>
      <c r="AE273" s="262"/>
      <c r="AF273" s="263">
        <f t="shared" si="432"/>
        <v>0</v>
      </c>
      <c r="AG273" s="238"/>
      <c r="AH273" s="229">
        <f t="shared" si="456"/>
        <v>1</v>
      </c>
      <c r="AI273" s="229">
        <f t="shared" si="457"/>
        <v>1</v>
      </c>
      <c r="AJ273" s="229">
        <f t="shared" si="458"/>
        <v>0</v>
      </c>
      <c r="AK273" s="229">
        <v>0</v>
      </c>
      <c r="AL273" s="229">
        <v>0</v>
      </c>
      <c r="AM273" s="229">
        <v>1</v>
      </c>
      <c r="AN273" s="229">
        <v>0</v>
      </c>
      <c r="AO273" s="229">
        <f t="shared" si="433"/>
        <v>-100</v>
      </c>
      <c r="AP273" s="238"/>
      <c r="AQ273" s="255"/>
      <c r="AR273" s="255"/>
      <c r="AS273" s="256"/>
      <c r="AT273" s="256"/>
      <c r="AU273" s="256"/>
      <c r="AV273" s="256"/>
      <c r="AW273" s="256"/>
      <c r="AX273" s="256"/>
      <c r="AY273" s="256"/>
      <c r="AZ273" s="256"/>
      <c r="BA273" s="256"/>
      <c r="BB273" s="256"/>
      <c r="BC273" s="256"/>
      <c r="BD273" s="238"/>
      <c r="BE273" s="229" cm="1">
        <f t="array" ref="BE273">IF(ISBLANK(R273), INDEX(Use, $AH273, 4) - AM273*INDEX(Use, $AH273, 6), R273)</f>
        <v>5</v>
      </c>
      <c r="BF273" s="229">
        <f t="shared" si="434"/>
        <v>30</v>
      </c>
      <c r="BG273" s="229">
        <f t="shared" si="241"/>
        <v>13</v>
      </c>
      <c r="BH273" s="229">
        <f t="shared" si="242"/>
        <v>0</v>
      </c>
      <c r="BI273" s="234" cm="1">
        <f t="array" ref="BI273">K273/IF($L273&gt;0, INDEX($AU$23:$BA$77, $L273+20, $AH273), 1)</f>
        <v>0</v>
      </c>
      <c r="BJ273" s="230">
        <f t="shared" si="435"/>
        <v>0</v>
      </c>
      <c r="BK273" s="229">
        <v>35</v>
      </c>
      <c r="BL273" s="230">
        <f t="shared" si="436"/>
        <v>48</v>
      </c>
      <c r="BM273" s="235">
        <f t="shared" si="437"/>
        <v>2.9108720930232557</v>
      </c>
      <c r="BN273" s="235" cm="1">
        <f t="array" ref="BN273">$BI273 * SUMPRODUCT(INDEX($AR$77:$AT$82,,$AI273),INDEX($AU$77:$BA$82,,$AH273), N($AQ$77:$AQ$82&gt;$AO273)) / BM273 / 1000</f>
        <v>0</v>
      </c>
      <c r="BO273" s="232">
        <f t="shared" si="246"/>
        <v>30</v>
      </c>
      <c r="BP273" s="230">
        <f t="shared" si="438"/>
        <v>43</v>
      </c>
      <c r="BQ273" s="235">
        <f t="shared" si="439"/>
        <v>3.2938815789473681</v>
      </c>
      <c r="BR273" s="235" cm="1">
        <f t="array" ref="BR273">$BI273 * IF($AH273&lt;=2,
SUMPRODUCT(INDEX($AR$72:$AT$76,,$AI273), INDEX($AU$72:$BA$76,,$AH273), 1 / ($BB$72:$BB$76*BQ273 + (1-$BB$72:$BB$76)*BM273), N($AQ$72:$AQ$76&gt;$AO273)),
SUMPRODUCT(INDEX($AR$67:$AT$76,,$AI273), INDEX($AU$67:$BA$76,,$AH273), 1 / ($BC$67:$BC$76*BQ273 + (1-$BC$67:$BC$76)*BM273), N($AQ$67:$AQ$76&gt;$AO273))
) / 1000</f>
        <v>0</v>
      </c>
      <c r="BS273" s="232">
        <f t="shared" si="249"/>
        <v>25</v>
      </c>
      <c r="BT273" s="230">
        <f t="shared" si="440"/>
        <v>38</v>
      </c>
      <c r="BU273" s="235">
        <f t="shared" si="441"/>
        <v>3.792954545454545</v>
      </c>
      <c r="BV273" s="235" cm="1">
        <f t="array" ref="BV273">$BI273 * IF($AH273&lt;=2,
SUMPRODUCT(INDEX($AR$67:$AT$71,,$AI273), INDEX($AU$67:$BA$71,,$AH273), 1 / ($BB$67:$BB$71*BU273 + (1-$BB$67:$BB$71)*BQ273), N($AQ$67:$AQ$71&gt;$AO273)),
SUMPRODUCT(INDEX($AR$57:$AT$66,,$AI273), INDEX($AU$57:$BA$66,,$AH273), 1 / ($BC$57:$BC$66*BU273 + (1-$BC$57:$BC$66)*BQ273), N($AQ$57:$AQ$66&gt;$AO273))
) / 1000</f>
        <v>0</v>
      </c>
      <c r="BW273" s="232">
        <f t="shared" si="252"/>
        <v>20</v>
      </c>
      <c r="BX273" s="230">
        <f t="shared" si="442"/>
        <v>33</v>
      </c>
      <c r="BY273" s="235">
        <f t="shared" si="443"/>
        <v>4.4702678571428569</v>
      </c>
      <c r="BZ273" s="235" cm="1">
        <f t="array" ref="BZ273">$BI273 * IF($AH273&lt;=2,
SUMPRODUCT(INDEX($AR$62:$AT$66,,$AI273), INDEX($AU$62:$BA$66,,$AH273), 1 / ($BB$62:$BB$66*BY273 + (1-$BB$62:$BB$66)*BU273), N($AQ$62:$AQ$66&gt;$AO273)),
SUMPRODUCT(INDEX($AR$47:$AT$56,,$AI273), INDEX($AU$47:$BA$56,,$AH273), 1 / ($BC$47:$BC$56*BY273 + (1-$BC$47:$BC$56)*BU273), N($AQ$47:$AQ$56&gt;$AO273))
) / 1000</f>
        <v>0</v>
      </c>
      <c r="CA273" s="235" cm="1">
        <f t="array" ref="CA273">$BI273 * IF($AH273&lt;=2,
SUMPRODUCT(INDEX($AR$23:$AT$61,,$AI273), INDEX($AU$23:$BA$61,,$AH273), 1 / ($BB$23:$BB$61*BY273), N($AQ$23:$AQ$61&gt;$AO273)),
SUMPRODUCT(INDEX($AR$23:$AT$46,,$AI273), INDEX($AU$23:$BA$46,,$AH273), 1 / ($BC$23:$BC$46*BY273), N($AQ$23:$AQ$46&gt;$AO273))
) / 1000</f>
        <v>0</v>
      </c>
      <c r="CB273" s="230">
        <f t="shared" si="444"/>
        <v>0</v>
      </c>
      <c r="CC273" s="238"/>
      <c r="CD273" s="229" cm="1">
        <f t="array" ref="CD273">IF(ISBLANK(Y273), INDEX(Use, $AH273, 4) - AN273*INDEX(Use, $AH273, 6) - (Q273-X273), Y273)</f>
        <v>7</v>
      </c>
      <c r="CE273" s="229">
        <f t="shared" si="445"/>
        <v>32</v>
      </c>
      <c r="CF273" s="230">
        <f t="shared" si="446"/>
        <v>0</v>
      </c>
      <c r="CG273" s="229">
        <v>35</v>
      </c>
      <c r="CH273" s="230">
        <f t="shared" si="447"/>
        <v>48</v>
      </c>
      <c r="CI273" s="235">
        <f t="shared" si="448"/>
        <v>3.0748170731707316</v>
      </c>
      <c r="CJ273" s="235" cm="1">
        <f t="array" ref="CJ273">$BI273 * SUMPRODUCT(INDEX($AR$77:$AT$82,,$AI273),INDEX($AU$77:$BA$82,,$AH273), N($AQ$77:$AQ$82&gt;$AO273)) / CI273 / 1000</f>
        <v>0</v>
      </c>
      <c r="CK273" s="232">
        <f t="shared" si="260"/>
        <v>30</v>
      </c>
      <c r="CL273" s="230">
        <f t="shared" si="449"/>
        <v>43</v>
      </c>
      <c r="CM273" s="235">
        <f t="shared" si="450"/>
        <v>3.5018750000000001</v>
      </c>
      <c r="CN273" s="235" cm="1">
        <f t="array" ref="CN273">$BI273 * IF($AH273&lt;=2,
SUMPRODUCT(INDEX($AR$72:$AT$76,,$AI273), INDEX($AU$72:$BA$76,,$AH273), 1 / ($BB$72:$BB$76*CM273 + (1-$BB$72:$BB$76)*CI273), N($AQ$72:$AQ$76&gt;$AO273)),
SUMPRODUCT(INDEX($AR$67:$AT$76,,$AI273), INDEX($AU$67:$BA$76,,$AH273), 1 / ($BC$67:$BC$76*CM273 + (1-$BC$67:$BC$76)*CI273), N($AQ$67:$AQ$76&gt;$AO273))
) / 1000</f>
        <v>0</v>
      </c>
      <c r="CO273" s="232">
        <f t="shared" si="263"/>
        <v>25</v>
      </c>
      <c r="CP273" s="230">
        <f t="shared" si="451"/>
        <v>38</v>
      </c>
      <c r="CQ273" s="235">
        <f t="shared" si="452"/>
        <v>4.0666935483870965</v>
      </c>
      <c r="CR273" s="235" cm="1">
        <f t="array" ref="CR273">$BI273 * IF($AH273&lt;=2,
SUMPRODUCT(INDEX($AR$67:$AT$71,,$AI273), INDEX($AU$67:$BA$71,,$AH273), 1 / ($BB$67:$BB$71*CQ273 + (1-$BB$67:$BB$71)*CM273), N($AQ$67:$AQ$71&gt;$AO273)),
SUMPRODUCT(INDEX($AR$57:$AT$66,,$AI273), INDEX($AU$57:$BA$66,,$AH273), 1 / ($BC$57:$BC$66*CQ273 + (1-$BC$57:$BC$66)*CM273), N($AQ$57:$AQ$66&gt;$AO273))
) / 1000</f>
        <v>0</v>
      </c>
      <c r="CS273" s="232">
        <f t="shared" si="266"/>
        <v>20</v>
      </c>
      <c r="CT273" s="230">
        <f t="shared" si="453"/>
        <v>33</v>
      </c>
      <c r="CU273" s="235">
        <f t="shared" si="454"/>
        <v>4.8487499999999999</v>
      </c>
      <c r="CV273" s="235" cm="1">
        <f t="array" ref="CV273">$BI273 * IF($AH273&lt;=2,
SUMPRODUCT(INDEX($AR$62:$AT$66,,$AI273), INDEX($AU$62:$BA$66,,$AH273), 1 / ($BB$62:$BB$66*CU273 + (1-$BB$62:$BB$66)*CQ273), N($AQ$62:$AQ$66&gt;$AO273)),
SUMPRODUCT(INDEX($AR$47:$AT$56,,$AI273), INDEX($AU$47:$BA$56,,$AH273), 1 / ($BC$47:$BC$56*CU273 + (1-$BC$47:$BC$56)*CQ273), N($AQ$47:$AQ$56&gt;$AO273))
) / 1000</f>
        <v>0</v>
      </c>
      <c r="CW273" s="235" cm="1">
        <f t="array" ref="CW273">$BI273 * IF($AH273&lt;=2,
SUMPRODUCT(INDEX($AR$23:$AT$61,,$AI273), INDEX($AU$23:$BA$61,,$AH273), 1 / ($BB$23:$BB$61*CU273), N($AQ$23:$AQ$61&gt;$AO273)),
SUMPRODUCT(INDEX($AR$23:$AT$46,,$AI273), INDEX($AU$23:$BA$46,,$AH273), 1 / ($BC$23:$BC$46*CU273), N($AQ$23:$AQ$46&gt;$AO273))
) / 1000</f>
        <v>0</v>
      </c>
      <c r="CX273" s="230">
        <f t="shared" si="455"/>
        <v>0</v>
      </c>
      <c r="CY273" s="238"/>
    </row>
    <row r="274" spans="1:103" s="76" customFormat="1" ht="14.25" customHeight="1" x14ac:dyDescent="0.2">
      <c r="A274" s="231" t="b">
        <f t="shared" si="229"/>
        <v>0</v>
      </c>
      <c r="B274" s="245">
        <v>252</v>
      </c>
      <c r="C274" s="258"/>
      <c r="D274" s="258"/>
      <c r="E274" s="246"/>
      <c r="F274" s="247" t="str">
        <f>IF(ISBLANK(E274), "", VLOOKUP(E274, Z!$A$2:$C$4127, 3, FALSE))</f>
        <v/>
      </c>
      <c r="G274" s="248"/>
      <c r="H274" s="248"/>
      <c r="I274" s="249"/>
      <c r="J274" s="250"/>
      <c r="K274" s="259"/>
      <c r="L274" s="260"/>
      <c r="M274" s="252" t="str" cm="1">
        <f t="array" ref="M274">INDEX(Trad, 53, $A$20)</f>
        <v>Verschmutzt</v>
      </c>
      <c r="N274" s="253"/>
      <c r="O274" s="253"/>
      <c r="P274" s="254"/>
      <c r="Q274" s="251"/>
      <c r="R274" s="251"/>
      <c r="S274" s="264">
        <f t="shared" si="430"/>
        <v>0</v>
      </c>
      <c r="T274" s="252" t="str" cm="1">
        <f t="array" ref="T274">INDEX(Trad, 52, $A$20)</f>
        <v>Sauber</v>
      </c>
      <c r="U274" s="253"/>
      <c r="V274" s="253"/>
      <c r="W274" s="254"/>
      <c r="X274" s="251"/>
      <c r="Y274" s="251"/>
      <c r="Z274" s="264">
        <f t="shared" si="431"/>
        <v>0</v>
      </c>
      <c r="AA274" s="261"/>
      <c r="AB274" s="258"/>
      <c r="AC274" s="246"/>
      <c r="AD274" s="247" t="str">
        <f>IF(ISBLANK(AC274), "", VLOOKUP(AC274, Z!$A$2:$C$4127, 3, FALSE))</f>
        <v/>
      </c>
      <c r="AE274" s="262"/>
      <c r="AF274" s="263">
        <f t="shared" si="432"/>
        <v>0</v>
      </c>
      <c r="AG274" s="238"/>
      <c r="AH274" s="229">
        <f t="shared" si="456"/>
        <v>1</v>
      </c>
      <c r="AI274" s="229">
        <f t="shared" si="457"/>
        <v>1</v>
      </c>
      <c r="AJ274" s="229">
        <f t="shared" si="458"/>
        <v>0</v>
      </c>
      <c r="AK274" s="229">
        <v>0</v>
      </c>
      <c r="AL274" s="229">
        <v>0</v>
      </c>
      <c r="AM274" s="229">
        <v>1</v>
      </c>
      <c r="AN274" s="229">
        <v>0</v>
      </c>
      <c r="AO274" s="229">
        <f t="shared" si="433"/>
        <v>-100</v>
      </c>
      <c r="AP274" s="238"/>
      <c r="AQ274" s="255"/>
      <c r="AR274" s="255"/>
      <c r="AS274" s="256"/>
      <c r="AT274" s="256"/>
      <c r="AU274" s="256"/>
      <c r="AV274" s="256"/>
      <c r="AW274" s="256"/>
      <c r="AX274" s="256"/>
      <c r="AY274" s="256"/>
      <c r="AZ274" s="256"/>
      <c r="BA274" s="256"/>
      <c r="BB274" s="256"/>
      <c r="BC274" s="256"/>
      <c r="BD274" s="238"/>
      <c r="BE274" s="229" cm="1">
        <f t="array" ref="BE274">IF(ISBLANK(R274), INDEX(Use, $AH274, 4) - AM274*INDEX(Use, $AH274, 6), R274)</f>
        <v>5</v>
      </c>
      <c r="BF274" s="229">
        <f t="shared" si="434"/>
        <v>30</v>
      </c>
      <c r="BG274" s="229">
        <f t="shared" si="241"/>
        <v>13</v>
      </c>
      <c r="BH274" s="229">
        <f t="shared" si="242"/>
        <v>0</v>
      </c>
      <c r="BI274" s="234" cm="1">
        <f t="array" ref="BI274">K274/IF($L274&gt;0, INDEX($AU$23:$BA$77, $L274+20, $AH274), 1)</f>
        <v>0</v>
      </c>
      <c r="BJ274" s="230">
        <f t="shared" si="435"/>
        <v>0</v>
      </c>
      <c r="BK274" s="229">
        <v>35</v>
      </c>
      <c r="BL274" s="230">
        <f t="shared" si="436"/>
        <v>48</v>
      </c>
      <c r="BM274" s="235">
        <f t="shared" si="437"/>
        <v>2.9108720930232557</v>
      </c>
      <c r="BN274" s="235" cm="1">
        <f t="array" ref="BN274">$BI274 * SUMPRODUCT(INDEX($AR$77:$AT$82,,$AI274),INDEX($AU$77:$BA$82,,$AH274), N($AQ$77:$AQ$82&gt;$AO274)) / BM274 / 1000</f>
        <v>0</v>
      </c>
      <c r="BO274" s="232">
        <f t="shared" si="246"/>
        <v>30</v>
      </c>
      <c r="BP274" s="230">
        <f t="shared" si="438"/>
        <v>43</v>
      </c>
      <c r="BQ274" s="235">
        <f t="shared" si="439"/>
        <v>3.2938815789473681</v>
      </c>
      <c r="BR274" s="235" cm="1">
        <f t="array" ref="BR274">$BI274 * IF($AH274&lt;=2,
SUMPRODUCT(INDEX($AR$72:$AT$76,,$AI274), INDEX($AU$72:$BA$76,,$AH274), 1 / ($BB$72:$BB$76*BQ274 + (1-$BB$72:$BB$76)*BM274), N($AQ$72:$AQ$76&gt;$AO274)),
SUMPRODUCT(INDEX($AR$67:$AT$76,,$AI274), INDEX($AU$67:$BA$76,,$AH274), 1 / ($BC$67:$BC$76*BQ274 + (1-$BC$67:$BC$76)*BM274), N($AQ$67:$AQ$76&gt;$AO274))
) / 1000</f>
        <v>0</v>
      </c>
      <c r="BS274" s="232">
        <f t="shared" si="249"/>
        <v>25</v>
      </c>
      <c r="BT274" s="230">
        <f t="shared" si="440"/>
        <v>38</v>
      </c>
      <c r="BU274" s="235">
        <f t="shared" si="441"/>
        <v>3.792954545454545</v>
      </c>
      <c r="BV274" s="235" cm="1">
        <f t="array" ref="BV274">$BI274 * IF($AH274&lt;=2,
SUMPRODUCT(INDEX($AR$67:$AT$71,,$AI274), INDEX($AU$67:$BA$71,,$AH274), 1 / ($BB$67:$BB$71*BU274 + (1-$BB$67:$BB$71)*BQ274), N($AQ$67:$AQ$71&gt;$AO274)),
SUMPRODUCT(INDEX($AR$57:$AT$66,,$AI274), INDEX($AU$57:$BA$66,,$AH274), 1 / ($BC$57:$BC$66*BU274 + (1-$BC$57:$BC$66)*BQ274), N($AQ$57:$AQ$66&gt;$AO274))
) / 1000</f>
        <v>0</v>
      </c>
      <c r="BW274" s="232">
        <f t="shared" si="252"/>
        <v>20</v>
      </c>
      <c r="BX274" s="230">
        <f t="shared" si="442"/>
        <v>33</v>
      </c>
      <c r="BY274" s="235">
        <f t="shared" si="443"/>
        <v>4.4702678571428569</v>
      </c>
      <c r="BZ274" s="235" cm="1">
        <f t="array" ref="BZ274">$BI274 * IF($AH274&lt;=2,
SUMPRODUCT(INDEX($AR$62:$AT$66,,$AI274), INDEX($AU$62:$BA$66,,$AH274), 1 / ($BB$62:$BB$66*BY274 + (1-$BB$62:$BB$66)*BU274), N($AQ$62:$AQ$66&gt;$AO274)),
SUMPRODUCT(INDEX($AR$47:$AT$56,,$AI274), INDEX($AU$47:$BA$56,,$AH274), 1 / ($BC$47:$BC$56*BY274 + (1-$BC$47:$BC$56)*BU274), N($AQ$47:$AQ$56&gt;$AO274))
) / 1000</f>
        <v>0</v>
      </c>
      <c r="CA274" s="235" cm="1">
        <f t="array" ref="CA274">$BI274 * IF($AH274&lt;=2,
SUMPRODUCT(INDEX($AR$23:$AT$61,,$AI274), INDEX($AU$23:$BA$61,,$AH274), 1 / ($BB$23:$BB$61*BY274), N($AQ$23:$AQ$61&gt;$AO274)),
SUMPRODUCT(INDEX($AR$23:$AT$46,,$AI274), INDEX($AU$23:$BA$46,,$AH274), 1 / ($BC$23:$BC$46*BY274), N($AQ$23:$AQ$46&gt;$AO274))
) / 1000</f>
        <v>0</v>
      </c>
      <c r="CB274" s="230">
        <f t="shared" si="444"/>
        <v>0</v>
      </c>
      <c r="CC274" s="238"/>
      <c r="CD274" s="229" cm="1">
        <f t="array" ref="CD274">IF(ISBLANK(Y274), INDEX(Use, $AH274, 4) - AN274*INDEX(Use, $AH274, 6) - (Q274-X274), Y274)</f>
        <v>7</v>
      </c>
      <c r="CE274" s="229">
        <f t="shared" si="445"/>
        <v>32</v>
      </c>
      <c r="CF274" s="230">
        <f t="shared" si="446"/>
        <v>0</v>
      </c>
      <c r="CG274" s="229">
        <v>35</v>
      </c>
      <c r="CH274" s="230">
        <f t="shared" si="447"/>
        <v>48</v>
      </c>
      <c r="CI274" s="235">
        <f t="shared" si="448"/>
        <v>3.0748170731707316</v>
      </c>
      <c r="CJ274" s="235" cm="1">
        <f t="array" ref="CJ274">$BI274 * SUMPRODUCT(INDEX($AR$77:$AT$82,,$AI274),INDEX($AU$77:$BA$82,,$AH274), N($AQ$77:$AQ$82&gt;$AO274)) / CI274 / 1000</f>
        <v>0</v>
      </c>
      <c r="CK274" s="232">
        <f t="shared" si="260"/>
        <v>30</v>
      </c>
      <c r="CL274" s="230">
        <f t="shared" si="449"/>
        <v>43</v>
      </c>
      <c r="CM274" s="235">
        <f t="shared" si="450"/>
        <v>3.5018750000000001</v>
      </c>
      <c r="CN274" s="235" cm="1">
        <f t="array" ref="CN274">$BI274 * IF($AH274&lt;=2,
SUMPRODUCT(INDEX($AR$72:$AT$76,,$AI274), INDEX($AU$72:$BA$76,,$AH274), 1 / ($BB$72:$BB$76*CM274 + (1-$BB$72:$BB$76)*CI274), N($AQ$72:$AQ$76&gt;$AO274)),
SUMPRODUCT(INDEX($AR$67:$AT$76,,$AI274), INDEX($AU$67:$BA$76,,$AH274), 1 / ($BC$67:$BC$76*CM274 + (1-$BC$67:$BC$76)*CI274), N($AQ$67:$AQ$76&gt;$AO274))
) / 1000</f>
        <v>0</v>
      </c>
      <c r="CO274" s="232">
        <f t="shared" si="263"/>
        <v>25</v>
      </c>
      <c r="CP274" s="230">
        <f t="shared" si="451"/>
        <v>38</v>
      </c>
      <c r="CQ274" s="235">
        <f t="shared" si="452"/>
        <v>4.0666935483870965</v>
      </c>
      <c r="CR274" s="235" cm="1">
        <f t="array" ref="CR274">$BI274 * IF($AH274&lt;=2,
SUMPRODUCT(INDEX($AR$67:$AT$71,,$AI274), INDEX($AU$67:$BA$71,,$AH274), 1 / ($BB$67:$BB$71*CQ274 + (1-$BB$67:$BB$71)*CM274), N($AQ$67:$AQ$71&gt;$AO274)),
SUMPRODUCT(INDEX($AR$57:$AT$66,,$AI274), INDEX($AU$57:$BA$66,,$AH274), 1 / ($BC$57:$BC$66*CQ274 + (1-$BC$57:$BC$66)*CM274), N($AQ$57:$AQ$66&gt;$AO274))
) / 1000</f>
        <v>0</v>
      </c>
      <c r="CS274" s="232">
        <f t="shared" si="266"/>
        <v>20</v>
      </c>
      <c r="CT274" s="230">
        <f t="shared" si="453"/>
        <v>33</v>
      </c>
      <c r="CU274" s="235">
        <f t="shared" si="454"/>
        <v>4.8487499999999999</v>
      </c>
      <c r="CV274" s="235" cm="1">
        <f t="array" ref="CV274">$BI274 * IF($AH274&lt;=2,
SUMPRODUCT(INDEX($AR$62:$AT$66,,$AI274), INDEX($AU$62:$BA$66,,$AH274), 1 / ($BB$62:$BB$66*CU274 + (1-$BB$62:$BB$66)*CQ274), N($AQ$62:$AQ$66&gt;$AO274)),
SUMPRODUCT(INDEX($AR$47:$AT$56,,$AI274), INDEX($AU$47:$BA$56,,$AH274), 1 / ($BC$47:$BC$56*CU274 + (1-$BC$47:$BC$56)*CQ274), N($AQ$47:$AQ$56&gt;$AO274))
) / 1000</f>
        <v>0</v>
      </c>
      <c r="CW274" s="235" cm="1">
        <f t="array" ref="CW274">$BI274 * IF($AH274&lt;=2,
SUMPRODUCT(INDEX($AR$23:$AT$61,,$AI274), INDEX($AU$23:$BA$61,,$AH274), 1 / ($BB$23:$BB$61*CU274), N($AQ$23:$AQ$61&gt;$AO274)),
SUMPRODUCT(INDEX($AR$23:$AT$46,,$AI274), INDEX($AU$23:$BA$46,,$AH274), 1 / ($BC$23:$BC$46*CU274), N($AQ$23:$AQ$46&gt;$AO274))
) / 1000</f>
        <v>0</v>
      </c>
      <c r="CX274" s="230">
        <f t="shared" si="455"/>
        <v>0</v>
      </c>
      <c r="CY274" s="238"/>
    </row>
    <row r="275" spans="1:103" s="76" customFormat="1" ht="14.25" customHeight="1" x14ac:dyDescent="0.2">
      <c r="A275" s="231" t="b">
        <f t="shared" si="229"/>
        <v>0</v>
      </c>
      <c r="B275" s="245">
        <v>253</v>
      </c>
      <c r="C275" s="258"/>
      <c r="D275" s="258"/>
      <c r="E275" s="246"/>
      <c r="F275" s="247" t="str">
        <f>IF(ISBLANK(E275), "", VLOOKUP(E275, Z!$A$2:$C$4127, 3, FALSE))</f>
        <v/>
      </c>
      <c r="G275" s="248"/>
      <c r="H275" s="248"/>
      <c r="I275" s="249"/>
      <c r="J275" s="250"/>
      <c r="K275" s="259"/>
      <c r="L275" s="260"/>
      <c r="M275" s="252" t="str" cm="1">
        <f t="array" ref="M275">INDEX(Trad, 53, $A$20)</f>
        <v>Verschmutzt</v>
      </c>
      <c r="N275" s="253"/>
      <c r="O275" s="253"/>
      <c r="P275" s="254"/>
      <c r="Q275" s="251"/>
      <c r="R275" s="251"/>
      <c r="S275" s="264">
        <f t="shared" si="430"/>
        <v>0</v>
      </c>
      <c r="T275" s="252" t="str" cm="1">
        <f t="array" ref="T275">INDEX(Trad, 52, $A$20)</f>
        <v>Sauber</v>
      </c>
      <c r="U275" s="253"/>
      <c r="V275" s="253"/>
      <c r="W275" s="254"/>
      <c r="X275" s="251"/>
      <c r="Y275" s="251"/>
      <c r="Z275" s="264">
        <f t="shared" si="431"/>
        <v>0</v>
      </c>
      <c r="AA275" s="261"/>
      <c r="AB275" s="258"/>
      <c r="AC275" s="246"/>
      <c r="AD275" s="247" t="str">
        <f>IF(ISBLANK(AC275), "", VLOOKUP(AC275, Z!$A$2:$C$4127, 3, FALSE))</f>
        <v/>
      </c>
      <c r="AE275" s="262"/>
      <c r="AF275" s="263">
        <f t="shared" si="432"/>
        <v>0</v>
      </c>
      <c r="AG275" s="238"/>
      <c r="AH275" s="229">
        <f t="shared" si="456"/>
        <v>1</v>
      </c>
      <c r="AI275" s="229">
        <f t="shared" si="457"/>
        <v>1</v>
      </c>
      <c r="AJ275" s="229">
        <f t="shared" si="458"/>
        <v>0</v>
      </c>
      <c r="AK275" s="229">
        <v>0</v>
      </c>
      <c r="AL275" s="229">
        <v>0</v>
      </c>
      <c r="AM275" s="229">
        <v>1</v>
      </c>
      <c r="AN275" s="229">
        <v>0</v>
      </c>
      <c r="AO275" s="229">
        <f t="shared" si="433"/>
        <v>-100</v>
      </c>
      <c r="AP275" s="238"/>
      <c r="AQ275" s="255"/>
      <c r="AR275" s="255"/>
      <c r="AS275" s="256"/>
      <c r="AT275" s="256"/>
      <c r="AU275" s="256"/>
      <c r="AV275" s="256"/>
      <c r="AW275" s="256"/>
      <c r="AX275" s="256"/>
      <c r="AY275" s="256"/>
      <c r="AZ275" s="256"/>
      <c r="BA275" s="256"/>
      <c r="BB275" s="256"/>
      <c r="BC275" s="256"/>
      <c r="BD275" s="238"/>
      <c r="BE275" s="229" cm="1">
        <f t="array" ref="BE275">IF(ISBLANK(R275), INDEX(Use, $AH275, 4) - AM275*INDEX(Use, $AH275, 6), R275)</f>
        <v>5</v>
      </c>
      <c r="BF275" s="229">
        <f t="shared" si="434"/>
        <v>30</v>
      </c>
      <c r="BG275" s="229">
        <f t="shared" si="241"/>
        <v>13</v>
      </c>
      <c r="BH275" s="229">
        <f t="shared" si="242"/>
        <v>0</v>
      </c>
      <c r="BI275" s="234" cm="1">
        <f t="array" ref="BI275">K275/IF($L275&gt;0, INDEX($AU$23:$BA$77, $L275+20, $AH275), 1)</f>
        <v>0</v>
      </c>
      <c r="BJ275" s="230">
        <f t="shared" si="435"/>
        <v>0</v>
      </c>
      <c r="BK275" s="229">
        <v>35</v>
      </c>
      <c r="BL275" s="230">
        <f t="shared" si="436"/>
        <v>48</v>
      </c>
      <c r="BM275" s="235">
        <f t="shared" si="437"/>
        <v>2.9108720930232557</v>
      </c>
      <c r="BN275" s="235" cm="1">
        <f t="array" ref="BN275">$BI275 * SUMPRODUCT(INDEX($AR$77:$AT$82,,$AI275),INDEX($AU$77:$BA$82,,$AH275), N($AQ$77:$AQ$82&gt;$AO275)) / BM275 / 1000</f>
        <v>0</v>
      </c>
      <c r="BO275" s="232">
        <f t="shared" si="246"/>
        <v>30</v>
      </c>
      <c r="BP275" s="230">
        <f t="shared" si="438"/>
        <v>43</v>
      </c>
      <c r="BQ275" s="235">
        <f t="shared" si="439"/>
        <v>3.2938815789473681</v>
      </c>
      <c r="BR275" s="235" cm="1">
        <f t="array" ref="BR275">$BI275 * IF($AH275&lt;=2,
SUMPRODUCT(INDEX($AR$72:$AT$76,,$AI275), INDEX($AU$72:$BA$76,,$AH275), 1 / ($BB$72:$BB$76*BQ275 + (1-$BB$72:$BB$76)*BM275), N($AQ$72:$AQ$76&gt;$AO275)),
SUMPRODUCT(INDEX($AR$67:$AT$76,,$AI275), INDEX($AU$67:$BA$76,,$AH275), 1 / ($BC$67:$BC$76*BQ275 + (1-$BC$67:$BC$76)*BM275), N($AQ$67:$AQ$76&gt;$AO275))
) / 1000</f>
        <v>0</v>
      </c>
      <c r="BS275" s="232">
        <f t="shared" si="249"/>
        <v>25</v>
      </c>
      <c r="BT275" s="230">
        <f t="shared" si="440"/>
        <v>38</v>
      </c>
      <c r="BU275" s="235">
        <f t="shared" si="441"/>
        <v>3.792954545454545</v>
      </c>
      <c r="BV275" s="235" cm="1">
        <f t="array" ref="BV275">$BI275 * IF($AH275&lt;=2,
SUMPRODUCT(INDEX($AR$67:$AT$71,,$AI275), INDEX($AU$67:$BA$71,,$AH275), 1 / ($BB$67:$BB$71*BU275 + (1-$BB$67:$BB$71)*BQ275), N($AQ$67:$AQ$71&gt;$AO275)),
SUMPRODUCT(INDEX($AR$57:$AT$66,,$AI275), INDEX($AU$57:$BA$66,,$AH275), 1 / ($BC$57:$BC$66*BU275 + (1-$BC$57:$BC$66)*BQ275), N($AQ$57:$AQ$66&gt;$AO275))
) / 1000</f>
        <v>0</v>
      </c>
      <c r="BW275" s="232">
        <f t="shared" si="252"/>
        <v>20</v>
      </c>
      <c r="BX275" s="230">
        <f t="shared" si="442"/>
        <v>33</v>
      </c>
      <c r="BY275" s="235">
        <f t="shared" si="443"/>
        <v>4.4702678571428569</v>
      </c>
      <c r="BZ275" s="235" cm="1">
        <f t="array" ref="BZ275">$BI275 * IF($AH275&lt;=2,
SUMPRODUCT(INDEX($AR$62:$AT$66,,$AI275), INDEX($AU$62:$BA$66,,$AH275), 1 / ($BB$62:$BB$66*BY275 + (1-$BB$62:$BB$66)*BU275), N($AQ$62:$AQ$66&gt;$AO275)),
SUMPRODUCT(INDEX($AR$47:$AT$56,,$AI275), INDEX($AU$47:$BA$56,,$AH275), 1 / ($BC$47:$BC$56*BY275 + (1-$BC$47:$BC$56)*BU275), N($AQ$47:$AQ$56&gt;$AO275))
) / 1000</f>
        <v>0</v>
      </c>
      <c r="CA275" s="235" cm="1">
        <f t="array" ref="CA275">$BI275 * IF($AH275&lt;=2,
SUMPRODUCT(INDEX($AR$23:$AT$61,,$AI275), INDEX($AU$23:$BA$61,,$AH275), 1 / ($BB$23:$BB$61*BY275), N($AQ$23:$AQ$61&gt;$AO275)),
SUMPRODUCT(INDEX($AR$23:$AT$46,,$AI275), INDEX($AU$23:$BA$46,,$AH275), 1 / ($BC$23:$BC$46*BY275), N($AQ$23:$AQ$46&gt;$AO275))
) / 1000</f>
        <v>0</v>
      </c>
      <c r="CB275" s="230">
        <f t="shared" si="444"/>
        <v>0</v>
      </c>
      <c r="CC275" s="238"/>
      <c r="CD275" s="229" cm="1">
        <f t="array" ref="CD275">IF(ISBLANK(Y275), INDEX(Use, $AH275, 4) - AN275*INDEX(Use, $AH275, 6) - (Q275-X275), Y275)</f>
        <v>7</v>
      </c>
      <c r="CE275" s="229">
        <f t="shared" si="445"/>
        <v>32</v>
      </c>
      <c r="CF275" s="230">
        <f t="shared" si="446"/>
        <v>0</v>
      </c>
      <c r="CG275" s="229">
        <v>35</v>
      </c>
      <c r="CH275" s="230">
        <f t="shared" si="447"/>
        <v>48</v>
      </c>
      <c r="CI275" s="235">
        <f t="shared" si="448"/>
        <v>3.0748170731707316</v>
      </c>
      <c r="CJ275" s="235" cm="1">
        <f t="array" ref="CJ275">$BI275 * SUMPRODUCT(INDEX($AR$77:$AT$82,,$AI275),INDEX($AU$77:$BA$82,,$AH275), N($AQ$77:$AQ$82&gt;$AO275)) / CI275 / 1000</f>
        <v>0</v>
      </c>
      <c r="CK275" s="232">
        <f t="shared" si="260"/>
        <v>30</v>
      </c>
      <c r="CL275" s="230">
        <f t="shared" si="449"/>
        <v>43</v>
      </c>
      <c r="CM275" s="235">
        <f t="shared" si="450"/>
        <v>3.5018750000000001</v>
      </c>
      <c r="CN275" s="235" cm="1">
        <f t="array" ref="CN275">$BI275 * IF($AH275&lt;=2,
SUMPRODUCT(INDEX($AR$72:$AT$76,,$AI275), INDEX($AU$72:$BA$76,,$AH275), 1 / ($BB$72:$BB$76*CM275 + (1-$BB$72:$BB$76)*CI275), N($AQ$72:$AQ$76&gt;$AO275)),
SUMPRODUCT(INDEX($AR$67:$AT$76,,$AI275), INDEX($AU$67:$BA$76,,$AH275), 1 / ($BC$67:$BC$76*CM275 + (1-$BC$67:$BC$76)*CI275), N($AQ$67:$AQ$76&gt;$AO275))
) / 1000</f>
        <v>0</v>
      </c>
      <c r="CO275" s="232">
        <f t="shared" si="263"/>
        <v>25</v>
      </c>
      <c r="CP275" s="230">
        <f t="shared" si="451"/>
        <v>38</v>
      </c>
      <c r="CQ275" s="235">
        <f t="shared" si="452"/>
        <v>4.0666935483870965</v>
      </c>
      <c r="CR275" s="235" cm="1">
        <f t="array" ref="CR275">$BI275 * IF($AH275&lt;=2,
SUMPRODUCT(INDEX($AR$67:$AT$71,,$AI275), INDEX($AU$67:$BA$71,,$AH275), 1 / ($BB$67:$BB$71*CQ275 + (1-$BB$67:$BB$71)*CM275), N($AQ$67:$AQ$71&gt;$AO275)),
SUMPRODUCT(INDEX($AR$57:$AT$66,,$AI275), INDEX($AU$57:$BA$66,,$AH275), 1 / ($BC$57:$BC$66*CQ275 + (1-$BC$57:$BC$66)*CM275), N($AQ$57:$AQ$66&gt;$AO275))
) / 1000</f>
        <v>0</v>
      </c>
      <c r="CS275" s="232">
        <f t="shared" si="266"/>
        <v>20</v>
      </c>
      <c r="CT275" s="230">
        <f t="shared" si="453"/>
        <v>33</v>
      </c>
      <c r="CU275" s="235">
        <f t="shared" si="454"/>
        <v>4.8487499999999999</v>
      </c>
      <c r="CV275" s="235" cm="1">
        <f t="array" ref="CV275">$BI275 * IF($AH275&lt;=2,
SUMPRODUCT(INDEX($AR$62:$AT$66,,$AI275), INDEX($AU$62:$BA$66,,$AH275), 1 / ($BB$62:$BB$66*CU275 + (1-$BB$62:$BB$66)*CQ275), N($AQ$62:$AQ$66&gt;$AO275)),
SUMPRODUCT(INDEX($AR$47:$AT$56,,$AI275), INDEX($AU$47:$BA$56,,$AH275), 1 / ($BC$47:$BC$56*CU275 + (1-$BC$47:$BC$56)*CQ275), N($AQ$47:$AQ$56&gt;$AO275))
) / 1000</f>
        <v>0</v>
      </c>
      <c r="CW275" s="235" cm="1">
        <f t="array" ref="CW275">$BI275 * IF($AH275&lt;=2,
SUMPRODUCT(INDEX($AR$23:$AT$61,,$AI275), INDEX($AU$23:$BA$61,,$AH275), 1 / ($BB$23:$BB$61*CU275), N($AQ$23:$AQ$61&gt;$AO275)),
SUMPRODUCT(INDEX($AR$23:$AT$46,,$AI275), INDEX($AU$23:$BA$46,,$AH275), 1 / ($BC$23:$BC$46*CU275), N($AQ$23:$AQ$46&gt;$AO275))
) / 1000</f>
        <v>0</v>
      </c>
      <c r="CX275" s="230">
        <f t="shared" si="455"/>
        <v>0</v>
      </c>
      <c r="CY275" s="238"/>
    </row>
    <row r="276" spans="1:103" s="76" customFormat="1" ht="14.25" customHeight="1" x14ac:dyDescent="0.2">
      <c r="A276" s="231" t="b">
        <f t="shared" si="229"/>
        <v>0</v>
      </c>
      <c r="B276" s="245">
        <v>254</v>
      </c>
      <c r="C276" s="258"/>
      <c r="D276" s="258"/>
      <c r="E276" s="246"/>
      <c r="F276" s="247" t="str">
        <f>IF(ISBLANK(E276), "", VLOOKUP(E276, Z!$A$2:$C$4127, 3, FALSE))</f>
        <v/>
      </c>
      <c r="G276" s="248"/>
      <c r="H276" s="248"/>
      <c r="I276" s="249"/>
      <c r="J276" s="250"/>
      <c r="K276" s="259"/>
      <c r="L276" s="260"/>
      <c r="M276" s="252" t="str" cm="1">
        <f t="array" ref="M276">INDEX(Trad, 53, $A$20)</f>
        <v>Verschmutzt</v>
      </c>
      <c r="N276" s="253"/>
      <c r="O276" s="253"/>
      <c r="P276" s="254"/>
      <c r="Q276" s="251"/>
      <c r="R276" s="251"/>
      <c r="S276" s="264">
        <f t="shared" si="430"/>
        <v>0</v>
      </c>
      <c r="T276" s="252" t="str" cm="1">
        <f t="array" ref="T276">INDEX(Trad, 52, $A$20)</f>
        <v>Sauber</v>
      </c>
      <c r="U276" s="253"/>
      <c r="V276" s="253"/>
      <c r="W276" s="254"/>
      <c r="X276" s="251"/>
      <c r="Y276" s="251"/>
      <c r="Z276" s="264">
        <f t="shared" si="431"/>
        <v>0</v>
      </c>
      <c r="AA276" s="261"/>
      <c r="AB276" s="258"/>
      <c r="AC276" s="246"/>
      <c r="AD276" s="247" t="str">
        <f>IF(ISBLANK(AC276), "", VLOOKUP(AC276, Z!$A$2:$C$4127, 3, FALSE))</f>
        <v/>
      </c>
      <c r="AE276" s="262"/>
      <c r="AF276" s="263">
        <f t="shared" si="432"/>
        <v>0</v>
      </c>
      <c r="AG276" s="238"/>
      <c r="AH276" s="229">
        <f t="shared" si="456"/>
        <v>1</v>
      </c>
      <c r="AI276" s="229">
        <f t="shared" si="457"/>
        <v>1</v>
      </c>
      <c r="AJ276" s="229">
        <f t="shared" si="458"/>
        <v>0</v>
      </c>
      <c r="AK276" s="229">
        <v>0</v>
      </c>
      <c r="AL276" s="229">
        <v>0</v>
      </c>
      <c r="AM276" s="229">
        <v>1</v>
      </c>
      <c r="AN276" s="229">
        <v>0</v>
      </c>
      <c r="AO276" s="229">
        <f t="shared" si="433"/>
        <v>-100</v>
      </c>
      <c r="AP276" s="238"/>
      <c r="AQ276" s="255"/>
      <c r="AR276" s="255"/>
      <c r="AS276" s="256"/>
      <c r="AT276" s="256"/>
      <c r="AU276" s="256"/>
      <c r="AV276" s="256"/>
      <c r="AW276" s="256"/>
      <c r="AX276" s="256"/>
      <c r="AY276" s="256"/>
      <c r="AZ276" s="256"/>
      <c r="BA276" s="256"/>
      <c r="BB276" s="256"/>
      <c r="BC276" s="256"/>
      <c r="BD276" s="238"/>
      <c r="BE276" s="229" cm="1">
        <f t="array" ref="BE276">IF(ISBLANK(R276), INDEX(Use, $AH276, 4) - AM276*INDEX(Use, $AH276, 6), R276)</f>
        <v>5</v>
      </c>
      <c r="BF276" s="229">
        <f t="shared" si="434"/>
        <v>30</v>
      </c>
      <c r="BG276" s="229">
        <f t="shared" si="241"/>
        <v>13</v>
      </c>
      <c r="BH276" s="229">
        <f t="shared" si="242"/>
        <v>0</v>
      </c>
      <c r="BI276" s="234" cm="1">
        <f t="array" ref="BI276">K276/IF($L276&gt;0, INDEX($AU$23:$BA$77, $L276+20, $AH276), 1)</f>
        <v>0</v>
      </c>
      <c r="BJ276" s="230">
        <f t="shared" si="435"/>
        <v>0</v>
      </c>
      <c r="BK276" s="229">
        <v>35</v>
      </c>
      <c r="BL276" s="230">
        <f t="shared" si="436"/>
        <v>48</v>
      </c>
      <c r="BM276" s="235">
        <f t="shared" si="437"/>
        <v>2.9108720930232557</v>
      </c>
      <c r="BN276" s="235" cm="1">
        <f t="array" ref="BN276">$BI276 * SUMPRODUCT(INDEX($AR$77:$AT$82,,$AI276),INDEX($AU$77:$BA$82,,$AH276), N($AQ$77:$AQ$82&gt;$AO276)) / BM276 / 1000</f>
        <v>0</v>
      </c>
      <c r="BO276" s="232">
        <f t="shared" si="246"/>
        <v>30</v>
      </c>
      <c r="BP276" s="230">
        <f t="shared" si="438"/>
        <v>43</v>
      </c>
      <c r="BQ276" s="235">
        <f t="shared" si="439"/>
        <v>3.2938815789473681</v>
      </c>
      <c r="BR276" s="235" cm="1">
        <f t="array" ref="BR276">$BI276 * IF($AH276&lt;=2,
SUMPRODUCT(INDEX($AR$72:$AT$76,,$AI276), INDEX($AU$72:$BA$76,,$AH276), 1 / ($BB$72:$BB$76*BQ276 + (1-$BB$72:$BB$76)*BM276), N($AQ$72:$AQ$76&gt;$AO276)),
SUMPRODUCT(INDEX($AR$67:$AT$76,,$AI276), INDEX($AU$67:$BA$76,,$AH276), 1 / ($BC$67:$BC$76*BQ276 + (1-$BC$67:$BC$76)*BM276), N($AQ$67:$AQ$76&gt;$AO276))
) / 1000</f>
        <v>0</v>
      </c>
      <c r="BS276" s="232">
        <f t="shared" si="249"/>
        <v>25</v>
      </c>
      <c r="BT276" s="230">
        <f t="shared" si="440"/>
        <v>38</v>
      </c>
      <c r="BU276" s="235">
        <f t="shared" si="441"/>
        <v>3.792954545454545</v>
      </c>
      <c r="BV276" s="235" cm="1">
        <f t="array" ref="BV276">$BI276 * IF($AH276&lt;=2,
SUMPRODUCT(INDEX($AR$67:$AT$71,,$AI276), INDEX($AU$67:$BA$71,,$AH276), 1 / ($BB$67:$BB$71*BU276 + (1-$BB$67:$BB$71)*BQ276), N($AQ$67:$AQ$71&gt;$AO276)),
SUMPRODUCT(INDEX($AR$57:$AT$66,,$AI276), INDEX($AU$57:$BA$66,,$AH276), 1 / ($BC$57:$BC$66*BU276 + (1-$BC$57:$BC$66)*BQ276), N($AQ$57:$AQ$66&gt;$AO276))
) / 1000</f>
        <v>0</v>
      </c>
      <c r="BW276" s="232">
        <f t="shared" si="252"/>
        <v>20</v>
      </c>
      <c r="BX276" s="230">
        <f t="shared" si="442"/>
        <v>33</v>
      </c>
      <c r="BY276" s="235">
        <f t="shared" si="443"/>
        <v>4.4702678571428569</v>
      </c>
      <c r="BZ276" s="235" cm="1">
        <f t="array" ref="BZ276">$BI276 * IF($AH276&lt;=2,
SUMPRODUCT(INDEX($AR$62:$AT$66,,$AI276), INDEX($AU$62:$BA$66,,$AH276), 1 / ($BB$62:$BB$66*BY276 + (1-$BB$62:$BB$66)*BU276), N($AQ$62:$AQ$66&gt;$AO276)),
SUMPRODUCT(INDEX($AR$47:$AT$56,,$AI276), INDEX($AU$47:$BA$56,,$AH276), 1 / ($BC$47:$BC$56*BY276 + (1-$BC$47:$BC$56)*BU276), N($AQ$47:$AQ$56&gt;$AO276))
) / 1000</f>
        <v>0</v>
      </c>
      <c r="CA276" s="235" cm="1">
        <f t="array" ref="CA276">$BI276 * IF($AH276&lt;=2,
SUMPRODUCT(INDEX($AR$23:$AT$61,,$AI276), INDEX($AU$23:$BA$61,,$AH276), 1 / ($BB$23:$BB$61*BY276), N($AQ$23:$AQ$61&gt;$AO276)),
SUMPRODUCT(INDEX($AR$23:$AT$46,,$AI276), INDEX($AU$23:$BA$46,,$AH276), 1 / ($BC$23:$BC$46*BY276), N($AQ$23:$AQ$46&gt;$AO276))
) / 1000</f>
        <v>0</v>
      </c>
      <c r="CB276" s="230">
        <f t="shared" si="444"/>
        <v>0</v>
      </c>
      <c r="CC276" s="238"/>
      <c r="CD276" s="229" cm="1">
        <f t="array" ref="CD276">IF(ISBLANK(Y276), INDEX(Use, $AH276, 4) - AN276*INDEX(Use, $AH276, 6) - (Q276-X276), Y276)</f>
        <v>7</v>
      </c>
      <c r="CE276" s="229">
        <f t="shared" si="445"/>
        <v>32</v>
      </c>
      <c r="CF276" s="230">
        <f t="shared" si="446"/>
        <v>0</v>
      </c>
      <c r="CG276" s="229">
        <v>35</v>
      </c>
      <c r="CH276" s="230">
        <f t="shared" si="447"/>
        <v>48</v>
      </c>
      <c r="CI276" s="235">
        <f t="shared" si="448"/>
        <v>3.0748170731707316</v>
      </c>
      <c r="CJ276" s="235" cm="1">
        <f t="array" ref="CJ276">$BI276 * SUMPRODUCT(INDEX($AR$77:$AT$82,,$AI276),INDEX($AU$77:$BA$82,,$AH276), N($AQ$77:$AQ$82&gt;$AO276)) / CI276 / 1000</f>
        <v>0</v>
      </c>
      <c r="CK276" s="232">
        <f t="shared" si="260"/>
        <v>30</v>
      </c>
      <c r="CL276" s="230">
        <f t="shared" si="449"/>
        <v>43</v>
      </c>
      <c r="CM276" s="235">
        <f t="shared" si="450"/>
        <v>3.5018750000000001</v>
      </c>
      <c r="CN276" s="235" cm="1">
        <f t="array" ref="CN276">$BI276 * IF($AH276&lt;=2,
SUMPRODUCT(INDEX($AR$72:$AT$76,,$AI276), INDEX($AU$72:$BA$76,,$AH276), 1 / ($BB$72:$BB$76*CM276 + (1-$BB$72:$BB$76)*CI276), N($AQ$72:$AQ$76&gt;$AO276)),
SUMPRODUCT(INDEX($AR$67:$AT$76,,$AI276), INDEX($AU$67:$BA$76,,$AH276), 1 / ($BC$67:$BC$76*CM276 + (1-$BC$67:$BC$76)*CI276), N($AQ$67:$AQ$76&gt;$AO276))
) / 1000</f>
        <v>0</v>
      </c>
      <c r="CO276" s="232">
        <f t="shared" si="263"/>
        <v>25</v>
      </c>
      <c r="CP276" s="230">
        <f t="shared" si="451"/>
        <v>38</v>
      </c>
      <c r="CQ276" s="235">
        <f t="shared" si="452"/>
        <v>4.0666935483870965</v>
      </c>
      <c r="CR276" s="235" cm="1">
        <f t="array" ref="CR276">$BI276 * IF($AH276&lt;=2,
SUMPRODUCT(INDEX($AR$67:$AT$71,,$AI276), INDEX($AU$67:$BA$71,,$AH276), 1 / ($BB$67:$BB$71*CQ276 + (1-$BB$67:$BB$71)*CM276), N($AQ$67:$AQ$71&gt;$AO276)),
SUMPRODUCT(INDEX($AR$57:$AT$66,,$AI276), INDEX($AU$57:$BA$66,,$AH276), 1 / ($BC$57:$BC$66*CQ276 + (1-$BC$57:$BC$66)*CM276), N($AQ$57:$AQ$66&gt;$AO276))
) / 1000</f>
        <v>0</v>
      </c>
      <c r="CS276" s="232">
        <f t="shared" si="266"/>
        <v>20</v>
      </c>
      <c r="CT276" s="230">
        <f t="shared" si="453"/>
        <v>33</v>
      </c>
      <c r="CU276" s="235">
        <f t="shared" si="454"/>
        <v>4.8487499999999999</v>
      </c>
      <c r="CV276" s="235" cm="1">
        <f t="array" ref="CV276">$BI276 * IF($AH276&lt;=2,
SUMPRODUCT(INDEX($AR$62:$AT$66,,$AI276), INDEX($AU$62:$BA$66,,$AH276), 1 / ($BB$62:$BB$66*CU276 + (1-$BB$62:$BB$66)*CQ276), N($AQ$62:$AQ$66&gt;$AO276)),
SUMPRODUCT(INDEX($AR$47:$AT$56,,$AI276), INDEX($AU$47:$BA$56,,$AH276), 1 / ($BC$47:$BC$56*CU276 + (1-$BC$47:$BC$56)*CQ276), N($AQ$47:$AQ$56&gt;$AO276))
) / 1000</f>
        <v>0</v>
      </c>
      <c r="CW276" s="235" cm="1">
        <f t="array" ref="CW276">$BI276 * IF($AH276&lt;=2,
SUMPRODUCT(INDEX($AR$23:$AT$61,,$AI276), INDEX($AU$23:$BA$61,,$AH276), 1 / ($BB$23:$BB$61*CU276), N($AQ$23:$AQ$61&gt;$AO276)),
SUMPRODUCT(INDEX($AR$23:$AT$46,,$AI276), INDEX($AU$23:$BA$46,,$AH276), 1 / ($BC$23:$BC$46*CU276), N($AQ$23:$AQ$46&gt;$AO276))
) / 1000</f>
        <v>0</v>
      </c>
      <c r="CX276" s="230">
        <f t="shared" si="455"/>
        <v>0</v>
      </c>
      <c r="CY276" s="238"/>
    </row>
    <row r="277" spans="1:103" s="76" customFormat="1" ht="14.25" customHeight="1" x14ac:dyDescent="0.2">
      <c r="A277" s="231" t="b">
        <f t="shared" si="229"/>
        <v>0</v>
      </c>
      <c r="B277" s="245">
        <v>255</v>
      </c>
      <c r="C277" s="258"/>
      <c r="D277" s="258"/>
      <c r="E277" s="246"/>
      <c r="F277" s="247" t="str">
        <f>IF(ISBLANK(E277), "", VLOOKUP(E277, Z!$A$2:$C$4127, 3, FALSE))</f>
        <v/>
      </c>
      <c r="G277" s="248"/>
      <c r="H277" s="248"/>
      <c r="I277" s="249"/>
      <c r="J277" s="250"/>
      <c r="K277" s="259"/>
      <c r="L277" s="260"/>
      <c r="M277" s="252" t="str" cm="1">
        <f t="array" ref="M277">INDEX(Trad, 53, $A$20)</f>
        <v>Verschmutzt</v>
      </c>
      <c r="N277" s="253"/>
      <c r="O277" s="253"/>
      <c r="P277" s="254"/>
      <c r="Q277" s="251"/>
      <c r="R277" s="251"/>
      <c r="S277" s="264">
        <f t="shared" si="430"/>
        <v>0</v>
      </c>
      <c r="T277" s="252" t="str" cm="1">
        <f t="array" ref="T277">INDEX(Trad, 52, $A$20)</f>
        <v>Sauber</v>
      </c>
      <c r="U277" s="253"/>
      <c r="V277" s="253"/>
      <c r="W277" s="254"/>
      <c r="X277" s="251"/>
      <c r="Y277" s="251"/>
      <c r="Z277" s="264">
        <f t="shared" si="431"/>
        <v>0</v>
      </c>
      <c r="AA277" s="261"/>
      <c r="AB277" s="258"/>
      <c r="AC277" s="246"/>
      <c r="AD277" s="247" t="str">
        <f>IF(ISBLANK(AC277), "", VLOOKUP(AC277, Z!$A$2:$C$4127, 3, FALSE))</f>
        <v/>
      </c>
      <c r="AE277" s="262"/>
      <c r="AF277" s="263">
        <f t="shared" si="432"/>
        <v>0</v>
      </c>
      <c r="AG277" s="238"/>
      <c r="AH277" s="229">
        <f t="shared" si="456"/>
        <v>1</v>
      </c>
      <c r="AI277" s="229">
        <f t="shared" si="457"/>
        <v>1</v>
      </c>
      <c r="AJ277" s="229">
        <f t="shared" si="458"/>
        <v>0</v>
      </c>
      <c r="AK277" s="229">
        <v>0</v>
      </c>
      <c r="AL277" s="229">
        <v>0</v>
      </c>
      <c r="AM277" s="229">
        <v>1</v>
      </c>
      <c r="AN277" s="229">
        <v>0</v>
      </c>
      <c r="AO277" s="229">
        <f t="shared" si="433"/>
        <v>-100</v>
      </c>
      <c r="AP277" s="238"/>
      <c r="AQ277" s="255"/>
      <c r="AR277" s="255"/>
      <c r="AS277" s="256"/>
      <c r="AT277" s="256"/>
      <c r="AU277" s="256"/>
      <c r="AV277" s="256"/>
      <c r="AW277" s="256"/>
      <c r="AX277" s="256"/>
      <c r="AY277" s="256"/>
      <c r="AZ277" s="256"/>
      <c r="BA277" s="256"/>
      <c r="BB277" s="256"/>
      <c r="BC277" s="256"/>
      <c r="BD277" s="238"/>
      <c r="BE277" s="229" cm="1">
        <f t="array" ref="BE277">IF(ISBLANK(R277), INDEX(Use, $AH277, 4) - AM277*INDEX(Use, $AH277, 6), R277)</f>
        <v>5</v>
      </c>
      <c r="BF277" s="229">
        <f t="shared" si="434"/>
        <v>30</v>
      </c>
      <c r="BG277" s="229">
        <f t="shared" si="241"/>
        <v>13</v>
      </c>
      <c r="BH277" s="229">
        <f t="shared" si="242"/>
        <v>0</v>
      </c>
      <c r="BI277" s="234" cm="1">
        <f t="array" ref="BI277">K277/IF($L277&gt;0, INDEX($AU$23:$BA$77, $L277+20, $AH277), 1)</f>
        <v>0</v>
      </c>
      <c r="BJ277" s="230">
        <f t="shared" si="435"/>
        <v>0</v>
      </c>
      <c r="BK277" s="229">
        <v>35</v>
      </c>
      <c r="BL277" s="230">
        <f t="shared" si="436"/>
        <v>48</v>
      </c>
      <c r="BM277" s="235">
        <f t="shared" si="437"/>
        <v>2.9108720930232557</v>
      </c>
      <c r="BN277" s="235" cm="1">
        <f t="array" ref="BN277">$BI277 * SUMPRODUCT(INDEX($AR$77:$AT$82,,$AI277),INDEX($AU$77:$BA$82,,$AH277), N($AQ$77:$AQ$82&gt;$AO277)) / BM277 / 1000</f>
        <v>0</v>
      </c>
      <c r="BO277" s="232">
        <f t="shared" si="246"/>
        <v>30</v>
      </c>
      <c r="BP277" s="230">
        <f t="shared" si="438"/>
        <v>43</v>
      </c>
      <c r="BQ277" s="235">
        <f t="shared" si="439"/>
        <v>3.2938815789473681</v>
      </c>
      <c r="BR277" s="235" cm="1">
        <f t="array" ref="BR277">$BI277 * IF($AH277&lt;=2,
SUMPRODUCT(INDEX($AR$72:$AT$76,,$AI277), INDEX($AU$72:$BA$76,,$AH277), 1 / ($BB$72:$BB$76*BQ277 + (1-$BB$72:$BB$76)*BM277), N($AQ$72:$AQ$76&gt;$AO277)),
SUMPRODUCT(INDEX($AR$67:$AT$76,,$AI277), INDEX($AU$67:$BA$76,,$AH277), 1 / ($BC$67:$BC$76*BQ277 + (1-$BC$67:$BC$76)*BM277), N($AQ$67:$AQ$76&gt;$AO277))
) / 1000</f>
        <v>0</v>
      </c>
      <c r="BS277" s="232">
        <f t="shared" si="249"/>
        <v>25</v>
      </c>
      <c r="BT277" s="230">
        <f t="shared" si="440"/>
        <v>38</v>
      </c>
      <c r="BU277" s="235">
        <f t="shared" si="441"/>
        <v>3.792954545454545</v>
      </c>
      <c r="BV277" s="235" cm="1">
        <f t="array" ref="BV277">$BI277 * IF($AH277&lt;=2,
SUMPRODUCT(INDEX($AR$67:$AT$71,,$AI277), INDEX($AU$67:$BA$71,,$AH277), 1 / ($BB$67:$BB$71*BU277 + (1-$BB$67:$BB$71)*BQ277), N($AQ$67:$AQ$71&gt;$AO277)),
SUMPRODUCT(INDEX($AR$57:$AT$66,,$AI277), INDEX($AU$57:$BA$66,,$AH277), 1 / ($BC$57:$BC$66*BU277 + (1-$BC$57:$BC$66)*BQ277), N($AQ$57:$AQ$66&gt;$AO277))
) / 1000</f>
        <v>0</v>
      </c>
      <c r="BW277" s="232">
        <f t="shared" si="252"/>
        <v>20</v>
      </c>
      <c r="BX277" s="230">
        <f t="shared" si="442"/>
        <v>33</v>
      </c>
      <c r="BY277" s="235">
        <f t="shared" si="443"/>
        <v>4.4702678571428569</v>
      </c>
      <c r="BZ277" s="235" cm="1">
        <f t="array" ref="BZ277">$BI277 * IF($AH277&lt;=2,
SUMPRODUCT(INDEX($AR$62:$AT$66,,$AI277), INDEX($AU$62:$BA$66,,$AH277), 1 / ($BB$62:$BB$66*BY277 + (1-$BB$62:$BB$66)*BU277), N($AQ$62:$AQ$66&gt;$AO277)),
SUMPRODUCT(INDEX($AR$47:$AT$56,,$AI277), INDEX($AU$47:$BA$56,,$AH277), 1 / ($BC$47:$BC$56*BY277 + (1-$BC$47:$BC$56)*BU277), N($AQ$47:$AQ$56&gt;$AO277))
) / 1000</f>
        <v>0</v>
      </c>
      <c r="CA277" s="235" cm="1">
        <f t="array" ref="CA277">$BI277 * IF($AH277&lt;=2,
SUMPRODUCT(INDEX($AR$23:$AT$61,,$AI277), INDEX($AU$23:$BA$61,,$AH277), 1 / ($BB$23:$BB$61*BY277), N($AQ$23:$AQ$61&gt;$AO277)),
SUMPRODUCT(INDEX($AR$23:$AT$46,,$AI277), INDEX($AU$23:$BA$46,,$AH277), 1 / ($BC$23:$BC$46*BY277), N($AQ$23:$AQ$46&gt;$AO277))
) / 1000</f>
        <v>0</v>
      </c>
      <c r="CB277" s="230">
        <f t="shared" si="444"/>
        <v>0</v>
      </c>
      <c r="CC277" s="238"/>
      <c r="CD277" s="229" cm="1">
        <f t="array" ref="CD277">IF(ISBLANK(Y277), INDEX(Use, $AH277, 4) - AN277*INDEX(Use, $AH277, 6) - (Q277-X277), Y277)</f>
        <v>7</v>
      </c>
      <c r="CE277" s="229">
        <f t="shared" si="445"/>
        <v>32</v>
      </c>
      <c r="CF277" s="230">
        <f t="shared" si="446"/>
        <v>0</v>
      </c>
      <c r="CG277" s="229">
        <v>35</v>
      </c>
      <c r="CH277" s="230">
        <f t="shared" si="447"/>
        <v>48</v>
      </c>
      <c r="CI277" s="235">
        <f t="shared" si="448"/>
        <v>3.0748170731707316</v>
      </c>
      <c r="CJ277" s="235" cm="1">
        <f t="array" ref="CJ277">$BI277 * SUMPRODUCT(INDEX($AR$77:$AT$82,,$AI277),INDEX($AU$77:$BA$82,,$AH277), N($AQ$77:$AQ$82&gt;$AO277)) / CI277 / 1000</f>
        <v>0</v>
      </c>
      <c r="CK277" s="232">
        <f t="shared" si="260"/>
        <v>30</v>
      </c>
      <c r="CL277" s="230">
        <f t="shared" si="449"/>
        <v>43</v>
      </c>
      <c r="CM277" s="235">
        <f t="shared" si="450"/>
        <v>3.5018750000000001</v>
      </c>
      <c r="CN277" s="235" cm="1">
        <f t="array" ref="CN277">$BI277 * IF($AH277&lt;=2,
SUMPRODUCT(INDEX($AR$72:$AT$76,,$AI277), INDEX($AU$72:$BA$76,,$AH277), 1 / ($BB$72:$BB$76*CM277 + (1-$BB$72:$BB$76)*CI277), N($AQ$72:$AQ$76&gt;$AO277)),
SUMPRODUCT(INDEX($AR$67:$AT$76,,$AI277), INDEX($AU$67:$BA$76,,$AH277), 1 / ($BC$67:$BC$76*CM277 + (1-$BC$67:$BC$76)*CI277), N($AQ$67:$AQ$76&gt;$AO277))
) / 1000</f>
        <v>0</v>
      </c>
      <c r="CO277" s="232">
        <f t="shared" si="263"/>
        <v>25</v>
      </c>
      <c r="CP277" s="230">
        <f t="shared" si="451"/>
        <v>38</v>
      </c>
      <c r="CQ277" s="235">
        <f t="shared" si="452"/>
        <v>4.0666935483870965</v>
      </c>
      <c r="CR277" s="235" cm="1">
        <f t="array" ref="CR277">$BI277 * IF($AH277&lt;=2,
SUMPRODUCT(INDEX($AR$67:$AT$71,,$AI277), INDEX($AU$67:$BA$71,,$AH277), 1 / ($BB$67:$BB$71*CQ277 + (1-$BB$67:$BB$71)*CM277), N($AQ$67:$AQ$71&gt;$AO277)),
SUMPRODUCT(INDEX($AR$57:$AT$66,,$AI277), INDEX($AU$57:$BA$66,,$AH277), 1 / ($BC$57:$BC$66*CQ277 + (1-$BC$57:$BC$66)*CM277), N($AQ$57:$AQ$66&gt;$AO277))
) / 1000</f>
        <v>0</v>
      </c>
      <c r="CS277" s="232">
        <f t="shared" si="266"/>
        <v>20</v>
      </c>
      <c r="CT277" s="230">
        <f t="shared" si="453"/>
        <v>33</v>
      </c>
      <c r="CU277" s="235">
        <f t="shared" si="454"/>
        <v>4.8487499999999999</v>
      </c>
      <c r="CV277" s="235" cm="1">
        <f t="array" ref="CV277">$BI277 * IF($AH277&lt;=2,
SUMPRODUCT(INDEX($AR$62:$AT$66,,$AI277), INDEX($AU$62:$BA$66,,$AH277), 1 / ($BB$62:$BB$66*CU277 + (1-$BB$62:$BB$66)*CQ277), N($AQ$62:$AQ$66&gt;$AO277)),
SUMPRODUCT(INDEX($AR$47:$AT$56,,$AI277), INDEX($AU$47:$BA$56,,$AH277), 1 / ($BC$47:$BC$56*CU277 + (1-$BC$47:$BC$56)*CQ277), N($AQ$47:$AQ$56&gt;$AO277))
) / 1000</f>
        <v>0</v>
      </c>
      <c r="CW277" s="235" cm="1">
        <f t="array" ref="CW277">$BI277 * IF($AH277&lt;=2,
SUMPRODUCT(INDEX($AR$23:$AT$61,,$AI277), INDEX($AU$23:$BA$61,,$AH277), 1 / ($BB$23:$BB$61*CU277), N($AQ$23:$AQ$61&gt;$AO277)),
SUMPRODUCT(INDEX($AR$23:$AT$46,,$AI277), INDEX($AU$23:$BA$46,,$AH277), 1 / ($BC$23:$BC$46*CU277), N($AQ$23:$AQ$46&gt;$AO277))
) / 1000</f>
        <v>0</v>
      </c>
      <c r="CX277" s="230">
        <f t="shared" si="455"/>
        <v>0</v>
      </c>
      <c r="CY277" s="238"/>
    </row>
    <row r="278" spans="1:103" s="76" customFormat="1" ht="14.25" customHeight="1" x14ac:dyDescent="0.2">
      <c r="A278" s="231" t="b">
        <f t="shared" si="229"/>
        <v>0</v>
      </c>
      <c r="B278" s="245">
        <v>256</v>
      </c>
      <c r="C278" s="258"/>
      <c r="D278" s="258"/>
      <c r="E278" s="246"/>
      <c r="F278" s="247" t="str">
        <f>IF(ISBLANK(E278), "", VLOOKUP(E278, Z!$A$2:$C$4127, 3, FALSE))</f>
        <v/>
      </c>
      <c r="G278" s="248"/>
      <c r="H278" s="248"/>
      <c r="I278" s="249"/>
      <c r="J278" s="250"/>
      <c r="K278" s="259"/>
      <c r="L278" s="260"/>
      <c r="M278" s="252" t="str" cm="1">
        <f t="array" ref="M278">INDEX(Trad, 53, $A$20)</f>
        <v>Verschmutzt</v>
      </c>
      <c r="N278" s="253"/>
      <c r="O278" s="253"/>
      <c r="P278" s="254"/>
      <c r="Q278" s="251"/>
      <c r="R278" s="251"/>
      <c r="S278" s="264">
        <f t="shared" si="430"/>
        <v>0</v>
      </c>
      <c r="T278" s="252" t="str" cm="1">
        <f t="array" ref="T278">INDEX(Trad, 52, $A$20)</f>
        <v>Sauber</v>
      </c>
      <c r="U278" s="253"/>
      <c r="V278" s="253"/>
      <c r="W278" s="254"/>
      <c r="X278" s="251"/>
      <c r="Y278" s="251"/>
      <c r="Z278" s="264">
        <f t="shared" si="431"/>
        <v>0</v>
      </c>
      <c r="AA278" s="261"/>
      <c r="AB278" s="258"/>
      <c r="AC278" s="246"/>
      <c r="AD278" s="247" t="str">
        <f>IF(ISBLANK(AC278), "", VLOOKUP(AC278, Z!$A$2:$C$4127, 3, FALSE))</f>
        <v/>
      </c>
      <c r="AE278" s="262"/>
      <c r="AF278" s="263">
        <f t="shared" si="432"/>
        <v>0</v>
      </c>
      <c r="AG278" s="238"/>
      <c r="AH278" s="229">
        <f t="shared" si="456"/>
        <v>1</v>
      </c>
      <c r="AI278" s="229">
        <f t="shared" si="457"/>
        <v>1</v>
      </c>
      <c r="AJ278" s="229">
        <f t="shared" si="458"/>
        <v>0</v>
      </c>
      <c r="AK278" s="229">
        <v>0</v>
      </c>
      <c r="AL278" s="229">
        <v>0</v>
      </c>
      <c r="AM278" s="229">
        <v>1</v>
      </c>
      <c r="AN278" s="229">
        <v>0</v>
      </c>
      <c r="AO278" s="229">
        <f t="shared" si="433"/>
        <v>-100</v>
      </c>
      <c r="AP278" s="238"/>
      <c r="AQ278" s="255"/>
      <c r="AR278" s="255"/>
      <c r="AS278" s="256"/>
      <c r="AT278" s="256"/>
      <c r="AU278" s="256"/>
      <c r="AV278" s="256"/>
      <c r="AW278" s="256"/>
      <c r="AX278" s="256"/>
      <c r="AY278" s="256"/>
      <c r="AZ278" s="256"/>
      <c r="BA278" s="256"/>
      <c r="BB278" s="256"/>
      <c r="BC278" s="256"/>
      <c r="BD278" s="238"/>
      <c r="BE278" s="229" cm="1">
        <f t="array" ref="BE278">IF(ISBLANK(R278), INDEX(Use, $AH278, 4) - AM278*INDEX(Use, $AH278, 6), R278)</f>
        <v>5</v>
      </c>
      <c r="BF278" s="229">
        <f t="shared" si="434"/>
        <v>30</v>
      </c>
      <c r="BG278" s="229">
        <f t="shared" si="241"/>
        <v>13</v>
      </c>
      <c r="BH278" s="229">
        <f t="shared" si="242"/>
        <v>0</v>
      </c>
      <c r="BI278" s="234" cm="1">
        <f t="array" ref="BI278">K278/IF($L278&gt;0, INDEX($AU$23:$BA$77, $L278+20, $AH278), 1)</f>
        <v>0</v>
      </c>
      <c r="BJ278" s="230">
        <f t="shared" si="435"/>
        <v>0</v>
      </c>
      <c r="BK278" s="229">
        <v>35</v>
      </c>
      <c r="BL278" s="230">
        <f t="shared" si="436"/>
        <v>48</v>
      </c>
      <c r="BM278" s="235">
        <f t="shared" si="437"/>
        <v>2.9108720930232557</v>
      </c>
      <c r="BN278" s="235" cm="1">
        <f t="array" ref="BN278">$BI278 * SUMPRODUCT(INDEX($AR$77:$AT$82,,$AI278),INDEX($AU$77:$BA$82,,$AH278), N($AQ$77:$AQ$82&gt;$AO278)) / BM278 / 1000</f>
        <v>0</v>
      </c>
      <c r="BO278" s="232">
        <f t="shared" si="246"/>
        <v>30</v>
      </c>
      <c r="BP278" s="230">
        <f t="shared" si="438"/>
        <v>43</v>
      </c>
      <c r="BQ278" s="235">
        <f t="shared" si="439"/>
        <v>3.2938815789473681</v>
      </c>
      <c r="BR278" s="235" cm="1">
        <f t="array" ref="BR278">$BI278 * IF($AH278&lt;=2,
SUMPRODUCT(INDEX($AR$72:$AT$76,,$AI278), INDEX($AU$72:$BA$76,,$AH278), 1 / ($BB$72:$BB$76*BQ278 + (1-$BB$72:$BB$76)*BM278), N($AQ$72:$AQ$76&gt;$AO278)),
SUMPRODUCT(INDEX($AR$67:$AT$76,,$AI278), INDEX($AU$67:$BA$76,,$AH278), 1 / ($BC$67:$BC$76*BQ278 + (1-$BC$67:$BC$76)*BM278), N($AQ$67:$AQ$76&gt;$AO278))
) / 1000</f>
        <v>0</v>
      </c>
      <c r="BS278" s="232">
        <f t="shared" si="249"/>
        <v>25</v>
      </c>
      <c r="BT278" s="230">
        <f t="shared" si="440"/>
        <v>38</v>
      </c>
      <c r="BU278" s="235">
        <f t="shared" si="441"/>
        <v>3.792954545454545</v>
      </c>
      <c r="BV278" s="235" cm="1">
        <f t="array" ref="BV278">$BI278 * IF($AH278&lt;=2,
SUMPRODUCT(INDEX($AR$67:$AT$71,,$AI278), INDEX($AU$67:$BA$71,,$AH278), 1 / ($BB$67:$BB$71*BU278 + (1-$BB$67:$BB$71)*BQ278), N($AQ$67:$AQ$71&gt;$AO278)),
SUMPRODUCT(INDEX($AR$57:$AT$66,,$AI278), INDEX($AU$57:$BA$66,,$AH278), 1 / ($BC$57:$BC$66*BU278 + (1-$BC$57:$BC$66)*BQ278), N($AQ$57:$AQ$66&gt;$AO278))
) / 1000</f>
        <v>0</v>
      </c>
      <c r="BW278" s="232">
        <f t="shared" si="252"/>
        <v>20</v>
      </c>
      <c r="BX278" s="230">
        <f t="shared" si="442"/>
        <v>33</v>
      </c>
      <c r="BY278" s="235">
        <f t="shared" si="443"/>
        <v>4.4702678571428569</v>
      </c>
      <c r="BZ278" s="235" cm="1">
        <f t="array" ref="BZ278">$BI278 * IF($AH278&lt;=2,
SUMPRODUCT(INDEX($AR$62:$AT$66,,$AI278), INDEX($AU$62:$BA$66,,$AH278), 1 / ($BB$62:$BB$66*BY278 + (1-$BB$62:$BB$66)*BU278), N($AQ$62:$AQ$66&gt;$AO278)),
SUMPRODUCT(INDEX($AR$47:$AT$56,,$AI278), INDEX($AU$47:$BA$56,,$AH278), 1 / ($BC$47:$BC$56*BY278 + (1-$BC$47:$BC$56)*BU278), N($AQ$47:$AQ$56&gt;$AO278))
) / 1000</f>
        <v>0</v>
      </c>
      <c r="CA278" s="235" cm="1">
        <f t="array" ref="CA278">$BI278 * IF($AH278&lt;=2,
SUMPRODUCT(INDEX($AR$23:$AT$61,,$AI278), INDEX($AU$23:$BA$61,,$AH278), 1 / ($BB$23:$BB$61*BY278), N($AQ$23:$AQ$61&gt;$AO278)),
SUMPRODUCT(INDEX($AR$23:$AT$46,,$AI278), INDEX($AU$23:$BA$46,,$AH278), 1 / ($BC$23:$BC$46*BY278), N($AQ$23:$AQ$46&gt;$AO278))
) / 1000</f>
        <v>0</v>
      </c>
      <c r="CB278" s="230">
        <f t="shared" si="444"/>
        <v>0</v>
      </c>
      <c r="CC278" s="238"/>
      <c r="CD278" s="229" cm="1">
        <f t="array" ref="CD278">IF(ISBLANK(Y278), INDEX(Use, $AH278, 4) - AN278*INDEX(Use, $AH278, 6) - (Q278-X278), Y278)</f>
        <v>7</v>
      </c>
      <c r="CE278" s="229">
        <f t="shared" si="445"/>
        <v>32</v>
      </c>
      <c r="CF278" s="230">
        <f t="shared" si="446"/>
        <v>0</v>
      </c>
      <c r="CG278" s="229">
        <v>35</v>
      </c>
      <c r="CH278" s="230">
        <f t="shared" si="447"/>
        <v>48</v>
      </c>
      <c r="CI278" s="235">
        <f t="shared" si="448"/>
        <v>3.0748170731707316</v>
      </c>
      <c r="CJ278" s="235" cm="1">
        <f t="array" ref="CJ278">$BI278 * SUMPRODUCT(INDEX($AR$77:$AT$82,,$AI278),INDEX($AU$77:$BA$82,,$AH278), N($AQ$77:$AQ$82&gt;$AO278)) / CI278 / 1000</f>
        <v>0</v>
      </c>
      <c r="CK278" s="232">
        <f t="shared" si="260"/>
        <v>30</v>
      </c>
      <c r="CL278" s="230">
        <f t="shared" si="449"/>
        <v>43</v>
      </c>
      <c r="CM278" s="235">
        <f t="shared" si="450"/>
        <v>3.5018750000000001</v>
      </c>
      <c r="CN278" s="235" cm="1">
        <f t="array" ref="CN278">$BI278 * IF($AH278&lt;=2,
SUMPRODUCT(INDEX($AR$72:$AT$76,,$AI278), INDEX($AU$72:$BA$76,,$AH278), 1 / ($BB$72:$BB$76*CM278 + (1-$BB$72:$BB$76)*CI278), N($AQ$72:$AQ$76&gt;$AO278)),
SUMPRODUCT(INDEX($AR$67:$AT$76,,$AI278), INDEX($AU$67:$BA$76,,$AH278), 1 / ($BC$67:$BC$76*CM278 + (1-$BC$67:$BC$76)*CI278), N($AQ$67:$AQ$76&gt;$AO278))
) / 1000</f>
        <v>0</v>
      </c>
      <c r="CO278" s="232">
        <f t="shared" si="263"/>
        <v>25</v>
      </c>
      <c r="CP278" s="230">
        <f t="shared" si="451"/>
        <v>38</v>
      </c>
      <c r="CQ278" s="235">
        <f t="shared" si="452"/>
        <v>4.0666935483870965</v>
      </c>
      <c r="CR278" s="235" cm="1">
        <f t="array" ref="CR278">$BI278 * IF($AH278&lt;=2,
SUMPRODUCT(INDEX($AR$67:$AT$71,,$AI278), INDEX($AU$67:$BA$71,,$AH278), 1 / ($BB$67:$BB$71*CQ278 + (1-$BB$67:$BB$71)*CM278), N($AQ$67:$AQ$71&gt;$AO278)),
SUMPRODUCT(INDEX($AR$57:$AT$66,,$AI278), INDEX($AU$57:$BA$66,,$AH278), 1 / ($BC$57:$BC$66*CQ278 + (1-$BC$57:$BC$66)*CM278), N($AQ$57:$AQ$66&gt;$AO278))
) / 1000</f>
        <v>0</v>
      </c>
      <c r="CS278" s="232">
        <f t="shared" si="266"/>
        <v>20</v>
      </c>
      <c r="CT278" s="230">
        <f t="shared" si="453"/>
        <v>33</v>
      </c>
      <c r="CU278" s="235">
        <f t="shared" si="454"/>
        <v>4.8487499999999999</v>
      </c>
      <c r="CV278" s="235" cm="1">
        <f t="array" ref="CV278">$BI278 * IF($AH278&lt;=2,
SUMPRODUCT(INDEX($AR$62:$AT$66,,$AI278), INDEX($AU$62:$BA$66,,$AH278), 1 / ($BB$62:$BB$66*CU278 + (1-$BB$62:$BB$66)*CQ278), N($AQ$62:$AQ$66&gt;$AO278)),
SUMPRODUCT(INDEX($AR$47:$AT$56,,$AI278), INDEX($AU$47:$BA$56,,$AH278), 1 / ($BC$47:$BC$56*CU278 + (1-$BC$47:$BC$56)*CQ278), N($AQ$47:$AQ$56&gt;$AO278))
) / 1000</f>
        <v>0</v>
      </c>
      <c r="CW278" s="235" cm="1">
        <f t="array" ref="CW278">$BI278 * IF($AH278&lt;=2,
SUMPRODUCT(INDEX($AR$23:$AT$61,,$AI278), INDEX($AU$23:$BA$61,,$AH278), 1 / ($BB$23:$BB$61*CU278), N($AQ$23:$AQ$61&gt;$AO278)),
SUMPRODUCT(INDEX($AR$23:$AT$46,,$AI278), INDEX($AU$23:$BA$46,,$AH278), 1 / ($BC$23:$BC$46*CU278), N($AQ$23:$AQ$46&gt;$AO278))
) / 1000</f>
        <v>0</v>
      </c>
      <c r="CX278" s="230">
        <f t="shared" si="455"/>
        <v>0</v>
      </c>
      <c r="CY278" s="238"/>
    </row>
    <row r="279" spans="1:103" s="76" customFormat="1" ht="14.25" customHeight="1" x14ac:dyDescent="0.2">
      <c r="A279" s="231" t="b">
        <f t="shared" si="229"/>
        <v>0</v>
      </c>
      <c r="B279" s="245">
        <v>257</v>
      </c>
      <c r="C279" s="258"/>
      <c r="D279" s="258"/>
      <c r="E279" s="246"/>
      <c r="F279" s="247" t="str">
        <f>IF(ISBLANK(E279), "", VLOOKUP(E279, Z!$A$2:$C$4127, 3, FALSE))</f>
        <v/>
      </c>
      <c r="G279" s="248"/>
      <c r="H279" s="248"/>
      <c r="I279" s="249"/>
      <c r="J279" s="250"/>
      <c r="K279" s="259"/>
      <c r="L279" s="260"/>
      <c r="M279" s="252" t="str" cm="1">
        <f t="array" ref="M279">INDEX(Trad, 53, $A$20)</f>
        <v>Verschmutzt</v>
      </c>
      <c r="N279" s="253"/>
      <c r="O279" s="253"/>
      <c r="P279" s="254"/>
      <c r="Q279" s="251"/>
      <c r="R279" s="251"/>
      <c r="S279" s="264">
        <f t="shared" si="430"/>
        <v>0</v>
      </c>
      <c r="T279" s="252" t="str" cm="1">
        <f t="array" ref="T279">INDEX(Trad, 52, $A$20)</f>
        <v>Sauber</v>
      </c>
      <c r="U279" s="253"/>
      <c r="V279" s="253"/>
      <c r="W279" s="254"/>
      <c r="X279" s="251"/>
      <c r="Y279" s="251"/>
      <c r="Z279" s="264">
        <f t="shared" si="431"/>
        <v>0</v>
      </c>
      <c r="AA279" s="261"/>
      <c r="AB279" s="258"/>
      <c r="AC279" s="246"/>
      <c r="AD279" s="247" t="str">
        <f>IF(ISBLANK(AC279), "", VLOOKUP(AC279, Z!$A$2:$C$4127, 3, FALSE))</f>
        <v/>
      </c>
      <c r="AE279" s="262"/>
      <c r="AF279" s="263">
        <f t="shared" si="432"/>
        <v>0</v>
      </c>
      <c r="AG279" s="238"/>
      <c r="AH279" s="229">
        <f t="shared" si="456"/>
        <v>1</v>
      </c>
      <c r="AI279" s="229">
        <f t="shared" si="457"/>
        <v>1</v>
      </c>
      <c r="AJ279" s="229">
        <f t="shared" si="458"/>
        <v>0</v>
      </c>
      <c r="AK279" s="229">
        <v>0</v>
      </c>
      <c r="AL279" s="229">
        <v>0</v>
      </c>
      <c r="AM279" s="229">
        <v>1</v>
      </c>
      <c r="AN279" s="229">
        <v>0</v>
      </c>
      <c r="AO279" s="229">
        <f t="shared" si="433"/>
        <v>-100</v>
      </c>
      <c r="AP279" s="238"/>
      <c r="AQ279" s="255"/>
      <c r="AR279" s="255"/>
      <c r="AS279" s="256"/>
      <c r="AT279" s="256"/>
      <c r="AU279" s="256"/>
      <c r="AV279" s="256"/>
      <c r="AW279" s="256"/>
      <c r="AX279" s="256"/>
      <c r="AY279" s="256"/>
      <c r="AZ279" s="256"/>
      <c r="BA279" s="256"/>
      <c r="BB279" s="256"/>
      <c r="BC279" s="256"/>
      <c r="BD279" s="238"/>
      <c r="BE279" s="229" cm="1">
        <f t="array" ref="BE279">IF(ISBLANK(R279), INDEX(Use, $AH279, 4) - AM279*INDEX(Use, $AH279, 6), R279)</f>
        <v>5</v>
      </c>
      <c r="BF279" s="229">
        <f t="shared" si="434"/>
        <v>30</v>
      </c>
      <c r="BG279" s="229">
        <f t="shared" si="241"/>
        <v>13</v>
      </c>
      <c r="BH279" s="229">
        <f t="shared" si="242"/>
        <v>0</v>
      </c>
      <c r="BI279" s="234" cm="1">
        <f t="array" ref="BI279">K279/IF($L279&gt;0, INDEX($AU$23:$BA$77, $L279+20, $AH279), 1)</f>
        <v>0</v>
      </c>
      <c r="BJ279" s="230">
        <f t="shared" si="435"/>
        <v>0</v>
      </c>
      <c r="BK279" s="229">
        <v>35</v>
      </c>
      <c r="BL279" s="230">
        <f t="shared" si="436"/>
        <v>48</v>
      </c>
      <c r="BM279" s="235">
        <f t="shared" si="437"/>
        <v>2.9108720930232557</v>
      </c>
      <c r="BN279" s="235" cm="1">
        <f t="array" ref="BN279">$BI279 * SUMPRODUCT(INDEX($AR$77:$AT$82,,$AI279),INDEX($AU$77:$BA$82,,$AH279), N($AQ$77:$AQ$82&gt;$AO279)) / BM279 / 1000</f>
        <v>0</v>
      </c>
      <c r="BO279" s="232">
        <f t="shared" si="246"/>
        <v>30</v>
      </c>
      <c r="BP279" s="230">
        <f t="shared" si="438"/>
        <v>43</v>
      </c>
      <c r="BQ279" s="235">
        <f t="shared" si="439"/>
        <v>3.2938815789473681</v>
      </c>
      <c r="BR279" s="235" cm="1">
        <f t="array" ref="BR279">$BI279 * IF($AH279&lt;=2,
SUMPRODUCT(INDEX($AR$72:$AT$76,,$AI279), INDEX($AU$72:$BA$76,,$AH279), 1 / ($BB$72:$BB$76*BQ279 + (1-$BB$72:$BB$76)*BM279), N($AQ$72:$AQ$76&gt;$AO279)),
SUMPRODUCT(INDEX($AR$67:$AT$76,,$AI279), INDEX($AU$67:$BA$76,,$AH279), 1 / ($BC$67:$BC$76*BQ279 + (1-$BC$67:$BC$76)*BM279), N($AQ$67:$AQ$76&gt;$AO279))
) / 1000</f>
        <v>0</v>
      </c>
      <c r="BS279" s="232">
        <f t="shared" si="249"/>
        <v>25</v>
      </c>
      <c r="BT279" s="230">
        <f t="shared" si="440"/>
        <v>38</v>
      </c>
      <c r="BU279" s="235">
        <f t="shared" si="441"/>
        <v>3.792954545454545</v>
      </c>
      <c r="BV279" s="235" cm="1">
        <f t="array" ref="BV279">$BI279 * IF($AH279&lt;=2,
SUMPRODUCT(INDEX($AR$67:$AT$71,,$AI279), INDEX($AU$67:$BA$71,,$AH279), 1 / ($BB$67:$BB$71*BU279 + (1-$BB$67:$BB$71)*BQ279), N($AQ$67:$AQ$71&gt;$AO279)),
SUMPRODUCT(INDEX($AR$57:$AT$66,,$AI279), INDEX($AU$57:$BA$66,,$AH279), 1 / ($BC$57:$BC$66*BU279 + (1-$BC$57:$BC$66)*BQ279), N($AQ$57:$AQ$66&gt;$AO279))
) / 1000</f>
        <v>0</v>
      </c>
      <c r="BW279" s="232">
        <f t="shared" si="252"/>
        <v>20</v>
      </c>
      <c r="BX279" s="230">
        <f t="shared" si="442"/>
        <v>33</v>
      </c>
      <c r="BY279" s="235">
        <f t="shared" si="443"/>
        <v>4.4702678571428569</v>
      </c>
      <c r="BZ279" s="235" cm="1">
        <f t="array" ref="BZ279">$BI279 * IF($AH279&lt;=2,
SUMPRODUCT(INDEX($AR$62:$AT$66,,$AI279), INDEX($AU$62:$BA$66,,$AH279), 1 / ($BB$62:$BB$66*BY279 + (1-$BB$62:$BB$66)*BU279), N($AQ$62:$AQ$66&gt;$AO279)),
SUMPRODUCT(INDEX($AR$47:$AT$56,,$AI279), INDEX($AU$47:$BA$56,,$AH279), 1 / ($BC$47:$BC$56*BY279 + (1-$BC$47:$BC$56)*BU279), N($AQ$47:$AQ$56&gt;$AO279))
) / 1000</f>
        <v>0</v>
      </c>
      <c r="CA279" s="235" cm="1">
        <f t="array" ref="CA279">$BI279 * IF($AH279&lt;=2,
SUMPRODUCT(INDEX($AR$23:$AT$61,,$AI279), INDEX($AU$23:$BA$61,,$AH279), 1 / ($BB$23:$BB$61*BY279), N($AQ$23:$AQ$61&gt;$AO279)),
SUMPRODUCT(INDEX($AR$23:$AT$46,,$AI279), INDEX($AU$23:$BA$46,,$AH279), 1 / ($BC$23:$BC$46*BY279), N($AQ$23:$AQ$46&gt;$AO279))
) / 1000</f>
        <v>0</v>
      </c>
      <c r="CB279" s="230">
        <f t="shared" si="444"/>
        <v>0</v>
      </c>
      <c r="CC279" s="238"/>
      <c r="CD279" s="229" cm="1">
        <f t="array" ref="CD279">IF(ISBLANK(Y279), INDEX(Use, $AH279, 4) - AN279*INDEX(Use, $AH279, 6) - (Q279-X279), Y279)</f>
        <v>7</v>
      </c>
      <c r="CE279" s="229">
        <f t="shared" si="445"/>
        <v>32</v>
      </c>
      <c r="CF279" s="230">
        <f t="shared" si="446"/>
        <v>0</v>
      </c>
      <c r="CG279" s="229">
        <v>35</v>
      </c>
      <c r="CH279" s="230">
        <f t="shared" si="447"/>
        <v>48</v>
      </c>
      <c r="CI279" s="235">
        <f t="shared" si="448"/>
        <v>3.0748170731707316</v>
      </c>
      <c r="CJ279" s="235" cm="1">
        <f t="array" ref="CJ279">$BI279 * SUMPRODUCT(INDEX($AR$77:$AT$82,,$AI279),INDEX($AU$77:$BA$82,,$AH279), N($AQ$77:$AQ$82&gt;$AO279)) / CI279 / 1000</f>
        <v>0</v>
      </c>
      <c r="CK279" s="232">
        <f t="shared" si="260"/>
        <v>30</v>
      </c>
      <c r="CL279" s="230">
        <f t="shared" si="449"/>
        <v>43</v>
      </c>
      <c r="CM279" s="235">
        <f t="shared" si="450"/>
        <v>3.5018750000000001</v>
      </c>
      <c r="CN279" s="235" cm="1">
        <f t="array" ref="CN279">$BI279 * IF($AH279&lt;=2,
SUMPRODUCT(INDEX($AR$72:$AT$76,,$AI279), INDEX($AU$72:$BA$76,,$AH279), 1 / ($BB$72:$BB$76*CM279 + (1-$BB$72:$BB$76)*CI279), N($AQ$72:$AQ$76&gt;$AO279)),
SUMPRODUCT(INDEX($AR$67:$AT$76,,$AI279), INDEX($AU$67:$BA$76,,$AH279), 1 / ($BC$67:$BC$76*CM279 + (1-$BC$67:$BC$76)*CI279), N($AQ$67:$AQ$76&gt;$AO279))
) / 1000</f>
        <v>0</v>
      </c>
      <c r="CO279" s="232">
        <f t="shared" si="263"/>
        <v>25</v>
      </c>
      <c r="CP279" s="230">
        <f t="shared" si="451"/>
        <v>38</v>
      </c>
      <c r="CQ279" s="235">
        <f t="shared" si="452"/>
        <v>4.0666935483870965</v>
      </c>
      <c r="CR279" s="235" cm="1">
        <f t="array" ref="CR279">$BI279 * IF($AH279&lt;=2,
SUMPRODUCT(INDEX($AR$67:$AT$71,,$AI279), INDEX($AU$67:$BA$71,,$AH279), 1 / ($BB$67:$BB$71*CQ279 + (1-$BB$67:$BB$71)*CM279), N($AQ$67:$AQ$71&gt;$AO279)),
SUMPRODUCT(INDEX($AR$57:$AT$66,,$AI279), INDEX($AU$57:$BA$66,,$AH279), 1 / ($BC$57:$BC$66*CQ279 + (1-$BC$57:$BC$66)*CM279), N($AQ$57:$AQ$66&gt;$AO279))
) / 1000</f>
        <v>0</v>
      </c>
      <c r="CS279" s="232">
        <f t="shared" si="266"/>
        <v>20</v>
      </c>
      <c r="CT279" s="230">
        <f t="shared" si="453"/>
        <v>33</v>
      </c>
      <c r="CU279" s="235">
        <f t="shared" si="454"/>
        <v>4.8487499999999999</v>
      </c>
      <c r="CV279" s="235" cm="1">
        <f t="array" ref="CV279">$BI279 * IF($AH279&lt;=2,
SUMPRODUCT(INDEX($AR$62:$AT$66,,$AI279), INDEX($AU$62:$BA$66,,$AH279), 1 / ($BB$62:$BB$66*CU279 + (1-$BB$62:$BB$66)*CQ279), N($AQ$62:$AQ$66&gt;$AO279)),
SUMPRODUCT(INDEX($AR$47:$AT$56,,$AI279), INDEX($AU$47:$BA$56,,$AH279), 1 / ($BC$47:$BC$56*CU279 + (1-$BC$47:$BC$56)*CQ279), N($AQ$47:$AQ$56&gt;$AO279))
) / 1000</f>
        <v>0</v>
      </c>
      <c r="CW279" s="235" cm="1">
        <f t="array" ref="CW279">$BI279 * IF($AH279&lt;=2,
SUMPRODUCT(INDEX($AR$23:$AT$61,,$AI279), INDEX($AU$23:$BA$61,,$AH279), 1 / ($BB$23:$BB$61*CU279), N($AQ$23:$AQ$61&gt;$AO279)),
SUMPRODUCT(INDEX($AR$23:$AT$46,,$AI279), INDEX($AU$23:$BA$46,,$AH279), 1 / ($BC$23:$BC$46*CU279), N($AQ$23:$AQ$46&gt;$AO279))
) / 1000</f>
        <v>0</v>
      </c>
      <c r="CX279" s="230">
        <f t="shared" si="455"/>
        <v>0</v>
      </c>
      <c r="CY279" s="238"/>
    </row>
    <row r="280" spans="1:103" s="76" customFormat="1" ht="14.25" customHeight="1" x14ac:dyDescent="0.2">
      <c r="A280" s="231" t="b">
        <f t="shared" si="229"/>
        <v>0</v>
      </c>
      <c r="B280" s="245">
        <v>258</v>
      </c>
      <c r="C280" s="258"/>
      <c r="D280" s="258"/>
      <c r="E280" s="246"/>
      <c r="F280" s="247" t="str">
        <f>IF(ISBLANK(E280), "", VLOOKUP(E280, Z!$A$2:$C$4127, 3, FALSE))</f>
        <v/>
      </c>
      <c r="G280" s="248"/>
      <c r="H280" s="248"/>
      <c r="I280" s="249"/>
      <c r="J280" s="250"/>
      <c r="K280" s="259"/>
      <c r="L280" s="260"/>
      <c r="M280" s="252" t="str" cm="1">
        <f t="array" ref="M280">INDEX(Trad, 53, $A$20)</f>
        <v>Verschmutzt</v>
      </c>
      <c r="N280" s="253"/>
      <c r="O280" s="253"/>
      <c r="P280" s="254"/>
      <c r="Q280" s="251"/>
      <c r="R280" s="251"/>
      <c r="S280" s="264">
        <f t="shared" si="430"/>
        <v>0</v>
      </c>
      <c r="T280" s="252" t="str" cm="1">
        <f t="array" ref="T280">INDEX(Trad, 52, $A$20)</f>
        <v>Sauber</v>
      </c>
      <c r="U280" s="253"/>
      <c r="V280" s="253"/>
      <c r="W280" s="254"/>
      <c r="X280" s="251"/>
      <c r="Y280" s="251"/>
      <c r="Z280" s="264">
        <f t="shared" si="431"/>
        <v>0</v>
      </c>
      <c r="AA280" s="261"/>
      <c r="AB280" s="258"/>
      <c r="AC280" s="246"/>
      <c r="AD280" s="247" t="str">
        <f>IF(ISBLANK(AC280), "", VLOOKUP(AC280, Z!$A$2:$C$4127, 3, FALSE))</f>
        <v/>
      </c>
      <c r="AE280" s="262"/>
      <c r="AF280" s="263">
        <f t="shared" si="432"/>
        <v>0</v>
      </c>
      <c r="AG280" s="238"/>
      <c r="AH280" s="229">
        <f t="shared" si="456"/>
        <v>1</v>
      </c>
      <c r="AI280" s="229">
        <f t="shared" si="457"/>
        <v>1</v>
      </c>
      <c r="AJ280" s="229">
        <f t="shared" si="458"/>
        <v>0</v>
      </c>
      <c r="AK280" s="229">
        <v>0</v>
      </c>
      <c r="AL280" s="229">
        <v>0</v>
      </c>
      <c r="AM280" s="229">
        <v>1</v>
      </c>
      <c r="AN280" s="229">
        <v>0</v>
      </c>
      <c r="AO280" s="229">
        <f t="shared" si="433"/>
        <v>-100</v>
      </c>
      <c r="AP280" s="238"/>
      <c r="AQ280" s="255"/>
      <c r="AR280" s="255"/>
      <c r="AS280" s="256"/>
      <c r="AT280" s="256"/>
      <c r="AU280" s="256"/>
      <c r="AV280" s="256"/>
      <c r="AW280" s="256"/>
      <c r="AX280" s="256"/>
      <c r="AY280" s="256"/>
      <c r="AZ280" s="256"/>
      <c r="BA280" s="256"/>
      <c r="BB280" s="256"/>
      <c r="BC280" s="256"/>
      <c r="BD280" s="238"/>
      <c r="BE280" s="229" cm="1">
        <f t="array" ref="BE280">IF(ISBLANK(R280), INDEX(Use, $AH280, 4) - AM280*INDEX(Use, $AH280, 6), R280)</f>
        <v>5</v>
      </c>
      <c r="BF280" s="229">
        <f t="shared" si="434"/>
        <v>30</v>
      </c>
      <c r="BG280" s="229">
        <f t="shared" si="241"/>
        <v>13</v>
      </c>
      <c r="BH280" s="229">
        <f t="shared" si="242"/>
        <v>0</v>
      </c>
      <c r="BI280" s="234" cm="1">
        <f t="array" ref="BI280">K280/IF($L280&gt;0, INDEX($AU$23:$BA$77, $L280+20, $AH280), 1)</f>
        <v>0</v>
      </c>
      <c r="BJ280" s="230">
        <f t="shared" si="435"/>
        <v>0</v>
      </c>
      <c r="BK280" s="229">
        <v>35</v>
      </c>
      <c r="BL280" s="230">
        <f t="shared" si="436"/>
        <v>48</v>
      </c>
      <c r="BM280" s="235">
        <f t="shared" si="437"/>
        <v>2.9108720930232557</v>
      </c>
      <c r="BN280" s="235" cm="1">
        <f t="array" ref="BN280">$BI280 * SUMPRODUCT(INDEX($AR$77:$AT$82,,$AI280),INDEX($AU$77:$BA$82,,$AH280), N($AQ$77:$AQ$82&gt;$AO280)) / BM280 / 1000</f>
        <v>0</v>
      </c>
      <c r="BO280" s="232">
        <f t="shared" si="246"/>
        <v>30</v>
      </c>
      <c r="BP280" s="230">
        <f t="shared" si="438"/>
        <v>43</v>
      </c>
      <c r="BQ280" s="235">
        <f t="shared" si="439"/>
        <v>3.2938815789473681</v>
      </c>
      <c r="BR280" s="235" cm="1">
        <f t="array" ref="BR280">$BI280 * IF($AH280&lt;=2,
SUMPRODUCT(INDEX($AR$72:$AT$76,,$AI280), INDEX($AU$72:$BA$76,,$AH280), 1 / ($BB$72:$BB$76*BQ280 + (1-$BB$72:$BB$76)*BM280), N($AQ$72:$AQ$76&gt;$AO280)),
SUMPRODUCT(INDEX($AR$67:$AT$76,,$AI280), INDEX($AU$67:$BA$76,,$AH280), 1 / ($BC$67:$BC$76*BQ280 + (1-$BC$67:$BC$76)*BM280), N($AQ$67:$AQ$76&gt;$AO280))
) / 1000</f>
        <v>0</v>
      </c>
      <c r="BS280" s="232">
        <f t="shared" si="249"/>
        <v>25</v>
      </c>
      <c r="BT280" s="230">
        <f t="shared" si="440"/>
        <v>38</v>
      </c>
      <c r="BU280" s="235">
        <f t="shared" si="441"/>
        <v>3.792954545454545</v>
      </c>
      <c r="BV280" s="235" cm="1">
        <f t="array" ref="BV280">$BI280 * IF($AH280&lt;=2,
SUMPRODUCT(INDEX($AR$67:$AT$71,,$AI280), INDEX($AU$67:$BA$71,,$AH280), 1 / ($BB$67:$BB$71*BU280 + (1-$BB$67:$BB$71)*BQ280), N($AQ$67:$AQ$71&gt;$AO280)),
SUMPRODUCT(INDEX($AR$57:$AT$66,,$AI280), INDEX($AU$57:$BA$66,,$AH280), 1 / ($BC$57:$BC$66*BU280 + (1-$BC$57:$BC$66)*BQ280), N($AQ$57:$AQ$66&gt;$AO280))
) / 1000</f>
        <v>0</v>
      </c>
      <c r="BW280" s="232">
        <f t="shared" si="252"/>
        <v>20</v>
      </c>
      <c r="BX280" s="230">
        <f t="shared" si="442"/>
        <v>33</v>
      </c>
      <c r="BY280" s="235">
        <f t="shared" si="443"/>
        <v>4.4702678571428569</v>
      </c>
      <c r="BZ280" s="235" cm="1">
        <f t="array" ref="BZ280">$BI280 * IF($AH280&lt;=2,
SUMPRODUCT(INDEX($AR$62:$AT$66,,$AI280), INDEX($AU$62:$BA$66,,$AH280), 1 / ($BB$62:$BB$66*BY280 + (1-$BB$62:$BB$66)*BU280), N($AQ$62:$AQ$66&gt;$AO280)),
SUMPRODUCT(INDEX($AR$47:$AT$56,,$AI280), INDEX($AU$47:$BA$56,,$AH280), 1 / ($BC$47:$BC$56*BY280 + (1-$BC$47:$BC$56)*BU280), N($AQ$47:$AQ$56&gt;$AO280))
) / 1000</f>
        <v>0</v>
      </c>
      <c r="CA280" s="235" cm="1">
        <f t="array" ref="CA280">$BI280 * IF($AH280&lt;=2,
SUMPRODUCT(INDEX($AR$23:$AT$61,,$AI280), INDEX($AU$23:$BA$61,,$AH280), 1 / ($BB$23:$BB$61*BY280), N($AQ$23:$AQ$61&gt;$AO280)),
SUMPRODUCT(INDEX($AR$23:$AT$46,,$AI280), INDEX($AU$23:$BA$46,,$AH280), 1 / ($BC$23:$BC$46*BY280), N($AQ$23:$AQ$46&gt;$AO280))
) / 1000</f>
        <v>0</v>
      </c>
      <c r="CB280" s="230">
        <f t="shared" si="444"/>
        <v>0</v>
      </c>
      <c r="CC280" s="238"/>
      <c r="CD280" s="229" cm="1">
        <f t="array" ref="CD280">IF(ISBLANK(Y280), INDEX(Use, $AH280, 4) - AN280*INDEX(Use, $AH280, 6) - (Q280-X280), Y280)</f>
        <v>7</v>
      </c>
      <c r="CE280" s="229">
        <f t="shared" si="445"/>
        <v>32</v>
      </c>
      <c r="CF280" s="230">
        <f t="shared" si="446"/>
        <v>0</v>
      </c>
      <c r="CG280" s="229">
        <v>35</v>
      </c>
      <c r="CH280" s="230">
        <f t="shared" si="447"/>
        <v>48</v>
      </c>
      <c r="CI280" s="235">
        <f t="shared" si="448"/>
        <v>3.0748170731707316</v>
      </c>
      <c r="CJ280" s="235" cm="1">
        <f t="array" ref="CJ280">$BI280 * SUMPRODUCT(INDEX($AR$77:$AT$82,,$AI280),INDEX($AU$77:$BA$82,,$AH280), N($AQ$77:$AQ$82&gt;$AO280)) / CI280 / 1000</f>
        <v>0</v>
      </c>
      <c r="CK280" s="232">
        <f t="shared" si="260"/>
        <v>30</v>
      </c>
      <c r="CL280" s="230">
        <f t="shared" si="449"/>
        <v>43</v>
      </c>
      <c r="CM280" s="235">
        <f t="shared" si="450"/>
        <v>3.5018750000000001</v>
      </c>
      <c r="CN280" s="235" cm="1">
        <f t="array" ref="CN280">$BI280 * IF($AH280&lt;=2,
SUMPRODUCT(INDEX($AR$72:$AT$76,,$AI280), INDEX($AU$72:$BA$76,,$AH280), 1 / ($BB$72:$BB$76*CM280 + (1-$BB$72:$BB$76)*CI280), N($AQ$72:$AQ$76&gt;$AO280)),
SUMPRODUCT(INDEX($AR$67:$AT$76,,$AI280), INDEX($AU$67:$BA$76,,$AH280), 1 / ($BC$67:$BC$76*CM280 + (1-$BC$67:$BC$76)*CI280), N($AQ$67:$AQ$76&gt;$AO280))
) / 1000</f>
        <v>0</v>
      </c>
      <c r="CO280" s="232">
        <f t="shared" si="263"/>
        <v>25</v>
      </c>
      <c r="CP280" s="230">
        <f t="shared" si="451"/>
        <v>38</v>
      </c>
      <c r="CQ280" s="235">
        <f t="shared" si="452"/>
        <v>4.0666935483870965</v>
      </c>
      <c r="CR280" s="235" cm="1">
        <f t="array" ref="CR280">$BI280 * IF($AH280&lt;=2,
SUMPRODUCT(INDEX($AR$67:$AT$71,,$AI280), INDEX($AU$67:$BA$71,,$AH280), 1 / ($BB$67:$BB$71*CQ280 + (1-$BB$67:$BB$71)*CM280), N($AQ$67:$AQ$71&gt;$AO280)),
SUMPRODUCT(INDEX($AR$57:$AT$66,,$AI280), INDEX($AU$57:$BA$66,,$AH280), 1 / ($BC$57:$BC$66*CQ280 + (1-$BC$57:$BC$66)*CM280), N($AQ$57:$AQ$66&gt;$AO280))
) / 1000</f>
        <v>0</v>
      </c>
      <c r="CS280" s="232">
        <f t="shared" si="266"/>
        <v>20</v>
      </c>
      <c r="CT280" s="230">
        <f t="shared" si="453"/>
        <v>33</v>
      </c>
      <c r="CU280" s="235">
        <f t="shared" si="454"/>
        <v>4.8487499999999999</v>
      </c>
      <c r="CV280" s="235" cm="1">
        <f t="array" ref="CV280">$BI280 * IF($AH280&lt;=2,
SUMPRODUCT(INDEX($AR$62:$AT$66,,$AI280), INDEX($AU$62:$BA$66,,$AH280), 1 / ($BB$62:$BB$66*CU280 + (1-$BB$62:$BB$66)*CQ280), N($AQ$62:$AQ$66&gt;$AO280)),
SUMPRODUCT(INDEX($AR$47:$AT$56,,$AI280), INDEX($AU$47:$BA$56,,$AH280), 1 / ($BC$47:$BC$56*CU280 + (1-$BC$47:$BC$56)*CQ280), N($AQ$47:$AQ$56&gt;$AO280))
) / 1000</f>
        <v>0</v>
      </c>
      <c r="CW280" s="235" cm="1">
        <f t="array" ref="CW280">$BI280 * IF($AH280&lt;=2,
SUMPRODUCT(INDEX($AR$23:$AT$61,,$AI280), INDEX($AU$23:$BA$61,,$AH280), 1 / ($BB$23:$BB$61*CU280), N($AQ$23:$AQ$61&gt;$AO280)),
SUMPRODUCT(INDEX($AR$23:$AT$46,,$AI280), INDEX($AU$23:$BA$46,,$AH280), 1 / ($BC$23:$BC$46*CU280), N($AQ$23:$AQ$46&gt;$AO280))
) / 1000</f>
        <v>0</v>
      </c>
      <c r="CX280" s="230">
        <f t="shared" si="455"/>
        <v>0</v>
      </c>
      <c r="CY280" s="238"/>
    </row>
    <row r="281" spans="1:103" s="76" customFormat="1" ht="14.25" customHeight="1" x14ac:dyDescent="0.2">
      <c r="A281" s="231" t="b">
        <f t="shared" si="229"/>
        <v>0</v>
      </c>
      <c r="B281" s="245">
        <v>259</v>
      </c>
      <c r="C281" s="258"/>
      <c r="D281" s="258"/>
      <c r="E281" s="246"/>
      <c r="F281" s="247" t="str">
        <f>IF(ISBLANK(E281), "", VLOOKUP(E281, Z!$A$2:$C$4127, 3, FALSE))</f>
        <v/>
      </c>
      <c r="G281" s="248"/>
      <c r="H281" s="248"/>
      <c r="I281" s="249"/>
      <c r="J281" s="250"/>
      <c r="K281" s="259"/>
      <c r="L281" s="260"/>
      <c r="M281" s="252" t="str" cm="1">
        <f t="array" ref="M281">INDEX(Trad, 53, $A$20)</f>
        <v>Verschmutzt</v>
      </c>
      <c r="N281" s="253"/>
      <c r="O281" s="253"/>
      <c r="P281" s="254"/>
      <c r="Q281" s="251"/>
      <c r="R281" s="251"/>
      <c r="S281" s="264">
        <f t="shared" si="430"/>
        <v>0</v>
      </c>
      <c r="T281" s="252" t="str" cm="1">
        <f t="array" ref="T281">INDEX(Trad, 52, $A$20)</f>
        <v>Sauber</v>
      </c>
      <c r="U281" s="253"/>
      <c r="V281" s="253"/>
      <c r="W281" s="254"/>
      <c r="X281" s="251"/>
      <c r="Y281" s="251"/>
      <c r="Z281" s="264">
        <f t="shared" si="431"/>
        <v>0</v>
      </c>
      <c r="AA281" s="261"/>
      <c r="AB281" s="258"/>
      <c r="AC281" s="246"/>
      <c r="AD281" s="247" t="str">
        <f>IF(ISBLANK(AC281), "", VLOOKUP(AC281, Z!$A$2:$C$4127, 3, FALSE))</f>
        <v/>
      </c>
      <c r="AE281" s="262"/>
      <c r="AF281" s="263">
        <f t="shared" si="432"/>
        <v>0</v>
      </c>
      <c r="AG281" s="238"/>
      <c r="AH281" s="229">
        <f t="shared" si="456"/>
        <v>1</v>
      </c>
      <c r="AI281" s="229">
        <f t="shared" si="457"/>
        <v>1</v>
      </c>
      <c r="AJ281" s="229">
        <f t="shared" si="458"/>
        <v>0</v>
      </c>
      <c r="AK281" s="229">
        <v>0</v>
      </c>
      <c r="AL281" s="229">
        <v>0</v>
      </c>
      <c r="AM281" s="229">
        <v>1</v>
      </c>
      <c r="AN281" s="229">
        <v>0</v>
      </c>
      <c r="AO281" s="229">
        <f t="shared" si="433"/>
        <v>-100</v>
      </c>
      <c r="AP281" s="238"/>
      <c r="AQ281" s="255"/>
      <c r="AR281" s="255"/>
      <c r="AS281" s="256"/>
      <c r="AT281" s="256"/>
      <c r="AU281" s="256"/>
      <c r="AV281" s="256"/>
      <c r="AW281" s="256"/>
      <c r="AX281" s="256"/>
      <c r="AY281" s="256"/>
      <c r="AZ281" s="256"/>
      <c r="BA281" s="256"/>
      <c r="BB281" s="256"/>
      <c r="BC281" s="256"/>
      <c r="BD281" s="238"/>
      <c r="BE281" s="229" cm="1">
        <f t="array" ref="BE281">IF(ISBLANK(R281), INDEX(Use, $AH281, 4) - AM281*INDEX(Use, $AH281, 6), R281)</f>
        <v>5</v>
      </c>
      <c r="BF281" s="229">
        <f t="shared" si="434"/>
        <v>30</v>
      </c>
      <c r="BG281" s="229">
        <f t="shared" si="241"/>
        <v>13</v>
      </c>
      <c r="BH281" s="229">
        <f t="shared" si="242"/>
        <v>0</v>
      </c>
      <c r="BI281" s="234" cm="1">
        <f t="array" ref="BI281">K281/IF($L281&gt;0, INDEX($AU$23:$BA$77, $L281+20, $AH281), 1)</f>
        <v>0</v>
      </c>
      <c r="BJ281" s="230">
        <f t="shared" si="435"/>
        <v>0</v>
      </c>
      <c r="BK281" s="229">
        <v>35</v>
      </c>
      <c r="BL281" s="230">
        <f t="shared" si="436"/>
        <v>48</v>
      </c>
      <c r="BM281" s="235">
        <f t="shared" si="437"/>
        <v>2.9108720930232557</v>
      </c>
      <c r="BN281" s="235" cm="1">
        <f t="array" ref="BN281">$BI281 * SUMPRODUCT(INDEX($AR$77:$AT$82,,$AI281),INDEX($AU$77:$BA$82,,$AH281), N($AQ$77:$AQ$82&gt;$AO281)) / BM281 / 1000</f>
        <v>0</v>
      </c>
      <c r="BO281" s="232">
        <f t="shared" si="246"/>
        <v>30</v>
      </c>
      <c r="BP281" s="230">
        <f t="shared" si="438"/>
        <v>43</v>
      </c>
      <c r="BQ281" s="235">
        <f t="shared" si="439"/>
        <v>3.2938815789473681</v>
      </c>
      <c r="BR281" s="235" cm="1">
        <f t="array" ref="BR281">$BI281 * IF($AH281&lt;=2,
SUMPRODUCT(INDEX($AR$72:$AT$76,,$AI281), INDEX($AU$72:$BA$76,,$AH281), 1 / ($BB$72:$BB$76*BQ281 + (1-$BB$72:$BB$76)*BM281), N($AQ$72:$AQ$76&gt;$AO281)),
SUMPRODUCT(INDEX($AR$67:$AT$76,,$AI281), INDEX($AU$67:$BA$76,,$AH281), 1 / ($BC$67:$BC$76*BQ281 + (1-$BC$67:$BC$76)*BM281), N($AQ$67:$AQ$76&gt;$AO281))
) / 1000</f>
        <v>0</v>
      </c>
      <c r="BS281" s="232">
        <f t="shared" si="249"/>
        <v>25</v>
      </c>
      <c r="BT281" s="230">
        <f t="shared" si="440"/>
        <v>38</v>
      </c>
      <c r="BU281" s="235">
        <f t="shared" si="441"/>
        <v>3.792954545454545</v>
      </c>
      <c r="BV281" s="235" cm="1">
        <f t="array" ref="BV281">$BI281 * IF($AH281&lt;=2,
SUMPRODUCT(INDEX($AR$67:$AT$71,,$AI281), INDEX($AU$67:$BA$71,,$AH281), 1 / ($BB$67:$BB$71*BU281 + (1-$BB$67:$BB$71)*BQ281), N($AQ$67:$AQ$71&gt;$AO281)),
SUMPRODUCT(INDEX($AR$57:$AT$66,,$AI281), INDEX($AU$57:$BA$66,,$AH281), 1 / ($BC$57:$BC$66*BU281 + (1-$BC$57:$BC$66)*BQ281), N($AQ$57:$AQ$66&gt;$AO281))
) / 1000</f>
        <v>0</v>
      </c>
      <c r="BW281" s="232">
        <f t="shared" si="252"/>
        <v>20</v>
      </c>
      <c r="BX281" s="230">
        <f t="shared" si="442"/>
        <v>33</v>
      </c>
      <c r="BY281" s="235">
        <f t="shared" si="443"/>
        <v>4.4702678571428569</v>
      </c>
      <c r="BZ281" s="235" cm="1">
        <f t="array" ref="BZ281">$BI281 * IF($AH281&lt;=2,
SUMPRODUCT(INDEX($AR$62:$AT$66,,$AI281), INDEX($AU$62:$BA$66,,$AH281), 1 / ($BB$62:$BB$66*BY281 + (1-$BB$62:$BB$66)*BU281), N($AQ$62:$AQ$66&gt;$AO281)),
SUMPRODUCT(INDEX($AR$47:$AT$56,,$AI281), INDEX($AU$47:$BA$56,,$AH281), 1 / ($BC$47:$BC$56*BY281 + (1-$BC$47:$BC$56)*BU281), N($AQ$47:$AQ$56&gt;$AO281))
) / 1000</f>
        <v>0</v>
      </c>
      <c r="CA281" s="235" cm="1">
        <f t="array" ref="CA281">$BI281 * IF($AH281&lt;=2,
SUMPRODUCT(INDEX($AR$23:$AT$61,,$AI281), INDEX($AU$23:$BA$61,,$AH281), 1 / ($BB$23:$BB$61*BY281), N($AQ$23:$AQ$61&gt;$AO281)),
SUMPRODUCT(INDEX($AR$23:$AT$46,,$AI281), INDEX($AU$23:$BA$46,,$AH281), 1 / ($BC$23:$BC$46*BY281), N($AQ$23:$AQ$46&gt;$AO281))
) / 1000</f>
        <v>0</v>
      </c>
      <c r="CB281" s="230">
        <f t="shared" si="444"/>
        <v>0</v>
      </c>
      <c r="CC281" s="238"/>
      <c r="CD281" s="229" cm="1">
        <f t="array" ref="CD281">IF(ISBLANK(Y281), INDEX(Use, $AH281, 4) - AN281*INDEX(Use, $AH281, 6) - (Q281-X281), Y281)</f>
        <v>7</v>
      </c>
      <c r="CE281" s="229">
        <f t="shared" si="445"/>
        <v>32</v>
      </c>
      <c r="CF281" s="230">
        <f t="shared" si="446"/>
        <v>0</v>
      </c>
      <c r="CG281" s="229">
        <v>35</v>
      </c>
      <c r="CH281" s="230">
        <f t="shared" si="447"/>
        <v>48</v>
      </c>
      <c r="CI281" s="235">
        <f t="shared" si="448"/>
        <v>3.0748170731707316</v>
      </c>
      <c r="CJ281" s="235" cm="1">
        <f t="array" ref="CJ281">$BI281 * SUMPRODUCT(INDEX($AR$77:$AT$82,,$AI281),INDEX($AU$77:$BA$82,,$AH281), N($AQ$77:$AQ$82&gt;$AO281)) / CI281 / 1000</f>
        <v>0</v>
      </c>
      <c r="CK281" s="232">
        <f t="shared" si="260"/>
        <v>30</v>
      </c>
      <c r="CL281" s="230">
        <f t="shared" si="449"/>
        <v>43</v>
      </c>
      <c r="CM281" s="235">
        <f t="shared" si="450"/>
        <v>3.5018750000000001</v>
      </c>
      <c r="CN281" s="235" cm="1">
        <f t="array" ref="CN281">$BI281 * IF($AH281&lt;=2,
SUMPRODUCT(INDEX($AR$72:$AT$76,,$AI281), INDEX($AU$72:$BA$76,,$AH281), 1 / ($BB$72:$BB$76*CM281 + (1-$BB$72:$BB$76)*CI281), N($AQ$72:$AQ$76&gt;$AO281)),
SUMPRODUCT(INDEX($AR$67:$AT$76,,$AI281), INDEX($AU$67:$BA$76,,$AH281), 1 / ($BC$67:$BC$76*CM281 + (1-$BC$67:$BC$76)*CI281), N($AQ$67:$AQ$76&gt;$AO281))
) / 1000</f>
        <v>0</v>
      </c>
      <c r="CO281" s="232">
        <f t="shared" si="263"/>
        <v>25</v>
      </c>
      <c r="CP281" s="230">
        <f t="shared" si="451"/>
        <v>38</v>
      </c>
      <c r="CQ281" s="235">
        <f t="shared" si="452"/>
        <v>4.0666935483870965</v>
      </c>
      <c r="CR281" s="235" cm="1">
        <f t="array" ref="CR281">$BI281 * IF($AH281&lt;=2,
SUMPRODUCT(INDEX($AR$67:$AT$71,,$AI281), INDEX($AU$67:$BA$71,,$AH281), 1 / ($BB$67:$BB$71*CQ281 + (1-$BB$67:$BB$71)*CM281), N($AQ$67:$AQ$71&gt;$AO281)),
SUMPRODUCT(INDEX($AR$57:$AT$66,,$AI281), INDEX($AU$57:$BA$66,,$AH281), 1 / ($BC$57:$BC$66*CQ281 + (1-$BC$57:$BC$66)*CM281), N($AQ$57:$AQ$66&gt;$AO281))
) / 1000</f>
        <v>0</v>
      </c>
      <c r="CS281" s="232">
        <f t="shared" si="266"/>
        <v>20</v>
      </c>
      <c r="CT281" s="230">
        <f t="shared" si="453"/>
        <v>33</v>
      </c>
      <c r="CU281" s="235">
        <f t="shared" si="454"/>
        <v>4.8487499999999999</v>
      </c>
      <c r="CV281" s="235" cm="1">
        <f t="array" ref="CV281">$BI281 * IF($AH281&lt;=2,
SUMPRODUCT(INDEX($AR$62:$AT$66,,$AI281), INDEX($AU$62:$BA$66,,$AH281), 1 / ($BB$62:$BB$66*CU281 + (1-$BB$62:$BB$66)*CQ281), N($AQ$62:$AQ$66&gt;$AO281)),
SUMPRODUCT(INDEX($AR$47:$AT$56,,$AI281), INDEX($AU$47:$BA$56,,$AH281), 1 / ($BC$47:$BC$56*CU281 + (1-$BC$47:$BC$56)*CQ281), N($AQ$47:$AQ$56&gt;$AO281))
) / 1000</f>
        <v>0</v>
      </c>
      <c r="CW281" s="235" cm="1">
        <f t="array" ref="CW281">$BI281 * IF($AH281&lt;=2,
SUMPRODUCT(INDEX($AR$23:$AT$61,,$AI281), INDEX($AU$23:$BA$61,,$AH281), 1 / ($BB$23:$BB$61*CU281), N($AQ$23:$AQ$61&gt;$AO281)),
SUMPRODUCT(INDEX($AR$23:$AT$46,,$AI281), INDEX($AU$23:$BA$46,,$AH281), 1 / ($BC$23:$BC$46*CU281), N($AQ$23:$AQ$46&gt;$AO281))
) / 1000</f>
        <v>0</v>
      </c>
      <c r="CX281" s="230">
        <f t="shared" si="455"/>
        <v>0</v>
      </c>
      <c r="CY281" s="238"/>
    </row>
    <row r="282" spans="1:103" s="76" customFormat="1" ht="14.25" customHeight="1" x14ac:dyDescent="0.2">
      <c r="A282" s="231" t="b">
        <f t="shared" si="229"/>
        <v>0</v>
      </c>
      <c r="B282" s="245">
        <v>260</v>
      </c>
      <c r="C282" s="258"/>
      <c r="D282" s="258"/>
      <c r="E282" s="246"/>
      <c r="F282" s="247" t="str">
        <f>IF(ISBLANK(E282), "", VLOOKUP(E282, Z!$A$2:$C$4127, 3, FALSE))</f>
        <v/>
      </c>
      <c r="G282" s="248"/>
      <c r="H282" s="248"/>
      <c r="I282" s="249"/>
      <c r="J282" s="250"/>
      <c r="K282" s="259"/>
      <c r="L282" s="260"/>
      <c r="M282" s="252" t="str" cm="1">
        <f t="array" ref="M282">INDEX(Trad, 53, $A$20)</f>
        <v>Verschmutzt</v>
      </c>
      <c r="N282" s="253"/>
      <c r="O282" s="253"/>
      <c r="P282" s="254"/>
      <c r="Q282" s="251"/>
      <c r="R282" s="251"/>
      <c r="S282" s="264">
        <f t="shared" si="430"/>
        <v>0</v>
      </c>
      <c r="T282" s="252" t="str" cm="1">
        <f t="array" ref="T282">INDEX(Trad, 52, $A$20)</f>
        <v>Sauber</v>
      </c>
      <c r="U282" s="253"/>
      <c r="V282" s="253"/>
      <c r="W282" s="254"/>
      <c r="X282" s="251"/>
      <c r="Y282" s="251"/>
      <c r="Z282" s="264">
        <f t="shared" si="431"/>
        <v>0</v>
      </c>
      <c r="AA282" s="261"/>
      <c r="AB282" s="258"/>
      <c r="AC282" s="246"/>
      <c r="AD282" s="247" t="str">
        <f>IF(ISBLANK(AC282), "", VLOOKUP(AC282, Z!$A$2:$C$4127, 3, FALSE))</f>
        <v/>
      </c>
      <c r="AE282" s="262"/>
      <c r="AF282" s="263">
        <f t="shared" si="432"/>
        <v>0</v>
      </c>
      <c r="AG282" s="238"/>
      <c r="AH282" s="229">
        <f t="shared" si="456"/>
        <v>1</v>
      </c>
      <c r="AI282" s="229">
        <f t="shared" si="457"/>
        <v>1</v>
      </c>
      <c r="AJ282" s="229">
        <f t="shared" si="458"/>
        <v>0</v>
      </c>
      <c r="AK282" s="229">
        <v>0</v>
      </c>
      <c r="AL282" s="229">
        <v>0</v>
      </c>
      <c r="AM282" s="229">
        <v>1</v>
      </c>
      <c r="AN282" s="229">
        <v>0</v>
      </c>
      <c r="AO282" s="229">
        <f t="shared" si="433"/>
        <v>-100</v>
      </c>
      <c r="AP282" s="238"/>
      <c r="AQ282" s="255"/>
      <c r="AR282" s="255"/>
      <c r="AS282" s="256"/>
      <c r="AT282" s="256"/>
      <c r="AU282" s="256"/>
      <c r="AV282" s="256"/>
      <c r="AW282" s="256"/>
      <c r="AX282" s="256"/>
      <c r="AY282" s="256"/>
      <c r="AZ282" s="256"/>
      <c r="BA282" s="256"/>
      <c r="BB282" s="256"/>
      <c r="BC282" s="256"/>
      <c r="BD282" s="238"/>
      <c r="BE282" s="229" cm="1">
        <f t="array" ref="BE282">IF(ISBLANK(R282), INDEX(Use, $AH282, 4) - AM282*INDEX(Use, $AH282, 6), R282)</f>
        <v>5</v>
      </c>
      <c r="BF282" s="229">
        <f t="shared" si="434"/>
        <v>30</v>
      </c>
      <c r="BG282" s="229">
        <f t="shared" si="241"/>
        <v>13</v>
      </c>
      <c r="BH282" s="229">
        <f t="shared" si="242"/>
        <v>0</v>
      </c>
      <c r="BI282" s="234" cm="1">
        <f t="array" ref="BI282">K282/IF($L282&gt;0, INDEX($AU$23:$BA$77, $L282+20, $AH282), 1)</f>
        <v>0</v>
      </c>
      <c r="BJ282" s="230">
        <f t="shared" si="435"/>
        <v>0</v>
      </c>
      <c r="BK282" s="229">
        <v>35</v>
      </c>
      <c r="BL282" s="230">
        <f t="shared" si="436"/>
        <v>48</v>
      </c>
      <c r="BM282" s="235">
        <f t="shared" si="437"/>
        <v>2.9108720930232557</v>
      </c>
      <c r="BN282" s="235" cm="1">
        <f t="array" ref="BN282">$BI282 * SUMPRODUCT(INDEX($AR$77:$AT$82,,$AI282),INDEX($AU$77:$BA$82,,$AH282), N($AQ$77:$AQ$82&gt;$AO282)) / BM282 / 1000</f>
        <v>0</v>
      </c>
      <c r="BO282" s="232">
        <f t="shared" si="246"/>
        <v>30</v>
      </c>
      <c r="BP282" s="230">
        <f t="shared" si="438"/>
        <v>43</v>
      </c>
      <c r="BQ282" s="235">
        <f t="shared" si="439"/>
        <v>3.2938815789473681</v>
      </c>
      <c r="BR282" s="235" cm="1">
        <f t="array" ref="BR282">$BI282 * IF($AH282&lt;=2,
SUMPRODUCT(INDEX($AR$72:$AT$76,,$AI282), INDEX($AU$72:$BA$76,,$AH282), 1 / ($BB$72:$BB$76*BQ282 + (1-$BB$72:$BB$76)*BM282), N($AQ$72:$AQ$76&gt;$AO282)),
SUMPRODUCT(INDEX($AR$67:$AT$76,,$AI282), INDEX($AU$67:$BA$76,,$AH282), 1 / ($BC$67:$BC$76*BQ282 + (1-$BC$67:$BC$76)*BM282), N($AQ$67:$AQ$76&gt;$AO282))
) / 1000</f>
        <v>0</v>
      </c>
      <c r="BS282" s="232">
        <f t="shared" si="249"/>
        <v>25</v>
      </c>
      <c r="BT282" s="230">
        <f t="shared" si="440"/>
        <v>38</v>
      </c>
      <c r="BU282" s="235">
        <f t="shared" si="441"/>
        <v>3.792954545454545</v>
      </c>
      <c r="BV282" s="235" cm="1">
        <f t="array" ref="BV282">$BI282 * IF($AH282&lt;=2,
SUMPRODUCT(INDEX($AR$67:$AT$71,,$AI282), INDEX($AU$67:$BA$71,,$AH282), 1 / ($BB$67:$BB$71*BU282 + (1-$BB$67:$BB$71)*BQ282), N($AQ$67:$AQ$71&gt;$AO282)),
SUMPRODUCT(INDEX($AR$57:$AT$66,,$AI282), INDEX($AU$57:$BA$66,,$AH282), 1 / ($BC$57:$BC$66*BU282 + (1-$BC$57:$BC$66)*BQ282), N($AQ$57:$AQ$66&gt;$AO282))
) / 1000</f>
        <v>0</v>
      </c>
      <c r="BW282" s="232">
        <f t="shared" si="252"/>
        <v>20</v>
      </c>
      <c r="BX282" s="230">
        <f t="shared" si="442"/>
        <v>33</v>
      </c>
      <c r="BY282" s="235">
        <f t="shared" si="443"/>
        <v>4.4702678571428569</v>
      </c>
      <c r="BZ282" s="235" cm="1">
        <f t="array" ref="BZ282">$BI282 * IF($AH282&lt;=2,
SUMPRODUCT(INDEX($AR$62:$AT$66,,$AI282), INDEX($AU$62:$BA$66,,$AH282), 1 / ($BB$62:$BB$66*BY282 + (1-$BB$62:$BB$66)*BU282), N($AQ$62:$AQ$66&gt;$AO282)),
SUMPRODUCT(INDEX($AR$47:$AT$56,,$AI282), INDEX($AU$47:$BA$56,,$AH282), 1 / ($BC$47:$BC$56*BY282 + (1-$BC$47:$BC$56)*BU282), N($AQ$47:$AQ$56&gt;$AO282))
) / 1000</f>
        <v>0</v>
      </c>
      <c r="CA282" s="235" cm="1">
        <f t="array" ref="CA282">$BI282 * IF($AH282&lt;=2,
SUMPRODUCT(INDEX($AR$23:$AT$61,,$AI282), INDEX($AU$23:$BA$61,,$AH282), 1 / ($BB$23:$BB$61*BY282), N($AQ$23:$AQ$61&gt;$AO282)),
SUMPRODUCT(INDEX($AR$23:$AT$46,,$AI282), INDEX($AU$23:$BA$46,,$AH282), 1 / ($BC$23:$BC$46*BY282), N($AQ$23:$AQ$46&gt;$AO282))
) / 1000</f>
        <v>0</v>
      </c>
      <c r="CB282" s="230">
        <f t="shared" si="444"/>
        <v>0</v>
      </c>
      <c r="CC282" s="238"/>
      <c r="CD282" s="229" cm="1">
        <f t="array" ref="CD282">IF(ISBLANK(Y282), INDEX(Use, $AH282, 4) - AN282*INDEX(Use, $AH282, 6) - (Q282-X282), Y282)</f>
        <v>7</v>
      </c>
      <c r="CE282" s="229">
        <f t="shared" si="445"/>
        <v>32</v>
      </c>
      <c r="CF282" s="230">
        <f t="shared" si="446"/>
        <v>0</v>
      </c>
      <c r="CG282" s="229">
        <v>35</v>
      </c>
      <c r="CH282" s="230">
        <f t="shared" si="447"/>
        <v>48</v>
      </c>
      <c r="CI282" s="235">
        <f t="shared" si="448"/>
        <v>3.0748170731707316</v>
      </c>
      <c r="CJ282" s="235" cm="1">
        <f t="array" ref="CJ282">$BI282 * SUMPRODUCT(INDEX($AR$77:$AT$82,,$AI282),INDEX($AU$77:$BA$82,,$AH282), N($AQ$77:$AQ$82&gt;$AO282)) / CI282 / 1000</f>
        <v>0</v>
      </c>
      <c r="CK282" s="232">
        <f t="shared" si="260"/>
        <v>30</v>
      </c>
      <c r="CL282" s="230">
        <f t="shared" si="449"/>
        <v>43</v>
      </c>
      <c r="CM282" s="235">
        <f t="shared" si="450"/>
        <v>3.5018750000000001</v>
      </c>
      <c r="CN282" s="235" cm="1">
        <f t="array" ref="CN282">$BI282 * IF($AH282&lt;=2,
SUMPRODUCT(INDEX($AR$72:$AT$76,,$AI282), INDEX($AU$72:$BA$76,,$AH282), 1 / ($BB$72:$BB$76*CM282 + (1-$BB$72:$BB$76)*CI282), N($AQ$72:$AQ$76&gt;$AO282)),
SUMPRODUCT(INDEX($AR$67:$AT$76,,$AI282), INDEX($AU$67:$BA$76,,$AH282), 1 / ($BC$67:$BC$76*CM282 + (1-$BC$67:$BC$76)*CI282), N($AQ$67:$AQ$76&gt;$AO282))
) / 1000</f>
        <v>0</v>
      </c>
      <c r="CO282" s="232">
        <f t="shared" si="263"/>
        <v>25</v>
      </c>
      <c r="CP282" s="230">
        <f t="shared" si="451"/>
        <v>38</v>
      </c>
      <c r="CQ282" s="235">
        <f t="shared" si="452"/>
        <v>4.0666935483870965</v>
      </c>
      <c r="CR282" s="235" cm="1">
        <f t="array" ref="CR282">$BI282 * IF($AH282&lt;=2,
SUMPRODUCT(INDEX($AR$67:$AT$71,,$AI282), INDEX($AU$67:$BA$71,,$AH282), 1 / ($BB$67:$BB$71*CQ282 + (1-$BB$67:$BB$71)*CM282), N($AQ$67:$AQ$71&gt;$AO282)),
SUMPRODUCT(INDEX($AR$57:$AT$66,,$AI282), INDEX($AU$57:$BA$66,,$AH282), 1 / ($BC$57:$BC$66*CQ282 + (1-$BC$57:$BC$66)*CM282), N($AQ$57:$AQ$66&gt;$AO282))
) / 1000</f>
        <v>0</v>
      </c>
      <c r="CS282" s="232">
        <f t="shared" si="266"/>
        <v>20</v>
      </c>
      <c r="CT282" s="230">
        <f t="shared" si="453"/>
        <v>33</v>
      </c>
      <c r="CU282" s="235">
        <f t="shared" si="454"/>
        <v>4.8487499999999999</v>
      </c>
      <c r="CV282" s="235" cm="1">
        <f t="array" ref="CV282">$BI282 * IF($AH282&lt;=2,
SUMPRODUCT(INDEX($AR$62:$AT$66,,$AI282), INDEX($AU$62:$BA$66,,$AH282), 1 / ($BB$62:$BB$66*CU282 + (1-$BB$62:$BB$66)*CQ282), N($AQ$62:$AQ$66&gt;$AO282)),
SUMPRODUCT(INDEX($AR$47:$AT$56,,$AI282), INDEX($AU$47:$BA$56,,$AH282), 1 / ($BC$47:$BC$56*CU282 + (1-$BC$47:$BC$56)*CQ282), N($AQ$47:$AQ$56&gt;$AO282))
) / 1000</f>
        <v>0</v>
      </c>
      <c r="CW282" s="235" cm="1">
        <f t="array" ref="CW282">$BI282 * IF($AH282&lt;=2,
SUMPRODUCT(INDEX($AR$23:$AT$61,,$AI282), INDEX($AU$23:$BA$61,,$AH282), 1 / ($BB$23:$BB$61*CU282), N($AQ$23:$AQ$61&gt;$AO282)),
SUMPRODUCT(INDEX($AR$23:$AT$46,,$AI282), INDEX($AU$23:$BA$46,,$AH282), 1 / ($BC$23:$BC$46*CU282), N($AQ$23:$AQ$46&gt;$AO282))
) / 1000</f>
        <v>0</v>
      </c>
      <c r="CX282" s="230">
        <f t="shared" si="455"/>
        <v>0</v>
      </c>
      <c r="CY282" s="238"/>
    </row>
    <row r="283" spans="1:103" s="76" customFormat="1" ht="14.25" customHeight="1" x14ac:dyDescent="0.2">
      <c r="A283" s="231" t="b">
        <f t="shared" si="229"/>
        <v>0</v>
      </c>
      <c r="B283" s="245">
        <v>261</v>
      </c>
      <c r="C283" s="258"/>
      <c r="D283" s="258"/>
      <c r="E283" s="246"/>
      <c r="F283" s="247" t="str">
        <f>IF(ISBLANK(E283), "", VLOOKUP(E283, Z!$A$2:$C$4127, 3, FALSE))</f>
        <v/>
      </c>
      <c r="G283" s="248"/>
      <c r="H283" s="248"/>
      <c r="I283" s="249"/>
      <c r="J283" s="250"/>
      <c r="K283" s="259"/>
      <c r="L283" s="260"/>
      <c r="M283" s="252" t="str" cm="1">
        <f t="array" ref="M283">INDEX(Trad, 53, $A$20)</f>
        <v>Verschmutzt</v>
      </c>
      <c r="N283" s="253"/>
      <c r="O283" s="253"/>
      <c r="P283" s="254"/>
      <c r="Q283" s="251"/>
      <c r="R283" s="251"/>
      <c r="S283" s="264">
        <f t="shared" si="430"/>
        <v>0</v>
      </c>
      <c r="T283" s="252" t="str" cm="1">
        <f t="array" ref="T283">INDEX(Trad, 52, $A$20)</f>
        <v>Sauber</v>
      </c>
      <c r="U283" s="253"/>
      <c r="V283" s="253"/>
      <c r="W283" s="254"/>
      <c r="X283" s="251"/>
      <c r="Y283" s="251"/>
      <c r="Z283" s="264">
        <f t="shared" si="431"/>
        <v>0</v>
      </c>
      <c r="AA283" s="261"/>
      <c r="AB283" s="258"/>
      <c r="AC283" s="246"/>
      <c r="AD283" s="247" t="str">
        <f>IF(ISBLANK(AC283), "", VLOOKUP(AC283, Z!$A$2:$C$4127, 3, FALSE))</f>
        <v/>
      </c>
      <c r="AE283" s="262"/>
      <c r="AF283" s="263">
        <f t="shared" si="432"/>
        <v>0</v>
      </c>
      <c r="AG283" s="238"/>
      <c r="AH283" s="229">
        <f t="shared" si="456"/>
        <v>1</v>
      </c>
      <c r="AI283" s="229">
        <f t="shared" si="457"/>
        <v>1</v>
      </c>
      <c r="AJ283" s="229">
        <f t="shared" si="458"/>
        <v>0</v>
      </c>
      <c r="AK283" s="229">
        <v>0</v>
      </c>
      <c r="AL283" s="229">
        <v>0</v>
      </c>
      <c r="AM283" s="229">
        <v>1</v>
      </c>
      <c r="AN283" s="229">
        <v>0</v>
      </c>
      <c r="AO283" s="229">
        <f t="shared" si="433"/>
        <v>-100</v>
      </c>
      <c r="AP283" s="238"/>
      <c r="AQ283" s="255"/>
      <c r="AR283" s="255"/>
      <c r="AS283" s="256"/>
      <c r="AT283" s="256"/>
      <c r="AU283" s="256"/>
      <c r="AV283" s="256"/>
      <c r="AW283" s="256"/>
      <c r="AX283" s="256"/>
      <c r="AY283" s="256"/>
      <c r="AZ283" s="256"/>
      <c r="BA283" s="256"/>
      <c r="BB283" s="256"/>
      <c r="BC283" s="256"/>
      <c r="BD283" s="238"/>
      <c r="BE283" s="229" cm="1">
        <f t="array" ref="BE283">IF(ISBLANK(R283), INDEX(Use, $AH283, 4) - AM283*INDEX(Use, $AH283, 6), R283)</f>
        <v>5</v>
      </c>
      <c r="BF283" s="229">
        <f t="shared" si="434"/>
        <v>30</v>
      </c>
      <c r="BG283" s="229">
        <f t="shared" si="241"/>
        <v>13</v>
      </c>
      <c r="BH283" s="229">
        <f t="shared" si="242"/>
        <v>0</v>
      </c>
      <c r="BI283" s="234" cm="1">
        <f t="array" ref="BI283">K283/IF($L283&gt;0, INDEX($AU$23:$BA$77, $L283+20, $AH283), 1)</f>
        <v>0</v>
      </c>
      <c r="BJ283" s="230">
        <f t="shared" si="435"/>
        <v>0</v>
      </c>
      <c r="BK283" s="229">
        <v>35</v>
      </c>
      <c r="BL283" s="230">
        <f t="shared" si="436"/>
        <v>48</v>
      </c>
      <c r="BM283" s="235">
        <f t="shared" si="437"/>
        <v>2.9108720930232557</v>
      </c>
      <c r="BN283" s="235" cm="1">
        <f t="array" ref="BN283">$BI283 * SUMPRODUCT(INDEX($AR$77:$AT$82,,$AI283),INDEX($AU$77:$BA$82,,$AH283), N($AQ$77:$AQ$82&gt;$AO283)) / BM283 / 1000</f>
        <v>0</v>
      </c>
      <c r="BO283" s="232">
        <f t="shared" si="246"/>
        <v>30</v>
      </c>
      <c r="BP283" s="230">
        <f t="shared" si="438"/>
        <v>43</v>
      </c>
      <c r="BQ283" s="235">
        <f t="shared" si="439"/>
        <v>3.2938815789473681</v>
      </c>
      <c r="BR283" s="235" cm="1">
        <f t="array" ref="BR283">$BI283 * IF($AH283&lt;=2,
SUMPRODUCT(INDEX($AR$72:$AT$76,,$AI283), INDEX($AU$72:$BA$76,,$AH283), 1 / ($BB$72:$BB$76*BQ283 + (1-$BB$72:$BB$76)*BM283), N($AQ$72:$AQ$76&gt;$AO283)),
SUMPRODUCT(INDEX($AR$67:$AT$76,,$AI283), INDEX($AU$67:$BA$76,,$AH283), 1 / ($BC$67:$BC$76*BQ283 + (1-$BC$67:$BC$76)*BM283), N($AQ$67:$AQ$76&gt;$AO283))
) / 1000</f>
        <v>0</v>
      </c>
      <c r="BS283" s="232">
        <f t="shared" si="249"/>
        <v>25</v>
      </c>
      <c r="BT283" s="230">
        <f t="shared" si="440"/>
        <v>38</v>
      </c>
      <c r="BU283" s="235">
        <f t="shared" si="441"/>
        <v>3.792954545454545</v>
      </c>
      <c r="BV283" s="235" cm="1">
        <f t="array" ref="BV283">$BI283 * IF($AH283&lt;=2,
SUMPRODUCT(INDEX($AR$67:$AT$71,,$AI283), INDEX($AU$67:$BA$71,,$AH283), 1 / ($BB$67:$BB$71*BU283 + (1-$BB$67:$BB$71)*BQ283), N($AQ$67:$AQ$71&gt;$AO283)),
SUMPRODUCT(INDEX($AR$57:$AT$66,,$AI283), INDEX($AU$57:$BA$66,,$AH283), 1 / ($BC$57:$BC$66*BU283 + (1-$BC$57:$BC$66)*BQ283), N($AQ$57:$AQ$66&gt;$AO283))
) / 1000</f>
        <v>0</v>
      </c>
      <c r="BW283" s="232">
        <f t="shared" si="252"/>
        <v>20</v>
      </c>
      <c r="BX283" s="230">
        <f t="shared" si="442"/>
        <v>33</v>
      </c>
      <c r="BY283" s="235">
        <f t="shared" si="443"/>
        <v>4.4702678571428569</v>
      </c>
      <c r="BZ283" s="235" cm="1">
        <f t="array" ref="BZ283">$BI283 * IF($AH283&lt;=2,
SUMPRODUCT(INDEX($AR$62:$AT$66,,$AI283), INDEX($AU$62:$BA$66,,$AH283), 1 / ($BB$62:$BB$66*BY283 + (1-$BB$62:$BB$66)*BU283), N($AQ$62:$AQ$66&gt;$AO283)),
SUMPRODUCT(INDEX($AR$47:$AT$56,,$AI283), INDEX($AU$47:$BA$56,,$AH283), 1 / ($BC$47:$BC$56*BY283 + (1-$BC$47:$BC$56)*BU283), N($AQ$47:$AQ$56&gt;$AO283))
) / 1000</f>
        <v>0</v>
      </c>
      <c r="CA283" s="235" cm="1">
        <f t="array" ref="CA283">$BI283 * IF($AH283&lt;=2,
SUMPRODUCT(INDEX($AR$23:$AT$61,,$AI283), INDEX($AU$23:$BA$61,,$AH283), 1 / ($BB$23:$BB$61*BY283), N($AQ$23:$AQ$61&gt;$AO283)),
SUMPRODUCT(INDEX($AR$23:$AT$46,,$AI283), INDEX($AU$23:$BA$46,,$AH283), 1 / ($BC$23:$BC$46*BY283), N($AQ$23:$AQ$46&gt;$AO283))
) / 1000</f>
        <v>0</v>
      </c>
      <c r="CB283" s="230">
        <f t="shared" si="444"/>
        <v>0</v>
      </c>
      <c r="CC283" s="238"/>
      <c r="CD283" s="229" cm="1">
        <f t="array" ref="CD283">IF(ISBLANK(Y283), INDEX(Use, $AH283, 4) - AN283*INDEX(Use, $AH283, 6) - (Q283-X283), Y283)</f>
        <v>7</v>
      </c>
      <c r="CE283" s="229">
        <f t="shared" si="445"/>
        <v>32</v>
      </c>
      <c r="CF283" s="230">
        <f t="shared" si="446"/>
        <v>0</v>
      </c>
      <c r="CG283" s="229">
        <v>35</v>
      </c>
      <c r="CH283" s="230">
        <f t="shared" si="447"/>
        <v>48</v>
      </c>
      <c r="CI283" s="235">
        <f t="shared" si="448"/>
        <v>3.0748170731707316</v>
      </c>
      <c r="CJ283" s="235" cm="1">
        <f t="array" ref="CJ283">$BI283 * SUMPRODUCT(INDEX($AR$77:$AT$82,,$AI283),INDEX($AU$77:$BA$82,,$AH283), N($AQ$77:$AQ$82&gt;$AO283)) / CI283 / 1000</f>
        <v>0</v>
      </c>
      <c r="CK283" s="232">
        <f t="shared" si="260"/>
        <v>30</v>
      </c>
      <c r="CL283" s="230">
        <f t="shared" si="449"/>
        <v>43</v>
      </c>
      <c r="CM283" s="235">
        <f t="shared" si="450"/>
        <v>3.5018750000000001</v>
      </c>
      <c r="CN283" s="235" cm="1">
        <f t="array" ref="CN283">$BI283 * IF($AH283&lt;=2,
SUMPRODUCT(INDEX($AR$72:$AT$76,,$AI283), INDEX($AU$72:$BA$76,,$AH283), 1 / ($BB$72:$BB$76*CM283 + (1-$BB$72:$BB$76)*CI283), N($AQ$72:$AQ$76&gt;$AO283)),
SUMPRODUCT(INDEX($AR$67:$AT$76,,$AI283), INDEX($AU$67:$BA$76,,$AH283), 1 / ($BC$67:$BC$76*CM283 + (1-$BC$67:$BC$76)*CI283), N($AQ$67:$AQ$76&gt;$AO283))
) / 1000</f>
        <v>0</v>
      </c>
      <c r="CO283" s="232">
        <f t="shared" si="263"/>
        <v>25</v>
      </c>
      <c r="CP283" s="230">
        <f t="shared" si="451"/>
        <v>38</v>
      </c>
      <c r="CQ283" s="235">
        <f t="shared" si="452"/>
        <v>4.0666935483870965</v>
      </c>
      <c r="CR283" s="235" cm="1">
        <f t="array" ref="CR283">$BI283 * IF($AH283&lt;=2,
SUMPRODUCT(INDEX($AR$67:$AT$71,,$AI283), INDEX($AU$67:$BA$71,,$AH283), 1 / ($BB$67:$BB$71*CQ283 + (1-$BB$67:$BB$71)*CM283), N($AQ$67:$AQ$71&gt;$AO283)),
SUMPRODUCT(INDEX($AR$57:$AT$66,,$AI283), INDEX($AU$57:$BA$66,,$AH283), 1 / ($BC$57:$BC$66*CQ283 + (1-$BC$57:$BC$66)*CM283), N($AQ$57:$AQ$66&gt;$AO283))
) / 1000</f>
        <v>0</v>
      </c>
      <c r="CS283" s="232">
        <f t="shared" si="266"/>
        <v>20</v>
      </c>
      <c r="CT283" s="230">
        <f t="shared" si="453"/>
        <v>33</v>
      </c>
      <c r="CU283" s="235">
        <f t="shared" si="454"/>
        <v>4.8487499999999999</v>
      </c>
      <c r="CV283" s="235" cm="1">
        <f t="array" ref="CV283">$BI283 * IF($AH283&lt;=2,
SUMPRODUCT(INDEX($AR$62:$AT$66,,$AI283), INDEX($AU$62:$BA$66,,$AH283), 1 / ($BB$62:$BB$66*CU283 + (1-$BB$62:$BB$66)*CQ283), N($AQ$62:$AQ$66&gt;$AO283)),
SUMPRODUCT(INDEX($AR$47:$AT$56,,$AI283), INDEX($AU$47:$BA$56,,$AH283), 1 / ($BC$47:$BC$56*CU283 + (1-$BC$47:$BC$56)*CQ283), N($AQ$47:$AQ$56&gt;$AO283))
) / 1000</f>
        <v>0</v>
      </c>
      <c r="CW283" s="235" cm="1">
        <f t="array" ref="CW283">$BI283 * IF($AH283&lt;=2,
SUMPRODUCT(INDEX($AR$23:$AT$61,,$AI283), INDEX($AU$23:$BA$61,,$AH283), 1 / ($BB$23:$BB$61*CU283), N($AQ$23:$AQ$61&gt;$AO283)),
SUMPRODUCT(INDEX($AR$23:$AT$46,,$AI283), INDEX($AU$23:$BA$46,,$AH283), 1 / ($BC$23:$BC$46*CU283), N($AQ$23:$AQ$46&gt;$AO283))
) / 1000</f>
        <v>0</v>
      </c>
      <c r="CX283" s="230">
        <f t="shared" si="455"/>
        <v>0</v>
      </c>
      <c r="CY283" s="238"/>
    </row>
    <row r="284" spans="1:103" s="76" customFormat="1" ht="14.25" customHeight="1" x14ac:dyDescent="0.2">
      <c r="A284" s="231" t="b">
        <f t="shared" si="229"/>
        <v>0</v>
      </c>
      <c r="B284" s="245">
        <v>262</v>
      </c>
      <c r="C284" s="258"/>
      <c r="D284" s="258"/>
      <c r="E284" s="246"/>
      <c r="F284" s="247" t="str">
        <f>IF(ISBLANK(E284), "", VLOOKUP(E284, Z!$A$2:$C$4127, 3, FALSE))</f>
        <v/>
      </c>
      <c r="G284" s="248"/>
      <c r="H284" s="248"/>
      <c r="I284" s="249"/>
      <c r="J284" s="250"/>
      <c r="K284" s="259"/>
      <c r="L284" s="260"/>
      <c r="M284" s="252" t="str" cm="1">
        <f t="array" ref="M284">INDEX(Trad, 53, $A$20)</f>
        <v>Verschmutzt</v>
      </c>
      <c r="N284" s="253"/>
      <c r="O284" s="253"/>
      <c r="P284" s="254"/>
      <c r="Q284" s="251"/>
      <c r="R284" s="251"/>
      <c r="S284" s="264">
        <f t="shared" si="430"/>
        <v>0</v>
      </c>
      <c r="T284" s="252" t="str" cm="1">
        <f t="array" ref="T284">INDEX(Trad, 52, $A$20)</f>
        <v>Sauber</v>
      </c>
      <c r="U284" s="253"/>
      <c r="V284" s="253"/>
      <c r="W284" s="254"/>
      <c r="X284" s="251"/>
      <c r="Y284" s="251"/>
      <c r="Z284" s="264">
        <f t="shared" si="431"/>
        <v>0</v>
      </c>
      <c r="AA284" s="261"/>
      <c r="AB284" s="258"/>
      <c r="AC284" s="246"/>
      <c r="AD284" s="247" t="str">
        <f>IF(ISBLANK(AC284), "", VLOOKUP(AC284, Z!$A$2:$C$4127, 3, FALSE))</f>
        <v/>
      </c>
      <c r="AE284" s="262"/>
      <c r="AF284" s="263">
        <f t="shared" si="432"/>
        <v>0</v>
      </c>
      <c r="AG284" s="238"/>
      <c r="AH284" s="229">
        <f t="shared" si="456"/>
        <v>1</v>
      </c>
      <c r="AI284" s="229">
        <f t="shared" si="457"/>
        <v>1</v>
      </c>
      <c r="AJ284" s="229">
        <f t="shared" si="458"/>
        <v>0</v>
      </c>
      <c r="AK284" s="229">
        <v>0</v>
      </c>
      <c r="AL284" s="229">
        <v>0</v>
      </c>
      <c r="AM284" s="229">
        <v>1</v>
      </c>
      <c r="AN284" s="229">
        <v>0</v>
      </c>
      <c r="AO284" s="229">
        <f t="shared" si="433"/>
        <v>-100</v>
      </c>
      <c r="AP284" s="238"/>
      <c r="AQ284" s="255"/>
      <c r="AR284" s="255"/>
      <c r="AS284" s="256"/>
      <c r="AT284" s="256"/>
      <c r="AU284" s="256"/>
      <c r="AV284" s="256"/>
      <c r="AW284" s="256"/>
      <c r="AX284" s="256"/>
      <c r="AY284" s="256"/>
      <c r="AZ284" s="256"/>
      <c r="BA284" s="256"/>
      <c r="BB284" s="256"/>
      <c r="BC284" s="256"/>
      <c r="BD284" s="238"/>
      <c r="BE284" s="229" cm="1">
        <f t="array" ref="BE284">IF(ISBLANK(R284), INDEX(Use, $AH284, 4) - AM284*INDEX(Use, $AH284, 6), R284)</f>
        <v>5</v>
      </c>
      <c r="BF284" s="229">
        <f t="shared" si="434"/>
        <v>30</v>
      </c>
      <c r="BG284" s="229">
        <f t="shared" si="241"/>
        <v>13</v>
      </c>
      <c r="BH284" s="229">
        <f t="shared" si="242"/>
        <v>0</v>
      </c>
      <c r="BI284" s="234" cm="1">
        <f t="array" ref="BI284">K284/IF($L284&gt;0, INDEX($AU$23:$BA$77, $L284+20, $AH284), 1)</f>
        <v>0</v>
      </c>
      <c r="BJ284" s="230">
        <f t="shared" si="435"/>
        <v>0</v>
      </c>
      <c r="BK284" s="229">
        <v>35</v>
      </c>
      <c r="BL284" s="230">
        <f t="shared" si="436"/>
        <v>48</v>
      </c>
      <c r="BM284" s="235">
        <f t="shared" si="437"/>
        <v>2.9108720930232557</v>
      </c>
      <c r="BN284" s="235" cm="1">
        <f t="array" ref="BN284">$BI284 * SUMPRODUCT(INDEX($AR$77:$AT$82,,$AI284),INDEX($AU$77:$BA$82,,$AH284), N($AQ$77:$AQ$82&gt;$AO284)) / BM284 / 1000</f>
        <v>0</v>
      </c>
      <c r="BO284" s="232">
        <f t="shared" si="246"/>
        <v>30</v>
      </c>
      <c r="BP284" s="230">
        <f t="shared" si="438"/>
        <v>43</v>
      </c>
      <c r="BQ284" s="235">
        <f t="shared" si="439"/>
        <v>3.2938815789473681</v>
      </c>
      <c r="BR284" s="235" cm="1">
        <f t="array" ref="BR284">$BI284 * IF($AH284&lt;=2,
SUMPRODUCT(INDEX($AR$72:$AT$76,,$AI284), INDEX($AU$72:$BA$76,,$AH284), 1 / ($BB$72:$BB$76*BQ284 + (1-$BB$72:$BB$76)*BM284), N($AQ$72:$AQ$76&gt;$AO284)),
SUMPRODUCT(INDEX($AR$67:$AT$76,,$AI284), INDEX($AU$67:$BA$76,,$AH284), 1 / ($BC$67:$BC$76*BQ284 + (1-$BC$67:$BC$76)*BM284), N($AQ$67:$AQ$76&gt;$AO284))
) / 1000</f>
        <v>0</v>
      </c>
      <c r="BS284" s="232">
        <f t="shared" si="249"/>
        <v>25</v>
      </c>
      <c r="BT284" s="230">
        <f t="shared" si="440"/>
        <v>38</v>
      </c>
      <c r="BU284" s="235">
        <f t="shared" si="441"/>
        <v>3.792954545454545</v>
      </c>
      <c r="BV284" s="235" cm="1">
        <f t="array" ref="BV284">$BI284 * IF($AH284&lt;=2,
SUMPRODUCT(INDEX($AR$67:$AT$71,,$AI284), INDEX($AU$67:$BA$71,,$AH284), 1 / ($BB$67:$BB$71*BU284 + (1-$BB$67:$BB$71)*BQ284), N($AQ$67:$AQ$71&gt;$AO284)),
SUMPRODUCT(INDEX($AR$57:$AT$66,,$AI284), INDEX($AU$57:$BA$66,,$AH284), 1 / ($BC$57:$BC$66*BU284 + (1-$BC$57:$BC$66)*BQ284), N($AQ$57:$AQ$66&gt;$AO284))
) / 1000</f>
        <v>0</v>
      </c>
      <c r="BW284" s="232">
        <f t="shared" si="252"/>
        <v>20</v>
      </c>
      <c r="BX284" s="230">
        <f t="shared" si="442"/>
        <v>33</v>
      </c>
      <c r="BY284" s="235">
        <f t="shared" si="443"/>
        <v>4.4702678571428569</v>
      </c>
      <c r="BZ284" s="235" cm="1">
        <f t="array" ref="BZ284">$BI284 * IF($AH284&lt;=2,
SUMPRODUCT(INDEX($AR$62:$AT$66,,$AI284), INDEX($AU$62:$BA$66,,$AH284), 1 / ($BB$62:$BB$66*BY284 + (1-$BB$62:$BB$66)*BU284), N($AQ$62:$AQ$66&gt;$AO284)),
SUMPRODUCT(INDEX($AR$47:$AT$56,,$AI284), INDEX($AU$47:$BA$56,,$AH284), 1 / ($BC$47:$BC$56*BY284 + (1-$BC$47:$BC$56)*BU284), N($AQ$47:$AQ$56&gt;$AO284))
) / 1000</f>
        <v>0</v>
      </c>
      <c r="CA284" s="235" cm="1">
        <f t="array" ref="CA284">$BI284 * IF($AH284&lt;=2,
SUMPRODUCT(INDEX($AR$23:$AT$61,,$AI284), INDEX($AU$23:$BA$61,,$AH284), 1 / ($BB$23:$BB$61*BY284), N($AQ$23:$AQ$61&gt;$AO284)),
SUMPRODUCT(INDEX($AR$23:$AT$46,,$AI284), INDEX($AU$23:$BA$46,,$AH284), 1 / ($BC$23:$BC$46*BY284), N($AQ$23:$AQ$46&gt;$AO284))
) / 1000</f>
        <v>0</v>
      </c>
      <c r="CB284" s="230">
        <f t="shared" si="444"/>
        <v>0</v>
      </c>
      <c r="CC284" s="238"/>
      <c r="CD284" s="229" cm="1">
        <f t="array" ref="CD284">IF(ISBLANK(Y284), INDEX(Use, $AH284, 4) - AN284*INDEX(Use, $AH284, 6) - (Q284-X284), Y284)</f>
        <v>7</v>
      </c>
      <c r="CE284" s="229">
        <f t="shared" si="445"/>
        <v>32</v>
      </c>
      <c r="CF284" s="230">
        <f t="shared" si="446"/>
        <v>0</v>
      </c>
      <c r="CG284" s="229">
        <v>35</v>
      </c>
      <c r="CH284" s="230">
        <f t="shared" si="447"/>
        <v>48</v>
      </c>
      <c r="CI284" s="235">
        <f t="shared" si="448"/>
        <v>3.0748170731707316</v>
      </c>
      <c r="CJ284" s="235" cm="1">
        <f t="array" ref="CJ284">$BI284 * SUMPRODUCT(INDEX($AR$77:$AT$82,,$AI284),INDEX($AU$77:$BA$82,,$AH284), N($AQ$77:$AQ$82&gt;$AO284)) / CI284 / 1000</f>
        <v>0</v>
      </c>
      <c r="CK284" s="232">
        <f t="shared" si="260"/>
        <v>30</v>
      </c>
      <c r="CL284" s="230">
        <f t="shared" si="449"/>
        <v>43</v>
      </c>
      <c r="CM284" s="235">
        <f t="shared" si="450"/>
        <v>3.5018750000000001</v>
      </c>
      <c r="CN284" s="235" cm="1">
        <f t="array" ref="CN284">$BI284 * IF($AH284&lt;=2,
SUMPRODUCT(INDEX($AR$72:$AT$76,,$AI284), INDEX($AU$72:$BA$76,,$AH284), 1 / ($BB$72:$BB$76*CM284 + (1-$BB$72:$BB$76)*CI284), N($AQ$72:$AQ$76&gt;$AO284)),
SUMPRODUCT(INDEX($AR$67:$AT$76,,$AI284), INDEX($AU$67:$BA$76,,$AH284), 1 / ($BC$67:$BC$76*CM284 + (1-$BC$67:$BC$76)*CI284), N($AQ$67:$AQ$76&gt;$AO284))
) / 1000</f>
        <v>0</v>
      </c>
      <c r="CO284" s="232">
        <f t="shared" si="263"/>
        <v>25</v>
      </c>
      <c r="CP284" s="230">
        <f t="shared" si="451"/>
        <v>38</v>
      </c>
      <c r="CQ284" s="235">
        <f t="shared" si="452"/>
        <v>4.0666935483870965</v>
      </c>
      <c r="CR284" s="235" cm="1">
        <f t="array" ref="CR284">$BI284 * IF($AH284&lt;=2,
SUMPRODUCT(INDEX($AR$67:$AT$71,,$AI284), INDEX($AU$67:$BA$71,,$AH284), 1 / ($BB$67:$BB$71*CQ284 + (1-$BB$67:$BB$71)*CM284), N($AQ$67:$AQ$71&gt;$AO284)),
SUMPRODUCT(INDEX($AR$57:$AT$66,,$AI284), INDEX($AU$57:$BA$66,,$AH284), 1 / ($BC$57:$BC$66*CQ284 + (1-$BC$57:$BC$66)*CM284), N($AQ$57:$AQ$66&gt;$AO284))
) / 1000</f>
        <v>0</v>
      </c>
      <c r="CS284" s="232">
        <f t="shared" si="266"/>
        <v>20</v>
      </c>
      <c r="CT284" s="230">
        <f t="shared" si="453"/>
        <v>33</v>
      </c>
      <c r="CU284" s="235">
        <f t="shared" si="454"/>
        <v>4.8487499999999999</v>
      </c>
      <c r="CV284" s="235" cm="1">
        <f t="array" ref="CV284">$BI284 * IF($AH284&lt;=2,
SUMPRODUCT(INDEX($AR$62:$AT$66,,$AI284), INDEX($AU$62:$BA$66,,$AH284), 1 / ($BB$62:$BB$66*CU284 + (1-$BB$62:$BB$66)*CQ284), N($AQ$62:$AQ$66&gt;$AO284)),
SUMPRODUCT(INDEX($AR$47:$AT$56,,$AI284), INDEX($AU$47:$BA$56,,$AH284), 1 / ($BC$47:$BC$56*CU284 + (1-$BC$47:$BC$56)*CQ284), N($AQ$47:$AQ$56&gt;$AO284))
) / 1000</f>
        <v>0</v>
      </c>
      <c r="CW284" s="235" cm="1">
        <f t="array" ref="CW284">$BI284 * IF($AH284&lt;=2,
SUMPRODUCT(INDEX($AR$23:$AT$61,,$AI284), INDEX($AU$23:$BA$61,,$AH284), 1 / ($BB$23:$BB$61*CU284), N($AQ$23:$AQ$61&gt;$AO284)),
SUMPRODUCT(INDEX($AR$23:$AT$46,,$AI284), INDEX($AU$23:$BA$46,,$AH284), 1 / ($BC$23:$BC$46*CU284), N($AQ$23:$AQ$46&gt;$AO284))
) / 1000</f>
        <v>0</v>
      </c>
      <c r="CX284" s="230">
        <f t="shared" si="455"/>
        <v>0</v>
      </c>
      <c r="CY284" s="238"/>
    </row>
    <row r="285" spans="1:103" s="76" customFormat="1" ht="14.25" customHeight="1" x14ac:dyDescent="0.2">
      <c r="A285" s="231" t="b">
        <f t="shared" si="229"/>
        <v>0</v>
      </c>
      <c r="B285" s="245">
        <v>263</v>
      </c>
      <c r="C285" s="258"/>
      <c r="D285" s="258"/>
      <c r="E285" s="246"/>
      <c r="F285" s="247" t="str">
        <f>IF(ISBLANK(E285), "", VLOOKUP(E285, Z!$A$2:$C$4127, 3, FALSE))</f>
        <v/>
      </c>
      <c r="G285" s="248"/>
      <c r="H285" s="248"/>
      <c r="I285" s="249"/>
      <c r="J285" s="250"/>
      <c r="K285" s="259"/>
      <c r="L285" s="260"/>
      <c r="M285" s="252" t="str" cm="1">
        <f t="array" ref="M285">INDEX(Trad, 53, $A$20)</f>
        <v>Verschmutzt</v>
      </c>
      <c r="N285" s="253"/>
      <c r="O285" s="253"/>
      <c r="P285" s="254"/>
      <c r="Q285" s="251"/>
      <c r="R285" s="251"/>
      <c r="S285" s="264">
        <f t="shared" si="430"/>
        <v>0</v>
      </c>
      <c r="T285" s="252" t="str" cm="1">
        <f t="array" ref="T285">INDEX(Trad, 52, $A$20)</f>
        <v>Sauber</v>
      </c>
      <c r="U285" s="253"/>
      <c r="V285" s="253"/>
      <c r="W285" s="254"/>
      <c r="X285" s="251"/>
      <c r="Y285" s="251"/>
      <c r="Z285" s="264">
        <f t="shared" si="431"/>
        <v>0</v>
      </c>
      <c r="AA285" s="261"/>
      <c r="AB285" s="258"/>
      <c r="AC285" s="246"/>
      <c r="AD285" s="247" t="str">
        <f>IF(ISBLANK(AC285), "", VLOOKUP(AC285, Z!$A$2:$C$4127, 3, FALSE))</f>
        <v/>
      </c>
      <c r="AE285" s="262"/>
      <c r="AF285" s="263">
        <f t="shared" si="432"/>
        <v>0</v>
      </c>
      <c r="AG285" s="238"/>
      <c r="AH285" s="229">
        <f t="shared" si="456"/>
        <v>1</v>
      </c>
      <c r="AI285" s="229">
        <f t="shared" si="457"/>
        <v>1</v>
      </c>
      <c r="AJ285" s="229">
        <f t="shared" si="458"/>
        <v>0</v>
      </c>
      <c r="AK285" s="229">
        <v>0</v>
      </c>
      <c r="AL285" s="229">
        <v>0</v>
      </c>
      <c r="AM285" s="229">
        <v>1</v>
      </c>
      <c r="AN285" s="229">
        <v>0</v>
      </c>
      <c r="AO285" s="229">
        <f t="shared" si="433"/>
        <v>-100</v>
      </c>
      <c r="AP285" s="238"/>
      <c r="AQ285" s="255"/>
      <c r="AR285" s="255"/>
      <c r="AS285" s="256"/>
      <c r="AT285" s="256"/>
      <c r="AU285" s="256"/>
      <c r="AV285" s="256"/>
      <c r="AW285" s="256"/>
      <c r="AX285" s="256"/>
      <c r="AY285" s="256"/>
      <c r="AZ285" s="256"/>
      <c r="BA285" s="256"/>
      <c r="BB285" s="256"/>
      <c r="BC285" s="256"/>
      <c r="BD285" s="238"/>
      <c r="BE285" s="229" cm="1">
        <f t="array" ref="BE285">IF(ISBLANK(R285), INDEX(Use, $AH285, 4) - AM285*INDEX(Use, $AH285, 6), R285)</f>
        <v>5</v>
      </c>
      <c r="BF285" s="229">
        <f t="shared" si="434"/>
        <v>30</v>
      </c>
      <c r="BG285" s="229">
        <f t="shared" si="241"/>
        <v>13</v>
      </c>
      <c r="BH285" s="229">
        <f t="shared" si="242"/>
        <v>0</v>
      </c>
      <c r="BI285" s="234" cm="1">
        <f t="array" ref="BI285">K285/IF($L285&gt;0, INDEX($AU$23:$BA$77, $L285+20, $AH285), 1)</f>
        <v>0</v>
      </c>
      <c r="BJ285" s="230">
        <f t="shared" si="435"/>
        <v>0</v>
      </c>
      <c r="BK285" s="229">
        <v>35</v>
      </c>
      <c r="BL285" s="230">
        <f t="shared" si="436"/>
        <v>48</v>
      </c>
      <c r="BM285" s="235">
        <f t="shared" si="437"/>
        <v>2.9108720930232557</v>
      </c>
      <c r="BN285" s="235" cm="1">
        <f t="array" ref="BN285">$BI285 * SUMPRODUCT(INDEX($AR$77:$AT$82,,$AI285),INDEX($AU$77:$BA$82,,$AH285), N($AQ$77:$AQ$82&gt;$AO285)) / BM285 / 1000</f>
        <v>0</v>
      </c>
      <c r="BO285" s="232">
        <f t="shared" si="246"/>
        <v>30</v>
      </c>
      <c r="BP285" s="230">
        <f t="shared" si="438"/>
        <v>43</v>
      </c>
      <c r="BQ285" s="235">
        <f t="shared" si="439"/>
        <v>3.2938815789473681</v>
      </c>
      <c r="BR285" s="235" cm="1">
        <f t="array" ref="BR285">$BI285 * IF($AH285&lt;=2,
SUMPRODUCT(INDEX($AR$72:$AT$76,,$AI285), INDEX($AU$72:$BA$76,,$AH285), 1 / ($BB$72:$BB$76*BQ285 + (1-$BB$72:$BB$76)*BM285), N($AQ$72:$AQ$76&gt;$AO285)),
SUMPRODUCT(INDEX($AR$67:$AT$76,,$AI285), INDEX($AU$67:$BA$76,,$AH285), 1 / ($BC$67:$BC$76*BQ285 + (1-$BC$67:$BC$76)*BM285), N($AQ$67:$AQ$76&gt;$AO285))
) / 1000</f>
        <v>0</v>
      </c>
      <c r="BS285" s="232">
        <f t="shared" si="249"/>
        <v>25</v>
      </c>
      <c r="BT285" s="230">
        <f t="shared" si="440"/>
        <v>38</v>
      </c>
      <c r="BU285" s="235">
        <f t="shared" si="441"/>
        <v>3.792954545454545</v>
      </c>
      <c r="BV285" s="235" cm="1">
        <f t="array" ref="BV285">$BI285 * IF($AH285&lt;=2,
SUMPRODUCT(INDEX($AR$67:$AT$71,,$AI285), INDEX($AU$67:$BA$71,,$AH285), 1 / ($BB$67:$BB$71*BU285 + (1-$BB$67:$BB$71)*BQ285), N($AQ$67:$AQ$71&gt;$AO285)),
SUMPRODUCT(INDEX($AR$57:$AT$66,,$AI285), INDEX($AU$57:$BA$66,,$AH285), 1 / ($BC$57:$BC$66*BU285 + (1-$BC$57:$BC$66)*BQ285), N($AQ$57:$AQ$66&gt;$AO285))
) / 1000</f>
        <v>0</v>
      </c>
      <c r="BW285" s="232">
        <f t="shared" si="252"/>
        <v>20</v>
      </c>
      <c r="BX285" s="230">
        <f t="shared" si="442"/>
        <v>33</v>
      </c>
      <c r="BY285" s="235">
        <f t="shared" si="443"/>
        <v>4.4702678571428569</v>
      </c>
      <c r="BZ285" s="235" cm="1">
        <f t="array" ref="BZ285">$BI285 * IF($AH285&lt;=2,
SUMPRODUCT(INDEX($AR$62:$AT$66,,$AI285), INDEX($AU$62:$BA$66,,$AH285), 1 / ($BB$62:$BB$66*BY285 + (1-$BB$62:$BB$66)*BU285), N($AQ$62:$AQ$66&gt;$AO285)),
SUMPRODUCT(INDEX($AR$47:$AT$56,,$AI285), INDEX($AU$47:$BA$56,,$AH285), 1 / ($BC$47:$BC$56*BY285 + (1-$BC$47:$BC$56)*BU285), N($AQ$47:$AQ$56&gt;$AO285))
) / 1000</f>
        <v>0</v>
      </c>
      <c r="CA285" s="235" cm="1">
        <f t="array" ref="CA285">$BI285 * IF($AH285&lt;=2,
SUMPRODUCT(INDEX($AR$23:$AT$61,,$AI285), INDEX($AU$23:$BA$61,,$AH285), 1 / ($BB$23:$BB$61*BY285), N($AQ$23:$AQ$61&gt;$AO285)),
SUMPRODUCT(INDEX($AR$23:$AT$46,,$AI285), INDEX($AU$23:$BA$46,,$AH285), 1 / ($BC$23:$BC$46*BY285), N($AQ$23:$AQ$46&gt;$AO285))
) / 1000</f>
        <v>0</v>
      </c>
      <c r="CB285" s="230">
        <f t="shared" si="444"/>
        <v>0</v>
      </c>
      <c r="CC285" s="238"/>
      <c r="CD285" s="229" cm="1">
        <f t="array" ref="CD285">IF(ISBLANK(Y285), INDEX(Use, $AH285, 4) - AN285*INDEX(Use, $AH285, 6) - (Q285-X285), Y285)</f>
        <v>7</v>
      </c>
      <c r="CE285" s="229">
        <f t="shared" si="445"/>
        <v>32</v>
      </c>
      <c r="CF285" s="230">
        <f t="shared" si="446"/>
        <v>0</v>
      </c>
      <c r="CG285" s="229">
        <v>35</v>
      </c>
      <c r="CH285" s="230">
        <f t="shared" si="447"/>
        <v>48</v>
      </c>
      <c r="CI285" s="235">
        <f t="shared" si="448"/>
        <v>3.0748170731707316</v>
      </c>
      <c r="CJ285" s="235" cm="1">
        <f t="array" ref="CJ285">$BI285 * SUMPRODUCT(INDEX($AR$77:$AT$82,,$AI285),INDEX($AU$77:$BA$82,,$AH285), N($AQ$77:$AQ$82&gt;$AO285)) / CI285 / 1000</f>
        <v>0</v>
      </c>
      <c r="CK285" s="232">
        <f t="shared" si="260"/>
        <v>30</v>
      </c>
      <c r="CL285" s="230">
        <f t="shared" si="449"/>
        <v>43</v>
      </c>
      <c r="CM285" s="235">
        <f t="shared" si="450"/>
        <v>3.5018750000000001</v>
      </c>
      <c r="CN285" s="235" cm="1">
        <f t="array" ref="CN285">$BI285 * IF($AH285&lt;=2,
SUMPRODUCT(INDEX($AR$72:$AT$76,,$AI285), INDEX($AU$72:$BA$76,,$AH285), 1 / ($BB$72:$BB$76*CM285 + (1-$BB$72:$BB$76)*CI285), N($AQ$72:$AQ$76&gt;$AO285)),
SUMPRODUCT(INDEX($AR$67:$AT$76,,$AI285), INDEX($AU$67:$BA$76,,$AH285), 1 / ($BC$67:$BC$76*CM285 + (1-$BC$67:$BC$76)*CI285), N($AQ$67:$AQ$76&gt;$AO285))
) / 1000</f>
        <v>0</v>
      </c>
      <c r="CO285" s="232">
        <f t="shared" si="263"/>
        <v>25</v>
      </c>
      <c r="CP285" s="230">
        <f t="shared" si="451"/>
        <v>38</v>
      </c>
      <c r="CQ285" s="235">
        <f t="shared" si="452"/>
        <v>4.0666935483870965</v>
      </c>
      <c r="CR285" s="235" cm="1">
        <f t="array" ref="CR285">$BI285 * IF($AH285&lt;=2,
SUMPRODUCT(INDEX($AR$67:$AT$71,,$AI285), INDEX($AU$67:$BA$71,,$AH285), 1 / ($BB$67:$BB$71*CQ285 + (1-$BB$67:$BB$71)*CM285), N($AQ$67:$AQ$71&gt;$AO285)),
SUMPRODUCT(INDEX($AR$57:$AT$66,,$AI285), INDEX($AU$57:$BA$66,,$AH285), 1 / ($BC$57:$BC$66*CQ285 + (1-$BC$57:$BC$66)*CM285), N($AQ$57:$AQ$66&gt;$AO285))
) / 1000</f>
        <v>0</v>
      </c>
      <c r="CS285" s="232">
        <f t="shared" si="266"/>
        <v>20</v>
      </c>
      <c r="CT285" s="230">
        <f t="shared" si="453"/>
        <v>33</v>
      </c>
      <c r="CU285" s="235">
        <f t="shared" si="454"/>
        <v>4.8487499999999999</v>
      </c>
      <c r="CV285" s="235" cm="1">
        <f t="array" ref="CV285">$BI285 * IF($AH285&lt;=2,
SUMPRODUCT(INDEX($AR$62:$AT$66,,$AI285), INDEX($AU$62:$BA$66,,$AH285), 1 / ($BB$62:$BB$66*CU285 + (1-$BB$62:$BB$66)*CQ285), N($AQ$62:$AQ$66&gt;$AO285)),
SUMPRODUCT(INDEX($AR$47:$AT$56,,$AI285), INDEX($AU$47:$BA$56,,$AH285), 1 / ($BC$47:$BC$56*CU285 + (1-$BC$47:$BC$56)*CQ285), N($AQ$47:$AQ$56&gt;$AO285))
) / 1000</f>
        <v>0</v>
      </c>
      <c r="CW285" s="235" cm="1">
        <f t="array" ref="CW285">$BI285 * IF($AH285&lt;=2,
SUMPRODUCT(INDEX($AR$23:$AT$61,,$AI285), INDEX($AU$23:$BA$61,,$AH285), 1 / ($BB$23:$BB$61*CU285), N($AQ$23:$AQ$61&gt;$AO285)),
SUMPRODUCT(INDEX($AR$23:$AT$46,,$AI285), INDEX($AU$23:$BA$46,,$AH285), 1 / ($BC$23:$BC$46*CU285), N($AQ$23:$AQ$46&gt;$AO285))
) / 1000</f>
        <v>0</v>
      </c>
      <c r="CX285" s="230">
        <f t="shared" si="455"/>
        <v>0</v>
      </c>
      <c r="CY285" s="238"/>
    </row>
    <row r="286" spans="1:103" s="76" customFormat="1" ht="14.25" customHeight="1" x14ac:dyDescent="0.2">
      <c r="A286" s="231" t="b">
        <f t="shared" si="229"/>
        <v>0</v>
      </c>
      <c r="B286" s="245">
        <v>264</v>
      </c>
      <c r="C286" s="258"/>
      <c r="D286" s="258"/>
      <c r="E286" s="246"/>
      <c r="F286" s="247" t="str">
        <f>IF(ISBLANK(E286), "", VLOOKUP(E286, Z!$A$2:$C$4127, 3, FALSE))</f>
        <v/>
      </c>
      <c r="G286" s="248"/>
      <c r="H286" s="248"/>
      <c r="I286" s="249"/>
      <c r="J286" s="250"/>
      <c r="K286" s="259"/>
      <c r="L286" s="260"/>
      <c r="M286" s="252" t="str" cm="1">
        <f t="array" ref="M286">INDEX(Trad, 53, $A$20)</f>
        <v>Verschmutzt</v>
      </c>
      <c r="N286" s="253"/>
      <c r="O286" s="253"/>
      <c r="P286" s="254"/>
      <c r="Q286" s="251"/>
      <c r="R286" s="251"/>
      <c r="S286" s="264">
        <f t="shared" si="430"/>
        <v>0</v>
      </c>
      <c r="T286" s="252" t="str" cm="1">
        <f t="array" ref="T286">INDEX(Trad, 52, $A$20)</f>
        <v>Sauber</v>
      </c>
      <c r="U286" s="253"/>
      <c r="V286" s="253"/>
      <c r="W286" s="254"/>
      <c r="X286" s="251"/>
      <c r="Y286" s="251"/>
      <c r="Z286" s="264">
        <f t="shared" si="431"/>
        <v>0</v>
      </c>
      <c r="AA286" s="261"/>
      <c r="AB286" s="258"/>
      <c r="AC286" s="246"/>
      <c r="AD286" s="247" t="str">
        <f>IF(ISBLANK(AC286), "", VLOOKUP(AC286, Z!$A$2:$C$4127, 3, FALSE))</f>
        <v/>
      </c>
      <c r="AE286" s="262"/>
      <c r="AF286" s="263">
        <f t="shared" si="432"/>
        <v>0</v>
      </c>
      <c r="AG286" s="238"/>
      <c r="AH286" s="229">
        <f t="shared" si="456"/>
        <v>1</v>
      </c>
      <c r="AI286" s="229">
        <f t="shared" si="457"/>
        <v>1</v>
      </c>
      <c r="AJ286" s="229">
        <f t="shared" si="458"/>
        <v>0</v>
      </c>
      <c r="AK286" s="229">
        <v>0</v>
      </c>
      <c r="AL286" s="229">
        <v>0</v>
      </c>
      <c r="AM286" s="229">
        <v>1</v>
      </c>
      <c r="AN286" s="229">
        <v>0</v>
      </c>
      <c r="AO286" s="229">
        <f t="shared" si="433"/>
        <v>-100</v>
      </c>
      <c r="AP286" s="238"/>
      <c r="AQ286" s="255"/>
      <c r="AR286" s="255"/>
      <c r="AS286" s="256"/>
      <c r="AT286" s="256"/>
      <c r="AU286" s="256"/>
      <c r="AV286" s="256"/>
      <c r="AW286" s="256"/>
      <c r="AX286" s="256"/>
      <c r="AY286" s="256"/>
      <c r="AZ286" s="256"/>
      <c r="BA286" s="256"/>
      <c r="BB286" s="256"/>
      <c r="BC286" s="256"/>
      <c r="BD286" s="238"/>
      <c r="BE286" s="229" cm="1">
        <f t="array" ref="BE286">IF(ISBLANK(R286), INDEX(Use, $AH286, 4) - AM286*INDEX(Use, $AH286, 6), R286)</f>
        <v>5</v>
      </c>
      <c r="BF286" s="229">
        <f t="shared" si="434"/>
        <v>30</v>
      </c>
      <c r="BG286" s="229">
        <f t="shared" si="241"/>
        <v>13</v>
      </c>
      <c r="BH286" s="229">
        <f t="shared" si="242"/>
        <v>0</v>
      </c>
      <c r="BI286" s="234" cm="1">
        <f t="array" ref="BI286">K286/IF($L286&gt;0, INDEX($AU$23:$BA$77, $L286+20, $AH286), 1)</f>
        <v>0</v>
      </c>
      <c r="BJ286" s="230">
        <f t="shared" si="435"/>
        <v>0</v>
      </c>
      <c r="BK286" s="229">
        <v>35</v>
      </c>
      <c r="BL286" s="230">
        <f t="shared" si="436"/>
        <v>48</v>
      </c>
      <c r="BM286" s="235">
        <f t="shared" si="437"/>
        <v>2.9108720930232557</v>
      </c>
      <c r="BN286" s="235" cm="1">
        <f t="array" ref="BN286">$BI286 * SUMPRODUCT(INDEX($AR$77:$AT$82,,$AI286),INDEX($AU$77:$BA$82,,$AH286), N($AQ$77:$AQ$82&gt;$AO286)) / BM286 / 1000</f>
        <v>0</v>
      </c>
      <c r="BO286" s="232">
        <f t="shared" si="246"/>
        <v>30</v>
      </c>
      <c r="BP286" s="230">
        <f t="shared" si="438"/>
        <v>43</v>
      </c>
      <c r="BQ286" s="235">
        <f t="shared" si="439"/>
        <v>3.2938815789473681</v>
      </c>
      <c r="BR286" s="235" cm="1">
        <f t="array" ref="BR286">$BI286 * IF($AH286&lt;=2,
SUMPRODUCT(INDEX($AR$72:$AT$76,,$AI286), INDEX($AU$72:$BA$76,,$AH286), 1 / ($BB$72:$BB$76*BQ286 + (1-$BB$72:$BB$76)*BM286), N($AQ$72:$AQ$76&gt;$AO286)),
SUMPRODUCT(INDEX($AR$67:$AT$76,,$AI286), INDEX($AU$67:$BA$76,,$AH286), 1 / ($BC$67:$BC$76*BQ286 + (1-$BC$67:$BC$76)*BM286), N($AQ$67:$AQ$76&gt;$AO286))
) / 1000</f>
        <v>0</v>
      </c>
      <c r="BS286" s="232">
        <f t="shared" si="249"/>
        <v>25</v>
      </c>
      <c r="BT286" s="230">
        <f t="shared" si="440"/>
        <v>38</v>
      </c>
      <c r="BU286" s="235">
        <f t="shared" si="441"/>
        <v>3.792954545454545</v>
      </c>
      <c r="BV286" s="235" cm="1">
        <f t="array" ref="BV286">$BI286 * IF($AH286&lt;=2,
SUMPRODUCT(INDEX($AR$67:$AT$71,,$AI286), INDEX($AU$67:$BA$71,,$AH286), 1 / ($BB$67:$BB$71*BU286 + (1-$BB$67:$BB$71)*BQ286), N($AQ$67:$AQ$71&gt;$AO286)),
SUMPRODUCT(INDEX($AR$57:$AT$66,,$AI286), INDEX($AU$57:$BA$66,,$AH286), 1 / ($BC$57:$BC$66*BU286 + (1-$BC$57:$BC$66)*BQ286), N($AQ$57:$AQ$66&gt;$AO286))
) / 1000</f>
        <v>0</v>
      </c>
      <c r="BW286" s="232">
        <f t="shared" si="252"/>
        <v>20</v>
      </c>
      <c r="BX286" s="230">
        <f t="shared" si="442"/>
        <v>33</v>
      </c>
      <c r="BY286" s="235">
        <f t="shared" si="443"/>
        <v>4.4702678571428569</v>
      </c>
      <c r="BZ286" s="235" cm="1">
        <f t="array" ref="BZ286">$BI286 * IF($AH286&lt;=2,
SUMPRODUCT(INDEX($AR$62:$AT$66,,$AI286), INDEX($AU$62:$BA$66,,$AH286), 1 / ($BB$62:$BB$66*BY286 + (1-$BB$62:$BB$66)*BU286), N($AQ$62:$AQ$66&gt;$AO286)),
SUMPRODUCT(INDEX($AR$47:$AT$56,,$AI286), INDEX($AU$47:$BA$56,,$AH286), 1 / ($BC$47:$BC$56*BY286 + (1-$BC$47:$BC$56)*BU286), N($AQ$47:$AQ$56&gt;$AO286))
) / 1000</f>
        <v>0</v>
      </c>
      <c r="CA286" s="235" cm="1">
        <f t="array" ref="CA286">$BI286 * IF($AH286&lt;=2,
SUMPRODUCT(INDEX($AR$23:$AT$61,,$AI286), INDEX($AU$23:$BA$61,,$AH286), 1 / ($BB$23:$BB$61*BY286), N($AQ$23:$AQ$61&gt;$AO286)),
SUMPRODUCT(INDEX($AR$23:$AT$46,,$AI286), INDEX($AU$23:$BA$46,,$AH286), 1 / ($BC$23:$BC$46*BY286), N($AQ$23:$AQ$46&gt;$AO286))
) / 1000</f>
        <v>0</v>
      </c>
      <c r="CB286" s="230">
        <f t="shared" si="444"/>
        <v>0</v>
      </c>
      <c r="CC286" s="238"/>
      <c r="CD286" s="229" cm="1">
        <f t="array" ref="CD286">IF(ISBLANK(Y286), INDEX(Use, $AH286, 4) - AN286*INDEX(Use, $AH286, 6) - (Q286-X286), Y286)</f>
        <v>7</v>
      </c>
      <c r="CE286" s="229">
        <f t="shared" si="445"/>
        <v>32</v>
      </c>
      <c r="CF286" s="230">
        <f t="shared" si="446"/>
        <v>0</v>
      </c>
      <c r="CG286" s="229">
        <v>35</v>
      </c>
      <c r="CH286" s="230">
        <f t="shared" si="447"/>
        <v>48</v>
      </c>
      <c r="CI286" s="235">
        <f t="shared" si="448"/>
        <v>3.0748170731707316</v>
      </c>
      <c r="CJ286" s="235" cm="1">
        <f t="array" ref="CJ286">$BI286 * SUMPRODUCT(INDEX($AR$77:$AT$82,,$AI286),INDEX($AU$77:$BA$82,,$AH286), N($AQ$77:$AQ$82&gt;$AO286)) / CI286 / 1000</f>
        <v>0</v>
      </c>
      <c r="CK286" s="232">
        <f t="shared" si="260"/>
        <v>30</v>
      </c>
      <c r="CL286" s="230">
        <f t="shared" si="449"/>
        <v>43</v>
      </c>
      <c r="CM286" s="235">
        <f t="shared" si="450"/>
        <v>3.5018750000000001</v>
      </c>
      <c r="CN286" s="235" cm="1">
        <f t="array" ref="CN286">$BI286 * IF($AH286&lt;=2,
SUMPRODUCT(INDEX($AR$72:$AT$76,,$AI286), INDEX($AU$72:$BA$76,,$AH286), 1 / ($BB$72:$BB$76*CM286 + (1-$BB$72:$BB$76)*CI286), N($AQ$72:$AQ$76&gt;$AO286)),
SUMPRODUCT(INDEX($AR$67:$AT$76,,$AI286), INDEX($AU$67:$BA$76,,$AH286), 1 / ($BC$67:$BC$76*CM286 + (1-$BC$67:$BC$76)*CI286), N($AQ$67:$AQ$76&gt;$AO286))
) / 1000</f>
        <v>0</v>
      </c>
      <c r="CO286" s="232">
        <f t="shared" si="263"/>
        <v>25</v>
      </c>
      <c r="CP286" s="230">
        <f t="shared" si="451"/>
        <v>38</v>
      </c>
      <c r="CQ286" s="235">
        <f t="shared" si="452"/>
        <v>4.0666935483870965</v>
      </c>
      <c r="CR286" s="235" cm="1">
        <f t="array" ref="CR286">$BI286 * IF($AH286&lt;=2,
SUMPRODUCT(INDEX($AR$67:$AT$71,,$AI286), INDEX($AU$67:$BA$71,,$AH286), 1 / ($BB$67:$BB$71*CQ286 + (1-$BB$67:$BB$71)*CM286), N($AQ$67:$AQ$71&gt;$AO286)),
SUMPRODUCT(INDEX($AR$57:$AT$66,,$AI286), INDEX($AU$57:$BA$66,,$AH286), 1 / ($BC$57:$BC$66*CQ286 + (1-$BC$57:$BC$66)*CM286), N($AQ$57:$AQ$66&gt;$AO286))
) / 1000</f>
        <v>0</v>
      </c>
      <c r="CS286" s="232">
        <f t="shared" si="266"/>
        <v>20</v>
      </c>
      <c r="CT286" s="230">
        <f t="shared" si="453"/>
        <v>33</v>
      </c>
      <c r="CU286" s="235">
        <f t="shared" si="454"/>
        <v>4.8487499999999999</v>
      </c>
      <c r="CV286" s="235" cm="1">
        <f t="array" ref="CV286">$BI286 * IF($AH286&lt;=2,
SUMPRODUCT(INDEX($AR$62:$AT$66,,$AI286), INDEX($AU$62:$BA$66,,$AH286), 1 / ($BB$62:$BB$66*CU286 + (1-$BB$62:$BB$66)*CQ286), N($AQ$62:$AQ$66&gt;$AO286)),
SUMPRODUCT(INDEX($AR$47:$AT$56,,$AI286), INDEX($AU$47:$BA$56,,$AH286), 1 / ($BC$47:$BC$56*CU286 + (1-$BC$47:$BC$56)*CQ286), N($AQ$47:$AQ$56&gt;$AO286))
) / 1000</f>
        <v>0</v>
      </c>
      <c r="CW286" s="235" cm="1">
        <f t="array" ref="CW286">$BI286 * IF($AH286&lt;=2,
SUMPRODUCT(INDEX($AR$23:$AT$61,,$AI286), INDEX($AU$23:$BA$61,,$AH286), 1 / ($BB$23:$BB$61*CU286), N($AQ$23:$AQ$61&gt;$AO286)),
SUMPRODUCT(INDEX($AR$23:$AT$46,,$AI286), INDEX($AU$23:$BA$46,,$AH286), 1 / ($BC$23:$BC$46*CU286), N($AQ$23:$AQ$46&gt;$AO286))
) / 1000</f>
        <v>0</v>
      </c>
      <c r="CX286" s="230">
        <f t="shared" si="455"/>
        <v>0</v>
      </c>
      <c r="CY286" s="238"/>
    </row>
    <row r="287" spans="1:103" s="76" customFormat="1" ht="14.25" customHeight="1" x14ac:dyDescent="0.2">
      <c r="A287" s="231" t="b">
        <f t="shared" si="229"/>
        <v>0</v>
      </c>
      <c r="B287" s="245">
        <v>265</v>
      </c>
      <c r="C287" s="258"/>
      <c r="D287" s="258"/>
      <c r="E287" s="246"/>
      <c r="F287" s="247" t="str">
        <f>IF(ISBLANK(E287), "", VLOOKUP(E287, Z!$A$2:$C$4127, 3, FALSE))</f>
        <v/>
      </c>
      <c r="G287" s="248"/>
      <c r="H287" s="248"/>
      <c r="I287" s="249"/>
      <c r="J287" s="250"/>
      <c r="K287" s="259"/>
      <c r="L287" s="260"/>
      <c r="M287" s="252" t="str" cm="1">
        <f t="array" ref="M287">INDEX(Trad, 53, $A$20)</f>
        <v>Verschmutzt</v>
      </c>
      <c r="N287" s="253"/>
      <c r="O287" s="253"/>
      <c r="P287" s="254"/>
      <c r="Q287" s="251"/>
      <c r="R287" s="251"/>
      <c r="S287" s="264">
        <f t="shared" si="430"/>
        <v>0</v>
      </c>
      <c r="T287" s="252" t="str" cm="1">
        <f t="array" ref="T287">INDEX(Trad, 52, $A$20)</f>
        <v>Sauber</v>
      </c>
      <c r="U287" s="253"/>
      <c r="V287" s="253"/>
      <c r="W287" s="254"/>
      <c r="X287" s="251"/>
      <c r="Y287" s="251"/>
      <c r="Z287" s="264">
        <f t="shared" si="431"/>
        <v>0</v>
      </c>
      <c r="AA287" s="261"/>
      <c r="AB287" s="258"/>
      <c r="AC287" s="246"/>
      <c r="AD287" s="247" t="str">
        <f>IF(ISBLANK(AC287), "", VLOOKUP(AC287, Z!$A$2:$C$4127, 3, FALSE))</f>
        <v/>
      </c>
      <c r="AE287" s="262"/>
      <c r="AF287" s="263">
        <f t="shared" si="432"/>
        <v>0</v>
      </c>
      <c r="AG287" s="238"/>
      <c r="AH287" s="229">
        <f t="shared" si="456"/>
        <v>1</v>
      </c>
      <c r="AI287" s="229">
        <f t="shared" si="457"/>
        <v>1</v>
      </c>
      <c r="AJ287" s="229">
        <f t="shared" si="458"/>
        <v>0</v>
      </c>
      <c r="AK287" s="229">
        <v>0</v>
      </c>
      <c r="AL287" s="229">
        <v>0</v>
      </c>
      <c r="AM287" s="229">
        <v>1</v>
      </c>
      <c r="AN287" s="229">
        <v>0</v>
      </c>
      <c r="AO287" s="229">
        <f t="shared" si="433"/>
        <v>-100</v>
      </c>
      <c r="AP287" s="238"/>
      <c r="AQ287" s="255"/>
      <c r="AR287" s="255"/>
      <c r="AS287" s="256"/>
      <c r="AT287" s="256"/>
      <c r="AU287" s="256"/>
      <c r="AV287" s="256"/>
      <c r="AW287" s="256"/>
      <c r="AX287" s="256"/>
      <c r="AY287" s="256"/>
      <c r="AZ287" s="256"/>
      <c r="BA287" s="256"/>
      <c r="BB287" s="256"/>
      <c r="BC287" s="256"/>
      <c r="BD287" s="238"/>
      <c r="BE287" s="229" cm="1">
        <f t="array" ref="BE287">IF(ISBLANK(R287), INDEX(Use, $AH287, 4) - AM287*INDEX(Use, $AH287, 6), R287)</f>
        <v>5</v>
      </c>
      <c r="BF287" s="229">
        <f t="shared" si="434"/>
        <v>30</v>
      </c>
      <c r="BG287" s="229">
        <f t="shared" si="241"/>
        <v>13</v>
      </c>
      <c r="BH287" s="229">
        <f t="shared" si="242"/>
        <v>0</v>
      </c>
      <c r="BI287" s="234" cm="1">
        <f t="array" ref="BI287">K287/IF($L287&gt;0, INDEX($AU$23:$BA$77, $L287+20, $AH287), 1)</f>
        <v>0</v>
      </c>
      <c r="BJ287" s="230">
        <f t="shared" si="435"/>
        <v>0</v>
      </c>
      <c r="BK287" s="229">
        <v>35</v>
      </c>
      <c r="BL287" s="230">
        <f t="shared" si="436"/>
        <v>48</v>
      </c>
      <c r="BM287" s="235">
        <f t="shared" si="437"/>
        <v>2.9108720930232557</v>
      </c>
      <c r="BN287" s="235" cm="1">
        <f t="array" ref="BN287">$BI287 * SUMPRODUCT(INDEX($AR$77:$AT$82,,$AI287),INDEX($AU$77:$BA$82,,$AH287), N($AQ$77:$AQ$82&gt;$AO287)) / BM287 / 1000</f>
        <v>0</v>
      </c>
      <c r="BO287" s="232">
        <f t="shared" si="246"/>
        <v>30</v>
      </c>
      <c r="BP287" s="230">
        <f t="shared" si="438"/>
        <v>43</v>
      </c>
      <c r="BQ287" s="235">
        <f t="shared" si="439"/>
        <v>3.2938815789473681</v>
      </c>
      <c r="BR287" s="235" cm="1">
        <f t="array" ref="BR287">$BI287 * IF($AH287&lt;=2,
SUMPRODUCT(INDEX($AR$72:$AT$76,,$AI287), INDEX($AU$72:$BA$76,,$AH287), 1 / ($BB$72:$BB$76*BQ287 + (1-$BB$72:$BB$76)*BM287), N($AQ$72:$AQ$76&gt;$AO287)),
SUMPRODUCT(INDEX($AR$67:$AT$76,,$AI287), INDEX($AU$67:$BA$76,,$AH287), 1 / ($BC$67:$BC$76*BQ287 + (1-$BC$67:$BC$76)*BM287), N($AQ$67:$AQ$76&gt;$AO287))
) / 1000</f>
        <v>0</v>
      </c>
      <c r="BS287" s="232">
        <f t="shared" si="249"/>
        <v>25</v>
      </c>
      <c r="BT287" s="230">
        <f t="shared" si="440"/>
        <v>38</v>
      </c>
      <c r="BU287" s="235">
        <f t="shared" si="441"/>
        <v>3.792954545454545</v>
      </c>
      <c r="BV287" s="235" cm="1">
        <f t="array" ref="BV287">$BI287 * IF($AH287&lt;=2,
SUMPRODUCT(INDEX($AR$67:$AT$71,,$AI287), INDEX($AU$67:$BA$71,,$AH287), 1 / ($BB$67:$BB$71*BU287 + (1-$BB$67:$BB$71)*BQ287), N($AQ$67:$AQ$71&gt;$AO287)),
SUMPRODUCT(INDEX($AR$57:$AT$66,,$AI287), INDEX($AU$57:$BA$66,,$AH287), 1 / ($BC$57:$BC$66*BU287 + (1-$BC$57:$BC$66)*BQ287), N($AQ$57:$AQ$66&gt;$AO287))
) / 1000</f>
        <v>0</v>
      </c>
      <c r="BW287" s="232">
        <f t="shared" si="252"/>
        <v>20</v>
      </c>
      <c r="BX287" s="230">
        <f t="shared" si="442"/>
        <v>33</v>
      </c>
      <c r="BY287" s="235">
        <f t="shared" si="443"/>
        <v>4.4702678571428569</v>
      </c>
      <c r="BZ287" s="235" cm="1">
        <f t="array" ref="BZ287">$BI287 * IF($AH287&lt;=2,
SUMPRODUCT(INDEX($AR$62:$AT$66,,$AI287), INDEX($AU$62:$BA$66,,$AH287), 1 / ($BB$62:$BB$66*BY287 + (1-$BB$62:$BB$66)*BU287), N($AQ$62:$AQ$66&gt;$AO287)),
SUMPRODUCT(INDEX($AR$47:$AT$56,,$AI287), INDEX($AU$47:$BA$56,,$AH287), 1 / ($BC$47:$BC$56*BY287 + (1-$BC$47:$BC$56)*BU287), N($AQ$47:$AQ$56&gt;$AO287))
) / 1000</f>
        <v>0</v>
      </c>
      <c r="CA287" s="235" cm="1">
        <f t="array" ref="CA287">$BI287 * IF($AH287&lt;=2,
SUMPRODUCT(INDEX($AR$23:$AT$61,,$AI287), INDEX($AU$23:$BA$61,,$AH287), 1 / ($BB$23:$BB$61*BY287), N($AQ$23:$AQ$61&gt;$AO287)),
SUMPRODUCT(INDEX($AR$23:$AT$46,,$AI287), INDEX($AU$23:$BA$46,,$AH287), 1 / ($BC$23:$BC$46*BY287), N($AQ$23:$AQ$46&gt;$AO287))
) / 1000</f>
        <v>0</v>
      </c>
      <c r="CB287" s="230">
        <f t="shared" si="444"/>
        <v>0</v>
      </c>
      <c r="CC287" s="238"/>
      <c r="CD287" s="229" cm="1">
        <f t="array" ref="CD287">IF(ISBLANK(Y287), INDEX(Use, $AH287, 4) - AN287*INDEX(Use, $AH287, 6) - (Q287-X287), Y287)</f>
        <v>7</v>
      </c>
      <c r="CE287" s="229">
        <f t="shared" si="445"/>
        <v>32</v>
      </c>
      <c r="CF287" s="230">
        <f t="shared" si="446"/>
        <v>0</v>
      </c>
      <c r="CG287" s="229">
        <v>35</v>
      </c>
      <c r="CH287" s="230">
        <f t="shared" si="447"/>
        <v>48</v>
      </c>
      <c r="CI287" s="235">
        <f t="shared" si="448"/>
        <v>3.0748170731707316</v>
      </c>
      <c r="CJ287" s="235" cm="1">
        <f t="array" ref="CJ287">$BI287 * SUMPRODUCT(INDEX($AR$77:$AT$82,,$AI287),INDEX($AU$77:$BA$82,,$AH287), N($AQ$77:$AQ$82&gt;$AO287)) / CI287 / 1000</f>
        <v>0</v>
      </c>
      <c r="CK287" s="232">
        <f t="shared" si="260"/>
        <v>30</v>
      </c>
      <c r="CL287" s="230">
        <f t="shared" si="449"/>
        <v>43</v>
      </c>
      <c r="CM287" s="235">
        <f t="shared" si="450"/>
        <v>3.5018750000000001</v>
      </c>
      <c r="CN287" s="235" cm="1">
        <f t="array" ref="CN287">$BI287 * IF($AH287&lt;=2,
SUMPRODUCT(INDEX($AR$72:$AT$76,,$AI287), INDEX($AU$72:$BA$76,,$AH287), 1 / ($BB$72:$BB$76*CM287 + (1-$BB$72:$BB$76)*CI287), N($AQ$72:$AQ$76&gt;$AO287)),
SUMPRODUCT(INDEX($AR$67:$AT$76,,$AI287), INDEX($AU$67:$BA$76,,$AH287), 1 / ($BC$67:$BC$76*CM287 + (1-$BC$67:$BC$76)*CI287), N($AQ$67:$AQ$76&gt;$AO287))
) / 1000</f>
        <v>0</v>
      </c>
      <c r="CO287" s="232">
        <f t="shared" si="263"/>
        <v>25</v>
      </c>
      <c r="CP287" s="230">
        <f t="shared" si="451"/>
        <v>38</v>
      </c>
      <c r="CQ287" s="235">
        <f t="shared" si="452"/>
        <v>4.0666935483870965</v>
      </c>
      <c r="CR287" s="235" cm="1">
        <f t="array" ref="CR287">$BI287 * IF($AH287&lt;=2,
SUMPRODUCT(INDEX($AR$67:$AT$71,,$AI287), INDEX($AU$67:$BA$71,,$AH287), 1 / ($BB$67:$BB$71*CQ287 + (1-$BB$67:$BB$71)*CM287), N($AQ$67:$AQ$71&gt;$AO287)),
SUMPRODUCT(INDEX($AR$57:$AT$66,,$AI287), INDEX($AU$57:$BA$66,,$AH287), 1 / ($BC$57:$BC$66*CQ287 + (1-$BC$57:$BC$66)*CM287), N($AQ$57:$AQ$66&gt;$AO287))
) / 1000</f>
        <v>0</v>
      </c>
      <c r="CS287" s="232">
        <f t="shared" si="266"/>
        <v>20</v>
      </c>
      <c r="CT287" s="230">
        <f t="shared" si="453"/>
        <v>33</v>
      </c>
      <c r="CU287" s="235">
        <f t="shared" si="454"/>
        <v>4.8487499999999999</v>
      </c>
      <c r="CV287" s="235" cm="1">
        <f t="array" ref="CV287">$BI287 * IF($AH287&lt;=2,
SUMPRODUCT(INDEX($AR$62:$AT$66,,$AI287), INDEX($AU$62:$BA$66,,$AH287), 1 / ($BB$62:$BB$66*CU287 + (1-$BB$62:$BB$66)*CQ287), N($AQ$62:$AQ$66&gt;$AO287)),
SUMPRODUCT(INDEX($AR$47:$AT$56,,$AI287), INDEX($AU$47:$BA$56,,$AH287), 1 / ($BC$47:$BC$56*CU287 + (1-$BC$47:$BC$56)*CQ287), N($AQ$47:$AQ$56&gt;$AO287))
) / 1000</f>
        <v>0</v>
      </c>
      <c r="CW287" s="235" cm="1">
        <f t="array" ref="CW287">$BI287 * IF($AH287&lt;=2,
SUMPRODUCT(INDEX($AR$23:$AT$61,,$AI287), INDEX($AU$23:$BA$61,,$AH287), 1 / ($BB$23:$BB$61*CU287), N($AQ$23:$AQ$61&gt;$AO287)),
SUMPRODUCT(INDEX($AR$23:$AT$46,,$AI287), INDEX($AU$23:$BA$46,,$AH287), 1 / ($BC$23:$BC$46*CU287), N($AQ$23:$AQ$46&gt;$AO287))
) / 1000</f>
        <v>0</v>
      </c>
      <c r="CX287" s="230">
        <f t="shared" si="455"/>
        <v>0</v>
      </c>
      <c r="CY287" s="238"/>
    </row>
    <row r="288" spans="1:103" s="76" customFormat="1" ht="14.25" customHeight="1" x14ac:dyDescent="0.2">
      <c r="A288" s="231" t="b">
        <f t="shared" si="229"/>
        <v>0</v>
      </c>
      <c r="B288" s="245">
        <v>266</v>
      </c>
      <c r="C288" s="258"/>
      <c r="D288" s="258"/>
      <c r="E288" s="246"/>
      <c r="F288" s="247" t="str">
        <f>IF(ISBLANK(E288), "", VLOOKUP(E288, Z!$A$2:$C$4127, 3, FALSE))</f>
        <v/>
      </c>
      <c r="G288" s="248"/>
      <c r="H288" s="248"/>
      <c r="I288" s="249"/>
      <c r="J288" s="250"/>
      <c r="K288" s="259"/>
      <c r="L288" s="260"/>
      <c r="M288" s="252" t="str" cm="1">
        <f t="array" ref="M288">INDEX(Trad, 53, $A$20)</f>
        <v>Verschmutzt</v>
      </c>
      <c r="N288" s="253"/>
      <c r="O288" s="253"/>
      <c r="P288" s="254"/>
      <c r="Q288" s="251"/>
      <c r="R288" s="251"/>
      <c r="S288" s="264">
        <f t="shared" si="430"/>
        <v>0</v>
      </c>
      <c r="T288" s="252" t="str" cm="1">
        <f t="array" ref="T288">INDEX(Trad, 52, $A$20)</f>
        <v>Sauber</v>
      </c>
      <c r="U288" s="253"/>
      <c r="V288" s="253"/>
      <c r="W288" s="254"/>
      <c r="X288" s="251"/>
      <c r="Y288" s="251"/>
      <c r="Z288" s="264">
        <f t="shared" si="431"/>
        <v>0</v>
      </c>
      <c r="AA288" s="261"/>
      <c r="AB288" s="258"/>
      <c r="AC288" s="246"/>
      <c r="AD288" s="247" t="str">
        <f>IF(ISBLANK(AC288), "", VLOOKUP(AC288, Z!$A$2:$C$4127, 3, FALSE))</f>
        <v/>
      </c>
      <c r="AE288" s="262"/>
      <c r="AF288" s="263">
        <f t="shared" si="432"/>
        <v>0</v>
      </c>
      <c r="AG288" s="238"/>
      <c r="AH288" s="229">
        <f t="shared" si="456"/>
        <v>1</v>
      </c>
      <c r="AI288" s="229">
        <f t="shared" si="457"/>
        <v>1</v>
      </c>
      <c r="AJ288" s="229">
        <f t="shared" si="458"/>
        <v>0</v>
      </c>
      <c r="AK288" s="229">
        <v>0</v>
      </c>
      <c r="AL288" s="229">
        <v>0</v>
      </c>
      <c r="AM288" s="229">
        <v>1</v>
      </c>
      <c r="AN288" s="229">
        <v>0</v>
      </c>
      <c r="AO288" s="229">
        <f t="shared" si="433"/>
        <v>-100</v>
      </c>
      <c r="AP288" s="238"/>
      <c r="AQ288" s="255"/>
      <c r="AR288" s="255"/>
      <c r="AS288" s="256"/>
      <c r="AT288" s="256"/>
      <c r="AU288" s="256"/>
      <c r="AV288" s="256"/>
      <c r="AW288" s="256"/>
      <c r="AX288" s="256"/>
      <c r="AY288" s="256"/>
      <c r="AZ288" s="256"/>
      <c r="BA288" s="256"/>
      <c r="BB288" s="256"/>
      <c r="BC288" s="256"/>
      <c r="BD288" s="238"/>
      <c r="BE288" s="229" cm="1">
        <f t="array" ref="BE288">IF(ISBLANK(R288), INDEX(Use, $AH288, 4) - AM288*INDEX(Use, $AH288, 6), R288)</f>
        <v>5</v>
      </c>
      <c r="BF288" s="229">
        <f t="shared" si="434"/>
        <v>30</v>
      </c>
      <c r="BG288" s="229">
        <f t="shared" si="241"/>
        <v>13</v>
      </c>
      <c r="BH288" s="229">
        <f t="shared" si="242"/>
        <v>0</v>
      </c>
      <c r="BI288" s="234" cm="1">
        <f t="array" ref="BI288">K288/IF($L288&gt;0, INDEX($AU$23:$BA$77, $L288+20, $AH288), 1)</f>
        <v>0</v>
      </c>
      <c r="BJ288" s="230">
        <f t="shared" si="435"/>
        <v>0</v>
      </c>
      <c r="BK288" s="229">
        <v>35</v>
      </c>
      <c r="BL288" s="230">
        <f t="shared" si="436"/>
        <v>48</v>
      </c>
      <c r="BM288" s="235">
        <f t="shared" si="437"/>
        <v>2.9108720930232557</v>
      </c>
      <c r="BN288" s="235" cm="1">
        <f t="array" ref="BN288">$BI288 * SUMPRODUCT(INDEX($AR$77:$AT$82,,$AI288),INDEX($AU$77:$BA$82,,$AH288), N($AQ$77:$AQ$82&gt;$AO288)) / BM288 / 1000</f>
        <v>0</v>
      </c>
      <c r="BO288" s="232">
        <f t="shared" si="246"/>
        <v>30</v>
      </c>
      <c r="BP288" s="230">
        <f t="shared" si="438"/>
        <v>43</v>
      </c>
      <c r="BQ288" s="235">
        <f t="shared" si="439"/>
        <v>3.2938815789473681</v>
      </c>
      <c r="BR288" s="235" cm="1">
        <f t="array" ref="BR288">$BI288 * IF($AH288&lt;=2,
SUMPRODUCT(INDEX($AR$72:$AT$76,,$AI288), INDEX($AU$72:$BA$76,,$AH288), 1 / ($BB$72:$BB$76*BQ288 + (1-$BB$72:$BB$76)*BM288), N($AQ$72:$AQ$76&gt;$AO288)),
SUMPRODUCT(INDEX($AR$67:$AT$76,,$AI288), INDEX($AU$67:$BA$76,,$AH288), 1 / ($BC$67:$BC$76*BQ288 + (1-$BC$67:$BC$76)*BM288), N($AQ$67:$AQ$76&gt;$AO288))
) / 1000</f>
        <v>0</v>
      </c>
      <c r="BS288" s="232">
        <f t="shared" si="249"/>
        <v>25</v>
      </c>
      <c r="BT288" s="230">
        <f t="shared" si="440"/>
        <v>38</v>
      </c>
      <c r="BU288" s="235">
        <f t="shared" si="441"/>
        <v>3.792954545454545</v>
      </c>
      <c r="BV288" s="235" cm="1">
        <f t="array" ref="BV288">$BI288 * IF($AH288&lt;=2,
SUMPRODUCT(INDEX($AR$67:$AT$71,,$AI288), INDEX($AU$67:$BA$71,,$AH288), 1 / ($BB$67:$BB$71*BU288 + (1-$BB$67:$BB$71)*BQ288), N($AQ$67:$AQ$71&gt;$AO288)),
SUMPRODUCT(INDEX($AR$57:$AT$66,,$AI288), INDEX($AU$57:$BA$66,,$AH288), 1 / ($BC$57:$BC$66*BU288 + (1-$BC$57:$BC$66)*BQ288), N($AQ$57:$AQ$66&gt;$AO288))
) / 1000</f>
        <v>0</v>
      </c>
      <c r="BW288" s="232">
        <f t="shared" si="252"/>
        <v>20</v>
      </c>
      <c r="BX288" s="230">
        <f t="shared" si="442"/>
        <v>33</v>
      </c>
      <c r="BY288" s="235">
        <f t="shared" si="443"/>
        <v>4.4702678571428569</v>
      </c>
      <c r="BZ288" s="235" cm="1">
        <f t="array" ref="BZ288">$BI288 * IF($AH288&lt;=2,
SUMPRODUCT(INDEX($AR$62:$AT$66,,$AI288), INDEX($AU$62:$BA$66,,$AH288), 1 / ($BB$62:$BB$66*BY288 + (1-$BB$62:$BB$66)*BU288), N($AQ$62:$AQ$66&gt;$AO288)),
SUMPRODUCT(INDEX($AR$47:$AT$56,,$AI288), INDEX($AU$47:$BA$56,,$AH288), 1 / ($BC$47:$BC$56*BY288 + (1-$BC$47:$BC$56)*BU288), N($AQ$47:$AQ$56&gt;$AO288))
) / 1000</f>
        <v>0</v>
      </c>
      <c r="CA288" s="235" cm="1">
        <f t="array" ref="CA288">$BI288 * IF($AH288&lt;=2,
SUMPRODUCT(INDEX($AR$23:$AT$61,,$AI288), INDEX($AU$23:$BA$61,,$AH288), 1 / ($BB$23:$BB$61*BY288), N($AQ$23:$AQ$61&gt;$AO288)),
SUMPRODUCT(INDEX($AR$23:$AT$46,,$AI288), INDEX($AU$23:$BA$46,,$AH288), 1 / ($BC$23:$BC$46*BY288), N($AQ$23:$AQ$46&gt;$AO288))
) / 1000</f>
        <v>0</v>
      </c>
      <c r="CB288" s="230">
        <f t="shared" si="444"/>
        <v>0</v>
      </c>
      <c r="CC288" s="238"/>
      <c r="CD288" s="229" cm="1">
        <f t="array" ref="CD288">IF(ISBLANK(Y288), INDEX(Use, $AH288, 4) - AN288*INDEX(Use, $AH288, 6) - (Q288-X288), Y288)</f>
        <v>7</v>
      </c>
      <c r="CE288" s="229">
        <f t="shared" si="445"/>
        <v>32</v>
      </c>
      <c r="CF288" s="230">
        <f t="shared" si="446"/>
        <v>0</v>
      </c>
      <c r="CG288" s="229">
        <v>35</v>
      </c>
      <c r="CH288" s="230">
        <f t="shared" si="447"/>
        <v>48</v>
      </c>
      <c r="CI288" s="235">
        <f t="shared" si="448"/>
        <v>3.0748170731707316</v>
      </c>
      <c r="CJ288" s="235" cm="1">
        <f t="array" ref="CJ288">$BI288 * SUMPRODUCT(INDEX($AR$77:$AT$82,,$AI288),INDEX($AU$77:$BA$82,,$AH288), N($AQ$77:$AQ$82&gt;$AO288)) / CI288 / 1000</f>
        <v>0</v>
      </c>
      <c r="CK288" s="232">
        <f t="shared" si="260"/>
        <v>30</v>
      </c>
      <c r="CL288" s="230">
        <f t="shared" si="449"/>
        <v>43</v>
      </c>
      <c r="CM288" s="235">
        <f t="shared" si="450"/>
        <v>3.5018750000000001</v>
      </c>
      <c r="CN288" s="235" cm="1">
        <f t="array" ref="CN288">$BI288 * IF($AH288&lt;=2,
SUMPRODUCT(INDEX($AR$72:$AT$76,,$AI288), INDEX($AU$72:$BA$76,,$AH288), 1 / ($BB$72:$BB$76*CM288 + (1-$BB$72:$BB$76)*CI288), N($AQ$72:$AQ$76&gt;$AO288)),
SUMPRODUCT(INDEX($AR$67:$AT$76,,$AI288), INDEX($AU$67:$BA$76,,$AH288), 1 / ($BC$67:$BC$76*CM288 + (1-$BC$67:$BC$76)*CI288), N($AQ$67:$AQ$76&gt;$AO288))
) / 1000</f>
        <v>0</v>
      </c>
      <c r="CO288" s="232">
        <f t="shared" si="263"/>
        <v>25</v>
      </c>
      <c r="CP288" s="230">
        <f t="shared" si="451"/>
        <v>38</v>
      </c>
      <c r="CQ288" s="235">
        <f t="shared" si="452"/>
        <v>4.0666935483870965</v>
      </c>
      <c r="CR288" s="235" cm="1">
        <f t="array" ref="CR288">$BI288 * IF($AH288&lt;=2,
SUMPRODUCT(INDEX($AR$67:$AT$71,,$AI288), INDEX($AU$67:$BA$71,,$AH288), 1 / ($BB$67:$BB$71*CQ288 + (1-$BB$67:$BB$71)*CM288), N($AQ$67:$AQ$71&gt;$AO288)),
SUMPRODUCT(INDEX($AR$57:$AT$66,,$AI288), INDEX($AU$57:$BA$66,,$AH288), 1 / ($BC$57:$BC$66*CQ288 + (1-$BC$57:$BC$66)*CM288), N($AQ$57:$AQ$66&gt;$AO288))
) / 1000</f>
        <v>0</v>
      </c>
      <c r="CS288" s="232">
        <f t="shared" si="266"/>
        <v>20</v>
      </c>
      <c r="CT288" s="230">
        <f t="shared" si="453"/>
        <v>33</v>
      </c>
      <c r="CU288" s="235">
        <f t="shared" si="454"/>
        <v>4.8487499999999999</v>
      </c>
      <c r="CV288" s="235" cm="1">
        <f t="array" ref="CV288">$BI288 * IF($AH288&lt;=2,
SUMPRODUCT(INDEX($AR$62:$AT$66,,$AI288), INDEX($AU$62:$BA$66,,$AH288), 1 / ($BB$62:$BB$66*CU288 + (1-$BB$62:$BB$66)*CQ288), N($AQ$62:$AQ$66&gt;$AO288)),
SUMPRODUCT(INDEX($AR$47:$AT$56,,$AI288), INDEX($AU$47:$BA$56,,$AH288), 1 / ($BC$47:$BC$56*CU288 + (1-$BC$47:$BC$56)*CQ288), N($AQ$47:$AQ$56&gt;$AO288))
) / 1000</f>
        <v>0</v>
      </c>
      <c r="CW288" s="235" cm="1">
        <f t="array" ref="CW288">$BI288 * IF($AH288&lt;=2,
SUMPRODUCT(INDEX($AR$23:$AT$61,,$AI288), INDEX($AU$23:$BA$61,,$AH288), 1 / ($BB$23:$BB$61*CU288), N($AQ$23:$AQ$61&gt;$AO288)),
SUMPRODUCT(INDEX($AR$23:$AT$46,,$AI288), INDEX($AU$23:$BA$46,,$AH288), 1 / ($BC$23:$BC$46*CU288), N($AQ$23:$AQ$46&gt;$AO288))
) / 1000</f>
        <v>0</v>
      </c>
      <c r="CX288" s="230">
        <f t="shared" si="455"/>
        <v>0</v>
      </c>
      <c r="CY288" s="238"/>
    </row>
    <row r="289" spans="1:103" s="76" customFormat="1" ht="14.25" customHeight="1" x14ac:dyDescent="0.2">
      <c r="A289" s="231" t="b">
        <f t="shared" si="229"/>
        <v>0</v>
      </c>
      <c r="B289" s="245">
        <v>267</v>
      </c>
      <c r="C289" s="258"/>
      <c r="D289" s="258"/>
      <c r="E289" s="246"/>
      <c r="F289" s="247" t="str">
        <f>IF(ISBLANK(E289), "", VLOOKUP(E289, Z!$A$2:$C$4127, 3, FALSE))</f>
        <v/>
      </c>
      <c r="G289" s="248"/>
      <c r="H289" s="248"/>
      <c r="I289" s="249"/>
      <c r="J289" s="250"/>
      <c r="K289" s="259"/>
      <c r="L289" s="260"/>
      <c r="M289" s="252" t="str" cm="1">
        <f t="array" ref="M289">INDEX(Trad, 53, $A$20)</f>
        <v>Verschmutzt</v>
      </c>
      <c r="N289" s="253"/>
      <c r="O289" s="253"/>
      <c r="P289" s="254"/>
      <c r="Q289" s="251"/>
      <c r="R289" s="251"/>
      <c r="S289" s="264">
        <f t="shared" si="430"/>
        <v>0</v>
      </c>
      <c r="T289" s="252" t="str" cm="1">
        <f t="array" ref="T289">INDEX(Trad, 52, $A$20)</f>
        <v>Sauber</v>
      </c>
      <c r="U289" s="253"/>
      <c r="V289" s="253"/>
      <c r="W289" s="254"/>
      <c r="X289" s="251"/>
      <c r="Y289" s="251"/>
      <c r="Z289" s="264">
        <f t="shared" si="431"/>
        <v>0</v>
      </c>
      <c r="AA289" s="261"/>
      <c r="AB289" s="258"/>
      <c r="AC289" s="246"/>
      <c r="AD289" s="247" t="str">
        <f>IF(ISBLANK(AC289), "", VLOOKUP(AC289, Z!$A$2:$C$4127, 3, FALSE))</f>
        <v/>
      </c>
      <c r="AE289" s="262"/>
      <c r="AF289" s="263">
        <f t="shared" si="432"/>
        <v>0</v>
      </c>
      <c r="AG289" s="238"/>
      <c r="AH289" s="229">
        <f t="shared" si="456"/>
        <v>1</v>
      </c>
      <c r="AI289" s="229">
        <f t="shared" si="457"/>
        <v>1</v>
      </c>
      <c r="AJ289" s="229">
        <f t="shared" si="458"/>
        <v>0</v>
      </c>
      <c r="AK289" s="229">
        <v>0</v>
      </c>
      <c r="AL289" s="229">
        <v>0</v>
      </c>
      <c r="AM289" s="229">
        <v>1</v>
      </c>
      <c r="AN289" s="229">
        <v>0</v>
      </c>
      <c r="AO289" s="229">
        <f t="shared" si="433"/>
        <v>-100</v>
      </c>
      <c r="AP289" s="238"/>
      <c r="AQ289" s="255"/>
      <c r="AR289" s="255"/>
      <c r="AS289" s="256"/>
      <c r="AT289" s="256"/>
      <c r="AU289" s="256"/>
      <c r="AV289" s="256"/>
      <c r="AW289" s="256"/>
      <c r="AX289" s="256"/>
      <c r="AY289" s="256"/>
      <c r="AZ289" s="256"/>
      <c r="BA289" s="256"/>
      <c r="BB289" s="256"/>
      <c r="BC289" s="256"/>
      <c r="BD289" s="238"/>
      <c r="BE289" s="229" cm="1">
        <f t="array" ref="BE289">IF(ISBLANK(R289), INDEX(Use, $AH289, 4) - AM289*INDEX(Use, $AH289, 6), R289)</f>
        <v>5</v>
      </c>
      <c r="BF289" s="229">
        <f t="shared" si="434"/>
        <v>30</v>
      </c>
      <c r="BG289" s="229">
        <f t="shared" si="241"/>
        <v>13</v>
      </c>
      <c r="BH289" s="229">
        <f t="shared" si="242"/>
        <v>0</v>
      </c>
      <c r="BI289" s="234" cm="1">
        <f t="array" ref="BI289">K289/IF($L289&gt;0, INDEX($AU$23:$BA$77, $L289+20, $AH289), 1)</f>
        <v>0</v>
      </c>
      <c r="BJ289" s="230">
        <f t="shared" si="435"/>
        <v>0</v>
      </c>
      <c r="BK289" s="229">
        <v>35</v>
      </c>
      <c r="BL289" s="230">
        <f t="shared" si="436"/>
        <v>48</v>
      </c>
      <c r="BM289" s="235">
        <f t="shared" si="437"/>
        <v>2.9108720930232557</v>
      </c>
      <c r="BN289" s="235" cm="1">
        <f t="array" ref="BN289">$BI289 * SUMPRODUCT(INDEX($AR$77:$AT$82,,$AI289),INDEX($AU$77:$BA$82,,$AH289), N($AQ$77:$AQ$82&gt;$AO289)) / BM289 / 1000</f>
        <v>0</v>
      </c>
      <c r="BO289" s="232">
        <f t="shared" si="246"/>
        <v>30</v>
      </c>
      <c r="BP289" s="230">
        <f t="shared" si="438"/>
        <v>43</v>
      </c>
      <c r="BQ289" s="235">
        <f t="shared" si="439"/>
        <v>3.2938815789473681</v>
      </c>
      <c r="BR289" s="235" cm="1">
        <f t="array" ref="BR289">$BI289 * IF($AH289&lt;=2,
SUMPRODUCT(INDEX($AR$72:$AT$76,,$AI289), INDEX($AU$72:$BA$76,,$AH289), 1 / ($BB$72:$BB$76*BQ289 + (1-$BB$72:$BB$76)*BM289), N($AQ$72:$AQ$76&gt;$AO289)),
SUMPRODUCT(INDEX($AR$67:$AT$76,,$AI289), INDEX($AU$67:$BA$76,,$AH289), 1 / ($BC$67:$BC$76*BQ289 + (1-$BC$67:$BC$76)*BM289), N($AQ$67:$AQ$76&gt;$AO289))
) / 1000</f>
        <v>0</v>
      </c>
      <c r="BS289" s="232">
        <f t="shared" si="249"/>
        <v>25</v>
      </c>
      <c r="BT289" s="230">
        <f t="shared" si="440"/>
        <v>38</v>
      </c>
      <c r="BU289" s="235">
        <f t="shared" si="441"/>
        <v>3.792954545454545</v>
      </c>
      <c r="BV289" s="235" cm="1">
        <f t="array" ref="BV289">$BI289 * IF($AH289&lt;=2,
SUMPRODUCT(INDEX($AR$67:$AT$71,,$AI289), INDEX($AU$67:$BA$71,,$AH289), 1 / ($BB$67:$BB$71*BU289 + (1-$BB$67:$BB$71)*BQ289), N($AQ$67:$AQ$71&gt;$AO289)),
SUMPRODUCT(INDEX($AR$57:$AT$66,,$AI289), INDEX($AU$57:$BA$66,,$AH289), 1 / ($BC$57:$BC$66*BU289 + (1-$BC$57:$BC$66)*BQ289), N($AQ$57:$AQ$66&gt;$AO289))
) / 1000</f>
        <v>0</v>
      </c>
      <c r="BW289" s="232">
        <f t="shared" si="252"/>
        <v>20</v>
      </c>
      <c r="BX289" s="230">
        <f t="shared" si="442"/>
        <v>33</v>
      </c>
      <c r="BY289" s="235">
        <f t="shared" si="443"/>
        <v>4.4702678571428569</v>
      </c>
      <c r="BZ289" s="235" cm="1">
        <f t="array" ref="BZ289">$BI289 * IF($AH289&lt;=2,
SUMPRODUCT(INDEX($AR$62:$AT$66,,$AI289), INDEX($AU$62:$BA$66,,$AH289), 1 / ($BB$62:$BB$66*BY289 + (1-$BB$62:$BB$66)*BU289), N($AQ$62:$AQ$66&gt;$AO289)),
SUMPRODUCT(INDEX($AR$47:$AT$56,,$AI289), INDEX($AU$47:$BA$56,,$AH289), 1 / ($BC$47:$BC$56*BY289 + (1-$BC$47:$BC$56)*BU289), N($AQ$47:$AQ$56&gt;$AO289))
) / 1000</f>
        <v>0</v>
      </c>
      <c r="CA289" s="235" cm="1">
        <f t="array" ref="CA289">$BI289 * IF($AH289&lt;=2,
SUMPRODUCT(INDEX($AR$23:$AT$61,,$AI289), INDEX($AU$23:$BA$61,,$AH289), 1 / ($BB$23:$BB$61*BY289), N($AQ$23:$AQ$61&gt;$AO289)),
SUMPRODUCT(INDEX($AR$23:$AT$46,,$AI289), INDEX($AU$23:$BA$46,,$AH289), 1 / ($BC$23:$BC$46*BY289), N($AQ$23:$AQ$46&gt;$AO289))
) / 1000</f>
        <v>0</v>
      </c>
      <c r="CB289" s="230">
        <f t="shared" si="444"/>
        <v>0</v>
      </c>
      <c r="CC289" s="238"/>
      <c r="CD289" s="229" cm="1">
        <f t="array" ref="CD289">IF(ISBLANK(Y289), INDEX(Use, $AH289, 4) - AN289*INDEX(Use, $AH289, 6) - (Q289-X289), Y289)</f>
        <v>7</v>
      </c>
      <c r="CE289" s="229">
        <f t="shared" si="445"/>
        <v>32</v>
      </c>
      <c r="CF289" s="230">
        <f t="shared" si="446"/>
        <v>0</v>
      </c>
      <c r="CG289" s="229">
        <v>35</v>
      </c>
      <c r="CH289" s="230">
        <f t="shared" si="447"/>
        <v>48</v>
      </c>
      <c r="CI289" s="235">
        <f t="shared" si="448"/>
        <v>3.0748170731707316</v>
      </c>
      <c r="CJ289" s="235" cm="1">
        <f t="array" ref="CJ289">$BI289 * SUMPRODUCT(INDEX($AR$77:$AT$82,,$AI289),INDEX($AU$77:$BA$82,,$AH289), N($AQ$77:$AQ$82&gt;$AO289)) / CI289 / 1000</f>
        <v>0</v>
      </c>
      <c r="CK289" s="232">
        <f t="shared" si="260"/>
        <v>30</v>
      </c>
      <c r="CL289" s="230">
        <f t="shared" si="449"/>
        <v>43</v>
      </c>
      <c r="CM289" s="235">
        <f t="shared" si="450"/>
        <v>3.5018750000000001</v>
      </c>
      <c r="CN289" s="235" cm="1">
        <f t="array" ref="CN289">$BI289 * IF($AH289&lt;=2,
SUMPRODUCT(INDEX($AR$72:$AT$76,,$AI289), INDEX($AU$72:$BA$76,,$AH289), 1 / ($BB$72:$BB$76*CM289 + (1-$BB$72:$BB$76)*CI289), N($AQ$72:$AQ$76&gt;$AO289)),
SUMPRODUCT(INDEX($AR$67:$AT$76,,$AI289), INDEX($AU$67:$BA$76,,$AH289), 1 / ($BC$67:$BC$76*CM289 + (1-$BC$67:$BC$76)*CI289), N($AQ$67:$AQ$76&gt;$AO289))
) / 1000</f>
        <v>0</v>
      </c>
      <c r="CO289" s="232">
        <f t="shared" si="263"/>
        <v>25</v>
      </c>
      <c r="CP289" s="230">
        <f t="shared" si="451"/>
        <v>38</v>
      </c>
      <c r="CQ289" s="235">
        <f t="shared" si="452"/>
        <v>4.0666935483870965</v>
      </c>
      <c r="CR289" s="235" cm="1">
        <f t="array" ref="CR289">$BI289 * IF($AH289&lt;=2,
SUMPRODUCT(INDEX($AR$67:$AT$71,,$AI289), INDEX($AU$67:$BA$71,,$AH289), 1 / ($BB$67:$BB$71*CQ289 + (1-$BB$67:$BB$71)*CM289), N($AQ$67:$AQ$71&gt;$AO289)),
SUMPRODUCT(INDEX($AR$57:$AT$66,,$AI289), INDEX($AU$57:$BA$66,,$AH289), 1 / ($BC$57:$BC$66*CQ289 + (1-$BC$57:$BC$66)*CM289), N($AQ$57:$AQ$66&gt;$AO289))
) / 1000</f>
        <v>0</v>
      </c>
      <c r="CS289" s="232">
        <f t="shared" si="266"/>
        <v>20</v>
      </c>
      <c r="CT289" s="230">
        <f t="shared" si="453"/>
        <v>33</v>
      </c>
      <c r="CU289" s="235">
        <f t="shared" si="454"/>
        <v>4.8487499999999999</v>
      </c>
      <c r="CV289" s="235" cm="1">
        <f t="array" ref="CV289">$BI289 * IF($AH289&lt;=2,
SUMPRODUCT(INDEX($AR$62:$AT$66,,$AI289), INDEX($AU$62:$BA$66,,$AH289), 1 / ($BB$62:$BB$66*CU289 + (1-$BB$62:$BB$66)*CQ289), N($AQ$62:$AQ$66&gt;$AO289)),
SUMPRODUCT(INDEX($AR$47:$AT$56,,$AI289), INDEX($AU$47:$BA$56,,$AH289), 1 / ($BC$47:$BC$56*CU289 + (1-$BC$47:$BC$56)*CQ289), N($AQ$47:$AQ$56&gt;$AO289))
) / 1000</f>
        <v>0</v>
      </c>
      <c r="CW289" s="235" cm="1">
        <f t="array" ref="CW289">$BI289 * IF($AH289&lt;=2,
SUMPRODUCT(INDEX($AR$23:$AT$61,,$AI289), INDEX($AU$23:$BA$61,,$AH289), 1 / ($BB$23:$BB$61*CU289), N($AQ$23:$AQ$61&gt;$AO289)),
SUMPRODUCT(INDEX($AR$23:$AT$46,,$AI289), INDEX($AU$23:$BA$46,,$AH289), 1 / ($BC$23:$BC$46*CU289), N($AQ$23:$AQ$46&gt;$AO289))
) / 1000</f>
        <v>0</v>
      </c>
      <c r="CX289" s="230">
        <f t="shared" si="455"/>
        <v>0</v>
      </c>
      <c r="CY289" s="238"/>
    </row>
    <row r="290" spans="1:103" s="76" customFormat="1" ht="14.25" customHeight="1" x14ac:dyDescent="0.2">
      <c r="A290" s="231" t="b">
        <f t="shared" si="229"/>
        <v>0</v>
      </c>
      <c r="B290" s="245">
        <v>268</v>
      </c>
      <c r="C290" s="258"/>
      <c r="D290" s="258"/>
      <c r="E290" s="246"/>
      <c r="F290" s="247" t="str">
        <f>IF(ISBLANK(E290), "", VLOOKUP(E290, Z!$A$2:$C$4127, 3, FALSE))</f>
        <v/>
      </c>
      <c r="G290" s="248"/>
      <c r="H290" s="248"/>
      <c r="I290" s="249"/>
      <c r="J290" s="250"/>
      <c r="K290" s="259"/>
      <c r="L290" s="260"/>
      <c r="M290" s="252" t="str" cm="1">
        <f t="array" ref="M290">INDEX(Trad, 53, $A$20)</f>
        <v>Verschmutzt</v>
      </c>
      <c r="N290" s="253"/>
      <c r="O290" s="253"/>
      <c r="P290" s="254"/>
      <c r="Q290" s="251"/>
      <c r="R290" s="251"/>
      <c r="S290" s="264">
        <f t="shared" si="430"/>
        <v>0</v>
      </c>
      <c r="T290" s="252" t="str" cm="1">
        <f t="array" ref="T290">INDEX(Trad, 52, $A$20)</f>
        <v>Sauber</v>
      </c>
      <c r="U290" s="253"/>
      <c r="V290" s="253"/>
      <c r="W290" s="254"/>
      <c r="X290" s="251"/>
      <c r="Y290" s="251"/>
      <c r="Z290" s="264">
        <f t="shared" si="431"/>
        <v>0</v>
      </c>
      <c r="AA290" s="261"/>
      <c r="AB290" s="258"/>
      <c r="AC290" s="246"/>
      <c r="AD290" s="247" t="str">
        <f>IF(ISBLANK(AC290), "", VLOOKUP(AC290, Z!$A$2:$C$4127, 3, FALSE))</f>
        <v/>
      </c>
      <c r="AE290" s="262"/>
      <c r="AF290" s="263">
        <f t="shared" si="432"/>
        <v>0</v>
      </c>
      <c r="AG290" s="238"/>
      <c r="AH290" s="229">
        <f t="shared" si="456"/>
        <v>1</v>
      </c>
      <c r="AI290" s="229">
        <f t="shared" si="457"/>
        <v>1</v>
      </c>
      <c r="AJ290" s="229">
        <f t="shared" si="458"/>
        <v>0</v>
      </c>
      <c r="AK290" s="229">
        <v>0</v>
      </c>
      <c r="AL290" s="229">
        <v>0</v>
      </c>
      <c r="AM290" s="229">
        <v>1</v>
      </c>
      <c r="AN290" s="229">
        <v>0</v>
      </c>
      <c r="AO290" s="229">
        <f t="shared" si="433"/>
        <v>-100</v>
      </c>
      <c r="AP290" s="238"/>
      <c r="AQ290" s="255"/>
      <c r="AR290" s="255"/>
      <c r="AS290" s="256"/>
      <c r="AT290" s="256"/>
      <c r="AU290" s="256"/>
      <c r="AV290" s="256"/>
      <c r="AW290" s="256"/>
      <c r="AX290" s="256"/>
      <c r="AY290" s="256"/>
      <c r="AZ290" s="256"/>
      <c r="BA290" s="256"/>
      <c r="BB290" s="256"/>
      <c r="BC290" s="256"/>
      <c r="BD290" s="238"/>
      <c r="BE290" s="229" cm="1">
        <f t="array" ref="BE290">IF(ISBLANK(R290), INDEX(Use, $AH290, 4) - AM290*INDEX(Use, $AH290, 6), R290)</f>
        <v>5</v>
      </c>
      <c r="BF290" s="229">
        <f t="shared" si="434"/>
        <v>30</v>
      </c>
      <c r="BG290" s="229">
        <f t="shared" si="241"/>
        <v>13</v>
      </c>
      <c r="BH290" s="229">
        <f t="shared" si="242"/>
        <v>0</v>
      </c>
      <c r="BI290" s="234" cm="1">
        <f t="array" ref="BI290">K290/IF($L290&gt;0, INDEX($AU$23:$BA$77, $L290+20, $AH290), 1)</f>
        <v>0</v>
      </c>
      <c r="BJ290" s="230">
        <f t="shared" si="435"/>
        <v>0</v>
      </c>
      <c r="BK290" s="229">
        <v>35</v>
      </c>
      <c r="BL290" s="230">
        <f t="shared" si="436"/>
        <v>48</v>
      </c>
      <c r="BM290" s="235">
        <f t="shared" si="437"/>
        <v>2.9108720930232557</v>
      </c>
      <c r="BN290" s="235" cm="1">
        <f t="array" ref="BN290">$BI290 * SUMPRODUCT(INDEX($AR$77:$AT$82,,$AI290),INDEX($AU$77:$BA$82,,$AH290), N($AQ$77:$AQ$82&gt;$AO290)) / BM290 / 1000</f>
        <v>0</v>
      </c>
      <c r="BO290" s="232">
        <f t="shared" si="246"/>
        <v>30</v>
      </c>
      <c r="BP290" s="230">
        <f t="shared" si="438"/>
        <v>43</v>
      </c>
      <c r="BQ290" s="235">
        <f t="shared" si="439"/>
        <v>3.2938815789473681</v>
      </c>
      <c r="BR290" s="235" cm="1">
        <f t="array" ref="BR290">$BI290 * IF($AH290&lt;=2,
SUMPRODUCT(INDEX($AR$72:$AT$76,,$AI290), INDEX($AU$72:$BA$76,,$AH290), 1 / ($BB$72:$BB$76*BQ290 + (1-$BB$72:$BB$76)*BM290), N($AQ$72:$AQ$76&gt;$AO290)),
SUMPRODUCT(INDEX($AR$67:$AT$76,,$AI290), INDEX($AU$67:$BA$76,,$AH290), 1 / ($BC$67:$BC$76*BQ290 + (1-$BC$67:$BC$76)*BM290), N($AQ$67:$AQ$76&gt;$AO290))
) / 1000</f>
        <v>0</v>
      </c>
      <c r="BS290" s="232">
        <f t="shared" si="249"/>
        <v>25</v>
      </c>
      <c r="BT290" s="230">
        <f t="shared" si="440"/>
        <v>38</v>
      </c>
      <c r="BU290" s="235">
        <f t="shared" si="441"/>
        <v>3.792954545454545</v>
      </c>
      <c r="BV290" s="235" cm="1">
        <f t="array" ref="BV290">$BI290 * IF($AH290&lt;=2,
SUMPRODUCT(INDEX($AR$67:$AT$71,,$AI290), INDEX($AU$67:$BA$71,,$AH290), 1 / ($BB$67:$BB$71*BU290 + (1-$BB$67:$BB$71)*BQ290), N($AQ$67:$AQ$71&gt;$AO290)),
SUMPRODUCT(INDEX($AR$57:$AT$66,,$AI290), INDEX($AU$57:$BA$66,,$AH290), 1 / ($BC$57:$BC$66*BU290 + (1-$BC$57:$BC$66)*BQ290), N($AQ$57:$AQ$66&gt;$AO290))
) / 1000</f>
        <v>0</v>
      </c>
      <c r="BW290" s="232">
        <f t="shared" si="252"/>
        <v>20</v>
      </c>
      <c r="BX290" s="230">
        <f t="shared" si="442"/>
        <v>33</v>
      </c>
      <c r="BY290" s="235">
        <f t="shared" si="443"/>
        <v>4.4702678571428569</v>
      </c>
      <c r="BZ290" s="235" cm="1">
        <f t="array" ref="BZ290">$BI290 * IF($AH290&lt;=2,
SUMPRODUCT(INDEX($AR$62:$AT$66,,$AI290), INDEX($AU$62:$BA$66,,$AH290), 1 / ($BB$62:$BB$66*BY290 + (1-$BB$62:$BB$66)*BU290), N($AQ$62:$AQ$66&gt;$AO290)),
SUMPRODUCT(INDEX($AR$47:$AT$56,,$AI290), INDEX($AU$47:$BA$56,,$AH290), 1 / ($BC$47:$BC$56*BY290 + (1-$BC$47:$BC$56)*BU290), N($AQ$47:$AQ$56&gt;$AO290))
) / 1000</f>
        <v>0</v>
      </c>
      <c r="CA290" s="235" cm="1">
        <f t="array" ref="CA290">$BI290 * IF($AH290&lt;=2,
SUMPRODUCT(INDEX($AR$23:$AT$61,,$AI290), INDEX($AU$23:$BA$61,,$AH290), 1 / ($BB$23:$BB$61*BY290), N($AQ$23:$AQ$61&gt;$AO290)),
SUMPRODUCT(INDEX($AR$23:$AT$46,,$AI290), INDEX($AU$23:$BA$46,,$AH290), 1 / ($BC$23:$BC$46*BY290), N($AQ$23:$AQ$46&gt;$AO290))
) / 1000</f>
        <v>0</v>
      </c>
      <c r="CB290" s="230">
        <f t="shared" si="444"/>
        <v>0</v>
      </c>
      <c r="CC290" s="238"/>
      <c r="CD290" s="229" cm="1">
        <f t="array" ref="CD290">IF(ISBLANK(Y290), INDEX(Use, $AH290, 4) - AN290*INDEX(Use, $AH290, 6) - (Q290-X290), Y290)</f>
        <v>7</v>
      </c>
      <c r="CE290" s="229">
        <f t="shared" si="445"/>
        <v>32</v>
      </c>
      <c r="CF290" s="230">
        <f t="shared" si="446"/>
        <v>0</v>
      </c>
      <c r="CG290" s="229">
        <v>35</v>
      </c>
      <c r="CH290" s="230">
        <f t="shared" si="447"/>
        <v>48</v>
      </c>
      <c r="CI290" s="235">
        <f t="shared" si="448"/>
        <v>3.0748170731707316</v>
      </c>
      <c r="CJ290" s="235" cm="1">
        <f t="array" ref="CJ290">$BI290 * SUMPRODUCT(INDEX($AR$77:$AT$82,,$AI290),INDEX($AU$77:$BA$82,,$AH290), N($AQ$77:$AQ$82&gt;$AO290)) / CI290 / 1000</f>
        <v>0</v>
      </c>
      <c r="CK290" s="232">
        <f t="shared" si="260"/>
        <v>30</v>
      </c>
      <c r="CL290" s="230">
        <f t="shared" si="449"/>
        <v>43</v>
      </c>
      <c r="CM290" s="235">
        <f t="shared" si="450"/>
        <v>3.5018750000000001</v>
      </c>
      <c r="CN290" s="235" cm="1">
        <f t="array" ref="CN290">$BI290 * IF($AH290&lt;=2,
SUMPRODUCT(INDEX($AR$72:$AT$76,,$AI290), INDEX($AU$72:$BA$76,,$AH290), 1 / ($BB$72:$BB$76*CM290 + (1-$BB$72:$BB$76)*CI290), N($AQ$72:$AQ$76&gt;$AO290)),
SUMPRODUCT(INDEX($AR$67:$AT$76,,$AI290), INDEX($AU$67:$BA$76,,$AH290), 1 / ($BC$67:$BC$76*CM290 + (1-$BC$67:$BC$76)*CI290), N($AQ$67:$AQ$76&gt;$AO290))
) / 1000</f>
        <v>0</v>
      </c>
      <c r="CO290" s="232">
        <f t="shared" si="263"/>
        <v>25</v>
      </c>
      <c r="CP290" s="230">
        <f t="shared" si="451"/>
        <v>38</v>
      </c>
      <c r="CQ290" s="235">
        <f t="shared" si="452"/>
        <v>4.0666935483870965</v>
      </c>
      <c r="CR290" s="235" cm="1">
        <f t="array" ref="CR290">$BI290 * IF($AH290&lt;=2,
SUMPRODUCT(INDEX($AR$67:$AT$71,,$AI290), INDEX($AU$67:$BA$71,,$AH290), 1 / ($BB$67:$BB$71*CQ290 + (1-$BB$67:$BB$71)*CM290), N($AQ$67:$AQ$71&gt;$AO290)),
SUMPRODUCT(INDEX($AR$57:$AT$66,,$AI290), INDEX($AU$57:$BA$66,,$AH290), 1 / ($BC$57:$BC$66*CQ290 + (1-$BC$57:$BC$66)*CM290), N($AQ$57:$AQ$66&gt;$AO290))
) / 1000</f>
        <v>0</v>
      </c>
      <c r="CS290" s="232">
        <f t="shared" si="266"/>
        <v>20</v>
      </c>
      <c r="CT290" s="230">
        <f t="shared" si="453"/>
        <v>33</v>
      </c>
      <c r="CU290" s="235">
        <f t="shared" si="454"/>
        <v>4.8487499999999999</v>
      </c>
      <c r="CV290" s="235" cm="1">
        <f t="array" ref="CV290">$BI290 * IF($AH290&lt;=2,
SUMPRODUCT(INDEX($AR$62:$AT$66,,$AI290), INDEX($AU$62:$BA$66,,$AH290), 1 / ($BB$62:$BB$66*CU290 + (1-$BB$62:$BB$66)*CQ290), N($AQ$62:$AQ$66&gt;$AO290)),
SUMPRODUCT(INDEX($AR$47:$AT$56,,$AI290), INDEX($AU$47:$BA$56,,$AH290), 1 / ($BC$47:$BC$56*CU290 + (1-$BC$47:$BC$56)*CQ290), N($AQ$47:$AQ$56&gt;$AO290))
) / 1000</f>
        <v>0</v>
      </c>
      <c r="CW290" s="235" cm="1">
        <f t="array" ref="CW290">$BI290 * IF($AH290&lt;=2,
SUMPRODUCT(INDEX($AR$23:$AT$61,,$AI290), INDEX($AU$23:$BA$61,,$AH290), 1 / ($BB$23:$BB$61*CU290), N($AQ$23:$AQ$61&gt;$AO290)),
SUMPRODUCT(INDEX($AR$23:$AT$46,,$AI290), INDEX($AU$23:$BA$46,,$AH290), 1 / ($BC$23:$BC$46*CU290), N($AQ$23:$AQ$46&gt;$AO290))
) / 1000</f>
        <v>0</v>
      </c>
      <c r="CX290" s="230">
        <f t="shared" si="455"/>
        <v>0</v>
      </c>
      <c r="CY290" s="238"/>
    </row>
    <row r="291" spans="1:103" s="76" customFormat="1" ht="14.25" customHeight="1" x14ac:dyDescent="0.2">
      <c r="A291" s="231" t="b">
        <f t="shared" si="229"/>
        <v>0</v>
      </c>
      <c r="B291" s="245">
        <v>269</v>
      </c>
      <c r="C291" s="258"/>
      <c r="D291" s="258"/>
      <c r="E291" s="246"/>
      <c r="F291" s="247" t="str">
        <f>IF(ISBLANK(E291), "", VLOOKUP(E291, Z!$A$2:$C$4127, 3, FALSE))</f>
        <v/>
      </c>
      <c r="G291" s="248"/>
      <c r="H291" s="248"/>
      <c r="I291" s="249"/>
      <c r="J291" s="250"/>
      <c r="K291" s="259"/>
      <c r="L291" s="260"/>
      <c r="M291" s="252" t="str" cm="1">
        <f t="array" ref="M291">INDEX(Trad, 53, $A$20)</f>
        <v>Verschmutzt</v>
      </c>
      <c r="N291" s="253"/>
      <c r="O291" s="253"/>
      <c r="P291" s="254"/>
      <c r="Q291" s="251"/>
      <c r="R291" s="251"/>
      <c r="S291" s="264">
        <f t="shared" si="430"/>
        <v>0</v>
      </c>
      <c r="T291" s="252" t="str" cm="1">
        <f t="array" ref="T291">INDEX(Trad, 52, $A$20)</f>
        <v>Sauber</v>
      </c>
      <c r="U291" s="253"/>
      <c r="V291" s="253"/>
      <c r="W291" s="254"/>
      <c r="X291" s="251"/>
      <c r="Y291" s="251"/>
      <c r="Z291" s="264">
        <f t="shared" si="431"/>
        <v>0</v>
      </c>
      <c r="AA291" s="261"/>
      <c r="AB291" s="258"/>
      <c r="AC291" s="246"/>
      <c r="AD291" s="247" t="str">
        <f>IF(ISBLANK(AC291), "", VLOOKUP(AC291, Z!$A$2:$C$4127, 3, FALSE))</f>
        <v/>
      </c>
      <c r="AE291" s="262"/>
      <c r="AF291" s="263">
        <f t="shared" si="432"/>
        <v>0</v>
      </c>
      <c r="AG291" s="238"/>
      <c r="AH291" s="229">
        <f t="shared" si="456"/>
        <v>1</v>
      </c>
      <c r="AI291" s="229">
        <f t="shared" si="457"/>
        <v>1</v>
      </c>
      <c r="AJ291" s="229">
        <f t="shared" si="458"/>
        <v>0</v>
      </c>
      <c r="AK291" s="229">
        <v>0</v>
      </c>
      <c r="AL291" s="229">
        <v>0</v>
      </c>
      <c r="AM291" s="229">
        <v>1</v>
      </c>
      <c r="AN291" s="229">
        <v>0</v>
      </c>
      <c r="AO291" s="229">
        <f t="shared" si="433"/>
        <v>-100</v>
      </c>
      <c r="AP291" s="238"/>
      <c r="AQ291" s="255"/>
      <c r="AR291" s="255"/>
      <c r="AS291" s="256"/>
      <c r="AT291" s="256"/>
      <c r="AU291" s="256"/>
      <c r="AV291" s="256"/>
      <c r="AW291" s="256"/>
      <c r="AX291" s="256"/>
      <c r="AY291" s="256"/>
      <c r="AZ291" s="256"/>
      <c r="BA291" s="256"/>
      <c r="BB291" s="256"/>
      <c r="BC291" s="256"/>
      <c r="BD291" s="238"/>
      <c r="BE291" s="229" cm="1">
        <f t="array" ref="BE291">IF(ISBLANK(R291), INDEX(Use, $AH291, 4) - AM291*INDEX(Use, $AH291, 6), R291)</f>
        <v>5</v>
      </c>
      <c r="BF291" s="229">
        <f t="shared" si="434"/>
        <v>30</v>
      </c>
      <c r="BG291" s="229">
        <f t="shared" si="241"/>
        <v>13</v>
      </c>
      <c r="BH291" s="229">
        <f t="shared" si="242"/>
        <v>0</v>
      </c>
      <c r="BI291" s="234" cm="1">
        <f t="array" ref="BI291">K291/IF($L291&gt;0, INDEX($AU$23:$BA$77, $L291+20, $AH291), 1)</f>
        <v>0</v>
      </c>
      <c r="BJ291" s="230">
        <f t="shared" si="435"/>
        <v>0</v>
      </c>
      <c r="BK291" s="229">
        <v>35</v>
      </c>
      <c r="BL291" s="230">
        <f t="shared" si="436"/>
        <v>48</v>
      </c>
      <c r="BM291" s="235">
        <f t="shared" si="437"/>
        <v>2.9108720930232557</v>
      </c>
      <c r="BN291" s="235" cm="1">
        <f t="array" ref="BN291">$BI291 * SUMPRODUCT(INDEX($AR$77:$AT$82,,$AI291),INDEX($AU$77:$BA$82,,$AH291), N($AQ$77:$AQ$82&gt;$AO291)) / BM291 / 1000</f>
        <v>0</v>
      </c>
      <c r="BO291" s="232">
        <f t="shared" si="246"/>
        <v>30</v>
      </c>
      <c r="BP291" s="230">
        <f t="shared" si="438"/>
        <v>43</v>
      </c>
      <c r="BQ291" s="235">
        <f t="shared" si="439"/>
        <v>3.2938815789473681</v>
      </c>
      <c r="BR291" s="235" cm="1">
        <f t="array" ref="BR291">$BI291 * IF($AH291&lt;=2,
SUMPRODUCT(INDEX($AR$72:$AT$76,,$AI291), INDEX($AU$72:$BA$76,,$AH291), 1 / ($BB$72:$BB$76*BQ291 + (1-$BB$72:$BB$76)*BM291), N($AQ$72:$AQ$76&gt;$AO291)),
SUMPRODUCT(INDEX($AR$67:$AT$76,,$AI291), INDEX($AU$67:$BA$76,,$AH291), 1 / ($BC$67:$BC$76*BQ291 + (1-$BC$67:$BC$76)*BM291), N($AQ$67:$AQ$76&gt;$AO291))
) / 1000</f>
        <v>0</v>
      </c>
      <c r="BS291" s="232">
        <f t="shared" si="249"/>
        <v>25</v>
      </c>
      <c r="BT291" s="230">
        <f t="shared" si="440"/>
        <v>38</v>
      </c>
      <c r="BU291" s="235">
        <f t="shared" si="441"/>
        <v>3.792954545454545</v>
      </c>
      <c r="BV291" s="235" cm="1">
        <f t="array" ref="BV291">$BI291 * IF($AH291&lt;=2,
SUMPRODUCT(INDEX($AR$67:$AT$71,,$AI291), INDEX($AU$67:$BA$71,,$AH291), 1 / ($BB$67:$BB$71*BU291 + (1-$BB$67:$BB$71)*BQ291), N($AQ$67:$AQ$71&gt;$AO291)),
SUMPRODUCT(INDEX($AR$57:$AT$66,,$AI291), INDEX($AU$57:$BA$66,,$AH291), 1 / ($BC$57:$BC$66*BU291 + (1-$BC$57:$BC$66)*BQ291), N($AQ$57:$AQ$66&gt;$AO291))
) / 1000</f>
        <v>0</v>
      </c>
      <c r="BW291" s="232">
        <f t="shared" si="252"/>
        <v>20</v>
      </c>
      <c r="BX291" s="230">
        <f t="shared" si="442"/>
        <v>33</v>
      </c>
      <c r="BY291" s="235">
        <f t="shared" si="443"/>
        <v>4.4702678571428569</v>
      </c>
      <c r="BZ291" s="235" cm="1">
        <f t="array" ref="BZ291">$BI291 * IF($AH291&lt;=2,
SUMPRODUCT(INDEX($AR$62:$AT$66,,$AI291), INDEX($AU$62:$BA$66,,$AH291), 1 / ($BB$62:$BB$66*BY291 + (1-$BB$62:$BB$66)*BU291), N($AQ$62:$AQ$66&gt;$AO291)),
SUMPRODUCT(INDEX($AR$47:$AT$56,,$AI291), INDEX($AU$47:$BA$56,,$AH291), 1 / ($BC$47:$BC$56*BY291 + (1-$BC$47:$BC$56)*BU291), N($AQ$47:$AQ$56&gt;$AO291))
) / 1000</f>
        <v>0</v>
      </c>
      <c r="CA291" s="235" cm="1">
        <f t="array" ref="CA291">$BI291 * IF($AH291&lt;=2,
SUMPRODUCT(INDEX($AR$23:$AT$61,,$AI291), INDEX($AU$23:$BA$61,,$AH291), 1 / ($BB$23:$BB$61*BY291), N($AQ$23:$AQ$61&gt;$AO291)),
SUMPRODUCT(INDEX($AR$23:$AT$46,,$AI291), INDEX($AU$23:$BA$46,,$AH291), 1 / ($BC$23:$BC$46*BY291), N($AQ$23:$AQ$46&gt;$AO291))
) / 1000</f>
        <v>0</v>
      </c>
      <c r="CB291" s="230">
        <f t="shared" si="444"/>
        <v>0</v>
      </c>
      <c r="CC291" s="238"/>
      <c r="CD291" s="229" cm="1">
        <f t="array" ref="CD291">IF(ISBLANK(Y291), INDEX(Use, $AH291, 4) - AN291*INDEX(Use, $AH291, 6) - (Q291-X291), Y291)</f>
        <v>7</v>
      </c>
      <c r="CE291" s="229">
        <f t="shared" si="445"/>
        <v>32</v>
      </c>
      <c r="CF291" s="230">
        <f t="shared" si="446"/>
        <v>0</v>
      </c>
      <c r="CG291" s="229">
        <v>35</v>
      </c>
      <c r="CH291" s="230">
        <f t="shared" si="447"/>
        <v>48</v>
      </c>
      <c r="CI291" s="235">
        <f t="shared" si="448"/>
        <v>3.0748170731707316</v>
      </c>
      <c r="CJ291" s="235" cm="1">
        <f t="array" ref="CJ291">$BI291 * SUMPRODUCT(INDEX($AR$77:$AT$82,,$AI291),INDEX($AU$77:$BA$82,,$AH291), N($AQ$77:$AQ$82&gt;$AO291)) / CI291 / 1000</f>
        <v>0</v>
      </c>
      <c r="CK291" s="232">
        <f t="shared" si="260"/>
        <v>30</v>
      </c>
      <c r="CL291" s="230">
        <f t="shared" si="449"/>
        <v>43</v>
      </c>
      <c r="CM291" s="235">
        <f t="shared" si="450"/>
        <v>3.5018750000000001</v>
      </c>
      <c r="CN291" s="235" cm="1">
        <f t="array" ref="CN291">$BI291 * IF($AH291&lt;=2,
SUMPRODUCT(INDEX($AR$72:$AT$76,,$AI291), INDEX($AU$72:$BA$76,,$AH291), 1 / ($BB$72:$BB$76*CM291 + (1-$BB$72:$BB$76)*CI291), N($AQ$72:$AQ$76&gt;$AO291)),
SUMPRODUCT(INDEX($AR$67:$AT$76,,$AI291), INDEX($AU$67:$BA$76,,$AH291), 1 / ($BC$67:$BC$76*CM291 + (1-$BC$67:$BC$76)*CI291), N($AQ$67:$AQ$76&gt;$AO291))
) / 1000</f>
        <v>0</v>
      </c>
      <c r="CO291" s="232">
        <f t="shared" si="263"/>
        <v>25</v>
      </c>
      <c r="CP291" s="230">
        <f t="shared" si="451"/>
        <v>38</v>
      </c>
      <c r="CQ291" s="235">
        <f t="shared" si="452"/>
        <v>4.0666935483870965</v>
      </c>
      <c r="CR291" s="235" cm="1">
        <f t="array" ref="CR291">$BI291 * IF($AH291&lt;=2,
SUMPRODUCT(INDEX($AR$67:$AT$71,,$AI291), INDEX($AU$67:$BA$71,,$AH291), 1 / ($BB$67:$BB$71*CQ291 + (1-$BB$67:$BB$71)*CM291), N($AQ$67:$AQ$71&gt;$AO291)),
SUMPRODUCT(INDEX($AR$57:$AT$66,,$AI291), INDEX($AU$57:$BA$66,,$AH291), 1 / ($BC$57:$BC$66*CQ291 + (1-$BC$57:$BC$66)*CM291), N($AQ$57:$AQ$66&gt;$AO291))
) / 1000</f>
        <v>0</v>
      </c>
      <c r="CS291" s="232">
        <f t="shared" si="266"/>
        <v>20</v>
      </c>
      <c r="CT291" s="230">
        <f t="shared" si="453"/>
        <v>33</v>
      </c>
      <c r="CU291" s="235">
        <f t="shared" si="454"/>
        <v>4.8487499999999999</v>
      </c>
      <c r="CV291" s="235" cm="1">
        <f t="array" ref="CV291">$BI291 * IF($AH291&lt;=2,
SUMPRODUCT(INDEX($AR$62:$AT$66,,$AI291), INDEX($AU$62:$BA$66,,$AH291), 1 / ($BB$62:$BB$66*CU291 + (1-$BB$62:$BB$66)*CQ291), N($AQ$62:$AQ$66&gt;$AO291)),
SUMPRODUCT(INDEX($AR$47:$AT$56,,$AI291), INDEX($AU$47:$BA$56,,$AH291), 1 / ($BC$47:$BC$56*CU291 + (1-$BC$47:$BC$56)*CQ291), N($AQ$47:$AQ$56&gt;$AO291))
) / 1000</f>
        <v>0</v>
      </c>
      <c r="CW291" s="235" cm="1">
        <f t="array" ref="CW291">$BI291 * IF($AH291&lt;=2,
SUMPRODUCT(INDEX($AR$23:$AT$61,,$AI291), INDEX($AU$23:$BA$61,,$AH291), 1 / ($BB$23:$BB$61*CU291), N($AQ$23:$AQ$61&gt;$AO291)),
SUMPRODUCT(INDEX($AR$23:$AT$46,,$AI291), INDEX($AU$23:$BA$46,,$AH291), 1 / ($BC$23:$BC$46*CU291), N($AQ$23:$AQ$46&gt;$AO291))
) / 1000</f>
        <v>0</v>
      </c>
      <c r="CX291" s="230">
        <f t="shared" si="455"/>
        <v>0</v>
      </c>
      <c r="CY291" s="238"/>
    </row>
    <row r="292" spans="1:103" s="76" customFormat="1" ht="14.25" customHeight="1" x14ac:dyDescent="0.2">
      <c r="A292" s="231" t="b">
        <f t="shared" si="229"/>
        <v>0</v>
      </c>
      <c r="B292" s="245">
        <v>270</v>
      </c>
      <c r="C292" s="258"/>
      <c r="D292" s="258"/>
      <c r="E292" s="246"/>
      <c r="F292" s="247" t="str">
        <f>IF(ISBLANK(E292), "", VLOOKUP(E292, Z!$A$2:$C$4127, 3, FALSE))</f>
        <v/>
      </c>
      <c r="G292" s="248"/>
      <c r="H292" s="248"/>
      <c r="I292" s="249"/>
      <c r="J292" s="250"/>
      <c r="K292" s="259"/>
      <c r="L292" s="260"/>
      <c r="M292" s="252" t="str" cm="1">
        <f t="array" ref="M292">INDEX(Trad, 53, $A$20)</f>
        <v>Verschmutzt</v>
      </c>
      <c r="N292" s="253"/>
      <c r="O292" s="253"/>
      <c r="P292" s="254"/>
      <c r="Q292" s="251"/>
      <c r="R292" s="251"/>
      <c r="S292" s="264">
        <f t="shared" si="430"/>
        <v>0</v>
      </c>
      <c r="T292" s="252" t="str" cm="1">
        <f t="array" ref="T292">INDEX(Trad, 52, $A$20)</f>
        <v>Sauber</v>
      </c>
      <c r="U292" s="253"/>
      <c r="V292" s="253"/>
      <c r="W292" s="254"/>
      <c r="X292" s="251"/>
      <c r="Y292" s="251"/>
      <c r="Z292" s="264">
        <f t="shared" si="431"/>
        <v>0</v>
      </c>
      <c r="AA292" s="261"/>
      <c r="AB292" s="258"/>
      <c r="AC292" s="246"/>
      <c r="AD292" s="247" t="str">
        <f>IF(ISBLANK(AC292), "", VLOOKUP(AC292, Z!$A$2:$C$4127, 3, FALSE))</f>
        <v/>
      </c>
      <c r="AE292" s="262"/>
      <c r="AF292" s="263">
        <f t="shared" si="432"/>
        <v>0</v>
      </c>
      <c r="AG292" s="238"/>
      <c r="AH292" s="229">
        <f t="shared" si="456"/>
        <v>1</v>
      </c>
      <c r="AI292" s="229">
        <f t="shared" si="457"/>
        <v>1</v>
      </c>
      <c r="AJ292" s="229">
        <f t="shared" si="458"/>
        <v>0</v>
      </c>
      <c r="AK292" s="229">
        <v>0</v>
      </c>
      <c r="AL292" s="229">
        <v>0</v>
      </c>
      <c r="AM292" s="229">
        <v>1</v>
      </c>
      <c r="AN292" s="229">
        <v>0</v>
      </c>
      <c r="AO292" s="229">
        <f t="shared" si="433"/>
        <v>-100</v>
      </c>
      <c r="AP292" s="238"/>
      <c r="AQ292" s="255"/>
      <c r="AR292" s="255"/>
      <c r="AS292" s="256"/>
      <c r="AT292" s="256"/>
      <c r="AU292" s="256"/>
      <c r="AV292" s="256"/>
      <c r="AW292" s="256"/>
      <c r="AX292" s="256"/>
      <c r="AY292" s="256"/>
      <c r="AZ292" s="256"/>
      <c r="BA292" s="256"/>
      <c r="BB292" s="256"/>
      <c r="BC292" s="256"/>
      <c r="BD292" s="238"/>
      <c r="BE292" s="229" cm="1">
        <f t="array" ref="BE292">IF(ISBLANK(R292), INDEX(Use, $AH292, 4) - AM292*INDEX(Use, $AH292, 6), R292)</f>
        <v>5</v>
      </c>
      <c r="BF292" s="229">
        <f t="shared" si="434"/>
        <v>30</v>
      </c>
      <c r="BG292" s="229">
        <f t="shared" si="241"/>
        <v>13</v>
      </c>
      <c r="BH292" s="229">
        <f t="shared" si="242"/>
        <v>0</v>
      </c>
      <c r="BI292" s="234" cm="1">
        <f t="array" ref="BI292">K292/IF($L292&gt;0, INDEX($AU$23:$BA$77, $L292+20, $AH292), 1)</f>
        <v>0</v>
      </c>
      <c r="BJ292" s="230">
        <f t="shared" si="435"/>
        <v>0</v>
      </c>
      <c r="BK292" s="229">
        <v>35</v>
      </c>
      <c r="BL292" s="230">
        <f t="shared" si="436"/>
        <v>48</v>
      </c>
      <c r="BM292" s="235">
        <f t="shared" si="437"/>
        <v>2.9108720930232557</v>
      </c>
      <c r="BN292" s="235" cm="1">
        <f t="array" ref="BN292">$BI292 * SUMPRODUCT(INDEX($AR$77:$AT$82,,$AI292),INDEX($AU$77:$BA$82,,$AH292), N($AQ$77:$AQ$82&gt;$AO292)) / BM292 / 1000</f>
        <v>0</v>
      </c>
      <c r="BO292" s="232">
        <f t="shared" si="246"/>
        <v>30</v>
      </c>
      <c r="BP292" s="230">
        <f t="shared" si="438"/>
        <v>43</v>
      </c>
      <c r="BQ292" s="235">
        <f t="shared" si="439"/>
        <v>3.2938815789473681</v>
      </c>
      <c r="BR292" s="235" cm="1">
        <f t="array" ref="BR292">$BI292 * IF($AH292&lt;=2,
SUMPRODUCT(INDEX($AR$72:$AT$76,,$AI292), INDEX($AU$72:$BA$76,,$AH292), 1 / ($BB$72:$BB$76*BQ292 + (1-$BB$72:$BB$76)*BM292), N($AQ$72:$AQ$76&gt;$AO292)),
SUMPRODUCT(INDEX($AR$67:$AT$76,,$AI292), INDEX($AU$67:$BA$76,,$AH292), 1 / ($BC$67:$BC$76*BQ292 + (1-$BC$67:$BC$76)*BM292), N($AQ$67:$AQ$76&gt;$AO292))
) / 1000</f>
        <v>0</v>
      </c>
      <c r="BS292" s="232">
        <f t="shared" si="249"/>
        <v>25</v>
      </c>
      <c r="BT292" s="230">
        <f t="shared" si="440"/>
        <v>38</v>
      </c>
      <c r="BU292" s="235">
        <f t="shared" si="441"/>
        <v>3.792954545454545</v>
      </c>
      <c r="BV292" s="235" cm="1">
        <f t="array" ref="BV292">$BI292 * IF($AH292&lt;=2,
SUMPRODUCT(INDEX($AR$67:$AT$71,,$AI292), INDEX($AU$67:$BA$71,,$AH292), 1 / ($BB$67:$BB$71*BU292 + (1-$BB$67:$BB$71)*BQ292), N($AQ$67:$AQ$71&gt;$AO292)),
SUMPRODUCT(INDEX($AR$57:$AT$66,,$AI292), INDEX($AU$57:$BA$66,,$AH292), 1 / ($BC$57:$BC$66*BU292 + (1-$BC$57:$BC$66)*BQ292), N($AQ$57:$AQ$66&gt;$AO292))
) / 1000</f>
        <v>0</v>
      </c>
      <c r="BW292" s="232">
        <f t="shared" si="252"/>
        <v>20</v>
      </c>
      <c r="BX292" s="230">
        <f t="shared" si="442"/>
        <v>33</v>
      </c>
      <c r="BY292" s="235">
        <f t="shared" si="443"/>
        <v>4.4702678571428569</v>
      </c>
      <c r="BZ292" s="235" cm="1">
        <f t="array" ref="BZ292">$BI292 * IF($AH292&lt;=2,
SUMPRODUCT(INDEX($AR$62:$AT$66,,$AI292), INDEX($AU$62:$BA$66,,$AH292), 1 / ($BB$62:$BB$66*BY292 + (1-$BB$62:$BB$66)*BU292), N($AQ$62:$AQ$66&gt;$AO292)),
SUMPRODUCT(INDEX($AR$47:$AT$56,,$AI292), INDEX($AU$47:$BA$56,,$AH292), 1 / ($BC$47:$BC$56*BY292 + (1-$BC$47:$BC$56)*BU292), N($AQ$47:$AQ$56&gt;$AO292))
) / 1000</f>
        <v>0</v>
      </c>
      <c r="CA292" s="235" cm="1">
        <f t="array" ref="CA292">$BI292 * IF($AH292&lt;=2,
SUMPRODUCT(INDEX($AR$23:$AT$61,,$AI292), INDEX($AU$23:$BA$61,,$AH292), 1 / ($BB$23:$BB$61*BY292), N($AQ$23:$AQ$61&gt;$AO292)),
SUMPRODUCT(INDEX($AR$23:$AT$46,,$AI292), INDEX($AU$23:$BA$46,,$AH292), 1 / ($BC$23:$BC$46*BY292), N($AQ$23:$AQ$46&gt;$AO292))
) / 1000</f>
        <v>0</v>
      </c>
      <c r="CB292" s="230">
        <f t="shared" si="444"/>
        <v>0</v>
      </c>
      <c r="CC292" s="238"/>
      <c r="CD292" s="229" cm="1">
        <f t="array" ref="CD292">IF(ISBLANK(Y292), INDEX(Use, $AH292, 4) - AN292*INDEX(Use, $AH292, 6) - (Q292-X292), Y292)</f>
        <v>7</v>
      </c>
      <c r="CE292" s="229">
        <f t="shared" si="445"/>
        <v>32</v>
      </c>
      <c r="CF292" s="230">
        <f t="shared" si="446"/>
        <v>0</v>
      </c>
      <c r="CG292" s="229">
        <v>35</v>
      </c>
      <c r="CH292" s="230">
        <f t="shared" si="447"/>
        <v>48</v>
      </c>
      <c r="CI292" s="235">
        <f t="shared" si="448"/>
        <v>3.0748170731707316</v>
      </c>
      <c r="CJ292" s="235" cm="1">
        <f t="array" ref="CJ292">$BI292 * SUMPRODUCT(INDEX($AR$77:$AT$82,,$AI292),INDEX($AU$77:$BA$82,,$AH292), N($AQ$77:$AQ$82&gt;$AO292)) / CI292 / 1000</f>
        <v>0</v>
      </c>
      <c r="CK292" s="232">
        <f t="shared" si="260"/>
        <v>30</v>
      </c>
      <c r="CL292" s="230">
        <f t="shared" si="449"/>
        <v>43</v>
      </c>
      <c r="CM292" s="235">
        <f t="shared" si="450"/>
        <v>3.5018750000000001</v>
      </c>
      <c r="CN292" s="235" cm="1">
        <f t="array" ref="CN292">$BI292 * IF($AH292&lt;=2,
SUMPRODUCT(INDEX($AR$72:$AT$76,,$AI292), INDEX($AU$72:$BA$76,,$AH292), 1 / ($BB$72:$BB$76*CM292 + (1-$BB$72:$BB$76)*CI292), N($AQ$72:$AQ$76&gt;$AO292)),
SUMPRODUCT(INDEX($AR$67:$AT$76,,$AI292), INDEX($AU$67:$BA$76,,$AH292), 1 / ($BC$67:$BC$76*CM292 + (1-$BC$67:$BC$76)*CI292), N($AQ$67:$AQ$76&gt;$AO292))
) / 1000</f>
        <v>0</v>
      </c>
      <c r="CO292" s="232">
        <f t="shared" si="263"/>
        <v>25</v>
      </c>
      <c r="CP292" s="230">
        <f t="shared" si="451"/>
        <v>38</v>
      </c>
      <c r="CQ292" s="235">
        <f t="shared" si="452"/>
        <v>4.0666935483870965</v>
      </c>
      <c r="CR292" s="235" cm="1">
        <f t="array" ref="CR292">$BI292 * IF($AH292&lt;=2,
SUMPRODUCT(INDEX($AR$67:$AT$71,,$AI292), INDEX($AU$67:$BA$71,,$AH292), 1 / ($BB$67:$BB$71*CQ292 + (1-$BB$67:$BB$71)*CM292), N($AQ$67:$AQ$71&gt;$AO292)),
SUMPRODUCT(INDEX($AR$57:$AT$66,,$AI292), INDEX($AU$57:$BA$66,,$AH292), 1 / ($BC$57:$BC$66*CQ292 + (1-$BC$57:$BC$66)*CM292), N($AQ$57:$AQ$66&gt;$AO292))
) / 1000</f>
        <v>0</v>
      </c>
      <c r="CS292" s="232">
        <f t="shared" si="266"/>
        <v>20</v>
      </c>
      <c r="CT292" s="230">
        <f t="shared" si="453"/>
        <v>33</v>
      </c>
      <c r="CU292" s="235">
        <f t="shared" si="454"/>
        <v>4.8487499999999999</v>
      </c>
      <c r="CV292" s="235" cm="1">
        <f t="array" ref="CV292">$BI292 * IF($AH292&lt;=2,
SUMPRODUCT(INDEX($AR$62:$AT$66,,$AI292), INDEX($AU$62:$BA$66,,$AH292), 1 / ($BB$62:$BB$66*CU292 + (1-$BB$62:$BB$66)*CQ292), N($AQ$62:$AQ$66&gt;$AO292)),
SUMPRODUCT(INDEX($AR$47:$AT$56,,$AI292), INDEX($AU$47:$BA$56,,$AH292), 1 / ($BC$47:$BC$56*CU292 + (1-$BC$47:$BC$56)*CQ292), N($AQ$47:$AQ$56&gt;$AO292))
) / 1000</f>
        <v>0</v>
      </c>
      <c r="CW292" s="235" cm="1">
        <f t="array" ref="CW292">$BI292 * IF($AH292&lt;=2,
SUMPRODUCT(INDEX($AR$23:$AT$61,,$AI292), INDEX($AU$23:$BA$61,,$AH292), 1 / ($BB$23:$BB$61*CU292), N($AQ$23:$AQ$61&gt;$AO292)),
SUMPRODUCT(INDEX($AR$23:$AT$46,,$AI292), INDEX($AU$23:$BA$46,,$AH292), 1 / ($BC$23:$BC$46*CU292), N($AQ$23:$AQ$46&gt;$AO292))
) / 1000</f>
        <v>0</v>
      </c>
      <c r="CX292" s="230">
        <f t="shared" si="455"/>
        <v>0</v>
      </c>
      <c r="CY292" s="238"/>
    </row>
    <row r="293" spans="1:103" s="76" customFormat="1" ht="14.25" customHeight="1" x14ac:dyDescent="0.2">
      <c r="A293" s="231" t="b">
        <f t="shared" si="229"/>
        <v>0</v>
      </c>
      <c r="B293" s="245">
        <v>271</v>
      </c>
      <c r="C293" s="258"/>
      <c r="D293" s="258"/>
      <c r="E293" s="246"/>
      <c r="F293" s="247" t="str">
        <f>IF(ISBLANK(E293), "", VLOOKUP(E293, Z!$A$2:$C$4127, 3, FALSE))</f>
        <v/>
      </c>
      <c r="G293" s="248"/>
      <c r="H293" s="248"/>
      <c r="I293" s="249"/>
      <c r="J293" s="250"/>
      <c r="K293" s="259"/>
      <c r="L293" s="260"/>
      <c r="M293" s="252" t="str" cm="1">
        <f t="array" ref="M293">INDEX(Trad, 53, $A$20)</f>
        <v>Verschmutzt</v>
      </c>
      <c r="N293" s="253"/>
      <c r="O293" s="253"/>
      <c r="P293" s="254"/>
      <c r="Q293" s="251"/>
      <c r="R293" s="251"/>
      <c r="S293" s="264">
        <f t="shared" si="430"/>
        <v>0</v>
      </c>
      <c r="T293" s="252" t="str" cm="1">
        <f t="array" ref="T293">INDEX(Trad, 52, $A$20)</f>
        <v>Sauber</v>
      </c>
      <c r="U293" s="253"/>
      <c r="V293" s="253"/>
      <c r="W293" s="254"/>
      <c r="X293" s="251"/>
      <c r="Y293" s="251"/>
      <c r="Z293" s="264">
        <f t="shared" si="431"/>
        <v>0</v>
      </c>
      <c r="AA293" s="261"/>
      <c r="AB293" s="258"/>
      <c r="AC293" s="246"/>
      <c r="AD293" s="247" t="str">
        <f>IF(ISBLANK(AC293), "", VLOOKUP(AC293, Z!$A$2:$C$4127, 3, FALSE))</f>
        <v/>
      </c>
      <c r="AE293" s="262"/>
      <c r="AF293" s="263">
        <f t="shared" si="432"/>
        <v>0</v>
      </c>
      <c r="AG293" s="238"/>
      <c r="AH293" s="229">
        <f t="shared" si="456"/>
        <v>1</v>
      </c>
      <c r="AI293" s="229">
        <f t="shared" si="457"/>
        <v>1</v>
      </c>
      <c r="AJ293" s="229">
        <f t="shared" si="458"/>
        <v>0</v>
      </c>
      <c r="AK293" s="229">
        <v>0</v>
      </c>
      <c r="AL293" s="229">
        <v>0</v>
      </c>
      <c r="AM293" s="229">
        <v>1</v>
      </c>
      <c r="AN293" s="229">
        <v>0</v>
      </c>
      <c r="AO293" s="229">
        <f t="shared" si="433"/>
        <v>-100</v>
      </c>
      <c r="AP293" s="238"/>
      <c r="AQ293" s="255"/>
      <c r="AR293" s="255"/>
      <c r="AS293" s="256"/>
      <c r="AT293" s="256"/>
      <c r="AU293" s="256"/>
      <c r="AV293" s="256"/>
      <c r="AW293" s="256"/>
      <c r="AX293" s="256"/>
      <c r="AY293" s="256"/>
      <c r="AZ293" s="256"/>
      <c r="BA293" s="256"/>
      <c r="BB293" s="256"/>
      <c r="BC293" s="256"/>
      <c r="BD293" s="238"/>
      <c r="BE293" s="229" cm="1">
        <f t="array" ref="BE293">IF(ISBLANK(R293), INDEX(Use, $AH293, 4) - AM293*INDEX(Use, $AH293, 6), R293)</f>
        <v>5</v>
      </c>
      <c r="BF293" s="229">
        <f t="shared" si="434"/>
        <v>30</v>
      </c>
      <c r="BG293" s="229">
        <f t="shared" si="241"/>
        <v>13</v>
      </c>
      <c r="BH293" s="229">
        <f t="shared" si="242"/>
        <v>0</v>
      </c>
      <c r="BI293" s="234" cm="1">
        <f t="array" ref="BI293">K293/IF($L293&gt;0, INDEX($AU$23:$BA$77, $L293+20, $AH293), 1)</f>
        <v>0</v>
      </c>
      <c r="BJ293" s="230">
        <f t="shared" si="435"/>
        <v>0</v>
      </c>
      <c r="BK293" s="229">
        <v>35</v>
      </c>
      <c r="BL293" s="230">
        <f t="shared" si="436"/>
        <v>48</v>
      </c>
      <c r="BM293" s="235">
        <f t="shared" si="437"/>
        <v>2.9108720930232557</v>
      </c>
      <c r="BN293" s="235" cm="1">
        <f t="array" ref="BN293">$BI293 * SUMPRODUCT(INDEX($AR$77:$AT$82,,$AI293),INDEX($AU$77:$BA$82,,$AH293), N($AQ$77:$AQ$82&gt;$AO293)) / BM293 / 1000</f>
        <v>0</v>
      </c>
      <c r="BO293" s="232">
        <f t="shared" si="246"/>
        <v>30</v>
      </c>
      <c r="BP293" s="230">
        <f t="shared" si="438"/>
        <v>43</v>
      </c>
      <c r="BQ293" s="235">
        <f t="shared" si="439"/>
        <v>3.2938815789473681</v>
      </c>
      <c r="BR293" s="235" cm="1">
        <f t="array" ref="BR293">$BI293 * IF($AH293&lt;=2,
SUMPRODUCT(INDEX($AR$72:$AT$76,,$AI293), INDEX($AU$72:$BA$76,,$AH293), 1 / ($BB$72:$BB$76*BQ293 + (1-$BB$72:$BB$76)*BM293), N($AQ$72:$AQ$76&gt;$AO293)),
SUMPRODUCT(INDEX($AR$67:$AT$76,,$AI293), INDEX($AU$67:$BA$76,,$AH293), 1 / ($BC$67:$BC$76*BQ293 + (1-$BC$67:$BC$76)*BM293), N($AQ$67:$AQ$76&gt;$AO293))
) / 1000</f>
        <v>0</v>
      </c>
      <c r="BS293" s="232">
        <f t="shared" si="249"/>
        <v>25</v>
      </c>
      <c r="BT293" s="230">
        <f t="shared" si="440"/>
        <v>38</v>
      </c>
      <c r="BU293" s="235">
        <f t="shared" si="441"/>
        <v>3.792954545454545</v>
      </c>
      <c r="BV293" s="235" cm="1">
        <f t="array" ref="BV293">$BI293 * IF($AH293&lt;=2,
SUMPRODUCT(INDEX($AR$67:$AT$71,,$AI293), INDEX($AU$67:$BA$71,,$AH293), 1 / ($BB$67:$BB$71*BU293 + (1-$BB$67:$BB$71)*BQ293), N($AQ$67:$AQ$71&gt;$AO293)),
SUMPRODUCT(INDEX($AR$57:$AT$66,,$AI293), INDEX($AU$57:$BA$66,,$AH293), 1 / ($BC$57:$BC$66*BU293 + (1-$BC$57:$BC$66)*BQ293), N($AQ$57:$AQ$66&gt;$AO293))
) / 1000</f>
        <v>0</v>
      </c>
      <c r="BW293" s="232">
        <f t="shared" si="252"/>
        <v>20</v>
      </c>
      <c r="BX293" s="230">
        <f t="shared" si="442"/>
        <v>33</v>
      </c>
      <c r="BY293" s="235">
        <f t="shared" si="443"/>
        <v>4.4702678571428569</v>
      </c>
      <c r="BZ293" s="235" cm="1">
        <f t="array" ref="BZ293">$BI293 * IF($AH293&lt;=2,
SUMPRODUCT(INDEX($AR$62:$AT$66,,$AI293), INDEX($AU$62:$BA$66,,$AH293), 1 / ($BB$62:$BB$66*BY293 + (1-$BB$62:$BB$66)*BU293), N($AQ$62:$AQ$66&gt;$AO293)),
SUMPRODUCT(INDEX($AR$47:$AT$56,,$AI293), INDEX($AU$47:$BA$56,,$AH293), 1 / ($BC$47:$BC$56*BY293 + (1-$BC$47:$BC$56)*BU293), N($AQ$47:$AQ$56&gt;$AO293))
) / 1000</f>
        <v>0</v>
      </c>
      <c r="CA293" s="235" cm="1">
        <f t="array" ref="CA293">$BI293 * IF($AH293&lt;=2,
SUMPRODUCT(INDEX($AR$23:$AT$61,,$AI293), INDEX($AU$23:$BA$61,,$AH293), 1 / ($BB$23:$BB$61*BY293), N($AQ$23:$AQ$61&gt;$AO293)),
SUMPRODUCT(INDEX($AR$23:$AT$46,,$AI293), INDEX($AU$23:$BA$46,,$AH293), 1 / ($BC$23:$BC$46*BY293), N($AQ$23:$AQ$46&gt;$AO293))
) / 1000</f>
        <v>0</v>
      </c>
      <c r="CB293" s="230">
        <f t="shared" si="444"/>
        <v>0</v>
      </c>
      <c r="CC293" s="238"/>
      <c r="CD293" s="229" cm="1">
        <f t="array" ref="CD293">IF(ISBLANK(Y293), INDEX(Use, $AH293, 4) - AN293*INDEX(Use, $AH293, 6) - (Q293-X293), Y293)</f>
        <v>7</v>
      </c>
      <c r="CE293" s="229">
        <f t="shared" si="445"/>
        <v>32</v>
      </c>
      <c r="CF293" s="230">
        <f t="shared" si="446"/>
        <v>0</v>
      </c>
      <c r="CG293" s="229">
        <v>35</v>
      </c>
      <c r="CH293" s="230">
        <f t="shared" si="447"/>
        <v>48</v>
      </c>
      <c r="CI293" s="235">
        <f t="shared" si="448"/>
        <v>3.0748170731707316</v>
      </c>
      <c r="CJ293" s="235" cm="1">
        <f t="array" ref="CJ293">$BI293 * SUMPRODUCT(INDEX($AR$77:$AT$82,,$AI293),INDEX($AU$77:$BA$82,,$AH293), N($AQ$77:$AQ$82&gt;$AO293)) / CI293 / 1000</f>
        <v>0</v>
      </c>
      <c r="CK293" s="232">
        <f t="shared" si="260"/>
        <v>30</v>
      </c>
      <c r="CL293" s="230">
        <f t="shared" si="449"/>
        <v>43</v>
      </c>
      <c r="CM293" s="235">
        <f t="shared" si="450"/>
        <v>3.5018750000000001</v>
      </c>
      <c r="CN293" s="235" cm="1">
        <f t="array" ref="CN293">$BI293 * IF($AH293&lt;=2,
SUMPRODUCT(INDEX($AR$72:$AT$76,,$AI293), INDEX($AU$72:$BA$76,,$AH293), 1 / ($BB$72:$BB$76*CM293 + (1-$BB$72:$BB$76)*CI293), N($AQ$72:$AQ$76&gt;$AO293)),
SUMPRODUCT(INDEX($AR$67:$AT$76,,$AI293), INDEX($AU$67:$BA$76,,$AH293), 1 / ($BC$67:$BC$76*CM293 + (1-$BC$67:$BC$76)*CI293), N($AQ$67:$AQ$76&gt;$AO293))
) / 1000</f>
        <v>0</v>
      </c>
      <c r="CO293" s="232">
        <f t="shared" si="263"/>
        <v>25</v>
      </c>
      <c r="CP293" s="230">
        <f t="shared" si="451"/>
        <v>38</v>
      </c>
      <c r="CQ293" s="235">
        <f t="shared" si="452"/>
        <v>4.0666935483870965</v>
      </c>
      <c r="CR293" s="235" cm="1">
        <f t="array" ref="CR293">$BI293 * IF($AH293&lt;=2,
SUMPRODUCT(INDEX($AR$67:$AT$71,,$AI293), INDEX($AU$67:$BA$71,,$AH293), 1 / ($BB$67:$BB$71*CQ293 + (1-$BB$67:$BB$71)*CM293), N($AQ$67:$AQ$71&gt;$AO293)),
SUMPRODUCT(INDEX($AR$57:$AT$66,,$AI293), INDEX($AU$57:$BA$66,,$AH293), 1 / ($BC$57:$BC$66*CQ293 + (1-$BC$57:$BC$66)*CM293), N($AQ$57:$AQ$66&gt;$AO293))
) / 1000</f>
        <v>0</v>
      </c>
      <c r="CS293" s="232">
        <f t="shared" si="266"/>
        <v>20</v>
      </c>
      <c r="CT293" s="230">
        <f t="shared" si="453"/>
        <v>33</v>
      </c>
      <c r="CU293" s="235">
        <f t="shared" si="454"/>
        <v>4.8487499999999999</v>
      </c>
      <c r="CV293" s="235" cm="1">
        <f t="array" ref="CV293">$BI293 * IF($AH293&lt;=2,
SUMPRODUCT(INDEX($AR$62:$AT$66,,$AI293), INDEX($AU$62:$BA$66,,$AH293), 1 / ($BB$62:$BB$66*CU293 + (1-$BB$62:$BB$66)*CQ293), N($AQ$62:$AQ$66&gt;$AO293)),
SUMPRODUCT(INDEX($AR$47:$AT$56,,$AI293), INDEX($AU$47:$BA$56,,$AH293), 1 / ($BC$47:$BC$56*CU293 + (1-$BC$47:$BC$56)*CQ293), N($AQ$47:$AQ$56&gt;$AO293))
) / 1000</f>
        <v>0</v>
      </c>
      <c r="CW293" s="235" cm="1">
        <f t="array" ref="CW293">$BI293 * IF($AH293&lt;=2,
SUMPRODUCT(INDEX($AR$23:$AT$61,,$AI293), INDEX($AU$23:$BA$61,,$AH293), 1 / ($BB$23:$BB$61*CU293), N($AQ$23:$AQ$61&gt;$AO293)),
SUMPRODUCT(INDEX($AR$23:$AT$46,,$AI293), INDEX($AU$23:$BA$46,,$AH293), 1 / ($BC$23:$BC$46*CU293), N($AQ$23:$AQ$46&gt;$AO293))
) / 1000</f>
        <v>0</v>
      </c>
      <c r="CX293" s="230">
        <f t="shared" si="455"/>
        <v>0</v>
      </c>
      <c r="CY293" s="238"/>
    </row>
    <row r="294" spans="1:103" s="76" customFormat="1" ht="14.25" customHeight="1" x14ac:dyDescent="0.2">
      <c r="A294" s="231" t="b">
        <f t="shared" si="229"/>
        <v>0</v>
      </c>
      <c r="B294" s="245">
        <v>272</v>
      </c>
      <c r="C294" s="258"/>
      <c r="D294" s="258"/>
      <c r="E294" s="246"/>
      <c r="F294" s="247" t="str">
        <f>IF(ISBLANK(E294), "", VLOOKUP(E294, Z!$A$2:$C$4127, 3, FALSE))</f>
        <v/>
      </c>
      <c r="G294" s="248"/>
      <c r="H294" s="248"/>
      <c r="I294" s="249"/>
      <c r="J294" s="250"/>
      <c r="K294" s="259"/>
      <c r="L294" s="260"/>
      <c r="M294" s="252" t="str" cm="1">
        <f t="array" ref="M294">INDEX(Trad, 53, $A$20)</f>
        <v>Verschmutzt</v>
      </c>
      <c r="N294" s="253"/>
      <c r="O294" s="253"/>
      <c r="P294" s="254"/>
      <c r="Q294" s="251"/>
      <c r="R294" s="251"/>
      <c r="S294" s="264">
        <f t="shared" si="430"/>
        <v>0</v>
      </c>
      <c r="T294" s="252" t="str" cm="1">
        <f t="array" ref="T294">INDEX(Trad, 52, $A$20)</f>
        <v>Sauber</v>
      </c>
      <c r="U294" s="253"/>
      <c r="V294" s="253"/>
      <c r="W294" s="254"/>
      <c r="X294" s="251"/>
      <c r="Y294" s="251"/>
      <c r="Z294" s="264">
        <f t="shared" si="431"/>
        <v>0</v>
      </c>
      <c r="AA294" s="261"/>
      <c r="AB294" s="258"/>
      <c r="AC294" s="246"/>
      <c r="AD294" s="247" t="str">
        <f>IF(ISBLANK(AC294), "", VLOOKUP(AC294, Z!$A$2:$C$4127, 3, FALSE))</f>
        <v/>
      </c>
      <c r="AE294" s="262"/>
      <c r="AF294" s="263">
        <f t="shared" si="432"/>
        <v>0</v>
      </c>
      <c r="AG294" s="238"/>
      <c r="AH294" s="229">
        <f t="shared" si="456"/>
        <v>1</v>
      </c>
      <c r="AI294" s="229">
        <f t="shared" si="457"/>
        <v>1</v>
      </c>
      <c r="AJ294" s="229">
        <f t="shared" si="458"/>
        <v>0</v>
      </c>
      <c r="AK294" s="229">
        <v>0</v>
      </c>
      <c r="AL294" s="229">
        <v>0</v>
      </c>
      <c r="AM294" s="229">
        <v>1</v>
      </c>
      <c r="AN294" s="229">
        <v>0</v>
      </c>
      <c r="AO294" s="229">
        <f t="shared" si="433"/>
        <v>-100</v>
      </c>
      <c r="AP294" s="238"/>
      <c r="AQ294" s="255"/>
      <c r="AR294" s="255"/>
      <c r="AS294" s="256"/>
      <c r="AT294" s="256"/>
      <c r="AU294" s="256"/>
      <c r="AV294" s="256"/>
      <c r="AW294" s="256"/>
      <c r="AX294" s="256"/>
      <c r="AY294" s="256"/>
      <c r="AZ294" s="256"/>
      <c r="BA294" s="256"/>
      <c r="BB294" s="256"/>
      <c r="BC294" s="256"/>
      <c r="BD294" s="238"/>
      <c r="BE294" s="229" cm="1">
        <f t="array" ref="BE294">IF(ISBLANK(R294), INDEX(Use, $AH294, 4) - AM294*INDEX(Use, $AH294, 6), R294)</f>
        <v>5</v>
      </c>
      <c r="BF294" s="229">
        <f t="shared" si="434"/>
        <v>30</v>
      </c>
      <c r="BG294" s="229">
        <f t="shared" si="241"/>
        <v>13</v>
      </c>
      <c r="BH294" s="229">
        <f t="shared" si="242"/>
        <v>0</v>
      </c>
      <c r="BI294" s="234" cm="1">
        <f t="array" ref="BI294">K294/IF($L294&gt;0, INDEX($AU$23:$BA$77, $L294+20, $AH294), 1)</f>
        <v>0</v>
      </c>
      <c r="BJ294" s="230">
        <f t="shared" si="435"/>
        <v>0</v>
      </c>
      <c r="BK294" s="229">
        <v>35</v>
      </c>
      <c r="BL294" s="230">
        <f t="shared" si="436"/>
        <v>48</v>
      </c>
      <c r="BM294" s="235">
        <f t="shared" si="437"/>
        <v>2.9108720930232557</v>
      </c>
      <c r="BN294" s="235" cm="1">
        <f t="array" ref="BN294">$BI294 * SUMPRODUCT(INDEX($AR$77:$AT$82,,$AI294),INDEX($AU$77:$BA$82,,$AH294), N($AQ$77:$AQ$82&gt;$AO294)) / BM294 / 1000</f>
        <v>0</v>
      </c>
      <c r="BO294" s="232">
        <f t="shared" si="246"/>
        <v>30</v>
      </c>
      <c r="BP294" s="230">
        <f t="shared" si="438"/>
        <v>43</v>
      </c>
      <c r="BQ294" s="235">
        <f t="shared" si="439"/>
        <v>3.2938815789473681</v>
      </c>
      <c r="BR294" s="235" cm="1">
        <f t="array" ref="BR294">$BI294 * IF($AH294&lt;=2,
SUMPRODUCT(INDEX($AR$72:$AT$76,,$AI294), INDEX($AU$72:$BA$76,,$AH294), 1 / ($BB$72:$BB$76*BQ294 + (1-$BB$72:$BB$76)*BM294), N($AQ$72:$AQ$76&gt;$AO294)),
SUMPRODUCT(INDEX($AR$67:$AT$76,,$AI294), INDEX($AU$67:$BA$76,,$AH294), 1 / ($BC$67:$BC$76*BQ294 + (1-$BC$67:$BC$76)*BM294), N($AQ$67:$AQ$76&gt;$AO294))
) / 1000</f>
        <v>0</v>
      </c>
      <c r="BS294" s="232">
        <f t="shared" si="249"/>
        <v>25</v>
      </c>
      <c r="BT294" s="230">
        <f t="shared" si="440"/>
        <v>38</v>
      </c>
      <c r="BU294" s="235">
        <f t="shared" si="441"/>
        <v>3.792954545454545</v>
      </c>
      <c r="BV294" s="235" cm="1">
        <f t="array" ref="BV294">$BI294 * IF($AH294&lt;=2,
SUMPRODUCT(INDEX($AR$67:$AT$71,,$AI294), INDEX($AU$67:$BA$71,,$AH294), 1 / ($BB$67:$BB$71*BU294 + (1-$BB$67:$BB$71)*BQ294), N($AQ$67:$AQ$71&gt;$AO294)),
SUMPRODUCT(INDEX($AR$57:$AT$66,,$AI294), INDEX($AU$57:$BA$66,,$AH294), 1 / ($BC$57:$BC$66*BU294 + (1-$BC$57:$BC$66)*BQ294), N($AQ$57:$AQ$66&gt;$AO294))
) / 1000</f>
        <v>0</v>
      </c>
      <c r="BW294" s="232">
        <f t="shared" si="252"/>
        <v>20</v>
      </c>
      <c r="BX294" s="230">
        <f t="shared" si="442"/>
        <v>33</v>
      </c>
      <c r="BY294" s="235">
        <f t="shared" si="443"/>
        <v>4.4702678571428569</v>
      </c>
      <c r="BZ294" s="235" cm="1">
        <f t="array" ref="BZ294">$BI294 * IF($AH294&lt;=2,
SUMPRODUCT(INDEX($AR$62:$AT$66,,$AI294), INDEX($AU$62:$BA$66,,$AH294), 1 / ($BB$62:$BB$66*BY294 + (1-$BB$62:$BB$66)*BU294), N($AQ$62:$AQ$66&gt;$AO294)),
SUMPRODUCT(INDEX($AR$47:$AT$56,,$AI294), INDEX($AU$47:$BA$56,,$AH294), 1 / ($BC$47:$BC$56*BY294 + (1-$BC$47:$BC$56)*BU294), N($AQ$47:$AQ$56&gt;$AO294))
) / 1000</f>
        <v>0</v>
      </c>
      <c r="CA294" s="235" cm="1">
        <f t="array" ref="CA294">$BI294 * IF($AH294&lt;=2,
SUMPRODUCT(INDEX($AR$23:$AT$61,,$AI294), INDEX($AU$23:$BA$61,,$AH294), 1 / ($BB$23:$BB$61*BY294), N($AQ$23:$AQ$61&gt;$AO294)),
SUMPRODUCT(INDEX($AR$23:$AT$46,,$AI294), INDEX($AU$23:$BA$46,,$AH294), 1 / ($BC$23:$BC$46*BY294), N($AQ$23:$AQ$46&gt;$AO294))
) / 1000</f>
        <v>0</v>
      </c>
      <c r="CB294" s="230">
        <f t="shared" si="444"/>
        <v>0</v>
      </c>
      <c r="CC294" s="238"/>
      <c r="CD294" s="229" cm="1">
        <f t="array" ref="CD294">IF(ISBLANK(Y294), INDEX(Use, $AH294, 4) - AN294*INDEX(Use, $AH294, 6) - (Q294-X294), Y294)</f>
        <v>7</v>
      </c>
      <c r="CE294" s="229">
        <f t="shared" si="445"/>
        <v>32</v>
      </c>
      <c r="CF294" s="230">
        <f t="shared" si="446"/>
        <v>0</v>
      </c>
      <c r="CG294" s="229">
        <v>35</v>
      </c>
      <c r="CH294" s="230">
        <f t="shared" si="447"/>
        <v>48</v>
      </c>
      <c r="CI294" s="235">
        <f t="shared" si="448"/>
        <v>3.0748170731707316</v>
      </c>
      <c r="CJ294" s="235" cm="1">
        <f t="array" ref="CJ294">$BI294 * SUMPRODUCT(INDEX($AR$77:$AT$82,,$AI294),INDEX($AU$77:$BA$82,,$AH294), N($AQ$77:$AQ$82&gt;$AO294)) / CI294 / 1000</f>
        <v>0</v>
      </c>
      <c r="CK294" s="232">
        <f t="shared" si="260"/>
        <v>30</v>
      </c>
      <c r="CL294" s="230">
        <f t="shared" si="449"/>
        <v>43</v>
      </c>
      <c r="CM294" s="235">
        <f t="shared" si="450"/>
        <v>3.5018750000000001</v>
      </c>
      <c r="CN294" s="235" cm="1">
        <f t="array" ref="CN294">$BI294 * IF($AH294&lt;=2,
SUMPRODUCT(INDEX($AR$72:$AT$76,,$AI294), INDEX($AU$72:$BA$76,,$AH294), 1 / ($BB$72:$BB$76*CM294 + (1-$BB$72:$BB$76)*CI294), N($AQ$72:$AQ$76&gt;$AO294)),
SUMPRODUCT(INDEX($AR$67:$AT$76,,$AI294), INDEX($AU$67:$BA$76,,$AH294), 1 / ($BC$67:$BC$76*CM294 + (1-$BC$67:$BC$76)*CI294), N($AQ$67:$AQ$76&gt;$AO294))
) / 1000</f>
        <v>0</v>
      </c>
      <c r="CO294" s="232">
        <f t="shared" si="263"/>
        <v>25</v>
      </c>
      <c r="CP294" s="230">
        <f t="shared" si="451"/>
        <v>38</v>
      </c>
      <c r="CQ294" s="235">
        <f t="shared" si="452"/>
        <v>4.0666935483870965</v>
      </c>
      <c r="CR294" s="235" cm="1">
        <f t="array" ref="CR294">$BI294 * IF($AH294&lt;=2,
SUMPRODUCT(INDEX($AR$67:$AT$71,,$AI294), INDEX($AU$67:$BA$71,,$AH294), 1 / ($BB$67:$BB$71*CQ294 + (1-$BB$67:$BB$71)*CM294), N($AQ$67:$AQ$71&gt;$AO294)),
SUMPRODUCT(INDEX($AR$57:$AT$66,,$AI294), INDEX($AU$57:$BA$66,,$AH294), 1 / ($BC$57:$BC$66*CQ294 + (1-$BC$57:$BC$66)*CM294), N($AQ$57:$AQ$66&gt;$AO294))
) / 1000</f>
        <v>0</v>
      </c>
      <c r="CS294" s="232">
        <f t="shared" si="266"/>
        <v>20</v>
      </c>
      <c r="CT294" s="230">
        <f t="shared" si="453"/>
        <v>33</v>
      </c>
      <c r="CU294" s="235">
        <f t="shared" si="454"/>
        <v>4.8487499999999999</v>
      </c>
      <c r="CV294" s="235" cm="1">
        <f t="array" ref="CV294">$BI294 * IF($AH294&lt;=2,
SUMPRODUCT(INDEX($AR$62:$AT$66,,$AI294), INDEX($AU$62:$BA$66,,$AH294), 1 / ($BB$62:$BB$66*CU294 + (1-$BB$62:$BB$66)*CQ294), N($AQ$62:$AQ$66&gt;$AO294)),
SUMPRODUCT(INDEX($AR$47:$AT$56,,$AI294), INDEX($AU$47:$BA$56,,$AH294), 1 / ($BC$47:$BC$56*CU294 + (1-$BC$47:$BC$56)*CQ294), N($AQ$47:$AQ$56&gt;$AO294))
) / 1000</f>
        <v>0</v>
      </c>
      <c r="CW294" s="235" cm="1">
        <f t="array" ref="CW294">$BI294 * IF($AH294&lt;=2,
SUMPRODUCT(INDEX($AR$23:$AT$61,,$AI294), INDEX($AU$23:$BA$61,,$AH294), 1 / ($BB$23:$BB$61*CU294), N($AQ$23:$AQ$61&gt;$AO294)),
SUMPRODUCT(INDEX($AR$23:$AT$46,,$AI294), INDEX($AU$23:$BA$46,,$AH294), 1 / ($BC$23:$BC$46*CU294), N($AQ$23:$AQ$46&gt;$AO294))
) / 1000</f>
        <v>0</v>
      </c>
      <c r="CX294" s="230">
        <f t="shared" si="455"/>
        <v>0</v>
      </c>
      <c r="CY294" s="238"/>
    </row>
    <row r="295" spans="1:103" s="76" customFormat="1" ht="14.25" customHeight="1" x14ac:dyDescent="0.2">
      <c r="A295" s="231" t="b">
        <f t="shared" si="229"/>
        <v>0</v>
      </c>
      <c r="B295" s="245">
        <v>273</v>
      </c>
      <c r="C295" s="258"/>
      <c r="D295" s="258"/>
      <c r="E295" s="246"/>
      <c r="F295" s="247" t="str">
        <f>IF(ISBLANK(E295), "", VLOOKUP(E295, Z!$A$2:$C$4127, 3, FALSE))</f>
        <v/>
      </c>
      <c r="G295" s="248"/>
      <c r="H295" s="248"/>
      <c r="I295" s="249"/>
      <c r="J295" s="250"/>
      <c r="K295" s="259"/>
      <c r="L295" s="260"/>
      <c r="M295" s="252" t="str" cm="1">
        <f t="array" ref="M295">INDEX(Trad, 53, $A$20)</f>
        <v>Verschmutzt</v>
      </c>
      <c r="N295" s="253"/>
      <c r="O295" s="253"/>
      <c r="P295" s="254"/>
      <c r="Q295" s="251"/>
      <c r="R295" s="251"/>
      <c r="S295" s="264">
        <f t="shared" si="430"/>
        <v>0</v>
      </c>
      <c r="T295" s="252" t="str" cm="1">
        <f t="array" ref="T295">INDEX(Trad, 52, $A$20)</f>
        <v>Sauber</v>
      </c>
      <c r="U295" s="253"/>
      <c r="V295" s="253"/>
      <c r="W295" s="254"/>
      <c r="X295" s="251"/>
      <c r="Y295" s="251"/>
      <c r="Z295" s="264">
        <f t="shared" si="431"/>
        <v>0</v>
      </c>
      <c r="AA295" s="261"/>
      <c r="AB295" s="258"/>
      <c r="AC295" s="246"/>
      <c r="AD295" s="247" t="str">
        <f>IF(ISBLANK(AC295), "", VLOOKUP(AC295, Z!$A$2:$C$4127, 3, FALSE))</f>
        <v/>
      </c>
      <c r="AE295" s="262"/>
      <c r="AF295" s="263">
        <f t="shared" si="432"/>
        <v>0</v>
      </c>
      <c r="AG295" s="238"/>
      <c r="AH295" s="229">
        <f t="shared" si="456"/>
        <v>1</v>
      </c>
      <c r="AI295" s="229">
        <f t="shared" si="457"/>
        <v>1</v>
      </c>
      <c r="AJ295" s="229">
        <f t="shared" si="458"/>
        <v>0</v>
      </c>
      <c r="AK295" s="229">
        <v>0</v>
      </c>
      <c r="AL295" s="229">
        <v>0</v>
      </c>
      <c r="AM295" s="229">
        <v>1</v>
      </c>
      <c r="AN295" s="229">
        <v>0</v>
      </c>
      <c r="AO295" s="229">
        <f t="shared" si="433"/>
        <v>-100</v>
      </c>
      <c r="AP295" s="238"/>
      <c r="AQ295" s="255"/>
      <c r="AR295" s="255"/>
      <c r="AS295" s="256"/>
      <c r="AT295" s="256"/>
      <c r="AU295" s="256"/>
      <c r="AV295" s="256"/>
      <c r="AW295" s="256"/>
      <c r="AX295" s="256"/>
      <c r="AY295" s="256"/>
      <c r="AZ295" s="256"/>
      <c r="BA295" s="256"/>
      <c r="BB295" s="256"/>
      <c r="BC295" s="256"/>
      <c r="BD295" s="238"/>
      <c r="BE295" s="229" cm="1">
        <f t="array" ref="BE295">IF(ISBLANK(R295), INDEX(Use, $AH295, 4) - AM295*INDEX(Use, $AH295, 6), R295)</f>
        <v>5</v>
      </c>
      <c r="BF295" s="229">
        <f t="shared" si="434"/>
        <v>30</v>
      </c>
      <c r="BG295" s="229">
        <f t="shared" si="241"/>
        <v>13</v>
      </c>
      <c r="BH295" s="229">
        <f t="shared" si="242"/>
        <v>0</v>
      </c>
      <c r="BI295" s="234" cm="1">
        <f t="array" ref="BI295">K295/IF($L295&gt;0, INDEX($AU$23:$BA$77, $L295+20, $AH295), 1)</f>
        <v>0</v>
      </c>
      <c r="BJ295" s="230">
        <f t="shared" si="435"/>
        <v>0</v>
      </c>
      <c r="BK295" s="229">
        <v>35</v>
      </c>
      <c r="BL295" s="230">
        <f t="shared" si="436"/>
        <v>48</v>
      </c>
      <c r="BM295" s="235">
        <f t="shared" si="437"/>
        <v>2.9108720930232557</v>
      </c>
      <c r="BN295" s="235" cm="1">
        <f t="array" ref="BN295">$BI295 * SUMPRODUCT(INDEX($AR$77:$AT$82,,$AI295),INDEX($AU$77:$BA$82,,$AH295), N($AQ$77:$AQ$82&gt;$AO295)) / BM295 / 1000</f>
        <v>0</v>
      </c>
      <c r="BO295" s="232">
        <f t="shared" si="246"/>
        <v>30</v>
      </c>
      <c r="BP295" s="230">
        <f t="shared" si="438"/>
        <v>43</v>
      </c>
      <c r="BQ295" s="235">
        <f t="shared" si="439"/>
        <v>3.2938815789473681</v>
      </c>
      <c r="BR295" s="235" cm="1">
        <f t="array" ref="BR295">$BI295 * IF($AH295&lt;=2,
SUMPRODUCT(INDEX($AR$72:$AT$76,,$AI295), INDEX($AU$72:$BA$76,,$AH295), 1 / ($BB$72:$BB$76*BQ295 + (1-$BB$72:$BB$76)*BM295), N($AQ$72:$AQ$76&gt;$AO295)),
SUMPRODUCT(INDEX($AR$67:$AT$76,,$AI295), INDEX($AU$67:$BA$76,,$AH295), 1 / ($BC$67:$BC$76*BQ295 + (1-$BC$67:$BC$76)*BM295), N($AQ$67:$AQ$76&gt;$AO295))
) / 1000</f>
        <v>0</v>
      </c>
      <c r="BS295" s="232">
        <f t="shared" si="249"/>
        <v>25</v>
      </c>
      <c r="BT295" s="230">
        <f t="shared" si="440"/>
        <v>38</v>
      </c>
      <c r="BU295" s="235">
        <f t="shared" si="441"/>
        <v>3.792954545454545</v>
      </c>
      <c r="BV295" s="235" cm="1">
        <f t="array" ref="BV295">$BI295 * IF($AH295&lt;=2,
SUMPRODUCT(INDEX($AR$67:$AT$71,,$AI295), INDEX($AU$67:$BA$71,,$AH295), 1 / ($BB$67:$BB$71*BU295 + (1-$BB$67:$BB$71)*BQ295), N($AQ$67:$AQ$71&gt;$AO295)),
SUMPRODUCT(INDEX($AR$57:$AT$66,,$AI295), INDEX($AU$57:$BA$66,,$AH295), 1 / ($BC$57:$BC$66*BU295 + (1-$BC$57:$BC$66)*BQ295), N($AQ$57:$AQ$66&gt;$AO295))
) / 1000</f>
        <v>0</v>
      </c>
      <c r="BW295" s="232">
        <f t="shared" si="252"/>
        <v>20</v>
      </c>
      <c r="BX295" s="230">
        <f t="shared" si="442"/>
        <v>33</v>
      </c>
      <c r="BY295" s="235">
        <f t="shared" si="443"/>
        <v>4.4702678571428569</v>
      </c>
      <c r="BZ295" s="235" cm="1">
        <f t="array" ref="BZ295">$BI295 * IF($AH295&lt;=2,
SUMPRODUCT(INDEX($AR$62:$AT$66,,$AI295), INDEX($AU$62:$BA$66,,$AH295), 1 / ($BB$62:$BB$66*BY295 + (1-$BB$62:$BB$66)*BU295), N($AQ$62:$AQ$66&gt;$AO295)),
SUMPRODUCT(INDEX($AR$47:$AT$56,,$AI295), INDEX($AU$47:$BA$56,,$AH295), 1 / ($BC$47:$BC$56*BY295 + (1-$BC$47:$BC$56)*BU295), N($AQ$47:$AQ$56&gt;$AO295))
) / 1000</f>
        <v>0</v>
      </c>
      <c r="CA295" s="235" cm="1">
        <f t="array" ref="CA295">$BI295 * IF($AH295&lt;=2,
SUMPRODUCT(INDEX($AR$23:$AT$61,,$AI295), INDEX($AU$23:$BA$61,,$AH295), 1 / ($BB$23:$BB$61*BY295), N($AQ$23:$AQ$61&gt;$AO295)),
SUMPRODUCT(INDEX($AR$23:$AT$46,,$AI295), INDEX($AU$23:$BA$46,,$AH295), 1 / ($BC$23:$BC$46*BY295), N($AQ$23:$AQ$46&gt;$AO295))
) / 1000</f>
        <v>0</v>
      </c>
      <c r="CB295" s="230">
        <f t="shared" si="444"/>
        <v>0</v>
      </c>
      <c r="CC295" s="238"/>
      <c r="CD295" s="229" cm="1">
        <f t="array" ref="CD295">IF(ISBLANK(Y295), INDEX(Use, $AH295, 4) - AN295*INDEX(Use, $AH295, 6) - (Q295-X295), Y295)</f>
        <v>7</v>
      </c>
      <c r="CE295" s="229">
        <f t="shared" si="445"/>
        <v>32</v>
      </c>
      <c r="CF295" s="230">
        <f t="shared" si="446"/>
        <v>0</v>
      </c>
      <c r="CG295" s="229">
        <v>35</v>
      </c>
      <c r="CH295" s="230">
        <f t="shared" si="447"/>
        <v>48</v>
      </c>
      <c r="CI295" s="235">
        <f t="shared" si="448"/>
        <v>3.0748170731707316</v>
      </c>
      <c r="CJ295" s="235" cm="1">
        <f t="array" ref="CJ295">$BI295 * SUMPRODUCT(INDEX($AR$77:$AT$82,,$AI295),INDEX($AU$77:$BA$82,,$AH295), N($AQ$77:$AQ$82&gt;$AO295)) / CI295 / 1000</f>
        <v>0</v>
      </c>
      <c r="CK295" s="232">
        <f t="shared" si="260"/>
        <v>30</v>
      </c>
      <c r="CL295" s="230">
        <f t="shared" si="449"/>
        <v>43</v>
      </c>
      <c r="CM295" s="235">
        <f t="shared" si="450"/>
        <v>3.5018750000000001</v>
      </c>
      <c r="CN295" s="235" cm="1">
        <f t="array" ref="CN295">$BI295 * IF($AH295&lt;=2,
SUMPRODUCT(INDEX($AR$72:$AT$76,,$AI295), INDEX($AU$72:$BA$76,,$AH295), 1 / ($BB$72:$BB$76*CM295 + (1-$BB$72:$BB$76)*CI295), N($AQ$72:$AQ$76&gt;$AO295)),
SUMPRODUCT(INDEX($AR$67:$AT$76,,$AI295), INDEX($AU$67:$BA$76,,$AH295), 1 / ($BC$67:$BC$76*CM295 + (1-$BC$67:$BC$76)*CI295), N($AQ$67:$AQ$76&gt;$AO295))
) / 1000</f>
        <v>0</v>
      </c>
      <c r="CO295" s="232">
        <f t="shared" si="263"/>
        <v>25</v>
      </c>
      <c r="CP295" s="230">
        <f t="shared" si="451"/>
        <v>38</v>
      </c>
      <c r="CQ295" s="235">
        <f t="shared" si="452"/>
        <v>4.0666935483870965</v>
      </c>
      <c r="CR295" s="235" cm="1">
        <f t="array" ref="CR295">$BI295 * IF($AH295&lt;=2,
SUMPRODUCT(INDEX($AR$67:$AT$71,,$AI295), INDEX($AU$67:$BA$71,,$AH295), 1 / ($BB$67:$BB$71*CQ295 + (1-$BB$67:$BB$71)*CM295), N($AQ$67:$AQ$71&gt;$AO295)),
SUMPRODUCT(INDEX($AR$57:$AT$66,,$AI295), INDEX($AU$57:$BA$66,,$AH295), 1 / ($BC$57:$BC$66*CQ295 + (1-$BC$57:$BC$66)*CM295), N($AQ$57:$AQ$66&gt;$AO295))
) / 1000</f>
        <v>0</v>
      </c>
      <c r="CS295" s="232">
        <f t="shared" si="266"/>
        <v>20</v>
      </c>
      <c r="CT295" s="230">
        <f t="shared" si="453"/>
        <v>33</v>
      </c>
      <c r="CU295" s="235">
        <f t="shared" si="454"/>
        <v>4.8487499999999999</v>
      </c>
      <c r="CV295" s="235" cm="1">
        <f t="array" ref="CV295">$BI295 * IF($AH295&lt;=2,
SUMPRODUCT(INDEX($AR$62:$AT$66,,$AI295), INDEX($AU$62:$BA$66,,$AH295), 1 / ($BB$62:$BB$66*CU295 + (1-$BB$62:$BB$66)*CQ295), N($AQ$62:$AQ$66&gt;$AO295)),
SUMPRODUCT(INDEX($AR$47:$AT$56,,$AI295), INDEX($AU$47:$BA$56,,$AH295), 1 / ($BC$47:$BC$56*CU295 + (1-$BC$47:$BC$56)*CQ295), N($AQ$47:$AQ$56&gt;$AO295))
) / 1000</f>
        <v>0</v>
      </c>
      <c r="CW295" s="235" cm="1">
        <f t="array" ref="CW295">$BI295 * IF($AH295&lt;=2,
SUMPRODUCT(INDEX($AR$23:$AT$61,,$AI295), INDEX($AU$23:$BA$61,,$AH295), 1 / ($BB$23:$BB$61*CU295), N($AQ$23:$AQ$61&gt;$AO295)),
SUMPRODUCT(INDEX($AR$23:$AT$46,,$AI295), INDEX($AU$23:$BA$46,,$AH295), 1 / ($BC$23:$BC$46*CU295), N($AQ$23:$AQ$46&gt;$AO295))
) / 1000</f>
        <v>0</v>
      </c>
      <c r="CX295" s="230">
        <f t="shared" si="455"/>
        <v>0</v>
      </c>
      <c r="CY295" s="238"/>
    </row>
    <row r="296" spans="1:103" s="76" customFormat="1" ht="14.25" customHeight="1" x14ac:dyDescent="0.2">
      <c r="A296" s="231" t="b">
        <f t="shared" si="229"/>
        <v>0</v>
      </c>
      <c r="B296" s="245">
        <v>274</v>
      </c>
      <c r="C296" s="258"/>
      <c r="D296" s="258"/>
      <c r="E296" s="246"/>
      <c r="F296" s="247" t="str">
        <f>IF(ISBLANK(E296), "", VLOOKUP(E296, Z!$A$2:$C$4127, 3, FALSE))</f>
        <v/>
      </c>
      <c r="G296" s="248"/>
      <c r="H296" s="248"/>
      <c r="I296" s="249"/>
      <c r="J296" s="250"/>
      <c r="K296" s="259"/>
      <c r="L296" s="260"/>
      <c r="M296" s="252" t="str" cm="1">
        <f t="array" ref="M296">INDEX(Trad, 53, $A$20)</f>
        <v>Verschmutzt</v>
      </c>
      <c r="N296" s="253"/>
      <c r="O296" s="253"/>
      <c r="P296" s="254"/>
      <c r="Q296" s="251"/>
      <c r="R296" s="251"/>
      <c r="S296" s="264">
        <f t="shared" si="430"/>
        <v>0</v>
      </c>
      <c r="T296" s="252" t="str" cm="1">
        <f t="array" ref="T296">INDEX(Trad, 52, $A$20)</f>
        <v>Sauber</v>
      </c>
      <c r="U296" s="253"/>
      <c r="V296" s="253"/>
      <c r="W296" s="254"/>
      <c r="X296" s="251"/>
      <c r="Y296" s="251"/>
      <c r="Z296" s="264">
        <f t="shared" si="431"/>
        <v>0</v>
      </c>
      <c r="AA296" s="261"/>
      <c r="AB296" s="258"/>
      <c r="AC296" s="246"/>
      <c r="AD296" s="247" t="str">
        <f>IF(ISBLANK(AC296), "", VLOOKUP(AC296, Z!$A$2:$C$4127, 3, FALSE))</f>
        <v/>
      </c>
      <c r="AE296" s="262"/>
      <c r="AF296" s="263">
        <f t="shared" si="432"/>
        <v>0</v>
      </c>
      <c r="AG296" s="238"/>
      <c r="AH296" s="229">
        <f t="shared" si="456"/>
        <v>1</v>
      </c>
      <c r="AI296" s="229">
        <f t="shared" si="457"/>
        <v>1</v>
      </c>
      <c r="AJ296" s="229">
        <f t="shared" si="458"/>
        <v>0</v>
      </c>
      <c r="AK296" s="229">
        <v>0</v>
      </c>
      <c r="AL296" s="229">
        <v>0</v>
      </c>
      <c r="AM296" s="229">
        <v>1</v>
      </c>
      <c r="AN296" s="229">
        <v>0</v>
      </c>
      <c r="AO296" s="229">
        <f t="shared" si="433"/>
        <v>-100</v>
      </c>
      <c r="AP296" s="238"/>
      <c r="AQ296" s="255"/>
      <c r="AR296" s="255"/>
      <c r="AS296" s="256"/>
      <c r="AT296" s="256"/>
      <c r="AU296" s="256"/>
      <c r="AV296" s="256"/>
      <c r="AW296" s="256"/>
      <c r="AX296" s="256"/>
      <c r="AY296" s="256"/>
      <c r="AZ296" s="256"/>
      <c r="BA296" s="256"/>
      <c r="BB296" s="256"/>
      <c r="BC296" s="256"/>
      <c r="BD296" s="238"/>
      <c r="BE296" s="229" cm="1">
        <f t="array" ref="BE296">IF(ISBLANK(R296), INDEX(Use, $AH296, 4) - AM296*INDEX(Use, $AH296, 6), R296)</f>
        <v>5</v>
      </c>
      <c r="BF296" s="229">
        <f t="shared" si="434"/>
        <v>30</v>
      </c>
      <c r="BG296" s="229">
        <f t="shared" si="241"/>
        <v>13</v>
      </c>
      <c r="BH296" s="229">
        <f t="shared" si="242"/>
        <v>0</v>
      </c>
      <c r="BI296" s="234" cm="1">
        <f t="array" ref="BI296">K296/IF($L296&gt;0, INDEX($AU$23:$BA$77, $L296+20, $AH296), 1)</f>
        <v>0</v>
      </c>
      <c r="BJ296" s="230">
        <f t="shared" si="435"/>
        <v>0</v>
      </c>
      <c r="BK296" s="229">
        <v>35</v>
      </c>
      <c r="BL296" s="230">
        <f t="shared" si="436"/>
        <v>48</v>
      </c>
      <c r="BM296" s="235">
        <f t="shared" si="437"/>
        <v>2.9108720930232557</v>
      </c>
      <c r="BN296" s="235" cm="1">
        <f t="array" ref="BN296">$BI296 * SUMPRODUCT(INDEX($AR$77:$AT$82,,$AI296),INDEX($AU$77:$BA$82,,$AH296), N($AQ$77:$AQ$82&gt;$AO296)) / BM296 / 1000</f>
        <v>0</v>
      </c>
      <c r="BO296" s="232">
        <f t="shared" si="246"/>
        <v>30</v>
      </c>
      <c r="BP296" s="230">
        <f t="shared" si="438"/>
        <v>43</v>
      </c>
      <c r="BQ296" s="235">
        <f t="shared" si="439"/>
        <v>3.2938815789473681</v>
      </c>
      <c r="BR296" s="235" cm="1">
        <f t="array" ref="BR296">$BI296 * IF($AH296&lt;=2,
SUMPRODUCT(INDEX($AR$72:$AT$76,,$AI296), INDEX($AU$72:$BA$76,,$AH296), 1 / ($BB$72:$BB$76*BQ296 + (1-$BB$72:$BB$76)*BM296), N($AQ$72:$AQ$76&gt;$AO296)),
SUMPRODUCT(INDEX($AR$67:$AT$76,,$AI296), INDEX($AU$67:$BA$76,,$AH296), 1 / ($BC$67:$BC$76*BQ296 + (1-$BC$67:$BC$76)*BM296), N($AQ$67:$AQ$76&gt;$AO296))
) / 1000</f>
        <v>0</v>
      </c>
      <c r="BS296" s="232">
        <f t="shared" si="249"/>
        <v>25</v>
      </c>
      <c r="BT296" s="230">
        <f t="shared" si="440"/>
        <v>38</v>
      </c>
      <c r="BU296" s="235">
        <f t="shared" si="441"/>
        <v>3.792954545454545</v>
      </c>
      <c r="BV296" s="235" cm="1">
        <f t="array" ref="BV296">$BI296 * IF($AH296&lt;=2,
SUMPRODUCT(INDEX($AR$67:$AT$71,,$AI296), INDEX($AU$67:$BA$71,,$AH296), 1 / ($BB$67:$BB$71*BU296 + (1-$BB$67:$BB$71)*BQ296), N($AQ$67:$AQ$71&gt;$AO296)),
SUMPRODUCT(INDEX($AR$57:$AT$66,,$AI296), INDEX($AU$57:$BA$66,,$AH296), 1 / ($BC$57:$BC$66*BU296 + (1-$BC$57:$BC$66)*BQ296), N($AQ$57:$AQ$66&gt;$AO296))
) / 1000</f>
        <v>0</v>
      </c>
      <c r="BW296" s="232">
        <f t="shared" si="252"/>
        <v>20</v>
      </c>
      <c r="BX296" s="230">
        <f t="shared" si="442"/>
        <v>33</v>
      </c>
      <c r="BY296" s="235">
        <f t="shared" si="443"/>
        <v>4.4702678571428569</v>
      </c>
      <c r="BZ296" s="235" cm="1">
        <f t="array" ref="BZ296">$BI296 * IF($AH296&lt;=2,
SUMPRODUCT(INDEX($AR$62:$AT$66,,$AI296), INDEX($AU$62:$BA$66,,$AH296), 1 / ($BB$62:$BB$66*BY296 + (1-$BB$62:$BB$66)*BU296), N($AQ$62:$AQ$66&gt;$AO296)),
SUMPRODUCT(INDEX($AR$47:$AT$56,,$AI296), INDEX($AU$47:$BA$56,,$AH296), 1 / ($BC$47:$BC$56*BY296 + (1-$BC$47:$BC$56)*BU296), N($AQ$47:$AQ$56&gt;$AO296))
) / 1000</f>
        <v>0</v>
      </c>
      <c r="CA296" s="235" cm="1">
        <f t="array" ref="CA296">$BI296 * IF($AH296&lt;=2,
SUMPRODUCT(INDEX($AR$23:$AT$61,,$AI296), INDEX($AU$23:$BA$61,,$AH296), 1 / ($BB$23:$BB$61*BY296), N($AQ$23:$AQ$61&gt;$AO296)),
SUMPRODUCT(INDEX($AR$23:$AT$46,,$AI296), INDEX($AU$23:$BA$46,,$AH296), 1 / ($BC$23:$BC$46*BY296), N($AQ$23:$AQ$46&gt;$AO296))
) / 1000</f>
        <v>0</v>
      </c>
      <c r="CB296" s="230">
        <f t="shared" si="444"/>
        <v>0</v>
      </c>
      <c r="CC296" s="238"/>
      <c r="CD296" s="229" cm="1">
        <f t="array" ref="CD296">IF(ISBLANK(Y296), INDEX(Use, $AH296, 4) - AN296*INDEX(Use, $AH296, 6) - (Q296-X296), Y296)</f>
        <v>7</v>
      </c>
      <c r="CE296" s="229">
        <f t="shared" si="445"/>
        <v>32</v>
      </c>
      <c r="CF296" s="230">
        <f t="shared" si="446"/>
        <v>0</v>
      </c>
      <c r="CG296" s="229">
        <v>35</v>
      </c>
      <c r="CH296" s="230">
        <f t="shared" si="447"/>
        <v>48</v>
      </c>
      <c r="CI296" s="235">
        <f t="shared" si="448"/>
        <v>3.0748170731707316</v>
      </c>
      <c r="CJ296" s="235" cm="1">
        <f t="array" ref="CJ296">$BI296 * SUMPRODUCT(INDEX($AR$77:$AT$82,,$AI296),INDEX($AU$77:$BA$82,,$AH296), N($AQ$77:$AQ$82&gt;$AO296)) / CI296 / 1000</f>
        <v>0</v>
      </c>
      <c r="CK296" s="232">
        <f t="shared" si="260"/>
        <v>30</v>
      </c>
      <c r="CL296" s="230">
        <f t="shared" si="449"/>
        <v>43</v>
      </c>
      <c r="CM296" s="235">
        <f t="shared" si="450"/>
        <v>3.5018750000000001</v>
      </c>
      <c r="CN296" s="235" cm="1">
        <f t="array" ref="CN296">$BI296 * IF($AH296&lt;=2,
SUMPRODUCT(INDEX($AR$72:$AT$76,,$AI296), INDEX($AU$72:$BA$76,,$AH296), 1 / ($BB$72:$BB$76*CM296 + (1-$BB$72:$BB$76)*CI296), N($AQ$72:$AQ$76&gt;$AO296)),
SUMPRODUCT(INDEX($AR$67:$AT$76,,$AI296), INDEX($AU$67:$BA$76,,$AH296), 1 / ($BC$67:$BC$76*CM296 + (1-$BC$67:$BC$76)*CI296), N($AQ$67:$AQ$76&gt;$AO296))
) / 1000</f>
        <v>0</v>
      </c>
      <c r="CO296" s="232">
        <f t="shared" si="263"/>
        <v>25</v>
      </c>
      <c r="CP296" s="230">
        <f t="shared" si="451"/>
        <v>38</v>
      </c>
      <c r="CQ296" s="235">
        <f t="shared" si="452"/>
        <v>4.0666935483870965</v>
      </c>
      <c r="CR296" s="235" cm="1">
        <f t="array" ref="CR296">$BI296 * IF($AH296&lt;=2,
SUMPRODUCT(INDEX($AR$67:$AT$71,,$AI296), INDEX($AU$67:$BA$71,,$AH296), 1 / ($BB$67:$BB$71*CQ296 + (1-$BB$67:$BB$71)*CM296), N($AQ$67:$AQ$71&gt;$AO296)),
SUMPRODUCT(INDEX($AR$57:$AT$66,,$AI296), INDEX($AU$57:$BA$66,,$AH296), 1 / ($BC$57:$BC$66*CQ296 + (1-$BC$57:$BC$66)*CM296), N($AQ$57:$AQ$66&gt;$AO296))
) / 1000</f>
        <v>0</v>
      </c>
      <c r="CS296" s="232">
        <f t="shared" si="266"/>
        <v>20</v>
      </c>
      <c r="CT296" s="230">
        <f t="shared" si="453"/>
        <v>33</v>
      </c>
      <c r="CU296" s="235">
        <f t="shared" si="454"/>
        <v>4.8487499999999999</v>
      </c>
      <c r="CV296" s="235" cm="1">
        <f t="array" ref="CV296">$BI296 * IF($AH296&lt;=2,
SUMPRODUCT(INDEX($AR$62:$AT$66,,$AI296), INDEX($AU$62:$BA$66,,$AH296), 1 / ($BB$62:$BB$66*CU296 + (1-$BB$62:$BB$66)*CQ296), N($AQ$62:$AQ$66&gt;$AO296)),
SUMPRODUCT(INDEX($AR$47:$AT$56,,$AI296), INDEX($AU$47:$BA$56,,$AH296), 1 / ($BC$47:$BC$56*CU296 + (1-$BC$47:$BC$56)*CQ296), N($AQ$47:$AQ$56&gt;$AO296))
) / 1000</f>
        <v>0</v>
      </c>
      <c r="CW296" s="235" cm="1">
        <f t="array" ref="CW296">$BI296 * IF($AH296&lt;=2,
SUMPRODUCT(INDEX($AR$23:$AT$61,,$AI296), INDEX($AU$23:$BA$61,,$AH296), 1 / ($BB$23:$BB$61*CU296), N($AQ$23:$AQ$61&gt;$AO296)),
SUMPRODUCT(INDEX($AR$23:$AT$46,,$AI296), INDEX($AU$23:$BA$46,,$AH296), 1 / ($BC$23:$BC$46*CU296), N($AQ$23:$AQ$46&gt;$AO296))
) / 1000</f>
        <v>0</v>
      </c>
      <c r="CX296" s="230">
        <f t="shared" si="455"/>
        <v>0</v>
      </c>
      <c r="CY296" s="238"/>
    </row>
    <row r="297" spans="1:103" s="76" customFormat="1" ht="14.25" customHeight="1" x14ac:dyDescent="0.2">
      <c r="A297" s="231" t="b">
        <f t="shared" si="229"/>
        <v>0</v>
      </c>
      <c r="B297" s="245">
        <v>275</v>
      </c>
      <c r="C297" s="258"/>
      <c r="D297" s="258"/>
      <c r="E297" s="246"/>
      <c r="F297" s="247" t="str">
        <f>IF(ISBLANK(E297), "", VLOOKUP(E297, Z!$A$2:$C$4127, 3, FALSE))</f>
        <v/>
      </c>
      <c r="G297" s="248"/>
      <c r="H297" s="248"/>
      <c r="I297" s="249"/>
      <c r="J297" s="250"/>
      <c r="K297" s="259"/>
      <c r="L297" s="260"/>
      <c r="M297" s="252" t="str" cm="1">
        <f t="array" ref="M297">INDEX(Trad, 53, $A$20)</f>
        <v>Verschmutzt</v>
      </c>
      <c r="N297" s="253"/>
      <c r="O297" s="253"/>
      <c r="P297" s="254"/>
      <c r="Q297" s="251"/>
      <c r="R297" s="251"/>
      <c r="S297" s="264">
        <f t="shared" si="430"/>
        <v>0</v>
      </c>
      <c r="T297" s="252" t="str" cm="1">
        <f t="array" ref="T297">INDEX(Trad, 52, $A$20)</f>
        <v>Sauber</v>
      </c>
      <c r="U297" s="253"/>
      <c r="V297" s="253"/>
      <c r="W297" s="254"/>
      <c r="X297" s="251"/>
      <c r="Y297" s="251"/>
      <c r="Z297" s="264">
        <f t="shared" si="431"/>
        <v>0</v>
      </c>
      <c r="AA297" s="261"/>
      <c r="AB297" s="258"/>
      <c r="AC297" s="246"/>
      <c r="AD297" s="247" t="str">
        <f>IF(ISBLANK(AC297), "", VLOOKUP(AC297, Z!$A$2:$C$4127, 3, FALSE))</f>
        <v/>
      </c>
      <c r="AE297" s="262"/>
      <c r="AF297" s="263">
        <f t="shared" si="432"/>
        <v>0</v>
      </c>
      <c r="AG297" s="238"/>
      <c r="AH297" s="229">
        <f t="shared" si="456"/>
        <v>1</v>
      </c>
      <c r="AI297" s="229">
        <f t="shared" si="457"/>
        <v>1</v>
      </c>
      <c r="AJ297" s="229">
        <f t="shared" si="458"/>
        <v>0</v>
      </c>
      <c r="AK297" s="229">
        <v>0</v>
      </c>
      <c r="AL297" s="229">
        <v>0</v>
      </c>
      <c r="AM297" s="229">
        <v>1</v>
      </c>
      <c r="AN297" s="229">
        <v>0</v>
      </c>
      <c r="AO297" s="229">
        <f t="shared" si="433"/>
        <v>-100</v>
      </c>
      <c r="AP297" s="238"/>
      <c r="AQ297" s="255"/>
      <c r="AR297" s="255"/>
      <c r="AS297" s="256"/>
      <c r="AT297" s="256"/>
      <c r="AU297" s="256"/>
      <c r="AV297" s="256"/>
      <c r="AW297" s="256"/>
      <c r="AX297" s="256"/>
      <c r="AY297" s="256"/>
      <c r="AZ297" s="256"/>
      <c r="BA297" s="256"/>
      <c r="BB297" s="256"/>
      <c r="BC297" s="256"/>
      <c r="BD297" s="238"/>
      <c r="BE297" s="229" cm="1">
        <f t="array" ref="BE297">IF(ISBLANK(R297), INDEX(Use, $AH297, 4) - AM297*INDEX(Use, $AH297, 6), R297)</f>
        <v>5</v>
      </c>
      <c r="BF297" s="229">
        <f t="shared" si="434"/>
        <v>30</v>
      </c>
      <c r="BG297" s="229">
        <f t="shared" si="241"/>
        <v>13</v>
      </c>
      <c r="BH297" s="229">
        <f t="shared" si="242"/>
        <v>0</v>
      </c>
      <c r="BI297" s="234" cm="1">
        <f t="array" ref="BI297">K297/IF($L297&gt;0, INDEX($AU$23:$BA$77, $L297+20, $AH297), 1)</f>
        <v>0</v>
      </c>
      <c r="BJ297" s="230">
        <f t="shared" si="435"/>
        <v>0</v>
      </c>
      <c r="BK297" s="229">
        <v>35</v>
      </c>
      <c r="BL297" s="230">
        <f t="shared" si="436"/>
        <v>48</v>
      </c>
      <c r="BM297" s="235">
        <f t="shared" si="437"/>
        <v>2.9108720930232557</v>
      </c>
      <c r="BN297" s="235" cm="1">
        <f t="array" ref="BN297">$BI297 * SUMPRODUCT(INDEX($AR$77:$AT$82,,$AI297),INDEX($AU$77:$BA$82,,$AH297), N($AQ$77:$AQ$82&gt;$AO297)) / BM297 / 1000</f>
        <v>0</v>
      </c>
      <c r="BO297" s="232">
        <f t="shared" si="246"/>
        <v>30</v>
      </c>
      <c r="BP297" s="230">
        <f t="shared" si="438"/>
        <v>43</v>
      </c>
      <c r="BQ297" s="235">
        <f t="shared" si="439"/>
        <v>3.2938815789473681</v>
      </c>
      <c r="BR297" s="235" cm="1">
        <f t="array" ref="BR297">$BI297 * IF($AH297&lt;=2,
SUMPRODUCT(INDEX($AR$72:$AT$76,,$AI297), INDEX($AU$72:$BA$76,,$AH297), 1 / ($BB$72:$BB$76*BQ297 + (1-$BB$72:$BB$76)*BM297), N($AQ$72:$AQ$76&gt;$AO297)),
SUMPRODUCT(INDEX($AR$67:$AT$76,,$AI297), INDEX($AU$67:$BA$76,,$AH297), 1 / ($BC$67:$BC$76*BQ297 + (1-$BC$67:$BC$76)*BM297), N($AQ$67:$AQ$76&gt;$AO297))
) / 1000</f>
        <v>0</v>
      </c>
      <c r="BS297" s="232">
        <f t="shared" si="249"/>
        <v>25</v>
      </c>
      <c r="BT297" s="230">
        <f t="shared" si="440"/>
        <v>38</v>
      </c>
      <c r="BU297" s="235">
        <f t="shared" si="441"/>
        <v>3.792954545454545</v>
      </c>
      <c r="BV297" s="235" cm="1">
        <f t="array" ref="BV297">$BI297 * IF($AH297&lt;=2,
SUMPRODUCT(INDEX($AR$67:$AT$71,,$AI297), INDEX($AU$67:$BA$71,,$AH297), 1 / ($BB$67:$BB$71*BU297 + (1-$BB$67:$BB$71)*BQ297), N($AQ$67:$AQ$71&gt;$AO297)),
SUMPRODUCT(INDEX($AR$57:$AT$66,,$AI297), INDEX($AU$57:$BA$66,,$AH297), 1 / ($BC$57:$BC$66*BU297 + (1-$BC$57:$BC$66)*BQ297), N($AQ$57:$AQ$66&gt;$AO297))
) / 1000</f>
        <v>0</v>
      </c>
      <c r="BW297" s="232">
        <f t="shared" si="252"/>
        <v>20</v>
      </c>
      <c r="BX297" s="230">
        <f t="shared" si="442"/>
        <v>33</v>
      </c>
      <c r="BY297" s="235">
        <f t="shared" si="443"/>
        <v>4.4702678571428569</v>
      </c>
      <c r="BZ297" s="235" cm="1">
        <f t="array" ref="BZ297">$BI297 * IF($AH297&lt;=2,
SUMPRODUCT(INDEX($AR$62:$AT$66,,$AI297), INDEX($AU$62:$BA$66,,$AH297), 1 / ($BB$62:$BB$66*BY297 + (1-$BB$62:$BB$66)*BU297), N($AQ$62:$AQ$66&gt;$AO297)),
SUMPRODUCT(INDEX($AR$47:$AT$56,,$AI297), INDEX($AU$47:$BA$56,,$AH297), 1 / ($BC$47:$BC$56*BY297 + (1-$BC$47:$BC$56)*BU297), N($AQ$47:$AQ$56&gt;$AO297))
) / 1000</f>
        <v>0</v>
      </c>
      <c r="CA297" s="235" cm="1">
        <f t="array" ref="CA297">$BI297 * IF($AH297&lt;=2,
SUMPRODUCT(INDEX($AR$23:$AT$61,,$AI297), INDEX($AU$23:$BA$61,,$AH297), 1 / ($BB$23:$BB$61*BY297), N($AQ$23:$AQ$61&gt;$AO297)),
SUMPRODUCT(INDEX($AR$23:$AT$46,,$AI297), INDEX($AU$23:$BA$46,,$AH297), 1 / ($BC$23:$BC$46*BY297), N($AQ$23:$AQ$46&gt;$AO297))
) / 1000</f>
        <v>0</v>
      </c>
      <c r="CB297" s="230">
        <f t="shared" si="444"/>
        <v>0</v>
      </c>
      <c r="CC297" s="238"/>
      <c r="CD297" s="229" cm="1">
        <f t="array" ref="CD297">IF(ISBLANK(Y297), INDEX(Use, $AH297, 4) - AN297*INDEX(Use, $AH297, 6) - (Q297-X297), Y297)</f>
        <v>7</v>
      </c>
      <c r="CE297" s="229">
        <f t="shared" si="445"/>
        <v>32</v>
      </c>
      <c r="CF297" s="230">
        <f t="shared" si="446"/>
        <v>0</v>
      </c>
      <c r="CG297" s="229">
        <v>35</v>
      </c>
      <c r="CH297" s="230">
        <f t="shared" si="447"/>
        <v>48</v>
      </c>
      <c r="CI297" s="235">
        <f t="shared" si="448"/>
        <v>3.0748170731707316</v>
      </c>
      <c r="CJ297" s="235" cm="1">
        <f t="array" ref="CJ297">$BI297 * SUMPRODUCT(INDEX($AR$77:$AT$82,,$AI297),INDEX($AU$77:$BA$82,,$AH297), N($AQ$77:$AQ$82&gt;$AO297)) / CI297 / 1000</f>
        <v>0</v>
      </c>
      <c r="CK297" s="232">
        <f t="shared" si="260"/>
        <v>30</v>
      </c>
      <c r="CL297" s="230">
        <f t="shared" si="449"/>
        <v>43</v>
      </c>
      <c r="CM297" s="235">
        <f t="shared" si="450"/>
        <v>3.5018750000000001</v>
      </c>
      <c r="CN297" s="235" cm="1">
        <f t="array" ref="CN297">$BI297 * IF($AH297&lt;=2,
SUMPRODUCT(INDEX($AR$72:$AT$76,,$AI297), INDEX($AU$72:$BA$76,,$AH297), 1 / ($BB$72:$BB$76*CM297 + (1-$BB$72:$BB$76)*CI297), N($AQ$72:$AQ$76&gt;$AO297)),
SUMPRODUCT(INDEX($AR$67:$AT$76,,$AI297), INDEX($AU$67:$BA$76,,$AH297), 1 / ($BC$67:$BC$76*CM297 + (1-$BC$67:$BC$76)*CI297), N($AQ$67:$AQ$76&gt;$AO297))
) / 1000</f>
        <v>0</v>
      </c>
      <c r="CO297" s="232">
        <f t="shared" si="263"/>
        <v>25</v>
      </c>
      <c r="CP297" s="230">
        <f t="shared" si="451"/>
        <v>38</v>
      </c>
      <c r="CQ297" s="235">
        <f t="shared" si="452"/>
        <v>4.0666935483870965</v>
      </c>
      <c r="CR297" s="235" cm="1">
        <f t="array" ref="CR297">$BI297 * IF($AH297&lt;=2,
SUMPRODUCT(INDEX($AR$67:$AT$71,,$AI297), INDEX($AU$67:$BA$71,,$AH297), 1 / ($BB$67:$BB$71*CQ297 + (1-$BB$67:$BB$71)*CM297), N($AQ$67:$AQ$71&gt;$AO297)),
SUMPRODUCT(INDEX($AR$57:$AT$66,,$AI297), INDEX($AU$57:$BA$66,,$AH297), 1 / ($BC$57:$BC$66*CQ297 + (1-$BC$57:$BC$66)*CM297), N($AQ$57:$AQ$66&gt;$AO297))
) / 1000</f>
        <v>0</v>
      </c>
      <c r="CS297" s="232">
        <f t="shared" si="266"/>
        <v>20</v>
      </c>
      <c r="CT297" s="230">
        <f t="shared" si="453"/>
        <v>33</v>
      </c>
      <c r="CU297" s="235">
        <f t="shared" si="454"/>
        <v>4.8487499999999999</v>
      </c>
      <c r="CV297" s="235" cm="1">
        <f t="array" ref="CV297">$BI297 * IF($AH297&lt;=2,
SUMPRODUCT(INDEX($AR$62:$AT$66,,$AI297), INDEX($AU$62:$BA$66,,$AH297), 1 / ($BB$62:$BB$66*CU297 + (1-$BB$62:$BB$66)*CQ297), N($AQ$62:$AQ$66&gt;$AO297)),
SUMPRODUCT(INDEX($AR$47:$AT$56,,$AI297), INDEX($AU$47:$BA$56,,$AH297), 1 / ($BC$47:$BC$56*CU297 + (1-$BC$47:$BC$56)*CQ297), N($AQ$47:$AQ$56&gt;$AO297))
) / 1000</f>
        <v>0</v>
      </c>
      <c r="CW297" s="235" cm="1">
        <f t="array" ref="CW297">$BI297 * IF($AH297&lt;=2,
SUMPRODUCT(INDEX($AR$23:$AT$61,,$AI297), INDEX($AU$23:$BA$61,,$AH297), 1 / ($BB$23:$BB$61*CU297), N($AQ$23:$AQ$61&gt;$AO297)),
SUMPRODUCT(INDEX($AR$23:$AT$46,,$AI297), INDEX($AU$23:$BA$46,,$AH297), 1 / ($BC$23:$BC$46*CU297), N($AQ$23:$AQ$46&gt;$AO297))
) / 1000</f>
        <v>0</v>
      </c>
      <c r="CX297" s="230">
        <f t="shared" si="455"/>
        <v>0</v>
      </c>
      <c r="CY297" s="238"/>
    </row>
    <row r="298" spans="1:103" s="76" customFormat="1" ht="14.25" customHeight="1" x14ac:dyDescent="0.2">
      <c r="A298" s="231" t="b">
        <f t="shared" si="229"/>
        <v>0</v>
      </c>
      <c r="B298" s="245">
        <v>276</v>
      </c>
      <c r="C298" s="258"/>
      <c r="D298" s="258"/>
      <c r="E298" s="246"/>
      <c r="F298" s="247" t="str">
        <f>IF(ISBLANK(E298), "", VLOOKUP(E298, Z!$A$2:$C$4127, 3, FALSE))</f>
        <v/>
      </c>
      <c r="G298" s="248"/>
      <c r="H298" s="248"/>
      <c r="I298" s="249"/>
      <c r="J298" s="250"/>
      <c r="K298" s="259"/>
      <c r="L298" s="260"/>
      <c r="M298" s="252" t="str" cm="1">
        <f t="array" ref="M298">INDEX(Trad, 53, $A$20)</f>
        <v>Verschmutzt</v>
      </c>
      <c r="N298" s="253"/>
      <c r="O298" s="253"/>
      <c r="P298" s="254"/>
      <c r="Q298" s="251"/>
      <c r="R298" s="251"/>
      <c r="S298" s="264">
        <f t="shared" si="430"/>
        <v>0</v>
      </c>
      <c r="T298" s="252" t="str" cm="1">
        <f t="array" ref="T298">INDEX(Trad, 52, $A$20)</f>
        <v>Sauber</v>
      </c>
      <c r="U298" s="253"/>
      <c r="V298" s="253"/>
      <c r="W298" s="254"/>
      <c r="X298" s="251"/>
      <c r="Y298" s="251"/>
      <c r="Z298" s="264">
        <f t="shared" si="431"/>
        <v>0</v>
      </c>
      <c r="AA298" s="261"/>
      <c r="AB298" s="258"/>
      <c r="AC298" s="246"/>
      <c r="AD298" s="247" t="str">
        <f>IF(ISBLANK(AC298), "", VLOOKUP(AC298, Z!$A$2:$C$4127, 3, FALSE))</f>
        <v/>
      </c>
      <c r="AE298" s="262"/>
      <c r="AF298" s="263">
        <f t="shared" si="432"/>
        <v>0</v>
      </c>
      <c r="AG298" s="238"/>
      <c r="AH298" s="229">
        <f t="shared" si="456"/>
        <v>1</v>
      </c>
      <c r="AI298" s="229">
        <f t="shared" si="457"/>
        <v>1</v>
      </c>
      <c r="AJ298" s="229">
        <f t="shared" si="458"/>
        <v>0</v>
      </c>
      <c r="AK298" s="229">
        <v>0</v>
      </c>
      <c r="AL298" s="229">
        <v>0</v>
      </c>
      <c r="AM298" s="229">
        <v>1</v>
      </c>
      <c r="AN298" s="229">
        <v>0</v>
      </c>
      <c r="AO298" s="229">
        <f t="shared" si="433"/>
        <v>-100</v>
      </c>
      <c r="AP298" s="238"/>
      <c r="AQ298" s="255"/>
      <c r="AR298" s="255"/>
      <c r="AS298" s="256"/>
      <c r="AT298" s="256"/>
      <c r="AU298" s="256"/>
      <c r="AV298" s="256"/>
      <c r="AW298" s="256"/>
      <c r="AX298" s="256"/>
      <c r="AY298" s="256"/>
      <c r="AZ298" s="256"/>
      <c r="BA298" s="256"/>
      <c r="BB298" s="256"/>
      <c r="BC298" s="256"/>
      <c r="BD298" s="238"/>
      <c r="BE298" s="229" cm="1">
        <f t="array" ref="BE298">IF(ISBLANK(R298), INDEX(Use, $AH298, 4) - AM298*INDEX(Use, $AH298, 6), R298)</f>
        <v>5</v>
      </c>
      <c r="BF298" s="229">
        <f t="shared" si="434"/>
        <v>30</v>
      </c>
      <c r="BG298" s="229">
        <f t="shared" si="241"/>
        <v>13</v>
      </c>
      <c r="BH298" s="229">
        <f t="shared" si="242"/>
        <v>0</v>
      </c>
      <c r="BI298" s="234" cm="1">
        <f t="array" ref="BI298">K298/IF($L298&gt;0, INDEX($AU$23:$BA$77, $L298+20, $AH298), 1)</f>
        <v>0</v>
      </c>
      <c r="BJ298" s="230">
        <f t="shared" si="435"/>
        <v>0</v>
      </c>
      <c r="BK298" s="229">
        <v>35</v>
      </c>
      <c r="BL298" s="230">
        <f t="shared" si="436"/>
        <v>48</v>
      </c>
      <c r="BM298" s="235">
        <f t="shared" si="437"/>
        <v>2.9108720930232557</v>
      </c>
      <c r="BN298" s="235" cm="1">
        <f t="array" ref="BN298">$BI298 * SUMPRODUCT(INDEX($AR$77:$AT$82,,$AI298),INDEX($AU$77:$BA$82,,$AH298), N($AQ$77:$AQ$82&gt;$AO298)) / BM298 / 1000</f>
        <v>0</v>
      </c>
      <c r="BO298" s="232">
        <f t="shared" si="246"/>
        <v>30</v>
      </c>
      <c r="BP298" s="230">
        <f t="shared" si="438"/>
        <v>43</v>
      </c>
      <c r="BQ298" s="235">
        <f t="shared" si="439"/>
        <v>3.2938815789473681</v>
      </c>
      <c r="BR298" s="235" cm="1">
        <f t="array" ref="BR298">$BI298 * IF($AH298&lt;=2,
SUMPRODUCT(INDEX($AR$72:$AT$76,,$AI298), INDEX($AU$72:$BA$76,,$AH298), 1 / ($BB$72:$BB$76*BQ298 + (1-$BB$72:$BB$76)*BM298), N($AQ$72:$AQ$76&gt;$AO298)),
SUMPRODUCT(INDEX($AR$67:$AT$76,,$AI298), INDEX($AU$67:$BA$76,,$AH298), 1 / ($BC$67:$BC$76*BQ298 + (1-$BC$67:$BC$76)*BM298), N($AQ$67:$AQ$76&gt;$AO298))
) / 1000</f>
        <v>0</v>
      </c>
      <c r="BS298" s="232">
        <f t="shared" si="249"/>
        <v>25</v>
      </c>
      <c r="BT298" s="230">
        <f t="shared" si="440"/>
        <v>38</v>
      </c>
      <c r="BU298" s="235">
        <f t="shared" si="441"/>
        <v>3.792954545454545</v>
      </c>
      <c r="BV298" s="235" cm="1">
        <f t="array" ref="BV298">$BI298 * IF($AH298&lt;=2,
SUMPRODUCT(INDEX($AR$67:$AT$71,,$AI298), INDEX($AU$67:$BA$71,,$AH298), 1 / ($BB$67:$BB$71*BU298 + (1-$BB$67:$BB$71)*BQ298), N($AQ$67:$AQ$71&gt;$AO298)),
SUMPRODUCT(INDEX($AR$57:$AT$66,,$AI298), INDEX($AU$57:$BA$66,,$AH298), 1 / ($BC$57:$BC$66*BU298 + (1-$BC$57:$BC$66)*BQ298), N($AQ$57:$AQ$66&gt;$AO298))
) / 1000</f>
        <v>0</v>
      </c>
      <c r="BW298" s="232">
        <f t="shared" si="252"/>
        <v>20</v>
      </c>
      <c r="BX298" s="230">
        <f t="shared" si="442"/>
        <v>33</v>
      </c>
      <c r="BY298" s="235">
        <f t="shared" si="443"/>
        <v>4.4702678571428569</v>
      </c>
      <c r="BZ298" s="235" cm="1">
        <f t="array" ref="BZ298">$BI298 * IF($AH298&lt;=2,
SUMPRODUCT(INDEX($AR$62:$AT$66,,$AI298), INDEX($AU$62:$BA$66,,$AH298), 1 / ($BB$62:$BB$66*BY298 + (1-$BB$62:$BB$66)*BU298), N($AQ$62:$AQ$66&gt;$AO298)),
SUMPRODUCT(INDEX($AR$47:$AT$56,,$AI298), INDEX($AU$47:$BA$56,,$AH298), 1 / ($BC$47:$BC$56*BY298 + (1-$BC$47:$BC$56)*BU298), N($AQ$47:$AQ$56&gt;$AO298))
) / 1000</f>
        <v>0</v>
      </c>
      <c r="CA298" s="235" cm="1">
        <f t="array" ref="CA298">$BI298 * IF($AH298&lt;=2,
SUMPRODUCT(INDEX($AR$23:$AT$61,,$AI298), INDEX($AU$23:$BA$61,,$AH298), 1 / ($BB$23:$BB$61*BY298), N($AQ$23:$AQ$61&gt;$AO298)),
SUMPRODUCT(INDEX($AR$23:$AT$46,,$AI298), INDEX($AU$23:$BA$46,,$AH298), 1 / ($BC$23:$BC$46*BY298), N($AQ$23:$AQ$46&gt;$AO298))
) / 1000</f>
        <v>0</v>
      </c>
      <c r="CB298" s="230">
        <f t="shared" si="444"/>
        <v>0</v>
      </c>
      <c r="CC298" s="238"/>
      <c r="CD298" s="229" cm="1">
        <f t="array" ref="CD298">IF(ISBLANK(Y298), INDEX(Use, $AH298, 4) - AN298*INDEX(Use, $AH298, 6) - (Q298-X298), Y298)</f>
        <v>7</v>
      </c>
      <c r="CE298" s="229">
        <f t="shared" si="445"/>
        <v>32</v>
      </c>
      <c r="CF298" s="230">
        <f t="shared" si="446"/>
        <v>0</v>
      </c>
      <c r="CG298" s="229">
        <v>35</v>
      </c>
      <c r="CH298" s="230">
        <f t="shared" si="447"/>
        <v>48</v>
      </c>
      <c r="CI298" s="235">
        <f t="shared" si="448"/>
        <v>3.0748170731707316</v>
      </c>
      <c r="CJ298" s="235" cm="1">
        <f t="array" ref="CJ298">$BI298 * SUMPRODUCT(INDEX($AR$77:$AT$82,,$AI298),INDEX($AU$77:$BA$82,,$AH298), N($AQ$77:$AQ$82&gt;$AO298)) / CI298 / 1000</f>
        <v>0</v>
      </c>
      <c r="CK298" s="232">
        <f t="shared" si="260"/>
        <v>30</v>
      </c>
      <c r="CL298" s="230">
        <f t="shared" si="449"/>
        <v>43</v>
      </c>
      <c r="CM298" s="235">
        <f t="shared" si="450"/>
        <v>3.5018750000000001</v>
      </c>
      <c r="CN298" s="235" cm="1">
        <f t="array" ref="CN298">$BI298 * IF($AH298&lt;=2,
SUMPRODUCT(INDEX($AR$72:$AT$76,,$AI298), INDEX($AU$72:$BA$76,,$AH298), 1 / ($BB$72:$BB$76*CM298 + (1-$BB$72:$BB$76)*CI298), N($AQ$72:$AQ$76&gt;$AO298)),
SUMPRODUCT(INDEX($AR$67:$AT$76,,$AI298), INDEX($AU$67:$BA$76,,$AH298), 1 / ($BC$67:$BC$76*CM298 + (1-$BC$67:$BC$76)*CI298), N($AQ$67:$AQ$76&gt;$AO298))
) / 1000</f>
        <v>0</v>
      </c>
      <c r="CO298" s="232">
        <f t="shared" si="263"/>
        <v>25</v>
      </c>
      <c r="CP298" s="230">
        <f t="shared" si="451"/>
        <v>38</v>
      </c>
      <c r="CQ298" s="235">
        <f t="shared" si="452"/>
        <v>4.0666935483870965</v>
      </c>
      <c r="CR298" s="235" cm="1">
        <f t="array" ref="CR298">$BI298 * IF($AH298&lt;=2,
SUMPRODUCT(INDEX($AR$67:$AT$71,,$AI298), INDEX($AU$67:$BA$71,,$AH298), 1 / ($BB$67:$BB$71*CQ298 + (1-$BB$67:$BB$71)*CM298), N($AQ$67:$AQ$71&gt;$AO298)),
SUMPRODUCT(INDEX($AR$57:$AT$66,,$AI298), INDEX($AU$57:$BA$66,,$AH298), 1 / ($BC$57:$BC$66*CQ298 + (1-$BC$57:$BC$66)*CM298), N($AQ$57:$AQ$66&gt;$AO298))
) / 1000</f>
        <v>0</v>
      </c>
      <c r="CS298" s="232">
        <f t="shared" si="266"/>
        <v>20</v>
      </c>
      <c r="CT298" s="230">
        <f t="shared" si="453"/>
        <v>33</v>
      </c>
      <c r="CU298" s="235">
        <f t="shared" si="454"/>
        <v>4.8487499999999999</v>
      </c>
      <c r="CV298" s="235" cm="1">
        <f t="array" ref="CV298">$BI298 * IF($AH298&lt;=2,
SUMPRODUCT(INDEX($AR$62:$AT$66,,$AI298), INDEX($AU$62:$BA$66,,$AH298), 1 / ($BB$62:$BB$66*CU298 + (1-$BB$62:$BB$66)*CQ298), N($AQ$62:$AQ$66&gt;$AO298)),
SUMPRODUCT(INDEX($AR$47:$AT$56,,$AI298), INDEX($AU$47:$BA$56,,$AH298), 1 / ($BC$47:$BC$56*CU298 + (1-$BC$47:$BC$56)*CQ298), N($AQ$47:$AQ$56&gt;$AO298))
) / 1000</f>
        <v>0</v>
      </c>
      <c r="CW298" s="235" cm="1">
        <f t="array" ref="CW298">$BI298 * IF($AH298&lt;=2,
SUMPRODUCT(INDEX($AR$23:$AT$61,,$AI298), INDEX($AU$23:$BA$61,,$AH298), 1 / ($BB$23:$BB$61*CU298), N($AQ$23:$AQ$61&gt;$AO298)),
SUMPRODUCT(INDEX($AR$23:$AT$46,,$AI298), INDEX($AU$23:$BA$46,,$AH298), 1 / ($BC$23:$BC$46*CU298), N($AQ$23:$AQ$46&gt;$AO298))
) / 1000</f>
        <v>0</v>
      </c>
      <c r="CX298" s="230">
        <f t="shared" si="455"/>
        <v>0</v>
      </c>
      <c r="CY298" s="238"/>
    </row>
    <row r="299" spans="1:103" s="76" customFormat="1" ht="14.25" customHeight="1" x14ac:dyDescent="0.2">
      <c r="A299" s="231" t="b">
        <f t="shared" si="229"/>
        <v>0</v>
      </c>
      <c r="B299" s="245">
        <v>277</v>
      </c>
      <c r="C299" s="258"/>
      <c r="D299" s="258"/>
      <c r="E299" s="246"/>
      <c r="F299" s="247" t="str">
        <f>IF(ISBLANK(E299), "", VLOOKUP(E299, Z!$A$2:$C$4127, 3, FALSE))</f>
        <v/>
      </c>
      <c r="G299" s="248"/>
      <c r="H299" s="248"/>
      <c r="I299" s="249"/>
      <c r="J299" s="250"/>
      <c r="K299" s="259"/>
      <c r="L299" s="260"/>
      <c r="M299" s="252" t="str" cm="1">
        <f t="array" ref="M299">INDEX(Trad, 53, $A$20)</f>
        <v>Verschmutzt</v>
      </c>
      <c r="N299" s="253"/>
      <c r="O299" s="253"/>
      <c r="P299" s="254"/>
      <c r="Q299" s="251"/>
      <c r="R299" s="251"/>
      <c r="S299" s="264">
        <f t="shared" si="430"/>
        <v>0</v>
      </c>
      <c r="T299" s="252" t="str" cm="1">
        <f t="array" ref="T299">INDEX(Trad, 52, $A$20)</f>
        <v>Sauber</v>
      </c>
      <c r="U299" s="253"/>
      <c r="V299" s="253"/>
      <c r="W299" s="254"/>
      <c r="X299" s="251"/>
      <c r="Y299" s="251"/>
      <c r="Z299" s="264">
        <f t="shared" si="431"/>
        <v>0</v>
      </c>
      <c r="AA299" s="261"/>
      <c r="AB299" s="258"/>
      <c r="AC299" s="246"/>
      <c r="AD299" s="247" t="str">
        <f>IF(ISBLANK(AC299), "", VLOOKUP(AC299, Z!$A$2:$C$4127, 3, FALSE))</f>
        <v/>
      </c>
      <c r="AE299" s="262"/>
      <c r="AF299" s="263">
        <f t="shared" si="432"/>
        <v>0</v>
      </c>
      <c r="AG299" s="238"/>
      <c r="AH299" s="229">
        <f t="shared" si="456"/>
        <v>1</v>
      </c>
      <c r="AI299" s="229">
        <f t="shared" si="457"/>
        <v>1</v>
      </c>
      <c r="AJ299" s="229">
        <f t="shared" si="458"/>
        <v>0</v>
      </c>
      <c r="AK299" s="229">
        <v>0</v>
      </c>
      <c r="AL299" s="229">
        <v>0</v>
      </c>
      <c r="AM299" s="229">
        <v>1</v>
      </c>
      <c r="AN299" s="229">
        <v>0</v>
      </c>
      <c r="AO299" s="229">
        <f t="shared" si="433"/>
        <v>-100</v>
      </c>
      <c r="AP299" s="238"/>
      <c r="AQ299" s="255"/>
      <c r="AR299" s="255"/>
      <c r="AS299" s="256"/>
      <c r="AT299" s="256"/>
      <c r="AU299" s="256"/>
      <c r="AV299" s="256"/>
      <c r="AW299" s="256"/>
      <c r="AX299" s="256"/>
      <c r="AY299" s="256"/>
      <c r="AZ299" s="256"/>
      <c r="BA299" s="256"/>
      <c r="BB299" s="256"/>
      <c r="BC299" s="256"/>
      <c r="BD299" s="238"/>
      <c r="BE299" s="229" cm="1">
        <f t="array" ref="BE299">IF(ISBLANK(R299), INDEX(Use, $AH299, 4) - AM299*INDEX(Use, $AH299, 6), R299)</f>
        <v>5</v>
      </c>
      <c r="BF299" s="229">
        <f t="shared" si="434"/>
        <v>30</v>
      </c>
      <c r="BG299" s="229">
        <f t="shared" si="241"/>
        <v>13</v>
      </c>
      <c r="BH299" s="229">
        <f t="shared" si="242"/>
        <v>0</v>
      </c>
      <c r="BI299" s="234" cm="1">
        <f t="array" ref="BI299">K299/IF($L299&gt;0, INDEX($AU$23:$BA$77, $L299+20, $AH299), 1)</f>
        <v>0</v>
      </c>
      <c r="BJ299" s="230">
        <f t="shared" si="435"/>
        <v>0</v>
      </c>
      <c r="BK299" s="229">
        <v>35</v>
      </c>
      <c r="BL299" s="230">
        <f t="shared" si="436"/>
        <v>48</v>
      </c>
      <c r="BM299" s="235">
        <f t="shared" si="437"/>
        <v>2.9108720930232557</v>
      </c>
      <c r="BN299" s="235" cm="1">
        <f t="array" ref="BN299">$BI299 * SUMPRODUCT(INDEX($AR$77:$AT$82,,$AI299),INDEX($AU$77:$BA$82,,$AH299), N($AQ$77:$AQ$82&gt;$AO299)) / BM299 / 1000</f>
        <v>0</v>
      </c>
      <c r="BO299" s="232">
        <f t="shared" si="246"/>
        <v>30</v>
      </c>
      <c r="BP299" s="230">
        <f t="shared" si="438"/>
        <v>43</v>
      </c>
      <c r="BQ299" s="235">
        <f t="shared" si="439"/>
        <v>3.2938815789473681</v>
      </c>
      <c r="BR299" s="235" cm="1">
        <f t="array" ref="BR299">$BI299 * IF($AH299&lt;=2,
SUMPRODUCT(INDEX($AR$72:$AT$76,,$AI299), INDEX($AU$72:$BA$76,,$AH299), 1 / ($BB$72:$BB$76*BQ299 + (1-$BB$72:$BB$76)*BM299), N($AQ$72:$AQ$76&gt;$AO299)),
SUMPRODUCT(INDEX($AR$67:$AT$76,,$AI299), INDEX($AU$67:$BA$76,,$AH299), 1 / ($BC$67:$BC$76*BQ299 + (1-$BC$67:$BC$76)*BM299), N($AQ$67:$AQ$76&gt;$AO299))
) / 1000</f>
        <v>0</v>
      </c>
      <c r="BS299" s="232">
        <f t="shared" si="249"/>
        <v>25</v>
      </c>
      <c r="BT299" s="230">
        <f t="shared" si="440"/>
        <v>38</v>
      </c>
      <c r="BU299" s="235">
        <f t="shared" si="441"/>
        <v>3.792954545454545</v>
      </c>
      <c r="BV299" s="235" cm="1">
        <f t="array" ref="BV299">$BI299 * IF($AH299&lt;=2,
SUMPRODUCT(INDEX($AR$67:$AT$71,,$AI299), INDEX($AU$67:$BA$71,,$AH299), 1 / ($BB$67:$BB$71*BU299 + (1-$BB$67:$BB$71)*BQ299), N($AQ$67:$AQ$71&gt;$AO299)),
SUMPRODUCT(INDEX($AR$57:$AT$66,,$AI299), INDEX($AU$57:$BA$66,,$AH299), 1 / ($BC$57:$BC$66*BU299 + (1-$BC$57:$BC$66)*BQ299), N($AQ$57:$AQ$66&gt;$AO299))
) / 1000</f>
        <v>0</v>
      </c>
      <c r="BW299" s="232">
        <f t="shared" si="252"/>
        <v>20</v>
      </c>
      <c r="BX299" s="230">
        <f t="shared" si="442"/>
        <v>33</v>
      </c>
      <c r="BY299" s="235">
        <f t="shared" si="443"/>
        <v>4.4702678571428569</v>
      </c>
      <c r="BZ299" s="235" cm="1">
        <f t="array" ref="BZ299">$BI299 * IF($AH299&lt;=2,
SUMPRODUCT(INDEX($AR$62:$AT$66,,$AI299), INDEX($AU$62:$BA$66,,$AH299), 1 / ($BB$62:$BB$66*BY299 + (1-$BB$62:$BB$66)*BU299), N($AQ$62:$AQ$66&gt;$AO299)),
SUMPRODUCT(INDEX($AR$47:$AT$56,,$AI299), INDEX($AU$47:$BA$56,,$AH299), 1 / ($BC$47:$BC$56*BY299 + (1-$BC$47:$BC$56)*BU299), N($AQ$47:$AQ$56&gt;$AO299))
) / 1000</f>
        <v>0</v>
      </c>
      <c r="CA299" s="235" cm="1">
        <f t="array" ref="CA299">$BI299 * IF($AH299&lt;=2,
SUMPRODUCT(INDEX($AR$23:$AT$61,,$AI299), INDEX($AU$23:$BA$61,,$AH299), 1 / ($BB$23:$BB$61*BY299), N($AQ$23:$AQ$61&gt;$AO299)),
SUMPRODUCT(INDEX($AR$23:$AT$46,,$AI299), INDEX($AU$23:$BA$46,,$AH299), 1 / ($BC$23:$BC$46*BY299), N($AQ$23:$AQ$46&gt;$AO299))
) / 1000</f>
        <v>0</v>
      </c>
      <c r="CB299" s="230">
        <f t="shared" si="444"/>
        <v>0</v>
      </c>
      <c r="CC299" s="238"/>
      <c r="CD299" s="229" cm="1">
        <f t="array" ref="CD299">IF(ISBLANK(Y299), INDEX(Use, $AH299, 4) - AN299*INDEX(Use, $AH299, 6) - (Q299-X299), Y299)</f>
        <v>7</v>
      </c>
      <c r="CE299" s="229">
        <f t="shared" si="445"/>
        <v>32</v>
      </c>
      <c r="CF299" s="230">
        <f t="shared" si="446"/>
        <v>0</v>
      </c>
      <c r="CG299" s="229">
        <v>35</v>
      </c>
      <c r="CH299" s="230">
        <f t="shared" si="447"/>
        <v>48</v>
      </c>
      <c r="CI299" s="235">
        <f t="shared" si="448"/>
        <v>3.0748170731707316</v>
      </c>
      <c r="CJ299" s="235" cm="1">
        <f t="array" ref="CJ299">$BI299 * SUMPRODUCT(INDEX($AR$77:$AT$82,,$AI299),INDEX($AU$77:$BA$82,,$AH299), N($AQ$77:$AQ$82&gt;$AO299)) / CI299 / 1000</f>
        <v>0</v>
      </c>
      <c r="CK299" s="232">
        <f t="shared" si="260"/>
        <v>30</v>
      </c>
      <c r="CL299" s="230">
        <f t="shared" si="449"/>
        <v>43</v>
      </c>
      <c r="CM299" s="235">
        <f t="shared" si="450"/>
        <v>3.5018750000000001</v>
      </c>
      <c r="CN299" s="235" cm="1">
        <f t="array" ref="CN299">$BI299 * IF($AH299&lt;=2,
SUMPRODUCT(INDEX($AR$72:$AT$76,,$AI299), INDEX($AU$72:$BA$76,,$AH299), 1 / ($BB$72:$BB$76*CM299 + (1-$BB$72:$BB$76)*CI299), N($AQ$72:$AQ$76&gt;$AO299)),
SUMPRODUCT(INDEX($AR$67:$AT$76,,$AI299), INDEX($AU$67:$BA$76,,$AH299), 1 / ($BC$67:$BC$76*CM299 + (1-$BC$67:$BC$76)*CI299), N($AQ$67:$AQ$76&gt;$AO299))
) / 1000</f>
        <v>0</v>
      </c>
      <c r="CO299" s="232">
        <f t="shared" si="263"/>
        <v>25</v>
      </c>
      <c r="CP299" s="230">
        <f t="shared" si="451"/>
        <v>38</v>
      </c>
      <c r="CQ299" s="235">
        <f t="shared" si="452"/>
        <v>4.0666935483870965</v>
      </c>
      <c r="CR299" s="235" cm="1">
        <f t="array" ref="CR299">$BI299 * IF($AH299&lt;=2,
SUMPRODUCT(INDEX($AR$67:$AT$71,,$AI299), INDEX($AU$67:$BA$71,,$AH299), 1 / ($BB$67:$BB$71*CQ299 + (1-$BB$67:$BB$71)*CM299), N($AQ$67:$AQ$71&gt;$AO299)),
SUMPRODUCT(INDEX($AR$57:$AT$66,,$AI299), INDEX($AU$57:$BA$66,,$AH299), 1 / ($BC$57:$BC$66*CQ299 + (1-$BC$57:$BC$66)*CM299), N($AQ$57:$AQ$66&gt;$AO299))
) / 1000</f>
        <v>0</v>
      </c>
      <c r="CS299" s="232">
        <f t="shared" si="266"/>
        <v>20</v>
      </c>
      <c r="CT299" s="230">
        <f t="shared" si="453"/>
        <v>33</v>
      </c>
      <c r="CU299" s="235">
        <f t="shared" si="454"/>
        <v>4.8487499999999999</v>
      </c>
      <c r="CV299" s="235" cm="1">
        <f t="array" ref="CV299">$BI299 * IF($AH299&lt;=2,
SUMPRODUCT(INDEX($AR$62:$AT$66,,$AI299), INDEX($AU$62:$BA$66,,$AH299), 1 / ($BB$62:$BB$66*CU299 + (1-$BB$62:$BB$66)*CQ299), N($AQ$62:$AQ$66&gt;$AO299)),
SUMPRODUCT(INDEX($AR$47:$AT$56,,$AI299), INDEX($AU$47:$BA$56,,$AH299), 1 / ($BC$47:$BC$56*CU299 + (1-$BC$47:$BC$56)*CQ299), N($AQ$47:$AQ$56&gt;$AO299))
) / 1000</f>
        <v>0</v>
      </c>
      <c r="CW299" s="235" cm="1">
        <f t="array" ref="CW299">$BI299 * IF($AH299&lt;=2,
SUMPRODUCT(INDEX($AR$23:$AT$61,,$AI299), INDEX($AU$23:$BA$61,,$AH299), 1 / ($BB$23:$BB$61*CU299), N($AQ$23:$AQ$61&gt;$AO299)),
SUMPRODUCT(INDEX($AR$23:$AT$46,,$AI299), INDEX($AU$23:$BA$46,,$AH299), 1 / ($BC$23:$BC$46*CU299), N($AQ$23:$AQ$46&gt;$AO299))
) / 1000</f>
        <v>0</v>
      </c>
      <c r="CX299" s="230">
        <f t="shared" si="455"/>
        <v>0</v>
      </c>
      <c r="CY299" s="238"/>
    </row>
    <row r="300" spans="1:103" s="76" customFormat="1" ht="14.25" customHeight="1" x14ac:dyDescent="0.2">
      <c r="A300" s="231" t="b">
        <f t="shared" si="229"/>
        <v>0</v>
      </c>
      <c r="B300" s="245">
        <v>278</v>
      </c>
      <c r="C300" s="258"/>
      <c r="D300" s="258"/>
      <c r="E300" s="246"/>
      <c r="F300" s="247" t="str">
        <f>IF(ISBLANK(E300), "", VLOOKUP(E300, Z!$A$2:$C$4127, 3, FALSE))</f>
        <v/>
      </c>
      <c r="G300" s="248"/>
      <c r="H300" s="248"/>
      <c r="I300" s="249"/>
      <c r="J300" s="250"/>
      <c r="K300" s="259"/>
      <c r="L300" s="260"/>
      <c r="M300" s="252" t="str" cm="1">
        <f t="array" ref="M300">INDEX(Trad, 53, $A$20)</f>
        <v>Verschmutzt</v>
      </c>
      <c r="N300" s="253"/>
      <c r="O300" s="253"/>
      <c r="P300" s="254"/>
      <c r="Q300" s="251"/>
      <c r="R300" s="251"/>
      <c r="S300" s="264">
        <f t="shared" si="430"/>
        <v>0</v>
      </c>
      <c r="T300" s="252" t="str" cm="1">
        <f t="array" ref="T300">INDEX(Trad, 52, $A$20)</f>
        <v>Sauber</v>
      </c>
      <c r="U300" s="253"/>
      <c r="V300" s="253"/>
      <c r="W300" s="254"/>
      <c r="X300" s="251"/>
      <c r="Y300" s="251"/>
      <c r="Z300" s="264">
        <f t="shared" si="431"/>
        <v>0</v>
      </c>
      <c r="AA300" s="261"/>
      <c r="AB300" s="258"/>
      <c r="AC300" s="246"/>
      <c r="AD300" s="247" t="str">
        <f>IF(ISBLANK(AC300), "", VLOOKUP(AC300, Z!$A$2:$C$4127, 3, FALSE))</f>
        <v/>
      </c>
      <c r="AE300" s="262"/>
      <c r="AF300" s="263">
        <f t="shared" si="432"/>
        <v>0</v>
      </c>
      <c r="AG300" s="238"/>
      <c r="AH300" s="229">
        <f t="shared" si="456"/>
        <v>1</v>
      </c>
      <c r="AI300" s="229">
        <f t="shared" si="457"/>
        <v>1</v>
      </c>
      <c r="AJ300" s="229">
        <f t="shared" si="458"/>
        <v>0</v>
      </c>
      <c r="AK300" s="229">
        <v>0</v>
      </c>
      <c r="AL300" s="229">
        <v>0</v>
      </c>
      <c r="AM300" s="229">
        <v>1</v>
      </c>
      <c r="AN300" s="229">
        <v>0</v>
      </c>
      <c r="AO300" s="229">
        <f t="shared" si="433"/>
        <v>-100</v>
      </c>
      <c r="AP300" s="238"/>
      <c r="AQ300" s="255"/>
      <c r="AR300" s="255"/>
      <c r="AS300" s="256"/>
      <c r="AT300" s="256"/>
      <c r="AU300" s="256"/>
      <c r="AV300" s="256"/>
      <c r="AW300" s="256"/>
      <c r="AX300" s="256"/>
      <c r="AY300" s="256"/>
      <c r="AZ300" s="256"/>
      <c r="BA300" s="256"/>
      <c r="BB300" s="256"/>
      <c r="BC300" s="256"/>
      <c r="BD300" s="238"/>
      <c r="BE300" s="229" cm="1">
        <f t="array" ref="BE300">IF(ISBLANK(R300), INDEX(Use, $AH300, 4) - AM300*INDEX(Use, $AH300, 6), R300)</f>
        <v>5</v>
      </c>
      <c r="BF300" s="229">
        <f t="shared" si="434"/>
        <v>30</v>
      </c>
      <c r="BG300" s="229">
        <f t="shared" si="241"/>
        <v>13</v>
      </c>
      <c r="BH300" s="229">
        <f t="shared" si="242"/>
        <v>0</v>
      </c>
      <c r="BI300" s="234" cm="1">
        <f t="array" ref="BI300">K300/IF($L300&gt;0, INDEX($AU$23:$BA$77, $L300+20, $AH300), 1)</f>
        <v>0</v>
      </c>
      <c r="BJ300" s="230">
        <f t="shared" si="435"/>
        <v>0</v>
      </c>
      <c r="BK300" s="229">
        <v>35</v>
      </c>
      <c r="BL300" s="230">
        <f t="shared" si="436"/>
        <v>48</v>
      </c>
      <c r="BM300" s="235">
        <f t="shared" si="437"/>
        <v>2.9108720930232557</v>
      </c>
      <c r="BN300" s="235" cm="1">
        <f t="array" ref="BN300">$BI300 * SUMPRODUCT(INDEX($AR$77:$AT$82,,$AI300),INDEX($AU$77:$BA$82,,$AH300), N($AQ$77:$AQ$82&gt;$AO300)) / BM300 / 1000</f>
        <v>0</v>
      </c>
      <c r="BO300" s="232">
        <f t="shared" si="246"/>
        <v>30</v>
      </c>
      <c r="BP300" s="230">
        <f t="shared" si="438"/>
        <v>43</v>
      </c>
      <c r="BQ300" s="235">
        <f t="shared" si="439"/>
        <v>3.2938815789473681</v>
      </c>
      <c r="BR300" s="235" cm="1">
        <f t="array" ref="BR300">$BI300 * IF($AH300&lt;=2,
SUMPRODUCT(INDEX($AR$72:$AT$76,,$AI300), INDEX($AU$72:$BA$76,,$AH300), 1 / ($BB$72:$BB$76*BQ300 + (1-$BB$72:$BB$76)*BM300), N($AQ$72:$AQ$76&gt;$AO300)),
SUMPRODUCT(INDEX($AR$67:$AT$76,,$AI300), INDEX($AU$67:$BA$76,,$AH300), 1 / ($BC$67:$BC$76*BQ300 + (1-$BC$67:$BC$76)*BM300), N($AQ$67:$AQ$76&gt;$AO300))
) / 1000</f>
        <v>0</v>
      </c>
      <c r="BS300" s="232">
        <f t="shared" si="249"/>
        <v>25</v>
      </c>
      <c r="BT300" s="230">
        <f t="shared" si="440"/>
        <v>38</v>
      </c>
      <c r="BU300" s="235">
        <f t="shared" si="441"/>
        <v>3.792954545454545</v>
      </c>
      <c r="BV300" s="235" cm="1">
        <f t="array" ref="BV300">$BI300 * IF($AH300&lt;=2,
SUMPRODUCT(INDEX($AR$67:$AT$71,,$AI300), INDEX($AU$67:$BA$71,,$AH300), 1 / ($BB$67:$BB$71*BU300 + (1-$BB$67:$BB$71)*BQ300), N($AQ$67:$AQ$71&gt;$AO300)),
SUMPRODUCT(INDEX($AR$57:$AT$66,,$AI300), INDEX($AU$57:$BA$66,,$AH300), 1 / ($BC$57:$BC$66*BU300 + (1-$BC$57:$BC$66)*BQ300), N($AQ$57:$AQ$66&gt;$AO300))
) / 1000</f>
        <v>0</v>
      </c>
      <c r="BW300" s="232">
        <f t="shared" si="252"/>
        <v>20</v>
      </c>
      <c r="BX300" s="230">
        <f t="shared" si="442"/>
        <v>33</v>
      </c>
      <c r="BY300" s="235">
        <f t="shared" si="443"/>
        <v>4.4702678571428569</v>
      </c>
      <c r="BZ300" s="235" cm="1">
        <f t="array" ref="BZ300">$BI300 * IF($AH300&lt;=2,
SUMPRODUCT(INDEX($AR$62:$AT$66,,$AI300), INDEX($AU$62:$BA$66,,$AH300), 1 / ($BB$62:$BB$66*BY300 + (1-$BB$62:$BB$66)*BU300), N($AQ$62:$AQ$66&gt;$AO300)),
SUMPRODUCT(INDEX($AR$47:$AT$56,,$AI300), INDEX($AU$47:$BA$56,,$AH300), 1 / ($BC$47:$BC$56*BY300 + (1-$BC$47:$BC$56)*BU300), N($AQ$47:$AQ$56&gt;$AO300))
) / 1000</f>
        <v>0</v>
      </c>
      <c r="CA300" s="235" cm="1">
        <f t="array" ref="CA300">$BI300 * IF($AH300&lt;=2,
SUMPRODUCT(INDEX($AR$23:$AT$61,,$AI300), INDEX($AU$23:$BA$61,,$AH300), 1 / ($BB$23:$BB$61*BY300), N($AQ$23:$AQ$61&gt;$AO300)),
SUMPRODUCT(INDEX($AR$23:$AT$46,,$AI300), INDEX($AU$23:$BA$46,,$AH300), 1 / ($BC$23:$BC$46*BY300), N($AQ$23:$AQ$46&gt;$AO300))
) / 1000</f>
        <v>0</v>
      </c>
      <c r="CB300" s="230">
        <f t="shared" si="444"/>
        <v>0</v>
      </c>
      <c r="CC300" s="238"/>
      <c r="CD300" s="229" cm="1">
        <f t="array" ref="CD300">IF(ISBLANK(Y300), INDEX(Use, $AH300, 4) - AN300*INDEX(Use, $AH300, 6) - (Q300-X300), Y300)</f>
        <v>7</v>
      </c>
      <c r="CE300" s="229">
        <f t="shared" si="445"/>
        <v>32</v>
      </c>
      <c r="CF300" s="230">
        <f t="shared" si="446"/>
        <v>0</v>
      </c>
      <c r="CG300" s="229">
        <v>35</v>
      </c>
      <c r="CH300" s="230">
        <f t="shared" si="447"/>
        <v>48</v>
      </c>
      <c r="CI300" s="235">
        <f t="shared" si="448"/>
        <v>3.0748170731707316</v>
      </c>
      <c r="CJ300" s="235" cm="1">
        <f t="array" ref="CJ300">$BI300 * SUMPRODUCT(INDEX($AR$77:$AT$82,,$AI300),INDEX($AU$77:$BA$82,,$AH300), N($AQ$77:$AQ$82&gt;$AO300)) / CI300 / 1000</f>
        <v>0</v>
      </c>
      <c r="CK300" s="232">
        <f t="shared" si="260"/>
        <v>30</v>
      </c>
      <c r="CL300" s="230">
        <f t="shared" si="449"/>
        <v>43</v>
      </c>
      <c r="CM300" s="235">
        <f t="shared" si="450"/>
        <v>3.5018750000000001</v>
      </c>
      <c r="CN300" s="235" cm="1">
        <f t="array" ref="CN300">$BI300 * IF($AH300&lt;=2,
SUMPRODUCT(INDEX($AR$72:$AT$76,,$AI300), INDEX($AU$72:$BA$76,,$AH300), 1 / ($BB$72:$BB$76*CM300 + (1-$BB$72:$BB$76)*CI300), N($AQ$72:$AQ$76&gt;$AO300)),
SUMPRODUCT(INDEX($AR$67:$AT$76,,$AI300), INDEX($AU$67:$BA$76,,$AH300), 1 / ($BC$67:$BC$76*CM300 + (1-$BC$67:$BC$76)*CI300), N($AQ$67:$AQ$76&gt;$AO300))
) / 1000</f>
        <v>0</v>
      </c>
      <c r="CO300" s="232">
        <f t="shared" si="263"/>
        <v>25</v>
      </c>
      <c r="CP300" s="230">
        <f t="shared" si="451"/>
        <v>38</v>
      </c>
      <c r="CQ300" s="235">
        <f t="shared" si="452"/>
        <v>4.0666935483870965</v>
      </c>
      <c r="CR300" s="235" cm="1">
        <f t="array" ref="CR300">$BI300 * IF($AH300&lt;=2,
SUMPRODUCT(INDEX($AR$67:$AT$71,,$AI300), INDEX($AU$67:$BA$71,,$AH300), 1 / ($BB$67:$BB$71*CQ300 + (1-$BB$67:$BB$71)*CM300), N($AQ$67:$AQ$71&gt;$AO300)),
SUMPRODUCT(INDEX($AR$57:$AT$66,,$AI300), INDEX($AU$57:$BA$66,,$AH300), 1 / ($BC$57:$BC$66*CQ300 + (1-$BC$57:$BC$66)*CM300), N($AQ$57:$AQ$66&gt;$AO300))
) / 1000</f>
        <v>0</v>
      </c>
      <c r="CS300" s="232">
        <f t="shared" si="266"/>
        <v>20</v>
      </c>
      <c r="CT300" s="230">
        <f t="shared" si="453"/>
        <v>33</v>
      </c>
      <c r="CU300" s="235">
        <f t="shared" si="454"/>
        <v>4.8487499999999999</v>
      </c>
      <c r="CV300" s="235" cm="1">
        <f t="array" ref="CV300">$BI300 * IF($AH300&lt;=2,
SUMPRODUCT(INDEX($AR$62:$AT$66,,$AI300), INDEX($AU$62:$BA$66,,$AH300), 1 / ($BB$62:$BB$66*CU300 + (1-$BB$62:$BB$66)*CQ300), N($AQ$62:$AQ$66&gt;$AO300)),
SUMPRODUCT(INDEX($AR$47:$AT$56,,$AI300), INDEX($AU$47:$BA$56,,$AH300), 1 / ($BC$47:$BC$56*CU300 + (1-$BC$47:$BC$56)*CQ300), N($AQ$47:$AQ$56&gt;$AO300))
) / 1000</f>
        <v>0</v>
      </c>
      <c r="CW300" s="235" cm="1">
        <f t="array" ref="CW300">$BI300 * IF($AH300&lt;=2,
SUMPRODUCT(INDEX($AR$23:$AT$61,,$AI300), INDEX($AU$23:$BA$61,,$AH300), 1 / ($BB$23:$BB$61*CU300), N($AQ$23:$AQ$61&gt;$AO300)),
SUMPRODUCT(INDEX($AR$23:$AT$46,,$AI300), INDEX($AU$23:$BA$46,,$AH300), 1 / ($BC$23:$BC$46*CU300), N($AQ$23:$AQ$46&gt;$AO300))
) / 1000</f>
        <v>0</v>
      </c>
      <c r="CX300" s="230">
        <f t="shared" si="455"/>
        <v>0</v>
      </c>
      <c r="CY300" s="238"/>
    </row>
    <row r="301" spans="1:103" s="76" customFormat="1" ht="14.25" customHeight="1" x14ac:dyDescent="0.2">
      <c r="A301" s="231" t="b">
        <f t="shared" si="229"/>
        <v>0</v>
      </c>
      <c r="B301" s="245">
        <v>279</v>
      </c>
      <c r="C301" s="258"/>
      <c r="D301" s="258"/>
      <c r="E301" s="246"/>
      <c r="F301" s="247" t="str">
        <f>IF(ISBLANK(E301), "", VLOOKUP(E301, Z!$A$2:$C$4127, 3, FALSE))</f>
        <v/>
      </c>
      <c r="G301" s="248"/>
      <c r="H301" s="248"/>
      <c r="I301" s="249"/>
      <c r="J301" s="250"/>
      <c r="K301" s="259"/>
      <c r="L301" s="260"/>
      <c r="M301" s="252" t="str" cm="1">
        <f t="array" ref="M301">INDEX(Trad, 53, $A$20)</f>
        <v>Verschmutzt</v>
      </c>
      <c r="N301" s="253"/>
      <c r="O301" s="253"/>
      <c r="P301" s="254"/>
      <c r="Q301" s="251"/>
      <c r="R301" s="251"/>
      <c r="S301" s="264">
        <f t="shared" si="430"/>
        <v>0</v>
      </c>
      <c r="T301" s="252" t="str" cm="1">
        <f t="array" ref="T301">INDEX(Trad, 52, $A$20)</f>
        <v>Sauber</v>
      </c>
      <c r="U301" s="253"/>
      <c r="V301" s="253"/>
      <c r="W301" s="254"/>
      <c r="X301" s="251"/>
      <c r="Y301" s="251"/>
      <c r="Z301" s="264">
        <f t="shared" si="431"/>
        <v>0</v>
      </c>
      <c r="AA301" s="261"/>
      <c r="AB301" s="258"/>
      <c r="AC301" s="246"/>
      <c r="AD301" s="247" t="str">
        <f>IF(ISBLANK(AC301), "", VLOOKUP(AC301, Z!$A$2:$C$4127, 3, FALSE))</f>
        <v/>
      </c>
      <c r="AE301" s="262"/>
      <c r="AF301" s="263">
        <f t="shared" si="432"/>
        <v>0</v>
      </c>
      <c r="AG301" s="238"/>
      <c r="AH301" s="229">
        <f t="shared" si="456"/>
        <v>1</v>
      </c>
      <c r="AI301" s="229">
        <f t="shared" si="457"/>
        <v>1</v>
      </c>
      <c r="AJ301" s="229">
        <f t="shared" si="458"/>
        <v>0</v>
      </c>
      <c r="AK301" s="229">
        <v>0</v>
      </c>
      <c r="AL301" s="229">
        <v>0</v>
      </c>
      <c r="AM301" s="229">
        <v>1</v>
      </c>
      <c r="AN301" s="229">
        <v>0</v>
      </c>
      <c r="AO301" s="229">
        <f t="shared" si="433"/>
        <v>-100</v>
      </c>
      <c r="AP301" s="238"/>
      <c r="AQ301" s="255"/>
      <c r="AR301" s="255"/>
      <c r="AS301" s="256"/>
      <c r="AT301" s="256"/>
      <c r="AU301" s="256"/>
      <c r="AV301" s="256"/>
      <c r="AW301" s="256"/>
      <c r="AX301" s="256"/>
      <c r="AY301" s="256"/>
      <c r="AZ301" s="256"/>
      <c r="BA301" s="256"/>
      <c r="BB301" s="256"/>
      <c r="BC301" s="256"/>
      <c r="BD301" s="238"/>
      <c r="BE301" s="229" cm="1">
        <f t="array" ref="BE301">IF(ISBLANK(R301), INDEX(Use, $AH301, 4) - AM301*INDEX(Use, $AH301, 6), R301)</f>
        <v>5</v>
      </c>
      <c r="BF301" s="229">
        <f t="shared" si="434"/>
        <v>30</v>
      </c>
      <c r="BG301" s="229">
        <f t="shared" si="241"/>
        <v>13</v>
      </c>
      <c r="BH301" s="229">
        <f t="shared" si="242"/>
        <v>0</v>
      </c>
      <c r="BI301" s="234" cm="1">
        <f t="array" ref="BI301">K301/IF($L301&gt;0, INDEX($AU$23:$BA$77, $L301+20, $AH301), 1)</f>
        <v>0</v>
      </c>
      <c r="BJ301" s="230">
        <f t="shared" si="435"/>
        <v>0</v>
      </c>
      <c r="BK301" s="229">
        <v>35</v>
      </c>
      <c r="BL301" s="230">
        <f t="shared" si="436"/>
        <v>48</v>
      </c>
      <c r="BM301" s="235">
        <f t="shared" si="437"/>
        <v>2.9108720930232557</v>
      </c>
      <c r="BN301" s="235" cm="1">
        <f t="array" ref="BN301">$BI301 * SUMPRODUCT(INDEX($AR$77:$AT$82,,$AI301),INDEX($AU$77:$BA$82,,$AH301), N($AQ$77:$AQ$82&gt;$AO301)) / BM301 / 1000</f>
        <v>0</v>
      </c>
      <c r="BO301" s="232">
        <f t="shared" si="246"/>
        <v>30</v>
      </c>
      <c r="BP301" s="230">
        <f t="shared" si="438"/>
        <v>43</v>
      </c>
      <c r="BQ301" s="235">
        <f t="shared" si="439"/>
        <v>3.2938815789473681</v>
      </c>
      <c r="BR301" s="235" cm="1">
        <f t="array" ref="BR301">$BI301 * IF($AH301&lt;=2,
SUMPRODUCT(INDEX($AR$72:$AT$76,,$AI301), INDEX($AU$72:$BA$76,,$AH301), 1 / ($BB$72:$BB$76*BQ301 + (1-$BB$72:$BB$76)*BM301), N($AQ$72:$AQ$76&gt;$AO301)),
SUMPRODUCT(INDEX($AR$67:$AT$76,,$AI301), INDEX($AU$67:$BA$76,,$AH301), 1 / ($BC$67:$BC$76*BQ301 + (1-$BC$67:$BC$76)*BM301), N($AQ$67:$AQ$76&gt;$AO301))
) / 1000</f>
        <v>0</v>
      </c>
      <c r="BS301" s="232">
        <f t="shared" si="249"/>
        <v>25</v>
      </c>
      <c r="BT301" s="230">
        <f t="shared" si="440"/>
        <v>38</v>
      </c>
      <c r="BU301" s="235">
        <f t="shared" si="441"/>
        <v>3.792954545454545</v>
      </c>
      <c r="BV301" s="235" cm="1">
        <f t="array" ref="BV301">$BI301 * IF($AH301&lt;=2,
SUMPRODUCT(INDEX($AR$67:$AT$71,,$AI301), INDEX($AU$67:$BA$71,,$AH301), 1 / ($BB$67:$BB$71*BU301 + (1-$BB$67:$BB$71)*BQ301), N($AQ$67:$AQ$71&gt;$AO301)),
SUMPRODUCT(INDEX($AR$57:$AT$66,,$AI301), INDEX($AU$57:$BA$66,,$AH301), 1 / ($BC$57:$BC$66*BU301 + (1-$BC$57:$BC$66)*BQ301), N($AQ$57:$AQ$66&gt;$AO301))
) / 1000</f>
        <v>0</v>
      </c>
      <c r="BW301" s="232">
        <f t="shared" si="252"/>
        <v>20</v>
      </c>
      <c r="BX301" s="230">
        <f t="shared" si="442"/>
        <v>33</v>
      </c>
      <c r="BY301" s="235">
        <f t="shared" si="443"/>
        <v>4.4702678571428569</v>
      </c>
      <c r="BZ301" s="235" cm="1">
        <f t="array" ref="BZ301">$BI301 * IF($AH301&lt;=2,
SUMPRODUCT(INDEX($AR$62:$AT$66,,$AI301), INDEX($AU$62:$BA$66,,$AH301), 1 / ($BB$62:$BB$66*BY301 + (1-$BB$62:$BB$66)*BU301), N($AQ$62:$AQ$66&gt;$AO301)),
SUMPRODUCT(INDEX($AR$47:$AT$56,,$AI301), INDEX($AU$47:$BA$56,,$AH301), 1 / ($BC$47:$BC$56*BY301 + (1-$BC$47:$BC$56)*BU301), N($AQ$47:$AQ$56&gt;$AO301))
) / 1000</f>
        <v>0</v>
      </c>
      <c r="CA301" s="235" cm="1">
        <f t="array" ref="CA301">$BI301 * IF($AH301&lt;=2,
SUMPRODUCT(INDEX($AR$23:$AT$61,,$AI301), INDEX($AU$23:$BA$61,,$AH301), 1 / ($BB$23:$BB$61*BY301), N($AQ$23:$AQ$61&gt;$AO301)),
SUMPRODUCT(INDEX($AR$23:$AT$46,,$AI301), INDEX($AU$23:$BA$46,,$AH301), 1 / ($BC$23:$BC$46*BY301), N($AQ$23:$AQ$46&gt;$AO301))
) / 1000</f>
        <v>0</v>
      </c>
      <c r="CB301" s="230">
        <f t="shared" si="444"/>
        <v>0</v>
      </c>
      <c r="CC301" s="238"/>
      <c r="CD301" s="229" cm="1">
        <f t="array" ref="CD301">IF(ISBLANK(Y301), INDEX(Use, $AH301, 4) - AN301*INDEX(Use, $AH301, 6) - (Q301-X301), Y301)</f>
        <v>7</v>
      </c>
      <c r="CE301" s="229">
        <f t="shared" si="445"/>
        <v>32</v>
      </c>
      <c r="CF301" s="230">
        <f t="shared" si="446"/>
        <v>0</v>
      </c>
      <c r="CG301" s="229">
        <v>35</v>
      </c>
      <c r="CH301" s="230">
        <f t="shared" si="447"/>
        <v>48</v>
      </c>
      <c r="CI301" s="235">
        <f t="shared" si="448"/>
        <v>3.0748170731707316</v>
      </c>
      <c r="CJ301" s="235" cm="1">
        <f t="array" ref="CJ301">$BI301 * SUMPRODUCT(INDEX($AR$77:$AT$82,,$AI301),INDEX($AU$77:$BA$82,,$AH301), N($AQ$77:$AQ$82&gt;$AO301)) / CI301 / 1000</f>
        <v>0</v>
      </c>
      <c r="CK301" s="232">
        <f t="shared" si="260"/>
        <v>30</v>
      </c>
      <c r="CL301" s="230">
        <f t="shared" si="449"/>
        <v>43</v>
      </c>
      <c r="CM301" s="235">
        <f t="shared" si="450"/>
        <v>3.5018750000000001</v>
      </c>
      <c r="CN301" s="235" cm="1">
        <f t="array" ref="CN301">$BI301 * IF($AH301&lt;=2,
SUMPRODUCT(INDEX($AR$72:$AT$76,,$AI301), INDEX($AU$72:$BA$76,,$AH301), 1 / ($BB$72:$BB$76*CM301 + (1-$BB$72:$BB$76)*CI301), N($AQ$72:$AQ$76&gt;$AO301)),
SUMPRODUCT(INDEX($AR$67:$AT$76,,$AI301), INDEX($AU$67:$BA$76,,$AH301), 1 / ($BC$67:$BC$76*CM301 + (1-$BC$67:$BC$76)*CI301), N($AQ$67:$AQ$76&gt;$AO301))
) / 1000</f>
        <v>0</v>
      </c>
      <c r="CO301" s="232">
        <f t="shared" si="263"/>
        <v>25</v>
      </c>
      <c r="CP301" s="230">
        <f t="shared" si="451"/>
        <v>38</v>
      </c>
      <c r="CQ301" s="235">
        <f t="shared" si="452"/>
        <v>4.0666935483870965</v>
      </c>
      <c r="CR301" s="235" cm="1">
        <f t="array" ref="CR301">$BI301 * IF($AH301&lt;=2,
SUMPRODUCT(INDEX($AR$67:$AT$71,,$AI301), INDEX($AU$67:$BA$71,,$AH301), 1 / ($BB$67:$BB$71*CQ301 + (1-$BB$67:$BB$71)*CM301), N($AQ$67:$AQ$71&gt;$AO301)),
SUMPRODUCT(INDEX($AR$57:$AT$66,,$AI301), INDEX($AU$57:$BA$66,,$AH301), 1 / ($BC$57:$BC$66*CQ301 + (1-$BC$57:$BC$66)*CM301), N($AQ$57:$AQ$66&gt;$AO301))
) / 1000</f>
        <v>0</v>
      </c>
      <c r="CS301" s="232">
        <f t="shared" si="266"/>
        <v>20</v>
      </c>
      <c r="CT301" s="230">
        <f t="shared" si="453"/>
        <v>33</v>
      </c>
      <c r="CU301" s="235">
        <f t="shared" si="454"/>
        <v>4.8487499999999999</v>
      </c>
      <c r="CV301" s="235" cm="1">
        <f t="array" ref="CV301">$BI301 * IF($AH301&lt;=2,
SUMPRODUCT(INDEX($AR$62:$AT$66,,$AI301), INDEX($AU$62:$BA$66,,$AH301), 1 / ($BB$62:$BB$66*CU301 + (1-$BB$62:$BB$66)*CQ301), N($AQ$62:$AQ$66&gt;$AO301)),
SUMPRODUCT(INDEX($AR$47:$AT$56,,$AI301), INDEX($AU$47:$BA$56,,$AH301), 1 / ($BC$47:$BC$56*CU301 + (1-$BC$47:$BC$56)*CQ301), N($AQ$47:$AQ$56&gt;$AO301))
) / 1000</f>
        <v>0</v>
      </c>
      <c r="CW301" s="235" cm="1">
        <f t="array" ref="CW301">$BI301 * IF($AH301&lt;=2,
SUMPRODUCT(INDEX($AR$23:$AT$61,,$AI301), INDEX($AU$23:$BA$61,,$AH301), 1 / ($BB$23:$BB$61*CU301), N($AQ$23:$AQ$61&gt;$AO301)),
SUMPRODUCT(INDEX($AR$23:$AT$46,,$AI301), INDEX($AU$23:$BA$46,,$AH301), 1 / ($BC$23:$BC$46*CU301), N($AQ$23:$AQ$46&gt;$AO301))
) / 1000</f>
        <v>0</v>
      </c>
      <c r="CX301" s="230">
        <f t="shared" si="455"/>
        <v>0</v>
      </c>
      <c r="CY301" s="238"/>
    </row>
    <row r="302" spans="1:103" s="76" customFormat="1" ht="14.25" customHeight="1" x14ac:dyDescent="0.2">
      <c r="A302" s="231" t="b">
        <f t="shared" si="229"/>
        <v>0</v>
      </c>
      <c r="B302" s="245">
        <v>280</v>
      </c>
      <c r="C302" s="258"/>
      <c r="D302" s="258"/>
      <c r="E302" s="246"/>
      <c r="F302" s="247" t="str">
        <f>IF(ISBLANK(E302), "", VLOOKUP(E302, Z!$A$2:$C$4127, 3, FALSE))</f>
        <v/>
      </c>
      <c r="G302" s="248"/>
      <c r="H302" s="248"/>
      <c r="I302" s="249"/>
      <c r="J302" s="250"/>
      <c r="K302" s="259"/>
      <c r="L302" s="260"/>
      <c r="M302" s="252" t="str" cm="1">
        <f t="array" ref="M302">INDEX(Trad, 53, $A$20)</f>
        <v>Verschmutzt</v>
      </c>
      <c r="N302" s="253"/>
      <c r="O302" s="253"/>
      <c r="P302" s="254"/>
      <c r="Q302" s="251"/>
      <c r="R302" s="251"/>
      <c r="S302" s="264">
        <f t="shared" si="430"/>
        <v>0</v>
      </c>
      <c r="T302" s="252" t="str" cm="1">
        <f t="array" ref="T302">INDEX(Trad, 52, $A$20)</f>
        <v>Sauber</v>
      </c>
      <c r="U302" s="253"/>
      <c r="V302" s="253"/>
      <c r="W302" s="254"/>
      <c r="X302" s="251"/>
      <c r="Y302" s="251"/>
      <c r="Z302" s="264">
        <f t="shared" si="431"/>
        <v>0</v>
      </c>
      <c r="AA302" s="261"/>
      <c r="AB302" s="258"/>
      <c r="AC302" s="246"/>
      <c r="AD302" s="247" t="str">
        <f>IF(ISBLANK(AC302), "", VLOOKUP(AC302, Z!$A$2:$C$4127, 3, FALSE))</f>
        <v/>
      </c>
      <c r="AE302" s="262"/>
      <c r="AF302" s="263">
        <f t="shared" si="432"/>
        <v>0</v>
      </c>
      <c r="AG302" s="238"/>
      <c r="AH302" s="229">
        <f t="shared" si="456"/>
        <v>1</v>
      </c>
      <c r="AI302" s="229">
        <f t="shared" si="457"/>
        <v>1</v>
      </c>
      <c r="AJ302" s="229">
        <f t="shared" si="458"/>
        <v>0</v>
      </c>
      <c r="AK302" s="229">
        <v>0</v>
      </c>
      <c r="AL302" s="229">
        <v>0</v>
      </c>
      <c r="AM302" s="229">
        <v>1</v>
      </c>
      <c r="AN302" s="229">
        <v>0</v>
      </c>
      <c r="AO302" s="229">
        <f t="shared" si="433"/>
        <v>-100</v>
      </c>
      <c r="AP302" s="238"/>
      <c r="AQ302" s="255"/>
      <c r="AR302" s="255"/>
      <c r="AS302" s="256"/>
      <c r="AT302" s="256"/>
      <c r="AU302" s="256"/>
      <c r="AV302" s="256"/>
      <c r="AW302" s="256"/>
      <c r="AX302" s="256"/>
      <c r="AY302" s="256"/>
      <c r="AZ302" s="256"/>
      <c r="BA302" s="256"/>
      <c r="BB302" s="256"/>
      <c r="BC302" s="256"/>
      <c r="BD302" s="238"/>
      <c r="BE302" s="229" cm="1">
        <f t="array" ref="BE302">IF(ISBLANK(R302), INDEX(Use, $AH302, 4) - AM302*INDEX(Use, $AH302, 6), R302)</f>
        <v>5</v>
      </c>
      <c r="BF302" s="229">
        <f t="shared" si="434"/>
        <v>30</v>
      </c>
      <c r="BG302" s="229">
        <f t="shared" si="241"/>
        <v>13</v>
      </c>
      <c r="BH302" s="229">
        <f t="shared" si="242"/>
        <v>0</v>
      </c>
      <c r="BI302" s="234" cm="1">
        <f t="array" ref="BI302">K302/IF($L302&gt;0, INDEX($AU$23:$BA$77, $L302+20, $AH302), 1)</f>
        <v>0</v>
      </c>
      <c r="BJ302" s="230">
        <f t="shared" si="435"/>
        <v>0</v>
      </c>
      <c r="BK302" s="229">
        <v>35</v>
      </c>
      <c r="BL302" s="230">
        <f t="shared" si="436"/>
        <v>48</v>
      </c>
      <c r="BM302" s="235">
        <f t="shared" si="437"/>
        <v>2.9108720930232557</v>
      </c>
      <c r="BN302" s="235" cm="1">
        <f t="array" ref="BN302">$BI302 * SUMPRODUCT(INDEX($AR$77:$AT$82,,$AI302),INDEX($AU$77:$BA$82,,$AH302), N($AQ$77:$AQ$82&gt;$AO302)) / BM302 / 1000</f>
        <v>0</v>
      </c>
      <c r="BO302" s="232">
        <f t="shared" si="246"/>
        <v>30</v>
      </c>
      <c r="BP302" s="230">
        <f t="shared" si="438"/>
        <v>43</v>
      </c>
      <c r="BQ302" s="235">
        <f t="shared" si="439"/>
        <v>3.2938815789473681</v>
      </c>
      <c r="BR302" s="235" cm="1">
        <f t="array" ref="BR302">$BI302 * IF($AH302&lt;=2,
SUMPRODUCT(INDEX($AR$72:$AT$76,,$AI302), INDEX($AU$72:$BA$76,,$AH302), 1 / ($BB$72:$BB$76*BQ302 + (1-$BB$72:$BB$76)*BM302), N($AQ$72:$AQ$76&gt;$AO302)),
SUMPRODUCT(INDEX($AR$67:$AT$76,,$AI302), INDEX($AU$67:$BA$76,,$AH302), 1 / ($BC$67:$BC$76*BQ302 + (1-$BC$67:$BC$76)*BM302), N($AQ$67:$AQ$76&gt;$AO302))
) / 1000</f>
        <v>0</v>
      </c>
      <c r="BS302" s="232">
        <f t="shared" si="249"/>
        <v>25</v>
      </c>
      <c r="BT302" s="230">
        <f t="shared" si="440"/>
        <v>38</v>
      </c>
      <c r="BU302" s="235">
        <f t="shared" si="441"/>
        <v>3.792954545454545</v>
      </c>
      <c r="BV302" s="235" cm="1">
        <f t="array" ref="BV302">$BI302 * IF($AH302&lt;=2,
SUMPRODUCT(INDEX($AR$67:$AT$71,,$AI302), INDEX($AU$67:$BA$71,,$AH302), 1 / ($BB$67:$BB$71*BU302 + (1-$BB$67:$BB$71)*BQ302), N($AQ$67:$AQ$71&gt;$AO302)),
SUMPRODUCT(INDEX($AR$57:$AT$66,,$AI302), INDEX($AU$57:$BA$66,,$AH302), 1 / ($BC$57:$BC$66*BU302 + (1-$BC$57:$BC$66)*BQ302), N($AQ$57:$AQ$66&gt;$AO302))
) / 1000</f>
        <v>0</v>
      </c>
      <c r="BW302" s="232">
        <f t="shared" si="252"/>
        <v>20</v>
      </c>
      <c r="BX302" s="230">
        <f t="shared" si="442"/>
        <v>33</v>
      </c>
      <c r="BY302" s="235">
        <f t="shared" si="443"/>
        <v>4.4702678571428569</v>
      </c>
      <c r="BZ302" s="235" cm="1">
        <f t="array" ref="BZ302">$BI302 * IF($AH302&lt;=2,
SUMPRODUCT(INDEX($AR$62:$AT$66,,$AI302), INDEX($AU$62:$BA$66,,$AH302), 1 / ($BB$62:$BB$66*BY302 + (1-$BB$62:$BB$66)*BU302), N($AQ$62:$AQ$66&gt;$AO302)),
SUMPRODUCT(INDEX($AR$47:$AT$56,,$AI302), INDEX($AU$47:$BA$56,,$AH302), 1 / ($BC$47:$BC$56*BY302 + (1-$BC$47:$BC$56)*BU302), N($AQ$47:$AQ$56&gt;$AO302))
) / 1000</f>
        <v>0</v>
      </c>
      <c r="CA302" s="235" cm="1">
        <f t="array" ref="CA302">$BI302 * IF($AH302&lt;=2,
SUMPRODUCT(INDEX($AR$23:$AT$61,,$AI302), INDEX($AU$23:$BA$61,,$AH302), 1 / ($BB$23:$BB$61*BY302), N($AQ$23:$AQ$61&gt;$AO302)),
SUMPRODUCT(INDEX($AR$23:$AT$46,,$AI302), INDEX($AU$23:$BA$46,,$AH302), 1 / ($BC$23:$BC$46*BY302), N($AQ$23:$AQ$46&gt;$AO302))
) / 1000</f>
        <v>0</v>
      </c>
      <c r="CB302" s="230">
        <f t="shared" si="444"/>
        <v>0</v>
      </c>
      <c r="CC302" s="238"/>
      <c r="CD302" s="229" cm="1">
        <f t="array" ref="CD302">IF(ISBLANK(Y302), INDEX(Use, $AH302, 4) - AN302*INDEX(Use, $AH302, 6) - (Q302-X302), Y302)</f>
        <v>7</v>
      </c>
      <c r="CE302" s="229">
        <f t="shared" si="445"/>
        <v>32</v>
      </c>
      <c r="CF302" s="230">
        <f t="shared" si="446"/>
        <v>0</v>
      </c>
      <c r="CG302" s="229">
        <v>35</v>
      </c>
      <c r="CH302" s="230">
        <f t="shared" si="447"/>
        <v>48</v>
      </c>
      <c r="CI302" s="235">
        <f t="shared" si="448"/>
        <v>3.0748170731707316</v>
      </c>
      <c r="CJ302" s="235" cm="1">
        <f t="array" ref="CJ302">$BI302 * SUMPRODUCT(INDEX($AR$77:$AT$82,,$AI302),INDEX($AU$77:$BA$82,,$AH302), N($AQ$77:$AQ$82&gt;$AO302)) / CI302 / 1000</f>
        <v>0</v>
      </c>
      <c r="CK302" s="232">
        <f t="shared" si="260"/>
        <v>30</v>
      </c>
      <c r="CL302" s="230">
        <f t="shared" si="449"/>
        <v>43</v>
      </c>
      <c r="CM302" s="235">
        <f t="shared" si="450"/>
        <v>3.5018750000000001</v>
      </c>
      <c r="CN302" s="235" cm="1">
        <f t="array" ref="CN302">$BI302 * IF($AH302&lt;=2,
SUMPRODUCT(INDEX($AR$72:$AT$76,,$AI302), INDEX($AU$72:$BA$76,,$AH302), 1 / ($BB$72:$BB$76*CM302 + (1-$BB$72:$BB$76)*CI302), N($AQ$72:$AQ$76&gt;$AO302)),
SUMPRODUCT(INDEX($AR$67:$AT$76,,$AI302), INDEX($AU$67:$BA$76,,$AH302), 1 / ($BC$67:$BC$76*CM302 + (1-$BC$67:$BC$76)*CI302), N($AQ$67:$AQ$76&gt;$AO302))
) / 1000</f>
        <v>0</v>
      </c>
      <c r="CO302" s="232">
        <f t="shared" si="263"/>
        <v>25</v>
      </c>
      <c r="CP302" s="230">
        <f t="shared" si="451"/>
        <v>38</v>
      </c>
      <c r="CQ302" s="235">
        <f t="shared" si="452"/>
        <v>4.0666935483870965</v>
      </c>
      <c r="CR302" s="235" cm="1">
        <f t="array" ref="CR302">$BI302 * IF($AH302&lt;=2,
SUMPRODUCT(INDEX($AR$67:$AT$71,,$AI302), INDEX($AU$67:$BA$71,,$AH302), 1 / ($BB$67:$BB$71*CQ302 + (1-$BB$67:$BB$71)*CM302), N($AQ$67:$AQ$71&gt;$AO302)),
SUMPRODUCT(INDEX($AR$57:$AT$66,,$AI302), INDEX($AU$57:$BA$66,,$AH302), 1 / ($BC$57:$BC$66*CQ302 + (1-$BC$57:$BC$66)*CM302), N($AQ$57:$AQ$66&gt;$AO302))
) / 1000</f>
        <v>0</v>
      </c>
      <c r="CS302" s="232">
        <f t="shared" si="266"/>
        <v>20</v>
      </c>
      <c r="CT302" s="230">
        <f t="shared" si="453"/>
        <v>33</v>
      </c>
      <c r="CU302" s="235">
        <f t="shared" si="454"/>
        <v>4.8487499999999999</v>
      </c>
      <c r="CV302" s="235" cm="1">
        <f t="array" ref="CV302">$BI302 * IF($AH302&lt;=2,
SUMPRODUCT(INDEX($AR$62:$AT$66,,$AI302), INDEX($AU$62:$BA$66,,$AH302), 1 / ($BB$62:$BB$66*CU302 + (1-$BB$62:$BB$66)*CQ302), N($AQ$62:$AQ$66&gt;$AO302)),
SUMPRODUCT(INDEX($AR$47:$AT$56,,$AI302), INDEX($AU$47:$BA$56,,$AH302), 1 / ($BC$47:$BC$56*CU302 + (1-$BC$47:$BC$56)*CQ302), N($AQ$47:$AQ$56&gt;$AO302))
) / 1000</f>
        <v>0</v>
      </c>
      <c r="CW302" s="235" cm="1">
        <f t="array" ref="CW302">$BI302 * IF($AH302&lt;=2,
SUMPRODUCT(INDEX($AR$23:$AT$61,,$AI302), INDEX($AU$23:$BA$61,,$AH302), 1 / ($BB$23:$BB$61*CU302), N($AQ$23:$AQ$61&gt;$AO302)),
SUMPRODUCT(INDEX($AR$23:$AT$46,,$AI302), INDEX($AU$23:$BA$46,,$AH302), 1 / ($BC$23:$BC$46*CU302), N($AQ$23:$AQ$46&gt;$AO302))
) / 1000</f>
        <v>0</v>
      </c>
      <c r="CX302" s="230">
        <f t="shared" si="455"/>
        <v>0</v>
      </c>
      <c r="CY302" s="238"/>
    </row>
    <row r="303" spans="1:103" s="76" customFormat="1" ht="14.25" customHeight="1" x14ac:dyDescent="0.2">
      <c r="A303" s="231" t="b">
        <f t="shared" si="229"/>
        <v>0</v>
      </c>
      <c r="B303" s="245">
        <v>281</v>
      </c>
      <c r="C303" s="258"/>
      <c r="D303" s="258"/>
      <c r="E303" s="246"/>
      <c r="F303" s="247" t="str">
        <f>IF(ISBLANK(E303), "", VLOOKUP(E303, Z!$A$2:$C$4127, 3, FALSE))</f>
        <v/>
      </c>
      <c r="G303" s="248"/>
      <c r="H303" s="248"/>
      <c r="I303" s="249"/>
      <c r="J303" s="250"/>
      <c r="K303" s="259"/>
      <c r="L303" s="260"/>
      <c r="M303" s="252" t="str" cm="1">
        <f t="array" ref="M303">INDEX(Trad, 53, $A$20)</f>
        <v>Verschmutzt</v>
      </c>
      <c r="N303" s="253"/>
      <c r="O303" s="253"/>
      <c r="P303" s="254"/>
      <c r="Q303" s="251"/>
      <c r="R303" s="251"/>
      <c r="S303" s="264">
        <f t="shared" si="430"/>
        <v>0</v>
      </c>
      <c r="T303" s="252" t="str" cm="1">
        <f t="array" ref="T303">INDEX(Trad, 52, $A$20)</f>
        <v>Sauber</v>
      </c>
      <c r="U303" s="253"/>
      <c r="V303" s="253"/>
      <c r="W303" s="254"/>
      <c r="X303" s="251"/>
      <c r="Y303" s="251"/>
      <c r="Z303" s="264">
        <f t="shared" si="431"/>
        <v>0</v>
      </c>
      <c r="AA303" s="261"/>
      <c r="AB303" s="258"/>
      <c r="AC303" s="246"/>
      <c r="AD303" s="247" t="str">
        <f>IF(ISBLANK(AC303), "", VLOOKUP(AC303, Z!$A$2:$C$4127, 3, FALSE))</f>
        <v/>
      </c>
      <c r="AE303" s="262"/>
      <c r="AF303" s="263">
        <f t="shared" si="432"/>
        <v>0</v>
      </c>
      <c r="AG303" s="238"/>
      <c r="AH303" s="229">
        <f t="shared" si="456"/>
        <v>1</v>
      </c>
      <c r="AI303" s="229">
        <f t="shared" si="457"/>
        <v>1</v>
      </c>
      <c r="AJ303" s="229">
        <f t="shared" si="458"/>
        <v>0</v>
      </c>
      <c r="AK303" s="229">
        <v>0</v>
      </c>
      <c r="AL303" s="229">
        <v>0</v>
      </c>
      <c r="AM303" s="229">
        <v>1</v>
      </c>
      <c r="AN303" s="229">
        <v>0</v>
      </c>
      <c r="AO303" s="229">
        <f t="shared" si="433"/>
        <v>-100</v>
      </c>
      <c r="AP303" s="238"/>
      <c r="AQ303" s="255"/>
      <c r="AR303" s="255"/>
      <c r="AS303" s="256"/>
      <c r="AT303" s="256"/>
      <c r="AU303" s="256"/>
      <c r="AV303" s="256"/>
      <c r="AW303" s="256"/>
      <c r="AX303" s="256"/>
      <c r="AY303" s="256"/>
      <c r="AZ303" s="256"/>
      <c r="BA303" s="256"/>
      <c r="BB303" s="256"/>
      <c r="BC303" s="256"/>
      <c r="BD303" s="238"/>
      <c r="BE303" s="229" cm="1">
        <f t="array" ref="BE303">IF(ISBLANK(R303), INDEX(Use, $AH303, 4) - AM303*INDEX(Use, $AH303, 6), R303)</f>
        <v>5</v>
      </c>
      <c r="BF303" s="229">
        <f t="shared" si="434"/>
        <v>30</v>
      </c>
      <c r="BG303" s="229">
        <f t="shared" si="241"/>
        <v>13</v>
      </c>
      <c r="BH303" s="229">
        <f t="shared" si="242"/>
        <v>0</v>
      </c>
      <c r="BI303" s="234" cm="1">
        <f t="array" ref="BI303">K303/IF($L303&gt;0, INDEX($AU$23:$BA$77, $L303+20, $AH303), 1)</f>
        <v>0</v>
      </c>
      <c r="BJ303" s="230">
        <f t="shared" si="435"/>
        <v>0</v>
      </c>
      <c r="BK303" s="229">
        <v>35</v>
      </c>
      <c r="BL303" s="230">
        <f t="shared" si="436"/>
        <v>48</v>
      </c>
      <c r="BM303" s="235">
        <f t="shared" si="437"/>
        <v>2.9108720930232557</v>
      </c>
      <c r="BN303" s="235" cm="1">
        <f t="array" ref="BN303">$BI303 * SUMPRODUCT(INDEX($AR$77:$AT$82,,$AI303),INDEX($AU$77:$BA$82,,$AH303), N($AQ$77:$AQ$82&gt;$AO303)) / BM303 / 1000</f>
        <v>0</v>
      </c>
      <c r="BO303" s="232">
        <f t="shared" si="246"/>
        <v>30</v>
      </c>
      <c r="BP303" s="230">
        <f t="shared" si="438"/>
        <v>43</v>
      </c>
      <c r="BQ303" s="235">
        <f t="shared" si="439"/>
        <v>3.2938815789473681</v>
      </c>
      <c r="BR303" s="235" cm="1">
        <f t="array" ref="BR303">$BI303 * IF($AH303&lt;=2,
SUMPRODUCT(INDEX($AR$72:$AT$76,,$AI303), INDEX($AU$72:$BA$76,,$AH303), 1 / ($BB$72:$BB$76*BQ303 + (1-$BB$72:$BB$76)*BM303), N($AQ$72:$AQ$76&gt;$AO303)),
SUMPRODUCT(INDEX($AR$67:$AT$76,,$AI303), INDEX($AU$67:$BA$76,,$AH303), 1 / ($BC$67:$BC$76*BQ303 + (1-$BC$67:$BC$76)*BM303), N($AQ$67:$AQ$76&gt;$AO303))
) / 1000</f>
        <v>0</v>
      </c>
      <c r="BS303" s="232">
        <f t="shared" si="249"/>
        <v>25</v>
      </c>
      <c r="BT303" s="230">
        <f t="shared" si="440"/>
        <v>38</v>
      </c>
      <c r="BU303" s="235">
        <f t="shared" si="441"/>
        <v>3.792954545454545</v>
      </c>
      <c r="BV303" s="235" cm="1">
        <f t="array" ref="BV303">$BI303 * IF($AH303&lt;=2,
SUMPRODUCT(INDEX($AR$67:$AT$71,,$AI303), INDEX($AU$67:$BA$71,,$AH303), 1 / ($BB$67:$BB$71*BU303 + (1-$BB$67:$BB$71)*BQ303), N($AQ$67:$AQ$71&gt;$AO303)),
SUMPRODUCT(INDEX($AR$57:$AT$66,,$AI303), INDEX($AU$57:$BA$66,,$AH303), 1 / ($BC$57:$BC$66*BU303 + (1-$BC$57:$BC$66)*BQ303), N($AQ$57:$AQ$66&gt;$AO303))
) / 1000</f>
        <v>0</v>
      </c>
      <c r="BW303" s="232">
        <f t="shared" si="252"/>
        <v>20</v>
      </c>
      <c r="BX303" s="230">
        <f t="shared" si="442"/>
        <v>33</v>
      </c>
      <c r="BY303" s="235">
        <f t="shared" si="443"/>
        <v>4.4702678571428569</v>
      </c>
      <c r="BZ303" s="235" cm="1">
        <f t="array" ref="BZ303">$BI303 * IF($AH303&lt;=2,
SUMPRODUCT(INDEX($AR$62:$AT$66,,$AI303), INDEX($AU$62:$BA$66,,$AH303), 1 / ($BB$62:$BB$66*BY303 + (1-$BB$62:$BB$66)*BU303), N($AQ$62:$AQ$66&gt;$AO303)),
SUMPRODUCT(INDEX($AR$47:$AT$56,,$AI303), INDEX($AU$47:$BA$56,,$AH303), 1 / ($BC$47:$BC$56*BY303 + (1-$BC$47:$BC$56)*BU303), N($AQ$47:$AQ$56&gt;$AO303))
) / 1000</f>
        <v>0</v>
      </c>
      <c r="CA303" s="235" cm="1">
        <f t="array" ref="CA303">$BI303 * IF($AH303&lt;=2,
SUMPRODUCT(INDEX($AR$23:$AT$61,,$AI303), INDEX($AU$23:$BA$61,,$AH303), 1 / ($BB$23:$BB$61*BY303), N($AQ$23:$AQ$61&gt;$AO303)),
SUMPRODUCT(INDEX($AR$23:$AT$46,,$AI303), INDEX($AU$23:$BA$46,,$AH303), 1 / ($BC$23:$BC$46*BY303), N($AQ$23:$AQ$46&gt;$AO303))
) / 1000</f>
        <v>0</v>
      </c>
      <c r="CB303" s="230">
        <f t="shared" si="444"/>
        <v>0</v>
      </c>
      <c r="CC303" s="238"/>
      <c r="CD303" s="229" cm="1">
        <f t="array" ref="CD303">IF(ISBLANK(Y303), INDEX(Use, $AH303, 4) - AN303*INDEX(Use, $AH303, 6) - (Q303-X303), Y303)</f>
        <v>7</v>
      </c>
      <c r="CE303" s="229">
        <f t="shared" si="445"/>
        <v>32</v>
      </c>
      <c r="CF303" s="230">
        <f t="shared" si="446"/>
        <v>0</v>
      </c>
      <c r="CG303" s="229">
        <v>35</v>
      </c>
      <c r="CH303" s="230">
        <f t="shared" si="447"/>
        <v>48</v>
      </c>
      <c r="CI303" s="235">
        <f t="shared" si="448"/>
        <v>3.0748170731707316</v>
      </c>
      <c r="CJ303" s="235" cm="1">
        <f t="array" ref="CJ303">$BI303 * SUMPRODUCT(INDEX($AR$77:$AT$82,,$AI303),INDEX($AU$77:$BA$82,,$AH303), N($AQ$77:$AQ$82&gt;$AO303)) / CI303 / 1000</f>
        <v>0</v>
      </c>
      <c r="CK303" s="232">
        <f t="shared" si="260"/>
        <v>30</v>
      </c>
      <c r="CL303" s="230">
        <f t="shared" si="449"/>
        <v>43</v>
      </c>
      <c r="CM303" s="235">
        <f t="shared" si="450"/>
        <v>3.5018750000000001</v>
      </c>
      <c r="CN303" s="235" cm="1">
        <f t="array" ref="CN303">$BI303 * IF($AH303&lt;=2,
SUMPRODUCT(INDEX($AR$72:$AT$76,,$AI303), INDEX($AU$72:$BA$76,,$AH303), 1 / ($BB$72:$BB$76*CM303 + (1-$BB$72:$BB$76)*CI303), N($AQ$72:$AQ$76&gt;$AO303)),
SUMPRODUCT(INDEX($AR$67:$AT$76,,$AI303), INDEX($AU$67:$BA$76,,$AH303), 1 / ($BC$67:$BC$76*CM303 + (1-$BC$67:$BC$76)*CI303), N($AQ$67:$AQ$76&gt;$AO303))
) / 1000</f>
        <v>0</v>
      </c>
      <c r="CO303" s="232">
        <f t="shared" si="263"/>
        <v>25</v>
      </c>
      <c r="CP303" s="230">
        <f t="shared" si="451"/>
        <v>38</v>
      </c>
      <c r="CQ303" s="235">
        <f t="shared" si="452"/>
        <v>4.0666935483870965</v>
      </c>
      <c r="CR303" s="235" cm="1">
        <f t="array" ref="CR303">$BI303 * IF($AH303&lt;=2,
SUMPRODUCT(INDEX($AR$67:$AT$71,,$AI303), INDEX($AU$67:$BA$71,,$AH303), 1 / ($BB$67:$BB$71*CQ303 + (1-$BB$67:$BB$71)*CM303), N($AQ$67:$AQ$71&gt;$AO303)),
SUMPRODUCT(INDEX($AR$57:$AT$66,,$AI303), INDEX($AU$57:$BA$66,,$AH303), 1 / ($BC$57:$BC$66*CQ303 + (1-$BC$57:$BC$66)*CM303), N($AQ$57:$AQ$66&gt;$AO303))
) / 1000</f>
        <v>0</v>
      </c>
      <c r="CS303" s="232">
        <f t="shared" si="266"/>
        <v>20</v>
      </c>
      <c r="CT303" s="230">
        <f t="shared" si="453"/>
        <v>33</v>
      </c>
      <c r="CU303" s="235">
        <f t="shared" si="454"/>
        <v>4.8487499999999999</v>
      </c>
      <c r="CV303" s="235" cm="1">
        <f t="array" ref="CV303">$BI303 * IF($AH303&lt;=2,
SUMPRODUCT(INDEX($AR$62:$AT$66,,$AI303), INDEX($AU$62:$BA$66,,$AH303), 1 / ($BB$62:$BB$66*CU303 + (1-$BB$62:$BB$66)*CQ303), N($AQ$62:$AQ$66&gt;$AO303)),
SUMPRODUCT(INDEX($AR$47:$AT$56,,$AI303), INDEX($AU$47:$BA$56,,$AH303), 1 / ($BC$47:$BC$56*CU303 + (1-$BC$47:$BC$56)*CQ303), N($AQ$47:$AQ$56&gt;$AO303))
) / 1000</f>
        <v>0</v>
      </c>
      <c r="CW303" s="235" cm="1">
        <f t="array" ref="CW303">$BI303 * IF($AH303&lt;=2,
SUMPRODUCT(INDEX($AR$23:$AT$61,,$AI303), INDEX($AU$23:$BA$61,,$AH303), 1 / ($BB$23:$BB$61*CU303), N($AQ$23:$AQ$61&gt;$AO303)),
SUMPRODUCT(INDEX($AR$23:$AT$46,,$AI303), INDEX($AU$23:$BA$46,,$AH303), 1 / ($BC$23:$BC$46*CU303), N($AQ$23:$AQ$46&gt;$AO303))
) / 1000</f>
        <v>0</v>
      </c>
      <c r="CX303" s="230">
        <f t="shared" si="455"/>
        <v>0</v>
      </c>
      <c r="CY303" s="238"/>
    </row>
    <row r="304" spans="1:103" s="76" customFormat="1" ht="14.25" customHeight="1" x14ac:dyDescent="0.2">
      <c r="A304" s="231" t="b">
        <f t="shared" si="229"/>
        <v>0</v>
      </c>
      <c r="B304" s="245">
        <v>282</v>
      </c>
      <c r="C304" s="258"/>
      <c r="D304" s="258"/>
      <c r="E304" s="246"/>
      <c r="F304" s="247" t="str">
        <f>IF(ISBLANK(E304), "", VLOOKUP(E304, Z!$A$2:$C$4127, 3, FALSE))</f>
        <v/>
      </c>
      <c r="G304" s="248"/>
      <c r="H304" s="248"/>
      <c r="I304" s="249"/>
      <c r="J304" s="250"/>
      <c r="K304" s="259"/>
      <c r="L304" s="260"/>
      <c r="M304" s="252" t="str" cm="1">
        <f t="array" ref="M304">INDEX(Trad, 53, $A$20)</f>
        <v>Verschmutzt</v>
      </c>
      <c r="N304" s="253"/>
      <c r="O304" s="253"/>
      <c r="P304" s="254"/>
      <c r="Q304" s="251"/>
      <c r="R304" s="251"/>
      <c r="S304" s="264">
        <f t="shared" si="430"/>
        <v>0</v>
      </c>
      <c r="T304" s="252" t="str" cm="1">
        <f t="array" ref="T304">INDEX(Trad, 52, $A$20)</f>
        <v>Sauber</v>
      </c>
      <c r="U304" s="253"/>
      <c r="V304" s="253"/>
      <c r="W304" s="254"/>
      <c r="X304" s="251"/>
      <c r="Y304" s="251"/>
      <c r="Z304" s="264">
        <f t="shared" si="431"/>
        <v>0</v>
      </c>
      <c r="AA304" s="261"/>
      <c r="AB304" s="258"/>
      <c r="AC304" s="246"/>
      <c r="AD304" s="247" t="str">
        <f>IF(ISBLANK(AC304), "", VLOOKUP(AC304, Z!$A$2:$C$4127, 3, FALSE))</f>
        <v/>
      </c>
      <c r="AE304" s="262"/>
      <c r="AF304" s="263">
        <f t="shared" si="432"/>
        <v>0</v>
      </c>
      <c r="AG304" s="238"/>
      <c r="AH304" s="229">
        <f t="shared" si="456"/>
        <v>1</v>
      </c>
      <c r="AI304" s="229">
        <f t="shared" si="457"/>
        <v>1</v>
      </c>
      <c r="AJ304" s="229">
        <f t="shared" si="458"/>
        <v>0</v>
      </c>
      <c r="AK304" s="229">
        <v>0</v>
      </c>
      <c r="AL304" s="229">
        <v>0</v>
      </c>
      <c r="AM304" s="229">
        <v>1</v>
      </c>
      <c r="AN304" s="229">
        <v>0</v>
      </c>
      <c r="AO304" s="229">
        <f t="shared" si="433"/>
        <v>-100</v>
      </c>
      <c r="AP304" s="238"/>
      <c r="AQ304" s="255"/>
      <c r="AR304" s="255"/>
      <c r="AS304" s="256"/>
      <c r="AT304" s="256"/>
      <c r="AU304" s="256"/>
      <c r="AV304" s="256"/>
      <c r="AW304" s="256"/>
      <c r="AX304" s="256"/>
      <c r="AY304" s="256"/>
      <c r="AZ304" s="256"/>
      <c r="BA304" s="256"/>
      <c r="BB304" s="256"/>
      <c r="BC304" s="256"/>
      <c r="BD304" s="238"/>
      <c r="BE304" s="229" cm="1">
        <f t="array" ref="BE304">IF(ISBLANK(R304), INDEX(Use, $AH304, 4) - AM304*INDEX(Use, $AH304, 6), R304)</f>
        <v>5</v>
      </c>
      <c r="BF304" s="229">
        <f t="shared" si="434"/>
        <v>30</v>
      </c>
      <c r="BG304" s="229">
        <f t="shared" si="241"/>
        <v>13</v>
      </c>
      <c r="BH304" s="229">
        <f t="shared" si="242"/>
        <v>0</v>
      </c>
      <c r="BI304" s="234" cm="1">
        <f t="array" ref="BI304">K304/IF($L304&gt;0, INDEX($AU$23:$BA$77, $L304+20, $AH304), 1)</f>
        <v>0</v>
      </c>
      <c r="BJ304" s="230">
        <f t="shared" si="435"/>
        <v>0</v>
      </c>
      <c r="BK304" s="229">
        <v>35</v>
      </c>
      <c r="BL304" s="230">
        <f t="shared" si="436"/>
        <v>48</v>
      </c>
      <c r="BM304" s="235">
        <f t="shared" si="437"/>
        <v>2.9108720930232557</v>
      </c>
      <c r="BN304" s="235" cm="1">
        <f t="array" ref="BN304">$BI304 * SUMPRODUCT(INDEX($AR$77:$AT$82,,$AI304),INDEX($AU$77:$BA$82,,$AH304), N($AQ$77:$AQ$82&gt;$AO304)) / BM304 / 1000</f>
        <v>0</v>
      </c>
      <c r="BO304" s="232">
        <f t="shared" si="246"/>
        <v>30</v>
      </c>
      <c r="BP304" s="230">
        <f t="shared" si="438"/>
        <v>43</v>
      </c>
      <c r="BQ304" s="235">
        <f t="shared" si="439"/>
        <v>3.2938815789473681</v>
      </c>
      <c r="BR304" s="235" cm="1">
        <f t="array" ref="BR304">$BI304 * IF($AH304&lt;=2,
SUMPRODUCT(INDEX($AR$72:$AT$76,,$AI304), INDEX($AU$72:$BA$76,,$AH304), 1 / ($BB$72:$BB$76*BQ304 + (1-$BB$72:$BB$76)*BM304), N($AQ$72:$AQ$76&gt;$AO304)),
SUMPRODUCT(INDEX($AR$67:$AT$76,,$AI304), INDEX($AU$67:$BA$76,,$AH304), 1 / ($BC$67:$BC$76*BQ304 + (1-$BC$67:$BC$76)*BM304), N($AQ$67:$AQ$76&gt;$AO304))
) / 1000</f>
        <v>0</v>
      </c>
      <c r="BS304" s="232">
        <f t="shared" si="249"/>
        <v>25</v>
      </c>
      <c r="BT304" s="230">
        <f t="shared" si="440"/>
        <v>38</v>
      </c>
      <c r="BU304" s="235">
        <f t="shared" si="441"/>
        <v>3.792954545454545</v>
      </c>
      <c r="BV304" s="235" cm="1">
        <f t="array" ref="BV304">$BI304 * IF($AH304&lt;=2,
SUMPRODUCT(INDEX($AR$67:$AT$71,,$AI304), INDEX($AU$67:$BA$71,,$AH304), 1 / ($BB$67:$BB$71*BU304 + (1-$BB$67:$BB$71)*BQ304), N($AQ$67:$AQ$71&gt;$AO304)),
SUMPRODUCT(INDEX($AR$57:$AT$66,,$AI304), INDEX($AU$57:$BA$66,,$AH304), 1 / ($BC$57:$BC$66*BU304 + (1-$BC$57:$BC$66)*BQ304), N($AQ$57:$AQ$66&gt;$AO304))
) / 1000</f>
        <v>0</v>
      </c>
      <c r="BW304" s="232">
        <f t="shared" si="252"/>
        <v>20</v>
      </c>
      <c r="BX304" s="230">
        <f t="shared" si="442"/>
        <v>33</v>
      </c>
      <c r="BY304" s="235">
        <f t="shared" si="443"/>
        <v>4.4702678571428569</v>
      </c>
      <c r="BZ304" s="235" cm="1">
        <f t="array" ref="BZ304">$BI304 * IF($AH304&lt;=2,
SUMPRODUCT(INDEX($AR$62:$AT$66,,$AI304), INDEX($AU$62:$BA$66,,$AH304), 1 / ($BB$62:$BB$66*BY304 + (1-$BB$62:$BB$66)*BU304), N($AQ$62:$AQ$66&gt;$AO304)),
SUMPRODUCT(INDEX($AR$47:$AT$56,,$AI304), INDEX($AU$47:$BA$56,,$AH304), 1 / ($BC$47:$BC$56*BY304 + (1-$BC$47:$BC$56)*BU304), N($AQ$47:$AQ$56&gt;$AO304))
) / 1000</f>
        <v>0</v>
      </c>
      <c r="CA304" s="235" cm="1">
        <f t="array" ref="CA304">$BI304 * IF($AH304&lt;=2,
SUMPRODUCT(INDEX($AR$23:$AT$61,,$AI304), INDEX($AU$23:$BA$61,,$AH304), 1 / ($BB$23:$BB$61*BY304), N($AQ$23:$AQ$61&gt;$AO304)),
SUMPRODUCT(INDEX($AR$23:$AT$46,,$AI304), INDEX($AU$23:$BA$46,,$AH304), 1 / ($BC$23:$BC$46*BY304), N($AQ$23:$AQ$46&gt;$AO304))
) / 1000</f>
        <v>0</v>
      </c>
      <c r="CB304" s="230">
        <f t="shared" si="444"/>
        <v>0</v>
      </c>
      <c r="CC304" s="238"/>
      <c r="CD304" s="229" cm="1">
        <f t="array" ref="CD304">IF(ISBLANK(Y304), INDEX(Use, $AH304, 4) - AN304*INDEX(Use, $AH304, 6) - (Q304-X304), Y304)</f>
        <v>7</v>
      </c>
      <c r="CE304" s="229">
        <f t="shared" si="445"/>
        <v>32</v>
      </c>
      <c r="CF304" s="230">
        <f t="shared" si="446"/>
        <v>0</v>
      </c>
      <c r="CG304" s="229">
        <v>35</v>
      </c>
      <c r="CH304" s="230">
        <f t="shared" si="447"/>
        <v>48</v>
      </c>
      <c r="CI304" s="235">
        <f t="shared" si="448"/>
        <v>3.0748170731707316</v>
      </c>
      <c r="CJ304" s="235" cm="1">
        <f t="array" ref="CJ304">$BI304 * SUMPRODUCT(INDEX($AR$77:$AT$82,,$AI304),INDEX($AU$77:$BA$82,,$AH304), N($AQ$77:$AQ$82&gt;$AO304)) / CI304 / 1000</f>
        <v>0</v>
      </c>
      <c r="CK304" s="232">
        <f t="shared" si="260"/>
        <v>30</v>
      </c>
      <c r="CL304" s="230">
        <f t="shared" si="449"/>
        <v>43</v>
      </c>
      <c r="CM304" s="235">
        <f t="shared" si="450"/>
        <v>3.5018750000000001</v>
      </c>
      <c r="CN304" s="235" cm="1">
        <f t="array" ref="CN304">$BI304 * IF($AH304&lt;=2,
SUMPRODUCT(INDEX($AR$72:$AT$76,,$AI304), INDEX($AU$72:$BA$76,,$AH304), 1 / ($BB$72:$BB$76*CM304 + (1-$BB$72:$BB$76)*CI304), N($AQ$72:$AQ$76&gt;$AO304)),
SUMPRODUCT(INDEX($AR$67:$AT$76,,$AI304), INDEX($AU$67:$BA$76,,$AH304), 1 / ($BC$67:$BC$76*CM304 + (1-$BC$67:$BC$76)*CI304), N($AQ$67:$AQ$76&gt;$AO304))
) / 1000</f>
        <v>0</v>
      </c>
      <c r="CO304" s="232">
        <f t="shared" si="263"/>
        <v>25</v>
      </c>
      <c r="CP304" s="230">
        <f t="shared" si="451"/>
        <v>38</v>
      </c>
      <c r="CQ304" s="235">
        <f t="shared" si="452"/>
        <v>4.0666935483870965</v>
      </c>
      <c r="CR304" s="235" cm="1">
        <f t="array" ref="CR304">$BI304 * IF($AH304&lt;=2,
SUMPRODUCT(INDEX($AR$67:$AT$71,,$AI304), INDEX($AU$67:$BA$71,,$AH304), 1 / ($BB$67:$BB$71*CQ304 + (1-$BB$67:$BB$71)*CM304), N($AQ$67:$AQ$71&gt;$AO304)),
SUMPRODUCT(INDEX($AR$57:$AT$66,,$AI304), INDEX($AU$57:$BA$66,,$AH304), 1 / ($BC$57:$BC$66*CQ304 + (1-$BC$57:$BC$66)*CM304), N($AQ$57:$AQ$66&gt;$AO304))
) / 1000</f>
        <v>0</v>
      </c>
      <c r="CS304" s="232">
        <f t="shared" si="266"/>
        <v>20</v>
      </c>
      <c r="CT304" s="230">
        <f t="shared" si="453"/>
        <v>33</v>
      </c>
      <c r="CU304" s="235">
        <f t="shared" si="454"/>
        <v>4.8487499999999999</v>
      </c>
      <c r="CV304" s="235" cm="1">
        <f t="array" ref="CV304">$BI304 * IF($AH304&lt;=2,
SUMPRODUCT(INDEX($AR$62:$AT$66,,$AI304), INDEX($AU$62:$BA$66,,$AH304), 1 / ($BB$62:$BB$66*CU304 + (1-$BB$62:$BB$66)*CQ304), N($AQ$62:$AQ$66&gt;$AO304)),
SUMPRODUCT(INDEX($AR$47:$AT$56,,$AI304), INDEX($AU$47:$BA$56,,$AH304), 1 / ($BC$47:$BC$56*CU304 + (1-$BC$47:$BC$56)*CQ304), N($AQ$47:$AQ$56&gt;$AO304))
) / 1000</f>
        <v>0</v>
      </c>
      <c r="CW304" s="235" cm="1">
        <f t="array" ref="CW304">$BI304 * IF($AH304&lt;=2,
SUMPRODUCT(INDEX($AR$23:$AT$61,,$AI304), INDEX($AU$23:$BA$61,,$AH304), 1 / ($BB$23:$BB$61*CU304), N($AQ$23:$AQ$61&gt;$AO304)),
SUMPRODUCT(INDEX($AR$23:$AT$46,,$AI304), INDEX($AU$23:$BA$46,,$AH304), 1 / ($BC$23:$BC$46*CU304), N($AQ$23:$AQ$46&gt;$AO304))
) / 1000</f>
        <v>0</v>
      </c>
      <c r="CX304" s="230">
        <f t="shared" si="455"/>
        <v>0</v>
      </c>
      <c r="CY304" s="238"/>
    </row>
    <row r="305" spans="1:103" s="76" customFormat="1" ht="14.25" customHeight="1" x14ac:dyDescent="0.2">
      <c r="A305" s="231" t="b">
        <f t="shared" si="229"/>
        <v>0</v>
      </c>
      <c r="B305" s="245">
        <v>283</v>
      </c>
      <c r="C305" s="258"/>
      <c r="D305" s="258"/>
      <c r="E305" s="246"/>
      <c r="F305" s="247" t="str">
        <f>IF(ISBLANK(E305), "", VLOOKUP(E305, Z!$A$2:$C$4127, 3, FALSE))</f>
        <v/>
      </c>
      <c r="G305" s="248"/>
      <c r="H305" s="248"/>
      <c r="I305" s="249"/>
      <c r="J305" s="250"/>
      <c r="K305" s="259"/>
      <c r="L305" s="260"/>
      <c r="M305" s="252" t="str" cm="1">
        <f t="array" ref="M305">INDEX(Trad, 53, $A$20)</f>
        <v>Verschmutzt</v>
      </c>
      <c r="N305" s="253"/>
      <c r="O305" s="253"/>
      <c r="P305" s="254"/>
      <c r="Q305" s="251"/>
      <c r="R305" s="251"/>
      <c r="S305" s="264">
        <f t="shared" si="430"/>
        <v>0</v>
      </c>
      <c r="T305" s="252" t="str" cm="1">
        <f t="array" ref="T305">INDEX(Trad, 52, $A$20)</f>
        <v>Sauber</v>
      </c>
      <c r="U305" s="253"/>
      <c r="V305" s="253"/>
      <c r="W305" s="254"/>
      <c r="X305" s="251"/>
      <c r="Y305" s="251"/>
      <c r="Z305" s="264">
        <f t="shared" si="431"/>
        <v>0</v>
      </c>
      <c r="AA305" s="261"/>
      <c r="AB305" s="258"/>
      <c r="AC305" s="246"/>
      <c r="AD305" s="247" t="str">
        <f>IF(ISBLANK(AC305), "", VLOOKUP(AC305, Z!$A$2:$C$4127, 3, FALSE))</f>
        <v/>
      </c>
      <c r="AE305" s="262"/>
      <c r="AF305" s="263">
        <f t="shared" si="432"/>
        <v>0</v>
      </c>
      <c r="AG305" s="238"/>
      <c r="AH305" s="229">
        <f t="shared" si="456"/>
        <v>1</v>
      </c>
      <c r="AI305" s="229">
        <f t="shared" si="457"/>
        <v>1</v>
      </c>
      <c r="AJ305" s="229">
        <f t="shared" si="458"/>
        <v>0</v>
      </c>
      <c r="AK305" s="229">
        <v>0</v>
      </c>
      <c r="AL305" s="229">
        <v>0</v>
      </c>
      <c r="AM305" s="229">
        <v>1</v>
      </c>
      <c r="AN305" s="229">
        <v>0</v>
      </c>
      <c r="AO305" s="229">
        <f t="shared" si="433"/>
        <v>-100</v>
      </c>
      <c r="AP305" s="238"/>
      <c r="AQ305" s="255"/>
      <c r="AR305" s="255"/>
      <c r="AS305" s="256"/>
      <c r="AT305" s="256"/>
      <c r="AU305" s="256"/>
      <c r="AV305" s="256"/>
      <c r="AW305" s="256"/>
      <c r="AX305" s="256"/>
      <c r="AY305" s="256"/>
      <c r="AZ305" s="256"/>
      <c r="BA305" s="256"/>
      <c r="BB305" s="256"/>
      <c r="BC305" s="256"/>
      <c r="BD305" s="238"/>
      <c r="BE305" s="229" cm="1">
        <f t="array" ref="BE305">IF(ISBLANK(R305), INDEX(Use, $AH305, 4) - AM305*INDEX(Use, $AH305, 6), R305)</f>
        <v>5</v>
      </c>
      <c r="BF305" s="229">
        <f t="shared" si="434"/>
        <v>30</v>
      </c>
      <c r="BG305" s="229">
        <f t="shared" si="241"/>
        <v>13</v>
      </c>
      <c r="BH305" s="229">
        <f t="shared" si="242"/>
        <v>0</v>
      </c>
      <c r="BI305" s="234" cm="1">
        <f t="array" ref="BI305">K305/IF($L305&gt;0, INDEX($AU$23:$BA$77, $L305+20, $AH305), 1)</f>
        <v>0</v>
      </c>
      <c r="BJ305" s="230">
        <f t="shared" si="435"/>
        <v>0</v>
      </c>
      <c r="BK305" s="229">
        <v>35</v>
      </c>
      <c r="BL305" s="230">
        <f t="shared" si="436"/>
        <v>48</v>
      </c>
      <c r="BM305" s="235">
        <f t="shared" si="437"/>
        <v>2.9108720930232557</v>
      </c>
      <c r="BN305" s="235" cm="1">
        <f t="array" ref="BN305">$BI305 * SUMPRODUCT(INDEX($AR$77:$AT$82,,$AI305),INDEX($AU$77:$BA$82,,$AH305), N($AQ$77:$AQ$82&gt;$AO305)) / BM305 / 1000</f>
        <v>0</v>
      </c>
      <c r="BO305" s="232">
        <f t="shared" si="246"/>
        <v>30</v>
      </c>
      <c r="BP305" s="230">
        <f t="shared" si="438"/>
        <v>43</v>
      </c>
      <c r="BQ305" s="235">
        <f t="shared" si="439"/>
        <v>3.2938815789473681</v>
      </c>
      <c r="BR305" s="235" cm="1">
        <f t="array" ref="BR305">$BI305 * IF($AH305&lt;=2,
SUMPRODUCT(INDEX($AR$72:$AT$76,,$AI305), INDEX($AU$72:$BA$76,,$AH305), 1 / ($BB$72:$BB$76*BQ305 + (1-$BB$72:$BB$76)*BM305), N($AQ$72:$AQ$76&gt;$AO305)),
SUMPRODUCT(INDEX($AR$67:$AT$76,,$AI305), INDEX($AU$67:$BA$76,,$AH305), 1 / ($BC$67:$BC$76*BQ305 + (1-$BC$67:$BC$76)*BM305), N($AQ$67:$AQ$76&gt;$AO305))
) / 1000</f>
        <v>0</v>
      </c>
      <c r="BS305" s="232">
        <f t="shared" si="249"/>
        <v>25</v>
      </c>
      <c r="BT305" s="230">
        <f t="shared" si="440"/>
        <v>38</v>
      </c>
      <c r="BU305" s="235">
        <f t="shared" si="441"/>
        <v>3.792954545454545</v>
      </c>
      <c r="BV305" s="235" cm="1">
        <f t="array" ref="BV305">$BI305 * IF($AH305&lt;=2,
SUMPRODUCT(INDEX($AR$67:$AT$71,,$AI305), INDEX($AU$67:$BA$71,,$AH305), 1 / ($BB$67:$BB$71*BU305 + (1-$BB$67:$BB$71)*BQ305), N($AQ$67:$AQ$71&gt;$AO305)),
SUMPRODUCT(INDEX($AR$57:$AT$66,,$AI305), INDEX($AU$57:$BA$66,,$AH305), 1 / ($BC$57:$BC$66*BU305 + (1-$BC$57:$BC$66)*BQ305), N($AQ$57:$AQ$66&gt;$AO305))
) / 1000</f>
        <v>0</v>
      </c>
      <c r="BW305" s="232">
        <f t="shared" si="252"/>
        <v>20</v>
      </c>
      <c r="BX305" s="230">
        <f t="shared" si="442"/>
        <v>33</v>
      </c>
      <c r="BY305" s="235">
        <f t="shared" si="443"/>
        <v>4.4702678571428569</v>
      </c>
      <c r="BZ305" s="235" cm="1">
        <f t="array" ref="BZ305">$BI305 * IF($AH305&lt;=2,
SUMPRODUCT(INDEX($AR$62:$AT$66,,$AI305), INDEX($AU$62:$BA$66,,$AH305), 1 / ($BB$62:$BB$66*BY305 + (1-$BB$62:$BB$66)*BU305), N($AQ$62:$AQ$66&gt;$AO305)),
SUMPRODUCT(INDEX($AR$47:$AT$56,,$AI305), INDEX($AU$47:$BA$56,,$AH305), 1 / ($BC$47:$BC$56*BY305 + (1-$BC$47:$BC$56)*BU305), N($AQ$47:$AQ$56&gt;$AO305))
) / 1000</f>
        <v>0</v>
      </c>
      <c r="CA305" s="235" cm="1">
        <f t="array" ref="CA305">$BI305 * IF($AH305&lt;=2,
SUMPRODUCT(INDEX($AR$23:$AT$61,,$AI305), INDEX($AU$23:$BA$61,,$AH305), 1 / ($BB$23:$BB$61*BY305), N($AQ$23:$AQ$61&gt;$AO305)),
SUMPRODUCT(INDEX($AR$23:$AT$46,,$AI305), INDEX($AU$23:$BA$46,,$AH305), 1 / ($BC$23:$BC$46*BY305), N($AQ$23:$AQ$46&gt;$AO305))
) / 1000</f>
        <v>0</v>
      </c>
      <c r="CB305" s="230">
        <f t="shared" si="444"/>
        <v>0</v>
      </c>
      <c r="CC305" s="238"/>
      <c r="CD305" s="229" cm="1">
        <f t="array" ref="CD305">IF(ISBLANK(Y305), INDEX(Use, $AH305, 4) - AN305*INDEX(Use, $AH305, 6) - (Q305-X305), Y305)</f>
        <v>7</v>
      </c>
      <c r="CE305" s="229">
        <f t="shared" si="445"/>
        <v>32</v>
      </c>
      <c r="CF305" s="230">
        <f t="shared" si="446"/>
        <v>0</v>
      </c>
      <c r="CG305" s="229">
        <v>35</v>
      </c>
      <c r="CH305" s="230">
        <f t="shared" si="447"/>
        <v>48</v>
      </c>
      <c r="CI305" s="235">
        <f t="shared" si="448"/>
        <v>3.0748170731707316</v>
      </c>
      <c r="CJ305" s="235" cm="1">
        <f t="array" ref="CJ305">$BI305 * SUMPRODUCT(INDEX($AR$77:$AT$82,,$AI305),INDEX($AU$77:$BA$82,,$AH305), N($AQ$77:$AQ$82&gt;$AO305)) / CI305 / 1000</f>
        <v>0</v>
      </c>
      <c r="CK305" s="232">
        <f t="shared" si="260"/>
        <v>30</v>
      </c>
      <c r="CL305" s="230">
        <f t="shared" si="449"/>
        <v>43</v>
      </c>
      <c r="CM305" s="235">
        <f t="shared" si="450"/>
        <v>3.5018750000000001</v>
      </c>
      <c r="CN305" s="235" cm="1">
        <f t="array" ref="CN305">$BI305 * IF($AH305&lt;=2,
SUMPRODUCT(INDEX($AR$72:$AT$76,,$AI305), INDEX($AU$72:$BA$76,,$AH305), 1 / ($BB$72:$BB$76*CM305 + (1-$BB$72:$BB$76)*CI305), N($AQ$72:$AQ$76&gt;$AO305)),
SUMPRODUCT(INDEX($AR$67:$AT$76,,$AI305), INDEX($AU$67:$BA$76,,$AH305), 1 / ($BC$67:$BC$76*CM305 + (1-$BC$67:$BC$76)*CI305), N($AQ$67:$AQ$76&gt;$AO305))
) / 1000</f>
        <v>0</v>
      </c>
      <c r="CO305" s="232">
        <f t="shared" si="263"/>
        <v>25</v>
      </c>
      <c r="CP305" s="230">
        <f t="shared" si="451"/>
        <v>38</v>
      </c>
      <c r="CQ305" s="235">
        <f t="shared" si="452"/>
        <v>4.0666935483870965</v>
      </c>
      <c r="CR305" s="235" cm="1">
        <f t="array" ref="CR305">$BI305 * IF($AH305&lt;=2,
SUMPRODUCT(INDEX($AR$67:$AT$71,,$AI305), INDEX($AU$67:$BA$71,,$AH305), 1 / ($BB$67:$BB$71*CQ305 + (1-$BB$67:$BB$71)*CM305), N($AQ$67:$AQ$71&gt;$AO305)),
SUMPRODUCT(INDEX($AR$57:$AT$66,,$AI305), INDEX($AU$57:$BA$66,,$AH305), 1 / ($BC$57:$BC$66*CQ305 + (1-$BC$57:$BC$66)*CM305), N($AQ$57:$AQ$66&gt;$AO305))
) / 1000</f>
        <v>0</v>
      </c>
      <c r="CS305" s="232">
        <f t="shared" si="266"/>
        <v>20</v>
      </c>
      <c r="CT305" s="230">
        <f t="shared" si="453"/>
        <v>33</v>
      </c>
      <c r="CU305" s="235">
        <f t="shared" si="454"/>
        <v>4.8487499999999999</v>
      </c>
      <c r="CV305" s="235" cm="1">
        <f t="array" ref="CV305">$BI305 * IF($AH305&lt;=2,
SUMPRODUCT(INDEX($AR$62:$AT$66,,$AI305), INDEX($AU$62:$BA$66,,$AH305), 1 / ($BB$62:$BB$66*CU305 + (1-$BB$62:$BB$66)*CQ305), N($AQ$62:$AQ$66&gt;$AO305)),
SUMPRODUCT(INDEX($AR$47:$AT$56,,$AI305), INDEX($AU$47:$BA$56,,$AH305), 1 / ($BC$47:$BC$56*CU305 + (1-$BC$47:$BC$56)*CQ305), N($AQ$47:$AQ$56&gt;$AO305))
) / 1000</f>
        <v>0</v>
      </c>
      <c r="CW305" s="235" cm="1">
        <f t="array" ref="CW305">$BI305 * IF($AH305&lt;=2,
SUMPRODUCT(INDEX($AR$23:$AT$61,,$AI305), INDEX($AU$23:$BA$61,,$AH305), 1 / ($BB$23:$BB$61*CU305), N($AQ$23:$AQ$61&gt;$AO305)),
SUMPRODUCT(INDEX($AR$23:$AT$46,,$AI305), INDEX($AU$23:$BA$46,,$AH305), 1 / ($BC$23:$BC$46*CU305), N($AQ$23:$AQ$46&gt;$AO305))
) / 1000</f>
        <v>0</v>
      </c>
      <c r="CX305" s="230">
        <f t="shared" si="455"/>
        <v>0</v>
      </c>
      <c r="CY305" s="238"/>
    </row>
    <row r="306" spans="1:103" s="76" customFormat="1" ht="14.25" customHeight="1" x14ac:dyDescent="0.2">
      <c r="A306" s="231" t="b">
        <f t="shared" si="229"/>
        <v>0</v>
      </c>
      <c r="B306" s="245">
        <v>284</v>
      </c>
      <c r="C306" s="258"/>
      <c r="D306" s="258"/>
      <c r="E306" s="246"/>
      <c r="F306" s="247" t="str">
        <f>IF(ISBLANK(E306), "", VLOOKUP(E306, Z!$A$2:$C$4127, 3, FALSE))</f>
        <v/>
      </c>
      <c r="G306" s="248"/>
      <c r="H306" s="248"/>
      <c r="I306" s="249"/>
      <c r="J306" s="250"/>
      <c r="K306" s="259"/>
      <c r="L306" s="260"/>
      <c r="M306" s="252" t="str" cm="1">
        <f t="array" ref="M306">INDEX(Trad, 53, $A$20)</f>
        <v>Verschmutzt</v>
      </c>
      <c r="N306" s="253"/>
      <c r="O306" s="253"/>
      <c r="P306" s="254"/>
      <c r="Q306" s="251"/>
      <c r="R306" s="251"/>
      <c r="S306" s="264">
        <f t="shared" si="430"/>
        <v>0</v>
      </c>
      <c r="T306" s="252" t="str" cm="1">
        <f t="array" ref="T306">INDEX(Trad, 52, $A$20)</f>
        <v>Sauber</v>
      </c>
      <c r="U306" s="253"/>
      <c r="V306" s="253"/>
      <c r="W306" s="254"/>
      <c r="X306" s="251"/>
      <c r="Y306" s="251"/>
      <c r="Z306" s="264">
        <f t="shared" si="431"/>
        <v>0</v>
      </c>
      <c r="AA306" s="261"/>
      <c r="AB306" s="258"/>
      <c r="AC306" s="246"/>
      <c r="AD306" s="247" t="str">
        <f>IF(ISBLANK(AC306), "", VLOOKUP(AC306, Z!$A$2:$C$4127, 3, FALSE))</f>
        <v/>
      </c>
      <c r="AE306" s="262"/>
      <c r="AF306" s="263">
        <f t="shared" si="432"/>
        <v>0</v>
      </c>
      <c r="AG306" s="238"/>
      <c r="AH306" s="229">
        <f t="shared" si="456"/>
        <v>1</v>
      </c>
      <c r="AI306" s="229">
        <f t="shared" si="457"/>
        <v>1</v>
      </c>
      <c r="AJ306" s="229">
        <f t="shared" si="458"/>
        <v>0</v>
      </c>
      <c r="AK306" s="229">
        <v>0</v>
      </c>
      <c r="AL306" s="229">
        <v>0</v>
      </c>
      <c r="AM306" s="229">
        <v>1</v>
      </c>
      <c r="AN306" s="229">
        <v>0</v>
      </c>
      <c r="AO306" s="229">
        <f t="shared" si="433"/>
        <v>-100</v>
      </c>
      <c r="AP306" s="238"/>
      <c r="AQ306" s="255"/>
      <c r="AR306" s="255"/>
      <c r="AS306" s="256"/>
      <c r="AT306" s="256"/>
      <c r="AU306" s="256"/>
      <c r="AV306" s="256"/>
      <c r="AW306" s="256"/>
      <c r="AX306" s="256"/>
      <c r="AY306" s="256"/>
      <c r="AZ306" s="256"/>
      <c r="BA306" s="256"/>
      <c r="BB306" s="256"/>
      <c r="BC306" s="256"/>
      <c r="BD306" s="238"/>
      <c r="BE306" s="229" cm="1">
        <f t="array" ref="BE306">IF(ISBLANK(R306), INDEX(Use, $AH306, 4) - AM306*INDEX(Use, $AH306, 6), R306)</f>
        <v>5</v>
      </c>
      <c r="BF306" s="229">
        <f t="shared" si="434"/>
        <v>30</v>
      </c>
      <c r="BG306" s="229">
        <f t="shared" si="241"/>
        <v>13</v>
      </c>
      <c r="BH306" s="229">
        <f t="shared" si="242"/>
        <v>0</v>
      </c>
      <c r="BI306" s="234" cm="1">
        <f t="array" ref="BI306">K306/IF($L306&gt;0, INDEX($AU$23:$BA$77, $L306+20, $AH306), 1)</f>
        <v>0</v>
      </c>
      <c r="BJ306" s="230">
        <f t="shared" si="435"/>
        <v>0</v>
      </c>
      <c r="BK306" s="229">
        <v>35</v>
      </c>
      <c r="BL306" s="230">
        <f t="shared" si="436"/>
        <v>48</v>
      </c>
      <c r="BM306" s="235">
        <f t="shared" si="437"/>
        <v>2.9108720930232557</v>
      </c>
      <c r="BN306" s="235" cm="1">
        <f t="array" ref="BN306">$BI306 * SUMPRODUCT(INDEX($AR$77:$AT$82,,$AI306),INDEX($AU$77:$BA$82,,$AH306), N($AQ$77:$AQ$82&gt;$AO306)) / BM306 / 1000</f>
        <v>0</v>
      </c>
      <c r="BO306" s="232">
        <f t="shared" si="246"/>
        <v>30</v>
      </c>
      <c r="BP306" s="230">
        <f t="shared" si="438"/>
        <v>43</v>
      </c>
      <c r="BQ306" s="235">
        <f t="shared" si="439"/>
        <v>3.2938815789473681</v>
      </c>
      <c r="BR306" s="235" cm="1">
        <f t="array" ref="BR306">$BI306 * IF($AH306&lt;=2,
SUMPRODUCT(INDEX($AR$72:$AT$76,,$AI306), INDEX($AU$72:$BA$76,,$AH306), 1 / ($BB$72:$BB$76*BQ306 + (1-$BB$72:$BB$76)*BM306), N($AQ$72:$AQ$76&gt;$AO306)),
SUMPRODUCT(INDEX($AR$67:$AT$76,,$AI306), INDEX($AU$67:$BA$76,,$AH306), 1 / ($BC$67:$BC$76*BQ306 + (1-$BC$67:$BC$76)*BM306), N($AQ$67:$AQ$76&gt;$AO306))
) / 1000</f>
        <v>0</v>
      </c>
      <c r="BS306" s="232">
        <f t="shared" si="249"/>
        <v>25</v>
      </c>
      <c r="BT306" s="230">
        <f t="shared" si="440"/>
        <v>38</v>
      </c>
      <c r="BU306" s="235">
        <f t="shared" si="441"/>
        <v>3.792954545454545</v>
      </c>
      <c r="BV306" s="235" cm="1">
        <f t="array" ref="BV306">$BI306 * IF($AH306&lt;=2,
SUMPRODUCT(INDEX($AR$67:$AT$71,,$AI306), INDEX($AU$67:$BA$71,,$AH306), 1 / ($BB$67:$BB$71*BU306 + (1-$BB$67:$BB$71)*BQ306), N($AQ$67:$AQ$71&gt;$AO306)),
SUMPRODUCT(INDEX($AR$57:$AT$66,,$AI306), INDEX($AU$57:$BA$66,,$AH306), 1 / ($BC$57:$BC$66*BU306 + (1-$BC$57:$BC$66)*BQ306), N($AQ$57:$AQ$66&gt;$AO306))
) / 1000</f>
        <v>0</v>
      </c>
      <c r="BW306" s="232">
        <f t="shared" si="252"/>
        <v>20</v>
      </c>
      <c r="BX306" s="230">
        <f t="shared" si="442"/>
        <v>33</v>
      </c>
      <c r="BY306" s="235">
        <f t="shared" si="443"/>
        <v>4.4702678571428569</v>
      </c>
      <c r="BZ306" s="235" cm="1">
        <f t="array" ref="BZ306">$BI306 * IF($AH306&lt;=2,
SUMPRODUCT(INDEX($AR$62:$AT$66,,$AI306), INDEX($AU$62:$BA$66,,$AH306), 1 / ($BB$62:$BB$66*BY306 + (1-$BB$62:$BB$66)*BU306), N($AQ$62:$AQ$66&gt;$AO306)),
SUMPRODUCT(INDEX($AR$47:$AT$56,,$AI306), INDEX($AU$47:$BA$56,,$AH306), 1 / ($BC$47:$BC$56*BY306 + (1-$BC$47:$BC$56)*BU306), N($AQ$47:$AQ$56&gt;$AO306))
) / 1000</f>
        <v>0</v>
      </c>
      <c r="CA306" s="235" cm="1">
        <f t="array" ref="CA306">$BI306 * IF($AH306&lt;=2,
SUMPRODUCT(INDEX($AR$23:$AT$61,,$AI306), INDEX($AU$23:$BA$61,,$AH306), 1 / ($BB$23:$BB$61*BY306), N($AQ$23:$AQ$61&gt;$AO306)),
SUMPRODUCT(INDEX($AR$23:$AT$46,,$AI306), INDEX($AU$23:$BA$46,,$AH306), 1 / ($BC$23:$BC$46*BY306), N($AQ$23:$AQ$46&gt;$AO306))
) / 1000</f>
        <v>0</v>
      </c>
      <c r="CB306" s="230">
        <f t="shared" si="444"/>
        <v>0</v>
      </c>
      <c r="CC306" s="238"/>
      <c r="CD306" s="229" cm="1">
        <f t="array" ref="CD306">IF(ISBLANK(Y306), INDEX(Use, $AH306, 4) - AN306*INDEX(Use, $AH306, 6) - (Q306-X306), Y306)</f>
        <v>7</v>
      </c>
      <c r="CE306" s="229">
        <f t="shared" si="445"/>
        <v>32</v>
      </c>
      <c r="CF306" s="230">
        <f t="shared" si="446"/>
        <v>0</v>
      </c>
      <c r="CG306" s="229">
        <v>35</v>
      </c>
      <c r="CH306" s="230">
        <f t="shared" si="447"/>
        <v>48</v>
      </c>
      <c r="CI306" s="235">
        <f t="shared" si="448"/>
        <v>3.0748170731707316</v>
      </c>
      <c r="CJ306" s="235" cm="1">
        <f t="array" ref="CJ306">$BI306 * SUMPRODUCT(INDEX($AR$77:$AT$82,,$AI306),INDEX($AU$77:$BA$82,,$AH306), N($AQ$77:$AQ$82&gt;$AO306)) / CI306 / 1000</f>
        <v>0</v>
      </c>
      <c r="CK306" s="232">
        <f t="shared" si="260"/>
        <v>30</v>
      </c>
      <c r="CL306" s="230">
        <f t="shared" si="449"/>
        <v>43</v>
      </c>
      <c r="CM306" s="235">
        <f t="shared" si="450"/>
        <v>3.5018750000000001</v>
      </c>
      <c r="CN306" s="235" cm="1">
        <f t="array" ref="CN306">$BI306 * IF($AH306&lt;=2,
SUMPRODUCT(INDEX($AR$72:$AT$76,,$AI306), INDEX($AU$72:$BA$76,,$AH306), 1 / ($BB$72:$BB$76*CM306 + (1-$BB$72:$BB$76)*CI306), N($AQ$72:$AQ$76&gt;$AO306)),
SUMPRODUCT(INDEX($AR$67:$AT$76,,$AI306), INDEX($AU$67:$BA$76,,$AH306), 1 / ($BC$67:$BC$76*CM306 + (1-$BC$67:$BC$76)*CI306), N($AQ$67:$AQ$76&gt;$AO306))
) / 1000</f>
        <v>0</v>
      </c>
      <c r="CO306" s="232">
        <f t="shared" si="263"/>
        <v>25</v>
      </c>
      <c r="CP306" s="230">
        <f t="shared" si="451"/>
        <v>38</v>
      </c>
      <c r="CQ306" s="235">
        <f t="shared" si="452"/>
        <v>4.0666935483870965</v>
      </c>
      <c r="CR306" s="235" cm="1">
        <f t="array" ref="CR306">$BI306 * IF($AH306&lt;=2,
SUMPRODUCT(INDEX($AR$67:$AT$71,,$AI306), INDEX($AU$67:$BA$71,,$AH306), 1 / ($BB$67:$BB$71*CQ306 + (1-$BB$67:$BB$71)*CM306), N($AQ$67:$AQ$71&gt;$AO306)),
SUMPRODUCT(INDEX($AR$57:$AT$66,,$AI306), INDEX($AU$57:$BA$66,,$AH306), 1 / ($BC$57:$BC$66*CQ306 + (1-$BC$57:$BC$66)*CM306), N($AQ$57:$AQ$66&gt;$AO306))
) / 1000</f>
        <v>0</v>
      </c>
      <c r="CS306" s="232">
        <f t="shared" si="266"/>
        <v>20</v>
      </c>
      <c r="CT306" s="230">
        <f t="shared" si="453"/>
        <v>33</v>
      </c>
      <c r="CU306" s="235">
        <f t="shared" si="454"/>
        <v>4.8487499999999999</v>
      </c>
      <c r="CV306" s="235" cm="1">
        <f t="array" ref="CV306">$BI306 * IF($AH306&lt;=2,
SUMPRODUCT(INDEX($AR$62:$AT$66,,$AI306), INDEX($AU$62:$BA$66,,$AH306), 1 / ($BB$62:$BB$66*CU306 + (1-$BB$62:$BB$66)*CQ306), N($AQ$62:$AQ$66&gt;$AO306)),
SUMPRODUCT(INDEX($AR$47:$AT$56,,$AI306), INDEX($AU$47:$BA$56,,$AH306), 1 / ($BC$47:$BC$56*CU306 + (1-$BC$47:$BC$56)*CQ306), N($AQ$47:$AQ$56&gt;$AO306))
) / 1000</f>
        <v>0</v>
      </c>
      <c r="CW306" s="235" cm="1">
        <f t="array" ref="CW306">$BI306 * IF($AH306&lt;=2,
SUMPRODUCT(INDEX($AR$23:$AT$61,,$AI306), INDEX($AU$23:$BA$61,,$AH306), 1 / ($BB$23:$BB$61*CU306), N($AQ$23:$AQ$61&gt;$AO306)),
SUMPRODUCT(INDEX($AR$23:$AT$46,,$AI306), INDEX($AU$23:$BA$46,,$AH306), 1 / ($BC$23:$BC$46*CU306), N($AQ$23:$AQ$46&gt;$AO306))
) / 1000</f>
        <v>0</v>
      </c>
      <c r="CX306" s="230">
        <f t="shared" si="455"/>
        <v>0</v>
      </c>
      <c r="CY306" s="238"/>
    </row>
    <row r="307" spans="1:103" s="76" customFormat="1" ht="14.25" customHeight="1" x14ac:dyDescent="0.2">
      <c r="A307" s="231" t="b">
        <f t="shared" si="229"/>
        <v>0</v>
      </c>
      <c r="B307" s="245">
        <v>285</v>
      </c>
      <c r="C307" s="258"/>
      <c r="D307" s="258"/>
      <c r="E307" s="246"/>
      <c r="F307" s="247" t="str">
        <f>IF(ISBLANK(E307), "", VLOOKUP(E307, Z!$A$2:$C$4127, 3, FALSE))</f>
        <v/>
      </c>
      <c r="G307" s="248"/>
      <c r="H307" s="248"/>
      <c r="I307" s="249"/>
      <c r="J307" s="250"/>
      <c r="K307" s="259"/>
      <c r="L307" s="260"/>
      <c r="M307" s="252" t="str" cm="1">
        <f t="array" ref="M307">INDEX(Trad, 53, $A$20)</f>
        <v>Verschmutzt</v>
      </c>
      <c r="N307" s="253"/>
      <c r="O307" s="253"/>
      <c r="P307" s="254"/>
      <c r="Q307" s="251"/>
      <c r="R307" s="251"/>
      <c r="S307" s="264">
        <f t="shared" si="430"/>
        <v>0</v>
      </c>
      <c r="T307" s="252" t="str" cm="1">
        <f t="array" ref="T307">INDEX(Trad, 52, $A$20)</f>
        <v>Sauber</v>
      </c>
      <c r="U307" s="253"/>
      <c r="V307" s="253"/>
      <c r="W307" s="254"/>
      <c r="X307" s="251"/>
      <c r="Y307" s="251"/>
      <c r="Z307" s="264">
        <f t="shared" si="431"/>
        <v>0</v>
      </c>
      <c r="AA307" s="261"/>
      <c r="AB307" s="258"/>
      <c r="AC307" s="246"/>
      <c r="AD307" s="247" t="str">
        <f>IF(ISBLANK(AC307), "", VLOOKUP(AC307, Z!$A$2:$C$4127, 3, FALSE))</f>
        <v/>
      </c>
      <c r="AE307" s="262"/>
      <c r="AF307" s="263">
        <f t="shared" si="432"/>
        <v>0</v>
      </c>
      <c r="AG307" s="238"/>
      <c r="AH307" s="229">
        <f t="shared" si="456"/>
        <v>1</v>
      </c>
      <c r="AI307" s="229">
        <f t="shared" si="457"/>
        <v>1</v>
      </c>
      <c r="AJ307" s="229">
        <f t="shared" si="458"/>
        <v>0</v>
      </c>
      <c r="AK307" s="229">
        <v>0</v>
      </c>
      <c r="AL307" s="229">
        <v>0</v>
      </c>
      <c r="AM307" s="229">
        <v>1</v>
      </c>
      <c r="AN307" s="229">
        <v>0</v>
      </c>
      <c r="AO307" s="229">
        <f t="shared" si="433"/>
        <v>-100</v>
      </c>
      <c r="AP307" s="238"/>
      <c r="AQ307" s="255"/>
      <c r="AR307" s="255"/>
      <c r="AS307" s="256"/>
      <c r="AT307" s="256"/>
      <c r="AU307" s="256"/>
      <c r="AV307" s="256"/>
      <c r="AW307" s="256"/>
      <c r="AX307" s="256"/>
      <c r="AY307" s="256"/>
      <c r="AZ307" s="256"/>
      <c r="BA307" s="256"/>
      <c r="BB307" s="256"/>
      <c r="BC307" s="256"/>
      <c r="BD307" s="238"/>
      <c r="BE307" s="229" cm="1">
        <f t="array" ref="BE307">IF(ISBLANK(R307), INDEX(Use, $AH307, 4) - AM307*INDEX(Use, $AH307, 6), R307)</f>
        <v>5</v>
      </c>
      <c r="BF307" s="229">
        <f t="shared" si="434"/>
        <v>30</v>
      </c>
      <c r="BG307" s="229">
        <f t="shared" si="241"/>
        <v>13</v>
      </c>
      <c r="BH307" s="229">
        <f t="shared" si="242"/>
        <v>0</v>
      </c>
      <c r="BI307" s="234" cm="1">
        <f t="array" ref="BI307">K307/IF($L307&gt;0, INDEX($AU$23:$BA$77, $L307+20, $AH307), 1)</f>
        <v>0</v>
      </c>
      <c r="BJ307" s="230">
        <f t="shared" si="435"/>
        <v>0</v>
      </c>
      <c r="BK307" s="229">
        <v>35</v>
      </c>
      <c r="BL307" s="230">
        <f t="shared" si="436"/>
        <v>48</v>
      </c>
      <c r="BM307" s="235">
        <f t="shared" si="437"/>
        <v>2.9108720930232557</v>
      </c>
      <c r="BN307" s="235" cm="1">
        <f t="array" ref="BN307">$BI307 * SUMPRODUCT(INDEX($AR$77:$AT$82,,$AI307),INDEX($AU$77:$BA$82,,$AH307), N($AQ$77:$AQ$82&gt;$AO307)) / BM307 / 1000</f>
        <v>0</v>
      </c>
      <c r="BO307" s="232">
        <f t="shared" si="246"/>
        <v>30</v>
      </c>
      <c r="BP307" s="230">
        <f t="shared" si="438"/>
        <v>43</v>
      </c>
      <c r="BQ307" s="235">
        <f t="shared" si="439"/>
        <v>3.2938815789473681</v>
      </c>
      <c r="BR307" s="235" cm="1">
        <f t="array" ref="BR307">$BI307 * IF($AH307&lt;=2,
SUMPRODUCT(INDEX($AR$72:$AT$76,,$AI307), INDEX($AU$72:$BA$76,,$AH307), 1 / ($BB$72:$BB$76*BQ307 + (1-$BB$72:$BB$76)*BM307), N($AQ$72:$AQ$76&gt;$AO307)),
SUMPRODUCT(INDEX($AR$67:$AT$76,,$AI307), INDEX($AU$67:$BA$76,,$AH307), 1 / ($BC$67:$BC$76*BQ307 + (1-$BC$67:$BC$76)*BM307), N($AQ$67:$AQ$76&gt;$AO307))
) / 1000</f>
        <v>0</v>
      </c>
      <c r="BS307" s="232">
        <f t="shared" si="249"/>
        <v>25</v>
      </c>
      <c r="BT307" s="230">
        <f t="shared" si="440"/>
        <v>38</v>
      </c>
      <c r="BU307" s="235">
        <f t="shared" si="441"/>
        <v>3.792954545454545</v>
      </c>
      <c r="BV307" s="235" cm="1">
        <f t="array" ref="BV307">$BI307 * IF($AH307&lt;=2,
SUMPRODUCT(INDEX($AR$67:$AT$71,,$AI307), INDEX($AU$67:$BA$71,,$AH307), 1 / ($BB$67:$BB$71*BU307 + (1-$BB$67:$BB$71)*BQ307), N($AQ$67:$AQ$71&gt;$AO307)),
SUMPRODUCT(INDEX($AR$57:$AT$66,,$AI307), INDEX($AU$57:$BA$66,,$AH307), 1 / ($BC$57:$BC$66*BU307 + (1-$BC$57:$BC$66)*BQ307), N($AQ$57:$AQ$66&gt;$AO307))
) / 1000</f>
        <v>0</v>
      </c>
      <c r="BW307" s="232">
        <f t="shared" si="252"/>
        <v>20</v>
      </c>
      <c r="BX307" s="230">
        <f t="shared" si="442"/>
        <v>33</v>
      </c>
      <c r="BY307" s="235">
        <f t="shared" si="443"/>
        <v>4.4702678571428569</v>
      </c>
      <c r="BZ307" s="235" cm="1">
        <f t="array" ref="BZ307">$BI307 * IF($AH307&lt;=2,
SUMPRODUCT(INDEX($AR$62:$AT$66,,$AI307), INDEX($AU$62:$BA$66,,$AH307), 1 / ($BB$62:$BB$66*BY307 + (1-$BB$62:$BB$66)*BU307), N($AQ$62:$AQ$66&gt;$AO307)),
SUMPRODUCT(INDEX($AR$47:$AT$56,,$AI307), INDEX($AU$47:$BA$56,,$AH307), 1 / ($BC$47:$BC$56*BY307 + (1-$BC$47:$BC$56)*BU307), N($AQ$47:$AQ$56&gt;$AO307))
) / 1000</f>
        <v>0</v>
      </c>
      <c r="CA307" s="235" cm="1">
        <f t="array" ref="CA307">$BI307 * IF($AH307&lt;=2,
SUMPRODUCT(INDEX($AR$23:$AT$61,,$AI307), INDEX($AU$23:$BA$61,,$AH307), 1 / ($BB$23:$BB$61*BY307), N($AQ$23:$AQ$61&gt;$AO307)),
SUMPRODUCT(INDEX($AR$23:$AT$46,,$AI307), INDEX($AU$23:$BA$46,,$AH307), 1 / ($BC$23:$BC$46*BY307), N($AQ$23:$AQ$46&gt;$AO307))
) / 1000</f>
        <v>0</v>
      </c>
      <c r="CB307" s="230">
        <f t="shared" si="444"/>
        <v>0</v>
      </c>
      <c r="CC307" s="238"/>
      <c r="CD307" s="229" cm="1">
        <f t="array" ref="CD307">IF(ISBLANK(Y307), INDEX(Use, $AH307, 4) - AN307*INDEX(Use, $AH307, 6) - (Q307-X307), Y307)</f>
        <v>7</v>
      </c>
      <c r="CE307" s="229">
        <f t="shared" si="445"/>
        <v>32</v>
      </c>
      <c r="CF307" s="230">
        <f t="shared" si="446"/>
        <v>0</v>
      </c>
      <c r="CG307" s="229">
        <v>35</v>
      </c>
      <c r="CH307" s="230">
        <f t="shared" si="447"/>
        <v>48</v>
      </c>
      <c r="CI307" s="235">
        <f t="shared" si="448"/>
        <v>3.0748170731707316</v>
      </c>
      <c r="CJ307" s="235" cm="1">
        <f t="array" ref="CJ307">$BI307 * SUMPRODUCT(INDEX($AR$77:$AT$82,,$AI307),INDEX($AU$77:$BA$82,,$AH307), N($AQ$77:$AQ$82&gt;$AO307)) / CI307 / 1000</f>
        <v>0</v>
      </c>
      <c r="CK307" s="232">
        <f t="shared" si="260"/>
        <v>30</v>
      </c>
      <c r="CL307" s="230">
        <f t="shared" si="449"/>
        <v>43</v>
      </c>
      <c r="CM307" s="235">
        <f t="shared" si="450"/>
        <v>3.5018750000000001</v>
      </c>
      <c r="CN307" s="235" cm="1">
        <f t="array" ref="CN307">$BI307 * IF($AH307&lt;=2,
SUMPRODUCT(INDEX($AR$72:$AT$76,,$AI307), INDEX($AU$72:$BA$76,,$AH307), 1 / ($BB$72:$BB$76*CM307 + (1-$BB$72:$BB$76)*CI307), N($AQ$72:$AQ$76&gt;$AO307)),
SUMPRODUCT(INDEX($AR$67:$AT$76,,$AI307), INDEX($AU$67:$BA$76,,$AH307), 1 / ($BC$67:$BC$76*CM307 + (1-$BC$67:$BC$76)*CI307), N($AQ$67:$AQ$76&gt;$AO307))
) / 1000</f>
        <v>0</v>
      </c>
      <c r="CO307" s="232">
        <f t="shared" si="263"/>
        <v>25</v>
      </c>
      <c r="CP307" s="230">
        <f t="shared" si="451"/>
        <v>38</v>
      </c>
      <c r="CQ307" s="235">
        <f t="shared" si="452"/>
        <v>4.0666935483870965</v>
      </c>
      <c r="CR307" s="235" cm="1">
        <f t="array" ref="CR307">$BI307 * IF($AH307&lt;=2,
SUMPRODUCT(INDEX($AR$67:$AT$71,,$AI307), INDEX($AU$67:$BA$71,,$AH307), 1 / ($BB$67:$BB$71*CQ307 + (1-$BB$67:$BB$71)*CM307), N($AQ$67:$AQ$71&gt;$AO307)),
SUMPRODUCT(INDEX($AR$57:$AT$66,,$AI307), INDEX($AU$57:$BA$66,,$AH307), 1 / ($BC$57:$BC$66*CQ307 + (1-$BC$57:$BC$66)*CM307), N($AQ$57:$AQ$66&gt;$AO307))
) / 1000</f>
        <v>0</v>
      </c>
      <c r="CS307" s="232">
        <f t="shared" si="266"/>
        <v>20</v>
      </c>
      <c r="CT307" s="230">
        <f t="shared" si="453"/>
        <v>33</v>
      </c>
      <c r="CU307" s="235">
        <f t="shared" si="454"/>
        <v>4.8487499999999999</v>
      </c>
      <c r="CV307" s="235" cm="1">
        <f t="array" ref="CV307">$BI307 * IF($AH307&lt;=2,
SUMPRODUCT(INDEX($AR$62:$AT$66,,$AI307), INDEX($AU$62:$BA$66,,$AH307), 1 / ($BB$62:$BB$66*CU307 + (1-$BB$62:$BB$66)*CQ307), N($AQ$62:$AQ$66&gt;$AO307)),
SUMPRODUCT(INDEX($AR$47:$AT$56,,$AI307), INDEX($AU$47:$BA$56,,$AH307), 1 / ($BC$47:$BC$56*CU307 + (1-$BC$47:$BC$56)*CQ307), N($AQ$47:$AQ$56&gt;$AO307))
) / 1000</f>
        <v>0</v>
      </c>
      <c r="CW307" s="235" cm="1">
        <f t="array" ref="CW307">$BI307 * IF($AH307&lt;=2,
SUMPRODUCT(INDEX($AR$23:$AT$61,,$AI307), INDEX($AU$23:$BA$61,,$AH307), 1 / ($BB$23:$BB$61*CU307), N($AQ$23:$AQ$61&gt;$AO307)),
SUMPRODUCT(INDEX($AR$23:$AT$46,,$AI307), INDEX($AU$23:$BA$46,,$AH307), 1 / ($BC$23:$BC$46*CU307), N($AQ$23:$AQ$46&gt;$AO307))
) / 1000</f>
        <v>0</v>
      </c>
      <c r="CX307" s="230">
        <f t="shared" si="455"/>
        <v>0</v>
      </c>
      <c r="CY307" s="238"/>
    </row>
    <row r="308" spans="1:103" s="76" customFormat="1" ht="14.25" customHeight="1" x14ac:dyDescent="0.2">
      <c r="A308" s="231" t="b">
        <f t="shared" si="229"/>
        <v>0</v>
      </c>
      <c r="B308" s="245">
        <v>286</v>
      </c>
      <c r="C308" s="258"/>
      <c r="D308" s="258"/>
      <c r="E308" s="246"/>
      <c r="F308" s="247" t="str">
        <f>IF(ISBLANK(E308), "", VLOOKUP(E308, Z!$A$2:$C$4127, 3, FALSE))</f>
        <v/>
      </c>
      <c r="G308" s="248"/>
      <c r="H308" s="248"/>
      <c r="I308" s="249"/>
      <c r="J308" s="250"/>
      <c r="K308" s="259"/>
      <c r="L308" s="260"/>
      <c r="M308" s="252" t="str" cm="1">
        <f t="array" ref="M308">INDEX(Trad, 53, $A$20)</f>
        <v>Verschmutzt</v>
      </c>
      <c r="N308" s="253"/>
      <c r="O308" s="253"/>
      <c r="P308" s="254"/>
      <c r="Q308" s="251"/>
      <c r="R308" s="251"/>
      <c r="S308" s="264">
        <f t="shared" si="430"/>
        <v>0</v>
      </c>
      <c r="T308" s="252" t="str" cm="1">
        <f t="array" ref="T308">INDEX(Trad, 52, $A$20)</f>
        <v>Sauber</v>
      </c>
      <c r="U308" s="253"/>
      <c r="V308" s="253"/>
      <c r="W308" s="254"/>
      <c r="X308" s="251"/>
      <c r="Y308" s="251"/>
      <c r="Z308" s="264">
        <f t="shared" si="431"/>
        <v>0</v>
      </c>
      <c r="AA308" s="261"/>
      <c r="AB308" s="258"/>
      <c r="AC308" s="246"/>
      <c r="AD308" s="247" t="str">
        <f>IF(ISBLANK(AC308), "", VLOOKUP(AC308, Z!$A$2:$C$4127, 3, FALSE))</f>
        <v/>
      </c>
      <c r="AE308" s="262"/>
      <c r="AF308" s="263">
        <f t="shared" si="432"/>
        <v>0</v>
      </c>
      <c r="AG308" s="238"/>
      <c r="AH308" s="229">
        <f t="shared" si="456"/>
        <v>1</v>
      </c>
      <c r="AI308" s="229">
        <f t="shared" si="457"/>
        <v>1</v>
      </c>
      <c r="AJ308" s="229">
        <f t="shared" si="458"/>
        <v>0</v>
      </c>
      <c r="AK308" s="229">
        <v>0</v>
      </c>
      <c r="AL308" s="229">
        <v>0</v>
      </c>
      <c r="AM308" s="229">
        <v>1</v>
      </c>
      <c r="AN308" s="229">
        <v>0</v>
      </c>
      <c r="AO308" s="229">
        <f t="shared" si="433"/>
        <v>-100</v>
      </c>
      <c r="AP308" s="238"/>
      <c r="AQ308" s="255"/>
      <c r="AR308" s="255"/>
      <c r="AS308" s="256"/>
      <c r="AT308" s="256"/>
      <c r="AU308" s="256"/>
      <c r="AV308" s="256"/>
      <c r="AW308" s="256"/>
      <c r="AX308" s="256"/>
      <c r="AY308" s="256"/>
      <c r="AZ308" s="256"/>
      <c r="BA308" s="256"/>
      <c r="BB308" s="256"/>
      <c r="BC308" s="256"/>
      <c r="BD308" s="238"/>
      <c r="BE308" s="229" cm="1">
        <f t="array" ref="BE308">IF(ISBLANK(R308), INDEX(Use, $AH308, 4) - AM308*INDEX(Use, $AH308, 6), R308)</f>
        <v>5</v>
      </c>
      <c r="BF308" s="229">
        <f t="shared" si="434"/>
        <v>30</v>
      </c>
      <c r="BG308" s="229">
        <f t="shared" si="241"/>
        <v>13</v>
      </c>
      <c r="BH308" s="229">
        <f t="shared" si="242"/>
        <v>0</v>
      </c>
      <c r="BI308" s="234" cm="1">
        <f t="array" ref="BI308">K308/IF($L308&gt;0, INDEX($AU$23:$BA$77, $L308+20, $AH308), 1)</f>
        <v>0</v>
      </c>
      <c r="BJ308" s="230">
        <f t="shared" si="435"/>
        <v>0</v>
      </c>
      <c r="BK308" s="229">
        <v>35</v>
      </c>
      <c r="BL308" s="230">
        <f t="shared" si="436"/>
        <v>48</v>
      </c>
      <c r="BM308" s="235">
        <f t="shared" si="437"/>
        <v>2.9108720930232557</v>
      </c>
      <c r="BN308" s="235" cm="1">
        <f t="array" ref="BN308">$BI308 * SUMPRODUCT(INDEX($AR$77:$AT$82,,$AI308),INDEX($AU$77:$BA$82,,$AH308), N($AQ$77:$AQ$82&gt;$AO308)) / BM308 / 1000</f>
        <v>0</v>
      </c>
      <c r="BO308" s="232">
        <f t="shared" si="246"/>
        <v>30</v>
      </c>
      <c r="BP308" s="230">
        <f t="shared" si="438"/>
        <v>43</v>
      </c>
      <c r="BQ308" s="235">
        <f t="shared" si="439"/>
        <v>3.2938815789473681</v>
      </c>
      <c r="BR308" s="235" cm="1">
        <f t="array" ref="BR308">$BI308 * IF($AH308&lt;=2,
SUMPRODUCT(INDEX($AR$72:$AT$76,,$AI308), INDEX($AU$72:$BA$76,,$AH308), 1 / ($BB$72:$BB$76*BQ308 + (1-$BB$72:$BB$76)*BM308), N($AQ$72:$AQ$76&gt;$AO308)),
SUMPRODUCT(INDEX($AR$67:$AT$76,,$AI308), INDEX($AU$67:$BA$76,,$AH308), 1 / ($BC$67:$BC$76*BQ308 + (1-$BC$67:$BC$76)*BM308), N($AQ$67:$AQ$76&gt;$AO308))
) / 1000</f>
        <v>0</v>
      </c>
      <c r="BS308" s="232">
        <f t="shared" si="249"/>
        <v>25</v>
      </c>
      <c r="BT308" s="230">
        <f t="shared" si="440"/>
        <v>38</v>
      </c>
      <c r="BU308" s="235">
        <f t="shared" si="441"/>
        <v>3.792954545454545</v>
      </c>
      <c r="BV308" s="235" cm="1">
        <f t="array" ref="BV308">$BI308 * IF($AH308&lt;=2,
SUMPRODUCT(INDEX($AR$67:$AT$71,,$AI308), INDEX($AU$67:$BA$71,,$AH308), 1 / ($BB$67:$BB$71*BU308 + (1-$BB$67:$BB$71)*BQ308), N($AQ$67:$AQ$71&gt;$AO308)),
SUMPRODUCT(INDEX($AR$57:$AT$66,,$AI308), INDEX($AU$57:$BA$66,,$AH308), 1 / ($BC$57:$BC$66*BU308 + (1-$BC$57:$BC$66)*BQ308), N($AQ$57:$AQ$66&gt;$AO308))
) / 1000</f>
        <v>0</v>
      </c>
      <c r="BW308" s="232">
        <f t="shared" si="252"/>
        <v>20</v>
      </c>
      <c r="BX308" s="230">
        <f t="shared" si="442"/>
        <v>33</v>
      </c>
      <c r="BY308" s="235">
        <f t="shared" si="443"/>
        <v>4.4702678571428569</v>
      </c>
      <c r="BZ308" s="235" cm="1">
        <f t="array" ref="BZ308">$BI308 * IF($AH308&lt;=2,
SUMPRODUCT(INDEX($AR$62:$AT$66,,$AI308), INDEX($AU$62:$BA$66,,$AH308), 1 / ($BB$62:$BB$66*BY308 + (1-$BB$62:$BB$66)*BU308), N($AQ$62:$AQ$66&gt;$AO308)),
SUMPRODUCT(INDEX($AR$47:$AT$56,,$AI308), INDEX($AU$47:$BA$56,,$AH308), 1 / ($BC$47:$BC$56*BY308 + (1-$BC$47:$BC$56)*BU308), N($AQ$47:$AQ$56&gt;$AO308))
) / 1000</f>
        <v>0</v>
      </c>
      <c r="CA308" s="235" cm="1">
        <f t="array" ref="CA308">$BI308 * IF($AH308&lt;=2,
SUMPRODUCT(INDEX($AR$23:$AT$61,,$AI308), INDEX($AU$23:$BA$61,,$AH308), 1 / ($BB$23:$BB$61*BY308), N($AQ$23:$AQ$61&gt;$AO308)),
SUMPRODUCT(INDEX($AR$23:$AT$46,,$AI308), INDEX($AU$23:$BA$46,,$AH308), 1 / ($BC$23:$BC$46*BY308), N($AQ$23:$AQ$46&gt;$AO308))
) / 1000</f>
        <v>0</v>
      </c>
      <c r="CB308" s="230">
        <f t="shared" si="444"/>
        <v>0</v>
      </c>
      <c r="CC308" s="238"/>
      <c r="CD308" s="229" cm="1">
        <f t="array" ref="CD308">IF(ISBLANK(Y308), INDEX(Use, $AH308, 4) - AN308*INDEX(Use, $AH308, 6) - (Q308-X308), Y308)</f>
        <v>7</v>
      </c>
      <c r="CE308" s="229">
        <f t="shared" si="445"/>
        <v>32</v>
      </c>
      <c r="CF308" s="230">
        <f t="shared" si="446"/>
        <v>0</v>
      </c>
      <c r="CG308" s="229">
        <v>35</v>
      </c>
      <c r="CH308" s="230">
        <f t="shared" si="447"/>
        <v>48</v>
      </c>
      <c r="CI308" s="235">
        <f t="shared" si="448"/>
        <v>3.0748170731707316</v>
      </c>
      <c r="CJ308" s="235" cm="1">
        <f t="array" ref="CJ308">$BI308 * SUMPRODUCT(INDEX($AR$77:$AT$82,,$AI308),INDEX($AU$77:$BA$82,,$AH308), N($AQ$77:$AQ$82&gt;$AO308)) / CI308 / 1000</f>
        <v>0</v>
      </c>
      <c r="CK308" s="232">
        <f t="shared" si="260"/>
        <v>30</v>
      </c>
      <c r="CL308" s="230">
        <f t="shared" si="449"/>
        <v>43</v>
      </c>
      <c r="CM308" s="235">
        <f t="shared" si="450"/>
        <v>3.5018750000000001</v>
      </c>
      <c r="CN308" s="235" cm="1">
        <f t="array" ref="CN308">$BI308 * IF($AH308&lt;=2,
SUMPRODUCT(INDEX($AR$72:$AT$76,,$AI308), INDEX($AU$72:$BA$76,,$AH308), 1 / ($BB$72:$BB$76*CM308 + (1-$BB$72:$BB$76)*CI308), N($AQ$72:$AQ$76&gt;$AO308)),
SUMPRODUCT(INDEX($AR$67:$AT$76,,$AI308), INDEX($AU$67:$BA$76,,$AH308), 1 / ($BC$67:$BC$76*CM308 + (1-$BC$67:$BC$76)*CI308), N($AQ$67:$AQ$76&gt;$AO308))
) / 1000</f>
        <v>0</v>
      </c>
      <c r="CO308" s="232">
        <f t="shared" si="263"/>
        <v>25</v>
      </c>
      <c r="CP308" s="230">
        <f t="shared" si="451"/>
        <v>38</v>
      </c>
      <c r="CQ308" s="235">
        <f t="shared" si="452"/>
        <v>4.0666935483870965</v>
      </c>
      <c r="CR308" s="235" cm="1">
        <f t="array" ref="CR308">$BI308 * IF($AH308&lt;=2,
SUMPRODUCT(INDEX($AR$67:$AT$71,,$AI308), INDEX($AU$67:$BA$71,,$AH308), 1 / ($BB$67:$BB$71*CQ308 + (1-$BB$67:$BB$71)*CM308), N($AQ$67:$AQ$71&gt;$AO308)),
SUMPRODUCT(INDEX($AR$57:$AT$66,,$AI308), INDEX($AU$57:$BA$66,,$AH308), 1 / ($BC$57:$BC$66*CQ308 + (1-$BC$57:$BC$66)*CM308), N($AQ$57:$AQ$66&gt;$AO308))
) / 1000</f>
        <v>0</v>
      </c>
      <c r="CS308" s="232">
        <f t="shared" si="266"/>
        <v>20</v>
      </c>
      <c r="CT308" s="230">
        <f t="shared" si="453"/>
        <v>33</v>
      </c>
      <c r="CU308" s="235">
        <f t="shared" si="454"/>
        <v>4.8487499999999999</v>
      </c>
      <c r="CV308" s="235" cm="1">
        <f t="array" ref="CV308">$BI308 * IF($AH308&lt;=2,
SUMPRODUCT(INDEX($AR$62:$AT$66,,$AI308), INDEX($AU$62:$BA$66,,$AH308), 1 / ($BB$62:$BB$66*CU308 + (1-$BB$62:$BB$66)*CQ308), N($AQ$62:$AQ$66&gt;$AO308)),
SUMPRODUCT(INDEX($AR$47:$AT$56,,$AI308), INDEX($AU$47:$BA$56,,$AH308), 1 / ($BC$47:$BC$56*CU308 + (1-$BC$47:$BC$56)*CQ308), N($AQ$47:$AQ$56&gt;$AO308))
) / 1000</f>
        <v>0</v>
      </c>
      <c r="CW308" s="235" cm="1">
        <f t="array" ref="CW308">$BI308 * IF($AH308&lt;=2,
SUMPRODUCT(INDEX($AR$23:$AT$61,,$AI308), INDEX($AU$23:$BA$61,,$AH308), 1 / ($BB$23:$BB$61*CU308), N($AQ$23:$AQ$61&gt;$AO308)),
SUMPRODUCT(INDEX($AR$23:$AT$46,,$AI308), INDEX($AU$23:$BA$46,,$AH308), 1 / ($BC$23:$BC$46*CU308), N($AQ$23:$AQ$46&gt;$AO308))
) / 1000</f>
        <v>0</v>
      </c>
      <c r="CX308" s="230">
        <f t="shared" si="455"/>
        <v>0</v>
      </c>
      <c r="CY308" s="238"/>
    </row>
    <row r="309" spans="1:103" s="76" customFormat="1" ht="14.25" customHeight="1" x14ac:dyDescent="0.2">
      <c r="A309" s="231" t="b">
        <f t="shared" si="229"/>
        <v>0</v>
      </c>
      <c r="B309" s="245">
        <v>287</v>
      </c>
      <c r="C309" s="258"/>
      <c r="D309" s="258"/>
      <c r="E309" s="246"/>
      <c r="F309" s="247" t="str">
        <f>IF(ISBLANK(E309), "", VLOOKUP(E309, Z!$A$2:$C$4127, 3, FALSE))</f>
        <v/>
      </c>
      <c r="G309" s="248"/>
      <c r="H309" s="248"/>
      <c r="I309" s="249"/>
      <c r="J309" s="250"/>
      <c r="K309" s="259"/>
      <c r="L309" s="260"/>
      <c r="M309" s="252" t="str" cm="1">
        <f t="array" ref="M309">INDEX(Trad, 53, $A$20)</f>
        <v>Verschmutzt</v>
      </c>
      <c r="N309" s="253"/>
      <c r="O309" s="253"/>
      <c r="P309" s="254"/>
      <c r="Q309" s="251"/>
      <c r="R309" s="251"/>
      <c r="S309" s="264">
        <f t="shared" si="430"/>
        <v>0</v>
      </c>
      <c r="T309" s="252" t="str" cm="1">
        <f t="array" ref="T309">INDEX(Trad, 52, $A$20)</f>
        <v>Sauber</v>
      </c>
      <c r="U309" s="253"/>
      <c r="V309" s="253"/>
      <c r="W309" s="254"/>
      <c r="X309" s="251"/>
      <c r="Y309" s="251"/>
      <c r="Z309" s="264">
        <f t="shared" si="431"/>
        <v>0</v>
      </c>
      <c r="AA309" s="261"/>
      <c r="AB309" s="258"/>
      <c r="AC309" s="246"/>
      <c r="AD309" s="247" t="str">
        <f>IF(ISBLANK(AC309), "", VLOOKUP(AC309, Z!$A$2:$C$4127, 3, FALSE))</f>
        <v/>
      </c>
      <c r="AE309" s="262"/>
      <c r="AF309" s="263">
        <f t="shared" si="432"/>
        <v>0</v>
      </c>
      <c r="AG309" s="238"/>
      <c r="AH309" s="229">
        <f t="shared" si="456"/>
        <v>1</v>
      </c>
      <c r="AI309" s="229">
        <f t="shared" si="457"/>
        <v>1</v>
      </c>
      <c r="AJ309" s="229">
        <f t="shared" si="458"/>
        <v>0</v>
      </c>
      <c r="AK309" s="229">
        <v>0</v>
      </c>
      <c r="AL309" s="229">
        <v>0</v>
      </c>
      <c r="AM309" s="229">
        <v>1</v>
      </c>
      <c r="AN309" s="229">
        <v>0</v>
      </c>
      <c r="AO309" s="229">
        <f t="shared" si="433"/>
        <v>-100</v>
      </c>
      <c r="AP309" s="238"/>
      <c r="AQ309" s="255"/>
      <c r="AR309" s="255"/>
      <c r="AS309" s="256"/>
      <c r="AT309" s="256"/>
      <c r="AU309" s="256"/>
      <c r="AV309" s="256"/>
      <c r="AW309" s="256"/>
      <c r="AX309" s="256"/>
      <c r="AY309" s="256"/>
      <c r="AZ309" s="256"/>
      <c r="BA309" s="256"/>
      <c r="BB309" s="256"/>
      <c r="BC309" s="256"/>
      <c r="BD309" s="238"/>
      <c r="BE309" s="229" cm="1">
        <f t="array" ref="BE309">IF(ISBLANK(R309), INDEX(Use, $AH309, 4) - AM309*INDEX(Use, $AH309, 6), R309)</f>
        <v>5</v>
      </c>
      <c r="BF309" s="229">
        <f t="shared" si="434"/>
        <v>30</v>
      </c>
      <c r="BG309" s="229">
        <f t="shared" si="241"/>
        <v>13</v>
      </c>
      <c r="BH309" s="229">
        <f t="shared" si="242"/>
        <v>0</v>
      </c>
      <c r="BI309" s="234" cm="1">
        <f t="array" ref="BI309">K309/IF($L309&gt;0, INDEX($AU$23:$BA$77, $L309+20, $AH309), 1)</f>
        <v>0</v>
      </c>
      <c r="BJ309" s="230">
        <f t="shared" si="435"/>
        <v>0</v>
      </c>
      <c r="BK309" s="229">
        <v>35</v>
      </c>
      <c r="BL309" s="230">
        <f t="shared" si="436"/>
        <v>48</v>
      </c>
      <c r="BM309" s="235">
        <f t="shared" si="437"/>
        <v>2.9108720930232557</v>
      </c>
      <c r="BN309" s="235" cm="1">
        <f t="array" ref="BN309">$BI309 * SUMPRODUCT(INDEX($AR$77:$AT$82,,$AI309),INDEX($AU$77:$BA$82,,$AH309), N($AQ$77:$AQ$82&gt;$AO309)) / BM309 / 1000</f>
        <v>0</v>
      </c>
      <c r="BO309" s="232">
        <f t="shared" si="246"/>
        <v>30</v>
      </c>
      <c r="BP309" s="230">
        <f t="shared" si="438"/>
        <v>43</v>
      </c>
      <c r="BQ309" s="235">
        <f t="shared" si="439"/>
        <v>3.2938815789473681</v>
      </c>
      <c r="BR309" s="235" cm="1">
        <f t="array" ref="BR309">$BI309 * IF($AH309&lt;=2,
SUMPRODUCT(INDEX($AR$72:$AT$76,,$AI309), INDEX($AU$72:$BA$76,,$AH309), 1 / ($BB$72:$BB$76*BQ309 + (1-$BB$72:$BB$76)*BM309), N($AQ$72:$AQ$76&gt;$AO309)),
SUMPRODUCT(INDEX($AR$67:$AT$76,,$AI309), INDEX($AU$67:$BA$76,,$AH309), 1 / ($BC$67:$BC$76*BQ309 + (1-$BC$67:$BC$76)*BM309), N($AQ$67:$AQ$76&gt;$AO309))
) / 1000</f>
        <v>0</v>
      </c>
      <c r="BS309" s="232">
        <f t="shared" si="249"/>
        <v>25</v>
      </c>
      <c r="BT309" s="230">
        <f t="shared" si="440"/>
        <v>38</v>
      </c>
      <c r="BU309" s="235">
        <f t="shared" si="441"/>
        <v>3.792954545454545</v>
      </c>
      <c r="BV309" s="235" cm="1">
        <f t="array" ref="BV309">$BI309 * IF($AH309&lt;=2,
SUMPRODUCT(INDEX($AR$67:$AT$71,,$AI309), INDEX($AU$67:$BA$71,,$AH309), 1 / ($BB$67:$BB$71*BU309 + (1-$BB$67:$BB$71)*BQ309), N($AQ$67:$AQ$71&gt;$AO309)),
SUMPRODUCT(INDEX($AR$57:$AT$66,,$AI309), INDEX($AU$57:$BA$66,,$AH309), 1 / ($BC$57:$BC$66*BU309 + (1-$BC$57:$BC$66)*BQ309), N($AQ$57:$AQ$66&gt;$AO309))
) / 1000</f>
        <v>0</v>
      </c>
      <c r="BW309" s="232">
        <f t="shared" si="252"/>
        <v>20</v>
      </c>
      <c r="BX309" s="230">
        <f t="shared" si="442"/>
        <v>33</v>
      </c>
      <c r="BY309" s="235">
        <f t="shared" si="443"/>
        <v>4.4702678571428569</v>
      </c>
      <c r="BZ309" s="235" cm="1">
        <f t="array" ref="BZ309">$BI309 * IF($AH309&lt;=2,
SUMPRODUCT(INDEX($AR$62:$AT$66,,$AI309), INDEX($AU$62:$BA$66,,$AH309), 1 / ($BB$62:$BB$66*BY309 + (1-$BB$62:$BB$66)*BU309), N($AQ$62:$AQ$66&gt;$AO309)),
SUMPRODUCT(INDEX($AR$47:$AT$56,,$AI309), INDEX($AU$47:$BA$56,,$AH309), 1 / ($BC$47:$BC$56*BY309 + (1-$BC$47:$BC$56)*BU309), N($AQ$47:$AQ$56&gt;$AO309))
) / 1000</f>
        <v>0</v>
      </c>
      <c r="CA309" s="235" cm="1">
        <f t="array" ref="CA309">$BI309 * IF($AH309&lt;=2,
SUMPRODUCT(INDEX($AR$23:$AT$61,,$AI309), INDEX($AU$23:$BA$61,,$AH309), 1 / ($BB$23:$BB$61*BY309), N($AQ$23:$AQ$61&gt;$AO309)),
SUMPRODUCT(INDEX($AR$23:$AT$46,,$AI309), INDEX($AU$23:$BA$46,,$AH309), 1 / ($BC$23:$BC$46*BY309), N($AQ$23:$AQ$46&gt;$AO309))
) / 1000</f>
        <v>0</v>
      </c>
      <c r="CB309" s="230">
        <f t="shared" si="444"/>
        <v>0</v>
      </c>
      <c r="CC309" s="238"/>
      <c r="CD309" s="229" cm="1">
        <f t="array" ref="CD309">IF(ISBLANK(Y309), INDEX(Use, $AH309, 4) - AN309*INDEX(Use, $AH309, 6) - (Q309-X309), Y309)</f>
        <v>7</v>
      </c>
      <c r="CE309" s="229">
        <f t="shared" si="445"/>
        <v>32</v>
      </c>
      <c r="CF309" s="230">
        <f t="shared" si="446"/>
        <v>0</v>
      </c>
      <c r="CG309" s="229">
        <v>35</v>
      </c>
      <c r="CH309" s="230">
        <f t="shared" si="447"/>
        <v>48</v>
      </c>
      <c r="CI309" s="235">
        <f t="shared" si="448"/>
        <v>3.0748170731707316</v>
      </c>
      <c r="CJ309" s="235" cm="1">
        <f t="array" ref="CJ309">$BI309 * SUMPRODUCT(INDEX($AR$77:$AT$82,,$AI309),INDEX($AU$77:$BA$82,,$AH309), N($AQ$77:$AQ$82&gt;$AO309)) / CI309 / 1000</f>
        <v>0</v>
      </c>
      <c r="CK309" s="232">
        <f t="shared" si="260"/>
        <v>30</v>
      </c>
      <c r="CL309" s="230">
        <f t="shared" si="449"/>
        <v>43</v>
      </c>
      <c r="CM309" s="235">
        <f t="shared" si="450"/>
        <v>3.5018750000000001</v>
      </c>
      <c r="CN309" s="235" cm="1">
        <f t="array" ref="CN309">$BI309 * IF($AH309&lt;=2,
SUMPRODUCT(INDEX($AR$72:$AT$76,,$AI309), INDEX($AU$72:$BA$76,,$AH309), 1 / ($BB$72:$BB$76*CM309 + (1-$BB$72:$BB$76)*CI309), N($AQ$72:$AQ$76&gt;$AO309)),
SUMPRODUCT(INDEX($AR$67:$AT$76,,$AI309), INDEX($AU$67:$BA$76,,$AH309), 1 / ($BC$67:$BC$76*CM309 + (1-$BC$67:$BC$76)*CI309), N($AQ$67:$AQ$76&gt;$AO309))
) / 1000</f>
        <v>0</v>
      </c>
      <c r="CO309" s="232">
        <f t="shared" si="263"/>
        <v>25</v>
      </c>
      <c r="CP309" s="230">
        <f t="shared" si="451"/>
        <v>38</v>
      </c>
      <c r="CQ309" s="235">
        <f t="shared" si="452"/>
        <v>4.0666935483870965</v>
      </c>
      <c r="CR309" s="235" cm="1">
        <f t="array" ref="CR309">$BI309 * IF($AH309&lt;=2,
SUMPRODUCT(INDEX($AR$67:$AT$71,,$AI309), INDEX($AU$67:$BA$71,,$AH309), 1 / ($BB$67:$BB$71*CQ309 + (1-$BB$67:$BB$71)*CM309), N($AQ$67:$AQ$71&gt;$AO309)),
SUMPRODUCT(INDEX($AR$57:$AT$66,,$AI309), INDEX($AU$57:$BA$66,,$AH309), 1 / ($BC$57:$BC$66*CQ309 + (1-$BC$57:$BC$66)*CM309), N($AQ$57:$AQ$66&gt;$AO309))
) / 1000</f>
        <v>0</v>
      </c>
      <c r="CS309" s="232">
        <f t="shared" si="266"/>
        <v>20</v>
      </c>
      <c r="CT309" s="230">
        <f t="shared" si="453"/>
        <v>33</v>
      </c>
      <c r="CU309" s="235">
        <f t="shared" si="454"/>
        <v>4.8487499999999999</v>
      </c>
      <c r="CV309" s="235" cm="1">
        <f t="array" ref="CV309">$BI309 * IF($AH309&lt;=2,
SUMPRODUCT(INDEX($AR$62:$AT$66,,$AI309), INDEX($AU$62:$BA$66,,$AH309), 1 / ($BB$62:$BB$66*CU309 + (1-$BB$62:$BB$66)*CQ309), N($AQ$62:$AQ$66&gt;$AO309)),
SUMPRODUCT(INDEX($AR$47:$AT$56,,$AI309), INDEX($AU$47:$BA$56,,$AH309), 1 / ($BC$47:$BC$56*CU309 + (1-$BC$47:$BC$56)*CQ309), N($AQ$47:$AQ$56&gt;$AO309))
) / 1000</f>
        <v>0</v>
      </c>
      <c r="CW309" s="235" cm="1">
        <f t="array" ref="CW309">$BI309 * IF($AH309&lt;=2,
SUMPRODUCT(INDEX($AR$23:$AT$61,,$AI309), INDEX($AU$23:$BA$61,,$AH309), 1 / ($BB$23:$BB$61*CU309), N($AQ$23:$AQ$61&gt;$AO309)),
SUMPRODUCT(INDEX($AR$23:$AT$46,,$AI309), INDEX($AU$23:$BA$46,,$AH309), 1 / ($BC$23:$BC$46*CU309), N($AQ$23:$AQ$46&gt;$AO309))
) / 1000</f>
        <v>0</v>
      </c>
      <c r="CX309" s="230">
        <f t="shared" si="455"/>
        <v>0</v>
      </c>
      <c r="CY309" s="238"/>
    </row>
    <row r="310" spans="1:103" s="76" customFormat="1" ht="14.25" customHeight="1" x14ac:dyDescent="0.2">
      <c r="A310" s="231" t="b">
        <f t="shared" si="229"/>
        <v>0</v>
      </c>
      <c r="B310" s="245">
        <v>288</v>
      </c>
      <c r="C310" s="258"/>
      <c r="D310" s="258"/>
      <c r="E310" s="246"/>
      <c r="F310" s="247" t="str">
        <f>IF(ISBLANK(E310), "", VLOOKUP(E310, Z!$A$2:$C$4127, 3, FALSE))</f>
        <v/>
      </c>
      <c r="G310" s="248"/>
      <c r="H310" s="248"/>
      <c r="I310" s="249"/>
      <c r="J310" s="250"/>
      <c r="K310" s="259"/>
      <c r="L310" s="260"/>
      <c r="M310" s="252" t="str" cm="1">
        <f t="array" ref="M310">INDEX(Trad, 53, $A$20)</f>
        <v>Verschmutzt</v>
      </c>
      <c r="N310" s="253"/>
      <c r="O310" s="253"/>
      <c r="P310" s="254"/>
      <c r="Q310" s="251"/>
      <c r="R310" s="251"/>
      <c r="S310" s="264">
        <f t="shared" si="430"/>
        <v>0</v>
      </c>
      <c r="T310" s="252" t="str" cm="1">
        <f t="array" ref="T310">INDEX(Trad, 52, $A$20)</f>
        <v>Sauber</v>
      </c>
      <c r="U310" s="253"/>
      <c r="V310" s="253"/>
      <c r="W310" s="254"/>
      <c r="X310" s="251"/>
      <c r="Y310" s="251"/>
      <c r="Z310" s="264">
        <f t="shared" si="431"/>
        <v>0</v>
      </c>
      <c r="AA310" s="261"/>
      <c r="AB310" s="258"/>
      <c r="AC310" s="246"/>
      <c r="AD310" s="247" t="str">
        <f>IF(ISBLANK(AC310), "", VLOOKUP(AC310, Z!$A$2:$C$4127, 3, FALSE))</f>
        <v/>
      </c>
      <c r="AE310" s="262"/>
      <c r="AF310" s="263">
        <f t="shared" si="432"/>
        <v>0</v>
      </c>
      <c r="AG310" s="238"/>
      <c r="AH310" s="229">
        <f t="shared" si="456"/>
        <v>1</v>
      </c>
      <c r="AI310" s="229">
        <f t="shared" si="457"/>
        <v>1</v>
      </c>
      <c r="AJ310" s="229">
        <f t="shared" si="458"/>
        <v>0</v>
      </c>
      <c r="AK310" s="229">
        <v>0</v>
      </c>
      <c r="AL310" s="229">
        <v>0</v>
      </c>
      <c r="AM310" s="229">
        <v>1</v>
      </c>
      <c r="AN310" s="229">
        <v>0</v>
      </c>
      <c r="AO310" s="229">
        <f t="shared" si="433"/>
        <v>-100</v>
      </c>
      <c r="AP310" s="238"/>
      <c r="AQ310" s="255"/>
      <c r="AR310" s="255"/>
      <c r="AS310" s="256"/>
      <c r="AT310" s="256"/>
      <c r="AU310" s="256"/>
      <c r="AV310" s="256"/>
      <c r="AW310" s="256"/>
      <c r="AX310" s="256"/>
      <c r="AY310" s="256"/>
      <c r="AZ310" s="256"/>
      <c r="BA310" s="256"/>
      <c r="BB310" s="256"/>
      <c r="BC310" s="256"/>
      <c r="BD310" s="238"/>
      <c r="BE310" s="229" cm="1">
        <f t="array" ref="BE310">IF(ISBLANK(R310), INDEX(Use, $AH310, 4) - AM310*INDEX(Use, $AH310, 6), R310)</f>
        <v>5</v>
      </c>
      <c r="BF310" s="229">
        <f t="shared" si="434"/>
        <v>30</v>
      </c>
      <c r="BG310" s="229">
        <f t="shared" si="241"/>
        <v>13</v>
      </c>
      <c r="BH310" s="229">
        <f t="shared" si="242"/>
        <v>0</v>
      </c>
      <c r="BI310" s="234" cm="1">
        <f t="array" ref="BI310">K310/IF($L310&gt;0, INDEX($AU$23:$BA$77, $L310+20, $AH310), 1)</f>
        <v>0</v>
      </c>
      <c r="BJ310" s="230">
        <f t="shared" si="435"/>
        <v>0</v>
      </c>
      <c r="BK310" s="229">
        <v>35</v>
      </c>
      <c r="BL310" s="230">
        <f t="shared" si="436"/>
        <v>48</v>
      </c>
      <c r="BM310" s="235">
        <f t="shared" si="437"/>
        <v>2.9108720930232557</v>
      </c>
      <c r="BN310" s="235" cm="1">
        <f t="array" ref="BN310">$BI310 * SUMPRODUCT(INDEX($AR$77:$AT$82,,$AI310),INDEX($AU$77:$BA$82,,$AH310), N($AQ$77:$AQ$82&gt;$AO310)) / BM310 / 1000</f>
        <v>0</v>
      </c>
      <c r="BO310" s="232">
        <f t="shared" si="246"/>
        <v>30</v>
      </c>
      <c r="BP310" s="230">
        <f t="shared" si="438"/>
        <v>43</v>
      </c>
      <c r="BQ310" s="235">
        <f t="shared" si="439"/>
        <v>3.2938815789473681</v>
      </c>
      <c r="BR310" s="235" cm="1">
        <f t="array" ref="BR310">$BI310 * IF($AH310&lt;=2,
SUMPRODUCT(INDEX($AR$72:$AT$76,,$AI310), INDEX($AU$72:$BA$76,,$AH310), 1 / ($BB$72:$BB$76*BQ310 + (1-$BB$72:$BB$76)*BM310), N($AQ$72:$AQ$76&gt;$AO310)),
SUMPRODUCT(INDEX($AR$67:$AT$76,,$AI310), INDEX($AU$67:$BA$76,,$AH310), 1 / ($BC$67:$BC$76*BQ310 + (1-$BC$67:$BC$76)*BM310), N($AQ$67:$AQ$76&gt;$AO310))
) / 1000</f>
        <v>0</v>
      </c>
      <c r="BS310" s="232">
        <f t="shared" si="249"/>
        <v>25</v>
      </c>
      <c r="BT310" s="230">
        <f t="shared" si="440"/>
        <v>38</v>
      </c>
      <c r="BU310" s="235">
        <f t="shared" si="441"/>
        <v>3.792954545454545</v>
      </c>
      <c r="BV310" s="235" cm="1">
        <f t="array" ref="BV310">$BI310 * IF($AH310&lt;=2,
SUMPRODUCT(INDEX($AR$67:$AT$71,,$AI310), INDEX($AU$67:$BA$71,,$AH310), 1 / ($BB$67:$BB$71*BU310 + (1-$BB$67:$BB$71)*BQ310), N($AQ$67:$AQ$71&gt;$AO310)),
SUMPRODUCT(INDEX($AR$57:$AT$66,,$AI310), INDEX($AU$57:$BA$66,,$AH310), 1 / ($BC$57:$BC$66*BU310 + (1-$BC$57:$BC$66)*BQ310), N($AQ$57:$AQ$66&gt;$AO310))
) / 1000</f>
        <v>0</v>
      </c>
      <c r="BW310" s="232">
        <f t="shared" si="252"/>
        <v>20</v>
      </c>
      <c r="BX310" s="230">
        <f t="shared" si="442"/>
        <v>33</v>
      </c>
      <c r="BY310" s="235">
        <f t="shared" si="443"/>
        <v>4.4702678571428569</v>
      </c>
      <c r="BZ310" s="235" cm="1">
        <f t="array" ref="BZ310">$BI310 * IF($AH310&lt;=2,
SUMPRODUCT(INDEX($AR$62:$AT$66,,$AI310), INDEX($AU$62:$BA$66,,$AH310), 1 / ($BB$62:$BB$66*BY310 + (1-$BB$62:$BB$66)*BU310), N($AQ$62:$AQ$66&gt;$AO310)),
SUMPRODUCT(INDEX($AR$47:$AT$56,,$AI310), INDEX($AU$47:$BA$56,,$AH310), 1 / ($BC$47:$BC$56*BY310 + (1-$BC$47:$BC$56)*BU310), N($AQ$47:$AQ$56&gt;$AO310))
) / 1000</f>
        <v>0</v>
      </c>
      <c r="CA310" s="235" cm="1">
        <f t="array" ref="CA310">$BI310 * IF($AH310&lt;=2,
SUMPRODUCT(INDEX($AR$23:$AT$61,,$AI310), INDEX($AU$23:$BA$61,,$AH310), 1 / ($BB$23:$BB$61*BY310), N($AQ$23:$AQ$61&gt;$AO310)),
SUMPRODUCT(INDEX($AR$23:$AT$46,,$AI310), INDEX($AU$23:$BA$46,,$AH310), 1 / ($BC$23:$BC$46*BY310), N($AQ$23:$AQ$46&gt;$AO310))
) / 1000</f>
        <v>0</v>
      </c>
      <c r="CB310" s="230">
        <f t="shared" si="444"/>
        <v>0</v>
      </c>
      <c r="CC310" s="238"/>
      <c r="CD310" s="229" cm="1">
        <f t="array" ref="CD310">IF(ISBLANK(Y310), INDEX(Use, $AH310, 4) - AN310*INDEX(Use, $AH310, 6) - (Q310-X310), Y310)</f>
        <v>7</v>
      </c>
      <c r="CE310" s="229">
        <f t="shared" si="445"/>
        <v>32</v>
      </c>
      <c r="CF310" s="230">
        <f t="shared" si="446"/>
        <v>0</v>
      </c>
      <c r="CG310" s="229">
        <v>35</v>
      </c>
      <c r="CH310" s="230">
        <f t="shared" si="447"/>
        <v>48</v>
      </c>
      <c r="CI310" s="235">
        <f t="shared" si="448"/>
        <v>3.0748170731707316</v>
      </c>
      <c r="CJ310" s="235" cm="1">
        <f t="array" ref="CJ310">$BI310 * SUMPRODUCT(INDEX($AR$77:$AT$82,,$AI310),INDEX($AU$77:$BA$82,,$AH310), N($AQ$77:$AQ$82&gt;$AO310)) / CI310 / 1000</f>
        <v>0</v>
      </c>
      <c r="CK310" s="232">
        <f t="shared" si="260"/>
        <v>30</v>
      </c>
      <c r="CL310" s="230">
        <f t="shared" si="449"/>
        <v>43</v>
      </c>
      <c r="CM310" s="235">
        <f t="shared" si="450"/>
        <v>3.5018750000000001</v>
      </c>
      <c r="CN310" s="235" cm="1">
        <f t="array" ref="CN310">$BI310 * IF($AH310&lt;=2,
SUMPRODUCT(INDEX($AR$72:$AT$76,,$AI310), INDEX($AU$72:$BA$76,,$AH310), 1 / ($BB$72:$BB$76*CM310 + (1-$BB$72:$BB$76)*CI310), N($AQ$72:$AQ$76&gt;$AO310)),
SUMPRODUCT(INDEX($AR$67:$AT$76,,$AI310), INDEX($AU$67:$BA$76,,$AH310), 1 / ($BC$67:$BC$76*CM310 + (1-$BC$67:$BC$76)*CI310), N($AQ$67:$AQ$76&gt;$AO310))
) / 1000</f>
        <v>0</v>
      </c>
      <c r="CO310" s="232">
        <f t="shared" si="263"/>
        <v>25</v>
      </c>
      <c r="CP310" s="230">
        <f t="shared" si="451"/>
        <v>38</v>
      </c>
      <c r="CQ310" s="235">
        <f t="shared" si="452"/>
        <v>4.0666935483870965</v>
      </c>
      <c r="CR310" s="235" cm="1">
        <f t="array" ref="CR310">$BI310 * IF($AH310&lt;=2,
SUMPRODUCT(INDEX($AR$67:$AT$71,,$AI310), INDEX($AU$67:$BA$71,,$AH310), 1 / ($BB$67:$BB$71*CQ310 + (1-$BB$67:$BB$71)*CM310), N($AQ$67:$AQ$71&gt;$AO310)),
SUMPRODUCT(INDEX($AR$57:$AT$66,,$AI310), INDEX($AU$57:$BA$66,,$AH310), 1 / ($BC$57:$BC$66*CQ310 + (1-$BC$57:$BC$66)*CM310), N($AQ$57:$AQ$66&gt;$AO310))
) / 1000</f>
        <v>0</v>
      </c>
      <c r="CS310" s="232">
        <f t="shared" si="266"/>
        <v>20</v>
      </c>
      <c r="CT310" s="230">
        <f t="shared" si="453"/>
        <v>33</v>
      </c>
      <c r="CU310" s="235">
        <f t="shared" si="454"/>
        <v>4.8487499999999999</v>
      </c>
      <c r="CV310" s="235" cm="1">
        <f t="array" ref="CV310">$BI310 * IF($AH310&lt;=2,
SUMPRODUCT(INDEX($AR$62:$AT$66,,$AI310), INDEX($AU$62:$BA$66,,$AH310), 1 / ($BB$62:$BB$66*CU310 + (1-$BB$62:$BB$66)*CQ310), N($AQ$62:$AQ$66&gt;$AO310)),
SUMPRODUCT(INDEX($AR$47:$AT$56,,$AI310), INDEX($AU$47:$BA$56,,$AH310), 1 / ($BC$47:$BC$56*CU310 + (1-$BC$47:$BC$56)*CQ310), N($AQ$47:$AQ$56&gt;$AO310))
) / 1000</f>
        <v>0</v>
      </c>
      <c r="CW310" s="235" cm="1">
        <f t="array" ref="CW310">$BI310 * IF($AH310&lt;=2,
SUMPRODUCT(INDEX($AR$23:$AT$61,,$AI310), INDEX($AU$23:$BA$61,,$AH310), 1 / ($BB$23:$BB$61*CU310), N($AQ$23:$AQ$61&gt;$AO310)),
SUMPRODUCT(INDEX($AR$23:$AT$46,,$AI310), INDEX($AU$23:$BA$46,,$AH310), 1 / ($BC$23:$BC$46*CU310), N($AQ$23:$AQ$46&gt;$AO310))
) / 1000</f>
        <v>0</v>
      </c>
      <c r="CX310" s="230">
        <f t="shared" si="455"/>
        <v>0</v>
      </c>
      <c r="CY310" s="238"/>
    </row>
    <row r="311" spans="1:103" s="76" customFormat="1" ht="14.25" customHeight="1" x14ac:dyDescent="0.2">
      <c r="A311" s="231" t="b">
        <f t="shared" si="229"/>
        <v>0</v>
      </c>
      <c r="B311" s="245">
        <v>289</v>
      </c>
      <c r="C311" s="258"/>
      <c r="D311" s="258"/>
      <c r="E311" s="246"/>
      <c r="F311" s="247" t="str">
        <f>IF(ISBLANK(E311), "", VLOOKUP(E311, Z!$A$2:$C$4127, 3, FALSE))</f>
        <v/>
      </c>
      <c r="G311" s="248"/>
      <c r="H311" s="248"/>
      <c r="I311" s="249"/>
      <c r="J311" s="250"/>
      <c r="K311" s="259"/>
      <c r="L311" s="260"/>
      <c r="M311" s="252" t="str" cm="1">
        <f t="array" ref="M311">INDEX(Trad, 53, $A$20)</f>
        <v>Verschmutzt</v>
      </c>
      <c r="N311" s="253"/>
      <c r="O311" s="253"/>
      <c r="P311" s="254"/>
      <c r="Q311" s="251"/>
      <c r="R311" s="251"/>
      <c r="S311" s="264">
        <f t="shared" si="430"/>
        <v>0</v>
      </c>
      <c r="T311" s="252" t="str" cm="1">
        <f t="array" ref="T311">INDEX(Trad, 52, $A$20)</f>
        <v>Sauber</v>
      </c>
      <c r="U311" s="253"/>
      <c r="V311" s="253"/>
      <c r="W311" s="254"/>
      <c r="X311" s="251"/>
      <c r="Y311" s="251"/>
      <c r="Z311" s="264">
        <f t="shared" si="431"/>
        <v>0</v>
      </c>
      <c r="AA311" s="261"/>
      <c r="AB311" s="258"/>
      <c r="AC311" s="246"/>
      <c r="AD311" s="247" t="str">
        <f>IF(ISBLANK(AC311), "", VLOOKUP(AC311, Z!$A$2:$C$4127, 3, FALSE))</f>
        <v/>
      </c>
      <c r="AE311" s="262"/>
      <c r="AF311" s="263">
        <f t="shared" si="432"/>
        <v>0</v>
      </c>
      <c r="AG311" s="238"/>
      <c r="AH311" s="229">
        <f t="shared" si="456"/>
        <v>1</v>
      </c>
      <c r="AI311" s="229">
        <f t="shared" si="457"/>
        <v>1</v>
      </c>
      <c r="AJ311" s="229">
        <f t="shared" si="458"/>
        <v>0</v>
      </c>
      <c r="AK311" s="229">
        <v>0</v>
      </c>
      <c r="AL311" s="229">
        <v>0</v>
      </c>
      <c r="AM311" s="229">
        <v>1</v>
      </c>
      <c r="AN311" s="229">
        <v>0</v>
      </c>
      <c r="AO311" s="229">
        <f t="shared" si="433"/>
        <v>-100</v>
      </c>
      <c r="AP311" s="238"/>
      <c r="AQ311" s="255"/>
      <c r="AR311" s="255"/>
      <c r="AS311" s="256"/>
      <c r="AT311" s="256"/>
      <c r="AU311" s="256"/>
      <c r="AV311" s="256"/>
      <c r="AW311" s="256"/>
      <c r="AX311" s="256"/>
      <c r="AY311" s="256"/>
      <c r="AZ311" s="256"/>
      <c r="BA311" s="256"/>
      <c r="BB311" s="256"/>
      <c r="BC311" s="256"/>
      <c r="BD311" s="238"/>
      <c r="BE311" s="229" cm="1">
        <f t="array" ref="BE311">IF(ISBLANK(R311), INDEX(Use, $AH311, 4) - AM311*INDEX(Use, $AH311, 6), R311)</f>
        <v>5</v>
      </c>
      <c r="BF311" s="229">
        <f t="shared" si="434"/>
        <v>30</v>
      </c>
      <c r="BG311" s="229">
        <f t="shared" si="241"/>
        <v>13</v>
      </c>
      <c r="BH311" s="229">
        <f t="shared" si="242"/>
        <v>0</v>
      </c>
      <c r="BI311" s="234" cm="1">
        <f t="array" ref="BI311">K311/IF($L311&gt;0, INDEX($AU$23:$BA$77, $L311+20, $AH311), 1)</f>
        <v>0</v>
      </c>
      <c r="BJ311" s="230">
        <f t="shared" si="435"/>
        <v>0</v>
      </c>
      <c r="BK311" s="229">
        <v>35</v>
      </c>
      <c r="BL311" s="230">
        <f t="shared" si="436"/>
        <v>48</v>
      </c>
      <c r="BM311" s="235">
        <f t="shared" si="437"/>
        <v>2.9108720930232557</v>
      </c>
      <c r="BN311" s="235" cm="1">
        <f t="array" ref="BN311">$BI311 * SUMPRODUCT(INDEX($AR$77:$AT$82,,$AI311),INDEX($AU$77:$BA$82,,$AH311), N($AQ$77:$AQ$82&gt;$AO311)) / BM311 / 1000</f>
        <v>0</v>
      </c>
      <c r="BO311" s="232">
        <f t="shared" si="246"/>
        <v>30</v>
      </c>
      <c r="BP311" s="230">
        <f t="shared" si="438"/>
        <v>43</v>
      </c>
      <c r="BQ311" s="235">
        <f t="shared" si="439"/>
        <v>3.2938815789473681</v>
      </c>
      <c r="BR311" s="235" cm="1">
        <f t="array" ref="BR311">$BI311 * IF($AH311&lt;=2,
SUMPRODUCT(INDEX($AR$72:$AT$76,,$AI311), INDEX($AU$72:$BA$76,,$AH311), 1 / ($BB$72:$BB$76*BQ311 + (1-$BB$72:$BB$76)*BM311), N($AQ$72:$AQ$76&gt;$AO311)),
SUMPRODUCT(INDEX($AR$67:$AT$76,,$AI311), INDEX($AU$67:$BA$76,,$AH311), 1 / ($BC$67:$BC$76*BQ311 + (1-$BC$67:$BC$76)*BM311), N($AQ$67:$AQ$76&gt;$AO311))
) / 1000</f>
        <v>0</v>
      </c>
      <c r="BS311" s="232">
        <f t="shared" si="249"/>
        <v>25</v>
      </c>
      <c r="BT311" s="230">
        <f t="shared" si="440"/>
        <v>38</v>
      </c>
      <c r="BU311" s="235">
        <f t="shared" si="441"/>
        <v>3.792954545454545</v>
      </c>
      <c r="BV311" s="235" cm="1">
        <f t="array" ref="BV311">$BI311 * IF($AH311&lt;=2,
SUMPRODUCT(INDEX($AR$67:$AT$71,,$AI311), INDEX($AU$67:$BA$71,,$AH311), 1 / ($BB$67:$BB$71*BU311 + (1-$BB$67:$BB$71)*BQ311), N($AQ$67:$AQ$71&gt;$AO311)),
SUMPRODUCT(INDEX($AR$57:$AT$66,,$AI311), INDEX($AU$57:$BA$66,,$AH311), 1 / ($BC$57:$BC$66*BU311 + (1-$BC$57:$BC$66)*BQ311), N($AQ$57:$AQ$66&gt;$AO311))
) / 1000</f>
        <v>0</v>
      </c>
      <c r="BW311" s="232">
        <f t="shared" si="252"/>
        <v>20</v>
      </c>
      <c r="BX311" s="230">
        <f t="shared" si="442"/>
        <v>33</v>
      </c>
      <c r="BY311" s="235">
        <f t="shared" si="443"/>
        <v>4.4702678571428569</v>
      </c>
      <c r="BZ311" s="235" cm="1">
        <f t="array" ref="BZ311">$BI311 * IF($AH311&lt;=2,
SUMPRODUCT(INDEX($AR$62:$AT$66,,$AI311), INDEX($AU$62:$BA$66,,$AH311), 1 / ($BB$62:$BB$66*BY311 + (1-$BB$62:$BB$66)*BU311), N($AQ$62:$AQ$66&gt;$AO311)),
SUMPRODUCT(INDEX($AR$47:$AT$56,,$AI311), INDEX($AU$47:$BA$56,,$AH311), 1 / ($BC$47:$BC$56*BY311 + (1-$BC$47:$BC$56)*BU311), N($AQ$47:$AQ$56&gt;$AO311))
) / 1000</f>
        <v>0</v>
      </c>
      <c r="CA311" s="235" cm="1">
        <f t="array" ref="CA311">$BI311 * IF($AH311&lt;=2,
SUMPRODUCT(INDEX($AR$23:$AT$61,,$AI311), INDEX($AU$23:$BA$61,,$AH311), 1 / ($BB$23:$BB$61*BY311), N($AQ$23:$AQ$61&gt;$AO311)),
SUMPRODUCT(INDEX($AR$23:$AT$46,,$AI311), INDEX($AU$23:$BA$46,,$AH311), 1 / ($BC$23:$BC$46*BY311), N($AQ$23:$AQ$46&gt;$AO311))
) / 1000</f>
        <v>0</v>
      </c>
      <c r="CB311" s="230">
        <f t="shared" si="444"/>
        <v>0</v>
      </c>
      <c r="CC311" s="238"/>
      <c r="CD311" s="229" cm="1">
        <f t="array" ref="CD311">IF(ISBLANK(Y311), INDEX(Use, $AH311, 4) - AN311*INDEX(Use, $AH311, 6) - (Q311-X311), Y311)</f>
        <v>7</v>
      </c>
      <c r="CE311" s="229">
        <f t="shared" si="445"/>
        <v>32</v>
      </c>
      <c r="CF311" s="230">
        <f t="shared" si="446"/>
        <v>0</v>
      </c>
      <c r="CG311" s="229">
        <v>35</v>
      </c>
      <c r="CH311" s="230">
        <f t="shared" si="447"/>
        <v>48</v>
      </c>
      <c r="CI311" s="235">
        <f t="shared" si="448"/>
        <v>3.0748170731707316</v>
      </c>
      <c r="CJ311" s="235" cm="1">
        <f t="array" ref="CJ311">$BI311 * SUMPRODUCT(INDEX($AR$77:$AT$82,,$AI311),INDEX($AU$77:$BA$82,,$AH311), N($AQ$77:$AQ$82&gt;$AO311)) / CI311 / 1000</f>
        <v>0</v>
      </c>
      <c r="CK311" s="232">
        <f t="shared" si="260"/>
        <v>30</v>
      </c>
      <c r="CL311" s="230">
        <f t="shared" si="449"/>
        <v>43</v>
      </c>
      <c r="CM311" s="235">
        <f t="shared" si="450"/>
        <v>3.5018750000000001</v>
      </c>
      <c r="CN311" s="235" cm="1">
        <f t="array" ref="CN311">$BI311 * IF($AH311&lt;=2,
SUMPRODUCT(INDEX($AR$72:$AT$76,,$AI311), INDEX($AU$72:$BA$76,,$AH311), 1 / ($BB$72:$BB$76*CM311 + (1-$BB$72:$BB$76)*CI311), N($AQ$72:$AQ$76&gt;$AO311)),
SUMPRODUCT(INDEX($AR$67:$AT$76,,$AI311), INDEX($AU$67:$BA$76,,$AH311), 1 / ($BC$67:$BC$76*CM311 + (1-$BC$67:$BC$76)*CI311), N($AQ$67:$AQ$76&gt;$AO311))
) / 1000</f>
        <v>0</v>
      </c>
      <c r="CO311" s="232">
        <f t="shared" si="263"/>
        <v>25</v>
      </c>
      <c r="CP311" s="230">
        <f t="shared" si="451"/>
        <v>38</v>
      </c>
      <c r="CQ311" s="235">
        <f t="shared" si="452"/>
        <v>4.0666935483870965</v>
      </c>
      <c r="CR311" s="235" cm="1">
        <f t="array" ref="CR311">$BI311 * IF($AH311&lt;=2,
SUMPRODUCT(INDEX($AR$67:$AT$71,,$AI311), INDEX($AU$67:$BA$71,,$AH311), 1 / ($BB$67:$BB$71*CQ311 + (1-$BB$67:$BB$71)*CM311), N($AQ$67:$AQ$71&gt;$AO311)),
SUMPRODUCT(INDEX($AR$57:$AT$66,,$AI311), INDEX($AU$57:$BA$66,,$AH311), 1 / ($BC$57:$BC$66*CQ311 + (1-$BC$57:$BC$66)*CM311), N($AQ$57:$AQ$66&gt;$AO311))
) / 1000</f>
        <v>0</v>
      </c>
      <c r="CS311" s="232">
        <f t="shared" si="266"/>
        <v>20</v>
      </c>
      <c r="CT311" s="230">
        <f t="shared" si="453"/>
        <v>33</v>
      </c>
      <c r="CU311" s="235">
        <f t="shared" si="454"/>
        <v>4.8487499999999999</v>
      </c>
      <c r="CV311" s="235" cm="1">
        <f t="array" ref="CV311">$BI311 * IF($AH311&lt;=2,
SUMPRODUCT(INDEX($AR$62:$AT$66,,$AI311), INDEX($AU$62:$BA$66,,$AH311), 1 / ($BB$62:$BB$66*CU311 + (1-$BB$62:$BB$66)*CQ311), N($AQ$62:$AQ$66&gt;$AO311)),
SUMPRODUCT(INDEX($AR$47:$AT$56,,$AI311), INDEX($AU$47:$BA$56,,$AH311), 1 / ($BC$47:$BC$56*CU311 + (1-$BC$47:$BC$56)*CQ311), N($AQ$47:$AQ$56&gt;$AO311))
) / 1000</f>
        <v>0</v>
      </c>
      <c r="CW311" s="235" cm="1">
        <f t="array" ref="CW311">$BI311 * IF($AH311&lt;=2,
SUMPRODUCT(INDEX($AR$23:$AT$61,,$AI311), INDEX($AU$23:$BA$61,,$AH311), 1 / ($BB$23:$BB$61*CU311), N($AQ$23:$AQ$61&gt;$AO311)),
SUMPRODUCT(INDEX($AR$23:$AT$46,,$AI311), INDEX($AU$23:$BA$46,,$AH311), 1 / ($BC$23:$BC$46*CU311), N($AQ$23:$AQ$46&gt;$AO311))
) / 1000</f>
        <v>0</v>
      </c>
      <c r="CX311" s="230">
        <f t="shared" si="455"/>
        <v>0</v>
      </c>
      <c r="CY311" s="238"/>
    </row>
    <row r="312" spans="1:103" s="76" customFormat="1" ht="14.25" customHeight="1" x14ac:dyDescent="0.2">
      <c r="A312" s="231" t="b">
        <f t="shared" si="229"/>
        <v>0</v>
      </c>
      <c r="B312" s="245">
        <v>290</v>
      </c>
      <c r="C312" s="258"/>
      <c r="D312" s="258"/>
      <c r="E312" s="246"/>
      <c r="F312" s="247" t="str">
        <f>IF(ISBLANK(E312), "", VLOOKUP(E312, Z!$A$2:$C$4127, 3, FALSE))</f>
        <v/>
      </c>
      <c r="G312" s="248"/>
      <c r="H312" s="248"/>
      <c r="I312" s="249"/>
      <c r="J312" s="250"/>
      <c r="K312" s="259"/>
      <c r="L312" s="260"/>
      <c r="M312" s="252" t="str" cm="1">
        <f t="array" ref="M312">INDEX(Trad, 53, $A$20)</f>
        <v>Verschmutzt</v>
      </c>
      <c r="N312" s="253"/>
      <c r="O312" s="253"/>
      <c r="P312" s="254"/>
      <c r="Q312" s="251"/>
      <c r="R312" s="251"/>
      <c r="S312" s="264">
        <f t="shared" si="430"/>
        <v>0</v>
      </c>
      <c r="T312" s="252" t="str" cm="1">
        <f t="array" ref="T312">INDEX(Trad, 52, $A$20)</f>
        <v>Sauber</v>
      </c>
      <c r="U312" s="253"/>
      <c r="V312" s="253"/>
      <c r="W312" s="254"/>
      <c r="X312" s="251"/>
      <c r="Y312" s="251"/>
      <c r="Z312" s="264">
        <f t="shared" si="431"/>
        <v>0</v>
      </c>
      <c r="AA312" s="261"/>
      <c r="AB312" s="258"/>
      <c r="AC312" s="246"/>
      <c r="AD312" s="247" t="str">
        <f>IF(ISBLANK(AC312), "", VLOOKUP(AC312, Z!$A$2:$C$4127, 3, FALSE))</f>
        <v/>
      </c>
      <c r="AE312" s="262"/>
      <c r="AF312" s="263">
        <f t="shared" si="432"/>
        <v>0</v>
      </c>
      <c r="AG312" s="238"/>
      <c r="AH312" s="229">
        <f t="shared" si="456"/>
        <v>1</v>
      </c>
      <c r="AI312" s="229">
        <f t="shared" si="457"/>
        <v>1</v>
      </c>
      <c r="AJ312" s="229">
        <f t="shared" si="458"/>
        <v>0</v>
      </c>
      <c r="AK312" s="229">
        <v>0</v>
      </c>
      <c r="AL312" s="229">
        <v>0</v>
      </c>
      <c r="AM312" s="229">
        <v>1</v>
      </c>
      <c r="AN312" s="229">
        <v>0</v>
      </c>
      <c r="AO312" s="229">
        <f t="shared" si="433"/>
        <v>-100</v>
      </c>
      <c r="AP312" s="238"/>
      <c r="AQ312" s="255"/>
      <c r="AR312" s="255"/>
      <c r="AS312" s="256"/>
      <c r="AT312" s="256"/>
      <c r="AU312" s="256"/>
      <c r="AV312" s="256"/>
      <c r="AW312" s="256"/>
      <c r="AX312" s="256"/>
      <c r="AY312" s="256"/>
      <c r="AZ312" s="256"/>
      <c r="BA312" s="256"/>
      <c r="BB312" s="256"/>
      <c r="BC312" s="256"/>
      <c r="BD312" s="238"/>
      <c r="BE312" s="229" cm="1">
        <f t="array" ref="BE312">IF(ISBLANK(R312), INDEX(Use, $AH312, 4) - AM312*INDEX(Use, $AH312, 6), R312)</f>
        <v>5</v>
      </c>
      <c r="BF312" s="229">
        <f t="shared" si="434"/>
        <v>30</v>
      </c>
      <c r="BG312" s="229">
        <f t="shared" si="241"/>
        <v>13</v>
      </c>
      <c r="BH312" s="229">
        <f t="shared" si="242"/>
        <v>0</v>
      </c>
      <c r="BI312" s="234" cm="1">
        <f t="array" ref="BI312">K312/IF($L312&gt;0, INDEX($AU$23:$BA$77, $L312+20, $AH312), 1)</f>
        <v>0</v>
      </c>
      <c r="BJ312" s="230">
        <f t="shared" si="435"/>
        <v>0</v>
      </c>
      <c r="BK312" s="229">
        <v>35</v>
      </c>
      <c r="BL312" s="230">
        <f t="shared" si="436"/>
        <v>48</v>
      </c>
      <c r="BM312" s="235">
        <f t="shared" si="437"/>
        <v>2.9108720930232557</v>
      </c>
      <c r="BN312" s="235" cm="1">
        <f t="array" ref="BN312">$BI312 * SUMPRODUCT(INDEX($AR$77:$AT$82,,$AI312),INDEX($AU$77:$BA$82,,$AH312), N($AQ$77:$AQ$82&gt;$AO312)) / BM312 / 1000</f>
        <v>0</v>
      </c>
      <c r="BO312" s="232">
        <f t="shared" si="246"/>
        <v>30</v>
      </c>
      <c r="BP312" s="230">
        <f t="shared" si="438"/>
        <v>43</v>
      </c>
      <c r="BQ312" s="235">
        <f t="shared" si="439"/>
        <v>3.2938815789473681</v>
      </c>
      <c r="BR312" s="235" cm="1">
        <f t="array" ref="BR312">$BI312 * IF($AH312&lt;=2,
SUMPRODUCT(INDEX($AR$72:$AT$76,,$AI312), INDEX($AU$72:$BA$76,,$AH312), 1 / ($BB$72:$BB$76*BQ312 + (1-$BB$72:$BB$76)*BM312), N($AQ$72:$AQ$76&gt;$AO312)),
SUMPRODUCT(INDEX($AR$67:$AT$76,,$AI312), INDEX($AU$67:$BA$76,,$AH312), 1 / ($BC$67:$BC$76*BQ312 + (1-$BC$67:$BC$76)*BM312), N($AQ$67:$AQ$76&gt;$AO312))
) / 1000</f>
        <v>0</v>
      </c>
      <c r="BS312" s="232">
        <f t="shared" si="249"/>
        <v>25</v>
      </c>
      <c r="BT312" s="230">
        <f t="shared" si="440"/>
        <v>38</v>
      </c>
      <c r="BU312" s="235">
        <f t="shared" si="441"/>
        <v>3.792954545454545</v>
      </c>
      <c r="BV312" s="235" cm="1">
        <f t="array" ref="BV312">$BI312 * IF($AH312&lt;=2,
SUMPRODUCT(INDEX($AR$67:$AT$71,,$AI312), INDEX($AU$67:$BA$71,,$AH312), 1 / ($BB$67:$BB$71*BU312 + (1-$BB$67:$BB$71)*BQ312), N($AQ$67:$AQ$71&gt;$AO312)),
SUMPRODUCT(INDEX($AR$57:$AT$66,,$AI312), INDEX($AU$57:$BA$66,,$AH312), 1 / ($BC$57:$BC$66*BU312 + (1-$BC$57:$BC$66)*BQ312), N($AQ$57:$AQ$66&gt;$AO312))
) / 1000</f>
        <v>0</v>
      </c>
      <c r="BW312" s="232">
        <f t="shared" si="252"/>
        <v>20</v>
      </c>
      <c r="BX312" s="230">
        <f t="shared" si="442"/>
        <v>33</v>
      </c>
      <c r="BY312" s="235">
        <f t="shared" si="443"/>
        <v>4.4702678571428569</v>
      </c>
      <c r="BZ312" s="235" cm="1">
        <f t="array" ref="BZ312">$BI312 * IF($AH312&lt;=2,
SUMPRODUCT(INDEX($AR$62:$AT$66,,$AI312), INDEX($AU$62:$BA$66,,$AH312), 1 / ($BB$62:$BB$66*BY312 + (1-$BB$62:$BB$66)*BU312), N($AQ$62:$AQ$66&gt;$AO312)),
SUMPRODUCT(INDEX($AR$47:$AT$56,,$AI312), INDEX($AU$47:$BA$56,,$AH312), 1 / ($BC$47:$BC$56*BY312 + (1-$BC$47:$BC$56)*BU312), N($AQ$47:$AQ$56&gt;$AO312))
) / 1000</f>
        <v>0</v>
      </c>
      <c r="CA312" s="235" cm="1">
        <f t="array" ref="CA312">$BI312 * IF($AH312&lt;=2,
SUMPRODUCT(INDEX($AR$23:$AT$61,,$AI312), INDEX($AU$23:$BA$61,,$AH312), 1 / ($BB$23:$BB$61*BY312), N($AQ$23:$AQ$61&gt;$AO312)),
SUMPRODUCT(INDEX($AR$23:$AT$46,,$AI312), INDEX($AU$23:$BA$46,,$AH312), 1 / ($BC$23:$BC$46*BY312), N($AQ$23:$AQ$46&gt;$AO312))
) / 1000</f>
        <v>0</v>
      </c>
      <c r="CB312" s="230">
        <f t="shared" si="444"/>
        <v>0</v>
      </c>
      <c r="CC312" s="238"/>
      <c r="CD312" s="229" cm="1">
        <f t="array" ref="CD312">IF(ISBLANK(Y312), INDEX(Use, $AH312, 4) - AN312*INDEX(Use, $AH312, 6) - (Q312-X312), Y312)</f>
        <v>7</v>
      </c>
      <c r="CE312" s="229">
        <f t="shared" si="445"/>
        <v>32</v>
      </c>
      <c r="CF312" s="230">
        <f t="shared" si="446"/>
        <v>0</v>
      </c>
      <c r="CG312" s="229">
        <v>35</v>
      </c>
      <c r="CH312" s="230">
        <f t="shared" si="447"/>
        <v>48</v>
      </c>
      <c r="CI312" s="235">
        <f t="shared" si="448"/>
        <v>3.0748170731707316</v>
      </c>
      <c r="CJ312" s="235" cm="1">
        <f t="array" ref="CJ312">$BI312 * SUMPRODUCT(INDEX($AR$77:$AT$82,,$AI312),INDEX($AU$77:$BA$82,,$AH312), N($AQ$77:$AQ$82&gt;$AO312)) / CI312 / 1000</f>
        <v>0</v>
      </c>
      <c r="CK312" s="232">
        <f t="shared" si="260"/>
        <v>30</v>
      </c>
      <c r="CL312" s="230">
        <f t="shared" si="449"/>
        <v>43</v>
      </c>
      <c r="CM312" s="235">
        <f t="shared" si="450"/>
        <v>3.5018750000000001</v>
      </c>
      <c r="CN312" s="235" cm="1">
        <f t="array" ref="CN312">$BI312 * IF($AH312&lt;=2,
SUMPRODUCT(INDEX($AR$72:$AT$76,,$AI312), INDEX($AU$72:$BA$76,,$AH312), 1 / ($BB$72:$BB$76*CM312 + (1-$BB$72:$BB$76)*CI312), N($AQ$72:$AQ$76&gt;$AO312)),
SUMPRODUCT(INDEX($AR$67:$AT$76,,$AI312), INDEX($AU$67:$BA$76,,$AH312), 1 / ($BC$67:$BC$76*CM312 + (1-$BC$67:$BC$76)*CI312), N($AQ$67:$AQ$76&gt;$AO312))
) / 1000</f>
        <v>0</v>
      </c>
      <c r="CO312" s="232">
        <f t="shared" si="263"/>
        <v>25</v>
      </c>
      <c r="CP312" s="230">
        <f t="shared" si="451"/>
        <v>38</v>
      </c>
      <c r="CQ312" s="235">
        <f t="shared" si="452"/>
        <v>4.0666935483870965</v>
      </c>
      <c r="CR312" s="235" cm="1">
        <f t="array" ref="CR312">$BI312 * IF($AH312&lt;=2,
SUMPRODUCT(INDEX($AR$67:$AT$71,,$AI312), INDEX($AU$67:$BA$71,,$AH312), 1 / ($BB$67:$BB$71*CQ312 + (1-$BB$67:$BB$71)*CM312), N($AQ$67:$AQ$71&gt;$AO312)),
SUMPRODUCT(INDEX($AR$57:$AT$66,,$AI312), INDEX($AU$57:$BA$66,,$AH312), 1 / ($BC$57:$BC$66*CQ312 + (1-$BC$57:$BC$66)*CM312), N($AQ$57:$AQ$66&gt;$AO312))
) / 1000</f>
        <v>0</v>
      </c>
      <c r="CS312" s="232">
        <f t="shared" si="266"/>
        <v>20</v>
      </c>
      <c r="CT312" s="230">
        <f t="shared" si="453"/>
        <v>33</v>
      </c>
      <c r="CU312" s="235">
        <f t="shared" si="454"/>
        <v>4.8487499999999999</v>
      </c>
      <c r="CV312" s="235" cm="1">
        <f t="array" ref="CV312">$BI312 * IF($AH312&lt;=2,
SUMPRODUCT(INDEX($AR$62:$AT$66,,$AI312), INDEX($AU$62:$BA$66,,$AH312), 1 / ($BB$62:$BB$66*CU312 + (1-$BB$62:$BB$66)*CQ312), N($AQ$62:$AQ$66&gt;$AO312)),
SUMPRODUCT(INDEX($AR$47:$AT$56,,$AI312), INDEX($AU$47:$BA$56,,$AH312), 1 / ($BC$47:$BC$56*CU312 + (1-$BC$47:$BC$56)*CQ312), N($AQ$47:$AQ$56&gt;$AO312))
) / 1000</f>
        <v>0</v>
      </c>
      <c r="CW312" s="235" cm="1">
        <f t="array" ref="CW312">$BI312 * IF($AH312&lt;=2,
SUMPRODUCT(INDEX($AR$23:$AT$61,,$AI312), INDEX($AU$23:$BA$61,,$AH312), 1 / ($BB$23:$BB$61*CU312), N($AQ$23:$AQ$61&gt;$AO312)),
SUMPRODUCT(INDEX($AR$23:$AT$46,,$AI312), INDEX($AU$23:$BA$46,,$AH312), 1 / ($BC$23:$BC$46*CU312), N($AQ$23:$AQ$46&gt;$AO312))
) / 1000</f>
        <v>0</v>
      </c>
      <c r="CX312" s="230">
        <f t="shared" si="455"/>
        <v>0</v>
      </c>
      <c r="CY312" s="238"/>
    </row>
    <row r="313" spans="1:103" s="76" customFormat="1" ht="14.25" customHeight="1" x14ac:dyDescent="0.2">
      <c r="A313" s="231" t="b">
        <f t="shared" si="229"/>
        <v>0</v>
      </c>
      <c r="B313" s="245">
        <v>291</v>
      </c>
      <c r="C313" s="258"/>
      <c r="D313" s="258"/>
      <c r="E313" s="246"/>
      <c r="F313" s="247" t="str">
        <f>IF(ISBLANK(E313), "", VLOOKUP(E313, Z!$A$2:$C$4127, 3, FALSE))</f>
        <v/>
      </c>
      <c r="G313" s="248"/>
      <c r="H313" s="248"/>
      <c r="I313" s="249"/>
      <c r="J313" s="250"/>
      <c r="K313" s="259"/>
      <c r="L313" s="260"/>
      <c r="M313" s="252" t="str" cm="1">
        <f t="array" ref="M313">INDEX(Trad, 53, $A$20)</f>
        <v>Verschmutzt</v>
      </c>
      <c r="N313" s="253"/>
      <c r="O313" s="253"/>
      <c r="P313" s="254"/>
      <c r="Q313" s="251"/>
      <c r="R313" s="251"/>
      <c r="S313" s="264">
        <f t="shared" si="430"/>
        <v>0</v>
      </c>
      <c r="T313" s="252" t="str" cm="1">
        <f t="array" ref="T313">INDEX(Trad, 52, $A$20)</f>
        <v>Sauber</v>
      </c>
      <c r="U313" s="253"/>
      <c r="V313" s="253"/>
      <c r="W313" s="254"/>
      <c r="X313" s="251"/>
      <c r="Y313" s="251"/>
      <c r="Z313" s="264">
        <f t="shared" si="431"/>
        <v>0</v>
      </c>
      <c r="AA313" s="261"/>
      <c r="AB313" s="258"/>
      <c r="AC313" s="246"/>
      <c r="AD313" s="247" t="str">
        <f>IF(ISBLANK(AC313), "", VLOOKUP(AC313, Z!$A$2:$C$4127, 3, FALSE))</f>
        <v/>
      </c>
      <c r="AE313" s="262"/>
      <c r="AF313" s="263">
        <f t="shared" si="432"/>
        <v>0</v>
      </c>
      <c r="AG313" s="238"/>
      <c r="AH313" s="229">
        <f t="shared" si="456"/>
        <v>1</v>
      </c>
      <c r="AI313" s="229">
        <f t="shared" si="457"/>
        <v>1</v>
      </c>
      <c r="AJ313" s="229">
        <f t="shared" si="458"/>
        <v>0</v>
      </c>
      <c r="AK313" s="229">
        <v>0</v>
      </c>
      <c r="AL313" s="229">
        <v>0</v>
      </c>
      <c r="AM313" s="229">
        <v>1</v>
      </c>
      <c r="AN313" s="229">
        <v>0</v>
      </c>
      <c r="AO313" s="229">
        <f t="shared" si="433"/>
        <v>-100</v>
      </c>
      <c r="AP313" s="238"/>
      <c r="AQ313" s="255"/>
      <c r="AR313" s="255"/>
      <c r="AS313" s="256"/>
      <c r="AT313" s="256"/>
      <c r="AU313" s="256"/>
      <c r="AV313" s="256"/>
      <c r="AW313" s="256"/>
      <c r="AX313" s="256"/>
      <c r="AY313" s="256"/>
      <c r="AZ313" s="256"/>
      <c r="BA313" s="256"/>
      <c r="BB313" s="256"/>
      <c r="BC313" s="256"/>
      <c r="BD313" s="238"/>
      <c r="BE313" s="229" cm="1">
        <f t="array" ref="BE313">IF(ISBLANK(R313), INDEX(Use, $AH313, 4) - AM313*INDEX(Use, $AH313, 6), R313)</f>
        <v>5</v>
      </c>
      <c r="BF313" s="229">
        <f t="shared" si="434"/>
        <v>30</v>
      </c>
      <c r="BG313" s="229">
        <f t="shared" si="241"/>
        <v>13</v>
      </c>
      <c r="BH313" s="229">
        <f t="shared" si="242"/>
        <v>0</v>
      </c>
      <c r="BI313" s="234" cm="1">
        <f t="array" ref="BI313">K313/IF($L313&gt;0, INDEX($AU$23:$BA$77, $L313+20, $AH313), 1)</f>
        <v>0</v>
      </c>
      <c r="BJ313" s="230">
        <f t="shared" si="435"/>
        <v>0</v>
      </c>
      <c r="BK313" s="229">
        <v>35</v>
      </c>
      <c r="BL313" s="230">
        <f t="shared" si="436"/>
        <v>48</v>
      </c>
      <c r="BM313" s="235">
        <f t="shared" si="437"/>
        <v>2.9108720930232557</v>
      </c>
      <c r="BN313" s="235" cm="1">
        <f t="array" ref="BN313">$BI313 * SUMPRODUCT(INDEX($AR$77:$AT$82,,$AI313),INDEX($AU$77:$BA$82,,$AH313), N($AQ$77:$AQ$82&gt;$AO313)) / BM313 / 1000</f>
        <v>0</v>
      </c>
      <c r="BO313" s="232">
        <f t="shared" si="246"/>
        <v>30</v>
      </c>
      <c r="BP313" s="230">
        <f t="shared" si="438"/>
        <v>43</v>
      </c>
      <c r="BQ313" s="235">
        <f t="shared" si="439"/>
        <v>3.2938815789473681</v>
      </c>
      <c r="BR313" s="235" cm="1">
        <f t="array" ref="BR313">$BI313 * IF($AH313&lt;=2,
SUMPRODUCT(INDEX($AR$72:$AT$76,,$AI313), INDEX($AU$72:$BA$76,,$AH313), 1 / ($BB$72:$BB$76*BQ313 + (1-$BB$72:$BB$76)*BM313), N($AQ$72:$AQ$76&gt;$AO313)),
SUMPRODUCT(INDEX($AR$67:$AT$76,,$AI313), INDEX($AU$67:$BA$76,,$AH313), 1 / ($BC$67:$BC$76*BQ313 + (1-$BC$67:$BC$76)*BM313), N($AQ$67:$AQ$76&gt;$AO313))
) / 1000</f>
        <v>0</v>
      </c>
      <c r="BS313" s="232">
        <f t="shared" si="249"/>
        <v>25</v>
      </c>
      <c r="BT313" s="230">
        <f t="shared" si="440"/>
        <v>38</v>
      </c>
      <c r="BU313" s="235">
        <f t="shared" si="441"/>
        <v>3.792954545454545</v>
      </c>
      <c r="BV313" s="235" cm="1">
        <f t="array" ref="BV313">$BI313 * IF($AH313&lt;=2,
SUMPRODUCT(INDEX($AR$67:$AT$71,,$AI313), INDEX($AU$67:$BA$71,,$AH313), 1 / ($BB$67:$BB$71*BU313 + (1-$BB$67:$BB$71)*BQ313), N($AQ$67:$AQ$71&gt;$AO313)),
SUMPRODUCT(INDEX($AR$57:$AT$66,,$AI313), INDEX($AU$57:$BA$66,,$AH313), 1 / ($BC$57:$BC$66*BU313 + (1-$BC$57:$BC$66)*BQ313), N($AQ$57:$AQ$66&gt;$AO313))
) / 1000</f>
        <v>0</v>
      </c>
      <c r="BW313" s="232">
        <f t="shared" si="252"/>
        <v>20</v>
      </c>
      <c r="BX313" s="230">
        <f t="shared" si="442"/>
        <v>33</v>
      </c>
      <c r="BY313" s="235">
        <f t="shared" si="443"/>
        <v>4.4702678571428569</v>
      </c>
      <c r="BZ313" s="235" cm="1">
        <f t="array" ref="BZ313">$BI313 * IF($AH313&lt;=2,
SUMPRODUCT(INDEX($AR$62:$AT$66,,$AI313), INDEX($AU$62:$BA$66,,$AH313), 1 / ($BB$62:$BB$66*BY313 + (1-$BB$62:$BB$66)*BU313), N($AQ$62:$AQ$66&gt;$AO313)),
SUMPRODUCT(INDEX($AR$47:$AT$56,,$AI313), INDEX($AU$47:$BA$56,,$AH313), 1 / ($BC$47:$BC$56*BY313 + (1-$BC$47:$BC$56)*BU313), N($AQ$47:$AQ$56&gt;$AO313))
) / 1000</f>
        <v>0</v>
      </c>
      <c r="CA313" s="235" cm="1">
        <f t="array" ref="CA313">$BI313 * IF($AH313&lt;=2,
SUMPRODUCT(INDEX($AR$23:$AT$61,,$AI313), INDEX($AU$23:$BA$61,,$AH313), 1 / ($BB$23:$BB$61*BY313), N($AQ$23:$AQ$61&gt;$AO313)),
SUMPRODUCT(INDEX($AR$23:$AT$46,,$AI313), INDEX($AU$23:$BA$46,,$AH313), 1 / ($BC$23:$BC$46*BY313), N($AQ$23:$AQ$46&gt;$AO313))
) / 1000</f>
        <v>0</v>
      </c>
      <c r="CB313" s="230">
        <f t="shared" si="444"/>
        <v>0</v>
      </c>
      <c r="CC313" s="238"/>
      <c r="CD313" s="229" cm="1">
        <f t="array" ref="CD313">IF(ISBLANK(Y313), INDEX(Use, $AH313, 4) - AN313*INDEX(Use, $AH313, 6) - (Q313-X313), Y313)</f>
        <v>7</v>
      </c>
      <c r="CE313" s="229">
        <f t="shared" si="445"/>
        <v>32</v>
      </c>
      <c r="CF313" s="230">
        <f t="shared" si="446"/>
        <v>0</v>
      </c>
      <c r="CG313" s="229">
        <v>35</v>
      </c>
      <c r="CH313" s="230">
        <f t="shared" si="447"/>
        <v>48</v>
      </c>
      <c r="CI313" s="235">
        <f t="shared" si="448"/>
        <v>3.0748170731707316</v>
      </c>
      <c r="CJ313" s="235" cm="1">
        <f t="array" ref="CJ313">$BI313 * SUMPRODUCT(INDEX($AR$77:$AT$82,,$AI313),INDEX($AU$77:$BA$82,,$AH313), N($AQ$77:$AQ$82&gt;$AO313)) / CI313 / 1000</f>
        <v>0</v>
      </c>
      <c r="CK313" s="232">
        <f t="shared" si="260"/>
        <v>30</v>
      </c>
      <c r="CL313" s="230">
        <f t="shared" si="449"/>
        <v>43</v>
      </c>
      <c r="CM313" s="235">
        <f t="shared" si="450"/>
        <v>3.5018750000000001</v>
      </c>
      <c r="CN313" s="235" cm="1">
        <f t="array" ref="CN313">$BI313 * IF($AH313&lt;=2,
SUMPRODUCT(INDEX($AR$72:$AT$76,,$AI313), INDEX($AU$72:$BA$76,,$AH313), 1 / ($BB$72:$BB$76*CM313 + (1-$BB$72:$BB$76)*CI313), N($AQ$72:$AQ$76&gt;$AO313)),
SUMPRODUCT(INDEX($AR$67:$AT$76,,$AI313), INDEX($AU$67:$BA$76,,$AH313), 1 / ($BC$67:$BC$76*CM313 + (1-$BC$67:$BC$76)*CI313), N($AQ$67:$AQ$76&gt;$AO313))
) / 1000</f>
        <v>0</v>
      </c>
      <c r="CO313" s="232">
        <f t="shared" si="263"/>
        <v>25</v>
      </c>
      <c r="CP313" s="230">
        <f t="shared" si="451"/>
        <v>38</v>
      </c>
      <c r="CQ313" s="235">
        <f t="shared" si="452"/>
        <v>4.0666935483870965</v>
      </c>
      <c r="CR313" s="235" cm="1">
        <f t="array" ref="CR313">$BI313 * IF($AH313&lt;=2,
SUMPRODUCT(INDEX($AR$67:$AT$71,,$AI313), INDEX($AU$67:$BA$71,,$AH313), 1 / ($BB$67:$BB$71*CQ313 + (1-$BB$67:$BB$71)*CM313), N($AQ$67:$AQ$71&gt;$AO313)),
SUMPRODUCT(INDEX($AR$57:$AT$66,,$AI313), INDEX($AU$57:$BA$66,,$AH313), 1 / ($BC$57:$BC$66*CQ313 + (1-$BC$57:$BC$66)*CM313), N($AQ$57:$AQ$66&gt;$AO313))
) / 1000</f>
        <v>0</v>
      </c>
      <c r="CS313" s="232">
        <f t="shared" si="266"/>
        <v>20</v>
      </c>
      <c r="CT313" s="230">
        <f t="shared" si="453"/>
        <v>33</v>
      </c>
      <c r="CU313" s="235">
        <f t="shared" si="454"/>
        <v>4.8487499999999999</v>
      </c>
      <c r="CV313" s="235" cm="1">
        <f t="array" ref="CV313">$BI313 * IF($AH313&lt;=2,
SUMPRODUCT(INDEX($AR$62:$AT$66,,$AI313), INDEX($AU$62:$BA$66,,$AH313), 1 / ($BB$62:$BB$66*CU313 + (1-$BB$62:$BB$66)*CQ313), N($AQ$62:$AQ$66&gt;$AO313)),
SUMPRODUCT(INDEX($AR$47:$AT$56,,$AI313), INDEX($AU$47:$BA$56,,$AH313), 1 / ($BC$47:$BC$56*CU313 + (1-$BC$47:$BC$56)*CQ313), N($AQ$47:$AQ$56&gt;$AO313))
) / 1000</f>
        <v>0</v>
      </c>
      <c r="CW313" s="235" cm="1">
        <f t="array" ref="CW313">$BI313 * IF($AH313&lt;=2,
SUMPRODUCT(INDEX($AR$23:$AT$61,,$AI313), INDEX($AU$23:$BA$61,,$AH313), 1 / ($BB$23:$BB$61*CU313), N($AQ$23:$AQ$61&gt;$AO313)),
SUMPRODUCT(INDEX($AR$23:$AT$46,,$AI313), INDEX($AU$23:$BA$46,,$AH313), 1 / ($BC$23:$BC$46*CU313), N($AQ$23:$AQ$46&gt;$AO313))
) / 1000</f>
        <v>0</v>
      </c>
      <c r="CX313" s="230">
        <f t="shared" si="455"/>
        <v>0</v>
      </c>
      <c r="CY313" s="238"/>
    </row>
    <row r="314" spans="1:103" s="76" customFormat="1" ht="14.25" customHeight="1" x14ac:dyDescent="0.2">
      <c r="A314" s="231" t="b">
        <f t="shared" si="229"/>
        <v>0</v>
      </c>
      <c r="B314" s="245">
        <v>292</v>
      </c>
      <c r="C314" s="258"/>
      <c r="D314" s="258"/>
      <c r="E314" s="246"/>
      <c r="F314" s="247" t="str">
        <f>IF(ISBLANK(E314), "", VLOOKUP(E314, Z!$A$2:$C$4127, 3, FALSE))</f>
        <v/>
      </c>
      <c r="G314" s="248"/>
      <c r="H314" s="248"/>
      <c r="I314" s="249"/>
      <c r="J314" s="250"/>
      <c r="K314" s="259"/>
      <c r="L314" s="260"/>
      <c r="M314" s="252" t="str" cm="1">
        <f t="array" ref="M314">INDEX(Trad, 53, $A$20)</f>
        <v>Verschmutzt</v>
      </c>
      <c r="N314" s="253"/>
      <c r="O314" s="253"/>
      <c r="P314" s="254"/>
      <c r="Q314" s="251"/>
      <c r="R314" s="251"/>
      <c r="S314" s="264">
        <f t="shared" si="430"/>
        <v>0</v>
      </c>
      <c r="T314" s="252" t="str" cm="1">
        <f t="array" ref="T314">INDEX(Trad, 52, $A$20)</f>
        <v>Sauber</v>
      </c>
      <c r="U314" s="253"/>
      <c r="V314" s="253"/>
      <c r="W314" s="254"/>
      <c r="X314" s="251"/>
      <c r="Y314" s="251"/>
      <c r="Z314" s="264">
        <f t="shared" si="431"/>
        <v>0</v>
      </c>
      <c r="AA314" s="261"/>
      <c r="AB314" s="258"/>
      <c r="AC314" s="246"/>
      <c r="AD314" s="247" t="str">
        <f>IF(ISBLANK(AC314), "", VLOOKUP(AC314, Z!$A$2:$C$4127, 3, FALSE))</f>
        <v/>
      </c>
      <c r="AE314" s="262"/>
      <c r="AF314" s="263">
        <f t="shared" si="432"/>
        <v>0</v>
      </c>
      <c r="AG314" s="238"/>
      <c r="AH314" s="229">
        <f t="shared" si="456"/>
        <v>1</v>
      </c>
      <c r="AI314" s="229">
        <f t="shared" si="457"/>
        <v>1</v>
      </c>
      <c r="AJ314" s="229">
        <f t="shared" si="458"/>
        <v>0</v>
      </c>
      <c r="AK314" s="229">
        <v>0</v>
      </c>
      <c r="AL314" s="229">
        <v>0</v>
      </c>
      <c r="AM314" s="229">
        <v>1</v>
      </c>
      <c r="AN314" s="229">
        <v>0</v>
      </c>
      <c r="AO314" s="229">
        <f t="shared" si="433"/>
        <v>-100</v>
      </c>
      <c r="AP314" s="238"/>
      <c r="AQ314" s="255"/>
      <c r="AR314" s="255"/>
      <c r="AS314" s="256"/>
      <c r="AT314" s="256"/>
      <c r="AU314" s="256"/>
      <c r="AV314" s="256"/>
      <c r="AW314" s="256"/>
      <c r="AX314" s="256"/>
      <c r="AY314" s="256"/>
      <c r="AZ314" s="256"/>
      <c r="BA314" s="256"/>
      <c r="BB314" s="256"/>
      <c r="BC314" s="256"/>
      <c r="BD314" s="238"/>
      <c r="BE314" s="229" cm="1">
        <f t="array" ref="BE314">IF(ISBLANK(R314), INDEX(Use, $AH314, 4) - AM314*INDEX(Use, $AH314, 6), R314)</f>
        <v>5</v>
      </c>
      <c r="BF314" s="229">
        <f t="shared" si="434"/>
        <v>30</v>
      </c>
      <c r="BG314" s="229">
        <f t="shared" si="241"/>
        <v>13</v>
      </c>
      <c r="BH314" s="229">
        <f t="shared" si="242"/>
        <v>0</v>
      </c>
      <c r="BI314" s="234" cm="1">
        <f t="array" ref="BI314">K314/IF($L314&gt;0, INDEX($AU$23:$BA$77, $L314+20, $AH314), 1)</f>
        <v>0</v>
      </c>
      <c r="BJ314" s="230">
        <f t="shared" si="435"/>
        <v>0</v>
      </c>
      <c r="BK314" s="229">
        <v>35</v>
      </c>
      <c r="BL314" s="230">
        <f t="shared" si="436"/>
        <v>48</v>
      </c>
      <c r="BM314" s="235">
        <f t="shared" si="437"/>
        <v>2.9108720930232557</v>
      </c>
      <c r="BN314" s="235" cm="1">
        <f t="array" ref="BN314">$BI314 * SUMPRODUCT(INDEX($AR$77:$AT$82,,$AI314),INDEX($AU$77:$BA$82,,$AH314), N($AQ$77:$AQ$82&gt;$AO314)) / BM314 / 1000</f>
        <v>0</v>
      </c>
      <c r="BO314" s="232">
        <f t="shared" si="246"/>
        <v>30</v>
      </c>
      <c r="BP314" s="230">
        <f t="shared" si="438"/>
        <v>43</v>
      </c>
      <c r="BQ314" s="235">
        <f t="shared" si="439"/>
        <v>3.2938815789473681</v>
      </c>
      <c r="BR314" s="235" cm="1">
        <f t="array" ref="BR314">$BI314 * IF($AH314&lt;=2,
SUMPRODUCT(INDEX($AR$72:$AT$76,,$AI314), INDEX($AU$72:$BA$76,,$AH314), 1 / ($BB$72:$BB$76*BQ314 + (1-$BB$72:$BB$76)*BM314), N($AQ$72:$AQ$76&gt;$AO314)),
SUMPRODUCT(INDEX($AR$67:$AT$76,,$AI314), INDEX($AU$67:$BA$76,,$AH314), 1 / ($BC$67:$BC$76*BQ314 + (1-$BC$67:$BC$76)*BM314), N($AQ$67:$AQ$76&gt;$AO314))
) / 1000</f>
        <v>0</v>
      </c>
      <c r="BS314" s="232">
        <f t="shared" si="249"/>
        <v>25</v>
      </c>
      <c r="BT314" s="230">
        <f t="shared" si="440"/>
        <v>38</v>
      </c>
      <c r="BU314" s="235">
        <f t="shared" si="441"/>
        <v>3.792954545454545</v>
      </c>
      <c r="BV314" s="235" cm="1">
        <f t="array" ref="BV314">$BI314 * IF($AH314&lt;=2,
SUMPRODUCT(INDEX($AR$67:$AT$71,,$AI314), INDEX($AU$67:$BA$71,,$AH314), 1 / ($BB$67:$BB$71*BU314 + (1-$BB$67:$BB$71)*BQ314), N($AQ$67:$AQ$71&gt;$AO314)),
SUMPRODUCT(INDEX($AR$57:$AT$66,,$AI314), INDEX($AU$57:$BA$66,,$AH314), 1 / ($BC$57:$BC$66*BU314 + (1-$BC$57:$BC$66)*BQ314), N($AQ$57:$AQ$66&gt;$AO314))
) / 1000</f>
        <v>0</v>
      </c>
      <c r="BW314" s="232">
        <f t="shared" si="252"/>
        <v>20</v>
      </c>
      <c r="BX314" s="230">
        <f t="shared" si="442"/>
        <v>33</v>
      </c>
      <c r="BY314" s="235">
        <f t="shared" si="443"/>
        <v>4.4702678571428569</v>
      </c>
      <c r="BZ314" s="235" cm="1">
        <f t="array" ref="BZ314">$BI314 * IF($AH314&lt;=2,
SUMPRODUCT(INDEX($AR$62:$AT$66,,$AI314), INDEX($AU$62:$BA$66,,$AH314), 1 / ($BB$62:$BB$66*BY314 + (1-$BB$62:$BB$66)*BU314), N($AQ$62:$AQ$66&gt;$AO314)),
SUMPRODUCT(INDEX($AR$47:$AT$56,,$AI314), INDEX($AU$47:$BA$56,,$AH314), 1 / ($BC$47:$BC$56*BY314 + (1-$BC$47:$BC$56)*BU314), N($AQ$47:$AQ$56&gt;$AO314))
) / 1000</f>
        <v>0</v>
      </c>
      <c r="CA314" s="235" cm="1">
        <f t="array" ref="CA314">$BI314 * IF($AH314&lt;=2,
SUMPRODUCT(INDEX($AR$23:$AT$61,,$AI314), INDEX($AU$23:$BA$61,,$AH314), 1 / ($BB$23:$BB$61*BY314), N($AQ$23:$AQ$61&gt;$AO314)),
SUMPRODUCT(INDEX($AR$23:$AT$46,,$AI314), INDEX($AU$23:$BA$46,,$AH314), 1 / ($BC$23:$BC$46*BY314), N($AQ$23:$AQ$46&gt;$AO314))
) / 1000</f>
        <v>0</v>
      </c>
      <c r="CB314" s="230">
        <f t="shared" si="444"/>
        <v>0</v>
      </c>
      <c r="CC314" s="238"/>
      <c r="CD314" s="229" cm="1">
        <f t="array" ref="CD314">IF(ISBLANK(Y314), INDEX(Use, $AH314, 4) - AN314*INDEX(Use, $AH314, 6) - (Q314-X314), Y314)</f>
        <v>7</v>
      </c>
      <c r="CE314" s="229">
        <f t="shared" si="445"/>
        <v>32</v>
      </c>
      <c r="CF314" s="230">
        <f t="shared" si="446"/>
        <v>0</v>
      </c>
      <c r="CG314" s="229">
        <v>35</v>
      </c>
      <c r="CH314" s="230">
        <f t="shared" si="447"/>
        <v>48</v>
      </c>
      <c r="CI314" s="235">
        <f t="shared" si="448"/>
        <v>3.0748170731707316</v>
      </c>
      <c r="CJ314" s="235" cm="1">
        <f t="array" ref="CJ314">$BI314 * SUMPRODUCT(INDEX($AR$77:$AT$82,,$AI314),INDEX($AU$77:$BA$82,,$AH314), N($AQ$77:$AQ$82&gt;$AO314)) / CI314 / 1000</f>
        <v>0</v>
      </c>
      <c r="CK314" s="232">
        <f t="shared" si="260"/>
        <v>30</v>
      </c>
      <c r="CL314" s="230">
        <f t="shared" si="449"/>
        <v>43</v>
      </c>
      <c r="CM314" s="235">
        <f t="shared" si="450"/>
        <v>3.5018750000000001</v>
      </c>
      <c r="CN314" s="235" cm="1">
        <f t="array" ref="CN314">$BI314 * IF($AH314&lt;=2,
SUMPRODUCT(INDEX($AR$72:$AT$76,,$AI314), INDEX($AU$72:$BA$76,,$AH314), 1 / ($BB$72:$BB$76*CM314 + (1-$BB$72:$BB$76)*CI314), N($AQ$72:$AQ$76&gt;$AO314)),
SUMPRODUCT(INDEX($AR$67:$AT$76,,$AI314), INDEX($AU$67:$BA$76,,$AH314), 1 / ($BC$67:$BC$76*CM314 + (1-$BC$67:$BC$76)*CI314), N($AQ$67:$AQ$76&gt;$AO314))
) / 1000</f>
        <v>0</v>
      </c>
      <c r="CO314" s="232">
        <f t="shared" si="263"/>
        <v>25</v>
      </c>
      <c r="CP314" s="230">
        <f t="shared" si="451"/>
        <v>38</v>
      </c>
      <c r="CQ314" s="235">
        <f t="shared" si="452"/>
        <v>4.0666935483870965</v>
      </c>
      <c r="CR314" s="235" cm="1">
        <f t="array" ref="CR314">$BI314 * IF($AH314&lt;=2,
SUMPRODUCT(INDEX($AR$67:$AT$71,,$AI314), INDEX($AU$67:$BA$71,,$AH314), 1 / ($BB$67:$BB$71*CQ314 + (1-$BB$67:$BB$71)*CM314), N($AQ$67:$AQ$71&gt;$AO314)),
SUMPRODUCT(INDEX($AR$57:$AT$66,,$AI314), INDEX($AU$57:$BA$66,,$AH314), 1 / ($BC$57:$BC$66*CQ314 + (1-$BC$57:$BC$66)*CM314), N($AQ$57:$AQ$66&gt;$AO314))
) / 1000</f>
        <v>0</v>
      </c>
      <c r="CS314" s="232">
        <f t="shared" si="266"/>
        <v>20</v>
      </c>
      <c r="CT314" s="230">
        <f t="shared" si="453"/>
        <v>33</v>
      </c>
      <c r="CU314" s="235">
        <f t="shared" si="454"/>
        <v>4.8487499999999999</v>
      </c>
      <c r="CV314" s="235" cm="1">
        <f t="array" ref="CV314">$BI314 * IF($AH314&lt;=2,
SUMPRODUCT(INDEX($AR$62:$AT$66,,$AI314), INDEX($AU$62:$BA$66,,$AH314), 1 / ($BB$62:$BB$66*CU314 + (1-$BB$62:$BB$66)*CQ314), N($AQ$62:$AQ$66&gt;$AO314)),
SUMPRODUCT(INDEX($AR$47:$AT$56,,$AI314), INDEX($AU$47:$BA$56,,$AH314), 1 / ($BC$47:$BC$56*CU314 + (1-$BC$47:$BC$56)*CQ314), N($AQ$47:$AQ$56&gt;$AO314))
) / 1000</f>
        <v>0</v>
      </c>
      <c r="CW314" s="235" cm="1">
        <f t="array" ref="CW314">$BI314 * IF($AH314&lt;=2,
SUMPRODUCT(INDEX($AR$23:$AT$61,,$AI314), INDEX($AU$23:$BA$61,,$AH314), 1 / ($BB$23:$BB$61*CU314), N($AQ$23:$AQ$61&gt;$AO314)),
SUMPRODUCT(INDEX($AR$23:$AT$46,,$AI314), INDEX($AU$23:$BA$46,,$AH314), 1 / ($BC$23:$BC$46*CU314), N($AQ$23:$AQ$46&gt;$AO314))
) / 1000</f>
        <v>0</v>
      </c>
      <c r="CX314" s="230">
        <f t="shared" si="455"/>
        <v>0</v>
      </c>
      <c r="CY314" s="238"/>
    </row>
    <row r="315" spans="1:103" s="76" customFormat="1" ht="14.25" customHeight="1" x14ac:dyDescent="0.2">
      <c r="A315" s="231" t="b">
        <f t="shared" si="229"/>
        <v>0</v>
      </c>
      <c r="B315" s="245">
        <v>293</v>
      </c>
      <c r="C315" s="258"/>
      <c r="D315" s="258"/>
      <c r="E315" s="246"/>
      <c r="F315" s="247" t="str">
        <f>IF(ISBLANK(E315), "", VLOOKUP(E315, Z!$A$2:$C$4127, 3, FALSE))</f>
        <v/>
      </c>
      <c r="G315" s="248"/>
      <c r="H315" s="248"/>
      <c r="I315" s="249"/>
      <c r="J315" s="250"/>
      <c r="K315" s="259"/>
      <c r="L315" s="260"/>
      <c r="M315" s="252" t="str" cm="1">
        <f t="array" ref="M315">INDEX(Trad, 53, $A$20)</f>
        <v>Verschmutzt</v>
      </c>
      <c r="N315" s="253"/>
      <c r="O315" s="253"/>
      <c r="P315" s="254"/>
      <c r="Q315" s="251"/>
      <c r="R315" s="251"/>
      <c r="S315" s="264">
        <f t="shared" ref="S315:S378" si="459">CB315*1000</f>
        <v>0</v>
      </c>
      <c r="T315" s="252" t="str" cm="1">
        <f t="array" ref="T315">INDEX(Trad, 52, $A$20)</f>
        <v>Sauber</v>
      </c>
      <c r="U315" s="253"/>
      <c r="V315" s="253"/>
      <c r="W315" s="254"/>
      <c r="X315" s="251"/>
      <c r="Y315" s="251"/>
      <c r="Z315" s="264">
        <f t="shared" ref="Z315:Z378" si="460">CX315*1000</f>
        <v>0</v>
      </c>
      <c r="AA315" s="261"/>
      <c r="AB315" s="258"/>
      <c r="AC315" s="246"/>
      <c r="AD315" s="247" t="str">
        <f>IF(ISBLANK(AC315), "", VLOOKUP(AC315, Z!$A$2:$C$4127, 3, FALSE))</f>
        <v/>
      </c>
      <c r="AE315" s="262"/>
      <c r="AF315" s="263">
        <f t="shared" ref="AF315:AF378" si="461">0.75*AP$23*(S315-Z315)</f>
        <v>0</v>
      </c>
      <c r="AG315" s="238"/>
      <c r="AH315" s="229">
        <f t="shared" si="456"/>
        <v>1</v>
      </c>
      <c r="AI315" s="229">
        <f t="shared" si="457"/>
        <v>1</v>
      </c>
      <c r="AJ315" s="229">
        <f t="shared" si="458"/>
        <v>0</v>
      </c>
      <c r="AK315" s="229">
        <v>0</v>
      </c>
      <c r="AL315" s="229">
        <v>0</v>
      </c>
      <c r="AM315" s="229">
        <v>1</v>
      </c>
      <c r="AN315" s="229">
        <v>0</v>
      </c>
      <c r="AO315" s="229">
        <f t="shared" ref="AO315:AO378" si="462">IF(AND(J315="x", AH315=5), 11, IF(AND(J315="x", AH315=6), 19, -100))</f>
        <v>-100</v>
      </c>
      <c r="AP315" s="238"/>
      <c r="AQ315" s="255"/>
      <c r="AR315" s="255"/>
      <c r="AS315" s="256"/>
      <c r="AT315" s="256"/>
      <c r="AU315" s="256"/>
      <c r="AV315" s="256"/>
      <c r="AW315" s="256"/>
      <c r="AX315" s="256"/>
      <c r="AY315" s="256"/>
      <c r="AZ315" s="256"/>
      <c r="BA315" s="256"/>
      <c r="BB315" s="256"/>
      <c r="BC315" s="256"/>
      <c r="BD315" s="238"/>
      <c r="BE315" s="229" cm="1">
        <f t="array" ref="BE315">IF(ISBLANK(R315), INDEX(Use, $AH315, 4) - AM315*INDEX(Use, $AH315, 6), R315)</f>
        <v>5</v>
      </c>
      <c r="BF315" s="229">
        <f t="shared" ref="BF315:BF378" si="463">MAX(25, BE315+25)</f>
        <v>30</v>
      </c>
      <c r="BG315" s="229">
        <f t="shared" si="241"/>
        <v>13</v>
      </c>
      <c r="BH315" s="229">
        <f t="shared" si="242"/>
        <v>0</v>
      </c>
      <c r="BI315" s="234" cm="1">
        <f t="array" ref="BI315">K315/IF($L315&gt;0, INDEX($AU$23:$BA$77, $L315+20, $AH315), 1)</f>
        <v>0</v>
      </c>
      <c r="BJ315" s="230">
        <f t="shared" ref="BJ315:BJ378" si="464">P315 /  IF(AH315&lt;=2, 0.7 + 0.3 * (O315-20)/(35-20), 0.4 + 0.6 * (O315-5)/(35-5))</f>
        <v>0</v>
      </c>
      <c r="BK315" s="229">
        <v>35</v>
      </c>
      <c r="BL315" s="230">
        <f t="shared" ref="BL315:BL378" si="465">MAX($N315, MAX($BF315, $BK315 + $BG315 + $BH315 + 0.35*$AK315*$BG315 + BJ315))</f>
        <v>48</v>
      </c>
      <c r="BM315" s="235">
        <f t="shared" ref="BM315:BM378" si="466">0.45*($BE315+273.15)/(BL315-$BE315)</f>
        <v>2.9108720930232557</v>
      </c>
      <c r="BN315" s="235" cm="1">
        <f t="array" ref="BN315">$BI315 * SUMPRODUCT(INDEX($AR$77:$AT$82,,$AI315),INDEX($AU$77:$BA$82,,$AH315), N($AQ$77:$AQ$82&gt;$AO315)) / BM315 / 1000</f>
        <v>0</v>
      </c>
      <c r="BO315" s="232">
        <f t="shared" si="246"/>
        <v>30</v>
      </c>
      <c r="BP315" s="230">
        <f t="shared" ref="BP315:BP378" si="467">MAX($N315, MAX($BF315, BO315 + $BG315 + $BH315 + IF($AH315&lt;=2, (BO315-20)/(35-20), 0.6+0.4*(BO315-5)/(35-5))*0.35*$AK315*$BG315) + IF($AH315&lt;=2,0.9,0.8)*$BJ315)</f>
        <v>43</v>
      </c>
      <c r="BQ315" s="235">
        <f t="shared" ref="BQ315:BQ378" si="468">0.45*($BE315+273.15)/(BP315-$BE315)</f>
        <v>3.2938815789473681</v>
      </c>
      <c r="BR315" s="235" cm="1">
        <f t="array" ref="BR315">$BI315 * IF($AH315&lt;=2,
SUMPRODUCT(INDEX($AR$72:$AT$76,,$AI315), INDEX($AU$72:$BA$76,,$AH315), 1 / ($BB$72:$BB$76*BQ315 + (1-$BB$72:$BB$76)*BM315), N($AQ$72:$AQ$76&gt;$AO315)),
SUMPRODUCT(INDEX($AR$67:$AT$76,,$AI315), INDEX($AU$67:$BA$76,,$AH315), 1 / ($BC$67:$BC$76*BQ315 + (1-$BC$67:$BC$76)*BM315), N($AQ$67:$AQ$76&gt;$AO315))
) / 1000</f>
        <v>0</v>
      </c>
      <c r="BS315" s="232">
        <f t="shared" si="249"/>
        <v>25</v>
      </c>
      <c r="BT315" s="230">
        <f t="shared" ref="BT315:BT378" si="469">MAX($N315, MAX($BF315, BS315 + $BG315 + $BH315 + IF($AH315&lt;=2, (BS315-20)/(35-20), 0.6+0.4*(BS315-5)/(35-5))*0.35*$AK315*$BG315) + IF($AH315&lt;=2,0.8,0.6)*$BJ315)</f>
        <v>38</v>
      </c>
      <c r="BU315" s="235">
        <f t="shared" ref="BU315:BU378" si="470">0.45*($BE315+273.15)/(BT315-$BE315)</f>
        <v>3.792954545454545</v>
      </c>
      <c r="BV315" s="235" cm="1">
        <f t="array" ref="BV315">$BI315 * IF($AH315&lt;=2,
SUMPRODUCT(INDEX($AR$67:$AT$71,,$AI315), INDEX($AU$67:$BA$71,,$AH315), 1 / ($BB$67:$BB$71*BU315 + (1-$BB$67:$BB$71)*BQ315), N($AQ$67:$AQ$71&gt;$AO315)),
SUMPRODUCT(INDEX($AR$57:$AT$66,,$AI315), INDEX($AU$57:$BA$66,,$AH315), 1 / ($BC$57:$BC$66*BU315 + (1-$BC$57:$BC$66)*BQ315), N($AQ$57:$AQ$66&gt;$AO315))
) / 1000</f>
        <v>0</v>
      </c>
      <c r="BW315" s="232">
        <f t="shared" si="252"/>
        <v>20</v>
      </c>
      <c r="BX315" s="230">
        <f t="shared" ref="BX315:BX378" si="471">MAX($N315, MAX($BF315, BW315 + $BG315 + $BH315 + IF($AH315&lt;=2, (BW315-20)/(35-20), 0.6+0.4*(BW315-5)/(35-5))*0.35*$AK315*$BG315) + IF($AH315&lt;=2,0.7,0.4)*$BJ315)</f>
        <v>33</v>
      </c>
      <c r="BY315" s="235">
        <f t="shared" ref="BY315:BY378" si="472">0.45*($BE315+273.15)/(BX315-$BE315)</f>
        <v>4.4702678571428569</v>
      </c>
      <c r="BZ315" s="235" cm="1">
        <f t="array" ref="BZ315">$BI315 * IF($AH315&lt;=2,
SUMPRODUCT(INDEX($AR$62:$AT$66,,$AI315), INDEX($AU$62:$BA$66,,$AH315), 1 / ($BB$62:$BB$66*BY315 + (1-$BB$62:$BB$66)*BU315), N($AQ$62:$AQ$66&gt;$AO315)),
SUMPRODUCT(INDEX($AR$47:$AT$56,,$AI315), INDEX($AU$47:$BA$56,,$AH315), 1 / ($BC$47:$BC$56*BY315 + (1-$BC$47:$BC$56)*BU315), N($AQ$47:$AQ$56&gt;$AO315))
) / 1000</f>
        <v>0</v>
      </c>
      <c r="CA315" s="235" cm="1">
        <f t="array" ref="CA315">$BI315 * IF($AH315&lt;=2,
SUMPRODUCT(INDEX($AR$23:$AT$61,,$AI315), INDEX($AU$23:$BA$61,,$AH315), 1 / ($BB$23:$BB$61*BY315), N($AQ$23:$AQ$61&gt;$AO315)),
SUMPRODUCT(INDEX($AR$23:$AT$46,,$AI315), INDEX($AU$23:$BA$46,,$AH315), 1 / ($BC$23:$BC$46*BY315), N($AQ$23:$AQ$46&gt;$AO315))
) / 1000</f>
        <v>0</v>
      </c>
      <c r="CB315" s="230">
        <f t="shared" ref="CB315:CB378" si="473">BN315+BR315+BV315+BZ315+CA315</f>
        <v>0</v>
      </c>
      <c r="CC315" s="238"/>
      <c r="CD315" s="229" cm="1">
        <f t="array" ref="CD315">IF(ISBLANK(Y315), INDEX(Use, $AH315, 4) - AN315*INDEX(Use, $AH315, 6) - (Q315-X315), Y315)</f>
        <v>7</v>
      </c>
      <c r="CE315" s="229">
        <f t="shared" ref="CE315:CE378" si="474">MAX(25, CD315+25)</f>
        <v>32</v>
      </c>
      <c r="CF315" s="230">
        <f t="shared" ref="CF315:CF378" si="475">W315 /  IF(AH315&lt;=2, 0.7 + 0.3 * (V315-20)/(35-20), 0.4 + 0.6 * (V315-5)/(35-5))</f>
        <v>0</v>
      </c>
      <c r="CG315" s="229">
        <v>35</v>
      </c>
      <c r="CH315" s="230">
        <f t="shared" ref="CH315:CH378" si="476">MAX($U315, MAX($CE315, $BK315 + $BG315 + $BH315 + 0.35*$AL315*$BG315 + CF315))</f>
        <v>48</v>
      </c>
      <c r="CI315" s="235">
        <f t="shared" ref="CI315:CI378" si="477">0.45*($CD315+273.15)/(CH315-$CD315)</f>
        <v>3.0748170731707316</v>
      </c>
      <c r="CJ315" s="235" cm="1">
        <f t="array" ref="CJ315">$BI315 * SUMPRODUCT(INDEX($AR$77:$AT$82,,$AI315),INDEX($AU$77:$BA$82,,$AH315), N($AQ$77:$AQ$82&gt;$AO315)) / CI315 / 1000</f>
        <v>0</v>
      </c>
      <c r="CK315" s="232">
        <f t="shared" si="260"/>
        <v>30</v>
      </c>
      <c r="CL315" s="230">
        <f t="shared" ref="CL315:CL378" si="478">MAX($U315, MAX($CE315, CK315 + $BG315 + $BH315 + IF($AH315&lt;=2, (CK315-20)/(35-20), 0.6+0.4*(CK315-5)/(35-5))*0.35*$AL315*$BG315) + IF($AH315&lt;=2,0.9,0.8)*$CF315)</f>
        <v>43</v>
      </c>
      <c r="CM315" s="235">
        <f t="shared" ref="CM315:CM378" si="479">0.45*($CD315+273.15)/(CL315-$CD315)</f>
        <v>3.5018750000000001</v>
      </c>
      <c r="CN315" s="235" cm="1">
        <f t="array" ref="CN315">$BI315 * IF($AH315&lt;=2,
SUMPRODUCT(INDEX($AR$72:$AT$76,,$AI315), INDEX($AU$72:$BA$76,,$AH315), 1 / ($BB$72:$BB$76*CM315 + (1-$BB$72:$BB$76)*CI315), N($AQ$72:$AQ$76&gt;$AO315)),
SUMPRODUCT(INDEX($AR$67:$AT$76,,$AI315), INDEX($AU$67:$BA$76,,$AH315), 1 / ($BC$67:$BC$76*CM315 + (1-$BC$67:$BC$76)*CI315), N($AQ$67:$AQ$76&gt;$AO315))
) / 1000</f>
        <v>0</v>
      </c>
      <c r="CO315" s="232">
        <f t="shared" si="263"/>
        <v>25</v>
      </c>
      <c r="CP315" s="230">
        <f t="shared" ref="CP315:CP378" si="480">MAX($U315, MAX($CE315, CO315 + $BG315 + $BH315 + IF($AH315&lt;=2, (CO315-20)/(35-20), 0.6+0.4*(CO315-5)/(35-5))*0.35*$AL315*$BG315) + IF($AH315&lt;=2,0.8,0.6)*$CF315)</f>
        <v>38</v>
      </c>
      <c r="CQ315" s="235">
        <f t="shared" ref="CQ315:CQ378" si="481">0.45*($CD315+273.15)/(CP315-$CD315)</f>
        <v>4.0666935483870965</v>
      </c>
      <c r="CR315" s="235" cm="1">
        <f t="array" ref="CR315">$BI315 * IF($AH315&lt;=2,
SUMPRODUCT(INDEX($AR$67:$AT$71,,$AI315), INDEX($AU$67:$BA$71,,$AH315), 1 / ($BB$67:$BB$71*CQ315 + (1-$BB$67:$BB$71)*CM315), N($AQ$67:$AQ$71&gt;$AO315)),
SUMPRODUCT(INDEX($AR$57:$AT$66,,$AI315), INDEX($AU$57:$BA$66,,$AH315), 1 / ($BC$57:$BC$66*CQ315 + (1-$BC$57:$BC$66)*CM315), N($AQ$57:$AQ$66&gt;$AO315))
) / 1000</f>
        <v>0</v>
      </c>
      <c r="CS315" s="232">
        <f t="shared" si="266"/>
        <v>20</v>
      </c>
      <c r="CT315" s="230">
        <f t="shared" ref="CT315:CT378" si="482">MAX($U315, MAX($CE315, CS315 + $BG315 + $BH315 + IF($AH315&lt;=2, (CS315-20)/(35-20), 0.6+0.4*(CS315-5)/(35-5))*0.35*$AL315*$BG315) + IF($AH315&lt;=2,0.7,0.4)*$CF315)</f>
        <v>33</v>
      </c>
      <c r="CU315" s="235">
        <f t="shared" ref="CU315:CU378" si="483">0.45*($CD315+273.15)/(CT315-$CD315)</f>
        <v>4.8487499999999999</v>
      </c>
      <c r="CV315" s="235" cm="1">
        <f t="array" ref="CV315">$BI315 * IF($AH315&lt;=2,
SUMPRODUCT(INDEX($AR$62:$AT$66,,$AI315), INDEX($AU$62:$BA$66,,$AH315), 1 / ($BB$62:$BB$66*CU315 + (1-$BB$62:$BB$66)*CQ315), N($AQ$62:$AQ$66&gt;$AO315)),
SUMPRODUCT(INDEX($AR$47:$AT$56,,$AI315), INDEX($AU$47:$BA$56,,$AH315), 1 / ($BC$47:$BC$56*CU315 + (1-$BC$47:$BC$56)*CQ315), N($AQ$47:$AQ$56&gt;$AO315))
) / 1000</f>
        <v>0</v>
      </c>
      <c r="CW315" s="235" cm="1">
        <f t="array" ref="CW315">$BI315 * IF($AH315&lt;=2,
SUMPRODUCT(INDEX($AR$23:$AT$61,,$AI315), INDEX($AU$23:$BA$61,,$AH315), 1 / ($BB$23:$BB$61*CU315), N($AQ$23:$AQ$61&gt;$AO315)),
SUMPRODUCT(INDEX($AR$23:$AT$46,,$AI315), INDEX($AU$23:$BA$46,,$AH315), 1 / ($BC$23:$BC$46*CU315), N($AQ$23:$AQ$46&gt;$AO315))
) / 1000</f>
        <v>0</v>
      </c>
      <c r="CX315" s="230">
        <f t="shared" ref="CX315:CX378" si="484">CJ315+CN315+CR315+CV315+CW315</f>
        <v>0</v>
      </c>
      <c r="CY315" s="238"/>
    </row>
    <row r="316" spans="1:103" s="76" customFormat="1" ht="14.25" customHeight="1" x14ac:dyDescent="0.2">
      <c r="A316" s="231" t="b">
        <f t="shared" si="229"/>
        <v>0</v>
      </c>
      <c r="B316" s="245">
        <v>294</v>
      </c>
      <c r="C316" s="258"/>
      <c r="D316" s="258"/>
      <c r="E316" s="246"/>
      <c r="F316" s="247" t="str">
        <f>IF(ISBLANK(E316), "", VLOOKUP(E316, Z!$A$2:$C$4127, 3, FALSE))</f>
        <v/>
      </c>
      <c r="G316" s="248"/>
      <c r="H316" s="248"/>
      <c r="I316" s="249"/>
      <c r="J316" s="250"/>
      <c r="K316" s="259"/>
      <c r="L316" s="260"/>
      <c r="M316" s="252" t="str" cm="1">
        <f t="array" ref="M316">INDEX(Trad, 53, $A$20)</f>
        <v>Verschmutzt</v>
      </c>
      <c r="N316" s="253"/>
      <c r="O316" s="253"/>
      <c r="P316" s="254"/>
      <c r="Q316" s="251"/>
      <c r="R316" s="251"/>
      <c r="S316" s="264">
        <f t="shared" si="459"/>
        <v>0</v>
      </c>
      <c r="T316" s="252" t="str" cm="1">
        <f t="array" ref="T316">INDEX(Trad, 52, $A$20)</f>
        <v>Sauber</v>
      </c>
      <c r="U316" s="253"/>
      <c r="V316" s="253"/>
      <c r="W316" s="254"/>
      <c r="X316" s="251"/>
      <c r="Y316" s="251"/>
      <c r="Z316" s="264">
        <f t="shared" si="460"/>
        <v>0</v>
      </c>
      <c r="AA316" s="261"/>
      <c r="AB316" s="258"/>
      <c r="AC316" s="246"/>
      <c r="AD316" s="247" t="str">
        <f>IF(ISBLANK(AC316), "", VLOOKUP(AC316, Z!$A$2:$C$4127, 3, FALSE))</f>
        <v/>
      </c>
      <c r="AE316" s="262"/>
      <c r="AF316" s="263">
        <f t="shared" si="461"/>
        <v>0</v>
      </c>
      <c r="AG316" s="238"/>
      <c r="AH316" s="229">
        <f t="shared" ref="AH316:AH379" si="485">IF(ISBLANK(H316), 1, IFERROR(MATCH(H316, INDEX(Use,,1), 0), IFERROR(MATCH(H316, INDEX(Use,,2), 0), MATCH(H316, INDEX(Use,,3), 0))))</f>
        <v>1</v>
      </c>
      <c r="AI316" s="229">
        <f t="shared" ref="AI316:AI379" si="486">IF(ISBLANK(G316), 1, IFERROR(MATCH(G316, INDEX(Loc,,1), 0), IFERROR(MATCH(G316, INDEX(Loc,,2), 0), MATCH(G316, INDEX(Loc,,3), 0))))</f>
        <v>1</v>
      </c>
      <c r="AJ316" s="229">
        <f t="shared" ref="AJ316:AJ379" si="487">_xlfn.IFNA(IF(IFERROR(MATCH(I316, INDEX(Medium,,1), 0), IFERROR(MATCH(I316, INDEX(Medium,,2), 0), MATCH(I316, INDEX(Medium,,3), 0))) = 2, 1, 0), 0)</f>
        <v>0</v>
      </c>
      <c r="AK316" s="229">
        <v>0</v>
      </c>
      <c r="AL316" s="229">
        <v>0</v>
      </c>
      <c r="AM316" s="229">
        <v>1</v>
      </c>
      <c r="AN316" s="229">
        <v>0</v>
      </c>
      <c r="AO316" s="229">
        <f t="shared" si="462"/>
        <v>-100</v>
      </c>
      <c r="AP316" s="238"/>
      <c r="AQ316" s="255"/>
      <c r="AR316" s="255"/>
      <c r="AS316" s="256"/>
      <c r="AT316" s="256"/>
      <c r="AU316" s="256"/>
      <c r="AV316" s="256"/>
      <c r="AW316" s="256"/>
      <c r="AX316" s="256"/>
      <c r="AY316" s="256"/>
      <c r="AZ316" s="256"/>
      <c r="BA316" s="256"/>
      <c r="BB316" s="256"/>
      <c r="BC316" s="256"/>
      <c r="BD316" s="238"/>
      <c r="BE316" s="229" cm="1">
        <f t="array" ref="BE316">IF(ISBLANK(R316), INDEX(Use, $AH316, 4) - AM316*INDEX(Use, $AH316, 6), R316)</f>
        <v>5</v>
      </c>
      <c r="BF316" s="229">
        <f t="shared" si="463"/>
        <v>30</v>
      </c>
      <c r="BG316" s="229">
        <f t="shared" si="241"/>
        <v>13</v>
      </c>
      <c r="BH316" s="229">
        <f t="shared" si="242"/>
        <v>0</v>
      </c>
      <c r="BI316" s="234" cm="1">
        <f t="array" ref="BI316">K316/IF($L316&gt;0, INDEX($AU$23:$BA$77, $L316+20, $AH316), 1)</f>
        <v>0</v>
      </c>
      <c r="BJ316" s="230">
        <f t="shared" si="464"/>
        <v>0</v>
      </c>
      <c r="BK316" s="229">
        <v>35</v>
      </c>
      <c r="BL316" s="230">
        <f t="shared" si="465"/>
        <v>48</v>
      </c>
      <c r="BM316" s="235">
        <f t="shared" si="466"/>
        <v>2.9108720930232557</v>
      </c>
      <c r="BN316" s="235" cm="1">
        <f t="array" ref="BN316">$BI316 * SUMPRODUCT(INDEX($AR$77:$AT$82,,$AI316),INDEX($AU$77:$BA$82,,$AH316), N($AQ$77:$AQ$82&gt;$AO316)) / BM316 / 1000</f>
        <v>0</v>
      </c>
      <c r="BO316" s="232">
        <f t="shared" si="246"/>
        <v>30</v>
      </c>
      <c r="BP316" s="230">
        <f t="shared" si="467"/>
        <v>43</v>
      </c>
      <c r="BQ316" s="235">
        <f t="shared" si="468"/>
        <v>3.2938815789473681</v>
      </c>
      <c r="BR316" s="235" cm="1">
        <f t="array" ref="BR316">$BI316 * IF($AH316&lt;=2,
SUMPRODUCT(INDEX($AR$72:$AT$76,,$AI316), INDEX($AU$72:$BA$76,,$AH316), 1 / ($BB$72:$BB$76*BQ316 + (1-$BB$72:$BB$76)*BM316), N($AQ$72:$AQ$76&gt;$AO316)),
SUMPRODUCT(INDEX($AR$67:$AT$76,,$AI316), INDEX($AU$67:$BA$76,,$AH316), 1 / ($BC$67:$BC$76*BQ316 + (1-$BC$67:$BC$76)*BM316), N($AQ$67:$AQ$76&gt;$AO316))
) / 1000</f>
        <v>0</v>
      </c>
      <c r="BS316" s="232">
        <f t="shared" si="249"/>
        <v>25</v>
      </c>
      <c r="BT316" s="230">
        <f t="shared" si="469"/>
        <v>38</v>
      </c>
      <c r="BU316" s="235">
        <f t="shared" si="470"/>
        <v>3.792954545454545</v>
      </c>
      <c r="BV316" s="235" cm="1">
        <f t="array" ref="BV316">$BI316 * IF($AH316&lt;=2,
SUMPRODUCT(INDEX($AR$67:$AT$71,,$AI316), INDEX($AU$67:$BA$71,,$AH316), 1 / ($BB$67:$BB$71*BU316 + (1-$BB$67:$BB$71)*BQ316), N($AQ$67:$AQ$71&gt;$AO316)),
SUMPRODUCT(INDEX($AR$57:$AT$66,,$AI316), INDEX($AU$57:$BA$66,,$AH316), 1 / ($BC$57:$BC$66*BU316 + (1-$BC$57:$BC$66)*BQ316), N($AQ$57:$AQ$66&gt;$AO316))
) / 1000</f>
        <v>0</v>
      </c>
      <c r="BW316" s="232">
        <f t="shared" si="252"/>
        <v>20</v>
      </c>
      <c r="BX316" s="230">
        <f t="shared" si="471"/>
        <v>33</v>
      </c>
      <c r="BY316" s="235">
        <f t="shared" si="472"/>
        <v>4.4702678571428569</v>
      </c>
      <c r="BZ316" s="235" cm="1">
        <f t="array" ref="BZ316">$BI316 * IF($AH316&lt;=2,
SUMPRODUCT(INDEX($AR$62:$AT$66,,$AI316), INDEX($AU$62:$BA$66,,$AH316), 1 / ($BB$62:$BB$66*BY316 + (1-$BB$62:$BB$66)*BU316), N($AQ$62:$AQ$66&gt;$AO316)),
SUMPRODUCT(INDEX($AR$47:$AT$56,,$AI316), INDEX($AU$47:$BA$56,,$AH316), 1 / ($BC$47:$BC$56*BY316 + (1-$BC$47:$BC$56)*BU316), N($AQ$47:$AQ$56&gt;$AO316))
) / 1000</f>
        <v>0</v>
      </c>
      <c r="CA316" s="235" cm="1">
        <f t="array" ref="CA316">$BI316 * IF($AH316&lt;=2,
SUMPRODUCT(INDEX($AR$23:$AT$61,,$AI316), INDEX($AU$23:$BA$61,,$AH316), 1 / ($BB$23:$BB$61*BY316), N($AQ$23:$AQ$61&gt;$AO316)),
SUMPRODUCT(INDEX($AR$23:$AT$46,,$AI316), INDEX($AU$23:$BA$46,,$AH316), 1 / ($BC$23:$BC$46*BY316), N($AQ$23:$AQ$46&gt;$AO316))
) / 1000</f>
        <v>0</v>
      </c>
      <c r="CB316" s="230">
        <f t="shared" si="473"/>
        <v>0</v>
      </c>
      <c r="CC316" s="238"/>
      <c r="CD316" s="229" cm="1">
        <f t="array" ref="CD316">IF(ISBLANK(Y316), INDEX(Use, $AH316, 4) - AN316*INDEX(Use, $AH316, 6) - (Q316-X316), Y316)</f>
        <v>7</v>
      </c>
      <c r="CE316" s="229">
        <f t="shared" si="474"/>
        <v>32</v>
      </c>
      <c r="CF316" s="230">
        <f t="shared" si="475"/>
        <v>0</v>
      </c>
      <c r="CG316" s="229">
        <v>35</v>
      </c>
      <c r="CH316" s="230">
        <f t="shared" si="476"/>
        <v>48</v>
      </c>
      <c r="CI316" s="235">
        <f t="shared" si="477"/>
        <v>3.0748170731707316</v>
      </c>
      <c r="CJ316" s="235" cm="1">
        <f t="array" ref="CJ316">$BI316 * SUMPRODUCT(INDEX($AR$77:$AT$82,,$AI316),INDEX($AU$77:$BA$82,,$AH316), N($AQ$77:$AQ$82&gt;$AO316)) / CI316 / 1000</f>
        <v>0</v>
      </c>
      <c r="CK316" s="232">
        <f t="shared" si="260"/>
        <v>30</v>
      </c>
      <c r="CL316" s="230">
        <f t="shared" si="478"/>
        <v>43</v>
      </c>
      <c r="CM316" s="235">
        <f t="shared" si="479"/>
        <v>3.5018750000000001</v>
      </c>
      <c r="CN316" s="235" cm="1">
        <f t="array" ref="CN316">$BI316 * IF($AH316&lt;=2,
SUMPRODUCT(INDEX($AR$72:$AT$76,,$AI316), INDEX($AU$72:$BA$76,,$AH316), 1 / ($BB$72:$BB$76*CM316 + (1-$BB$72:$BB$76)*CI316), N($AQ$72:$AQ$76&gt;$AO316)),
SUMPRODUCT(INDEX($AR$67:$AT$76,,$AI316), INDEX($AU$67:$BA$76,,$AH316), 1 / ($BC$67:$BC$76*CM316 + (1-$BC$67:$BC$76)*CI316), N($AQ$67:$AQ$76&gt;$AO316))
) / 1000</f>
        <v>0</v>
      </c>
      <c r="CO316" s="232">
        <f t="shared" si="263"/>
        <v>25</v>
      </c>
      <c r="CP316" s="230">
        <f t="shared" si="480"/>
        <v>38</v>
      </c>
      <c r="CQ316" s="235">
        <f t="shared" si="481"/>
        <v>4.0666935483870965</v>
      </c>
      <c r="CR316" s="235" cm="1">
        <f t="array" ref="CR316">$BI316 * IF($AH316&lt;=2,
SUMPRODUCT(INDEX($AR$67:$AT$71,,$AI316), INDEX($AU$67:$BA$71,,$AH316), 1 / ($BB$67:$BB$71*CQ316 + (1-$BB$67:$BB$71)*CM316), N($AQ$67:$AQ$71&gt;$AO316)),
SUMPRODUCT(INDEX($AR$57:$AT$66,,$AI316), INDEX($AU$57:$BA$66,,$AH316), 1 / ($BC$57:$BC$66*CQ316 + (1-$BC$57:$BC$66)*CM316), N($AQ$57:$AQ$66&gt;$AO316))
) / 1000</f>
        <v>0</v>
      </c>
      <c r="CS316" s="232">
        <f t="shared" si="266"/>
        <v>20</v>
      </c>
      <c r="CT316" s="230">
        <f t="shared" si="482"/>
        <v>33</v>
      </c>
      <c r="CU316" s="235">
        <f t="shared" si="483"/>
        <v>4.8487499999999999</v>
      </c>
      <c r="CV316" s="235" cm="1">
        <f t="array" ref="CV316">$BI316 * IF($AH316&lt;=2,
SUMPRODUCT(INDEX($AR$62:$AT$66,,$AI316), INDEX($AU$62:$BA$66,,$AH316), 1 / ($BB$62:$BB$66*CU316 + (1-$BB$62:$BB$66)*CQ316), N($AQ$62:$AQ$66&gt;$AO316)),
SUMPRODUCT(INDEX($AR$47:$AT$56,,$AI316), INDEX($AU$47:$BA$56,,$AH316), 1 / ($BC$47:$BC$56*CU316 + (1-$BC$47:$BC$56)*CQ316), N($AQ$47:$AQ$56&gt;$AO316))
) / 1000</f>
        <v>0</v>
      </c>
      <c r="CW316" s="235" cm="1">
        <f t="array" ref="CW316">$BI316 * IF($AH316&lt;=2,
SUMPRODUCT(INDEX($AR$23:$AT$61,,$AI316), INDEX($AU$23:$BA$61,,$AH316), 1 / ($BB$23:$BB$61*CU316), N($AQ$23:$AQ$61&gt;$AO316)),
SUMPRODUCT(INDEX($AR$23:$AT$46,,$AI316), INDEX($AU$23:$BA$46,,$AH316), 1 / ($BC$23:$BC$46*CU316), N($AQ$23:$AQ$46&gt;$AO316))
) / 1000</f>
        <v>0</v>
      </c>
      <c r="CX316" s="230">
        <f t="shared" si="484"/>
        <v>0</v>
      </c>
      <c r="CY316" s="238"/>
    </row>
    <row r="317" spans="1:103" s="76" customFormat="1" ht="14.25" customHeight="1" x14ac:dyDescent="0.2">
      <c r="A317" s="231" t="b">
        <f t="shared" si="229"/>
        <v>0</v>
      </c>
      <c r="B317" s="245">
        <v>295</v>
      </c>
      <c r="C317" s="258"/>
      <c r="D317" s="258"/>
      <c r="E317" s="246"/>
      <c r="F317" s="247" t="str">
        <f>IF(ISBLANK(E317), "", VLOOKUP(E317, Z!$A$2:$C$4127, 3, FALSE))</f>
        <v/>
      </c>
      <c r="G317" s="248"/>
      <c r="H317" s="248"/>
      <c r="I317" s="249"/>
      <c r="J317" s="250"/>
      <c r="K317" s="259"/>
      <c r="L317" s="260"/>
      <c r="M317" s="252" t="str" cm="1">
        <f t="array" ref="M317">INDEX(Trad, 53, $A$20)</f>
        <v>Verschmutzt</v>
      </c>
      <c r="N317" s="253"/>
      <c r="O317" s="253"/>
      <c r="P317" s="254"/>
      <c r="Q317" s="251"/>
      <c r="R317" s="251"/>
      <c r="S317" s="264">
        <f t="shared" si="459"/>
        <v>0</v>
      </c>
      <c r="T317" s="252" t="str" cm="1">
        <f t="array" ref="T317">INDEX(Trad, 52, $A$20)</f>
        <v>Sauber</v>
      </c>
      <c r="U317" s="253"/>
      <c r="V317" s="253"/>
      <c r="W317" s="254"/>
      <c r="X317" s="251"/>
      <c r="Y317" s="251"/>
      <c r="Z317" s="264">
        <f t="shared" si="460"/>
        <v>0</v>
      </c>
      <c r="AA317" s="261"/>
      <c r="AB317" s="258"/>
      <c r="AC317" s="246"/>
      <c r="AD317" s="247" t="str">
        <f>IF(ISBLANK(AC317), "", VLOOKUP(AC317, Z!$A$2:$C$4127, 3, FALSE))</f>
        <v/>
      </c>
      <c r="AE317" s="262"/>
      <c r="AF317" s="263">
        <f t="shared" si="461"/>
        <v>0</v>
      </c>
      <c r="AG317" s="238"/>
      <c r="AH317" s="229">
        <f t="shared" si="485"/>
        <v>1</v>
      </c>
      <c r="AI317" s="229">
        <f t="shared" si="486"/>
        <v>1</v>
      </c>
      <c r="AJ317" s="229">
        <f t="shared" si="487"/>
        <v>0</v>
      </c>
      <c r="AK317" s="229">
        <v>0</v>
      </c>
      <c r="AL317" s="229">
        <v>0</v>
      </c>
      <c r="AM317" s="229">
        <v>1</v>
      </c>
      <c r="AN317" s="229">
        <v>0</v>
      </c>
      <c r="AO317" s="229">
        <f t="shared" si="462"/>
        <v>-100</v>
      </c>
      <c r="AP317" s="238"/>
      <c r="AQ317" s="255"/>
      <c r="AR317" s="255"/>
      <c r="AS317" s="256"/>
      <c r="AT317" s="256"/>
      <c r="AU317" s="256"/>
      <c r="AV317" s="256"/>
      <c r="AW317" s="256"/>
      <c r="AX317" s="256"/>
      <c r="AY317" s="256"/>
      <c r="AZ317" s="256"/>
      <c r="BA317" s="256"/>
      <c r="BB317" s="256"/>
      <c r="BC317" s="256"/>
      <c r="BD317" s="238"/>
      <c r="BE317" s="229" cm="1">
        <f t="array" ref="BE317">IF(ISBLANK(R317), INDEX(Use, $AH317, 4) - AM317*INDEX(Use, $AH317, 6), R317)</f>
        <v>5</v>
      </c>
      <c r="BF317" s="229">
        <f t="shared" si="463"/>
        <v>30</v>
      </c>
      <c r="BG317" s="229">
        <f t="shared" si="241"/>
        <v>13</v>
      </c>
      <c r="BH317" s="229">
        <f t="shared" si="242"/>
        <v>0</v>
      </c>
      <c r="BI317" s="234" cm="1">
        <f t="array" ref="BI317">K317/IF($L317&gt;0, INDEX($AU$23:$BA$77, $L317+20, $AH317), 1)</f>
        <v>0</v>
      </c>
      <c r="BJ317" s="230">
        <f t="shared" si="464"/>
        <v>0</v>
      </c>
      <c r="BK317" s="229">
        <v>35</v>
      </c>
      <c r="BL317" s="230">
        <f t="shared" si="465"/>
        <v>48</v>
      </c>
      <c r="BM317" s="235">
        <f t="shared" si="466"/>
        <v>2.9108720930232557</v>
      </c>
      <c r="BN317" s="235" cm="1">
        <f t="array" ref="BN317">$BI317 * SUMPRODUCT(INDEX($AR$77:$AT$82,,$AI317),INDEX($AU$77:$BA$82,,$AH317), N($AQ$77:$AQ$82&gt;$AO317)) / BM317 / 1000</f>
        <v>0</v>
      </c>
      <c r="BO317" s="232">
        <f t="shared" si="246"/>
        <v>30</v>
      </c>
      <c r="BP317" s="230">
        <f t="shared" si="467"/>
        <v>43</v>
      </c>
      <c r="BQ317" s="235">
        <f t="shared" si="468"/>
        <v>3.2938815789473681</v>
      </c>
      <c r="BR317" s="235" cm="1">
        <f t="array" ref="BR317">$BI317 * IF($AH317&lt;=2,
SUMPRODUCT(INDEX($AR$72:$AT$76,,$AI317), INDEX($AU$72:$BA$76,,$AH317), 1 / ($BB$72:$BB$76*BQ317 + (1-$BB$72:$BB$76)*BM317), N($AQ$72:$AQ$76&gt;$AO317)),
SUMPRODUCT(INDEX($AR$67:$AT$76,,$AI317), INDEX($AU$67:$BA$76,,$AH317), 1 / ($BC$67:$BC$76*BQ317 + (1-$BC$67:$BC$76)*BM317), N($AQ$67:$AQ$76&gt;$AO317))
) / 1000</f>
        <v>0</v>
      </c>
      <c r="BS317" s="232">
        <f t="shared" si="249"/>
        <v>25</v>
      </c>
      <c r="BT317" s="230">
        <f t="shared" si="469"/>
        <v>38</v>
      </c>
      <c r="BU317" s="235">
        <f t="shared" si="470"/>
        <v>3.792954545454545</v>
      </c>
      <c r="BV317" s="235" cm="1">
        <f t="array" ref="BV317">$BI317 * IF($AH317&lt;=2,
SUMPRODUCT(INDEX($AR$67:$AT$71,,$AI317), INDEX($AU$67:$BA$71,,$AH317), 1 / ($BB$67:$BB$71*BU317 + (1-$BB$67:$BB$71)*BQ317), N($AQ$67:$AQ$71&gt;$AO317)),
SUMPRODUCT(INDEX($AR$57:$AT$66,,$AI317), INDEX($AU$57:$BA$66,,$AH317), 1 / ($BC$57:$BC$66*BU317 + (1-$BC$57:$BC$66)*BQ317), N($AQ$57:$AQ$66&gt;$AO317))
) / 1000</f>
        <v>0</v>
      </c>
      <c r="BW317" s="232">
        <f t="shared" si="252"/>
        <v>20</v>
      </c>
      <c r="BX317" s="230">
        <f t="shared" si="471"/>
        <v>33</v>
      </c>
      <c r="BY317" s="235">
        <f t="shared" si="472"/>
        <v>4.4702678571428569</v>
      </c>
      <c r="BZ317" s="235" cm="1">
        <f t="array" ref="BZ317">$BI317 * IF($AH317&lt;=2,
SUMPRODUCT(INDEX($AR$62:$AT$66,,$AI317), INDEX($AU$62:$BA$66,,$AH317), 1 / ($BB$62:$BB$66*BY317 + (1-$BB$62:$BB$66)*BU317), N($AQ$62:$AQ$66&gt;$AO317)),
SUMPRODUCT(INDEX($AR$47:$AT$56,,$AI317), INDEX($AU$47:$BA$56,,$AH317), 1 / ($BC$47:$BC$56*BY317 + (1-$BC$47:$BC$56)*BU317), N($AQ$47:$AQ$56&gt;$AO317))
) / 1000</f>
        <v>0</v>
      </c>
      <c r="CA317" s="235" cm="1">
        <f t="array" ref="CA317">$BI317 * IF($AH317&lt;=2,
SUMPRODUCT(INDEX($AR$23:$AT$61,,$AI317), INDEX($AU$23:$BA$61,,$AH317), 1 / ($BB$23:$BB$61*BY317), N($AQ$23:$AQ$61&gt;$AO317)),
SUMPRODUCT(INDEX($AR$23:$AT$46,,$AI317), INDEX($AU$23:$BA$46,,$AH317), 1 / ($BC$23:$BC$46*BY317), N($AQ$23:$AQ$46&gt;$AO317))
) / 1000</f>
        <v>0</v>
      </c>
      <c r="CB317" s="230">
        <f t="shared" si="473"/>
        <v>0</v>
      </c>
      <c r="CC317" s="238"/>
      <c r="CD317" s="229" cm="1">
        <f t="array" ref="CD317">IF(ISBLANK(Y317), INDEX(Use, $AH317, 4) - AN317*INDEX(Use, $AH317, 6) - (Q317-X317), Y317)</f>
        <v>7</v>
      </c>
      <c r="CE317" s="229">
        <f t="shared" si="474"/>
        <v>32</v>
      </c>
      <c r="CF317" s="230">
        <f t="shared" si="475"/>
        <v>0</v>
      </c>
      <c r="CG317" s="229">
        <v>35</v>
      </c>
      <c r="CH317" s="230">
        <f t="shared" si="476"/>
        <v>48</v>
      </c>
      <c r="CI317" s="235">
        <f t="shared" si="477"/>
        <v>3.0748170731707316</v>
      </c>
      <c r="CJ317" s="235" cm="1">
        <f t="array" ref="CJ317">$BI317 * SUMPRODUCT(INDEX($AR$77:$AT$82,,$AI317),INDEX($AU$77:$BA$82,,$AH317), N($AQ$77:$AQ$82&gt;$AO317)) / CI317 / 1000</f>
        <v>0</v>
      </c>
      <c r="CK317" s="232">
        <f t="shared" si="260"/>
        <v>30</v>
      </c>
      <c r="CL317" s="230">
        <f t="shared" si="478"/>
        <v>43</v>
      </c>
      <c r="CM317" s="235">
        <f t="shared" si="479"/>
        <v>3.5018750000000001</v>
      </c>
      <c r="CN317" s="235" cm="1">
        <f t="array" ref="CN317">$BI317 * IF($AH317&lt;=2,
SUMPRODUCT(INDEX($AR$72:$AT$76,,$AI317), INDEX($AU$72:$BA$76,,$AH317), 1 / ($BB$72:$BB$76*CM317 + (1-$BB$72:$BB$76)*CI317), N($AQ$72:$AQ$76&gt;$AO317)),
SUMPRODUCT(INDEX($AR$67:$AT$76,,$AI317), INDEX($AU$67:$BA$76,,$AH317), 1 / ($BC$67:$BC$76*CM317 + (1-$BC$67:$BC$76)*CI317), N($AQ$67:$AQ$76&gt;$AO317))
) / 1000</f>
        <v>0</v>
      </c>
      <c r="CO317" s="232">
        <f t="shared" si="263"/>
        <v>25</v>
      </c>
      <c r="CP317" s="230">
        <f t="shared" si="480"/>
        <v>38</v>
      </c>
      <c r="CQ317" s="235">
        <f t="shared" si="481"/>
        <v>4.0666935483870965</v>
      </c>
      <c r="CR317" s="235" cm="1">
        <f t="array" ref="CR317">$BI317 * IF($AH317&lt;=2,
SUMPRODUCT(INDEX($AR$67:$AT$71,,$AI317), INDEX($AU$67:$BA$71,,$AH317), 1 / ($BB$67:$BB$71*CQ317 + (1-$BB$67:$BB$71)*CM317), N($AQ$67:$AQ$71&gt;$AO317)),
SUMPRODUCT(INDEX($AR$57:$AT$66,,$AI317), INDEX($AU$57:$BA$66,,$AH317), 1 / ($BC$57:$BC$66*CQ317 + (1-$BC$57:$BC$66)*CM317), N($AQ$57:$AQ$66&gt;$AO317))
) / 1000</f>
        <v>0</v>
      </c>
      <c r="CS317" s="232">
        <f t="shared" si="266"/>
        <v>20</v>
      </c>
      <c r="CT317" s="230">
        <f t="shared" si="482"/>
        <v>33</v>
      </c>
      <c r="CU317" s="235">
        <f t="shared" si="483"/>
        <v>4.8487499999999999</v>
      </c>
      <c r="CV317" s="235" cm="1">
        <f t="array" ref="CV317">$BI317 * IF($AH317&lt;=2,
SUMPRODUCT(INDEX($AR$62:$AT$66,,$AI317), INDEX($AU$62:$BA$66,,$AH317), 1 / ($BB$62:$BB$66*CU317 + (1-$BB$62:$BB$66)*CQ317), N($AQ$62:$AQ$66&gt;$AO317)),
SUMPRODUCT(INDEX($AR$47:$AT$56,,$AI317), INDEX($AU$47:$BA$56,,$AH317), 1 / ($BC$47:$BC$56*CU317 + (1-$BC$47:$BC$56)*CQ317), N($AQ$47:$AQ$56&gt;$AO317))
) / 1000</f>
        <v>0</v>
      </c>
      <c r="CW317" s="235" cm="1">
        <f t="array" ref="CW317">$BI317 * IF($AH317&lt;=2,
SUMPRODUCT(INDEX($AR$23:$AT$61,,$AI317), INDEX($AU$23:$BA$61,,$AH317), 1 / ($BB$23:$BB$61*CU317), N($AQ$23:$AQ$61&gt;$AO317)),
SUMPRODUCT(INDEX($AR$23:$AT$46,,$AI317), INDEX($AU$23:$BA$46,,$AH317), 1 / ($BC$23:$BC$46*CU317), N($AQ$23:$AQ$46&gt;$AO317))
) / 1000</f>
        <v>0</v>
      </c>
      <c r="CX317" s="230">
        <f t="shared" si="484"/>
        <v>0</v>
      </c>
      <c r="CY317" s="238"/>
    </row>
    <row r="318" spans="1:103" s="76" customFormat="1" ht="14.25" customHeight="1" x14ac:dyDescent="0.2">
      <c r="A318" s="231" t="b">
        <f t="shared" si="229"/>
        <v>0</v>
      </c>
      <c r="B318" s="245">
        <v>296</v>
      </c>
      <c r="C318" s="258"/>
      <c r="D318" s="258"/>
      <c r="E318" s="246"/>
      <c r="F318" s="247" t="str">
        <f>IF(ISBLANK(E318), "", VLOOKUP(E318, Z!$A$2:$C$4127, 3, FALSE))</f>
        <v/>
      </c>
      <c r="G318" s="248"/>
      <c r="H318" s="248"/>
      <c r="I318" s="249"/>
      <c r="J318" s="250"/>
      <c r="K318" s="259"/>
      <c r="L318" s="260"/>
      <c r="M318" s="252" t="str" cm="1">
        <f t="array" ref="M318">INDEX(Trad, 53, $A$20)</f>
        <v>Verschmutzt</v>
      </c>
      <c r="N318" s="253"/>
      <c r="O318" s="253"/>
      <c r="P318" s="254"/>
      <c r="Q318" s="251"/>
      <c r="R318" s="251"/>
      <c r="S318" s="264">
        <f t="shared" si="459"/>
        <v>0</v>
      </c>
      <c r="T318" s="252" t="str" cm="1">
        <f t="array" ref="T318">INDEX(Trad, 52, $A$20)</f>
        <v>Sauber</v>
      </c>
      <c r="U318" s="253"/>
      <c r="V318" s="253"/>
      <c r="W318" s="254"/>
      <c r="X318" s="251"/>
      <c r="Y318" s="251"/>
      <c r="Z318" s="264">
        <f t="shared" si="460"/>
        <v>0</v>
      </c>
      <c r="AA318" s="261"/>
      <c r="AB318" s="258"/>
      <c r="AC318" s="246"/>
      <c r="AD318" s="247" t="str">
        <f>IF(ISBLANK(AC318), "", VLOOKUP(AC318, Z!$A$2:$C$4127, 3, FALSE))</f>
        <v/>
      </c>
      <c r="AE318" s="262"/>
      <c r="AF318" s="263">
        <f t="shared" si="461"/>
        <v>0</v>
      </c>
      <c r="AG318" s="238"/>
      <c r="AH318" s="229">
        <f t="shared" si="485"/>
        <v>1</v>
      </c>
      <c r="AI318" s="229">
        <f t="shared" si="486"/>
        <v>1</v>
      </c>
      <c r="AJ318" s="229">
        <f t="shared" si="487"/>
        <v>0</v>
      </c>
      <c r="AK318" s="229">
        <v>0</v>
      </c>
      <c r="AL318" s="229">
        <v>0</v>
      </c>
      <c r="AM318" s="229">
        <v>1</v>
      </c>
      <c r="AN318" s="229">
        <v>0</v>
      </c>
      <c r="AO318" s="229">
        <f t="shared" si="462"/>
        <v>-100</v>
      </c>
      <c r="AP318" s="238"/>
      <c r="AQ318" s="255"/>
      <c r="AR318" s="255"/>
      <c r="AS318" s="256"/>
      <c r="AT318" s="256"/>
      <c r="AU318" s="256"/>
      <c r="AV318" s="256"/>
      <c r="AW318" s="256"/>
      <c r="AX318" s="256"/>
      <c r="AY318" s="256"/>
      <c r="AZ318" s="256"/>
      <c r="BA318" s="256"/>
      <c r="BB318" s="256"/>
      <c r="BC318" s="256"/>
      <c r="BD318" s="238"/>
      <c r="BE318" s="229" cm="1">
        <f t="array" ref="BE318">IF(ISBLANK(R318), INDEX(Use, $AH318, 4) - AM318*INDEX(Use, $AH318, 6), R318)</f>
        <v>5</v>
      </c>
      <c r="BF318" s="229">
        <f t="shared" si="463"/>
        <v>30</v>
      </c>
      <c r="BG318" s="229">
        <f t="shared" si="241"/>
        <v>13</v>
      </c>
      <c r="BH318" s="229">
        <f t="shared" si="242"/>
        <v>0</v>
      </c>
      <c r="BI318" s="234" cm="1">
        <f t="array" ref="BI318">K318/IF($L318&gt;0, INDEX($AU$23:$BA$77, $L318+20, $AH318), 1)</f>
        <v>0</v>
      </c>
      <c r="BJ318" s="230">
        <f t="shared" si="464"/>
        <v>0</v>
      </c>
      <c r="BK318" s="229">
        <v>35</v>
      </c>
      <c r="BL318" s="230">
        <f t="shared" si="465"/>
        <v>48</v>
      </c>
      <c r="BM318" s="235">
        <f t="shared" si="466"/>
        <v>2.9108720930232557</v>
      </c>
      <c r="BN318" s="235" cm="1">
        <f t="array" ref="BN318">$BI318 * SUMPRODUCT(INDEX($AR$77:$AT$82,,$AI318),INDEX($AU$77:$BA$82,,$AH318), N($AQ$77:$AQ$82&gt;$AO318)) / BM318 / 1000</f>
        <v>0</v>
      </c>
      <c r="BO318" s="232">
        <f t="shared" si="246"/>
        <v>30</v>
      </c>
      <c r="BP318" s="230">
        <f t="shared" si="467"/>
        <v>43</v>
      </c>
      <c r="BQ318" s="235">
        <f t="shared" si="468"/>
        <v>3.2938815789473681</v>
      </c>
      <c r="BR318" s="235" cm="1">
        <f t="array" ref="BR318">$BI318 * IF($AH318&lt;=2,
SUMPRODUCT(INDEX($AR$72:$AT$76,,$AI318), INDEX($AU$72:$BA$76,,$AH318), 1 / ($BB$72:$BB$76*BQ318 + (1-$BB$72:$BB$76)*BM318), N($AQ$72:$AQ$76&gt;$AO318)),
SUMPRODUCT(INDEX($AR$67:$AT$76,,$AI318), INDEX($AU$67:$BA$76,,$AH318), 1 / ($BC$67:$BC$76*BQ318 + (1-$BC$67:$BC$76)*BM318), N($AQ$67:$AQ$76&gt;$AO318))
) / 1000</f>
        <v>0</v>
      </c>
      <c r="BS318" s="232">
        <f t="shared" si="249"/>
        <v>25</v>
      </c>
      <c r="BT318" s="230">
        <f t="shared" si="469"/>
        <v>38</v>
      </c>
      <c r="BU318" s="235">
        <f t="shared" si="470"/>
        <v>3.792954545454545</v>
      </c>
      <c r="BV318" s="235" cm="1">
        <f t="array" ref="BV318">$BI318 * IF($AH318&lt;=2,
SUMPRODUCT(INDEX($AR$67:$AT$71,,$AI318), INDEX($AU$67:$BA$71,,$AH318), 1 / ($BB$67:$BB$71*BU318 + (1-$BB$67:$BB$71)*BQ318), N($AQ$67:$AQ$71&gt;$AO318)),
SUMPRODUCT(INDEX($AR$57:$AT$66,,$AI318), INDEX($AU$57:$BA$66,,$AH318), 1 / ($BC$57:$BC$66*BU318 + (1-$BC$57:$BC$66)*BQ318), N($AQ$57:$AQ$66&gt;$AO318))
) / 1000</f>
        <v>0</v>
      </c>
      <c r="BW318" s="232">
        <f t="shared" si="252"/>
        <v>20</v>
      </c>
      <c r="BX318" s="230">
        <f t="shared" si="471"/>
        <v>33</v>
      </c>
      <c r="BY318" s="235">
        <f t="shared" si="472"/>
        <v>4.4702678571428569</v>
      </c>
      <c r="BZ318" s="235" cm="1">
        <f t="array" ref="BZ318">$BI318 * IF($AH318&lt;=2,
SUMPRODUCT(INDEX($AR$62:$AT$66,,$AI318), INDEX($AU$62:$BA$66,,$AH318), 1 / ($BB$62:$BB$66*BY318 + (1-$BB$62:$BB$66)*BU318), N($AQ$62:$AQ$66&gt;$AO318)),
SUMPRODUCT(INDEX($AR$47:$AT$56,,$AI318), INDEX($AU$47:$BA$56,,$AH318), 1 / ($BC$47:$BC$56*BY318 + (1-$BC$47:$BC$56)*BU318), N($AQ$47:$AQ$56&gt;$AO318))
) / 1000</f>
        <v>0</v>
      </c>
      <c r="CA318" s="235" cm="1">
        <f t="array" ref="CA318">$BI318 * IF($AH318&lt;=2,
SUMPRODUCT(INDEX($AR$23:$AT$61,,$AI318), INDEX($AU$23:$BA$61,,$AH318), 1 / ($BB$23:$BB$61*BY318), N($AQ$23:$AQ$61&gt;$AO318)),
SUMPRODUCT(INDEX($AR$23:$AT$46,,$AI318), INDEX($AU$23:$BA$46,,$AH318), 1 / ($BC$23:$BC$46*BY318), N($AQ$23:$AQ$46&gt;$AO318))
) / 1000</f>
        <v>0</v>
      </c>
      <c r="CB318" s="230">
        <f t="shared" si="473"/>
        <v>0</v>
      </c>
      <c r="CC318" s="238"/>
      <c r="CD318" s="229" cm="1">
        <f t="array" ref="CD318">IF(ISBLANK(Y318), INDEX(Use, $AH318, 4) - AN318*INDEX(Use, $AH318, 6) - (Q318-X318), Y318)</f>
        <v>7</v>
      </c>
      <c r="CE318" s="229">
        <f t="shared" si="474"/>
        <v>32</v>
      </c>
      <c r="CF318" s="230">
        <f t="shared" si="475"/>
        <v>0</v>
      </c>
      <c r="CG318" s="229">
        <v>35</v>
      </c>
      <c r="CH318" s="230">
        <f t="shared" si="476"/>
        <v>48</v>
      </c>
      <c r="CI318" s="235">
        <f t="shared" si="477"/>
        <v>3.0748170731707316</v>
      </c>
      <c r="CJ318" s="235" cm="1">
        <f t="array" ref="CJ318">$BI318 * SUMPRODUCT(INDEX($AR$77:$AT$82,,$AI318),INDEX($AU$77:$BA$82,,$AH318), N($AQ$77:$AQ$82&gt;$AO318)) / CI318 / 1000</f>
        <v>0</v>
      </c>
      <c r="CK318" s="232">
        <f t="shared" si="260"/>
        <v>30</v>
      </c>
      <c r="CL318" s="230">
        <f t="shared" si="478"/>
        <v>43</v>
      </c>
      <c r="CM318" s="235">
        <f t="shared" si="479"/>
        <v>3.5018750000000001</v>
      </c>
      <c r="CN318" s="235" cm="1">
        <f t="array" ref="CN318">$BI318 * IF($AH318&lt;=2,
SUMPRODUCT(INDEX($AR$72:$AT$76,,$AI318), INDEX($AU$72:$BA$76,,$AH318), 1 / ($BB$72:$BB$76*CM318 + (1-$BB$72:$BB$76)*CI318), N($AQ$72:$AQ$76&gt;$AO318)),
SUMPRODUCT(INDEX($AR$67:$AT$76,,$AI318), INDEX($AU$67:$BA$76,,$AH318), 1 / ($BC$67:$BC$76*CM318 + (1-$BC$67:$BC$76)*CI318), N($AQ$67:$AQ$76&gt;$AO318))
) / 1000</f>
        <v>0</v>
      </c>
      <c r="CO318" s="232">
        <f t="shared" si="263"/>
        <v>25</v>
      </c>
      <c r="CP318" s="230">
        <f t="shared" si="480"/>
        <v>38</v>
      </c>
      <c r="CQ318" s="235">
        <f t="shared" si="481"/>
        <v>4.0666935483870965</v>
      </c>
      <c r="CR318" s="235" cm="1">
        <f t="array" ref="CR318">$BI318 * IF($AH318&lt;=2,
SUMPRODUCT(INDEX($AR$67:$AT$71,,$AI318), INDEX($AU$67:$BA$71,,$AH318), 1 / ($BB$67:$BB$71*CQ318 + (1-$BB$67:$BB$71)*CM318), N($AQ$67:$AQ$71&gt;$AO318)),
SUMPRODUCT(INDEX($AR$57:$AT$66,,$AI318), INDEX($AU$57:$BA$66,,$AH318), 1 / ($BC$57:$BC$66*CQ318 + (1-$BC$57:$BC$66)*CM318), N($AQ$57:$AQ$66&gt;$AO318))
) / 1000</f>
        <v>0</v>
      </c>
      <c r="CS318" s="232">
        <f t="shared" si="266"/>
        <v>20</v>
      </c>
      <c r="CT318" s="230">
        <f t="shared" si="482"/>
        <v>33</v>
      </c>
      <c r="CU318" s="235">
        <f t="shared" si="483"/>
        <v>4.8487499999999999</v>
      </c>
      <c r="CV318" s="235" cm="1">
        <f t="array" ref="CV318">$BI318 * IF($AH318&lt;=2,
SUMPRODUCT(INDEX($AR$62:$AT$66,,$AI318), INDEX($AU$62:$BA$66,,$AH318), 1 / ($BB$62:$BB$66*CU318 + (1-$BB$62:$BB$66)*CQ318), N($AQ$62:$AQ$66&gt;$AO318)),
SUMPRODUCT(INDEX($AR$47:$AT$56,,$AI318), INDEX($AU$47:$BA$56,,$AH318), 1 / ($BC$47:$BC$56*CU318 + (1-$BC$47:$BC$56)*CQ318), N($AQ$47:$AQ$56&gt;$AO318))
) / 1000</f>
        <v>0</v>
      </c>
      <c r="CW318" s="235" cm="1">
        <f t="array" ref="CW318">$BI318 * IF($AH318&lt;=2,
SUMPRODUCT(INDEX($AR$23:$AT$61,,$AI318), INDEX($AU$23:$BA$61,,$AH318), 1 / ($BB$23:$BB$61*CU318), N($AQ$23:$AQ$61&gt;$AO318)),
SUMPRODUCT(INDEX($AR$23:$AT$46,,$AI318), INDEX($AU$23:$BA$46,,$AH318), 1 / ($BC$23:$BC$46*CU318), N($AQ$23:$AQ$46&gt;$AO318))
) / 1000</f>
        <v>0</v>
      </c>
      <c r="CX318" s="230">
        <f t="shared" si="484"/>
        <v>0</v>
      </c>
      <c r="CY318" s="238"/>
    </row>
    <row r="319" spans="1:103" s="76" customFormat="1" ht="14.25" customHeight="1" x14ac:dyDescent="0.2">
      <c r="A319" s="231" t="b">
        <f t="shared" si="229"/>
        <v>0</v>
      </c>
      <c r="B319" s="245">
        <v>297</v>
      </c>
      <c r="C319" s="258"/>
      <c r="D319" s="258"/>
      <c r="E319" s="246"/>
      <c r="F319" s="247" t="str">
        <f>IF(ISBLANK(E319), "", VLOOKUP(E319, Z!$A$2:$C$4127, 3, FALSE))</f>
        <v/>
      </c>
      <c r="G319" s="248"/>
      <c r="H319" s="248"/>
      <c r="I319" s="249"/>
      <c r="J319" s="250"/>
      <c r="K319" s="259"/>
      <c r="L319" s="260"/>
      <c r="M319" s="252" t="str" cm="1">
        <f t="array" ref="M319">INDEX(Trad, 53, $A$20)</f>
        <v>Verschmutzt</v>
      </c>
      <c r="N319" s="253"/>
      <c r="O319" s="253"/>
      <c r="P319" s="254"/>
      <c r="Q319" s="251"/>
      <c r="R319" s="251"/>
      <c r="S319" s="264">
        <f t="shared" si="459"/>
        <v>0</v>
      </c>
      <c r="T319" s="252" t="str" cm="1">
        <f t="array" ref="T319">INDEX(Trad, 52, $A$20)</f>
        <v>Sauber</v>
      </c>
      <c r="U319" s="253"/>
      <c r="V319" s="253"/>
      <c r="W319" s="254"/>
      <c r="X319" s="251"/>
      <c r="Y319" s="251"/>
      <c r="Z319" s="264">
        <f t="shared" si="460"/>
        <v>0</v>
      </c>
      <c r="AA319" s="261"/>
      <c r="AB319" s="258"/>
      <c r="AC319" s="246"/>
      <c r="AD319" s="247" t="str">
        <f>IF(ISBLANK(AC319), "", VLOOKUP(AC319, Z!$A$2:$C$4127, 3, FALSE))</f>
        <v/>
      </c>
      <c r="AE319" s="262"/>
      <c r="AF319" s="263">
        <f t="shared" si="461"/>
        <v>0</v>
      </c>
      <c r="AG319" s="238"/>
      <c r="AH319" s="229">
        <f t="shared" si="485"/>
        <v>1</v>
      </c>
      <c r="AI319" s="229">
        <f t="shared" si="486"/>
        <v>1</v>
      </c>
      <c r="AJ319" s="229">
        <f t="shared" si="487"/>
        <v>0</v>
      </c>
      <c r="AK319" s="229">
        <v>0</v>
      </c>
      <c r="AL319" s="229">
        <v>0</v>
      </c>
      <c r="AM319" s="229">
        <v>1</v>
      </c>
      <c r="AN319" s="229">
        <v>0</v>
      </c>
      <c r="AO319" s="229">
        <f t="shared" si="462"/>
        <v>-100</v>
      </c>
      <c r="AP319" s="238"/>
      <c r="AQ319" s="255"/>
      <c r="AR319" s="255"/>
      <c r="AS319" s="256"/>
      <c r="AT319" s="256"/>
      <c r="AU319" s="256"/>
      <c r="AV319" s="256"/>
      <c r="AW319" s="256"/>
      <c r="AX319" s="256"/>
      <c r="AY319" s="256"/>
      <c r="AZ319" s="256"/>
      <c r="BA319" s="256"/>
      <c r="BB319" s="256"/>
      <c r="BC319" s="256"/>
      <c r="BD319" s="238"/>
      <c r="BE319" s="229" cm="1">
        <f t="array" ref="BE319">IF(ISBLANK(R319), INDEX(Use, $AH319, 4) - AM319*INDEX(Use, $AH319, 6), R319)</f>
        <v>5</v>
      </c>
      <c r="BF319" s="229">
        <f t="shared" si="463"/>
        <v>30</v>
      </c>
      <c r="BG319" s="229">
        <f t="shared" si="241"/>
        <v>13</v>
      </c>
      <c r="BH319" s="229">
        <f t="shared" si="242"/>
        <v>0</v>
      </c>
      <c r="BI319" s="234" cm="1">
        <f t="array" ref="BI319">K319/IF($L319&gt;0, INDEX($AU$23:$BA$77, $L319+20, $AH319), 1)</f>
        <v>0</v>
      </c>
      <c r="BJ319" s="230">
        <f t="shared" si="464"/>
        <v>0</v>
      </c>
      <c r="BK319" s="229">
        <v>35</v>
      </c>
      <c r="BL319" s="230">
        <f t="shared" si="465"/>
        <v>48</v>
      </c>
      <c r="BM319" s="235">
        <f t="shared" si="466"/>
        <v>2.9108720930232557</v>
      </c>
      <c r="BN319" s="235" cm="1">
        <f t="array" ref="BN319">$BI319 * SUMPRODUCT(INDEX($AR$77:$AT$82,,$AI319),INDEX($AU$77:$BA$82,,$AH319), N($AQ$77:$AQ$82&gt;$AO319)) / BM319 / 1000</f>
        <v>0</v>
      </c>
      <c r="BO319" s="232">
        <f t="shared" si="246"/>
        <v>30</v>
      </c>
      <c r="BP319" s="230">
        <f t="shared" si="467"/>
        <v>43</v>
      </c>
      <c r="BQ319" s="235">
        <f t="shared" si="468"/>
        <v>3.2938815789473681</v>
      </c>
      <c r="BR319" s="235" cm="1">
        <f t="array" ref="BR319">$BI319 * IF($AH319&lt;=2,
SUMPRODUCT(INDEX($AR$72:$AT$76,,$AI319), INDEX($AU$72:$BA$76,,$AH319), 1 / ($BB$72:$BB$76*BQ319 + (1-$BB$72:$BB$76)*BM319), N($AQ$72:$AQ$76&gt;$AO319)),
SUMPRODUCT(INDEX($AR$67:$AT$76,,$AI319), INDEX($AU$67:$BA$76,,$AH319), 1 / ($BC$67:$BC$76*BQ319 + (1-$BC$67:$BC$76)*BM319), N($AQ$67:$AQ$76&gt;$AO319))
) / 1000</f>
        <v>0</v>
      </c>
      <c r="BS319" s="232">
        <f t="shared" si="249"/>
        <v>25</v>
      </c>
      <c r="BT319" s="230">
        <f t="shared" si="469"/>
        <v>38</v>
      </c>
      <c r="BU319" s="235">
        <f t="shared" si="470"/>
        <v>3.792954545454545</v>
      </c>
      <c r="BV319" s="235" cm="1">
        <f t="array" ref="BV319">$BI319 * IF($AH319&lt;=2,
SUMPRODUCT(INDEX($AR$67:$AT$71,,$AI319), INDEX($AU$67:$BA$71,,$AH319), 1 / ($BB$67:$BB$71*BU319 + (1-$BB$67:$BB$71)*BQ319), N($AQ$67:$AQ$71&gt;$AO319)),
SUMPRODUCT(INDEX($AR$57:$AT$66,,$AI319), INDEX($AU$57:$BA$66,,$AH319), 1 / ($BC$57:$BC$66*BU319 + (1-$BC$57:$BC$66)*BQ319), N($AQ$57:$AQ$66&gt;$AO319))
) / 1000</f>
        <v>0</v>
      </c>
      <c r="BW319" s="232">
        <f t="shared" si="252"/>
        <v>20</v>
      </c>
      <c r="BX319" s="230">
        <f t="shared" si="471"/>
        <v>33</v>
      </c>
      <c r="BY319" s="235">
        <f t="shared" si="472"/>
        <v>4.4702678571428569</v>
      </c>
      <c r="BZ319" s="235" cm="1">
        <f t="array" ref="BZ319">$BI319 * IF($AH319&lt;=2,
SUMPRODUCT(INDEX($AR$62:$AT$66,,$AI319), INDEX($AU$62:$BA$66,,$AH319), 1 / ($BB$62:$BB$66*BY319 + (1-$BB$62:$BB$66)*BU319), N($AQ$62:$AQ$66&gt;$AO319)),
SUMPRODUCT(INDEX($AR$47:$AT$56,,$AI319), INDEX($AU$47:$BA$56,,$AH319), 1 / ($BC$47:$BC$56*BY319 + (1-$BC$47:$BC$56)*BU319), N($AQ$47:$AQ$56&gt;$AO319))
) / 1000</f>
        <v>0</v>
      </c>
      <c r="CA319" s="235" cm="1">
        <f t="array" ref="CA319">$BI319 * IF($AH319&lt;=2,
SUMPRODUCT(INDEX($AR$23:$AT$61,,$AI319), INDEX($AU$23:$BA$61,,$AH319), 1 / ($BB$23:$BB$61*BY319), N($AQ$23:$AQ$61&gt;$AO319)),
SUMPRODUCT(INDEX($AR$23:$AT$46,,$AI319), INDEX($AU$23:$BA$46,,$AH319), 1 / ($BC$23:$BC$46*BY319), N($AQ$23:$AQ$46&gt;$AO319))
) / 1000</f>
        <v>0</v>
      </c>
      <c r="CB319" s="230">
        <f t="shared" si="473"/>
        <v>0</v>
      </c>
      <c r="CC319" s="238"/>
      <c r="CD319" s="229" cm="1">
        <f t="array" ref="CD319">IF(ISBLANK(Y319), INDEX(Use, $AH319, 4) - AN319*INDEX(Use, $AH319, 6) - (Q319-X319), Y319)</f>
        <v>7</v>
      </c>
      <c r="CE319" s="229">
        <f t="shared" si="474"/>
        <v>32</v>
      </c>
      <c r="CF319" s="230">
        <f t="shared" si="475"/>
        <v>0</v>
      </c>
      <c r="CG319" s="229">
        <v>35</v>
      </c>
      <c r="CH319" s="230">
        <f t="shared" si="476"/>
        <v>48</v>
      </c>
      <c r="CI319" s="235">
        <f t="shared" si="477"/>
        <v>3.0748170731707316</v>
      </c>
      <c r="CJ319" s="235" cm="1">
        <f t="array" ref="CJ319">$BI319 * SUMPRODUCT(INDEX($AR$77:$AT$82,,$AI319),INDEX($AU$77:$BA$82,,$AH319), N($AQ$77:$AQ$82&gt;$AO319)) / CI319 / 1000</f>
        <v>0</v>
      </c>
      <c r="CK319" s="232">
        <f t="shared" si="260"/>
        <v>30</v>
      </c>
      <c r="CL319" s="230">
        <f t="shared" si="478"/>
        <v>43</v>
      </c>
      <c r="CM319" s="235">
        <f t="shared" si="479"/>
        <v>3.5018750000000001</v>
      </c>
      <c r="CN319" s="235" cm="1">
        <f t="array" ref="CN319">$BI319 * IF($AH319&lt;=2,
SUMPRODUCT(INDEX($AR$72:$AT$76,,$AI319), INDEX($AU$72:$BA$76,,$AH319), 1 / ($BB$72:$BB$76*CM319 + (1-$BB$72:$BB$76)*CI319), N($AQ$72:$AQ$76&gt;$AO319)),
SUMPRODUCT(INDEX($AR$67:$AT$76,,$AI319), INDEX($AU$67:$BA$76,,$AH319), 1 / ($BC$67:$BC$76*CM319 + (1-$BC$67:$BC$76)*CI319), N($AQ$67:$AQ$76&gt;$AO319))
) / 1000</f>
        <v>0</v>
      </c>
      <c r="CO319" s="232">
        <f t="shared" si="263"/>
        <v>25</v>
      </c>
      <c r="CP319" s="230">
        <f t="shared" si="480"/>
        <v>38</v>
      </c>
      <c r="CQ319" s="235">
        <f t="shared" si="481"/>
        <v>4.0666935483870965</v>
      </c>
      <c r="CR319" s="235" cm="1">
        <f t="array" ref="CR319">$BI319 * IF($AH319&lt;=2,
SUMPRODUCT(INDEX($AR$67:$AT$71,,$AI319), INDEX($AU$67:$BA$71,,$AH319), 1 / ($BB$67:$BB$71*CQ319 + (1-$BB$67:$BB$71)*CM319), N($AQ$67:$AQ$71&gt;$AO319)),
SUMPRODUCT(INDEX($AR$57:$AT$66,,$AI319), INDEX($AU$57:$BA$66,,$AH319), 1 / ($BC$57:$BC$66*CQ319 + (1-$BC$57:$BC$66)*CM319), N($AQ$57:$AQ$66&gt;$AO319))
) / 1000</f>
        <v>0</v>
      </c>
      <c r="CS319" s="232">
        <f t="shared" si="266"/>
        <v>20</v>
      </c>
      <c r="CT319" s="230">
        <f t="shared" si="482"/>
        <v>33</v>
      </c>
      <c r="CU319" s="235">
        <f t="shared" si="483"/>
        <v>4.8487499999999999</v>
      </c>
      <c r="CV319" s="235" cm="1">
        <f t="array" ref="CV319">$BI319 * IF($AH319&lt;=2,
SUMPRODUCT(INDEX($AR$62:$AT$66,,$AI319), INDEX($AU$62:$BA$66,,$AH319), 1 / ($BB$62:$BB$66*CU319 + (1-$BB$62:$BB$66)*CQ319), N($AQ$62:$AQ$66&gt;$AO319)),
SUMPRODUCT(INDEX($AR$47:$AT$56,,$AI319), INDEX($AU$47:$BA$56,,$AH319), 1 / ($BC$47:$BC$56*CU319 + (1-$BC$47:$BC$56)*CQ319), N($AQ$47:$AQ$56&gt;$AO319))
) / 1000</f>
        <v>0</v>
      </c>
      <c r="CW319" s="235" cm="1">
        <f t="array" ref="CW319">$BI319 * IF($AH319&lt;=2,
SUMPRODUCT(INDEX($AR$23:$AT$61,,$AI319), INDEX($AU$23:$BA$61,,$AH319), 1 / ($BB$23:$BB$61*CU319), N($AQ$23:$AQ$61&gt;$AO319)),
SUMPRODUCT(INDEX($AR$23:$AT$46,,$AI319), INDEX($AU$23:$BA$46,,$AH319), 1 / ($BC$23:$BC$46*CU319), N($AQ$23:$AQ$46&gt;$AO319))
) / 1000</f>
        <v>0</v>
      </c>
      <c r="CX319" s="230">
        <f t="shared" si="484"/>
        <v>0</v>
      </c>
      <c r="CY319" s="238"/>
    </row>
    <row r="320" spans="1:103" s="76" customFormat="1" ht="14.25" customHeight="1" x14ac:dyDescent="0.2">
      <c r="A320" s="231" t="b">
        <f t="shared" si="229"/>
        <v>0</v>
      </c>
      <c r="B320" s="245">
        <v>298</v>
      </c>
      <c r="C320" s="258"/>
      <c r="D320" s="258"/>
      <c r="E320" s="246"/>
      <c r="F320" s="247" t="str">
        <f>IF(ISBLANK(E320), "", VLOOKUP(E320, Z!$A$2:$C$4127, 3, FALSE))</f>
        <v/>
      </c>
      <c r="G320" s="248"/>
      <c r="H320" s="248"/>
      <c r="I320" s="249"/>
      <c r="J320" s="250"/>
      <c r="K320" s="259"/>
      <c r="L320" s="260"/>
      <c r="M320" s="252" t="str" cm="1">
        <f t="array" ref="M320">INDEX(Trad, 53, $A$20)</f>
        <v>Verschmutzt</v>
      </c>
      <c r="N320" s="253"/>
      <c r="O320" s="253"/>
      <c r="P320" s="254"/>
      <c r="Q320" s="251"/>
      <c r="R320" s="251"/>
      <c r="S320" s="264">
        <f t="shared" si="459"/>
        <v>0</v>
      </c>
      <c r="T320" s="252" t="str" cm="1">
        <f t="array" ref="T320">INDEX(Trad, 52, $A$20)</f>
        <v>Sauber</v>
      </c>
      <c r="U320" s="253"/>
      <c r="V320" s="253"/>
      <c r="W320" s="254"/>
      <c r="X320" s="251"/>
      <c r="Y320" s="251"/>
      <c r="Z320" s="264">
        <f t="shared" si="460"/>
        <v>0</v>
      </c>
      <c r="AA320" s="261"/>
      <c r="AB320" s="258"/>
      <c r="AC320" s="246"/>
      <c r="AD320" s="247" t="str">
        <f>IF(ISBLANK(AC320), "", VLOOKUP(AC320, Z!$A$2:$C$4127, 3, FALSE))</f>
        <v/>
      </c>
      <c r="AE320" s="262"/>
      <c r="AF320" s="263">
        <f t="shared" si="461"/>
        <v>0</v>
      </c>
      <c r="AG320" s="238"/>
      <c r="AH320" s="229">
        <f t="shared" si="485"/>
        <v>1</v>
      </c>
      <c r="AI320" s="229">
        <f t="shared" si="486"/>
        <v>1</v>
      </c>
      <c r="AJ320" s="229">
        <f t="shared" si="487"/>
        <v>0</v>
      </c>
      <c r="AK320" s="229">
        <v>0</v>
      </c>
      <c r="AL320" s="229">
        <v>0</v>
      </c>
      <c r="AM320" s="229">
        <v>1</v>
      </c>
      <c r="AN320" s="229">
        <v>0</v>
      </c>
      <c r="AO320" s="229">
        <f t="shared" si="462"/>
        <v>-100</v>
      </c>
      <c r="AP320" s="238"/>
      <c r="AQ320" s="255"/>
      <c r="AR320" s="255"/>
      <c r="AS320" s="256"/>
      <c r="AT320" s="256"/>
      <c r="AU320" s="256"/>
      <c r="AV320" s="256"/>
      <c r="AW320" s="256"/>
      <c r="AX320" s="256"/>
      <c r="AY320" s="256"/>
      <c r="AZ320" s="256"/>
      <c r="BA320" s="256"/>
      <c r="BB320" s="256"/>
      <c r="BC320" s="256"/>
      <c r="BD320" s="238"/>
      <c r="BE320" s="229" cm="1">
        <f t="array" ref="BE320">IF(ISBLANK(R320), INDEX(Use, $AH320, 4) - AM320*INDEX(Use, $AH320, 6), R320)</f>
        <v>5</v>
      </c>
      <c r="BF320" s="229">
        <f t="shared" si="463"/>
        <v>30</v>
      </c>
      <c r="BG320" s="229">
        <f t="shared" si="241"/>
        <v>13</v>
      </c>
      <c r="BH320" s="229">
        <f t="shared" si="242"/>
        <v>0</v>
      </c>
      <c r="BI320" s="234" cm="1">
        <f t="array" ref="BI320">K320/IF($L320&gt;0, INDEX($AU$23:$BA$77, $L320+20, $AH320), 1)</f>
        <v>0</v>
      </c>
      <c r="BJ320" s="230">
        <f t="shared" si="464"/>
        <v>0</v>
      </c>
      <c r="BK320" s="229">
        <v>35</v>
      </c>
      <c r="BL320" s="230">
        <f t="shared" si="465"/>
        <v>48</v>
      </c>
      <c r="BM320" s="235">
        <f t="shared" si="466"/>
        <v>2.9108720930232557</v>
      </c>
      <c r="BN320" s="235" cm="1">
        <f t="array" ref="BN320">$BI320 * SUMPRODUCT(INDEX($AR$77:$AT$82,,$AI320),INDEX($AU$77:$BA$82,,$AH320), N($AQ$77:$AQ$82&gt;$AO320)) / BM320 / 1000</f>
        <v>0</v>
      </c>
      <c r="BO320" s="232">
        <f t="shared" si="246"/>
        <v>30</v>
      </c>
      <c r="BP320" s="230">
        <f t="shared" si="467"/>
        <v>43</v>
      </c>
      <c r="BQ320" s="235">
        <f t="shared" si="468"/>
        <v>3.2938815789473681</v>
      </c>
      <c r="BR320" s="235" cm="1">
        <f t="array" ref="BR320">$BI320 * IF($AH320&lt;=2,
SUMPRODUCT(INDEX($AR$72:$AT$76,,$AI320), INDEX($AU$72:$BA$76,,$AH320), 1 / ($BB$72:$BB$76*BQ320 + (1-$BB$72:$BB$76)*BM320), N($AQ$72:$AQ$76&gt;$AO320)),
SUMPRODUCT(INDEX($AR$67:$AT$76,,$AI320), INDEX($AU$67:$BA$76,,$AH320), 1 / ($BC$67:$BC$76*BQ320 + (1-$BC$67:$BC$76)*BM320), N($AQ$67:$AQ$76&gt;$AO320))
) / 1000</f>
        <v>0</v>
      </c>
      <c r="BS320" s="232">
        <f t="shared" si="249"/>
        <v>25</v>
      </c>
      <c r="BT320" s="230">
        <f t="shared" si="469"/>
        <v>38</v>
      </c>
      <c r="BU320" s="235">
        <f t="shared" si="470"/>
        <v>3.792954545454545</v>
      </c>
      <c r="BV320" s="235" cm="1">
        <f t="array" ref="BV320">$BI320 * IF($AH320&lt;=2,
SUMPRODUCT(INDEX($AR$67:$AT$71,,$AI320), INDEX($AU$67:$BA$71,,$AH320), 1 / ($BB$67:$BB$71*BU320 + (1-$BB$67:$BB$71)*BQ320), N($AQ$67:$AQ$71&gt;$AO320)),
SUMPRODUCT(INDEX($AR$57:$AT$66,,$AI320), INDEX($AU$57:$BA$66,,$AH320), 1 / ($BC$57:$BC$66*BU320 + (1-$BC$57:$BC$66)*BQ320), N($AQ$57:$AQ$66&gt;$AO320))
) / 1000</f>
        <v>0</v>
      </c>
      <c r="BW320" s="232">
        <f t="shared" si="252"/>
        <v>20</v>
      </c>
      <c r="BX320" s="230">
        <f t="shared" si="471"/>
        <v>33</v>
      </c>
      <c r="BY320" s="235">
        <f t="shared" si="472"/>
        <v>4.4702678571428569</v>
      </c>
      <c r="BZ320" s="235" cm="1">
        <f t="array" ref="BZ320">$BI320 * IF($AH320&lt;=2,
SUMPRODUCT(INDEX($AR$62:$AT$66,,$AI320), INDEX($AU$62:$BA$66,,$AH320), 1 / ($BB$62:$BB$66*BY320 + (1-$BB$62:$BB$66)*BU320), N($AQ$62:$AQ$66&gt;$AO320)),
SUMPRODUCT(INDEX($AR$47:$AT$56,,$AI320), INDEX($AU$47:$BA$56,,$AH320), 1 / ($BC$47:$BC$56*BY320 + (1-$BC$47:$BC$56)*BU320), N($AQ$47:$AQ$56&gt;$AO320))
) / 1000</f>
        <v>0</v>
      </c>
      <c r="CA320" s="235" cm="1">
        <f t="array" ref="CA320">$BI320 * IF($AH320&lt;=2,
SUMPRODUCT(INDEX($AR$23:$AT$61,,$AI320), INDEX($AU$23:$BA$61,,$AH320), 1 / ($BB$23:$BB$61*BY320), N($AQ$23:$AQ$61&gt;$AO320)),
SUMPRODUCT(INDEX($AR$23:$AT$46,,$AI320), INDEX($AU$23:$BA$46,,$AH320), 1 / ($BC$23:$BC$46*BY320), N($AQ$23:$AQ$46&gt;$AO320))
) / 1000</f>
        <v>0</v>
      </c>
      <c r="CB320" s="230">
        <f t="shared" si="473"/>
        <v>0</v>
      </c>
      <c r="CC320" s="238"/>
      <c r="CD320" s="229" cm="1">
        <f t="array" ref="CD320">IF(ISBLANK(Y320), INDEX(Use, $AH320, 4) - AN320*INDEX(Use, $AH320, 6) - (Q320-X320), Y320)</f>
        <v>7</v>
      </c>
      <c r="CE320" s="229">
        <f t="shared" si="474"/>
        <v>32</v>
      </c>
      <c r="CF320" s="230">
        <f t="shared" si="475"/>
        <v>0</v>
      </c>
      <c r="CG320" s="229">
        <v>35</v>
      </c>
      <c r="CH320" s="230">
        <f t="shared" si="476"/>
        <v>48</v>
      </c>
      <c r="CI320" s="235">
        <f t="shared" si="477"/>
        <v>3.0748170731707316</v>
      </c>
      <c r="CJ320" s="235" cm="1">
        <f t="array" ref="CJ320">$BI320 * SUMPRODUCT(INDEX($AR$77:$AT$82,,$AI320),INDEX($AU$77:$BA$82,,$AH320), N($AQ$77:$AQ$82&gt;$AO320)) / CI320 / 1000</f>
        <v>0</v>
      </c>
      <c r="CK320" s="232">
        <f t="shared" si="260"/>
        <v>30</v>
      </c>
      <c r="CL320" s="230">
        <f t="shared" si="478"/>
        <v>43</v>
      </c>
      <c r="CM320" s="235">
        <f t="shared" si="479"/>
        <v>3.5018750000000001</v>
      </c>
      <c r="CN320" s="235" cm="1">
        <f t="array" ref="CN320">$BI320 * IF($AH320&lt;=2,
SUMPRODUCT(INDEX($AR$72:$AT$76,,$AI320), INDEX($AU$72:$BA$76,,$AH320), 1 / ($BB$72:$BB$76*CM320 + (1-$BB$72:$BB$76)*CI320), N($AQ$72:$AQ$76&gt;$AO320)),
SUMPRODUCT(INDEX($AR$67:$AT$76,,$AI320), INDEX($AU$67:$BA$76,,$AH320), 1 / ($BC$67:$BC$76*CM320 + (1-$BC$67:$BC$76)*CI320), N($AQ$67:$AQ$76&gt;$AO320))
) / 1000</f>
        <v>0</v>
      </c>
      <c r="CO320" s="232">
        <f t="shared" si="263"/>
        <v>25</v>
      </c>
      <c r="CP320" s="230">
        <f t="shared" si="480"/>
        <v>38</v>
      </c>
      <c r="CQ320" s="235">
        <f t="shared" si="481"/>
        <v>4.0666935483870965</v>
      </c>
      <c r="CR320" s="235" cm="1">
        <f t="array" ref="CR320">$BI320 * IF($AH320&lt;=2,
SUMPRODUCT(INDEX($AR$67:$AT$71,,$AI320), INDEX($AU$67:$BA$71,,$AH320), 1 / ($BB$67:$BB$71*CQ320 + (1-$BB$67:$BB$71)*CM320), N($AQ$67:$AQ$71&gt;$AO320)),
SUMPRODUCT(INDEX($AR$57:$AT$66,,$AI320), INDEX($AU$57:$BA$66,,$AH320), 1 / ($BC$57:$BC$66*CQ320 + (1-$BC$57:$BC$66)*CM320), N($AQ$57:$AQ$66&gt;$AO320))
) / 1000</f>
        <v>0</v>
      </c>
      <c r="CS320" s="232">
        <f t="shared" si="266"/>
        <v>20</v>
      </c>
      <c r="CT320" s="230">
        <f t="shared" si="482"/>
        <v>33</v>
      </c>
      <c r="CU320" s="235">
        <f t="shared" si="483"/>
        <v>4.8487499999999999</v>
      </c>
      <c r="CV320" s="235" cm="1">
        <f t="array" ref="CV320">$BI320 * IF($AH320&lt;=2,
SUMPRODUCT(INDEX($AR$62:$AT$66,,$AI320), INDEX($AU$62:$BA$66,,$AH320), 1 / ($BB$62:$BB$66*CU320 + (1-$BB$62:$BB$66)*CQ320), N($AQ$62:$AQ$66&gt;$AO320)),
SUMPRODUCT(INDEX($AR$47:$AT$56,,$AI320), INDEX($AU$47:$BA$56,,$AH320), 1 / ($BC$47:$BC$56*CU320 + (1-$BC$47:$BC$56)*CQ320), N($AQ$47:$AQ$56&gt;$AO320))
) / 1000</f>
        <v>0</v>
      </c>
      <c r="CW320" s="235" cm="1">
        <f t="array" ref="CW320">$BI320 * IF($AH320&lt;=2,
SUMPRODUCT(INDEX($AR$23:$AT$61,,$AI320), INDEX($AU$23:$BA$61,,$AH320), 1 / ($BB$23:$BB$61*CU320), N($AQ$23:$AQ$61&gt;$AO320)),
SUMPRODUCT(INDEX($AR$23:$AT$46,,$AI320), INDEX($AU$23:$BA$46,,$AH320), 1 / ($BC$23:$BC$46*CU320), N($AQ$23:$AQ$46&gt;$AO320))
) / 1000</f>
        <v>0</v>
      </c>
      <c r="CX320" s="230">
        <f t="shared" si="484"/>
        <v>0</v>
      </c>
      <c r="CY320" s="238"/>
    </row>
    <row r="321" spans="1:103" s="76" customFormat="1" ht="14.25" customHeight="1" x14ac:dyDescent="0.2">
      <c r="A321" s="231" t="b">
        <f t="shared" si="229"/>
        <v>0</v>
      </c>
      <c r="B321" s="245">
        <v>299</v>
      </c>
      <c r="C321" s="258"/>
      <c r="D321" s="258"/>
      <c r="E321" s="246"/>
      <c r="F321" s="247" t="str">
        <f>IF(ISBLANK(E321), "", VLOOKUP(E321, Z!$A$2:$C$4127, 3, FALSE))</f>
        <v/>
      </c>
      <c r="G321" s="248"/>
      <c r="H321" s="248"/>
      <c r="I321" s="249"/>
      <c r="J321" s="250"/>
      <c r="K321" s="259"/>
      <c r="L321" s="260"/>
      <c r="M321" s="252" t="str" cm="1">
        <f t="array" ref="M321">INDEX(Trad, 53, $A$20)</f>
        <v>Verschmutzt</v>
      </c>
      <c r="N321" s="253"/>
      <c r="O321" s="253"/>
      <c r="P321" s="254"/>
      <c r="Q321" s="251"/>
      <c r="R321" s="251"/>
      <c r="S321" s="264">
        <f t="shared" si="459"/>
        <v>0</v>
      </c>
      <c r="T321" s="252" t="str" cm="1">
        <f t="array" ref="T321">INDEX(Trad, 52, $A$20)</f>
        <v>Sauber</v>
      </c>
      <c r="U321" s="253"/>
      <c r="V321" s="253"/>
      <c r="W321" s="254"/>
      <c r="X321" s="251"/>
      <c r="Y321" s="251"/>
      <c r="Z321" s="264">
        <f t="shared" si="460"/>
        <v>0</v>
      </c>
      <c r="AA321" s="261"/>
      <c r="AB321" s="258"/>
      <c r="AC321" s="246"/>
      <c r="AD321" s="247" t="str">
        <f>IF(ISBLANK(AC321), "", VLOOKUP(AC321, Z!$A$2:$C$4127, 3, FALSE))</f>
        <v/>
      </c>
      <c r="AE321" s="262"/>
      <c r="AF321" s="263">
        <f t="shared" si="461"/>
        <v>0</v>
      </c>
      <c r="AG321" s="238"/>
      <c r="AH321" s="229">
        <f t="shared" si="485"/>
        <v>1</v>
      </c>
      <c r="AI321" s="229">
        <f t="shared" si="486"/>
        <v>1</v>
      </c>
      <c r="AJ321" s="229">
        <f t="shared" si="487"/>
        <v>0</v>
      </c>
      <c r="AK321" s="229">
        <v>0</v>
      </c>
      <c r="AL321" s="229">
        <v>0</v>
      </c>
      <c r="AM321" s="229">
        <v>1</v>
      </c>
      <c r="AN321" s="229">
        <v>0</v>
      </c>
      <c r="AO321" s="229">
        <f t="shared" si="462"/>
        <v>-100</v>
      </c>
      <c r="AP321" s="238"/>
      <c r="AQ321" s="255"/>
      <c r="AR321" s="255"/>
      <c r="AS321" s="256"/>
      <c r="AT321" s="256"/>
      <c r="AU321" s="256"/>
      <c r="AV321" s="256"/>
      <c r="AW321" s="256"/>
      <c r="AX321" s="256"/>
      <c r="AY321" s="256"/>
      <c r="AZ321" s="256"/>
      <c r="BA321" s="256"/>
      <c r="BB321" s="256"/>
      <c r="BC321" s="256"/>
      <c r="BD321" s="238"/>
      <c r="BE321" s="229" cm="1">
        <f t="array" ref="BE321">IF(ISBLANK(R321), INDEX(Use, $AH321, 4) - AM321*INDEX(Use, $AH321, 6), R321)</f>
        <v>5</v>
      </c>
      <c r="BF321" s="229">
        <f t="shared" si="463"/>
        <v>30</v>
      </c>
      <c r="BG321" s="229">
        <f t="shared" si="241"/>
        <v>13</v>
      </c>
      <c r="BH321" s="229">
        <f t="shared" si="242"/>
        <v>0</v>
      </c>
      <c r="BI321" s="234" cm="1">
        <f t="array" ref="BI321">K321/IF($L321&gt;0, INDEX($AU$23:$BA$77, $L321+20, $AH321), 1)</f>
        <v>0</v>
      </c>
      <c r="BJ321" s="230">
        <f t="shared" si="464"/>
        <v>0</v>
      </c>
      <c r="BK321" s="229">
        <v>35</v>
      </c>
      <c r="BL321" s="230">
        <f t="shared" si="465"/>
        <v>48</v>
      </c>
      <c r="BM321" s="235">
        <f t="shared" si="466"/>
        <v>2.9108720930232557</v>
      </c>
      <c r="BN321" s="235" cm="1">
        <f t="array" ref="BN321">$BI321 * SUMPRODUCT(INDEX($AR$77:$AT$82,,$AI321),INDEX($AU$77:$BA$82,,$AH321), N($AQ$77:$AQ$82&gt;$AO321)) / BM321 / 1000</f>
        <v>0</v>
      </c>
      <c r="BO321" s="232">
        <f t="shared" si="246"/>
        <v>30</v>
      </c>
      <c r="BP321" s="230">
        <f t="shared" si="467"/>
        <v>43</v>
      </c>
      <c r="BQ321" s="235">
        <f t="shared" si="468"/>
        <v>3.2938815789473681</v>
      </c>
      <c r="BR321" s="235" cm="1">
        <f t="array" ref="BR321">$BI321 * IF($AH321&lt;=2,
SUMPRODUCT(INDEX($AR$72:$AT$76,,$AI321), INDEX($AU$72:$BA$76,,$AH321), 1 / ($BB$72:$BB$76*BQ321 + (1-$BB$72:$BB$76)*BM321), N($AQ$72:$AQ$76&gt;$AO321)),
SUMPRODUCT(INDEX($AR$67:$AT$76,,$AI321), INDEX($AU$67:$BA$76,,$AH321), 1 / ($BC$67:$BC$76*BQ321 + (1-$BC$67:$BC$76)*BM321), N($AQ$67:$AQ$76&gt;$AO321))
) / 1000</f>
        <v>0</v>
      </c>
      <c r="BS321" s="232">
        <f t="shared" si="249"/>
        <v>25</v>
      </c>
      <c r="BT321" s="230">
        <f t="shared" si="469"/>
        <v>38</v>
      </c>
      <c r="BU321" s="235">
        <f t="shared" si="470"/>
        <v>3.792954545454545</v>
      </c>
      <c r="BV321" s="235" cm="1">
        <f t="array" ref="BV321">$BI321 * IF($AH321&lt;=2,
SUMPRODUCT(INDEX($AR$67:$AT$71,,$AI321), INDEX($AU$67:$BA$71,,$AH321), 1 / ($BB$67:$BB$71*BU321 + (1-$BB$67:$BB$71)*BQ321), N($AQ$67:$AQ$71&gt;$AO321)),
SUMPRODUCT(INDEX($AR$57:$AT$66,,$AI321), INDEX($AU$57:$BA$66,,$AH321), 1 / ($BC$57:$BC$66*BU321 + (1-$BC$57:$BC$66)*BQ321), N($AQ$57:$AQ$66&gt;$AO321))
) / 1000</f>
        <v>0</v>
      </c>
      <c r="BW321" s="232">
        <f t="shared" si="252"/>
        <v>20</v>
      </c>
      <c r="BX321" s="230">
        <f t="shared" si="471"/>
        <v>33</v>
      </c>
      <c r="BY321" s="235">
        <f t="shared" si="472"/>
        <v>4.4702678571428569</v>
      </c>
      <c r="BZ321" s="235" cm="1">
        <f t="array" ref="BZ321">$BI321 * IF($AH321&lt;=2,
SUMPRODUCT(INDEX($AR$62:$AT$66,,$AI321), INDEX($AU$62:$BA$66,,$AH321), 1 / ($BB$62:$BB$66*BY321 + (1-$BB$62:$BB$66)*BU321), N($AQ$62:$AQ$66&gt;$AO321)),
SUMPRODUCT(INDEX($AR$47:$AT$56,,$AI321), INDEX($AU$47:$BA$56,,$AH321), 1 / ($BC$47:$BC$56*BY321 + (1-$BC$47:$BC$56)*BU321), N($AQ$47:$AQ$56&gt;$AO321))
) / 1000</f>
        <v>0</v>
      </c>
      <c r="CA321" s="235" cm="1">
        <f t="array" ref="CA321">$BI321 * IF($AH321&lt;=2,
SUMPRODUCT(INDEX($AR$23:$AT$61,,$AI321), INDEX($AU$23:$BA$61,,$AH321), 1 / ($BB$23:$BB$61*BY321), N($AQ$23:$AQ$61&gt;$AO321)),
SUMPRODUCT(INDEX($AR$23:$AT$46,,$AI321), INDEX($AU$23:$BA$46,,$AH321), 1 / ($BC$23:$BC$46*BY321), N($AQ$23:$AQ$46&gt;$AO321))
) / 1000</f>
        <v>0</v>
      </c>
      <c r="CB321" s="230">
        <f t="shared" si="473"/>
        <v>0</v>
      </c>
      <c r="CC321" s="238"/>
      <c r="CD321" s="229" cm="1">
        <f t="array" ref="CD321">IF(ISBLANK(Y321), INDEX(Use, $AH321, 4) - AN321*INDEX(Use, $AH321, 6) - (Q321-X321), Y321)</f>
        <v>7</v>
      </c>
      <c r="CE321" s="229">
        <f t="shared" si="474"/>
        <v>32</v>
      </c>
      <c r="CF321" s="230">
        <f t="shared" si="475"/>
        <v>0</v>
      </c>
      <c r="CG321" s="229">
        <v>35</v>
      </c>
      <c r="CH321" s="230">
        <f t="shared" si="476"/>
        <v>48</v>
      </c>
      <c r="CI321" s="235">
        <f t="shared" si="477"/>
        <v>3.0748170731707316</v>
      </c>
      <c r="CJ321" s="235" cm="1">
        <f t="array" ref="CJ321">$BI321 * SUMPRODUCT(INDEX($AR$77:$AT$82,,$AI321),INDEX($AU$77:$BA$82,,$AH321), N($AQ$77:$AQ$82&gt;$AO321)) / CI321 / 1000</f>
        <v>0</v>
      </c>
      <c r="CK321" s="232">
        <f t="shared" si="260"/>
        <v>30</v>
      </c>
      <c r="CL321" s="230">
        <f t="shared" si="478"/>
        <v>43</v>
      </c>
      <c r="CM321" s="235">
        <f t="shared" si="479"/>
        <v>3.5018750000000001</v>
      </c>
      <c r="CN321" s="235" cm="1">
        <f t="array" ref="CN321">$BI321 * IF($AH321&lt;=2,
SUMPRODUCT(INDEX($AR$72:$AT$76,,$AI321), INDEX($AU$72:$BA$76,,$AH321), 1 / ($BB$72:$BB$76*CM321 + (1-$BB$72:$BB$76)*CI321), N($AQ$72:$AQ$76&gt;$AO321)),
SUMPRODUCT(INDEX($AR$67:$AT$76,,$AI321), INDEX($AU$67:$BA$76,,$AH321), 1 / ($BC$67:$BC$76*CM321 + (1-$BC$67:$BC$76)*CI321), N($AQ$67:$AQ$76&gt;$AO321))
) / 1000</f>
        <v>0</v>
      </c>
      <c r="CO321" s="232">
        <f t="shared" si="263"/>
        <v>25</v>
      </c>
      <c r="CP321" s="230">
        <f t="shared" si="480"/>
        <v>38</v>
      </c>
      <c r="CQ321" s="235">
        <f t="shared" si="481"/>
        <v>4.0666935483870965</v>
      </c>
      <c r="CR321" s="235" cm="1">
        <f t="array" ref="CR321">$BI321 * IF($AH321&lt;=2,
SUMPRODUCT(INDEX($AR$67:$AT$71,,$AI321), INDEX($AU$67:$BA$71,,$AH321), 1 / ($BB$67:$BB$71*CQ321 + (1-$BB$67:$BB$71)*CM321), N($AQ$67:$AQ$71&gt;$AO321)),
SUMPRODUCT(INDEX($AR$57:$AT$66,,$AI321), INDEX($AU$57:$BA$66,,$AH321), 1 / ($BC$57:$BC$66*CQ321 + (1-$BC$57:$BC$66)*CM321), N($AQ$57:$AQ$66&gt;$AO321))
) / 1000</f>
        <v>0</v>
      </c>
      <c r="CS321" s="232">
        <f t="shared" si="266"/>
        <v>20</v>
      </c>
      <c r="CT321" s="230">
        <f t="shared" si="482"/>
        <v>33</v>
      </c>
      <c r="CU321" s="235">
        <f t="shared" si="483"/>
        <v>4.8487499999999999</v>
      </c>
      <c r="CV321" s="235" cm="1">
        <f t="array" ref="CV321">$BI321 * IF($AH321&lt;=2,
SUMPRODUCT(INDEX($AR$62:$AT$66,,$AI321), INDEX($AU$62:$BA$66,,$AH321), 1 / ($BB$62:$BB$66*CU321 + (1-$BB$62:$BB$66)*CQ321), N($AQ$62:$AQ$66&gt;$AO321)),
SUMPRODUCT(INDEX($AR$47:$AT$56,,$AI321), INDEX($AU$47:$BA$56,,$AH321), 1 / ($BC$47:$BC$56*CU321 + (1-$BC$47:$BC$56)*CQ321), N($AQ$47:$AQ$56&gt;$AO321))
) / 1000</f>
        <v>0</v>
      </c>
      <c r="CW321" s="235" cm="1">
        <f t="array" ref="CW321">$BI321 * IF($AH321&lt;=2,
SUMPRODUCT(INDEX($AR$23:$AT$61,,$AI321), INDEX($AU$23:$BA$61,,$AH321), 1 / ($BB$23:$BB$61*CU321), N($AQ$23:$AQ$61&gt;$AO321)),
SUMPRODUCT(INDEX($AR$23:$AT$46,,$AI321), INDEX($AU$23:$BA$46,,$AH321), 1 / ($BC$23:$BC$46*CU321), N($AQ$23:$AQ$46&gt;$AO321))
) / 1000</f>
        <v>0</v>
      </c>
      <c r="CX321" s="230">
        <f t="shared" si="484"/>
        <v>0</v>
      </c>
      <c r="CY321" s="238"/>
    </row>
    <row r="322" spans="1:103" s="76" customFormat="1" ht="14.25" customHeight="1" x14ac:dyDescent="0.2">
      <c r="A322" s="231" t="b">
        <f t="shared" si="229"/>
        <v>0</v>
      </c>
      <c r="B322" s="245">
        <v>300</v>
      </c>
      <c r="C322" s="258"/>
      <c r="D322" s="258"/>
      <c r="E322" s="246"/>
      <c r="F322" s="247" t="str">
        <f>IF(ISBLANK(E322), "", VLOOKUP(E322, Z!$A$2:$C$4127, 3, FALSE))</f>
        <v/>
      </c>
      <c r="G322" s="248"/>
      <c r="H322" s="248"/>
      <c r="I322" s="249"/>
      <c r="J322" s="250"/>
      <c r="K322" s="259"/>
      <c r="L322" s="260"/>
      <c r="M322" s="252" t="str" cm="1">
        <f t="array" ref="M322">INDEX(Trad, 53, $A$20)</f>
        <v>Verschmutzt</v>
      </c>
      <c r="N322" s="253"/>
      <c r="O322" s="253"/>
      <c r="P322" s="254"/>
      <c r="Q322" s="251"/>
      <c r="R322" s="251"/>
      <c r="S322" s="264">
        <f t="shared" si="459"/>
        <v>0</v>
      </c>
      <c r="T322" s="252" t="str" cm="1">
        <f t="array" ref="T322">INDEX(Trad, 52, $A$20)</f>
        <v>Sauber</v>
      </c>
      <c r="U322" s="253"/>
      <c r="V322" s="253"/>
      <c r="W322" s="254"/>
      <c r="X322" s="251"/>
      <c r="Y322" s="251"/>
      <c r="Z322" s="264">
        <f t="shared" si="460"/>
        <v>0</v>
      </c>
      <c r="AA322" s="261"/>
      <c r="AB322" s="258"/>
      <c r="AC322" s="246"/>
      <c r="AD322" s="247" t="str">
        <f>IF(ISBLANK(AC322), "", VLOOKUP(AC322, Z!$A$2:$C$4127, 3, FALSE))</f>
        <v/>
      </c>
      <c r="AE322" s="262"/>
      <c r="AF322" s="263">
        <f t="shared" si="461"/>
        <v>0</v>
      </c>
      <c r="AG322" s="238"/>
      <c r="AH322" s="229">
        <f t="shared" si="485"/>
        <v>1</v>
      </c>
      <c r="AI322" s="229">
        <f t="shared" si="486"/>
        <v>1</v>
      </c>
      <c r="AJ322" s="229">
        <f t="shared" si="487"/>
        <v>0</v>
      </c>
      <c r="AK322" s="229">
        <v>0</v>
      </c>
      <c r="AL322" s="229">
        <v>0</v>
      </c>
      <c r="AM322" s="229">
        <v>1</v>
      </c>
      <c r="AN322" s="229">
        <v>0</v>
      </c>
      <c r="AO322" s="229">
        <f t="shared" si="462"/>
        <v>-100</v>
      </c>
      <c r="AP322" s="238"/>
      <c r="AQ322" s="255"/>
      <c r="AR322" s="255"/>
      <c r="AS322" s="256"/>
      <c r="AT322" s="256"/>
      <c r="AU322" s="256"/>
      <c r="AV322" s="256"/>
      <c r="AW322" s="256"/>
      <c r="AX322" s="256"/>
      <c r="AY322" s="256"/>
      <c r="AZ322" s="256"/>
      <c r="BA322" s="256"/>
      <c r="BB322" s="256"/>
      <c r="BC322" s="256"/>
      <c r="BD322" s="238"/>
      <c r="BE322" s="229" cm="1">
        <f t="array" ref="BE322">IF(ISBLANK(R322), INDEX(Use, $AH322, 4) - AM322*INDEX(Use, $AH322, 6), R322)</f>
        <v>5</v>
      </c>
      <c r="BF322" s="229">
        <f t="shared" si="463"/>
        <v>30</v>
      </c>
      <c r="BG322" s="229">
        <f t="shared" si="241"/>
        <v>13</v>
      </c>
      <c r="BH322" s="229">
        <f t="shared" si="242"/>
        <v>0</v>
      </c>
      <c r="BI322" s="234" cm="1">
        <f t="array" ref="BI322">K322/IF($L322&gt;0, INDEX($AU$23:$BA$77, $L322+20, $AH322), 1)</f>
        <v>0</v>
      </c>
      <c r="BJ322" s="230">
        <f t="shared" si="464"/>
        <v>0</v>
      </c>
      <c r="BK322" s="229">
        <v>35</v>
      </c>
      <c r="BL322" s="230">
        <f t="shared" si="465"/>
        <v>48</v>
      </c>
      <c r="BM322" s="235">
        <f t="shared" si="466"/>
        <v>2.9108720930232557</v>
      </c>
      <c r="BN322" s="235" cm="1">
        <f t="array" ref="BN322">$BI322 * SUMPRODUCT(INDEX($AR$77:$AT$82,,$AI322),INDEX($AU$77:$BA$82,,$AH322), N($AQ$77:$AQ$82&gt;$AO322)) / BM322 / 1000</f>
        <v>0</v>
      </c>
      <c r="BO322" s="232">
        <f t="shared" si="246"/>
        <v>30</v>
      </c>
      <c r="BP322" s="230">
        <f t="shared" si="467"/>
        <v>43</v>
      </c>
      <c r="BQ322" s="235">
        <f t="shared" si="468"/>
        <v>3.2938815789473681</v>
      </c>
      <c r="BR322" s="235" cm="1">
        <f t="array" ref="BR322">$BI322 * IF($AH322&lt;=2,
SUMPRODUCT(INDEX($AR$72:$AT$76,,$AI322), INDEX($AU$72:$BA$76,,$AH322), 1 / ($BB$72:$BB$76*BQ322 + (1-$BB$72:$BB$76)*BM322), N($AQ$72:$AQ$76&gt;$AO322)),
SUMPRODUCT(INDEX($AR$67:$AT$76,,$AI322), INDEX($AU$67:$BA$76,,$AH322), 1 / ($BC$67:$BC$76*BQ322 + (1-$BC$67:$BC$76)*BM322), N($AQ$67:$AQ$76&gt;$AO322))
) / 1000</f>
        <v>0</v>
      </c>
      <c r="BS322" s="232">
        <f t="shared" si="249"/>
        <v>25</v>
      </c>
      <c r="BT322" s="230">
        <f t="shared" si="469"/>
        <v>38</v>
      </c>
      <c r="BU322" s="235">
        <f t="shared" si="470"/>
        <v>3.792954545454545</v>
      </c>
      <c r="BV322" s="235" cm="1">
        <f t="array" ref="BV322">$BI322 * IF($AH322&lt;=2,
SUMPRODUCT(INDEX($AR$67:$AT$71,,$AI322), INDEX($AU$67:$BA$71,,$AH322), 1 / ($BB$67:$BB$71*BU322 + (1-$BB$67:$BB$71)*BQ322), N($AQ$67:$AQ$71&gt;$AO322)),
SUMPRODUCT(INDEX($AR$57:$AT$66,,$AI322), INDEX($AU$57:$BA$66,,$AH322), 1 / ($BC$57:$BC$66*BU322 + (1-$BC$57:$BC$66)*BQ322), N($AQ$57:$AQ$66&gt;$AO322))
) / 1000</f>
        <v>0</v>
      </c>
      <c r="BW322" s="232">
        <f t="shared" si="252"/>
        <v>20</v>
      </c>
      <c r="BX322" s="230">
        <f t="shared" si="471"/>
        <v>33</v>
      </c>
      <c r="BY322" s="235">
        <f t="shared" si="472"/>
        <v>4.4702678571428569</v>
      </c>
      <c r="BZ322" s="235" cm="1">
        <f t="array" ref="BZ322">$BI322 * IF($AH322&lt;=2,
SUMPRODUCT(INDEX($AR$62:$AT$66,,$AI322), INDEX($AU$62:$BA$66,,$AH322), 1 / ($BB$62:$BB$66*BY322 + (1-$BB$62:$BB$66)*BU322), N($AQ$62:$AQ$66&gt;$AO322)),
SUMPRODUCT(INDEX($AR$47:$AT$56,,$AI322), INDEX($AU$47:$BA$56,,$AH322), 1 / ($BC$47:$BC$56*BY322 + (1-$BC$47:$BC$56)*BU322), N($AQ$47:$AQ$56&gt;$AO322))
) / 1000</f>
        <v>0</v>
      </c>
      <c r="CA322" s="235" cm="1">
        <f t="array" ref="CA322">$BI322 * IF($AH322&lt;=2,
SUMPRODUCT(INDEX($AR$23:$AT$61,,$AI322), INDEX($AU$23:$BA$61,,$AH322), 1 / ($BB$23:$BB$61*BY322), N($AQ$23:$AQ$61&gt;$AO322)),
SUMPRODUCT(INDEX($AR$23:$AT$46,,$AI322), INDEX($AU$23:$BA$46,,$AH322), 1 / ($BC$23:$BC$46*BY322), N($AQ$23:$AQ$46&gt;$AO322))
) / 1000</f>
        <v>0</v>
      </c>
      <c r="CB322" s="230">
        <f t="shared" si="473"/>
        <v>0</v>
      </c>
      <c r="CC322" s="238"/>
      <c r="CD322" s="229" cm="1">
        <f t="array" ref="CD322">IF(ISBLANK(Y322), INDEX(Use, $AH322, 4) - AN322*INDEX(Use, $AH322, 6) - (Q322-X322), Y322)</f>
        <v>7</v>
      </c>
      <c r="CE322" s="229">
        <f t="shared" si="474"/>
        <v>32</v>
      </c>
      <c r="CF322" s="230">
        <f t="shared" si="475"/>
        <v>0</v>
      </c>
      <c r="CG322" s="229">
        <v>35</v>
      </c>
      <c r="CH322" s="230">
        <f t="shared" si="476"/>
        <v>48</v>
      </c>
      <c r="CI322" s="235">
        <f t="shared" si="477"/>
        <v>3.0748170731707316</v>
      </c>
      <c r="CJ322" s="235" cm="1">
        <f t="array" ref="CJ322">$BI322 * SUMPRODUCT(INDEX($AR$77:$AT$82,,$AI322),INDEX($AU$77:$BA$82,,$AH322), N($AQ$77:$AQ$82&gt;$AO322)) / CI322 / 1000</f>
        <v>0</v>
      </c>
      <c r="CK322" s="232">
        <f t="shared" si="260"/>
        <v>30</v>
      </c>
      <c r="CL322" s="230">
        <f t="shared" si="478"/>
        <v>43</v>
      </c>
      <c r="CM322" s="235">
        <f t="shared" si="479"/>
        <v>3.5018750000000001</v>
      </c>
      <c r="CN322" s="235" cm="1">
        <f t="array" ref="CN322">$BI322 * IF($AH322&lt;=2,
SUMPRODUCT(INDEX($AR$72:$AT$76,,$AI322), INDEX($AU$72:$BA$76,,$AH322), 1 / ($BB$72:$BB$76*CM322 + (1-$BB$72:$BB$76)*CI322), N($AQ$72:$AQ$76&gt;$AO322)),
SUMPRODUCT(INDEX($AR$67:$AT$76,,$AI322), INDEX($AU$67:$BA$76,,$AH322), 1 / ($BC$67:$BC$76*CM322 + (1-$BC$67:$BC$76)*CI322), N($AQ$67:$AQ$76&gt;$AO322))
) / 1000</f>
        <v>0</v>
      </c>
      <c r="CO322" s="232">
        <f t="shared" si="263"/>
        <v>25</v>
      </c>
      <c r="CP322" s="230">
        <f t="shared" si="480"/>
        <v>38</v>
      </c>
      <c r="CQ322" s="235">
        <f t="shared" si="481"/>
        <v>4.0666935483870965</v>
      </c>
      <c r="CR322" s="235" cm="1">
        <f t="array" ref="CR322">$BI322 * IF($AH322&lt;=2,
SUMPRODUCT(INDEX($AR$67:$AT$71,,$AI322), INDEX($AU$67:$BA$71,,$AH322), 1 / ($BB$67:$BB$71*CQ322 + (1-$BB$67:$BB$71)*CM322), N($AQ$67:$AQ$71&gt;$AO322)),
SUMPRODUCT(INDEX($AR$57:$AT$66,,$AI322), INDEX($AU$57:$BA$66,,$AH322), 1 / ($BC$57:$BC$66*CQ322 + (1-$BC$57:$BC$66)*CM322), N($AQ$57:$AQ$66&gt;$AO322))
) / 1000</f>
        <v>0</v>
      </c>
      <c r="CS322" s="232">
        <f t="shared" si="266"/>
        <v>20</v>
      </c>
      <c r="CT322" s="230">
        <f t="shared" si="482"/>
        <v>33</v>
      </c>
      <c r="CU322" s="235">
        <f t="shared" si="483"/>
        <v>4.8487499999999999</v>
      </c>
      <c r="CV322" s="235" cm="1">
        <f t="array" ref="CV322">$BI322 * IF($AH322&lt;=2,
SUMPRODUCT(INDEX($AR$62:$AT$66,,$AI322), INDEX($AU$62:$BA$66,,$AH322), 1 / ($BB$62:$BB$66*CU322 + (1-$BB$62:$BB$66)*CQ322), N($AQ$62:$AQ$66&gt;$AO322)),
SUMPRODUCT(INDEX($AR$47:$AT$56,,$AI322), INDEX($AU$47:$BA$56,,$AH322), 1 / ($BC$47:$BC$56*CU322 + (1-$BC$47:$BC$56)*CQ322), N($AQ$47:$AQ$56&gt;$AO322))
) / 1000</f>
        <v>0</v>
      </c>
      <c r="CW322" s="235" cm="1">
        <f t="array" ref="CW322">$BI322 * IF($AH322&lt;=2,
SUMPRODUCT(INDEX($AR$23:$AT$61,,$AI322), INDEX($AU$23:$BA$61,,$AH322), 1 / ($BB$23:$BB$61*CU322), N($AQ$23:$AQ$61&gt;$AO322)),
SUMPRODUCT(INDEX($AR$23:$AT$46,,$AI322), INDEX($AU$23:$BA$46,,$AH322), 1 / ($BC$23:$BC$46*CU322), N($AQ$23:$AQ$46&gt;$AO322))
) / 1000</f>
        <v>0</v>
      </c>
      <c r="CX322" s="230">
        <f t="shared" si="484"/>
        <v>0</v>
      </c>
      <c r="CY322" s="238"/>
    </row>
    <row r="323" spans="1:103" s="76" customFormat="1" ht="14.25" customHeight="1" x14ac:dyDescent="0.2">
      <c r="A323" s="231" t="b">
        <f t="shared" si="229"/>
        <v>0</v>
      </c>
      <c r="B323" s="245">
        <v>301</v>
      </c>
      <c r="C323" s="258"/>
      <c r="D323" s="258"/>
      <c r="E323" s="246"/>
      <c r="F323" s="247" t="str">
        <f>IF(ISBLANK(E323), "", VLOOKUP(E323, Z!$A$2:$C$4127, 3, FALSE))</f>
        <v/>
      </c>
      <c r="G323" s="248"/>
      <c r="H323" s="248"/>
      <c r="I323" s="249"/>
      <c r="J323" s="250"/>
      <c r="K323" s="259"/>
      <c r="L323" s="260"/>
      <c r="M323" s="252" t="str" cm="1">
        <f t="array" ref="M323">INDEX(Trad, 53, $A$20)</f>
        <v>Verschmutzt</v>
      </c>
      <c r="N323" s="253"/>
      <c r="O323" s="253"/>
      <c r="P323" s="254"/>
      <c r="Q323" s="251"/>
      <c r="R323" s="251"/>
      <c r="S323" s="264">
        <f t="shared" si="459"/>
        <v>0</v>
      </c>
      <c r="T323" s="252" t="str" cm="1">
        <f t="array" ref="T323">INDEX(Trad, 52, $A$20)</f>
        <v>Sauber</v>
      </c>
      <c r="U323" s="253"/>
      <c r="V323" s="253"/>
      <c r="W323" s="254"/>
      <c r="X323" s="251"/>
      <c r="Y323" s="251"/>
      <c r="Z323" s="264">
        <f t="shared" si="460"/>
        <v>0</v>
      </c>
      <c r="AA323" s="261"/>
      <c r="AB323" s="258"/>
      <c r="AC323" s="246"/>
      <c r="AD323" s="247" t="str">
        <f>IF(ISBLANK(AC323), "", VLOOKUP(AC323, Z!$A$2:$C$4127, 3, FALSE))</f>
        <v/>
      </c>
      <c r="AE323" s="262"/>
      <c r="AF323" s="263">
        <f t="shared" si="461"/>
        <v>0</v>
      </c>
      <c r="AG323" s="238"/>
      <c r="AH323" s="229">
        <f t="shared" si="485"/>
        <v>1</v>
      </c>
      <c r="AI323" s="229">
        <f t="shared" si="486"/>
        <v>1</v>
      </c>
      <c r="AJ323" s="229">
        <f t="shared" si="487"/>
        <v>0</v>
      </c>
      <c r="AK323" s="229">
        <v>0</v>
      </c>
      <c r="AL323" s="229">
        <v>0</v>
      </c>
      <c r="AM323" s="229">
        <v>1</v>
      </c>
      <c r="AN323" s="229">
        <v>0</v>
      </c>
      <c r="AO323" s="229">
        <f t="shared" si="462"/>
        <v>-100</v>
      </c>
      <c r="AP323" s="238"/>
      <c r="AQ323" s="255"/>
      <c r="AR323" s="255"/>
      <c r="AS323" s="256"/>
      <c r="AT323" s="256"/>
      <c r="AU323" s="256"/>
      <c r="AV323" s="256"/>
      <c r="AW323" s="256"/>
      <c r="AX323" s="256"/>
      <c r="AY323" s="256"/>
      <c r="AZ323" s="256"/>
      <c r="BA323" s="256"/>
      <c r="BB323" s="256"/>
      <c r="BC323" s="256"/>
      <c r="BD323" s="238"/>
      <c r="BE323" s="229" cm="1">
        <f t="array" ref="BE323">IF(ISBLANK(R323), INDEX(Use, $AH323, 4) - AM323*INDEX(Use, $AH323, 6), R323)</f>
        <v>5</v>
      </c>
      <c r="BF323" s="229">
        <f t="shared" si="463"/>
        <v>30</v>
      </c>
      <c r="BG323" s="229">
        <f t="shared" si="241"/>
        <v>13</v>
      </c>
      <c r="BH323" s="229">
        <f t="shared" si="242"/>
        <v>0</v>
      </c>
      <c r="BI323" s="234" cm="1">
        <f t="array" ref="BI323">K323/IF($L323&gt;0, INDEX($AU$23:$BA$77, $L323+20, $AH323), 1)</f>
        <v>0</v>
      </c>
      <c r="BJ323" s="230">
        <f t="shared" si="464"/>
        <v>0</v>
      </c>
      <c r="BK323" s="229">
        <v>35</v>
      </c>
      <c r="BL323" s="230">
        <f t="shared" si="465"/>
        <v>48</v>
      </c>
      <c r="BM323" s="235">
        <f t="shared" si="466"/>
        <v>2.9108720930232557</v>
      </c>
      <c r="BN323" s="235" cm="1">
        <f t="array" ref="BN323">$BI323 * SUMPRODUCT(INDEX($AR$77:$AT$82,,$AI323),INDEX($AU$77:$BA$82,,$AH323), N($AQ$77:$AQ$82&gt;$AO323)) / BM323 / 1000</f>
        <v>0</v>
      </c>
      <c r="BO323" s="232">
        <f t="shared" si="246"/>
        <v>30</v>
      </c>
      <c r="BP323" s="230">
        <f t="shared" si="467"/>
        <v>43</v>
      </c>
      <c r="BQ323" s="235">
        <f t="shared" si="468"/>
        <v>3.2938815789473681</v>
      </c>
      <c r="BR323" s="235" cm="1">
        <f t="array" ref="BR323">$BI323 * IF($AH323&lt;=2,
SUMPRODUCT(INDEX($AR$72:$AT$76,,$AI323), INDEX($AU$72:$BA$76,,$AH323), 1 / ($BB$72:$BB$76*BQ323 + (1-$BB$72:$BB$76)*BM323), N($AQ$72:$AQ$76&gt;$AO323)),
SUMPRODUCT(INDEX($AR$67:$AT$76,,$AI323), INDEX($AU$67:$BA$76,,$AH323), 1 / ($BC$67:$BC$76*BQ323 + (1-$BC$67:$BC$76)*BM323), N($AQ$67:$AQ$76&gt;$AO323))
) / 1000</f>
        <v>0</v>
      </c>
      <c r="BS323" s="232">
        <f t="shared" si="249"/>
        <v>25</v>
      </c>
      <c r="BT323" s="230">
        <f t="shared" si="469"/>
        <v>38</v>
      </c>
      <c r="BU323" s="235">
        <f t="shared" si="470"/>
        <v>3.792954545454545</v>
      </c>
      <c r="BV323" s="235" cm="1">
        <f t="array" ref="BV323">$BI323 * IF($AH323&lt;=2,
SUMPRODUCT(INDEX($AR$67:$AT$71,,$AI323), INDEX($AU$67:$BA$71,,$AH323), 1 / ($BB$67:$BB$71*BU323 + (1-$BB$67:$BB$71)*BQ323), N($AQ$67:$AQ$71&gt;$AO323)),
SUMPRODUCT(INDEX($AR$57:$AT$66,,$AI323), INDEX($AU$57:$BA$66,,$AH323), 1 / ($BC$57:$BC$66*BU323 + (1-$BC$57:$BC$66)*BQ323), N($AQ$57:$AQ$66&gt;$AO323))
) / 1000</f>
        <v>0</v>
      </c>
      <c r="BW323" s="232">
        <f t="shared" si="252"/>
        <v>20</v>
      </c>
      <c r="BX323" s="230">
        <f t="shared" si="471"/>
        <v>33</v>
      </c>
      <c r="BY323" s="235">
        <f t="shared" si="472"/>
        <v>4.4702678571428569</v>
      </c>
      <c r="BZ323" s="235" cm="1">
        <f t="array" ref="BZ323">$BI323 * IF($AH323&lt;=2,
SUMPRODUCT(INDEX($AR$62:$AT$66,,$AI323), INDEX($AU$62:$BA$66,,$AH323), 1 / ($BB$62:$BB$66*BY323 + (1-$BB$62:$BB$66)*BU323), N($AQ$62:$AQ$66&gt;$AO323)),
SUMPRODUCT(INDEX($AR$47:$AT$56,,$AI323), INDEX($AU$47:$BA$56,,$AH323), 1 / ($BC$47:$BC$56*BY323 + (1-$BC$47:$BC$56)*BU323), N($AQ$47:$AQ$56&gt;$AO323))
) / 1000</f>
        <v>0</v>
      </c>
      <c r="CA323" s="235" cm="1">
        <f t="array" ref="CA323">$BI323 * IF($AH323&lt;=2,
SUMPRODUCT(INDEX($AR$23:$AT$61,,$AI323), INDEX($AU$23:$BA$61,,$AH323), 1 / ($BB$23:$BB$61*BY323), N($AQ$23:$AQ$61&gt;$AO323)),
SUMPRODUCT(INDEX($AR$23:$AT$46,,$AI323), INDEX($AU$23:$BA$46,,$AH323), 1 / ($BC$23:$BC$46*BY323), N($AQ$23:$AQ$46&gt;$AO323))
) / 1000</f>
        <v>0</v>
      </c>
      <c r="CB323" s="230">
        <f t="shared" si="473"/>
        <v>0</v>
      </c>
      <c r="CC323" s="238"/>
      <c r="CD323" s="229" cm="1">
        <f t="array" ref="CD323">IF(ISBLANK(Y323), INDEX(Use, $AH323, 4) - AN323*INDEX(Use, $AH323, 6) - (Q323-X323), Y323)</f>
        <v>7</v>
      </c>
      <c r="CE323" s="229">
        <f t="shared" si="474"/>
        <v>32</v>
      </c>
      <c r="CF323" s="230">
        <f t="shared" si="475"/>
        <v>0</v>
      </c>
      <c r="CG323" s="229">
        <v>35</v>
      </c>
      <c r="CH323" s="230">
        <f t="shared" si="476"/>
        <v>48</v>
      </c>
      <c r="CI323" s="235">
        <f t="shared" si="477"/>
        <v>3.0748170731707316</v>
      </c>
      <c r="CJ323" s="235" cm="1">
        <f t="array" ref="CJ323">$BI323 * SUMPRODUCT(INDEX($AR$77:$AT$82,,$AI323),INDEX($AU$77:$BA$82,,$AH323), N($AQ$77:$AQ$82&gt;$AO323)) / CI323 / 1000</f>
        <v>0</v>
      </c>
      <c r="CK323" s="232">
        <f t="shared" si="260"/>
        <v>30</v>
      </c>
      <c r="CL323" s="230">
        <f t="shared" si="478"/>
        <v>43</v>
      </c>
      <c r="CM323" s="235">
        <f t="shared" si="479"/>
        <v>3.5018750000000001</v>
      </c>
      <c r="CN323" s="235" cm="1">
        <f t="array" ref="CN323">$BI323 * IF($AH323&lt;=2,
SUMPRODUCT(INDEX($AR$72:$AT$76,,$AI323), INDEX($AU$72:$BA$76,,$AH323), 1 / ($BB$72:$BB$76*CM323 + (1-$BB$72:$BB$76)*CI323), N($AQ$72:$AQ$76&gt;$AO323)),
SUMPRODUCT(INDEX($AR$67:$AT$76,,$AI323), INDEX($AU$67:$BA$76,,$AH323), 1 / ($BC$67:$BC$76*CM323 + (1-$BC$67:$BC$76)*CI323), N($AQ$67:$AQ$76&gt;$AO323))
) / 1000</f>
        <v>0</v>
      </c>
      <c r="CO323" s="232">
        <f t="shared" si="263"/>
        <v>25</v>
      </c>
      <c r="CP323" s="230">
        <f t="shared" si="480"/>
        <v>38</v>
      </c>
      <c r="CQ323" s="235">
        <f t="shared" si="481"/>
        <v>4.0666935483870965</v>
      </c>
      <c r="CR323" s="235" cm="1">
        <f t="array" ref="CR323">$BI323 * IF($AH323&lt;=2,
SUMPRODUCT(INDEX($AR$67:$AT$71,,$AI323), INDEX($AU$67:$BA$71,,$AH323), 1 / ($BB$67:$BB$71*CQ323 + (1-$BB$67:$BB$71)*CM323), N($AQ$67:$AQ$71&gt;$AO323)),
SUMPRODUCT(INDEX($AR$57:$AT$66,,$AI323), INDEX($AU$57:$BA$66,,$AH323), 1 / ($BC$57:$BC$66*CQ323 + (1-$BC$57:$BC$66)*CM323), N($AQ$57:$AQ$66&gt;$AO323))
) / 1000</f>
        <v>0</v>
      </c>
      <c r="CS323" s="232">
        <f t="shared" si="266"/>
        <v>20</v>
      </c>
      <c r="CT323" s="230">
        <f t="shared" si="482"/>
        <v>33</v>
      </c>
      <c r="CU323" s="235">
        <f t="shared" si="483"/>
        <v>4.8487499999999999</v>
      </c>
      <c r="CV323" s="235" cm="1">
        <f t="array" ref="CV323">$BI323 * IF($AH323&lt;=2,
SUMPRODUCT(INDEX($AR$62:$AT$66,,$AI323), INDEX($AU$62:$BA$66,,$AH323), 1 / ($BB$62:$BB$66*CU323 + (1-$BB$62:$BB$66)*CQ323), N($AQ$62:$AQ$66&gt;$AO323)),
SUMPRODUCT(INDEX($AR$47:$AT$56,,$AI323), INDEX($AU$47:$BA$56,,$AH323), 1 / ($BC$47:$BC$56*CU323 + (1-$BC$47:$BC$56)*CQ323), N($AQ$47:$AQ$56&gt;$AO323))
) / 1000</f>
        <v>0</v>
      </c>
      <c r="CW323" s="235" cm="1">
        <f t="array" ref="CW323">$BI323 * IF($AH323&lt;=2,
SUMPRODUCT(INDEX($AR$23:$AT$61,,$AI323), INDEX($AU$23:$BA$61,,$AH323), 1 / ($BB$23:$BB$61*CU323), N($AQ$23:$AQ$61&gt;$AO323)),
SUMPRODUCT(INDEX($AR$23:$AT$46,,$AI323), INDEX($AU$23:$BA$46,,$AH323), 1 / ($BC$23:$BC$46*CU323), N($AQ$23:$AQ$46&gt;$AO323))
) / 1000</f>
        <v>0</v>
      </c>
      <c r="CX323" s="230">
        <f t="shared" si="484"/>
        <v>0</v>
      </c>
      <c r="CY323" s="238"/>
    </row>
    <row r="324" spans="1:103" s="76" customFormat="1" ht="14.25" customHeight="1" x14ac:dyDescent="0.2">
      <c r="A324" s="231" t="b">
        <f t="shared" si="229"/>
        <v>0</v>
      </c>
      <c r="B324" s="245">
        <v>302</v>
      </c>
      <c r="C324" s="258"/>
      <c r="D324" s="258"/>
      <c r="E324" s="246"/>
      <c r="F324" s="247" t="str">
        <f>IF(ISBLANK(E324), "", VLOOKUP(E324, Z!$A$2:$C$4127, 3, FALSE))</f>
        <v/>
      </c>
      <c r="G324" s="248"/>
      <c r="H324" s="248"/>
      <c r="I324" s="249"/>
      <c r="J324" s="250"/>
      <c r="K324" s="259"/>
      <c r="L324" s="260"/>
      <c r="M324" s="252" t="str" cm="1">
        <f t="array" ref="M324">INDEX(Trad, 53, $A$20)</f>
        <v>Verschmutzt</v>
      </c>
      <c r="N324" s="253"/>
      <c r="O324" s="253"/>
      <c r="P324" s="254"/>
      <c r="Q324" s="251"/>
      <c r="R324" s="251"/>
      <c r="S324" s="264">
        <f t="shared" si="459"/>
        <v>0</v>
      </c>
      <c r="T324" s="252" t="str" cm="1">
        <f t="array" ref="T324">INDEX(Trad, 52, $A$20)</f>
        <v>Sauber</v>
      </c>
      <c r="U324" s="253"/>
      <c r="V324" s="253"/>
      <c r="W324" s="254"/>
      <c r="X324" s="251"/>
      <c r="Y324" s="251"/>
      <c r="Z324" s="264">
        <f t="shared" si="460"/>
        <v>0</v>
      </c>
      <c r="AA324" s="261"/>
      <c r="AB324" s="258"/>
      <c r="AC324" s="246"/>
      <c r="AD324" s="247" t="str">
        <f>IF(ISBLANK(AC324), "", VLOOKUP(AC324, Z!$A$2:$C$4127, 3, FALSE))</f>
        <v/>
      </c>
      <c r="AE324" s="262"/>
      <c r="AF324" s="263">
        <f t="shared" si="461"/>
        <v>0</v>
      </c>
      <c r="AG324" s="238"/>
      <c r="AH324" s="229">
        <f t="shared" si="485"/>
        <v>1</v>
      </c>
      <c r="AI324" s="229">
        <f t="shared" si="486"/>
        <v>1</v>
      </c>
      <c r="AJ324" s="229">
        <f t="shared" si="487"/>
        <v>0</v>
      </c>
      <c r="AK324" s="229">
        <v>0</v>
      </c>
      <c r="AL324" s="229">
        <v>0</v>
      </c>
      <c r="AM324" s="229">
        <v>1</v>
      </c>
      <c r="AN324" s="229">
        <v>0</v>
      </c>
      <c r="AO324" s="229">
        <f t="shared" si="462"/>
        <v>-100</v>
      </c>
      <c r="AP324" s="238"/>
      <c r="AQ324" s="255"/>
      <c r="AR324" s="255"/>
      <c r="AS324" s="256"/>
      <c r="AT324" s="256"/>
      <c r="AU324" s="256"/>
      <c r="AV324" s="256"/>
      <c r="AW324" s="256"/>
      <c r="AX324" s="256"/>
      <c r="AY324" s="256"/>
      <c r="AZ324" s="256"/>
      <c r="BA324" s="256"/>
      <c r="BB324" s="256"/>
      <c r="BC324" s="256"/>
      <c r="BD324" s="238"/>
      <c r="BE324" s="229" cm="1">
        <f t="array" ref="BE324">IF(ISBLANK(R324), INDEX(Use, $AH324, 4) - AM324*INDEX(Use, $AH324, 6), R324)</f>
        <v>5</v>
      </c>
      <c r="BF324" s="229">
        <f t="shared" si="463"/>
        <v>30</v>
      </c>
      <c r="BG324" s="229">
        <f t="shared" si="241"/>
        <v>13</v>
      </c>
      <c r="BH324" s="229">
        <f t="shared" si="242"/>
        <v>0</v>
      </c>
      <c r="BI324" s="234" cm="1">
        <f t="array" ref="BI324">K324/IF($L324&gt;0, INDEX($AU$23:$BA$77, $L324+20, $AH324), 1)</f>
        <v>0</v>
      </c>
      <c r="BJ324" s="230">
        <f t="shared" si="464"/>
        <v>0</v>
      </c>
      <c r="BK324" s="229">
        <v>35</v>
      </c>
      <c r="BL324" s="230">
        <f t="shared" si="465"/>
        <v>48</v>
      </c>
      <c r="BM324" s="235">
        <f t="shared" si="466"/>
        <v>2.9108720930232557</v>
      </c>
      <c r="BN324" s="235" cm="1">
        <f t="array" ref="BN324">$BI324 * SUMPRODUCT(INDEX($AR$77:$AT$82,,$AI324),INDEX($AU$77:$BA$82,,$AH324), N($AQ$77:$AQ$82&gt;$AO324)) / BM324 / 1000</f>
        <v>0</v>
      </c>
      <c r="BO324" s="232">
        <f t="shared" si="246"/>
        <v>30</v>
      </c>
      <c r="BP324" s="230">
        <f t="shared" si="467"/>
        <v>43</v>
      </c>
      <c r="BQ324" s="235">
        <f t="shared" si="468"/>
        <v>3.2938815789473681</v>
      </c>
      <c r="BR324" s="235" cm="1">
        <f t="array" ref="BR324">$BI324 * IF($AH324&lt;=2,
SUMPRODUCT(INDEX($AR$72:$AT$76,,$AI324), INDEX($AU$72:$BA$76,,$AH324), 1 / ($BB$72:$BB$76*BQ324 + (1-$BB$72:$BB$76)*BM324), N($AQ$72:$AQ$76&gt;$AO324)),
SUMPRODUCT(INDEX($AR$67:$AT$76,,$AI324), INDEX($AU$67:$BA$76,,$AH324), 1 / ($BC$67:$BC$76*BQ324 + (1-$BC$67:$BC$76)*BM324), N($AQ$67:$AQ$76&gt;$AO324))
) / 1000</f>
        <v>0</v>
      </c>
      <c r="BS324" s="232">
        <f t="shared" si="249"/>
        <v>25</v>
      </c>
      <c r="BT324" s="230">
        <f t="shared" si="469"/>
        <v>38</v>
      </c>
      <c r="BU324" s="235">
        <f t="shared" si="470"/>
        <v>3.792954545454545</v>
      </c>
      <c r="BV324" s="235" cm="1">
        <f t="array" ref="BV324">$BI324 * IF($AH324&lt;=2,
SUMPRODUCT(INDEX($AR$67:$AT$71,,$AI324), INDEX($AU$67:$BA$71,,$AH324), 1 / ($BB$67:$BB$71*BU324 + (1-$BB$67:$BB$71)*BQ324), N($AQ$67:$AQ$71&gt;$AO324)),
SUMPRODUCT(INDEX($AR$57:$AT$66,,$AI324), INDEX($AU$57:$BA$66,,$AH324), 1 / ($BC$57:$BC$66*BU324 + (1-$BC$57:$BC$66)*BQ324), N($AQ$57:$AQ$66&gt;$AO324))
) / 1000</f>
        <v>0</v>
      </c>
      <c r="BW324" s="232">
        <f t="shared" si="252"/>
        <v>20</v>
      </c>
      <c r="BX324" s="230">
        <f t="shared" si="471"/>
        <v>33</v>
      </c>
      <c r="BY324" s="235">
        <f t="shared" si="472"/>
        <v>4.4702678571428569</v>
      </c>
      <c r="BZ324" s="235" cm="1">
        <f t="array" ref="BZ324">$BI324 * IF($AH324&lt;=2,
SUMPRODUCT(INDEX($AR$62:$AT$66,,$AI324), INDEX($AU$62:$BA$66,,$AH324), 1 / ($BB$62:$BB$66*BY324 + (1-$BB$62:$BB$66)*BU324), N($AQ$62:$AQ$66&gt;$AO324)),
SUMPRODUCT(INDEX($AR$47:$AT$56,,$AI324), INDEX($AU$47:$BA$56,,$AH324), 1 / ($BC$47:$BC$56*BY324 + (1-$BC$47:$BC$56)*BU324), N($AQ$47:$AQ$56&gt;$AO324))
) / 1000</f>
        <v>0</v>
      </c>
      <c r="CA324" s="235" cm="1">
        <f t="array" ref="CA324">$BI324 * IF($AH324&lt;=2,
SUMPRODUCT(INDEX($AR$23:$AT$61,,$AI324), INDEX($AU$23:$BA$61,,$AH324), 1 / ($BB$23:$BB$61*BY324), N($AQ$23:$AQ$61&gt;$AO324)),
SUMPRODUCT(INDEX($AR$23:$AT$46,,$AI324), INDEX($AU$23:$BA$46,,$AH324), 1 / ($BC$23:$BC$46*BY324), N($AQ$23:$AQ$46&gt;$AO324))
) / 1000</f>
        <v>0</v>
      </c>
      <c r="CB324" s="230">
        <f t="shared" si="473"/>
        <v>0</v>
      </c>
      <c r="CC324" s="238"/>
      <c r="CD324" s="229" cm="1">
        <f t="array" ref="CD324">IF(ISBLANK(Y324), INDEX(Use, $AH324, 4) - AN324*INDEX(Use, $AH324, 6) - (Q324-X324), Y324)</f>
        <v>7</v>
      </c>
      <c r="CE324" s="229">
        <f t="shared" si="474"/>
        <v>32</v>
      </c>
      <c r="CF324" s="230">
        <f t="shared" si="475"/>
        <v>0</v>
      </c>
      <c r="CG324" s="229">
        <v>35</v>
      </c>
      <c r="CH324" s="230">
        <f t="shared" si="476"/>
        <v>48</v>
      </c>
      <c r="CI324" s="235">
        <f t="shared" si="477"/>
        <v>3.0748170731707316</v>
      </c>
      <c r="CJ324" s="235" cm="1">
        <f t="array" ref="CJ324">$BI324 * SUMPRODUCT(INDEX($AR$77:$AT$82,,$AI324),INDEX($AU$77:$BA$82,,$AH324), N($AQ$77:$AQ$82&gt;$AO324)) / CI324 / 1000</f>
        <v>0</v>
      </c>
      <c r="CK324" s="232">
        <f t="shared" si="260"/>
        <v>30</v>
      </c>
      <c r="CL324" s="230">
        <f t="shared" si="478"/>
        <v>43</v>
      </c>
      <c r="CM324" s="235">
        <f t="shared" si="479"/>
        <v>3.5018750000000001</v>
      </c>
      <c r="CN324" s="235" cm="1">
        <f t="array" ref="CN324">$BI324 * IF($AH324&lt;=2,
SUMPRODUCT(INDEX($AR$72:$AT$76,,$AI324), INDEX($AU$72:$BA$76,,$AH324), 1 / ($BB$72:$BB$76*CM324 + (1-$BB$72:$BB$76)*CI324), N($AQ$72:$AQ$76&gt;$AO324)),
SUMPRODUCT(INDEX($AR$67:$AT$76,,$AI324), INDEX($AU$67:$BA$76,,$AH324), 1 / ($BC$67:$BC$76*CM324 + (1-$BC$67:$BC$76)*CI324), N($AQ$67:$AQ$76&gt;$AO324))
) / 1000</f>
        <v>0</v>
      </c>
      <c r="CO324" s="232">
        <f t="shared" si="263"/>
        <v>25</v>
      </c>
      <c r="CP324" s="230">
        <f t="shared" si="480"/>
        <v>38</v>
      </c>
      <c r="CQ324" s="235">
        <f t="shared" si="481"/>
        <v>4.0666935483870965</v>
      </c>
      <c r="CR324" s="235" cm="1">
        <f t="array" ref="CR324">$BI324 * IF($AH324&lt;=2,
SUMPRODUCT(INDEX($AR$67:$AT$71,,$AI324), INDEX($AU$67:$BA$71,,$AH324), 1 / ($BB$67:$BB$71*CQ324 + (1-$BB$67:$BB$71)*CM324), N($AQ$67:$AQ$71&gt;$AO324)),
SUMPRODUCT(INDEX($AR$57:$AT$66,,$AI324), INDEX($AU$57:$BA$66,,$AH324), 1 / ($BC$57:$BC$66*CQ324 + (1-$BC$57:$BC$66)*CM324), N($AQ$57:$AQ$66&gt;$AO324))
) / 1000</f>
        <v>0</v>
      </c>
      <c r="CS324" s="232">
        <f t="shared" si="266"/>
        <v>20</v>
      </c>
      <c r="CT324" s="230">
        <f t="shared" si="482"/>
        <v>33</v>
      </c>
      <c r="CU324" s="235">
        <f t="shared" si="483"/>
        <v>4.8487499999999999</v>
      </c>
      <c r="CV324" s="235" cm="1">
        <f t="array" ref="CV324">$BI324 * IF($AH324&lt;=2,
SUMPRODUCT(INDEX($AR$62:$AT$66,,$AI324), INDEX($AU$62:$BA$66,,$AH324), 1 / ($BB$62:$BB$66*CU324 + (1-$BB$62:$BB$66)*CQ324), N($AQ$62:$AQ$66&gt;$AO324)),
SUMPRODUCT(INDEX($AR$47:$AT$56,,$AI324), INDEX($AU$47:$BA$56,,$AH324), 1 / ($BC$47:$BC$56*CU324 + (1-$BC$47:$BC$56)*CQ324), N($AQ$47:$AQ$56&gt;$AO324))
) / 1000</f>
        <v>0</v>
      </c>
      <c r="CW324" s="235" cm="1">
        <f t="array" ref="CW324">$BI324 * IF($AH324&lt;=2,
SUMPRODUCT(INDEX($AR$23:$AT$61,,$AI324), INDEX($AU$23:$BA$61,,$AH324), 1 / ($BB$23:$BB$61*CU324), N($AQ$23:$AQ$61&gt;$AO324)),
SUMPRODUCT(INDEX($AR$23:$AT$46,,$AI324), INDEX($AU$23:$BA$46,,$AH324), 1 / ($BC$23:$BC$46*CU324), N($AQ$23:$AQ$46&gt;$AO324))
) / 1000</f>
        <v>0</v>
      </c>
      <c r="CX324" s="230">
        <f t="shared" si="484"/>
        <v>0</v>
      </c>
      <c r="CY324" s="238"/>
    </row>
    <row r="325" spans="1:103" s="76" customFormat="1" ht="14.25" customHeight="1" x14ac:dyDescent="0.2">
      <c r="A325" s="231" t="b">
        <f t="shared" si="229"/>
        <v>0</v>
      </c>
      <c r="B325" s="245">
        <v>303</v>
      </c>
      <c r="C325" s="258"/>
      <c r="D325" s="258"/>
      <c r="E325" s="246"/>
      <c r="F325" s="247" t="str">
        <f>IF(ISBLANK(E325), "", VLOOKUP(E325, Z!$A$2:$C$4127, 3, FALSE))</f>
        <v/>
      </c>
      <c r="G325" s="248"/>
      <c r="H325" s="248"/>
      <c r="I325" s="249"/>
      <c r="J325" s="250"/>
      <c r="K325" s="259"/>
      <c r="L325" s="260"/>
      <c r="M325" s="252" t="str" cm="1">
        <f t="array" ref="M325">INDEX(Trad, 53, $A$20)</f>
        <v>Verschmutzt</v>
      </c>
      <c r="N325" s="253"/>
      <c r="O325" s="253"/>
      <c r="P325" s="254"/>
      <c r="Q325" s="251"/>
      <c r="R325" s="251"/>
      <c r="S325" s="264">
        <f t="shared" si="459"/>
        <v>0</v>
      </c>
      <c r="T325" s="252" t="str" cm="1">
        <f t="array" ref="T325">INDEX(Trad, 52, $A$20)</f>
        <v>Sauber</v>
      </c>
      <c r="U325" s="253"/>
      <c r="V325" s="253"/>
      <c r="W325" s="254"/>
      <c r="X325" s="251"/>
      <c r="Y325" s="251"/>
      <c r="Z325" s="264">
        <f t="shared" si="460"/>
        <v>0</v>
      </c>
      <c r="AA325" s="261"/>
      <c r="AB325" s="258"/>
      <c r="AC325" s="246"/>
      <c r="AD325" s="247" t="str">
        <f>IF(ISBLANK(AC325), "", VLOOKUP(AC325, Z!$A$2:$C$4127, 3, FALSE))</f>
        <v/>
      </c>
      <c r="AE325" s="262"/>
      <c r="AF325" s="263">
        <f t="shared" si="461"/>
        <v>0</v>
      </c>
      <c r="AG325" s="238"/>
      <c r="AH325" s="229">
        <f t="shared" si="485"/>
        <v>1</v>
      </c>
      <c r="AI325" s="229">
        <f t="shared" si="486"/>
        <v>1</v>
      </c>
      <c r="AJ325" s="229">
        <f t="shared" si="487"/>
        <v>0</v>
      </c>
      <c r="AK325" s="229">
        <v>0</v>
      </c>
      <c r="AL325" s="229">
        <v>0</v>
      </c>
      <c r="AM325" s="229">
        <v>1</v>
      </c>
      <c r="AN325" s="229">
        <v>0</v>
      </c>
      <c r="AO325" s="229">
        <f t="shared" si="462"/>
        <v>-100</v>
      </c>
      <c r="AP325" s="238"/>
      <c r="AQ325" s="255"/>
      <c r="AR325" s="255"/>
      <c r="AS325" s="256"/>
      <c r="AT325" s="256"/>
      <c r="AU325" s="256"/>
      <c r="AV325" s="256"/>
      <c r="AW325" s="256"/>
      <c r="AX325" s="256"/>
      <c r="AY325" s="256"/>
      <c r="AZ325" s="256"/>
      <c r="BA325" s="256"/>
      <c r="BB325" s="256"/>
      <c r="BC325" s="256"/>
      <c r="BD325" s="238"/>
      <c r="BE325" s="229" cm="1">
        <f t="array" ref="BE325">IF(ISBLANK(R325), INDEX(Use, $AH325, 4) - AM325*INDEX(Use, $AH325, 6), R325)</f>
        <v>5</v>
      </c>
      <c r="BF325" s="229">
        <f t="shared" si="463"/>
        <v>30</v>
      </c>
      <c r="BG325" s="229">
        <f t="shared" si="241"/>
        <v>13</v>
      </c>
      <c r="BH325" s="229">
        <f t="shared" si="242"/>
        <v>0</v>
      </c>
      <c r="BI325" s="234" cm="1">
        <f t="array" ref="BI325">K325/IF($L325&gt;0, INDEX($AU$23:$BA$77, $L325+20, $AH325), 1)</f>
        <v>0</v>
      </c>
      <c r="BJ325" s="230">
        <f t="shared" si="464"/>
        <v>0</v>
      </c>
      <c r="BK325" s="229">
        <v>35</v>
      </c>
      <c r="BL325" s="230">
        <f t="shared" si="465"/>
        <v>48</v>
      </c>
      <c r="BM325" s="235">
        <f t="shared" si="466"/>
        <v>2.9108720930232557</v>
      </c>
      <c r="BN325" s="235" cm="1">
        <f t="array" ref="BN325">$BI325 * SUMPRODUCT(INDEX($AR$77:$AT$82,,$AI325),INDEX($AU$77:$BA$82,,$AH325), N($AQ$77:$AQ$82&gt;$AO325)) / BM325 / 1000</f>
        <v>0</v>
      </c>
      <c r="BO325" s="232">
        <f t="shared" si="246"/>
        <v>30</v>
      </c>
      <c r="BP325" s="230">
        <f t="shared" si="467"/>
        <v>43</v>
      </c>
      <c r="BQ325" s="235">
        <f t="shared" si="468"/>
        <v>3.2938815789473681</v>
      </c>
      <c r="BR325" s="235" cm="1">
        <f t="array" ref="BR325">$BI325 * IF($AH325&lt;=2,
SUMPRODUCT(INDEX($AR$72:$AT$76,,$AI325), INDEX($AU$72:$BA$76,,$AH325), 1 / ($BB$72:$BB$76*BQ325 + (1-$BB$72:$BB$76)*BM325), N($AQ$72:$AQ$76&gt;$AO325)),
SUMPRODUCT(INDEX($AR$67:$AT$76,,$AI325), INDEX($AU$67:$BA$76,,$AH325), 1 / ($BC$67:$BC$76*BQ325 + (1-$BC$67:$BC$76)*BM325), N($AQ$67:$AQ$76&gt;$AO325))
) / 1000</f>
        <v>0</v>
      </c>
      <c r="BS325" s="232">
        <f t="shared" si="249"/>
        <v>25</v>
      </c>
      <c r="BT325" s="230">
        <f t="shared" si="469"/>
        <v>38</v>
      </c>
      <c r="BU325" s="235">
        <f t="shared" si="470"/>
        <v>3.792954545454545</v>
      </c>
      <c r="BV325" s="235" cm="1">
        <f t="array" ref="BV325">$BI325 * IF($AH325&lt;=2,
SUMPRODUCT(INDEX($AR$67:$AT$71,,$AI325), INDEX($AU$67:$BA$71,,$AH325), 1 / ($BB$67:$BB$71*BU325 + (1-$BB$67:$BB$71)*BQ325), N($AQ$67:$AQ$71&gt;$AO325)),
SUMPRODUCT(INDEX($AR$57:$AT$66,,$AI325), INDEX($AU$57:$BA$66,,$AH325), 1 / ($BC$57:$BC$66*BU325 + (1-$BC$57:$BC$66)*BQ325), N($AQ$57:$AQ$66&gt;$AO325))
) / 1000</f>
        <v>0</v>
      </c>
      <c r="BW325" s="232">
        <f t="shared" si="252"/>
        <v>20</v>
      </c>
      <c r="BX325" s="230">
        <f t="shared" si="471"/>
        <v>33</v>
      </c>
      <c r="BY325" s="235">
        <f t="shared" si="472"/>
        <v>4.4702678571428569</v>
      </c>
      <c r="BZ325" s="235" cm="1">
        <f t="array" ref="BZ325">$BI325 * IF($AH325&lt;=2,
SUMPRODUCT(INDEX($AR$62:$AT$66,,$AI325), INDEX($AU$62:$BA$66,,$AH325), 1 / ($BB$62:$BB$66*BY325 + (1-$BB$62:$BB$66)*BU325), N($AQ$62:$AQ$66&gt;$AO325)),
SUMPRODUCT(INDEX($AR$47:$AT$56,,$AI325), INDEX($AU$47:$BA$56,,$AH325), 1 / ($BC$47:$BC$56*BY325 + (1-$BC$47:$BC$56)*BU325), N($AQ$47:$AQ$56&gt;$AO325))
) / 1000</f>
        <v>0</v>
      </c>
      <c r="CA325" s="235" cm="1">
        <f t="array" ref="CA325">$BI325 * IF($AH325&lt;=2,
SUMPRODUCT(INDEX($AR$23:$AT$61,,$AI325), INDEX($AU$23:$BA$61,,$AH325), 1 / ($BB$23:$BB$61*BY325), N($AQ$23:$AQ$61&gt;$AO325)),
SUMPRODUCT(INDEX($AR$23:$AT$46,,$AI325), INDEX($AU$23:$BA$46,,$AH325), 1 / ($BC$23:$BC$46*BY325), N($AQ$23:$AQ$46&gt;$AO325))
) / 1000</f>
        <v>0</v>
      </c>
      <c r="CB325" s="230">
        <f t="shared" si="473"/>
        <v>0</v>
      </c>
      <c r="CC325" s="238"/>
      <c r="CD325" s="229" cm="1">
        <f t="array" ref="CD325">IF(ISBLANK(Y325), INDEX(Use, $AH325, 4) - AN325*INDEX(Use, $AH325, 6) - (Q325-X325), Y325)</f>
        <v>7</v>
      </c>
      <c r="CE325" s="229">
        <f t="shared" si="474"/>
        <v>32</v>
      </c>
      <c r="CF325" s="230">
        <f t="shared" si="475"/>
        <v>0</v>
      </c>
      <c r="CG325" s="229">
        <v>35</v>
      </c>
      <c r="CH325" s="230">
        <f t="shared" si="476"/>
        <v>48</v>
      </c>
      <c r="CI325" s="235">
        <f t="shared" si="477"/>
        <v>3.0748170731707316</v>
      </c>
      <c r="CJ325" s="235" cm="1">
        <f t="array" ref="CJ325">$BI325 * SUMPRODUCT(INDEX($AR$77:$AT$82,,$AI325),INDEX($AU$77:$BA$82,,$AH325), N($AQ$77:$AQ$82&gt;$AO325)) / CI325 / 1000</f>
        <v>0</v>
      </c>
      <c r="CK325" s="232">
        <f t="shared" si="260"/>
        <v>30</v>
      </c>
      <c r="CL325" s="230">
        <f t="shared" si="478"/>
        <v>43</v>
      </c>
      <c r="CM325" s="235">
        <f t="shared" si="479"/>
        <v>3.5018750000000001</v>
      </c>
      <c r="CN325" s="235" cm="1">
        <f t="array" ref="CN325">$BI325 * IF($AH325&lt;=2,
SUMPRODUCT(INDEX($AR$72:$AT$76,,$AI325), INDEX($AU$72:$BA$76,,$AH325), 1 / ($BB$72:$BB$76*CM325 + (1-$BB$72:$BB$76)*CI325), N($AQ$72:$AQ$76&gt;$AO325)),
SUMPRODUCT(INDEX($AR$67:$AT$76,,$AI325), INDEX($AU$67:$BA$76,,$AH325), 1 / ($BC$67:$BC$76*CM325 + (1-$BC$67:$BC$76)*CI325), N($AQ$67:$AQ$76&gt;$AO325))
) / 1000</f>
        <v>0</v>
      </c>
      <c r="CO325" s="232">
        <f t="shared" si="263"/>
        <v>25</v>
      </c>
      <c r="CP325" s="230">
        <f t="shared" si="480"/>
        <v>38</v>
      </c>
      <c r="CQ325" s="235">
        <f t="shared" si="481"/>
        <v>4.0666935483870965</v>
      </c>
      <c r="CR325" s="235" cm="1">
        <f t="array" ref="CR325">$BI325 * IF($AH325&lt;=2,
SUMPRODUCT(INDEX($AR$67:$AT$71,,$AI325), INDEX($AU$67:$BA$71,,$AH325), 1 / ($BB$67:$BB$71*CQ325 + (1-$BB$67:$BB$71)*CM325), N($AQ$67:$AQ$71&gt;$AO325)),
SUMPRODUCT(INDEX($AR$57:$AT$66,,$AI325), INDEX($AU$57:$BA$66,,$AH325), 1 / ($BC$57:$BC$66*CQ325 + (1-$BC$57:$BC$66)*CM325), N($AQ$57:$AQ$66&gt;$AO325))
) / 1000</f>
        <v>0</v>
      </c>
      <c r="CS325" s="232">
        <f t="shared" si="266"/>
        <v>20</v>
      </c>
      <c r="CT325" s="230">
        <f t="shared" si="482"/>
        <v>33</v>
      </c>
      <c r="CU325" s="235">
        <f t="shared" si="483"/>
        <v>4.8487499999999999</v>
      </c>
      <c r="CV325" s="235" cm="1">
        <f t="array" ref="CV325">$BI325 * IF($AH325&lt;=2,
SUMPRODUCT(INDEX($AR$62:$AT$66,,$AI325), INDEX($AU$62:$BA$66,,$AH325), 1 / ($BB$62:$BB$66*CU325 + (1-$BB$62:$BB$66)*CQ325), N($AQ$62:$AQ$66&gt;$AO325)),
SUMPRODUCT(INDEX($AR$47:$AT$56,,$AI325), INDEX($AU$47:$BA$56,,$AH325), 1 / ($BC$47:$BC$56*CU325 + (1-$BC$47:$BC$56)*CQ325), N($AQ$47:$AQ$56&gt;$AO325))
) / 1000</f>
        <v>0</v>
      </c>
      <c r="CW325" s="235" cm="1">
        <f t="array" ref="CW325">$BI325 * IF($AH325&lt;=2,
SUMPRODUCT(INDEX($AR$23:$AT$61,,$AI325), INDEX($AU$23:$BA$61,,$AH325), 1 / ($BB$23:$BB$61*CU325), N($AQ$23:$AQ$61&gt;$AO325)),
SUMPRODUCT(INDEX($AR$23:$AT$46,,$AI325), INDEX($AU$23:$BA$46,,$AH325), 1 / ($BC$23:$BC$46*CU325), N($AQ$23:$AQ$46&gt;$AO325))
) / 1000</f>
        <v>0</v>
      </c>
      <c r="CX325" s="230">
        <f t="shared" si="484"/>
        <v>0</v>
      </c>
      <c r="CY325" s="238"/>
    </row>
    <row r="326" spans="1:103" s="76" customFormat="1" ht="14.25" customHeight="1" x14ac:dyDescent="0.2">
      <c r="A326" s="231" t="b">
        <f t="shared" si="229"/>
        <v>0</v>
      </c>
      <c r="B326" s="245">
        <v>304</v>
      </c>
      <c r="C326" s="258"/>
      <c r="D326" s="258"/>
      <c r="E326" s="246"/>
      <c r="F326" s="247" t="str">
        <f>IF(ISBLANK(E326), "", VLOOKUP(E326, Z!$A$2:$C$4127, 3, FALSE))</f>
        <v/>
      </c>
      <c r="G326" s="248"/>
      <c r="H326" s="248"/>
      <c r="I326" s="249"/>
      <c r="J326" s="250"/>
      <c r="K326" s="259"/>
      <c r="L326" s="260"/>
      <c r="M326" s="252" t="str" cm="1">
        <f t="array" ref="M326">INDEX(Trad, 53, $A$20)</f>
        <v>Verschmutzt</v>
      </c>
      <c r="N326" s="253"/>
      <c r="O326" s="253"/>
      <c r="P326" s="254"/>
      <c r="Q326" s="251"/>
      <c r="R326" s="251"/>
      <c r="S326" s="264">
        <f t="shared" si="459"/>
        <v>0</v>
      </c>
      <c r="T326" s="252" t="str" cm="1">
        <f t="array" ref="T326">INDEX(Trad, 52, $A$20)</f>
        <v>Sauber</v>
      </c>
      <c r="U326" s="253"/>
      <c r="V326" s="253"/>
      <c r="W326" s="254"/>
      <c r="X326" s="251"/>
      <c r="Y326" s="251"/>
      <c r="Z326" s="264">
        <f t="shared" si="460"/>
        <v>0</v>
      </c>
      <c r="AA326" s="261"/>
      <c r="AB326" s="258"/>
      <c r="AC326" s="246"/>
      <c r="AD326" s="247" t="str">
        <f>IF(ISBLANK(AC326), "", VLOOKUP(AC326, Z!$A$2:$C$4127, 3, FALSE))</f>
        <v/>
      </c>
      <c r="AE326" s="262"/>
      <c r="AF326" s="263">
        <f t="shared" si="461"/>
        <v>0</v>
      </c>
      <c r="AG326" s="238"/>
      <c r="AH326" s="229">
        <f t="shared" si="485"/>
        <v>1</v>
      </c>
      <c r="AI326" s="229">
        <f t="shared" si="486"/>
        <v>1</v>
      </c>
      <c r="AJ326" s="229">
        <f t="shared" si="487"/>
        <v>0</v>
      </c>
      <c r="AK326" s="229">
        <v>0</v>
      </c>
      <c r="AL326" s="229">
        <v>0</v>
      </c>
      <c r="AM326" s="229">
        <v>1</v>
      </c>
      <c r="AN326" s="229">
        <v>0</v>
      </c>
      <c r="AO326" s="229">
        <f t="shared" si="462"/>
        <v>-100</v>
      </c>
      <c r="AP326" s="238"/>
      <c r="AQ326" s="255"/>
      <c r="AR326" s="255"/>
      <c r="AS326" s="256"/>
      <c r="AT326" s="256"/>
      <c r="AU326" s="256"/>
      <c r="AV326" s="256"/>
      <c r="AW326" s="256"/>
      <c r="AX326" s="256"/>
      <c r="AY326" s="256"/>
      <c r="AZ326" s="256"/>
      <c r="BA326" s="256"/>
      <c r="BB326" s="256"/>
      <c r="BC326" s="256"/>
      <c r="BD326" s="238"/>
      <c r="BE326" s="229" cm="1">
        <f t="array" ref="BE326">IF(ISBLANK(R326), INDEX(Use, $AH326, 4) - AM326*INDEX(Use, $AH326, 6), R326)</f>
        <v>5</v>
      </c>
      <c r="BF326" s="229">
        <f t="shared" si="463"/>
        <v>30</v>
      </c>
      <c r="BG326" s="229">
        <f t="shared" si="241"/>
        <v>13</v>
      </c>
      <c r="BH326" s="229">
        <f t="shared" si="242"/>
        <v>0</v>
      </c>
      <c r="BI326" s="234" cm="1">
        <f t="array" ref="BI326">K326/IF($L326&gt;0, INDEX($AU$23:$BA$77, $L326+20, $AH326), 1)</f>
        <v>0</v>
      </c>
      <c r="BJ326" s="230">
        <f t="shared" si="464"/>
        <v>0</v>
      </c>
      <c r="BK326" s="229">
        <v>35</v>
      </c>
      <c r="BL326" s="230">
        <f t="shared" si="465"/>
        <v>48</v>
      </c>
      <c r="BM326" s="235">
        <f t="shared" si="466"/>
        <v>2.9108720930232557</v>
      </c>
      <c r="BN326" s="235" cm="1">
        <f t="array" ref="BN326">$BI326 * SUMPRODUCT(INDEX($AR$77:$AT$82,,$AI326),INDEX($AU$77:$BA$82,,$AH326), N($AQ$77:$AQ$82&gt;$AO326)) / BM326 / 1000</f>
        <v>0</v>
      </c>
      <c r="BO326" s="232">
        <f t="shared" si="246"/>
        <v>30</v>
      </c>
      <c r="BP326" s="230">
        <f t="shared" si="467"/>
        <v>43</v>
      </c>
      <c r="BQ326" s="235">
        <f t="shared" si="468"/>
        <v>3.2938815789473681</v>
      </c>
      <c r="BR326" s="235" cm="1">
        <f t="array" ref="BR326">$BI326 * IF($AH326&lt;=2,
SUMPRODUCT(INDEX($AR$72:$AT$76,,$AI326), INDEX($AU$72:$BA$76,,$AH326), 1 / ($BB$72:$BB$76*BQ326 + (1-$BB$72:$BB$76)*BM326), N($AQ$72:$AQ$76&gt;$AO326)),
SUMPRODUCT(INDEX($AR$67:$AT$76,,$AI326), INDEX($AU$67:$BA$76,,$AH326), 1 / ($BC$67:$BC$76*BQ326 + (1-$BC$67:$BC$76)*BM326), N($AQ$67:$AQ$76&gt;$AO326))
) / 1000</f>
        <v>0</v>
      </c>
      <c r="BS326" s="232">
        <f t="shared" si="249"/>
        <v>25</v>
      </c>
      <c r="BT326" s="230">
        <f t="shared" si="469"/>
        <v>38</v>
      </c>
      <c r="BU326" s="235">
        <f t="shared" si="470"/>
        <v>3.792954545454545</v>
      </c>
      <c r="BV326" s="235" cm="1">
        <f t="array" ref="BV326">$BI326 * IF($AH326&lt;=2,
SUMPRODUCT(INDEX($AR$67:$AT$71,,$AI326), INDEX($AU$67:$BA$71,,$AH326), 1 / ($BB$67:$BB$71*BU326 + (1-$BB$67:$BB$71)*BQ326), N($AQ$67:$AQ$71&gt;$AO326)),
SUMPRODUCT(INDEX($AR$57:$AT$66,,$AI326), INDEX($AU$57:$BA$66,,$AH326), 1 / ($BC$57:$BC$66*BU326 + (1-$BC$57:$BC$66)*BQ326), N($AQ$57:$AQ$66&gt;$AO326))
) / 1000</f>
        <v>0</v>
      </c>
      <c r="BW326" s="232">
        <f t="shared" si="252"/>
        <v>20</v>
      </c>
      <c r="BX326" s="230">
        <f t="shared" si="471"/>
        <v>33</v>
      </c>
      <c r="BY326" s="235">
        <f t="shared" si="472"/>
        <v>4.4702678571428569</v>
      </c>
      <c r="BZ326" s="235" cm="1">
        <f t="array" ref="BZ326">$BI326 * IF($AH326&lt;=2,
SUMPRODUCT(INDEX($AR$62:$AT$66,,$AI326), INDEX($AU$62:$BA$66,,$AH326), 1 / ($BB$62:$BB$66*BY326 + (1-$BB$62:$BB$66)*BU326), N($AQ$62:$AQ$66&gt;$AO326)),
SUMPRODUCT(INDEX($AR$47:$AT$56,,$AI326), INDEX($AU$47:$BA$56,,$AH326), 1 / ($BC$47:$BC$56*BY326 + (1-$BC$47:$BC$56)*BU326), N($AQ$47:$AQ$56&gt;$AO326))
) / 1000</f>
        <v>0</v>
      </c>
      <c r="CA326" s="235" cm="1">
        <f t="array" ref="CA326">$BI326 * IF($AH326&lt;=2,
SUMPRODUCT(INDEX($AR$23:$AT$61,,$AI326), INDEX($AU$23:$BA$61,,$AH326), 1 / ($BB$23:$BB$61*BY326), N($AQ$23:$AQ$61&gt;$AO326)),
SUMPRODUCT(INDEX($AR$23:$AT$46,,$AI326), INDEX($AU$23:$BA$46,,$AH326), 1 / ($BC$23:$BC$46*BY326), N($AQ$23:$AQ$46&gt;$AO326))
) / 1000</f>
        <v>0</v>
      </c>
      <c r="CB326" s="230">
        <f t="shared" si="473"/>
        <v>0</v>
      </c>
      <c r="CC326" s="238"/>
      <c r="CD326" s="229" cm="1">
        <f t="array" ref="CD326">IF(ISBLANK(Y326), INDEX(Use, $AH326, 4) - AN326*INDEX(Use, $AH326, 6) - (Q326-X326), Y326)</f>
        <v>7</v>
      </c>
      <c r="CE326" s="229">
        <f t="shared" si="474"/>
        <v>32</v>
      </c>
      <c r="CF326" s="230">
        <f t="shared" si="475"/>
        <v>0</v>
      </c>
      <c r="CG326" s="229">
        <v>35</v>
      </c>
      <c r="CH326" s="230">
        <f t="shared" si="476"/>
        <v>48</v>
      </c>
      <c r="CI326" s="235">
        <f t="shared" si="477"/>
        <v>3.0748170731707316</v>
      </c>
      <c r="CJ326" s="235" cm="1">
        <f t="array" ref="CJ326">$BI326 * SUMPRODUCT(INDEX($AR$77:$AT$82,,$AI326),INDEX($AU$77:$BA$82,,$AH326), N($AQ$77:$AQ$82&gt;$AO326)) / CI326 / 1000</f>
        <v>0</v>
      </c>
      <c r="CK326" s="232">
        <f t="shared" si="260"/>
        <v>30</v>
      </c>
      <c r="CL326" s="230">
        <f t="shared" si="478"/>
        <v>43</v>
      </c>
      <c r="CM326" s="235">
        <f t="shared" si="479"/>
        <v>3.5018750000000001</v>
      </c>
      <c r="CN326" s="235" cm="1">
        <f t="array" ref="CN326">$BI326 * IF($AH326&lt;=2,
SUMPRODUCT(INDEX($AR$72:$AT$76,,$AI326), INDEX($AU$72:$BA$76,,$AH326), 1 / ($BB$72:$BB$76*CM326 + (1-$BB$72:$BB$76)*CI326), N($AQ$72:$AQ$76&gt;$AO326)),
SUMPRODUCT(INDEX($AR$67:$AT$76,,$AI326), INDEX($AU$67:$BA$76,,$AH326), 1 / ($BC$67:$BC$76*CM326 + (1-$BC$67:$BC$76)*CI326), N($AQ$67:$AQ$76&gt;$AO326))
) / 1000</f>
        <v>0</v>
      </c>
      <c r="CO326" s="232">
        <f t="shared" si="263"/>
        <v>25</v>
      </c>
      <c r="CP326" s="230">
        <f t="shared" si="480"/>
        <v>38</v>
      </c>
      <c r="CQ326" s="235">
        <f t="shared" si="481"/>
        <v>4.0666935483870965</v>
      </c>
      <c r="CR326" s="235" cm="1">
        <f t="array" ref="CR326">$BI326 * IF($AH326&lt;=2,
SUMPRODUCT(INDEX($AR$67:$AT$71,,$AI326), INDEX($AU$67:$BA$71,,$AH326), 1 / ($BB$67:$BB$71*CQ326 + (1-$BB$67:$BB$71)*CM326), N($AQ$67:$AQ$71&gt;$AO326)),
SUMPRODUCT(INDEX($AR$57:$AT$66,,$AI326), INDEX($AU$57:$BA$66,,$AH326), 1 / ($BC$57:$BC$66*CQ326 + (1-$BC$57:$BC$66)*CM326), N($AQ$57:$AQ$66&gt;$AO326))
) / 1000</f>
        <v>0</v>
      </c>
      <c r="CS326" s="232">
        <f t="shared" si="266"/>
        <v>20</v>
      </c>
      <c r="CT326" s="230">
        <f t="shared" si="482"/>
        <v>33</v>
      </c>
      <c r="CU326" s="235">
        <f t="shared" si="483"/>
        <v>4.8487499999999999</v>
      </c>
      <c r="CV326" s="235" cm="1">
        <f t="array" ref="CV326">$BI326 * IF($AH326&lt;=2,
SUMPRODUCT(INDEX($AR$62:$AT$66,,$AI326), INDEX($AU$62:$BA$66,,$AH326), 1 / ($BB$62:$BB$66*CU326 + (1-$BB$62:$BB$66)*CQ326), N($AQ$62:$AQ$66&gt;$AO326)),
SUMPRODUCT(INDEX($AR$47:$AT$56,,$AI326), INDEX($AU$47:$BA$56,,$AH326), 1 / ($BC$47:$BC$56*CU326 + (1-$BC$47:$BC$56)*CQ326), N($AQ$47:$AQ$56&gt;$AO326))
) / 1000</f>
        <v>0</v>
      </c>
      <c r="CW326" s="235" cm="1">
        <f t="array" ref="CW326">$BI326 * IF($AH326&lt;=2,
SUMPRODUCT(INDEX($AR$23:$AT$61,,$AI326), INDEX($AU$23:$BA$61,,$AH326), 1 / ($BB$23:$BB$61*CU326), N($AQ$23:$AQ$61&gt;$AO326)),
SUMPRODUCT(INDEX($AR$23:$AT$46,,$AI326), INDEX($AU$23:$BA$46,,$AH326), 1 / ($BC$23:$BC$46*CU326), N($AQ$23:$AQ$46&gt;$AO326))
) / 1000</f>
        <v>0</v>
      </c>
      <c r="CX326" s="230">
        <f t="shared" si="484"/>
        <v>0</v>
      </c>
      <c r="CY326" s="238"/>
    </row>
    <row r="327" spans="1:103" s="76" customFormat="1" ht="14.25" customHeight="1" x14ac:dyDescent="0.2">
      <c r="A327" s="231" t="b">
        <f t="shared" si="229"/>
        <v>0</v>
      </c>
      <c r="B327" s="245">
        <v>305</v>
      </c>
      <c r="C327" s="258"/>
      <c r="D327" s="258"/>
      <c r="E327" s="246"/>
      <c r="F327" s="247" t="str">
        <f>IF(ISBLANK(E327), "", VLOOKUP(E327, Z!$A$2:$C$4127, 3, FALSE))</f>
        <v/>
      </c>
      <c r="G327" s="248"/>
      <c r="H327" s="248"/>
      <c r="I327" s="249"/>
      <c r="J327" s="250"/>
      <c r="K327" s="259"/>
      <c r="L327" s="260"/>
      <c r="M327" s="252" t="str" cm="1">
        <f t="array" ref="M327">INDEX(Trad, 53, $A$20)</f>
        <v>Verschmutzt</v>
      </c>
      <c r="N327" s="253"/>
      <c r="O327" s="253"/>
      <c r="P327" s="254"/>
      <c r="Q327" s="251"/>
      <c r="R327" s="251"/>
      <c r="S327" s="264">
        <f t="shared" si="459"/>
        <v>0</v>
      </c>
      <c r="T327" s="252" t="str" cm="1">
        <f t="array" ref="T327">INDEX(Trad, 52, $A$20)</f>
        <v>Sauber</v>
      </c>
      <c r="U327" s="253"/>
      <c r="V327" s="253"/>
      <c r="W327" s="254"/>
      <c r="X327" s="251"/>
      <c r="Y327" s="251"/>
      <c r="Z327" s="264">
        <f t="shared" si="460"/>
        <v>0</v>
      </c>
      <c r="AA327" s="261"/>
      <c r="AB327" s="258"/>
      <c r="AC327" s="246"/>
      <c r="AD327" s="247" t="str">
        <f>IF(ISBLANK(AC327), "", VLOOKUP(AC327, Z!$A$2:$C$4127, 3, FALSE))</f>
        <v/>
      </c>
      <c r="AE327" s="262"/>
      <c r="AF327" s="263">
        <f t="shared" si="461"/>
        <v>0</v>
      </c>
      <c r="AG327" s="238"/>
      <c r="AH327" s="229">
        <f t="shared" si="485"/>
        <v>1</v>
      </c>
      <c r="AI327" s="229">
        <f t="shared" si="486"/>
        <v>1</v>
      </c>
      <c r="AJ327" s="229">
        <f t="shared" si="487"/>
        <v>0</v>
      </c>
      <c r="AK327" s="229">
        <v>0</v>
      </c>
      <c r="AL327" s="229">
        <v>0</v>
      </c>
      <c r="AM327" s="229">
        <v>1</v>
      </c>
      <c r="AN327" s="229">
        <v>0</v>
      </c>
      <c r="AO327" s="229">
        <f t="shared" si="462"/>
        <v>-100</v>
      </c>
      <c r="AP327" s="238"/>
      <c r="AQ327" s="255"/>
      <c r="AR327" s="255"/>
      <c r="AS327" s="256"/>
      <c r="AT327" s="256"/>
      <c r="AU327" s="256"/>
      <c r="AV327" s="256"/>
      <c r="AW327" s="256"/>
      <c r="AX327" s="256"/>
      <c r="AY327" s="256"/>
      <c r="AZ327" s="256"/>
      <c r="BA327" s="256"/>
      <c r="BB327" s="256"/>
      <c r="BC327" s="256"/>
      <c r="BD327" s="238"/>
      <c r="BE327" s="229" cm="1">
        <f t="array" ref="BE327">IF(ISBLANK(R327), INDEX(Use, $AH327, 4) - AM327*INDEX(Use, $AH327, 6), R327)</f>
        <v>5</v>
      </c>
      <c r="BF327" s="229">
        <f t="shared" si="463"/>
        <v>30</v>
      </c>
      <c r="BG327" s="229">
        <f t="shared" si="241"/>
        <v>13</v>
      </c>
      <c r="BH327" s="229">
        <f t="shared" si="242"/>
        <v>0</v>
      </c>
      <c r="BI327" s="234" cm="1">
        <f t="array" ref="BI327">K327/IF($L327&gt;0, INDEX($AU$23:$BA$77, $L327+20, $AH327), 1)</f>
        <v>0</v>
      </c>
      <c r="BJ327" s="230">
        <f t="shared" si="464"/>
        <v>0</v>
      </c>
      <c r="BK327" s="229">
        <v>35</v>
      </c>
      <c r="BL327" s="230">
        <f t="shared" si="465"/>
        <v>48</v>
      </c>
      <c r="BM327" s="235">
        <f t="shared" si="466"/>
        <v>2.9108720930232557</v>
      </c>
      <c r="BN327" s="235" cm="1">
        <f t="array" ref="BN327">$BI327 * SUMPRODUCT(INDEX($AR$77:$AT$82,,$AI327),INDEX($AU$77:$BA$82,,$AH327), N($AQ$77:$AQ$82&gt;$AO327)) / BM327 / 1000</f>
        <v>0</v>
      </c>
      <c r="BO327" s="232">
        <f t="shared" si="246"/>
        <v>30</v>
      </c>
      <c r="BP327" s="230">
        <f t="shared" si="467"/>
        <v>43</v>
      </c>
      <c r="BQ327" s="235">
        <f t="shared" si="468"/>
        <v>3.2938815789473681</v>
      </c>
      <c r="BR327" s="235" cm="1">
        <f t="array" ref="BR327">$BI327 * IF($AH327&lt;=2,
SUMPRODUCT(INDEX($AR$72:$AT$76,,$AI327), INDEX($AU$72:$BA$76,,$AH327), 1 / ($BB$72:$BB$76*BQ327 + (1-$BB$72:$BB$76)*BM327), N($AQ$72:$AQ$76&gt;$AO327)),
SUMPRODUCT(INDEX($AR$67:$AT$76,,$AI327), INDEX($AU$67:$BA$76,,$AH327), 1 / ($BC$67:$BC$76*BQ327 + (1-$BC$67:$BC$76)*BM327), N($AQ$67:$AQ$76&gt;$AO327))
) / 1000</f>
        <v>0</v>
      </c>
      <c r="BS327" s="232">
        <f t="shared" si="249"/>
        <v>25</v>
      </c>
      <c r="BT327" s="230">
        <f t="shared" si="469"/>
        <v>38</v>
      </c>
      <c r="BU327" s="235">
        <f t="shared" si="470"/>
        <v>3.792954545454545</v>
      </c>
      <c r="BV327" s="235" cm="1">
        <f t="array" ref="BV327">$BI327 * IF($AH327&lt;=2,
SUMPRODUCT(INDEX($AR$67:$AT$71,,$AI327), INDEX($AU$67:$BA$71,,$AH327), 1 / ($BB$67:$BB$71*BU327 + (1-$BB$67:$BB$71)*BQ327), N($AQ$67:$AQ$71&gt;$AO327)),
SUMPRODUCT(INDEX($AR$57:$AT$66,,$AI327), INDEX($AU$57:$BA$66,,$AH327), 1 / ($BC$57:$BC$66*BU327 + (1-$BC$57:$BC$66)*BQ327), N($AQ$57:$AQ$66&gt;$AO327))
) / 1000</f>
        <v>0</v>
      </c>
      <c r="BW327" s="232">
        <f t="shared" si="252"/>
        <v>20</v>
      </c>
      <c r="BX327" s="230">
        <f t="shared" si="471"/>
        <v>33</v>
      </c>
      <c r="BY327" s="235">
        <f t="shared" si="472"/>
        <v>4.4702678571428569</v>
      </c>
      <c r="BZ327" s="235" cm="1">
        <f t="array" ref="BZ327">$BI327 * IF($AH327&lt;=2,
SUMPRODUCT(INDEX($AR$62:$AT$66,,$AI327), INDEX($AU$62:$BA$66,,$AH327), 1 / ($BB$62:$BB$66*BY327 + (1-$BB$62:$BB$66)*BU327), N($AQ$62:$AQ$66&gt;$AO327)),
SUMPRODUCT(INDEX($AR$47:$AT$56,,$AI327), INDEX($AU$47:$BA$56,,$AH327), 1 / ($BC$47:$BC$56*BY327 + (1-$BC$47:$BC$56)*BU327), N($AQ$47:$AQ$56&gt;$AO327))
) / 1000</f>
        <v>0</v>
      </c>
      <c r="CA327" s="235" cm="1">
        <f t="array" ref="CA327">$BI327 * IF($AH327&lt;=2,
SUMPRODUCT(INDEX($AR$23:$AT$61,,$AI327), INDEX($AU$23:$BA$61,,$AH327), 1 / ($BB$23:$BB$61*BY327), N($AQ$23:$AQ$61&gt;$AO327)),
SUMPRODUCT(INDEX($AR$23:$AT$46,,$AI327), INDEX($AU$23:$BA$46,,$AH327), 1 / ($BC$23:$BC$46*BY327), N($AQ$23:$AQ$46&gt;$AO327))
) / 1000</f>
        <v>0</v>
      </c>
      <c r="CB327" s="230">
        <f t="shared" si="473"/>
        <v>0</v>
      </c>
      <c r="CC327" s="238"/>
      <c r="CD327" s="229" cm="1">
        <f t="array" ref="CD327">IF(ISBLANK(Y327), INDEX(Use, $AH327, 4) - AN327*INDEX(Use, $AH327, 6) - (Q327-X327), Y327)</f>
        <v>7</v>
      </c>
      <c r="CE327" s="229">
        <f t="shared" si="474"/>
        <v>32</v>
      </c>
      <c r="CF327" s="230">
        <f t="shared" si="475"/>
        <v>0</v>
      </c>
      <c r="CG327" s="229">
        <v>35</v>
      </c>
      <c r="CH327" s="230">
        <f t="shared" si="476"/>
        <v>48</v>
      </c>
      <c r="CI327" s="235">
        <f t="shared" si="477"/>
        <v>3.0748170731707316</v>
      </c>
      <c r="CJ327" s="235" cm="1">
        <f t="array" ref="CJ327">$BI327 * SUMPRODUCT(INDEX($AR$77:$AT$82,,$AI327),INDEX($AU$77:$BA$82,,$AH327), N($AQ$77:$AQ$82&gt;$AO327)) / CI327 / 1000</f>
        <v>0</v>
      </c>
      <c r="CK327" s="232">
        <f t="shared" si="260"/>
        <v>30</v>
      </c>
      <c r="CL327" s="230">
        <f t="shared" si="478"/>
        <v>43</v>
      </c>
      <c r="CM327" s="235">
        <f t="shared" si="479"/>
        <v>3.5018750000000001</v>
      </c>
      <c r="CN327" s="235" cm="1">
        <f t="array" ref="CN327">$BI327 * IF($AH327&lt;=2,
SUMPRODUCT(INDEX($AR$72:$AT$76,,$AI327), INDEX($AU$72:$BA$76,,$AH327), 1 / ($BB$72:$BB$76*CM327 + (1-$BB$72:$BB$76)*CI327), N($AQ$72:$AQ$76&gt;$AO327)),
SUMPRODUCT(INDEX($AR$67:$AT$76,,$AI327), INDEX($AU$67:$BA$76,,$AH327), 1 / ($BC$67:$BC$76*CM327 + (1-$BC$67:$BC$76)*CI327), N($AQ$67:$AQ$76&gt;$AO327))
) / 1000</f>
        <v>0</v>
      </c>
      <c r="CO327" s="232">
        <f t="shared" si="263"/>
        <v>25</v>
      </c>
      <c r="CP327" s="230">
        <f t="shared" si="480"/>
        <v>38</v>
      </c>
      <c r="CQ327" s="235">
        <f t="shared" si="481"/>
        <v>4.0666935483870965</v>
      </c>
      <c r="CR327" s="235" cm="1">
        <f t="array" ref="CR327">$BI327 * IF($AH327&lt;=2,
SUMPRODUCT(INDEX($AR$67:$AT$71,,$AI327), INDEX($AU$67:$BA$71,,$AH327), 1 / ($BB$67:$BB$71*CQ327 + (1-$BB$67:$BB$71)*CM327), N($AQ$67:$AQ$71&gt;$AO327)),
SUMPRODUCT(INDEX($AR$57:$AT$66,,$AI327), INDEX($AU$57:$BA$66,,$AH327), 1 / ($BC$57:$BC$66*CQ327 + (1-$BC$57:$BC$66)*CM327), N($AQ$57:$AQ$66&gt;$AO327))
) / 1000</f>
        <v>0</v>
      </c>
      <c r="CS327" s="232">
        <f t="shared" si="266"/>
        <v>20</v>
      </c>
      <c r="CT327" s="230">
        <f t="shared" si="482"/>
        <v>33</v>
      </c>
      <c r="CU327" s="235">
        <f t="shared" si="483"/>
        <v>4.8487499999999999</v>
      </c>
      <c r="CV327" s="235" cm="1">
        <f t="array" ref="CV327">$BI327 * IF($AH327&lt;=2,
SUMPRODUCT(INDEX($AR$62:$AT$66,,$AI327), INDEX($AU$62:$BA$66,,$AH327), 1 / ($BB$62:$BB$66*CU327 + (1-$BB$62:$BB$66)*CQ327), N($AQ$62:$AQ$66&gt;$AO327)),
SUMPRODUCT(INDEX($AR$47:$AT$56,,$AI327), INDEX($AU$47:$BA$56,,$AH327), 1 / ($BC$47:$BC$56*CU327 + (1-$BC$47:$BC$56)*CQ327), N($AQ$47:$AQ$56&gt;$AO327))
) / 1000</f>
        <v>0</v>
      </c>
      <c r="CW327" s="235" cm="1">
        <f t="array" ref="CW327">$BI327 * IF($AH327&lt;=2,
SUMPRODUCT(INDEX($AR$23:$AT$61,,$AI327), INDEX($AU$23:$BA$61,,$AH327), 1 / ($BB$23:$BB$61*CU327), N($AQ$23:$AQ$61&gt;$AO327)),
SUMPRODUCT(INDEX($AR$23:$AT$46,,$AI327), INDEX($AU$23:$BA$46,,$AH327), 1 / ($BC$23:$BC$46*CU327), N($AQ$23:$AQ$46&gt;$AO327))
) / 1000</f>
        <v>0</v>
      </c>
      <c r="CX327" s="230">
        <f t="shared" si="484"/>
        <v>0</v>
      </c>
      <c r="CY327" s="238"/>
    </row>
    <row r="328" spans="1:103" s="76" customFormat="1" ht="14.25" customHeight="1" x14ac:dyDescent="0.2">
      <c r="A328" s="231" t="b">
        <f t="shared" si="229"/>
        <v>0</v>
      </c>
      <c r="B328" s="245">
        <v>306</v>
      </c>
      <c r="C328" s="258"/>
      <c r="D328" s="258"/>
      <c r="E328" s="246"/>
      <c r="F328" s="247" t="str">
        <f>IF(ISBLANK(E328), "", VLOOKUP(E328, Z!$A$2:$C$4127, 3, FALSE))</f>
        <v/>
      </c>
      <c r="G328" s="248"/>
      <c r="H328" s="248"/>
      <c r="I328" s="249"/>
      <c r="J328" s="250"/>
      <c r="K328" s="259"/>
      <c r="L328" s="260"/>
      <c r="M328" s="252" t="str" cm="1">
        <f t="array" ref="M328">INDEX(Trad, 53, $A$20)</f>
        <v>Verschmutzt</v>
      </c>
      <c r="N328" s="253"/>
      <c r="O328" s="253"/>
      <c r="P328" s="254"/>
      <c r="Q328" s="251"/>
      <c r="R328" s="251"/>
      <c r="S328" s="264">
        <f t="shared" si="459"/>
        <v>0</v>
      </c>
      <c r="T328" s="252" t="str" cm="1">
        <f t="array" ref="T328">INDEX(Trad, 52, $A$20)</f>
        <v>Sauber</v>
      </c>
      <c r="U328" s="253"/>
      <c r="V328" s="253"/>
      <c r="W328" s="254"/>
      <c r="X328" s="251"/>
      <c r="Y328" s="251"/>
      <c r="Z328" s="264">
        <f t="shared" si="460"/>
        <v>0</v>
      </c>
      <c r="AA328" s="261"/>
      <c r="AB328" s="258"/>
      <c r="AC328" s="246"/>
      <c r="AD328" s="247" t="str">
        <f>IF(ISBLANK(AC328), "", VLOOKUP(AC328, Z!$A$2:$C$4127, 3, FALSE))</f>
        <v/>
      </c>
      <c r="AE328" s="262"/>
      <c r="AF328" s="263">
        <f t="shared" si="461"/>
        <v>0</v>
      </c>
      <c r="AG328" s="238"/>
      <c r="AH328" s="229">
        <f t="shared" si="485"/>
        <v>1</v>
      </c>
      <c r="AI328" s="229">
        <f t="shared" si="486"/>
        <v>1</v>
      </c>
      <c r="AJ328" s="229">
        <f t="shared" si="487"/>
        <v>0</v>
      </c>
      <c r="AK328" s="229">
        <v>0</v>
      </c>
      <c r="AL328" s="229">
        <v>0</v>
      </c>
      <c r="AM328" s="229">
        <v>1</v>
      </c>
      <c r="AN328" s="229">
        <v>0</v>
      </c>
      <c r="AO328" s="229">
        <f t="shared" si="462"/>
        <v>-100</v>
      </c>
      <c r="AP328" s="238"/>
      <c r="AQ328" s="255"/>
      <c r="AR328" s="255"/>
      <c r="AS328" s="256"/>
      <c r="AT328" s="256"/>
      <c r="AU328" s="256"/>
      <c r="AV328" s="256"/>
      <c r="AW328" s="256"/>
      <c r="AX328" s="256"/>
      <c r="AY328" s="256"/>
      <c r="AZ328" s="256"/>
      <c r="BA328" s="256"/>
      <c r="BB328" s="256"/>
      <c r="BC328" s="256"/>
      <c r="BD328" s="238"/>
      <c r="BE328" s="229" cm="1">
        <f t="array" ref="BE328">IF(ISBLANK(R328), INDEX(Use, $AH328, 4) - AM328*INDEX(Use, $AH328, 6), R328)</f>
        <v>5</v>
      </c>
      <c r="BF328" s="229">
        <f t="shared" si="463"/>
        <v>30</v>
      </c>
      <c r="BG328" s="229">
        <f t="shared" si="241"/>
        <v>13</v>
      </c>
      <c r="BH328" s="229">
        <f t="shared" si="242"/>
        <v>0</v>
      </c>
      <c r="BI328" s="234" cm="1">
        <f t="array" ref="BI328">K328/IF($L328&gt;0, INDEX($AU$23:$BA$77, $L328+20, $AH328), 1)</f>
        <v>0</v>
      </c>
      <c r="BJ328" s="230">
        <f t="shared" si="464"/>
        <v>0</v>
      </c>
      <c r="BK328" s="229">
        <v>35</v>
      </c>
      <c r="BL328" s="230">
        <f t="shared" si="465"/>
        <v>48</v>
      </c>
      <c r="BM328" s="235">
        <f t="shared" si="466"/>
        <v>2.9108720930232557</v>
      </c>
      <c r="BN328" s="235" cm="1">
        <f t="array" ref="BN328">$BI328 * SUMPRODUCT(INDEX($AR$77:$AT$82,,$AI328),INDEX($AU$77:$BA$82,,$AH328), N($AQ$77:$AQ$82&gt;$AO328)) / BM328 / 1000</f>
        <v>0</v>
      </c>
      <c r="BO328" s="232">
        <f t="shared" si="246"/>
        <v>30</v>
      </c>
      <c r="BP328" s="230">
        <f t="shared" si="467"/>
        <v>43</v>
      </c>
      <c r="BQ328" s="235">
        <f t="shared" si="468"/>
        <v>3.2938815789473681</v>
      </c>
      <c r="BR328" s="235" cm="1">
        <f t="array" ref="BR328">$BI328 * IF($AH328&lt;=2,
SUMPRODUCT(INDEX($AR$72:$AT$76,,$AI328), INDEX($AU$72:$BA$76,,$AH328), 1 / ($BB$72:$BB$76*BQ328 + (1-$BB$72:$BB$76)*BM328), N($AQ$72:$AQ$76&gt;$AO328)),
SUMPRODUCT(INDEX($AR$67:$AT$76,,$AI328), INDEX($AU$67:$BA$76,,$AH328), 1 / ($BC$67:$BC$76*BQ328 + (1-$BC$67:$BC$76)*BM328), N($AQ$67:$AQ$76&gt;$AO328))
) / 1000</f>
        <v>0</v>
      </c>
      <c r="BS328" s="232">
        <f t="shared" si="249"/>
        <v>25</v>
      </c>
      <c r="BT328" s="230">
        <f t="shared" si="469"/>
        <v>38</v>
      </c>
      <c r="BU328" s="235">
        <f t="shared" si="470"/>
        <v>3.792954545454545</v>
      </c>
      <c r="BV328" s="235" cm="1">
        <f t="array" ref="BV328">$BI328 * IF($AH328&lt;=2,
SUMPRODUCT(INDEX($AR$67:$AT$71,,$AI328), INDEX($AU$67:$BA$71,,$AH328), 1 / ($BB$67:$BB$71*BU328 + (1-$BB$67:$BB$71)*BQ328), N($AQ$67:$AQ$71&gt;$AO328)),
SUMPRODUCT(INDEX($AR$57:$AT$66,,$AI328), INDEX($AU$57:$BA$66,,$AH328), 1 / ($BC$57:$BC$66*BU328 + (1-$BC$57:$BC$66)*BQ328), N($AQ$57:$AQ$66&gt;$AO328))
) / 1000</f>
        <v>0</v>
      </c>
      <c r="BW328" s="232">
        <f t="shared" si="252"/>
        <v>20</v>
      </c>
      <c r="BX328" s="230">
        <f t="shared" si="471"/>
        <v>33</v>
      </c>
      <c r="BY328" s="235">
        <f t="shared" si="472"/>
        <v>4.4702678571428569</v>
      </c>
      <c r="BZ328" s="235" cm="1">
        <f t="array" ref="BZ328">$BI328 * IF($AH328&lt;=2,
SUMPRODUCT(INDEX($AR$62:$AT$66,,$AI328), INDEX($AU$62:$BA$66,,$AH328), 1 / ($BB$62:$BB$66*BY328 + (1-$BB$62:$BB$66)*BU328), N($AQ$62:$AQ$66&gt;$AO328)),
SUMPRODUCT(INDEX($AR$47:$AT$56,,$AI328), INDEX($AU$47:$BA$56,,$AH328), 1 / ($BC$47:$BC$56*BY328 + (1-$BC$47:$BC$56)*BU328), N($AQ$47:$AQ$56&gt;$AO328))
) / 1000</f>
        <v>0</v>
      </c>
      <c r="CA328" s="235" cm="1">
        <f t="array" ref="CA328">$BI328 * IF($AH328&lt;=2,
SUMPRODUCT(INDEX($AR$23:$AT$61,,$AI328), INDEX($AU$23:$BA$61,,$AH328), 1 / ($BB$23:$BB$61*BY328), N($AQ$23:$AQ$61&gt;$AO328)),
SUMPRODUCT(INDEX($AR$23:$AT$46,,$AI328), INDEX($AU$23:$BA$46,,$AH328), 1 / ($BC$23:$BC$46*BY328), N($AQ$23:$AQ$46&gt;$AO328))
) / 1000</f>
        <v>0</v>
      </c>
      <c r="CB328" s="230">
        <f t="shared" si="473"/>
        <v>0</v>
      </c>
      <c r="CC328" s="238"/>
      <c r="CD328" s="229" cm="1">
        <f t="array" ref="CD328">IF(ISBLANK(Y328), INDEX(Use, $AH328, 4) - AN328*INDEX(Use, $AH328, 6) - (Q328-X328), Y328)</f>
        <v>7</v>
      </c>
      <c r="CE328" s="229">
        <f t="shared" si="474"/>
        <v>32</v>
      </c>
      <c r="CF328" s="230">
        <f t="shared" si="475"/>
        <v>0</v>
      </c>
      <c r="CG328" s="229">
        <v>35</v>
      </c>
      <c r="CH328" s="230">
        <f t="shared" si="476"/>
        <v>48</v>
      </c>
      <c r="CI328" s="235">
        <f t="shared" si="477"/>
        <v>3.0748170731707316</v>
      </c>
      <c r="CJ328" s="235" cm="1">
        <f t="array" ref="CJ328">$BI328 * SUMPRODUCT(INDEX($AR$77:$AT$82,,$AI328),INDEX($AU$77:$BA$82,,$AH328), N($AQ$77:$AQ$82&gt;$AO328)) / CI328 / 1000</f>
        <v>0</v>
      </c>
      <c r="CK328" s="232">
        <f t="shared" si="260"/>
        <v>30</v>
      </c>
      <c r="CL328" s="230">
        <f t="shared" si="478"/>
        <v>43</v>
      </c>
      <c r="CM328" s="235">
        <f t="shared" si="479"/>
        <v>3.5018750000000001</v>
      </c>
      <c r="CN328" s="235" cm="1">
        <f t="array" ref="CN328">$BI328 * IF($AH328&lt;=2,
SUMPRODUCT(INDEX($AR$72:$AT$76,,$AI328), INDEX($AU$72:$BA$76,,$AH328), 1 / ($BB$72:$BB$76*CM328 + (1-$BB$72:$BB$76)*CI328), N($AQ$72:$AQ$76&gt;$AO328)),
SUMPRODUCT(INDEX($AR$67:$AT$76,,$AI328), INDEX($AU$67:$BA$76,,$AH328), 1 / ($BC$67:$BC$76*CM328 + (1-$BC$67:$BC$76)*CI328), N($AQ$67:$AQ$76&gt;$AO328))
) / 1000</f>
        <v>0</v>
      </c>
      <c r="CO328" s="232">
        <f t="shared" si="263"/>
        <v>25</v>
      </c>
      <c r="CP328" s="230">
        <f t="shared" si="480"/>
        <v>38</v>
      </c>
      <c r="CQ328" s="235">
        <f t="shared" si="481"/>
        <v>4.0666935483870965</v>
      </c>
      <c r="CR328" s="235" cm="1">
        <f t="array" ref="CR328">$BI328 * IF($AH328&lt;=2,
SUMPRODUCT(INDEX($AR$67:$AT$71,,$AI328), INDEX($AU$67:$BA$71,,$AH328), 1 / ($BB$67:$BB$71*CQ328 + (1-$BB$67:$BB$71)*CM328), N($AQ$67:$AQ$71&gt;$AO328)),
SUMPRODUCT(INDEX($AR$57:$AT$66,,$AI328), INDEX($AU$57:$BA$66,,$AH328), 1 / ($BC$57:$BC$66*CQ328 + (1-$BC$57:$BC$66)*CM328), N($AQ$57:$AQ$66&gt;$AO328))
) / 1000</f>
        <v>0</v>
      </c>
      <c r="CS328" s="232">
        <f t="shared" si="266"/>
        <v>20</v>
      </c>
      <c r="CT328" s="230">
        <f t="shared" si="482"/>
        <v>33</v>
      </c>
      <c r="CU328" s="235">
        <f t="shared" si="483"/>
        <v>4.8487499999999999</v>
      </c>
      <c r="CV328" s="235" cm="1">
        <f t="array" ref="CV328">$BI328 * IF($AH328&lt;=2,
SUMPRODUCT(INDEX($AR$62:$AT$66,,$AI328), INDEX($AU$62:$BA$66,,$AH328), 1 / ($BB$62:$BB$66*CU328 + (1-$BB$62:$BB$66)*CQ328), N($AQ$62:$AQ$66&gt;$AO328)),
SUMPRODUCT(INDEX($AR$47:$AT$56,,$AI328), INDEX($AU$47:$BA$56,,$AH328), 1 / ($BC$47:$BC$56*CU328 + (1-$BC$47:$BC$56)*CQ328), N($AQ$47:$AQ$56&gt;$AO328))
) / 1000</f>
        <v>0</v>
      </c>
      <c r="CW328" s="235" cm="1">
        <f t="array" ref="CW328">$BI328 * IF($AH328&lt;=2,
SUMPRODUCT(INDEX($AR$23:$AT$61,,$AI328), INDEX($AU$23:$BA$61,,$AH328), 1 / ($BB$23:$BB$61*CU328), N($AQ$23:$AQ$61&gt;$AO328)),
SUMPRODUCT(INDEX($AR$23:$AT$46,,$AI328), INDEX($AU$23:$BA$46,,$AH328), 1 / ($BC$23:$BC$46*CU328), N($AQ$23:$AQ$46&gt;$AO328))
) / 1000</f>
        <v>0</v>
      </c>
      <c r="CX328" s="230">
        <f t="shared" si="484"/>
        <v>0</v>
      </c>
      <c r="CY328" s="238"/>
    </row>
    <row r="329" spans="1:103" s="76" customFormat="1" ht="14.25" customHeight="1" x14ac:dyDescent="0.2">
      <c r="A329" s="231" t="b">
        <f t="shared" si="229"/>
        <v>0</v>
      </c>
      <c r="B329" s="245">
        <v>307</v>
      </c>
      <c r="C329" s="258"/>
      <c r="D329" s="258"/>
      <c r="E329" s="246"/>
      <c r="F329" s="247" t="str">
        <f>IF(ISBLANK(E329), "", VLOOKUP(E329, Z!$A$2:$C$4127, 3, FALSE))</f>
        <v/>
      </c>
      <c r="G329" s="248"/>
      <c r="H329" s="248"/>
      <c r="I329" s="249"/>
      <c r="J329" s="250"/>
      <c r="K329" s="259"/>
      <c r="L329" s="260"/>
      <c r="M329" s="252" t="str" cm="1">
        <f t="array" ref="M329">INDEX(Trad, 53, $A$20)</f>
        <v>Verschmutzt</v>
      </c>
      <c r="N329" s="253"/>
      <c r="O329" s="253"/>
      <c r="P329" s="254"/>
      <c r="Q329" s="251"/>
      <c r="R329" s="251"/>
      <c r="S329" s="264">
        <f t="shared" si="459"/>
        <v>0</v>
      </c>
      <c r="T329" s="252" t="str" cm="1">
        <f t="array" ref="T329">INDEX(Trad, 52, $A$20)</f>
        <v>Sauber</v>
      </c>
      <c r="U329" s="253"/>
      <c r="V329" s="253"/>
      <c r="W329" s="254"/>
      <c r="X329" s="251"/>
      <c r="Y329" s="251"/>
      <c r="Z329" s="264">
        <f t="shared" si="460"/>
        <v>0</v>
      </c>
      <c r="AA329" s="261"/>
      <c r="AB329" s="258"/>
      <c r="AC329" s="246"/>
      <c r="AD329" s="247" t="str">
        <f>IF(ISBLANK(AC329), "", VLOOKUP(AC329, Z!$A$2:$C$4127, 3, FALSE))</f>
        <v/>
      </c>
      <c r="AE329" s="262"/>
      <c r="AF329" s="263">
        <f t="shared" si="461"/>
        <v>0</v>
      </c>
      <c r="AG329" s="238"/>
      <c r="AH329" s="229">
        <f t="shared" si="485"/>
        <v>1</v>
      </c>
      <c r="AI329" s="229">
        <f t="shared" si="486"/>
        <v>1</v>
      </c>
      <c r="AJ329" s="229">
        <f t="shared" si="487"/>
        <v>0</v>
      </c>
      <c r="AK329" s="229">
        <v>0</v>
      </c>
      <c r="AL329" s="229">
        <v>0</v>
      </c>
      <c r="AM329" s="229">
        <v>1</v>
      </c>
      <c r="AN329" s="229">
        <v>0</v>
      </c>
      <c r="AO329" s="229">
        <f t="shared" si="462"/>
        <v>-100</v>
      </c>
      <c r="AP329" s="238"/>
      <c r="AQ329" s="255"/>
      <c r="AR329" s="255"/>
      <c r="AS329" s="256"/>
      <c r="AT329" s="256"/>
      <c r="AU329" s="256"/>
      <c r="AV329" s="256"/>
      <c r="AW329" s="256"/>
      <c r="AX329" s="256"/>
      <c r="AY329" s="256"/>
      <c r="AZ329" s="256"/>
      <c r="BA329" s="256"/>
      <c r="BB329" s="256"/>
      <c r="BC329" s="256"/>
      <c r="BD329" s="238"/>
      <c r="BE329" s="229" cm="1">
        <f t="array" ref="BE329">IF(ISBLANK(R329), INDEX(Use, $AH329, 4) - AM329*INDEX(Use, $AH329, 6), R329)</f>
        <v>5</v>
      </c>
      <c r="BF329" s="229">
        <f t="shared" si="463"/>
        <v>30</v>
      </c>
      <c r="BG329" s="229">
        <f t="shared" si="241"/>
        <v>13</v>
      </c>
      <c r="BH329" s="229">
        <f t="shared" si="242"/>
        <v>0</v>
      </c>
      <c r="BI329" s="234" cm="1">
        <f t="array" ref="BI329">K329/IF($L329&gt;0, INDEX($AU$23:$BA$77, $L329+20, $AH329), 1)</f>
        <v>0</v>
      </c>
      <c r="BJ329" s="230">
        <f t="shared" si="464"/>
        <v>0</v>
      </c>
      <c r="BK329" s="229">
        <v>35</v>
      </c>
      <c r="BL329" s="230">
        <f t="shared" si="465"/>
        <v>48</v>
      </c>
      <c r="BM329" s="235">
        <f t="shared" si="466"/>
        <v>2.9108720930232557</v>
      </c>
      <c r="BN329" s="235" cm="1">
        <f t="array" ref="BN329">$BI329 * SUMPRODUCT(INDEX($AR$77:$AT$82,,$AI329),INDEX($AU$77:$BA$82,,$AH329), N($AQ$77:$AQ$82&gt;$AO329)) / BM329 / 1000</f>
        <v>0</v>
      </c>
      <c r="BO329" s="232">
        <f t="shared" si="246"/>
        <v>30</v>
      </c>
      <c r="BP329" s="230">
        <f t="shared" si="467"/>
        <v>43</v>
      </c>
      <c r="BQ329" s="235">
        <f t="shared" si="468"/>
        <v>3.2938815789473681</v>
      </c>
      <c r="BR329" s="235" cm="1">
        <f t="array" ref="BR329">$BI329 * IF($AH329&lt;=2,
SUMPRODUCT(INDEX($AR$72:$AT$76,,$AI329), INDEX($AU$72:$BA$76,,$AH329), 1 / ($BB$72:$BB$76*BQ329 + (1-$BB$72:$BB$76)*BM329), N($AQ$72:$AQ$76&gt;$AO329)),
SUMPRODUCT(INDEX($AR$67:$AT$76,,$AI329), INDEX($AU$67:$BA$76,,$AH329), 1 / ($BC$67:$BC$76*BQ329 + (1-$BC$67:$BC$76)*BM329), N($AQ$67:$AQ$76&gt;$AO329))
) / 1000</f>
        <v>0</v>
      </c>
      <c r="BS329" s="232">
        <f t="shared" si="249"/>
        <v>25</v>
      </c>
      <c r="BT329" s="230">
        <f t="shared" si="469"/>
        <v>38</v>
      </c>
      <c r="BU329" s="235">
        <f t="shared" si="470"/>
        <v>3.792954545454545</v>
      </c>
      <c r="BV329" s="235" cm="1">
        <f t="array" ref="BV329">$BI329 * IF($AH329&lt;=2,
SUMPRODUCT(INDEX($AR$67:$AT$71,,$AI329), INDEX($AU$67:$BA$71,,$AH329), 1 / ($BB$67:$BB$71*BU329 + (1-$BB$67:$BB$71)*BQ329), N($AQ$67:$AQ$71&gt;$AO329)),
SUMPRODUCT(INDEX($AR$57:$AT$66,,$AI329), INDEX($AU$57:$BA$66,,$AH329), 1 / ($BC$57:$BC$66*BU329 + (1-$BC$57:$BC$66)*BQ329), N($AQ$57:$AQ$66&gt;$AO329))
) / 1000</f>
        <v>0</v>
      </c>
      <c r="BW329" s="232">
        <f t="shared" si="252"/>
        <v>20</v>
      </c>
      <c r="BX329" s="230">
        <f t="shared" si="471"/>
        <v>33</v>
      </c>
      <c r="BY329" s="235">
        <f t="shared" si="472"/>
        <v>4.4702678571428569</v>
      </c>
      <c r="BZ329" s="235" cm="1">
        <f t="array" ref="BZ329">$BI329 * IF($AH329&lt;=2,
SUMPRODUCT(INDEX($AR$62:$AT$66,,$AI329), INDEX($AU$62:$BA$66,,$AH329), 1 / ($BB$62:$BB$66*BY329 + (1-$BB$62:$BB$66)*BU329), N($AQ$62:$AQ$66&gt;$AO329)),
SUMPRODUCT(INDEX($AR$47:$AT$56,,$AI329), INDEX($AU$47:$BA$56,,$AH329), 1 / ($BC$47:$BC$56*BY329 + (1-$BC$47:$BC$56)*BU329), N($AQ$47:$AQ$56&gt;$AO329))
) / 1000</f>
        <v>0</v>
      </c>
      <c r="CA329" s="235" cm="1">
        <f t="array" ref="CA329">$BI329 * IF($AH329&lt;=2,
SUMPRODUCT(INDEX($AR$23:$AT$61,,$AI329), INDEX($AU$23:$BA$61,,$AH329), 1 / ($BB$23:$BB$61*BY329), N($AQ$23:$AQ$61&gt;$AO329)),
SUMPRODUCT(INDEX($AR$23:$AT$46,,$AI329), INDEX($AU$23:$BA$46,,$AH329), 1 / ($BC$23:$BC$46*BY329), N($AQ$23:$AQ$46&gt;$AO329))
) / 1000</f>
        <v>0</v>
      </c>
      <c r="CB329" s="230">
        <f t="shared" si="473"/>
        <v>0</v>
      </c>
      <c r="CC329" s="238"/>
      <c r="CD329" s="229" cm="1">
        <f t="array" ref="CD329">IF(ISBLANK(Y329), INDEX(Use, $AH329, 4) - AN329*INDEX(Use, $AH329, 6) - (Q329-X329), Y329)</f>
        <v>7</v>
      </c>
      <c r="CE329" s="229">
        <f t="shared" si="474"/>
        <v>32</v>
      </c>
      <c r="CF329" s="230">
        <f t="shared" si="475"/>
        <v>0</v>
      </c>
      <c r="CG329" s="229">
        <v>35</v>
      </c>
      <c r="CH329" s="230">
        <f t="shared" si="476"/>
        <v>48</v>
      </c>
      <c r="CI329" s="235">
        <f t="shared" si="477"/>
        <v>3.0748170731707316</v>
      </c>
      <c r="CJ329" s="235" cm="1">
        <f t="array" ref="CJ329">$BI329 * SUMPRODUCT(INDEX($AR$77:$AT$82,,$AI329),INDEX($AU$77:$BA$82,,$AH329), N($AQ$77:$AQ$82&gt;$AO329)) / CI329 / 1000</f>
        <v>0</v>
      </c>
      <c r="CK329" s="232">
        <f t="shared" si="260"/>
        <v>30</v>
      </c>
      <c r="CL329" s="230">
        <f t="shared" si="478"/>
        <v>43</v>
      </c>
      <c r="CM329" s="235">
        <f t="shared" si="479"/>
        <v>3.5018750000000001</v>
      </c>
      <c r="CN329" s="235" cm="1">
        <f t="array" ref="CN329">$BI329 * IF($AH329&lt;=2,
SUMPRODUCT(INDEX($AR$72:$AT$76,,$AI329), INDEX($AU$72:$BA$76,,$AH329), 1 / ($BB$72:$BB$76*CM329 + (1-$BB$72:$BB$76)*CI329), N($AQ$72:$AQ$76&gt;$AO329)),
SUMPRODUCT(INDEX($AR$67:$AT$76,,$AI329), INDEX($AU$67:$BA$76,,$AH329), 1 / ($BC$67:$BC$76*CM329 + (1-$BC$67:$BC$76)*CI329), N($AQ$67:$AQ$76&gt;$AO329))
) / 1000</f>
        <v>0</v>
      </c>
      <c r="CO329" s="232">
        <f t="shared" si="263"/>
        <v>25</v>
      </c>
      <c r="CP329" s="230">
        <f t="shared" si="480"/>
        <v>38</v>
      </c>
      <c r="CQ329" s="235">
        <f t="shared" si="481"/>
        <v>4.0666935483870965</v>
      </c>
      <c r="CR329" s="235" cm="1">
        <f t="array" ref="CR329">$BI329 * IF($AH329&lt;=2,
SUMPRODUCT(INDEX($AR$67:$AT$71,,$AI329), INDEX($AU$67:$BA$71,,$AH329), 1 / ($BB$67:$BB$71*CQ329 + (1-$BB$67:$BB$71)*CM329), N($AQ$67:$AQ$71&gt;$AO329)),
SUMPRODUCT(INDEX($AR$57:$AT$66,,$AI329), INDEX($AU$57:$BA$66,,$AH329), 1 / ($BC$57:$BC$66*CQ329 + (1-$BC$57:$BC$66)*CM329), N($AQ$57:$AQ$66&gt;$AO329))
) / 1000</f>
        <v>0</v>
      </c>
      <c r="CS329" s="232">
        <f t="shared" si="266"/>
        <v>20</v>
      </c>
      <c r="CT329" s="230">
        <f t="shared" si="482"/>
        <v>33</v>
      </c>
      <c r="CU329" s="235">
        <f t="shared" si="483"/>
        <v>4.8487499999999999</v>
      </c>
      <c r="CV329" s="235" cm="1">
        <f t="array" ref="CV329">$BI329 * IF($AH329&lt;=2,
SUMPRODUCT(INDEX($AR$62:$AT$66,,$AI329), INDEX($AU$62:$BA$66,,$AH329), 1 / ($BB$62:$BB$66*CU329 + (1-$BB$62:$BB$66)*CQ329), N($AQ$62:$AQ$66&gt;$AO329)),
SUMPRODUCT(INDEX($AR$47:$AT$56,,$AI329), INDEX($AU$47:$BA$56,,$AH329), 1 / ($BC$47:$BC$56*CU329 + (1-$BC$47:$BC$56)*CQ329), N($AQ$47:$AQ$56&gt;$AO329))
) / 1000</f>
        <v>0</v>
      </c>
      <c r="CW329" s="235" cm="1">
        <f t="array" ref="CW329">$BI329 * IF($AH329&lt;=2,
SUMPRODUCT(INDEX($AR$23:$AT$61,,$AI329), INDEX($AU$23:$BA$61,,$AH329), 1 / ($BB$23:$BB$61*CU329), N($AQ$23:$AQ$61&gt;$AO329)),
SUMPRODUCT(INDEX($AR$23:$AT$46,,$AI329), INDEX($AU$23:$BA$46,,$AH329), 1 / ($BC$23:$BC$46*CU329), N($AQ$23:$AQ$46&gt;$AO329))
) / 1000</f>
        <v>0</v>
      </c>
      <c r="CX329" s="230">
        <f t="shared" si="484"/>
        <v>0</v>
      </c>
      <c r="CY329" s="238"/>
    </row>
    <row r="330" spans="1:103" s="76" customFormat="1" ht="14.25" customHeight="1" x14ac:dyDescent="0.2">
      <c r="A330" s="231" t="b">
        <f t="shared" si="229"/>
        <v>0</v>
      </c>
      <c r="B330" s="245">
        <v>308</v>
      </c>
      <c r="C330" s="258"/>
      <c r="D330" s="258"/>
      <c r="E330" s="246"/>
      <c r="F330" s="247" t="str">
        <f>IF(ISBLANK(E330), "", VLOOKUP(E330, Z!$A$2:$C$4127, 3, FALSE))</f>
        <v/>
      </c>
      <c r="G330" s="248"/>
      <c r="H330" s="248"/>
      <c r="I330" s="249"/>
      <c r="J330" s="250"/>
      <c r="K330" s="259"/>
      <c r="L330" s="260"/>
      <c r="M330" s="252" t="str" cm="1">
        <f t="array" ref="M330">INDEX(Trad, 53, $A$20)</f>
        <v>Verschmutzt</v>
      </c>
      <c r="N330" s="253"/>
      <c r="O330" s="253"/>
      <c r="P330" s="254"/>
      <c r="Q330" s="251"/>
      <c r="R330" s="251"/>
      <c r="S330" s="264">
        <f t="shared" si="459"/>
        <v>0</v>
      </c>
      <c r="T330" s="252" t="str" cm="1">
        <f t="array" ref="T330">INDEX(Trad, 52, $A$20)</f>
        <v>Sauber</v>
      </c>
      <c r="U330" s="253"/>
      <c r="V330" s="253"/>
      <c r="W330" s="254"/>
      <c r="X330" s="251"/>
      <c r="Y330" s="251"/>
      <c r="Z330" s="264">
        <f t="shared" si="460"/>
        <v>0</v>
      </c>
      <c r="AA330" s="261"/>
      <c r="AB330" s="258"/>
      <c r="AC330" s="246"/>
      <c r="AD330" s="247" t="str">
        <f>IF(ISBLANK(AC330), "", VLOOKUP(AC330, Z!$A$2:$C$4127, 3, FALSE))</f>
        <v/>
      </c>
      <c r="AE330" s="262"/>
      <c r="AF330" s="263">
        <f t="shared" si="461"/>
        <v>0</v>
      </c>
      <c r="AG330" s="238"/>
      <c r="AH330" s="229">
        <f t="shared" si="485"/>
        <v>1</v>
      </c>
      <c r="AI330" s="229">
        <f t="shared" si="486"/>
        <v>1</v>
      </c>
      <c r="AJ330" s="229">
        <f t="shared" si="487"/>
        <v>0</v>
      </c>
      <c r="AK330" s="229">
        <v>0</v>
      </c>
      <c r="AL330" s="229">
        <v>0</v>
      </c>
      <c r="AM330" s="229">
        <v>1</v>
      </c>
      <c r="AN330" s="229">
        <v>0</v>
      </c>
      <c r="AO330" s="229">
        <f t="shared" si="462"/>
        <v>-100</v>
      </c>
      <c r="AP330" s="238"/>
      <c r="AQ330" s="255"/>
      <c r="AR330" s="255"/>
      <c r="AS330" s="256"/>
      <c r="AT330" s="256"/>
      <c r="AU330" s="256"/>
      <c r="AV330" s="256"/>
      <c r="AW330" s="256"/>
      <c r="AX330" s="256"/>
      <c r="AY330" s="256"/>
      <c r="AZ330" s="256"/>
      <c r="BA330" s="256"/>
      <c r="BB330" s="256"/>
      <c r="BC330" s="256"/>
      <c r="BD330" s="238"/>
      <c r="BE330" s="229" cm="1">
        <f t="array" ref="BE330">IF(ISBLANK(R330), INDEX(Use, $AH330, 4) - AM330*INDEX(Use, $AH330, 6), R330)</f>
        <v>5</v>
      </c>
      <c r="BF330" s="229">
        <f t="shared" si="463"/>
        <v>30</v>
      </c>
      <c r="BG330" s="229">
        <f t="shared" si="241"/>
        <v>13</v>
      </c>
      <c r="BH330" s="229">
        <f t="shared" si="242"/>
        <v>0</v>
      </c>
      <c r="BI330" s="234" cm="1">
        <f t="array" ref="BI330">K330/IF($L330&gt;0, INDEX($AU$23:$BA$77, $L330+20, $AH330), 1)</f>
        <v>0</v>
      </c>
      <c r="BJ330" s="230">
        <f t="shared" si="464"/>
        <v>0</v>
      </c>
      <c r="BK330" s="229">
        <v>35</v>
      </c>
      <c r="BL330" s="230">
        <f t="shared" si="465"/>
        <v>48</v>
      </c>
      <c r="BM330" s="235">
        <f t="shared" si="466"/>
        <v>2.9108720930232557</v>
      </c>
      <c r="BN330" s="235" cm="1">
        <f t="array" ref="BN330">$BI330 * SUMPRODUCT(INDEX($AR$77:$AT$82,,$AI330),INDEX($AU$77:$BA$82,,$AH330), N($AQ$77:$AQ$82&gt;$AO330)) / BM330 / 1000</f>
        <v>0</v>
      </c>
      <c r="BO330" s="232">
        <f t="shared" si="246"/>
        <v>30</v>
      </c>
      <c r="BP330" s="230">
        <f t="shared" si="467"/>
        <v>43</v>
      </c>
      <c r="BQ330" s="235">
        <f t="shared" si="468"/>
        <v>3.2938815789473681</v>
      </c>
      <c r="BR330" s="235" cm="1">
        <f t="array" ref="BR330">$BI330 * IF($AH330&lt;=2,
SUMPRODUCT(INDEX($AR$72:$AT$76,,$AI330), INDEX($AU$72:$BA$76,,$AH330), 1 / ($BB$72:$BB$76*BQ330 + (1-$BB$72:$BB$76)*BM330), N($AQ$72:$AQ$76&gt;$AO330)),
SUMPRODUCT(INDEX($AR$67:$AT$76,,$AI330), INDEX($AU$67:$BA$76,,$AH330), 1 / ($BC$67:$BC$76*BQ330 + (1-$BC$67:$BC$76)*BM330), N($AQ$67:$AQ$76&gt;$AO330))
) / 1000</f>
        <v>0</v>
      </c>
      <c r="BS330" s="232">
        <f t="shared" si="249"/>
        <v>25</v>
      </c>
      <c r="BT330" s="230">
        <f t="shared" si="469"/>
        <v>38</v>
      </c>
      <c r="BU330" s="235">
        <f t="shared" si="470"/>
        <v>3.792954545454545</v>
      </c>
      <c r="BV330" s="235" cm="1">
        <f t="array" ref="BV330">$BI330 * IF($AH330&lt;=2,
SUMPRODUCT(INDEX($AR$67:$AT$71,,$AI330), INDEX($AU$67:$BA$71,,$AH330), 1 / ($BB$67:$BB$71*BU330 + (1-$BB$67:$BB$71)*BQ330), N($AQ$67:$AQ$71&gt;$AO330)),
SUMPRODUCT(INDEX($AR$57:$AT$66,,$AI330), INDEX($AU$57:$BA$66,,$AH330), 1 / ($BC$57:$BC$66*BU330 + (1-$BC$57:$BC$66)*BQ330), N($AQ$57:$AQ$66&gt;$AO330))
) / 1000</f>
        <v>0</v>
      </c>
      <c r="BW330" s="232">
        <f t="shared" si="252"/>
        <v>20</v>
      </c>
      <c r="BX330" s="230">
        <f t="shared" si="471"/>
        <v>33</v>
      </c>
      <c r="BY330" s="235">
        <f t="shared" si="472"/>
        <v>4.4702678571428569</v>
      </c>
      <c r="BZ330" s="235" cm="1">
        <f t="array" ref="BZ330">$BI330 * IF($AH330&lt;=2,
SUMPRODUCT(INDEX($AR$62:$AT$66,,$AI330), INDEX($AU$62:$BA$66,,$AH330), 1 / ($BB$62:$BB$66*BY330 + (1-$BB$62:$BB$66)*BU330), N($AQ$62:$AQ$66&gt;$AO330)),
SUMPRODUCT(INDEX($AR$47:$AT$56,,$AI330), INDEX($AU$47:$BA$56,,$AH330), 1 / ($BC$47:$BC$56*BY330 + (1-$BC$47:$BC$56)*BU330), N($AQ$47:$AQ$56&gt;$AO330))
) / 1000</f>
        <v>0</v>
      </c>
      <c r="CA330" s="235" cm="1">
        <f t="array" ref="CA330">$BI330 * IF($AH330&lt;=2,
SUMPRODUCT(INDEX($AR$23:$AT$61,,$AI330), INDEX($AU$23:$BA$61,,$AH330), 1 / ($BB$23:$BB$61*BY330), N($AQ$23:$AQ$61&gt;$AO330)),
SUMPRODUCT(INDEX($AR$23:$AT$46,,$AI330), INDEX($AU$23:$BA$46,,$AH330), 1 / ($BC$23:$BC$46*BY330), N($AQ$23:$AQ$46&gt;$AO330))
) / 1000</f>
        <v>0</v>
      </c>
      <c r="CB330" s="230">
        <f t="shared" si="473"/>
        <v>0</v>
      </c>
      <c r="CC330" s="238"/>
      <c r="CD330" s="229" cm="1">
        <f t="array" ref="CD330">IF(ISBLANK(Y330), INDEX(Use, $AH330, 4) - AN330*INDEX(Use, $AH330, 6) - (Q330-X330), Y330)</f>
        <v>7</v>
      </c>
      <c r="CE330" s="229">
        <f t="shared" si="474"/>
        <v>32</v>
      </c>
      <c r="CF330" s="230">
        <f t="shared" si="475"/>
        <v>0</v>
      </c>
      <c r="CG330" s="229">
        <v>35</v>
      </c>
      <c r="CH330" s="230">
        <f t="shared" si="476"/>
        <v>48</v>
      </c>
      <c r="CI330" s="235">
        <f t="shared" si="477"/>
        <v>3.0748170731707316</v>
      </c>
      <c r="CJ330" s="235" cm="1">
        <f t="array" ref="CJ330">$BI330 * SUMPRODUCT(INDEX($AR$77:$AT$82,,$AI330),INDEX($AU$77:$BA$82,,$AH330), N($AQ$77:$AQ$82&gt;$AO330)) / CI330 / 1000</f>
        <v>0</v>
      </c>
      <c r="CK330" s="232">
        <f t="shared" si="260"/>
        <v>30</v>
      </c>
      <c r="CL330" s="230">
        <f t="shared" si="478"/>
        <v>43</v>
      </c>
      <c r="CM330" s="235">
        <f t="shared" si="479"/>
        <v>3.5018750000000001</v>
      </c>
      <c r="CN330" s="235" cm="1">
        <f t="array" ref="CN330">$BI330 * IF($AH330&lt;=2,
SUMPRODUCT(INDEX($AR$72:$AT$76,,$AI330), INDEX($AU$72:$BA$76,,$AH330), 1 / ($BB$72:$BB$76*CM330 + (1-$BB$72:$BB$76)*CI330), N($AQ$72:$AQ$76&gt;$AO330)),
SUMPRODUCT(INDEX($AR$67:$AT$76,,$AI330), INDEX($AU$67:$BA$76,,$AH330), 1 / ($BC$67:$BC$76*CM330 + (1-$BC$67:$BC$76)*CI330), N($AQ$67:$AQ$76&gt;$AO330))
) / 1000</f>
        <v>0</v>
      </c>
      <c r="CO330" s="232">
        <f t="shared" si="263"/>
        <v>25</v>
      </c>
      <c r="CP330" s="230">
        <f t="shared" si="480"/>
        <v>38</v>
      </c>
      <c r="CQ330" s="235">
        <f t="shared" si="481"/>
        <v>4.0666935483870965</v>
      </c>
      <c r="CR330" s="235" cm="1">
        <f t="array" ref="CR330">$BI330 * IF($AH330&lt;=2,
SUMPRODUCT(INDEX($AR$67:$AT$71,,$AI330), INDEX($AU$67:$BA$71,,$AH330), 1 / ($BB$67:$BB$71*CQ330 + (1-$BB$67:$BB$71)*CM330), N($AQ$67:$AQ$71&gt;$AO330)),
SUMPRODUCT(INDEX($AR$57:$AT$66,,$AI330), INDEX($AU$57:$BA$66,,$AH330), 1 / ($BC$57:$BC$66*CQ330 + (1-$BC$57:$BC$66)*CM330), N($AQ$57:$AQ$66&gt;$AO330))
) / 1000</f>
        <v>0</v>
      </c>
      <c r="CS330" s="232">
        <f t="shared" si="266"/>
        <v>20</v>
      </c>
      <c r="CT330" s="230">
        <f t="shared" si="482"/>
        <v>33</v>
      </c>
      <c r="CU330" s="235">
        <f t="shared" si="483"/>
        <v>4.8487499999999999</v>
      </c>
      <c r="CV330" s="235" cm="1">
        <f t="array" ref="CV330">$BI330 * IF($AH330&lt;=2,
SUMPRODUCT(INDEX($AR$62:$AT$66,,$AI330), INDEX($AU$62:$BA$66,,$AH330), 1 / ($BB$62:$BB$66*CU330 + (1-$BB$62:$BB$66)*CQ330), N($AQ$62:$AQ$66&gt;$AO330)),
SUMPRODUCT(INDEX($AR$47:$AT$56,,$AI330), INDEX($AU$47:$BA$56,,$AH330), 1 / ($BC$47:$BC$56*CU330 + (1-$BC$47:$BC$56)*CQ330), N($AQ$47:$AQ$56&gt;$AO330))
) / 1000</f>
        <v>0</v>
      </c>
      <c r="CW330" s="235" cm="1">
        <f t="array" ref="CW330">$BI330 * IF($AH330&lt;=2,
SUMPRODUCT(INDEX($AR$23:$AT$61,,$AI330), INDEX($AU$23:$BA$61,,$AH330), 1 / ($BB$23:$BB$61*CU330), N($AQ$23:$AQ$61&gt;$AO330)),
SUMPRODUCT(INDEX($AR$23:$AT$46,,$AI330), INDEX($AU$23:$BA$46,,$AH330), 1 / ($BC$23:$BC$46*CU330), N($AQ$23:$AQ$46&gt;$AO330))
) / 1000</f>
        <v>0</v>
      </c>
      <c r="CX330" s="230">
        <f t="shared" si="484"/>
        <v>0</v>
      </c>
      <c r="CY330" s="238"/>
    </row>
    <row r="331" spans="1:103" s="76" customFormat="1" ht="14.25" customHeight="1" x14ac:dyDescent="0.2">
      <c r="A331" s="231" t="b">
        <f t="shared" si="229"/>
        <v>0</v>
      </c>
      <c r="B331" s="245">
        <v>309</v>
      </c>
      <c r="C331" s="258"/>
      <c r="D331" s="258"/>
      <c r="E331" s="246"/>
      <c r="F331" s="247" t="str">
        <f>IF(ISBLANK(E331), "", VLOOKUP(E331, Z!$A$2:$C$4127, 3, FALSE))</f>
        <v/>
      </c>
      <c r="G331" s="248"/>
      <c r="H331" s="248"/>
      <c r="I331" s="249"/>
      <c r="J331" s="250"/>
      <c r="K331" s="259"/>
      <c r="L331" s="260"/>
      <c r="M331" s="252" t="str" cm="1">
        <f t="array" ref="M331">INDEX(Trad, 53, $A$20)</f>
        <v>Verschmutzt</v>
      </c>
      <c r="N331" s="253"/>
      <c r="O331" s="253"/>
      <c r="P331" s="254"/>
      <c r="Q331" s="251"/>
      <c r="R331" s="251"/>
      <c r="S331" s="264">
        <f t="shared" si="459"/>
        <v>0</v>
      </c>
      <c r="T331" s="252" t="str" cm="1">
        <f t="array" ref="T331">INDEX(Trad, 52, $A$20)</f>
        <v>Sauber</v>
      </c>
      <c r="U331" s="253"/>
      <c r="V331" s="253"/>
      <c r="W331" s="254"/>
      <c r="X331" s="251"/>
      <c r="Y331" s="251"/>
      <c r="Z331" s="264">
        <f t="shared" si="460"/>
        <v>0</v>
      </c>
      <c r="AA331" s="261"/>
      <c r="AB331" s="258"/>
      <c r="AC331" s="246"/>
      <c r="AD331" s="247" t="str">
        <f>IF(ISBLANK(AC331), "", VLOOKUP(AC331, Z!$A$2:$C$4127, 3, FALSE))</f>
        <v/>
      </c>
      <c r="AE331" s="262"/>
      <c r="AF331" s="263">
        <f t="shared" si="461"/>
        <v>0</v>
      </c>
      <c r="AG331" s="238"/>
      <c r="AH331" s="229">
        <f t="shared" si="485"/>
        <v>1</v>
      </c>
      <c r="AI331" s="229">
        <f t="shared" si="486"/>
        <v>1</v>
      </c>
      <c r="AJ331" s="229">
        <f t="shared" si="487"/>
        <v>0</v>
      </c>
      <c r="AK331" s="229">
        <v>0</v>
      </c>
      <c r="AL331" s="229">
        <v>0</v>
      </c>
      <c r="AM331" s="229">
        <v>1</v>
      </c>
      <c r="AN331" s="229">
        <v>0</v>
      </c>
      <c r="AO331" s="229">
        <f t="shared" si="462"/>
        <v>-100</v>
      </c>
      <c r="AP331" s="238"/>
      <c r="AQ331" s="255"/>
      <c r="AR331" s="255"/>
      <c r="AS331" s="256"/>
      <c r="AT331" s="256"/>
      <c r="AU331" s="256"/>
      <c r="AV331" s="256"/>
      <c r="AW331" s="256"/>
      <c r="AX331" s="256"/>
      <c r="AY331" s="256"/>
      <c r="AZ331" s="256"/>
      <c r="BA331" s="256"/>
      <c r="BB331" s="256"/>
      <c r="BC331" s="256"/>
      <c r="BD331" s="238"/>
      <c r="BE331" s="229" cm="1">
        <f t="array" ref="BE331">IF(ISBLANK(R331), INDEX(Use, $AH331, 4) - AM331*INDEX(Use, $AH331, 6), R331)</f>
        <v>5</v>
      </c>
      <c r="BF331" s="229">
        <f t="shared" si="463"/>
        <v>30</v>
      </c>
      <c r="BG331" s="229">
        <f t="shared" si="241"/>
        <v>13</v>
      </c>
      <c r="BH331" s="229">
        <f t="shared" si="242"/>
        <v>0</v>
      </c>
      <c r="BI331" s="234" cm="1">
        <f t="array" ref="BI331">K331/IF($L331&gt;0, INDEX($AU$23:$BA$77, $L331+20, $AH331), 1)</f>
        <v>0</v>
      </c>
      <c r="BJ331" s="230">
        <f t="shared" si="464"/>
        <v>0</v>
      </c>
      <c r="BK331" s="229">
        <v>35</v>
      </c>
      <c r="BL331" s="230">
        <f t="shared" si="465"/>
        <v>48</v>
      </c>
      <c r="BM331" s="235">
        <f t="shared" si="466"/>
        <v>2.9108720930232557</v>
      </c>
      <c r="BN331" s="235" cm="1">
        <f t="array" ref="BN331">$BI331 * SUMPRODUCT(INDEX($AR$77:$AT$82,,$AI331),INDEX($AU$77:$BA$82,,$AH331), N($AQ$77:$AQ$82&gt;$AO331)) / BM331 / 1000</f>
        <v>0</v>
      </c>
      <c r="BO331" s="232">
        <f t="shared" si="246"/>
        <v>30</v>
      </c>
      <c r="BP331" s="230">
        <f t="shared" si="467"/>
        <v>43</v>
      </c>
      <c r="BQ331" s="235">
        <f t="shared" si="468"/>
        <v>3.2938815789473681</v>
      </c>
      <c r="BR331" s="235" cm="1">
        <f t="array" ref="BR331">$BI331 * IF($AH331&lt;=2,
SUMPRODUCT(INDEX($AR$72:$AT$76,,$AI331), INDEX($AU$72:$BA$76,,$AH331), 1 / ($BB$72:$BB$76*BQ331 + (1-$BB$72:$BB$76)*BM331), N($AQ$72:$AQ$76&gt;$AO331)),
SUMPRODUCT(INDEX($AR$67:$AT$76,,$AI331), INDEX($AU$67:$BA$76,,$AH331), 1 / ($BC$67:$BC$76*BQ331 + (1-$BC$67:$BC$76)*BM331), N($AQ$67:$AQ$76&gt;$AO331))
) / 1000</f>
        <v>0</v>
      </c>
      <c r="BS331" s="232">
        <f t="shared" si="249"/>
        <v>25</v>
      </c>
      <c r="BT331" s="230">
        <f t="shared" si="469"/>
        <v>38</v>
      </c>
      <c r="BU331" s="235">
        <f t="shared" si="470"/>
        <v>3.792954545454545</v>
      </c>
      <c r="BV331" s="235" cm="1">
        <f t="array" ref="BV331">$BI331 * IF($AH331&lt;=2,
SUMPRODUCT(INDEX($AR$67:$AT$71,,$AI331), INDEX($AU$67:$BA$71,,$AH331), 1 / ($BB$67:$BB$71*BU331 + (1-$BB$67:$BB$71)*BQ331), N($AQ$67:$AQ$71&gt;$AO331)),
SUMPRODUCT(INDEX($AR$57:$AT$66,,$AI331), INDEX($AU$57:$BA$66,,$AH331), 1 / ($BC$57:$BC$66*BU331 + (1-$BC$57:$BC$66)*BQ331), N($AQ$57:$AQ$66&gt;$AO331))
) / 1000</f>
        <v>0</v>
      </c>
      <c r="BW331" s="232">
        <f t="shared" si="252"/>
        <v>20</v>
      </c>
      <c r="BX331" s="230">
        <f t="shared" si="471"/>
        <v>33</v>
      </c>
      <c r="BY331" s="235">
        <f t="shared" si="472"/>
        <v>4.4702678571428569</v>
      </c>
      <c r="BZ331" s="235" cm="1">
        <f t="array" ref="BZ331">$BI331 * IF($AH331&lt;=2,
SUMPRODUCT(INDEX($AR$62:$AT$66,,$AI331), INDEX($AU$62:$BA$66,,$AH331), 1 / ($BB$62:$BB$66*BY331 + (1-$BB$62:$BB$66)*BU331), N($AQ$62:$AQ$66&gt;$AO331)),
SUMPRODUCT(INDEX($AR$47:$AT$56,,$AI331), INDEX($AU$47:$BA$56,,$AH331), 1 / ($BC$47:$BC$56*BY331 + (1-$BC$47:$BC$56)*BU331), N($AQ$47:$AQ$56&gt;$AO331))
) / 1000</f>
        <v>0</v>
      </c>
      <c r="CA331" s="235" cm="1">
        <f t="array" ref="CA331">$BI331 * IF($AH331&lt;=2,
SUMPRODUCT(INDEX($AR$23:$AT$61,,$AI331), INDEX($AU$23:$BA$61,,$AH331), 1 / ($BB$23:$BB$61*BY331), N($AQ$23:$AQ$61&gt;$AO331)),
SUMPRODUCT(INDEX($AR$23:$AT$46,,$AI331), INDEX($AU$23:$BA$46,,$AH331), 1 / ($BC$23:$BC$46*BY331), N($AQ$23:$AQ$46&gt;$AO331))
) / 1000</f>
        <v>0</v>
      </c>
      <c r="CB331" s="230">
        <f t="shared" si="473"/>
        <v>0</v>
      </c>
      <c r="CC331" s="238"/>
      <c r="CD331" s="229" cm="1">
        <f t="array" ref="CD331">IF(ISBLANK(Y331), INDEX(Use, $AH331, 4) - AN331*INDEX(Use, $AH331, 6) - (Q331-X331), Y331)</f>
        <v>7</v>
      </c>
      <c r="CE331" s="229">
        <f t="shared" si="474"/>
        <v>32</v>
      </c>
      <c r="CF331" s="230">
        <f t="shared" si="475"/>
        <v>0</v>
      </c>
      <c r="CG331" s="229">
        <v>35</v>
      </c>
      <c r="CH331" s="230">
        <f t="shared" si="476"/>
        <v>48</v>
      </c>
      <c r="CI331" s="235">
        <f t="shared" si="477"/>
        <v>3.0748170731707316</v>
      </c>
      <c r="CJ331" s="235" cm="1">
        <f t="array" ref="CJ331">$BI331 * SUMPRODUCT(INDEX($AR$77:$AT$82,,$AI331),INDEX($AU$77:$BA$82,,$AH331), N($AQ$77:$AQ$82&gt;$AO331)) / CI331 / 1000</f>
        <v>0</v>
      </c>
      <c r="CK331" s="232">
        <f t="shared" si="260"/>
        <v>30</v>
      </c>
      <c r="CL331" s="230">
        <f t="shared" si="478"/>
        <v>43</v>
      </c>
      <c r="CM331" s="235">
        <f t="shared" si="479"/>
        <v>3.5018750000000001</v>
      </c>
      <c r="CN331" s="235" cm="1">
        <f t="array" ref="CN331">$BI331 * IF($AH331&lt;=2,
SUMPRODUCT(INDEX($AR$72:$AT$76,,$AI331), INDEX($AU$72:$BA$76,,$AH331), 1 / ($BB$72:$BB$76*CM331 + (1-$BB$72:$BB$76)*CI331), N($AQ$72:$AQ$76&gt;$AO331)),
SUMPRODUCT(INDEX($AR$67:$AT$76,,$AI331), INDEX($AU$67:$BA$76,,$AH331), 1 / ($BC$67:$BC$76*CM331 + (1-$BC$67:$BC$76)*CI331), N($AQ$67:$AQ$76&gt;$AO331))
) / 1000</f>
        <v>0</v>
      </c>
      <c r="CO331" s="232">
        <f t="shared" si="263"/>
        <v>25</v>
      </c>
      <c r="CP331" s="230">
        <f t="shared" si="480"/>
        <v>38</v>
      </c>
      <c r="CQ331" s="235">
        <f t="shared" si="481"/>
        <v>4.0666935483870965</v>
      </c>
      <c r="CR331" s="235" cm="1">
        <f t="array" ref="CR331">$BI331 * IF($AH331&lt;=2,
SUMPRODUCT(INDEX($AR$67:$AT$71,,$AI331), INDEX($AU$67:$BA$71,,$AH331), 1 / ($BB$67:$BB$71*CQ331 + (1-$BB$67:$BB$71)*CM331), N($AQ$67:$AQ$71&gt;$AO331)),
SUMPRODUCT(INDEX($AR$57:$AT$66,,$AI331), INDEX($AU$57:$BA$66,,$AH331), 1 / ($BC$57:$BC$66*CQ331 + (1-$BC$57:$BC$66)*CM331), N($AQ$57:$AQ$66&gt;$AO331))
) / 1000</f>
        <v>0</v>
      </c>
      <c r="CS331" s="232">
        <f t="shared" si="266"/>
        <v>20</v>
      </c>
      <c r="CT331" s="230">
        <f t="shared" si="482"/>
        <v>33</v>
      </c>
      <c r="CU331" s="235">
        <f t="shared" si="483"/>
        <v>4.8487499999999999</v>
      </c>
      <c r="CV331" s="235" cm="1">
        <f t="array" ref="CV331">$BI331 * IF($AH331&lt;=2,
SUMPRODUCT(INDEX($AR$62:$AT$66,,$AI331), INDEX($AU$62:$BA$66,,$AH331), 1 / ($BB$62:$BB$66*CU331 + (1-$BB$62:$BB$66)*CQ331), N($AQ$62:$AQ$66&gt;$AO331)),
SUMPRODUCT(INDEX($AR$47:$AT$56,,$AI331), INDEX($AU$47:$BA$56,,$AH331), 1 / ($BC$47:$BC$56*CU331 + (1-$BC$47:$BC$56)*CQ331), N($AQ$47:$AQ$56&gt;$AO331))
) / 1000</f>
        <v>0</v>
      </c>
      <c r="CW331" s="235" cm="1">
        <f t="array" ref="CW331">$BI331 * IF($AH331&lt;=2,
SUMPRODUCT(INDEX($AR$23:$AT$61,,$AI331), INDEX($AU$23:$BA$61,,$AH331), 1 / ($BB$23:$BB$61*CU331), N($AQ$23:$AQ$61&gt;$AO331)),
SUMPRODUCT(INDEX($AR$23:$AT$46,,$AI331), INDEX($AU$23:$BA$46,,$AH331), 1 / ($BC$23:$BC$46*CU331), N($AQ$23:$AQ$46&gt;$AO331))
) / 1000</f>
        <v>0</v>
      </c>
      <c r="CX331" s="230">
        <f t="shared" si="484"/>
        <v>0</v>
      </c>
      <c r="CY331" s="238"/>
    </row>
    <row r="332" spans="1:103" s="76" customFormat="1" ht="14.25" customHeight="1" x14ac:dyDescent="0.2">
      <c r="A332" s="231" t="b">
        <f t="shared" si="229"/>
        <v>0</v>
      </c>
      <c r="B332" s="245">
        <v>310</v>
      </c>
      <c r="C332" s="258"/>
      <c r="D332" s="258"/>
      <c r="E332" s="246"/>
      <c r="F332" s="247" t="str">
        <f>IF(ISBLANK(E332), "", VLOOKUP(E332, Z!$A$2:$C$4127, 3, FALSE))</f>
        <v/>
      </c>
      <c r="G332" s="248"/>
      <c r="H332" s="248"/>
      <c r="I332" s="249"/>
      <c r="J332" s="250"/>
      <c r="K332" s="259"/>
      <c r="L332" s="260"/>
      <c r="M332" s="252" t="str" cm="1">
        <f t="array" ref="M332">INDEX(Trad, 53, $A$20)</f>
        <v>Verschmutzt</v>
      </c>
      <c r="N332" s="253"/>
      <c r="O332" s="253"/>
      <c r="P332" s="254"/>
      <c r="Q332" s="251"/>
      <c r="R332" s="251"/>
      <c r="S332" s="264">
        <f t="shared" si="459"/>
        <v>0</v>
      </c>
      <c r="T332" s="252" t="str" cm="1">
        <f t="array" ref="T332">INDEX(Trad, 52, $A$20)</f>
        <v>Sauber</v>
      </c>
      <c r="U332" s="253"/>
      <c r="V332" s="253"/>
      <c r="W332" s="254"/>
      <c r="X332" s="251"/>
      <c r="Y332" s="251"/>
      <c r="Z332" s="264">
        <f t="shared" si="460"/>
        <v>0</v>
      </c>
      <c r="AA332" s="261"/>
      <c r="AB332" s="258"/>
      <c r="AC332" s="246"/>
      <c r="AD332" s="247" t="str">
        <f>IF(ISBLANK(AC332), "", VLOOKUP(AC332, Z!$A$2:$C$4127, 3, FALSE))</f>
        <v/>
      </c>
      <c r="AE332" s="262"/>
      <c r="AF332" s="263">
        <f t="shared" si="461"/>
        <v>0</v>
      </c>
      <c r="AG332" s="238"/>
      <c r="AH332" s="229">
        <f t="shared" si="485"/>
        <v>1</v>
      </c>
      <c r="AI332" s="229">
        <f t="shared" si="486"/>
        <v>1</v>
      </c>
      <c r="AJ332" s="229">
        <f t="shared" si="487"/>
        <v>0</v>
      </c>
      <c r="AK332" s="229">
        <v>0</v>
      </c>
      <c r="AL332" s="229">
        <v>0</v>
      </c>
      <c r="AM332" s="229">
        <v>1</v>
      </c>
      <c r="AN332" s="229">
        <v>0</v>
      </c>
      <c r="AO332" s="229">
        <f t="shared" si="462"/>
        <v>-100</v>
      </c>
      <c r="AP332" s="238"/>
      <c r="AQ332" s="255"/>
      <c r="AR332" s="255"/>
      <c r="AS332" s="256"/>
      <c r="AT332" s="256"/>
      <c r="AU332" s="256"/>
      <c r="AV332" s="256"/>
      <c r="AW332" s="256"/>
      <c r="AX332" s="256"/>
      <c r="AY332" s="256"/>
      <c r="AZ332" s="256"/>
      <c r="BA332" s="256"/>
      <c r="BB332" s="256"/>
      <c r="BC332" s="256"/>
      <c r="BD332" s="238"/>
      <c r="BE332" s="229" cm="1">
        <f t="array" ref="BE332">IF(ISBLANK(R332), INDEX(Use, $AH332, 4) - AM332*INDEX(Use, $AH332, 6), R332)</f>
        <v>5</v>
      </c>
      <c r="BF332" s="229">
        <f t="shared" si="463"/>
        <v>30</v>
      </c>
      <c r="BG332" s="229">
        <f t="shared" si="241"/>
        <v>13</v>
      </c>
      <c r="BH332" s="229">
        <f t="shared" si="242"/>
        <v>0</v>
      </c>
      <c r="BI332" s="234" cm="1">
        <f t="array" ref="BI332">K332/IF($L332&gt;0, INDEX($AU$23:$BA$77, $L332+20, $AH332), 1)</f>
        <v>0</v>
      </c>
      <c r="BJ332" s="230">
        <f t="shared" si="464"/>
        <v>0</v>
      </c>
      <c r="BK332" s="229">
        <v>35</v>
      </c>
      <c r="BL332" s="230">
        <f t="shared" si="465"/>
        <v>48</v>
      </c>
      <c r="BM332" s="235">
        <f t="shared" si="466"/>
        <v>2.9108720930232557</v>
      </c>
      <c r="BN332" s="235" cm="1">
        <f t="array" ref="BN332">$BI332 * SUMPRODUCT(INDEX($AR$77:$AT$82,,$AI332),INDEX($AU$77:$BA$82,,$AH332), N($AQ$77:$AQ$82&gt;$AO332)) / BM332 / 1000</f>
        <v>0</v>
      </c>
      <c r="BO332" s="232">
        <f t="shared" si="246"/>
        <v>30</v>
      </c>
      <c r="BP332" s="230">
        <f t="shared" si="467"/>
        <v>43</v>
      </c>
      <c r="BQ332" s="235">
        <f t="shared" si="468"/>
        <v>3.2938815789473681</v>
      </c>
      <c r="BR332" s="235" cm="1">
        <f t="array" ref="BR332">$BI332 * IF($AH332&lt;=2,
SUMPRODUCT(INDEX($AR$72:$AT$76,,$AI332), INDEX($AU$72:$BA$76,,$AH332), 1 / ($BB$72:$BB$76*BQ332 + (1-$BB$72:$BB$76)*BM332), N($AQ$72:$AQ$76&gt;$AO332)),
SUMPRODUCT(INDEX($AR$67:$AT$76,,$AI332), INDEX($AU$67:$BA$76,,$AH332), 1 / ($BC$67:$BC$76*BQ332 + (1-$BC$67:$BC$76)*BM332), N($AQ$67:$AQ$76&gt;$AO332))
) / 1000</f>
        <v>0</v>
      </c>
      <c r="BS332" s="232">
        <f t="shared" si="249"/>
        <v>25</v>
      </c>
      <c r="BT332" s="230">
        <f t="shared" si="469"/>
        <v>38</v>
      </c>
      <c r="BU332" s="235">
        <f t="shared" si="470"/>
        <v>3.792954545454545</v>
      </c>
      <c r="BV332" s="235" cm="1">
        <f t="array" ref="BV332">$BI332 * IF($AH332&lt;=2,
SUMPRODUCT(INDEX($AR$67:$AT$71,,$AI332), INDEX($AU$67:$BA$71,,$AH332), 1 / ($BB$67:$BB$71*BU332 + (1-$BB$67:$BB$71)*BQ332), N($AQ$67:$AQ$71&gt;$AO332)),
SUMPRODUCT(INDEX($AR$57:$AT$66,,$AI332), INDEX($AU$57:$BA$66,,$AH332), 1 / ($BC$57:$BC$66*BU332 + (1-$BC$57:$BC$66)*BQ332), N($AQ$57:$AQ$66&gt;$AO332))
) / 1000</f>
        <v>0</v>
      </c>
      <c r="BW332" s="232">
        <f t="shared" si="252"/>
        <v>20</v>
      </c>
      <c r="BX332" s="230">
        <f t="shared" si="471"/>
        <v>33</v>
      </c>
      <c r="BY332" s="235">
        <f t="shared" si="472"/>
        <v>4.4702678571428569</v>
      </c>
      <c r="BZ332" s="235" cm="1">
        <f t="array" ref="BZ332">$BI332 * IF($AH332&lt;=2,
SUMPRODUCT(INDEX($AR$62:$AT$66,,$AI332), INDEX($AU$62:$BA$66,,$AH332), 1 / ($BB$62:$BB$66*BY332 + (1-$BB$62:$BB$66)*BU332), N($AQ$62:$AQ$66&gt;$AO332)),
SUMPRODUCT(INDEX($AR$47:$AT$56,,$AI332), INDEX($AU$47:$BA$56,,$AH332), 1 / ($BC$47:$BC$56*BY332 + (1-$BC$47:$BC$56)*BU332), N($AQ$47:$AQ$56&gt;$AO332))
) / 1000</f>
        <v>0</v>
      </c>
      <c r="CA332" s="235" cm="1">
        <f t="array" ref="CA332">$BI332 * IF($AH332&lt;=2,
SUMPRODUCT(INDEX($AR$23:$AT$61,,$AI332), INDEX($AU$23:$BA$61,,$AH332), 1 / ($BB$23:$BB$61*BY332), N($AQ$23:$AQ$61&gt;$AO332)),
SUMPRODUCT(INDEX($AR$23:$AT$46,,$AI332), INDEX($AU$23:$BA$46,,$AH332), 1 / ($BC$23:$BC$46*BY332), N($AQ$23:$AQ$46&gt;$AO332))
) / 1000</f>
        <v>0</v>
      </c>
      <c r="CB332" s="230">
        <f t="shared" si="473"/>
        <v>0</v>
      </c>
      <c r="CC332" s="238"/>
      <c r="CD332" s="229" cm="1">
        <f t="array" ref="CD332">IF(ISBLANK(Y332), INDEX(Use, $AH332, 4) - AN332*INDEX(Use, $AH332, 6) - (Q332-X332), Y332)</f>
        <v>7</v>
      </c>
      <c r="CE332" s="229">
        <f t="shared" si="474"/>
        <v>32</v>
      </c>
      <c r="CF332" s="230">
        <f t="shared" si="475"/>
        <v>0</v>
      </c>
      <c r="CG332" s="229">
        <v>35</v>
      </c>
      <c r="CH332" s="230">
        <f t="shared" si="476"/>
        <v>48</v>
      </c>
      <c r="CI332" s="235">
        <f t="shared" si="477"/>
        <v>3.0748170731707316</v>
      </c>
      <c r="CJ332" s="235" cm="1">
        <f t="array" ref="CJ332">$BI332 * SUMPRODUCT(INDEX($AR$77:$AT$82,,$AI332),INDEX($AU$77:$BA$82,,$AH332), N($AQ$77:$AQ$82&gt;$AO332)) / CI332 / 1000</f>
        <v>0</v>
      </c>
      <c r="CK332" s="232">
        <f t="shared" si="260"/>
        <v>30</v>
      </c>
      <c r="CL332" s="230">
        <f t="shared" si="478"/>
        <v>43</v>
      </c>
      <c r="CM332" s="235">
        <f t="shared" si="479"/>
        <v>3.5018750000000001</v>
      </c>
      <c r="CN332" s="235" cm="1">
        <f t="array" ref="CN332">$BI332 * IF($AH332&lt;=2,
SUMPRODUCT(INDEX($AR$72:$AT$76,,$AI332), INDEX($AU$72:$BA$76,,$AH332), 1 / ($BB$72:$BB$76*CM332 + (1-$BB$72:$BB$76)*CI332), N($AQ$72:$AQ$76&gt;$AO332)),
SUMPRODUCT(INDEX($AR$67:$AT$76,,$AI332), INDEX($AU$67:$BA$76,,$AH332), 1 / ($BC$67:$BC$76*CM332 + (1-$BC$67:$BC$76)*CI332), N($AQ$67:$AQ$76&gt;$AO332))
) / 1000</f>
        <v>0</v>
      </c>
      <c r="CO332" s="232">
        <f t="shared" si="263"/>
        <v>25</v>
      </c>
      <c r="CP332" s="230">
        <f t="shared" si="480"/>
        <v>38</v>
      </c>
      <c r="CQ332" s="235">
        <f t="shared" si="481"/>
        <v>4.0666935483870965</v>
      </c>
      <c r="CR332" s="235" cm="1">
        <f t="array" ref="CR332">$BI332 * IF($AH332&lt;=2,
SUMPRODUCT(INDEX($AR$67:$AT$71,,$AI332), INDEX($AU$67:$BA$71,,$AH332), 1 / ($BB$67:$BB$71*CQ332 + (1-$BB$67:$BB$71)*CM332), N($AQ$67:$AQ$71&gt;$AO332)),
SUMPRODUCT(INDEX($AR$57:$AT$66,,$AI332), INDEX($AU$57:$BA$66,,$AH332), 1 / ($BC$57:$BC$66*CQ332 + (1-$BC$57:$BC$66)*CM332), N($AQ$57:$AQ$66&gt;$AO332))
) / 1000</f>
        <v>0</v>
      </c>
      <c r="CS332" s="232">
        <f t="shared" si="266"/>
        <v>20</v>
      </c>
      <c r="CT332" s="230">
        <f t="shared" si="482"/>
        <v>33</v>
      </c>
      <c r="CU332" s="235">
        <f t="shared" si="483"/>
        <v>4.8487499999999999</v>
      </c>
      <c r="CV332" s="235" cm="1">
        <f t="array" ref="CV332">$BI332 * IF($AH332&lt;=2,
SUMPRODUCT(INDEX($AR$62:$AT$66,,$AI332), INDEX($AU$62:$BA$66,,$AH332), 1 / ($BB$62:$BB$66*CU332 + (1-$BB$62:$BB$66)*CQ332), N($AQ$62:$AQ$66&gt;$AO332)),
SUMPRODUCT(INDEX($AR$47:$AT$56,,$AI332), INDEX($AU$47:$BA$56,,$AH332), 1 / ($BC$47:$BC$56*CU332 + (1-$BC$47:$BC$56)*CQ332), N($AQ$47:$AQ$56&gt;$AO332))
) / 1000</f>
        <v>0</v>
      </c>
      <c r="CW332" s="235" cm="1">
        <f t="array" ref="CW332">$BI332 * IF($AH332&lt;=2,
SUMPRODUCT(INDEX($AR$23:$AT$61,,$AI332), INDEX($AU$23:$BA$61,,$AH332), 1 / ($BB$23:$BB$61*CU332), N($AQ$23:$AQ$61&gt;$AO332)),
SUMPRODUCT(INDEX($AR$23:$AT$46,,$AI332), INDEX($AU$23:$BA$46,,$AH332), 1 / ($BC$23:$BC$46*CU332), N($AQ$23:$AQ$46&gt;$AO332))
) / 1000</f>
        <v>0</v>
      </c>
      <c r="CX332" s="230">
        <f t="shared" si="484"/>
        <v>0</v>
      </c>
      <c r="CY332" s="238"/>
    </row>
    <row r="333" spans="1:103" s="76" customFormat="1" ht="14.25" customHeight="1" x14ac:dyDescent="0.2">
      <c r="A333" s="231" t="b">
        <f t="shared" si="229"/>
        <v>0</v>
      </c>
      <c r="B333" s="245">
        <v>311</v>
      </c>
      <c r="C333" s="258"/>
      <c r="D333" s="258"/>
      <c r="E333" s="246"/>
      <c r="F333" s="247" t="str">
        <f>IF(ISBLANK(E333), "", VLOOKUP(E333, Z!$A$2:$C$4127, 3, FALSE))</f>
        <v/>
      </c>
      <c r="G333" s="248"/>
      <c r="H333" s="248"/>
      <c r="I333" s="249"/>
      <c r="J333" s="250"/>
      <c r="K333" s="259"/>
      <c r="L333" s="260"/>
      <c r="M333" s="252" t="str" cm="1">
        <f t="array" ref="M333">INDEX(Trad, 53, $A$20)</f>
        <v>Verschmutzt</v>
      </c>
      <c r="N333" s="253"/>
      <c r="O333" s="253"/>
      <c r="P333" s="254"/>
      <c r="Q333" s="251"/>
      <c r="R333" s="251"/>
      <c r="S333" s="264">
        <f t="shared" si="459"/>
        <v>0</v>
      </c>
      <c r="T333" s="252" t="str" cm="1">
        <f t="array" ref="T333">INDEX(Trad, 52, $A$20)</f>
        <v>Sauber</v>
      </c>
      <c r="U333" s="253"/>
      <c r="V333" s="253"/>
      <c r="W333" s="254"/>
      <c r="X333" s="251"/>
      <c r="Y333" s="251"/>
      <c r="Z333" s="264">
        <f t="shared" si="460"/>
        <v>0</v>
      </c>
      <c r="AA333" s="261"/>
      <c r="AB333" s="258"/>
      <c r="AC333" s="246"/>
      <c r="AD333" s="247" t="str">
        <f>IF(ISBLANK(AC333), "", VLOOKUP(AC333, Z!$A$2:$C$4127, 3, FALSE))</f>
        <v/>
      </c>
      <c r="AE333" s="262"/>
      <c r="AF333" s="263">
        <f t="shared" si="461"/>
        <v>0</v>
      </c>
      <c r="AG333" s="238"/>
      <c r="AH333" s="229">
        <f t="shared" si="485"/>
        <v>1</v>
      </c>
      <c r="AI333" s="229">
        <f t="shared" si="486"/>
        <v>1</v>
      </c>
      <c r="AJ333" s="229">
        <f t="shared" si="487"/>
        <v>0</v>
      </c>
      <c r="AK333" s="229">
        <v>0</v>
      </c>
      <c r="AL333" s="229">
        <v>0</v>
      </c>
      <c r="AM333" s="229">
        <v>1</v>
      </c>
      <c r="AN333" s="229">
        <v>0</v>
      </c>
      <c r="AO333" s="229">
        <f t="shared" si="462"/>
        <v>-100</v>
      </c>
      <c r="AP333" s="238"/>
      <c r="AQ333" s="255"/>
      <c r="AR333" s="255"/>
      <c r="AS333" s="256"/>
      <c r="AT333" s="256"/>
      <c r="AU333" s="256"/>
      <c r="AV333" s="256"/>
      <c r="AW333" s="256"/>
      <c r="AX333" s="256"/>
      <c r="AY333" s="256"/>
      <c r="AZ333" s="256"/>
      <c r="BA333" s="256"/>
      <c r="BB333" s="256"/>
      <c r="BC333" s="256"/>
      <c r="BD333" s="238"/>
      <c r="BE333" s="229" cm="1">
        <f t="array" ref="BE333">IF(ISBLANK(R333), INDEX(Use, $AH333, 4) - AM333*INDEX(Use, $AH333, 6), R333)</f>
        <v>5</v>
      </c>
      <c r="BF333" s="229">
        <f t="shared" si="463"/>
        <v>30</v>
      </c>
      <c r="BG333" s="229">
        <f t="shared" si="241"/>
        <v>13</v>
      </c>
      <c r="BH333" s="229">
        <f t="shared" si="242"/>
        <v>0</v>
      </c>
      <c r="BI333" s="234" cm="1">
        <f t="array" ref="BI333">K333/IF($L333&gt;0, INDEX($AU$23:$BA$77, $L333+20, $AH333), 1)</f>
        <v>0</v>
      </c>
      <c r="BJ333" s="230">
        <f t="shared" si="464"/>
        <v>0</v>
      </c>
      <c r="BK333" s="229">
        <v>35</v>
      </c>
      <c r="BL333" s="230">
        <f t="shared" si="465"/>
        <v>48</v>
      </c>
      <c r="BM333" s="235">
        <f t="shared" si="466"/>
        <v>2.9108720930232557</v>
      </c>
      <c r="BN333" s="235" cm="1">
        <f t="array" ref="BN333">$BI333 * SUMPRODUCT(INDEX($AR$77:$AT$82,,$AI333),INDEX($AU$77:$BA$82,,$AH333), N($AQ$77:$AQ$82&gt;$AO333)) / BM333 / 1000</f>
        <v>0</v>
      </c>
      <c r="BO333" s="232">
        <f t="shared" si="246"/>
        <v>30</v>
      </c>
      <c r="BP333" s="230">
        <f t="shared" si="467"/>
        <v>43</v>
      </c>
      <c r="BQ333" s="235">
        <f t="shared" si="468"/>
        <v>3.2938815789473681</v>
      </c>
      <c r="BR333" s="235" cm="1">
        <f t="array" ref="BR333">$BI333 * IF($AH333&lt;=2,
SUMPRODUCT(INDEX($AR$72:$AT$76,,$AI333), INDEX($AU$72:$BA$76,,$AH333), 1 / ($BB$72:$BB$76*BQ333 + (1-$BB$72:$BB$76)*BM333), N($AQ$72:$AQ$76&gt;$AO333)),
SUMPRODUCT(INDEX($AR$67:$AT$76,,$AI333), INDEX($AU$67:$BA$76,,$AH333), 1 / ($BC$67:$BC$76*BQ333 + (1-$BC$67:$BC$76)*BM333), N($AQ$67:$AQ$76&gt;$AO333))
) / 1000</f>
        <v>0</v>
      </c>
      <c r="BS333" s="232">
        <f t="shared" si="249"/>
        <v>25</v>
      </c>
      <c r="BT333" s="230">
        <f t="shared" si="469"/>
        <v>38</v>
      </c>
      <c r="BU333" s="235">
        <f t="shared" si="470"/>
        <v>3.792954545454545</v>
      </c>
      <c r="BV333" s="235" cm="1">
        <f t="array" ref="BV333">$BI333 * IF($AH333&lt;=2,
SUMPRODUCT(INDEX($AR$67:$AT$71,,$AI333), INDEX($AU$67:$BA$71,,$AH333), 1 / ($BB$67:$BB$71*BU333 + (1-$BB$67:$BB$71)*BQ333), N($AQ$67:$AQ$71&gt;$AO333)),
SUMPRODUCT(INDEX($AR$57:$AT$66,,$AI333), INDEX($AU$57:$BA$66,,$AH333), 1 / ($BC$57:$BC$66*BU333 + (1-$BC$57:$BC$66)*BQ333), N($AQ$57:$AQ$66&gt;$AO333))
) / 1000</f>
        <v>0</v>
      </c>
      <c r="BW333" s="232">
        <f t="shared" si="252"/>
        <v>20</v>
      </c>
      <c r="BX333" s="230">
        <f t="shared" si="471"/>
        <v>33</v>
      </c>
      <c r="BY333" s="235">
        <f t="shared" si="472"/>
        <v>4.4702678571428569</v>
      </c>
      <c r="BZ333" s="235" cm="1">
        <f t="array" ref="BZ333">$BI333 * IF($AH333&lt;=2,
SUMPRODUCT(INDEX($AR$62:$AT$66,,$AI333), INDEX($AU$62:$BA$66,,$AH333), 1 / ($BB$62:$BB$66*BY333 + (1-$BB$62:$BB$66)*BU333), N($AQ$62:$AQ$66&gt;$AO333)),
SUMPRODUCT(INDEX($AR$47:$AT$56,,$AI333), INDEX($AU$47:$BA$56,,$AH333), 1 / ($BC$47:$BC$56*BY333 + (1-$BC$47:$BC$56)*BU333), N($AQ$47:$AQ$56&gt;$AO333))
) / 1000</f>
        <v>0</v>
      </c>
      <c r="CA333" s="235" cm="1">
        <f t="array" ref="CA333">$BI333 * IF($AH333&lt;=2,
SUMPRODUCT(INDEX($AR$23:$AT$61,,$AI333), INDEX($AU$23:$BA$61,,$AH333), 1 / ($BB$23:$BB$61*BY333), N($AQ$23:$AQ$61&gt;$AO333)),
SUMPRODUCT(INDEX($AR$23:$AT$46,,$AI333), INDEX($AU$23:$BA$46,,$AH333), 1 / ($BC$23:$BC$46*BY333), N($AQ$23:$AQ$46&gt;$AO333))
) / 1000</f>
        <v>0</v>
      </c>
      <c r="CB333" s="230">
        <f t="shared" si="473"/>
        <v>0</v>
      </c>
      <c r="CC333" s="238"/>
      <c r="CD333" s="229" cm="1">
        <f t="array" ref="CD333">IF(ISBLANK(Y333), INDEX(Use, $AH333, 4) - AN333*INDEX(Use, $AH333, 6) - (Q333-X333), Y333)</f>
        <v>7</v>
      </c>
      <c r="CE333" s="229">
        <f t="shared" si="474"/>
        <v>32</v>
      </c>
      <c r="CF333" s="230">
        <f t="shared" si="475"/>
        <v>0</v>
      </c>
      <c r="CG333" s="229">
        <v>35</v>
      </c>
      <c r="CH333" s="230">
        <f t="shared" si="476"/>
        <v>48</v>
      </c>
      <c r="CI333" s="235">
        <f t="shared" si="477"/>
        <v>3.0748170731707316</v>
      </c>
      <c r="CJ333" s="235" cm="1">
        <f t="array" ref="CJ333">$BI333 * SUMPRODUCT(INDEX($AR$77:$AT$82,,$AI333),INDEX($AU$77:$BA$82,,$AH333), N($AQ$77:$AQ$82&gt;$AO333)) / CI333 / 1000</f>
        <v>0</v>
      </c>
      <c r="CK333" s="232">
        <f t="shared" si="260"/>
        <v>30</v>
      </c>
      <c r="CL333" s="230">
        <f t="shared" si="478"/>
        <v>43</v>
      </c>
      <c r="CM333" s="235">
        <f t="shared" si="479"/>
        <v>3.5018750000000001</v>
      </c>
      <c r="CN333" s="235" cm="1">
        <f t="array" ref="CN333">$BI333 * IF($AH333&lt;=2,
SUMPRODUCT(INDEX($AR$72:$AT$76,,$AI333), INDEX($AU$72:$BA$76,,$AH333), 1 / ($BB$72:$BB$76*CM333 + (1-$BB$72:$BB$76)*CI333), N($AQ$72:$AQ$76&gt;$AO333)),
SUMPRODUCT(INDEX($AR$67:$AT$76,,$AI333), INDEX($AU$67:$BA$76,,$AH333), 1 / ($BC$67:$BC$76*CM333 + (1-$BC$67:$BC$76)*CI333), N($AQ$67:$AQ$76&gt;$AO333))
) / 1000</f>
        <v>0</v>
      </c>
      <c r="CO333" s="232">
        <f t="shared" si="263"/>
        <v>25</v>
      </c>
      <c r="CP333" s="230">
        <f t="shared" si="480"/>
        <v>38</v>
      </c>
      <c r="CQ333" s="235">
        <f t="shared" si="481"/>
        <v>4.0666935483870965</v>
      </c>
      <c r="CR333" s="235" cm="1">
        <f t="array" ref="CR333">$BI333 * IF($AH333&lt;=2,
SUMPRODUCT(INDEX($AR$67:$AT$71,,$AI333), INDEX($AU$67:$BA$71,,$AH333), 1 / ($BB$67:$BB$71*CQ333 + (1-$BB$67:$BB$71)*CM333), N($AQ$67:$AQ$71&gt;$AO333)),
SUMPRODUCT(INDEX($AR$57:$AT$66,,$AI333), INDEX($AU$57:$BA$66,,$AH333), 1 / ($BC$57:$BC$66*CQ333 + (1-$BC$57:$BC$66)*CM333), N($AQ$57:$AQ$66&gt;$AO333))
) / 1000</f>
        <v>0</v>
      </c>
      <c r="CS333" s="232">
        <f t="shared" si="266"/>
        <v>20</v>
      </c>
      <c r="CT333" s="230">
        <f t="shared" si="482"/>
        <v>33</v>
      </c>
      <c r="CU333" s="235">
        <f t="shared" si="483"/>
        <v>4.8487499999999999</v>
      </c>
      <c r="CV333" s="235" cm="1">
        <f t="array" ref="CV333">$BI333 * IF($AH333&lt;=2,
SUMPRODUCT(INDEX($AR$62:$AT$66,,$AI333), INDEX($AU$62:$BA$66,,$AH333), 1 / ($BB$62:$BB$66*CU333 + (1-$BB$62:$BB$66)*CQ333), N($AQ$62:$AQ$66&gt;$AO333)),
SUMPRODUCT(INDEX($AR$47:$AT$56,,$AI333), INDEX($AU$47:$BA$56,,$AH333), 1 / ($BC$47:$BC$56*CU333 + (1-$BC$47:$BC$56)*CQ333), N($AQ$47:$AQ$56&gt;$AO333))
) / 1000</f>
        <v>0</v>
      </c>
      <c r="CW333" s="235" cm="1">
        <f t="array" ref="CW333">$BI333 * IF($AH333&lt;=2,
SUMPRODUCT(INDEX($AR$23:$AT$61,,$AI333), INDEX($AU$23:$BA$61,,$AH333), 1 / ($BB$23:$BB$61*CU333), N($AQ$23:$AQ$61&gt;$AO333)),
SUMPRODUCT(INDEX($AR$23:$AT$46,,$AI333), INDEX($AU$23:$BA$46,,$AH333), 1 / ($BC$23:$BC$46*CU333), N($AQ$23:$AQ$46&gt;$AO333))
) / 1000</f>
        <v>0</v>
      </c>
      <c r="CX333" s="230">
        <f t="shared" si="484"/>
        <v>0</v>
      </c>
      <c r="CY333" s="238"/>
    </row>
    <row r="334" spans="1:103" s="76" customFormat="1" ht="14.25" customHeight="1" x14ac:dyDescent="0.2">
      <c r="A334" s="231" t="b">
        <f t="shared" si="229"/>
        <v>0</v>
      </c>
      <c r="B334" s="245">
        <v>312</v>
      </c>
      <c r="C334" s="258"/>
      <c r="D334" s="258"/>
      <c r="E334" s="246"/>
      <c r="F334" s="247" t="str">
        <f>IF(ISBLANK(E334), "", VLOOKUP(E334, Z!$A$2:$C$4127, 3, FALSE))</f>
        <v/>
      </c>
      <c r="G334" s="248"/>
      <c r="H334" s="248"/>
      <c r="I334" s="249"/>
      <c r="J334" s="250"/>
      <c r="K334" s="259"/>
      <c r="L334" s="260"/>
      <c r="M334" s="252" t="str" cm="1">
        <f t="array" ref="M334">INDEX(Trad, 53, $A$20)</f>
        <v>Verschmutzt</v>
      </c>
      <c r="N334" s="253"/>
      <c r="O334" s="253"/>
      <c r="P334" s="254"/>
      <c r="Q334" s="251"/>
      <c r="R334" s="251"/>
      <c r="S334" s="264">
        <f t="shared" si="459"/>
        <v>0</v>
      </c>
      <c r="T334" s="252" t="str" cm="1">
        <f t="array" ref="T334">INDEX(Trad, 52, $A$20)</f>
        <v>Sauber</v>
      </c>
      <c r="U334" s="253"/>
      <c r="V334" s="253"/>
      <c r="W334" s="254"/>
      <c r="X334" s="251"/>
      <c r="Y334" s="251"/>
      <c r="Z334" s="264">
        <f t="shared" si="460"/>
        <v>0</v>
      </c>
      <c r="AA334" s="261"/>
      <c r="AB334" s="258"/>
      <c r="AC334" s="246"/>
      <c r="AD334" s="247" t="str">
        <f>IF(ISBLANK(AC334), "", VLOOKUP(AC334, Z!$A$2:$C$4127, 3, FALSE))</f>
        <v/>
      </c>
      <c r="AE334" s="262"/>
      <c r="AF334" s="263">
        <f t="shared" si="461"/>
        <v>0</v>
      </c>
      <c r="AG334" s="238"/>
      <c r="AH334" s="229">
        <f t="shared" si="485"/>
        <v>1</v>
      </c>
      <c r="AI334" s="229">
        <f t="shared" si="486"/>
        <v>1</v>
      </c>
      <c r="AJ334" s="229">
        <f t="shared" si="487"/>
        <v>0</v>
      </c>
      <c r="AK334" s="229">
        <v>0</v>
      </c>
      <c r="AL334" s="229">
        <v>0</v>
      </c>
      <c r="AM334" s="229">
        <v>1</v>
      </c>
      <c r="AN334" s="229">
        <v>0</v>
      </c>
      <c r="AO334" s="229">
        <f t="shared" si="462"/>
        <v>-100</v>
      </c>
      <c r="AP334" s="238"/>
      <c r="AQ334" s="255"/>
      <c r="AR334" s="255"/>
      <c r="AS334" s="256"/>
      <c r="AT334" s="256"/>
      <c r="AU334" s="256"/>
      <c r="AV334" s="256"/>
      <c r="AW334" s="256"/>
      <c r="AX334" s="256"/>
      <c r="AY334" s="256"/>
      <c r="AZ334" s="256"/>
      <c r="BA334" s="256"/>
      <c r="BB334" s="256"/>
      <c r="BC334" s="256"/>
      <c r="BD334" s="238"/>
      <c r="BE334" s="229" cm="1">
        <f t="array" ref="BE334">IF(ISBLANK(R334), INDEX(Use, $AH334, 4) - AM334*INDEX(Use, $AH334, 6), R334)</f>
        <v>5</v>
      </c>
      <c r="BF334" s="229">
        <f t="shared" si="463"/>
        <v>30</v>
      </c>
      <c r="BG334" s="229">
        <f t="shared" si="241"/>
        <v>13</v>
      </c>
      <c r="BH334" s="229">
        <f t="shared" si="242"/>
        <v>0</v>
      </c>
      <c r="BI334" s="234" cm="1">
        <f t="array" ref="BI334">K334/IF($L334&gt;0, INDEX($AU$23:$BA$77, $L334+20, $AH334), 1)</f>
        <v>0</v>
      </c>
      <c r="BJ334" s="230">
        <f t="shared" si="464"/>
        <v>0</v>
      </c>
      <c r="BK334" s="229">
        <v>35</v>
      </c>
      <c r="BL334" s="230">
        <f t="shared" si="465"/>
        <v>48</v>
      </c>
      <c r="BM334" s="235">
        <f t="shared" si="466"/>
        <v>2.9108720930232557</v>
      </c>
      <c r="BN334" s="235" cm="1">
        <f t="array" ref="BN334">$BI334 * SUMPRODUCT(INDEX($AR$77:$AT$82,,$AI334),INDEX($AU$77:$BA$82,,$AH334), N($AQ$77:$AQ$82&gt;$AO334)) / BM334 / 1000</f>
        <v>0</v>
      </c>
      <c r="BO334" s="232">
        <f t="shared" si="246"/>
        <v>30</v>
      </c>
      <c r="BP334" s="230">
        <f t="shared" si="467"/>
        <v>43</v>
      </c>
      <c r="BQ334" s="235">
        <f t="shared" si="468"/>
        <v>3.2938815789473681</v>
      </c>
      <c r="BR334" s="235" cm="1">
        <f t="array" ref="BR334">$BI334 * IF($AH334&lt;=2,
SUMPRODUCT(INDEX($AR$72:$AT$76,,$AI334), INDEX($AU$72:$BA$76,,$AH334), 1 / ($BB$72:$BB$76*BQ334 + (1-$BB$72:$BB$76)*BM334), N($AQ$72:$AQ$76&gt;$AO334)),
SUMPRODUCT(INDEX($AR$67:$AT$76,,$AI334), INDEX($AU$67:$BA$76,,$AH334), 1 / ($BC$67:$BC$76*BQ334 + (1-$BC$67:$BC$76)*BM334), N($AQ$67:$AQ$76&gt;$AO334))
) / 1000</f>
        <v>0</v>
      </c>
      <c r="BS334" s="232">
        <f t="shared" si="249"/>
        <v>25</v>
      </c>
      <c r="BT334" s="230">
        <f t="shared" si="469"/>
        <v>38</v>
      </c>
      <c r="BU334" s="235">
        <f t="shared" si="470"/>
        <v>3.792954545454545</v>
      </c>
      <c r="BV334" s="235" cm="1">
        <f t="array" ref="BV334">$BI334 * IF($AH334&lt;=2,
SUMPRODUCT(INDEX($AR$67:$AT$71,,$AI334), INDEX($AU$67:$BA$71,,$AH334), 1 / ($BB$67:$BB$71*BU334 + (1-$BB$67:$BB$71)*BQ334), N($AQ$67:$AQ$71&gt;$AO334)),
SUMPRODUCT(INDEX($AR$57:$AT$66,,$AI334), INDEX($AU$57:$BA$66,,$AH334), 1 / ($BC$57:$BC$66*BU334 + (1-$BC$57:$BC$66)*BQ334), N($AQ$57:$AQ$66&gt;$AO334))
) / 1000</f>
        <v>0</v>
      </c>
      <c r="BW334" s="232">
        <f t="shared" si="252"/>
        <v>20</v>
      </c>
      <c r="BX334" s="230">
        <f t="shared" si="471"/>
        <v>33</v>
      </c>
      <c r="BY334" s="235">
        <f t="shared" si="472"/>
        <v>4.4702678571428569</v>
      </c>
      <c r="BZ334" s="235" cm="1">
        <f t="array" ref="BZ334">$BI334 * IF($AH334&lt;=2,
SUMPRODUCT(INDEX($AR$62:$AT$66,,$AI334), INDEX($AU$62:$BA$66,,$AH334), 1 / ($BB$62:$BB$66*BY334 + (1-$BB$62:$BB$66)*BU334), N($AQ$62:$AQ$66&gt;$AO334)),
SUMPRODUCT(INDEX($AR$47:$AT$56,,$AI334), INDEX($AU$47:$BA$56,,$AH334), 1 / ($BC$47:$BC$56*BY334 + (1-$BC$47:$BC$56)*BU334), N($AQ$47:$AQ$56&gt;$AO334))
) / 1000</f>
        <v>0</v>
      </c>
      <c r="CA334" s="235" cm="1">
        <f t="array" ref="CA334">$BI334 * IF($AH334&lt;=2,
SUMPRODUCT(INDEX($AR$23:$AT$61,,$AI334), INDEX($AU$23:$BA$61,,$AH334), 1 / ($BB$23:$BB$61*BY334), N($AQ$23:$AQ$61&gt;$AO334)),
SUMPRODUCT(INDEX($AR$23:$AT$46,,$AI334), INDEX($AU$23:$BA$46,,$AH334), 1 / ($BC$23:$BC$46*BY334), N($AQ$23:$AQ$46&gt;$AO334))
) / 1000</f>
        <v>0</v>
      </c>
      <c r="CB334" s="230">
        <f t="shared" si="473"/>
        <v>0</v>
      </c>
      <c r="CC334" s="238"/>
      <c r="CD334" s="229" cm="1">
        <f t="array" ref="CD334">IF(ISBLANK(Y334), INDEX(Use, $AH334, 4) - AN334*INDEX(Use, $AH334, 6) - (Q334-X334), Y334)</f>
        <v>7</v>
      </c>
      <c r="CE334" s="229">
        <f t="shared" si="474"/>
        <v>32</v>
      </c>
      <c r="CF334" s="230">
        <f t="shared" si="475"/>
        <v>0</v>
      </c>
      <c r="CG334" s="229">
        <v>35</v>
      </c>
      <c r="CH334" s="230">
        <f t="shared" si="476"/>
        <v>48</v>
      </c>
      <c r="CI334" s="235">
        <f t="shared" si="477"/>
        <v>3.0748170731707316</v>
      </c>
      <c r="CJ334" s="235" cm="1">
        <f t="array" ref="CJ334">$BI334 * SUMPRODUCT(INDEX($AR$77:$AT$82,,$AI334),INDEX($AU$77:$BA$82,,$AH334), N($AQ$77:$AQ$82&gt;$AO334)) / CI334 / 1000</f>
        <v>0</v>
      </c>
      <c r="CK334" s="232">
        <f t="shared" si="260"/>
        <v>30</v>
      </c>
      <c r="CL334" s="230">
        <f t="shared" si="478"/>
        <v>43</v>
      </c>
      <c r="CM334" s="235">
        <f t="shared" si="479"/>
        <v>3.5018750000000001</v>
      </c>
      <c r="CN334" s="235" cm="1">
        <f t="array" ref="CN334">$BI334 * IF($AH334&lt;=2,
SUMPRODUCT(INDEX($AR$72:$AT$76,,$AI334), INDEX($AU$72:$BA$76,,$AH334), 1 / ($BB$72:$BB$76*CM334 + (1-$BB$72:$BB$76)*CI334), N($AQ$72:$AQ$76&gt;$AO334)),
SUMPRODUCT(INDEX($AR$67:$AT$76,,$AI334), INDEX($AU$67:$BA$76,,$AH334), 1 / ($BC$67:$BC$76*CM334 + (1-$BC$67:$BC$76)*CI334), N($AQ$67:$AQ$76&gt;$AO334))
) / 1000</f>
        <v>0</v>
      </c>
      <c r="CO334" s="232">
        <f t="shared" si="263"/>
        <v>25</v>
      </c>
      <c r="CP334" s="230">
        <f t="shared" si="480"/>
        <v>38</v>
      </c>
      <c r="CQ334" s="235">
        <f t="shared" si="481"/>
        <v>4.0666935483870965</v>
      </c>
      <c r="CR334" s="235" cm="1">
        <f t="array" ref="CR334">$BI334 * IF($AH334&lt;=2,
SUMPRODUCT(INDEX($AR$67:$AT$71,,$AI334), INDEX($AU$67:$BA$71,,$AH334), 1 / ($BB$67:$BB$71*CQ334 + (1-$BB$67:$BB$71)*CM334), N($AQ$67:$AQ$71&gt;$AO334)),
SUMPRODUCT(INDEX($AR$57:$AT$66,,$AI334), INDEX($AU$57:$BA$66,,$AH334), 1 / ($BC$57:$BC$66*CQ334 + (1-$BC$57:$BC$66)*CM334), N($AQ$57:$AQ$66&gt;$AO334))
) / 1000</f>
        <v>0</v>
      </c>
      <c r="CS334" s="232">
        <f t="shared" si="266"/>
        <v>20</v>
      </c>
      <c r="CT334" s="230">
        <f t="shared" si="482"/>
        <v>33</v>
      </c>
      <c r="CU334" s="235">
        <f t="shared" si="483"/>
        <v>4.8487499999999999</v>
      </c>
      <c r="CV334" s="235" cm="1">
        <f t="array" ref="CV334">$BI334 * IF($AH334&lt;=2,
SUMPRODUCT(INDEX($AR$62:$AT$66,,$AI334), INDEX($AU$62:$BA$66,,$AH334), 1 / ($BB$62:$BB$66*CU334 + (1-$BB$62:$BB$66)*CQ334), N($AQ$62:$AQ$66&gt;$AO334)),
SUMPRODUCT(INDEX($AR$47:$AT$56,,$AI334), INDEX($AU$47:$BA$56,,$AH334), 1 / ($BC$47:$BC$56*CU334 + (1-$BC$47:$BC$56)*CQ334), N($AQ$47:$AQ$56&gt;$AO334))
) / 1000</f>
        <v>0</v>
      </c>
      <c r="CW334" s="235" cm="1">
        <f t="array" ref="CW334">$BI334 * IF($AH334&lt;=2,
SUMPRODUCT(INDEX($AR$23:$AT$61,,$AI334), INDEX($AU$23:$BA$61,,$AH334), 1 / ($BB$23:$BB$61*CU334), N($AQ$23:$AQ$61&gt;$AO334)),
SUMPRODUCT(INDEX($AR$23:$AT$46,,$AI334), INDEX($AU$23:$BA$46,,$AH334), 1 / ($BC$23:$BC$46*CU334), N($AQ$23:$AQ$46&gt;$AO334))
) / 1000</f>
        <v>0</v>
      </c>
      <c r="CX334" s="230">
        <f t="shared" si="484"/>
        <v>0</v>
      </c>
      <c r="CY334" s="238"/>
    </row>
    <row r="335" spans="1:103" s="76" customFormat="1" ht="14.25" customHeight="1" x14ac:dyDescent="0.2">
      <c r="A335" s="231" t="b">
        <f t="shared" si="229"/>
        <v>0</v>
      </c>
      <c r="B335" s="245">
        <v>313</v>
      </c>
      <c r="C335" s="258"/>
      <c r="D335" s="258"/>
      <c r="E335" s="246"/>
      <c r="F335" s="247" t="str">
        <f>IF(ISBLANK(E335), "", VLOOKUP(E335, Z!$A$2:$C$4127, 3, FALSE))</f>
        <v/>
      </c>
      <c r="G335" s="248"/>
      <c r="H335" s="248"/>
      <c r="I335" s="249"/>
      <c r="J335" s="250"/>
      <c r="K335" s="259"/>
      <c r="L335" s="260"/>
      <c r="M335" s="252" t="str" cm="1">
        <f t="array" ref="M335">INDEX(Trad, 53, $A$20)</f>
        <v>Verschmutzt</v>
      </c>
      <c r="N335" s="253"/>
      <c r="O335" s="253"/>
      <c r="P335" s="254"/>
      <c r="Q335" s="251"/>
      <c r="R335" s="251"/>
      <c r="S335" s="264">
        <f t="shared" si="459"/>
        <v>0</v>
      </c>
      <c r="T335" s="252" t="str" cm="1">
        <f t="array" ref="T335">INDEX(Trad, 52, $A$20)</f>
        <v>Sauber</v>
      </c>
      <c r="U335" s="253"/>
      <c r="V335" s="253"/>
      <c r="W335" s="254"/>
      <c r="X335" s="251"/>
      <c r="Y335" s="251"/>
      <c r="Z335" s="264">
        <f t="shared" si="460"/>
        <v>0</v>
      </c>
      <c r="AA335" s="261"/>
      <c r="AB335" s="258"/>
      <c r="AC335" s="246"/>
      <c r="AD335" s="247" t="str">
        <f>IF(ISBLANK(AC335), "", VLOOKUP(AC335, Z!$A$2:$C$4127, 3, FALSE))</f>
        <v/>
      </c>
      <c r="AE335" s="262"/>
      <c r="AF335" s="263">
        <f t="shared" si="461"/>
        <v>0</v>
      </c>
      <c r="AG335" s="238"/>
      <c r="AH335" s="229">
        <f t="shared" si="485"/>
        <v>1</v>
      </c>
      <c r="AI335" s="229">
        <f t="shared" si="486"/>
        <v>1</v>
      </c>
      <c r="AJ335" s="229">
        <f t="shared" si="487"/>
        <v>0</v>
      </c>
      <c r="AK335" s="229">
        <v>0</v>
      </c>
      <c r="AL335" s="229">
        <v>0</v>
      </c>
      <c r="AM335" s="229">
        <v>1</v>
      </c>
      <c r="AN335" s="229">
        <v>0</v>
      </c>
      <c r="AO335" s="229">
        <f t="shared" si="462"/>
        <v>-100</v>
      </c>
      <c r="AP335" s="238"/>
      <c r="AQ335" s="255"/>
      <c r="AR335" s="255"/>
      <c r="AS335" s="256"/>
      <c r="AT335" s="256"/>
      <c r="AU335" s="256"/>
      <c r="AV335" s="256"/>
      <c r="AW335" s="256"/>
      <c r="AX335" s="256"/>
      <c r="AY335" s="256"/>
      <c r="AZ335" s="256"/>
      <c r="BA335" s="256"/>
      <c r="BB335" s="256"/>
      <c r="BC335" s="256"/>
      <c r="BD335" s="238"/>
      <c r="BE335" s="229" cm="1">
        <f t="array" ref="BE335">IF(ISBLANK(R335), INDEX(Use, $AH335, 4) - AM335*INDEX(Use, $AH335, 6), R335)</f>
        <v>5</v>
      </c>
      <c r="BF335" s="229">
        <f t="shared" si="463"/>
        <v>30</v>
      </c>
      <c r="BG335" s="229">
        <f t="shared" si="241"/>
        <v>13</v>
      </c>
      <c r="BH335" s="229">
        <f t="shared" si="242"/>
        <v>0</v>
      </c>
      <c r="BI335" s="234" cm="1">
        <f t="array" ref="BI335">K335/IF($L335&gt;0, INDEX($AU$23:$BA$77, $L335+20, $AH335), 1)</f>
        <v>0</v>
      </c>
      <c r="BJ335" s="230">
        <f t="shared" si="464"/>
        <v>0</v>
      </c>
      <c r="BK335" s="229">
        <v>35</v>
      </c>
      <c r="BL335" s="230">
        <f t="shared" si="465"/>
        <v>48</v>
      </c>
      <c r="BM335" s="235">
        <f t="shared" si="466"/>
        <v>2.9108720930232557</v>
      </c>
      <c r="BN335" s="235" cm="1">
        <f t="array" ref="BN335">$BI335 * SUMPRODUCT(INDEX($AR$77:$AT$82,,$AI335),INDEX($AU$77:$BA$82,,$AH335), N($AQ$77:$AQ$82&gt;$AO335)) / BM335 / 1000</f>
        <v>0</v>
      </c>
      <c r="BO335" s="232">
        <f t="shared" si="246"/>
        <v>30</v>
      </c>
      <c r="BP335" s="230">
        <f t="shared" si="467"/>
        <v>43</v>
      </c>
      <c r="BQ335" s="235">
        <f t="shared" si="468"/>
        <v>3.2938815789473681</v>
      </c>
      <c r="BR335" s="235" cm="1">
        <f t="array" ref="BR335">$BI335 * IF($AH335&lt;=2,
SUMPRODUCT(INDEX($AR$72:$AT$76,,$AI335), INDEX($AU$72:$BA$76,,$AH335), 1 / ($BB$72:$BB$76*BQ335 + (1-$BB$72:$BB$76)*BM335), N($AQ$72:$AQ$76&gt;$AO335)),
SUMPRODUCT(INDEX($AR$67:$AT$76,,$AI335), INDEX($AU$67:$BA$76,,$AH335), 1 / ($BC$67:$BC$76*BQ335 + (1-$BC$67:$BC$76)*BM335), N($AQ$67:$AQ$76&gt;$AO335))
) / 1000</f>
        <v>0</v>
      </c>
      <c r="BS335" s="232">
        <f t="shared" si="249"/>
        <v>25</v>
      </c>
      <c r="BT335" s="230">
        <f t="shared" si="469"/>
        <v>38</v>
      </c>
      <c r="BU335" s="235">
        <f t="shared" si="470"/>
        <v>3.792954545454545</v>
      </c>
      <c r="BV335" s="235" cm="1">
        <f t="array" ref="BV335">$BI335 * IF($AH335&lt;=2,
SUMPRODUCT(INDEX($AR$67:$AT$71,,$AI335), INDEX($AU$67:$BA$71,,$AH335), 1 / ($BB$67:$BB$71*BU335 + (1-$BB$67:$BB$71)*BQ335), N($AQ$67:$AQ$71&gt;$AO335)),
SUMPRODUCT(INDEX($AR$57:$AT$66,,$AI335), INDEX($AU$57:$BA$66,,$AH335), 1 / ($BC$57:$BC$66*BU335 + (1-$BC$57:$BC$66)*BQ335), N($AQ$57:$AQ$66&gt;$AO335))
) / 1000</f>
        <v>0</v>
      </c>
      <c r="BW335" s="232">
        <f t="shared" si="252"/>
        <v>20</v>
      </c>
      <c r="BX335" s="230">
        <f t="shared" si="471"/>
        <v>33</v>
      </c>
      <c r="BY335" s="235">
        <f t="shared" si="472"/>
        <v>4.4702678571428569</v>
      </c>
      <c r="BZ335" s="235" cm="1">
        <f t="array" ref="BZ335">$BI335 * IF($AH335&lt;=2,
SUMPRODUCT(INDEX($AR$62:$AT$66,,$AI335), INDEX($AU$62:$BA$66,,$AH335), 1 / ($BB$62:$BB$66*BY335 + (1-$BB$62:$BB$66)*BU335), N($AQ$62:$AQ$66&gt;$AO335)),
SUMPRODUCT(INDEX($AR$47:$AT$56,,$AI335), INDEX($AU$47:$BA$56,,$AH335), 1 / ($BC$47:$BC$56*BY335 + (1-$BC$47:$BC$56)*BU335), N($AQ$47:$AQ$56&gt;$AO335))
) / 1000</f>
        <v>0</v>
      </c>
      <c r="CA335" s="235" cm="1">
        <f t="array" ref="CA335">$BI335 * IF($AH335&lt;=2,
SUMPRODUCT(INDEX($AR$23:$AT$61,,$AI335), INDEX($AU$23:$BA$61,,$AH335), 1 / ($BB$23:$BB$61*BY335), N($AQ$23:$AQ$61&gt;$AO335)),
SUMPRODUCT(INDEX($AR$23:$AT$46,,$AI335), INDEX($AU$23:$BA$46,,$AH335), 1 / ($BC$23:$BC$46*BY335), N($AQ$23:$AQ$46&gt;$AO335))
) / 1000</f>
        <v>0</v>
      </c>
      <c r="CB335" s="230">
        <f t="shared" si="473"/>
        <v>0</v>
      </c>
      <c r="CC335" s="238"/>
      <c r="CD335" s="229" cm="1">
        <f t="array" ref="CD335">IF(ISBLANK(Y335), INDEX(Use, $AH335, 4) - AN335*INDEX(Use, $AH335, 6) - (Q335-X335), Y335)</f>
        <v>7</v>
      </c>
      <c r="CE335" s="229">
        <f t="shared" si="474"/>
        <v>32</v>
      </c>
      <c r="CF335" s="230">
        <f t="shared" si="475"/>
        <v>0</v>
      </c>
      <c r="CG335" s="229">
        <v>35</v>
      </c>
      <c r="CH335" s="230">
        <f t="shared" si="476"/>
        <v>48</v>
      </c>
      <c r="CI335" s="235">
        <f t="shared" si="477"/>
        <v>3.0748170731707316</v>
      </c>
      <c r="CJ335" s="235" cm="1">
        <f t="array" ref="CJ335">$BI335 * SUMPRODUCT(INDEX($AR$77:$AT$82,,$AI335),INDEX($AU$77:$BA$82,,$AH335), N($AQ$77:$AQ$82&gt;$AO335)) / CI335 / 1000</f>
        <v>0</v>
      </c>
      <c r="CK335" s="232">
        <f t="shared" si="260"/>
        <v>30</v>
      </c>
      <c r="CL335" s="230">
        <f t="shared" si="478"/>
        <v>43</v>
      </c>
      <c r="CM335" s="235">
        <f t="shared" si="479"/>
        <v>3.5018750000000001</v>
      </c>
      <c r="CN335" s="235" cm="1">
        <f t="array" ref="CN335">$BI335 * IF($AH335&lt;=2,
SUMPRODUCT(INDEX($AR$72:$AT$76,,$AI335), INDEX($AU$72:$BA$76,,$AH335), 1 / ($BB$72:$BB$76*CM335 + (1-$BB$72:$BB$76)*CI335), N($AQ$72:$AQ$76&gt;$AO335)),
SUMPRODUCT(INDEX($AR$67:$AT$76,,$AI335), INDEX($AU$67:$BA$76,,$AH335), 1 / ($BC$67:$BC$76*CM335 + (1-$BC$67:$BC$76)*CI335), N($AQ$67:$AQ$76&gt;$AO335))
) / 1000</f>
        <v>0</v>
      </c>
      <c r="CO335" s="232">
        <f t="shared" si="263"/>
        <v>25</v>
      </c>
      <c r="CP335" s="230">
        <f t="shared" si="480"/>
        <v>38</v>
      </c>
      <c r="CQ335" s="235">
        <f t="shared" si="481"/>
        <v>4.0666935483870965</v>
      </c>
      <c r="CR335" s="235" cm="1">
        <f t="array" ref="CR335">$BI335 * IF($AH335&lt;=2,
SUMPRODUCT(INDEX($AR$67:$AT$71,,$AI335), INDEX($AU$67:$BA$71,,$AH335), 1 / ($BB$67:$BB$71*CQ335 + (1-$BB$67:$BB$71)*CM335), N($AQ$67:$AQ$71&gt;$AO335)),
SUMPRODUCT(INDEX($AR$57:$AT$66,,$AI335), INDEX($AU$57:$BA$66,,$AH335), 1 / ($BC$57:$BC$66*CQ335 + (1-$BC$57:$BC$66)*CM335), N($AQ$57:$AQ$66&gt;$AO335))
) / 1000</f>
        <v>0</v>
      </c>
      <c r="CS335" s="232">
        <f t="shared" si="266"/>
        <v>20</v>
      </c>
      <c r="CT335" s="230">
        <f t="shared" si="482"/>
        <v>33</v>
      </c>
      <c r="CU335" s="235">
        <f t="shared" si="483"/>
        <v>4.8487499999999999</v>
      </c>
      <c r="CV335" s="235" cm="1">
        <f t="array" ref="CV335">$BI335 * IF($AH335&lt;=2,
SUMPRODUCT(INDEX($AR$62:$AT$66,,$AI335), INDEX($AU$62:$BA$66,,$AH335), 1 / ($BB$62:$BB$66*CU335 + (1-$BB$62:$BB$66)*CQ335), N($AQ$62:$AQ$66&gt;$AO335)),
SUMPRODUCT(INDEX($AR$47:$AT$56,,$AI335), INDEX($AU$47:$BA$56,,$AH335), 1 / ($BC$47:$BC$56*CU335 + (1-$BC$47:$BC$56)*CQ335), N($AQ$47:$AQ$56&gt;$AO335))
) / 1000</f>
        <v>0</v>
      </c>
      <c r="CW335" s="235" cm="1">
        <f t="array" ref="CW335">$BI335 * IF($AH335&lt;=2,
SUMPRODUCT(INDEX($AR$23:$AT$61,,$AI335), INDEX($AU$23:$BA$61,,$AH335), 1 / ($BB$23:$BB$61*CU335), N($AQ$23:$AQ$61&gt;$AO335)),
SUMPRODUCT(INDEX($AR$23:$AT$46,,$AI335), INDEX($AU$23:$BA$46,,$AH335), 1 / ($BC$23:$BC$46*CU335), N($AQ$23:$AQ$46&gt;$AO335))
) / 1000</f>
        <v>0</v>
      </c>
      <c r="CX335" s="230">
        <f t="shared" si="484"/>
        <v>0</v>
      </c>
      <c r="CY335" s="238"/>
    </row>
    <row r="336" spans="1:103" s="76" customFormat="1" ht="14.25" customHeight="1" x14ac:dyDescent="0.2">
      <c r="A336" s="231" t="b">
        <f t="shared" si="229"/>
        <v>0</v>
      </c>
      <c r="B336" s="245">
        <v>314</v>
      </c>
      <c r="C336" s="258"/>
      <c r="D336" s="258"/>
      <c r="E336" s="246"/>
      <c r="F336" s="247" t="str">
        <f>IF(ISBLANK(E336), "", VLOOKUP(E336, Z!$A$2:$C$4127, 3, FALSE))</f>
        <v/>
      </c>
      <c r="G336" s="248"/>
      <c r="H336" s="248"/>
      <c r="I336" s="249"/>
      <c r="J336" s="250"/>
      <c r="K336" s="259"/>
      <c r="L336" s="260"/>
      <c r="M336" s="252" t="str" cm="1">
        <f t="array" ref="M336">INDEX(Trad, 53, $A$20)</f>
        <v>Verschmutzt</v>
      </c>
      <c r="N336" s="253"/>
      <c r="O336" s="253"/>
      <c r="P336" s="254"/>
      <c r="Q336" s="251"/>
      <c r="R336" s="251"/>
      <c r="S336" s="264">
        <f t="shared" si="459"/>
        <v>0</v>
      </c>
      <c r="T336" s="252" t="str" cm="1">
        <f t="array" ref="T336">INDEX(Trad, 52, $A$20)</f>
        <v>Sauber</v>
      </c>
      <c r="U336" s="253"/>
      <c r="V336" s="253"/>
      <c r="W336" s="254"/>
      <c r="X336" s="251"/>
      <c r="Y336" s="251"/>
      <c r="Z336" s="264">
        <f t="shared" si="460"/>
        <v>0</v>
      </c>
      <c r="AA336" s="261"/>
      <c r="AB336" s="258"/>
      <c r="AC336" s="246"/>
      <c r="AD336" s="247" t="str">
        <f>IF(ISBLANK(AC336), "", VLOOKUP(AC336, Z!$A$2:$C$4127, 3, FALSE))</f>
        <v/>
      </c>
      <c r="AE336" s="262"/>
      <c r="AF336" s="263">
        <f t="shared" si="461"/>
        <v>0</v>
      </c>
      <c r="AG336" s="238"/>
      <c r="AH336" s="229">
        <f t="shared" si="485"/>
        <v>1</v>
      </c>
      <c r="AI336" s="229">
        <f t="shared" si="486"/>
        <v>1</v>
      </c>
      <c r="AJ336" s="229">
        <f t="shared" si="487"/>
        <v>0</v>
      </c>
      <c r="AK336" s="229">
        <v>0</v>
      </c>
      <c r="AL336" s="229">
        <v>0</v>
      </c>
      <c r="AM336" s="229">
        <v>1</v>
      </c>
      <c r="AN336" s="229">
        <v>0</v>
      </c>
      <c r="AO336" s="229">
        <f t="shared" si="462"/>
        <v>-100</v>
      </c>
      <c r="AP336" s="238"/>
      <c r="AQ336" s="255"/>
      <c r="AR336" s="255"/>
      <c r="AS336" s="256"/>
      <c r="AT336" s="256"/>
      <c r="AU336" s="256"/>
      <c r="AV336" s="256"/>
      <c r="AW336" s="256"/>
      <c r="AX336" s="256"/>
      <c r="AY336" s="256"/>
      <c r="AZ336" s="256"/>
      <c r="BA336" s="256"/>
      <c r="BB336" s="256"/>
      <c r="BC336" s="256"/>
      <c r="BD336" s="238"/>
      <c r="BE336" s="229" cm="1">
        <f t="array" ref="BE336">IF(ISBLANK(R336), INDEX(Use, $AH336, 4) - AM336*INDEX(Use, $AH336, 6), R336)</f>
        <v>5</v>
      </c>
      <c r="BF336" s="229">
        <f t="shared" si="463"/>
        <v>30</v>
      </c>
      <c r="BG336" s="229">
        <f t="shared" si="241"/>
        <v>13</v>
      </c>
      <c r="BH336" s="229">
        <f t="shared" si="242"/>
        <v>0</v>
      </c>
      <c r="BI336" s="234" cm="1">
        <f t="array" ref="BI336">K336/IF($L336&gt;0, INDEX($AU$23:$BA$77, $L336+20, $AH336), 1)</f>
        <v>0</v>
      </c>
      <c r="BJ336" s="230">
        <f t="shared" si="464"/>
        <v>0</v>
      </c>
      <c r="BK336" s="229">
        <v>35</v>
      </c>
      <c r="BL336" s="230">
        <f t="shared" si="465"/>
        <v>48</v>
      </c>
      <c r="BM336" s="235">
        <f t="shared" si="466"/>
        <v>2.9108720930232557</v>
      </c>
      <c r="BN336" s="235" cm="1">
        <f t="array" ref="BN336">$BI336 * SUMPRODUCT(INDEX($AR$77:$AT$82,,$AI336),INDEX($AU$77:$BA$82,,$AH336), N($AQ$77:$AQ$82&gt;$AO336)) / BM336 / 1000</f>
        <v>0</v>
      </c>
      <c r="BO336" s="232">
        <f t="shared" si="246"/>
        <v>30</v>
      </c>
      <c r="BP336" s="230">
        <f t="shared" si="467"/>
        <v>43</v>
      </c>
      <c r="BQ336" s="235">
        <f t="shared" si="468"/>
        <v>3.2938815789473681</v>
      </c>
      <c r="BR336" s="235" cm="1">
        <f t="array" ref="BR336">$BI336 * IF($AH336&lt;=2,
SUMPRODUCT(INDEX($AR$72:$AT$76,,$AI336), INDEX($AU$72:$BA$76,,$AH336), 1 / ($BB$72:$BB$76*BQ336 + (1-$BB$72:$BB$76)*BM336), N($AQ$72:$AQ$76&gt;$AO336)),
SUMPRODUCT(INDEX($AR$67:$AT$76,,$AI336), INDEX($AU$67:$BA$76,,$AH336), 1 / ($BC$67:$BC$76*BQ336 + (1-$BC$67:$BC$76)*BM336), N($AQ$67:$AQ$76&gt;$AO336))
) / 1000</f>
        <v>0</v>
      </c>
      <c r="BS336" s="232">
        <f t="shared" si="249"/>
        <v>25</v>
      </c>
      <c r="BT336" s="230">
        <f t="shared" si="469"/>
        <v>38</v>
      </c>
      <c r="BU336" s="235">
        <f t="shared" si="470"/>
        <v>3.792954545454545</v>
      </c>
      <c r="BV336" s="235" cm="1">
        <f t="array" ref="BV336">$BI336 * IF($AH336&lt;=2,
SUMPRODUCT(INDEX($AR$67:$AT$71,,$AI336), INDEX($AU$67:$BA$71,,$AH336), 1 / ($BB$67:$BB$71*BU336 + (1-$BB$67:$BB$71)*BQ336), N($AQ$67:$AQ$71&gt;$AO336)),
SUMPRODUCT(INDEX($AR$57:$AT$66,,$AI336), INDEX($AU$57:$BA$66,,$AH336), 1 / ($BC$57:$BC$66*BU336 + (1-$BC$57:$BC$66)*BQ336), N($AQ$57:$AQ$66&gt;$AO336))
) / 1000</f>
        <v>0</v>
      </c>
      <c r="BW336" s="232">
        <f t="shared" si="252"/>
        <v>20</v>
      </c>
      <c r="BX336" s="230">
        <f t="shared" si="471"/>
        <v>33</v>
      </c>
      <c r="BY336" s="235">
        <f t="shared" si="472"/>
        <v>4.4702678571428569</v>
      </c>
      <c r="BZ336" s="235" cm="1">
        <f t="array" ref="BZ336">$BI336 * IF($AH336&lt;=2,
SUMPRODUCT(INDEX($AR$62:$AT$66,,$AI336), INDEX($AU$62:$BA$66,,$AH336), 1 / ($BB$62:$BB$66*BY336 + (1-$BB$62:$BB$66)*BU336), N($AQ$62:$AQ$66&gt;$AO336)),
SUMPRODUCT(INDEX($AR$47:$AT$56,,$AI336), INDEX($AU$47:$BA$56,,$AH336), 1 / ($BC$47:$BC$56*BY336 + (1-$BC$47:$BC$56)*BU336), N($AQ$47:$AQ$56&gt;$AO336))
) / 1000</f>
        <v>0</v>
      </c>
      <c r="CA336" s="235" cm="1">
        <f t="array" ref="CA336">$BI336 * IF($AH336&lt;=2,
SUMPRODUCT(INDEX($AR$23:$AT$61,,$AI336), INDEX($AU$23:$BA$61,,$AH336), 1 / ($BB$23:$BB$61*BY336), N($AQ$23:$AQ$61&gt;$AO336)),
SUMPRODUCT(INDEX($AR$23:$AT$46,,$AI336), INDEX($AU$23:$BA$46,,$AH336), 1 / ($BC$23:$BC$46*BY336), N($AQ$23:$AQ$46&gt;$AO336))
) / 1000</f>
        <v>0</v>
      </c>
      <c r="CB336" s="230">
        <f t="shared" si="473"/>
        <v>0</v>
      </c>
      <c r="CC336" s="238"/>
      <c r="CD336" s="229" cm="1">
        <f t="array" ref="CD336">IF(ISBLANK(Y336), INDEX(Use, $AH336, 4) - AN336*INDEX(Use, $AH336, 6) - (Q336-X336), Y336)</f>
        <v>7</v>
      </c>
      <c r="CE336" s="229">
        <f t="shared" si="474"/>
        <v>32</v>
      </c>
      <c r="CF336" s="230">
        <f t="shared" si="475"/>
        <v>0</v>
      </c>
      <c r="CG336" s="229">
        <v>35</v>
      </c>
      <c r="CH336" s="230">
        <f t="shared" si="476"/>
        <v>48</v>
      </c>
      <c r="CI336" s="235">
        <f t="shared" si="477"/>
        <v>3.0748170731707316</v>
      </c>
      <c r="CJ336" s="235" cm="1">
        <f t="array" ref="CJ336">$BI336 * SUMPRODUCT(INDEX($AR$77:$AT$82,,$AI336),INDEX($AU$77:$BA$82,,$AH336), N($AQ$77:$AQ$82&gt;$AO336)) / CI336 / 1000</f>
        <v>0</v>
      </c>
      <c r="CK336" s="232">
        <f t="shared" si="260"/>
        <v>30</v>
      </c>
      <c r="CL336" s="230">
        <f t="shared" si="478"/>
        <v>43</v>
      </c>
      <c r="CM336" s="235">
        <f t="shared" si="479"/>
        <v>3.5018750000000001</v>
      </c>
      <c r="CN336" s="235" cm="1">
        <f t="array" ref="CN336">$BI336 * IF($AH336&lt;=2,
SUMPRODUCT(INDEX($AR$72:$AT$76,,$AI336), INDEX($AU$72:$BA$76,,$AH336), 1 / ($BB$72:$BB$76*CM336 + (1-$BB$72:$BB$76)*CI336), N($AQ$72:$AQ$76&gt;$AO336)),
SUMPRODUCT(INDEX($AR$67:$AT$76,,$AI336), INDEX($AU$67:$BA$76,,$AH336), 1 / ($BC$67:$BC$76*CM336 + (1-$BC$67:$BC$76)*CI336), N($AQ$67:$AQ$76&gt;$AO336))
) / 1000</f>
        <v>0</v>
      </c>
      <c r="CO336" s="232">
        <f t="shared" si="263"/>
        <v>25</v>
      </c>
      <c r="CP336" s="230">
        <f t="shared" si="480"/>
        <v>38</v>
      </c>
      <c r="CQ336" s="235">
        <f t="shared" si="481"/>
        <v>4.0666935483870965</v>
      </c>
      <c r="CR336" s="235" cm="1">
        <f t="array" ref="CR336">$BI336 * IF($AH336&lt;=2,
SUMPRODUCT(INDEX($AR$67:$AT$71,,$AI336), INDEX($AU$67:$BA$71,,$AH336), 1 / ($BB$67:$BB$71*CQ336 + (1-$BB$67:$BB$71)*CM336), N($AQ$67:$AQ$71&gt;$AO336)),
SUMPRODUCT(INDEX($AR$57:$AT$66,,$AI336), INDEX($AU$57:$BA$66,,$AH336), 1 / ($BC$57:$BC$66*CQ336 + (1-$BC$57:$BC$66)*CM336), N($AQ$57:$AQ$66&gt;$AO336))
) / 1000</f>
        <v>0</v>
      </c>
      <c r="CS336" s="232">
        <f t="shared" si="266"/>
        <v>20</v>
      </c>
      <c r="CT336" s="230">
        <f t="shared" si="482"/>
        <v>33</v>
      </c>
      <c r="CU336" s="235">
        <f t="shared" si="483"/>
        <v>4.8487499999999999</v>
      </c>
      <c r="CV336" s="235" cm="1">
        <f t="array" ref="CV336">$BI336 * IF($AH336&lt;=2,
SUMPRODUCT(INDEX($AR$62:$AT$66,,$AI336), INDEX($AU$62:$BA$66,,$AH336), 1 / ($BB$62:$BB$66*CU336 + (1-$BB$62:$BB$66)*CQ336), N($AQ$62:$AQ$66&gt;$AO336)),
SUMPRODUCT(INDEX($AR$47:$AT$56,,$AI336), INDEX($AU$47:$BA$56,,$AH336), 1 / ($BC$47:$BC$56*CU336 + (1-$BC$47:$BC$56)*CQ336), N($AQ$47:$AQ$56&gt;$AO336))
) / 1000</f>
        <v>0</v>
      </c>
      <c r="CW336" s="235" cm="1">
        <f t="array" ref="CW336">$BI336 * IF($AH336&lt;=2,
SUMPRODUCT(INDEX($AR$23:$AT$61,,$AI336), INDEX($AU$23:$BA$61,,$AH336), 1 / ($BB$23:$BB$61*CU336), N($AQ$23:$AQ$61&gt;$AO336)),
SUMPRODUCT(INDEX($AR$23:$AT$46,,$AI336), INDEX($AU$23:$BA$46,,$AH336), 1 / ($BC$23:$BC$46*CU336), N($AQ$23:$AQ$46&gt;$AO336))
) / 1000</f>
        <v>0</v>
      </c>
      <c r="CX336" s="230">
        <f t="shared" si="484"/>
        <v>0</v>
      </c>
      <c r="CY336" s="238"/>
    </row>
    <row r="337" spans="1:103" s="76" customFormat="1" ht="14.25" customHeight="1" x14ac:dyDescent="0.2">
      <c r="A337" s="231" t="b">
        <f t="shared" si="229"/>
        <v>0</v>
      </c>
      <c r="B337" s="245">
        <v>315</v>
      </c>
      <c r="C337" s="258"/>
      <c r="D337" s="258"/>
      <c r="E337" s="246"/>
      <c r="F337" s="247" t="str">
        <f>IF(ISBLANK(E337), "", VLOOKUP(E337, Z!$A$2:$C$4127, 3, FALSE))</f>
        <v/>
      </c>
      <c r="G337" s="248"/>
      <c r="H337" s="248"/>
      <c r="I337" s="249"/>
      <c r="J337" s="250"/>
      <c r="K337" s="259"/>
      <c r="L337" s="260"/>
      <c r="M337" s="252" t="str" cm="1">
        <f t="array" ref="M337">INDEX(Trad, 53, $A$20)</f>
        <v>Verschmutzt</v>
      </c>
      <c r="N337" s="253"/>
      <c r="O337" s="253"/>
      <c r="P337" s="254"/>
      <c r="Q337" s="251"/>
      <c r="R337" s="251"/>
      <c r="S337" s="264">
        <f t="shared" si="459"/>
        <v>0</v>
      </c>
      <c r="T337" s="252" t="str" cm="1">
        <f t="array" ref="T337">INDEX(Trad, 52, $A$20)</f>
        <v>Sauber</v>
      </c>
      <c r="U337" s="253"/>
      <c r="V337" s="253"/>
      <c r="W337" s="254"/>
      <c r="X337" s="251"/>
      <c r="Y337" s="251"/>
      <c r="Z337" s="264">
        <f t="shared" si="460"/>
        <v>0</v>
      </c>
      <c r="AA337" s="261"/>
      <c r="AB337" s="258"/>
      <c r="AC337" s="246"/>
      <c r="AD337" s="247" t="str">
        <f>IF(ISBLANK(AC337), "", VLOOKUP(AC337, Z!$A$2:$C$4127, 3, FALSE))</f>
        <v/>
      </c>
      <c r="AE337" s="262"/>
      <c r="AF337" s="263">
        <f t="shared" si="461"/>
        <v>0</v>
      </c>
      <c r="AG337" s="238"/>
      <c r="AH337" s="229">
        <f t="shared" si="485"/>
        <v>1</v>
      </c>
      <c r="AI337" s="229">
        <f t="shared" si="486"/>
        <v>1</v>
      </c>
      <c r="AJ337" s="229">
        <f t="shared" si="487"/>
        <v>0</v>
      </c>
      <c r="AK337" s="229">
        <v>0</v>
      </c>
      <c r="AL337" s="229">
        <v>0</v>
      </c>
      <c r="AM337" s="229">
        <v>1</v>
      </c>
      <c r="AN337" s="229">
        <v>0</v>
      </c>
      <c r="AO337" s="229">
        <f t="shared" si="462"/>
        <v>-100</v>
      </c>
      <c r="AP337" s="238"/>
      <c r="AQ337" s="255"/>
      <c r="AR337" s="255"/>
      <c r="AS337" s="256"/>
      <c r="AT337" s="256"/>
      <c r="AU337" s="256"/>
      <c r="AV337" s="256"/>
      <c r="AW337" s="256"/>
      <c r="AX337" s="256"/>
      <c r="AY337" s="256"/>
      <c r="AZ337" s="256"/>
      <c r="BA337" s="256"/>
      <c r="BB337" s="256"/>
      <c r="BC337" s="256"/>
      <c r="BD337" s="238"/>
      <c r="BE337" s="229" cm="1">
        <f t="array" ref="BE337">IF(ISBLANK(R337), INDEX(Use, $AH337, 4) - AM337*INDEX(Use, $AH337, 6), R337)</f>
        <v>5</v>
      </c>
      <c r="BF337" s="229">
        <f t="shared" si="463"/>
        <v>30</v>
      </c>
      <c r="BG337" s="229">
        <f t="shared" si="241"/>
        <v>13</v>
      </c>
      <c r="BH337" s="229">
        <f t="shared" si="242"/>
        <v>0</v>
      </c>
      <c r="BI337" s="234" cm="1">
        <f t="array" ref="BI337">K337/IF($L337&gt;0, INDEX($AU$23:$BA$77, $L337+20, $AH337), 1)</f>
        <v>0</v>
      </c>
      <c r="BJ337" s="230">
        <f t="shared" si="464"/>
        <v>0</v>
      </c>
      <c r="BK337" s="229">
        <v>35</v>
      </c>
      <c r="BL337" s="230">
        <f t="shared" si="465"/>
        <v>48</v>
      </c>
      <c r="BM337" s="235">
        <f t="shared" si="466"/>
        <v>2.9108720930232557</v>
      </c>
      <c r="BN337" s="235" cm="1">
        <f t="array" ref="BN337">$BI337 * SUMPRODUCT(INDEX($AR$77:$AT$82,,$AI337),INDEX($AU$77:$BA$82,,$AH337), N($AQ$77:$AQ$82&gt;$AO337)) / BM337 / 1000</f>
        <v>0</v>
      </c>
      <c r="BO337" s="232">
        <f t="shared" si="246"/>
        <v>30</v>
      </c>
      <c r="BP337" s="230">
        <f t="shared" si="467"/>
        <v>43</v>
      </c>
      <c r="BQ337" s="235">
        <f t="shared" si="468"/>
        <v>3.2938815789473681</v>
      </c>
      <c r="BR337" s="235" cm="1">
        <f t="array" ref="BR337">$BI337 * IF($AH337&lt;=2,
SUMPRODUCT(INDEX($AR$72:$AT$76,,$AI337), INDEX($AU$72:$BA$76,,$AH337), 1 / ($BB$72:$BB$76*BQ337 + (1-$BB$72:$BB$76)*BM337), N($AQ$72:$AQ$76&gt;$AO337)),
SUMPRODUCT(INDEX($AR$67:$AT$76,,$AI337), INDEX($AU$67:$BA$76,,$AH337), 1 / ($BC$67:$BC$76*BQ337 + (1-$BC$67:$BC$76)*BM337), N($AQ$67:$AQ$76&gt;$AO337))
) / 1000</f>
        <v>0</v>
      </c>
      <c r="BS337" s="232">
        <f t="shared" si="249"/>
        <v>25</v>
      </c>
      <c r="BT337" s="230">
        <f t="shared" si="469"/>
        <v>38</v>
      </c>
      <c r="BU337" s="235">
        <f t="shared" si="470"/>
        <v>3.792954545454545</v>
      </c>
      <c r="BV337" s="235" cm="1">
        <f t="array" ref="BV337">$BI337 * IF($AH337&lt;=2,
SUMPRODUCT(INDEX($AR$67:$AT$71,,$AI337), INDEX($AU$67:$BA$71,,$AH337), 1 / ($BB$67:$BB$71*BU337 + (1-$BB$67:$BB$71)*BQ337), N($AQ$67:$AQ$71&gt;$AO337)),
SUMPRODUCT(INDEX($AR$57:$AT$66,,$AI337), INDEX($AU$57:$BA$66,,$AH337), 1 / ($BC$57:$BC$66*BU337 + (1-$BC$57:$BC$66)*BQ337), N($AQ$57:$AQ$66&gt;$AO337))
) / 1000</f>
        <v>0</v>
      </c>
      <c r="BW337" s="232">
        <f t="shared" si="252"/>
        <v>20</v>
      </c>
      <c r="BX337" s="230">
        <f t="shared" si="471"/>
        <v>33</v>
      </c>
      <c r="BY337" s="235">
        <f t="shared" si="472"/>
        <v>4.4702678571428569</v>
      </c>
      <c r="BZ337" s="235" cm="1">
        <f t="array" ref="BZ337">$BI337 * IF($AH337&lt;=2,
SUMPRODUCT(INDEX($AR$62:$AT$66,,$AI337), INDEX($AU$62:$BA$66,,$AH337), 1 / ($BB$62:$BB$66*BY337 + (1-$BB$62:$BB$66)*BU337), N($AQ$62:$AQ$66&gt;$AO337)),
SUMPRODUCT(INDEX($AR$47:$AT$56,,$AI337), INDEX($AU$47:$BA$56,,$AH337), 1 / ($BC$47:$BC$56*BY337 + (1-$BC$47:$BC$56)*BU337), N($AQ$47:$AQ$56&gt;$AO337))
) / 1000</f>
        <v>0</v>
      </c>
      <c r="CA337" s="235" cm="1">
        <f t="array" ref="CA337">$BI337 * IF($AH337&lt;=2,
SUMPRODUCT(INDEX($AR$23:$AT$61,,$AI337), INDEX($AU$23:$BA$61,,$AH337), 1 / ($BB$23:$BB$61*BY337), N($AQ$23:$AQ$61&gt;$AO337)),
SUMPRODUCT(INDEX($AR$23:$AT$46,,$AI337), INDEX($AU$23:$BA$46,,$AH337), 1 / ($BC$23:$BC$46*BY337), N($AQ$23:$AQ$46&gt;$AO337))
) / 1000</f>
        <v>0</v>
      </c>
      <c r="CB337" s="230">
        <f t="shared" si="473"/>
        <v>0</v>
      </c>
      <c r="CC337" s="238"/>
      <c r="CD337" s="229" cm="1">
        <f t="array" ref="CD337">IF(ISBLANK(Y337), INDEX(Use, $AH337, 4) - AN337*INDEX(Use, $AH337, 6) - (Q337-X337), Y337)</f>
        <v>7</v>
      </c>
      <c r="CE337" s="229">
        <f t="shared" si="474"/>
        <v>32</v>
      </c>
      <c r="CF337" s="230">
        <f t="shared" si="475"/>
        <v>0</v>
      </c>
      <c r="CG337" s="229">
        <v>35</v>
      </c>
      <c r="CH337" s="230">
        <f t="shared" si="476"/>
        <v>48</v>
      </c>
      <c r="CI337" s="235">
        <f t="shared" si="477"/>
        <v>3.0748170731707316</v>
      </c>
      <c r="CJ337" s="235" cm="1">
        <f t="array" ref="CJ337">$BI337 * SUMPRODUCT(INDEX($AR$77:$AT$82,,$AI337),INDEX($AU$77:$BA$82,,$AH337), N($AQ$77:$AQ$82&gt;$AO337)) / CI337 / 1000</f>
        <v>0</v>
      </c>
      <c r="CK337" s="232">
        <f t="shared" si="260"/>
        <v>30</v>
      </c>
      <c r="CL337" s="230">
        <f t="shared" si="478"/>
        <v>43</v>
      </c>
      <c r="CM337" s="235">
        <f t="shared" si="479"/>
        <v>3.5018750000000001</v>
      </c>
      <c r="CN337" s="235" cm="1">
        <f t="array" ref="CN337">$BI337 * IF($AH337&lt;=2,
SUMPRODUCT(INDEX($AR$72:$AT$76,,$AI337), INDEX($AU$72:$BA$76,,$AH337), 1 / ($BB$72:$BB$76*CM337 + (1-$BB$72:$BB$76)*CI337), N($AQ$72:$AQ$76&gt;$AO337)),
SUMPRODUCT(INDEX($AR$67:$AT$76,,$AI337), INDEX($AU$67:$BA$76,,$AH337), 1 / ($BC$67:$BC$76*CM337 + (1-$BC$67:$BC$76)*CI337), N($AQ$67:$AQ$76&gt;$AO337))
) / 1000</f>
        <v>0</v>
      </c>
      <c r="CO337" s="232">
        <f t="shared" si="263"/>
        <v>25</v>
      </c>
      <c r="CP337" s="230">
        <f t="shared" si="480"/>
        <v>38</v>
      </c>
      <c r="CQ337" s="235">
        <f t="shared" si="481"/>
        <v>4.0666935483870965</v>
      </c>
      <c r="CR337" s="235" cm="1">
        <f t="array" ref="CR337">$BI337 * IF($AH337&lt;=2,
SUMPRODUCT(INDEX($AR$67:$AT$71,,$AI337), INDEX($AU$67:$BA$71,,$AH337), 1 / ($BB$67:$BB$71*CQ337 + (1-$BB$67:$BB$71)*CM337), N($AQ$67:$AQ$71&gt;$AO337)),
SUMPRODUCT(INDEX($AR$57:$AT$66,,$AI337), INDEX($AU$57:$BA$66,,$AH337), 1 / ($BC$57:$BC$66*CQ337 + (1-$BC$57:$BC$66)*CM337), N($AQ$57:$AQ$66&gt;$AO337))
) / 1000</f>
        <v>0</v>
      </c>
      <c r="CS337" s="232">
        <f t="shared" si="266"/>
        <v>20</v>
      </c>
      <c r="CT337" s="230">
        <f t="shared" si="482"/>
        <v>33</v>
      </c>
      <c r="CU337" s="235">
        <f t="shared" si="483"/>
        <v>4.8487499999999999</v>
      </c>
      <c r="CV337" s="235" cm="1">
        <f t="array" ref="CV337">$BI337 * IF($AH337&lt;=2,
SUMPRODUCT(INDEX($AR$62:$AT$66,,$AI337), INDEX($AU$62:$BA$66,,$AH337), 1 / ($BB$62:$BB$66*CU337 + (1-$BB$62:$BB$66)*CQ337), N($AQ$62:$AQ$66&gt;$AO337)),
SUMPRODUCT(INDEX($AR$47:$AT$56,,$AI337), INDEX($AU$47:$BA$56,,$AH337), 1 / ($BC$47:$BC$56*CU337 + (1-$BC$47:$BC$56)*CQ337), N($AQ$47:$AQ$56&gt;$AO337))
) / 1000</f>
        <v>0</v>
      </c>
      <c r="CW337" s="235" cm="1">
        <f t="array" ref="CW337">$BI337 * IF($AH337&lt;=2,
SUMPRODUCT(INDEX($AR$23:$AT$61,,$AI337), INDEX($AU$23:$BA$61,,$AH337), 1 / ($BB$23:$BB$61*CU337), N($AQ$23:$AQ$61&gt;$AO337)),
SUMPRODUCT(INDEX($AR$23:$AT$46,,$AI337), INDEX($AU$23:$BA$46,,$AH337), 1 / ($BC$23:$BC$46*CU337), N($AQ$23:$AQ$46&gt;$AO337))
) / 1000</f>
        <v>0</v>
      </c>
      <c r="CX337" s="230">
        <f t="shared" si="484"/>
        <v>0</v>
      </c>
      <c r="CY337" s="238"/>
    </row>
    <row r="338" spans="1:103" s="76" customFormat="1" ht="14.25" customHeight="1" x14ac:dyDescent="0.2">
      <c r="A338" s="231" t="b">
        <f t="shared" si="229"/>
        <v>0</v>
      </c>
      <c r="B338" s="245">
        <v>316</v>
      </c>
      <c r="C338" s="258"/>
      <c r="D338" s="258"/>
      <c r="E338" s="246"/>
      <c r="F338" s="247" t="str">
        <f>IF(ISBLANK(E338), "", VLOOKUP(E338, Z!$A$2:$C$4127, 3, FALSE))</f>
        <v/>
      </c>
      <c r="G338" s="248"/>
      <c r="H338" s="248"/>
      <c r="I338" s="249"/>
      <c r="J338" s="250"/>
      <c r="K338" s="259"/>
      <c r="L338" s="260"/>
      <c r="M338" s="252" t="str" cm="1">
        <f t="array" ref="M338">INDEX(Trad, 53, $A$20)</f>
        <v>Verschmutzt</v>
      </c>
      <c r="N338" s="253"/>
      <c r="O338" s="253"/>
      <c r="P338" s="254"/>
      <c r="Q338" s="251"/>
      <c r="R338" s="251"/>
      <c r="S338" s="264">
        <f t="shared" si="459"/>
        <v>0</v>
      </c>
      <c r="T338" s="252" t="str" cm="1">
        <f t="array" ref="T338">INDEX(Trad, 52, $A$20)</f>
        <v>Sauber</v>
      </c>
      <c r="U338" s="253"/>
      <c r="V338" s="253"/>
      <c r="W338" s="254"/>
      <c r="X338" s="251"/>
      <c r="Y338" s="251"/>
      <c r="Z338" s="264">
        <f t="shared" si="460"/>
        <v>0</v>
      </c>
      <c r="AA338" s="261"/>
      <c r="AB338" s="258"/>
      <c r="AC338" s="246"/>
      <c r="AD338" s="247" t="str">
        <f>IF(ISBLANK(AC338), "", VLOOKUP(AC338, Z!$A$2:$C$4127, 3, FALSE))</f>
        <v/>
      </c>
      <c r="AE338" s="262"/>
      <c r="AF338" s="263">
        <f t="shared" si="461"/>
        <v>0</v>
      </c>
      <c r="AG338" s="238"/>
      <c r="AH338" s="229">
        <f t="shared" si="485"/>
        <v>1</v>
      </c>
      <c r="AI338" s="229">
        <f t="shared" si="486"/>
        <v>1</v>
      </c>
      <c r="AJ338" s="229">
        <f t="shared" si="487"/>
        <v>0</v>
      </c>
      <c r="AK338" s="229">
        <v>0</v>
      </c>
      <c r="AL338" s="229">
        <v>0</v>
      </c>
      <c r="AM338" s="229">
        <v>1</v>
      </c>
      <c r="AN338" s="229">
        <v>0</v>
      </c>
      <c r="AO338" s="229">
        <f t="shared" si="462"/>
        <v>-100</v>
      </c>
      <c r="AP338" s="238"/>
      <c r="AQ338" s="255"/>
      <c r="AR338" s="255"/>
      <c r="AS338" s="256"/>
      <c r="AT338" s="256"/>
      <c r="AU338" s="256"/>
      <c r="AV338" s="256"/>
      <c r="AW338" s="256"/>
      <c r="AX338" s="256"/>
      <c r="AY338" s="256"/>
      <c r="AZ338" s="256"/>
      <c r="BA338" s="256"/>
      <c r="BB338" s="256"/>
      <c r="BC338" s="256"/>
      <c r="BD338" s="238"/>
      <c r="BE338" s="229" cm="1">
        <f t="array" ref="BE338">IF(ISBLANK(R338), INDEX(Use, $AH338, 4) - AM338*INDEX(Use, $AH338, 6), R338)</f>
        <v>5</v>
      </c>
      <c r="BF338" s="229">
        <f t="shared" si="463"/>
        <v>30</v>
      </c>
      <c r="BG338" s="229">
        <f t="shared" si="241"/>
        <v>13</v>
      </c>
      <c r="BH338" s="229">
        <f t="shared" si="242"/>
        <v>0</v>
      </c>
      <c r="BI338" s="234" cm="1">
        <f t="array" ref="BI338">K338/IF($L338&gt;0, INDEX($AU$23:$BA$77, $L338+20, $AH338), 1)</f>
        <v>0</v>
      </c>
      <c r="BJ338" s="230">
        <f t="shared" si="464"/>
        <v>0</v>
      </c>
      <c r="BK338" s="229">
        <v>35</v>
      </c>
      <c r="BL338" s="230">
        <f t="shared" si="465"/>
        <v>48</v>
      </c>
      <c r="BM338" s="235">
        <f t="shared" si="466"/>
        <v>2.9108720930232557</v>
      </c>
      <c r="BN338" s="235" cm="1">
        <f t="array" ref="BN338">$BI338 * SUMPRODUCT(INDEX($AR$77:$AT$82,,$AI338),INDEX($AU$77:$BA$82,,$AH338), N($AQ$77:$AQ$82&gt;$AO338)) / BM338 / 1000</f>
        <v>0</v>
      </c>
      <c r="BO338" s="232">
        <f t="shared" si="246"/>
        <v>30</v>
      </c>
      <c r="BP338" s="230">
        <f t="shared" si="467"/>
        <v>43</v>
      </c>
      <c r="BQ338" s="235">
        <f t="shared" si="468"/>
        <v>3.2938815789473681</v>
      </c>
      <c r="BR338" s="235" cm="1">
        <f t="array" ref="BR338">$BI338 * IF($AH338&lt;=2,
SUMPRODUCT(INDEX($AR$72:$AT$76,,$AI338), INDEX($AU$72:$BA$76,,$AH338), 1 / ($BB$72:$BB$76*BQ338 + (1-$BB$72:$BB$76)*BM338), N($AQ$72:$AQ$76&gt;$AO338)),
SUMPRODUCT(INDEX($AR$67:$AT$76,,$AI338), INDEX($AU$67:$BA$76,,$AH338), 1 / ($BC$67:$BC$76*BQ338 + (1-$BC$67:$BC$76)*BM338), N($AQ$67:$AQ$76&gt;$AO338))
) / 1000</f>
        <v>0</v>
      </c>
      <c r="BS338" s="232">
        <f t="shared" si="249"/>
        <v>25</v>
      </c>
      <c r="BT338" s="230">
        <f t="shared" si="469"/>
        <v>38</v>
      </c>
      <c r="BU338" s="235">
        <f t="shared" si="470"/>
        <v>3.792954545454545</v>
      </c>
      <c r="BV338" s="235" cm="1">
        <f t="array" ref="BV338">$BI338 * IF($AH338&lt;=2,
SUMPRODUCT(INDEX($AR$67:$AT$71,,$AI338), INDEX($AU$67:$BA$71,,$AH338), 1 / ($BB$67:$BB$71*BU338 + (1-$BB$67:$BB$71)*BQ338), N($AQ$67:$AQ$71&gt;$AO338)),
SUMPRODUCT(INDEX($AR$57:$AT$66,,$AI338), INDEX($AU$57:$BA$66,,$AH338), 1 / ($BC$57:$BC$66*BU338 + (1-$BC$57:$BC$66)*BQ338), N($AQ$57:$AQ$66&gt;$AO338))
) / 1000</f>
        <v>0</v>
      </c>
      <c r="BW338" s="232">
        <f t="shared" si="252"/>
        <v>20</v>
      </c>
      <c r="BX338" s="230">
        <f t="shared" si="471"/>
        <v>33</v>
      </c>
      <c r="BY338" s="235">
        <f t="shared" si="472"/>
        <v>4.4702678571428569</v>
      </c>
      <c r="BZ338" s="235" cm="1">
        <f t="array" ref="BZ338">$BI338 * IF($AH338&lt;=2,
SUMPRODUCT(INDEX($AR$62:$AT$66,,$AI338), INDEX($AU$62:$BA$66,,$AH338), 1 / ($BB$62:$BB$66*BY338 + (1-$BB$62:$BB$66)*BU338), N($AQ$62:$AQ$66&gt;$AO338)),
SUMPRODUCT(INDEX($AR$47:$AT$56,,$AI338), INDEX($AU$47:$BA$56,,$AH338), 1 / ($BC$47:$BC$56*BY338 + (1-$BC$47:$BC$56)*BU338), N($AQ$47:$AQ$56&gt;$AO338))
) / 1000</f>
        <v>0</v>
      </c>
      <c r="CA338" s="235" cm="1">
        <f t="array" ref="CA338">$BI338 * IF($AH338&lt;=2,
SUMPRODUCT(INDEX($AR$23:$AT$61,,$AI338), INDEX($AU$23:$BA$61,,$AH338), 1 / ($BB$23:$BB$61*BY338), N($AQ$23:$AQ$61&gt;$AO338)),
SUMPRODUCT(INDEX($AR$23:$AT$46,,$AI338), INDEX($AU$23:$BA$46,,$AH338), 1 / ($BC$23:$BC$46*BY338), N($AQ$23:$AQ$46&gt;$AO338))
) / 1000</f>
        <v>0</v>
      </c>
      <c r="CB338" s="230">
        <f t="shared" si="473"/>
        <v>0</v>
      </c>
      <c r="CC338" s="238"/>
      <c r="CD338" s="229" cm="1">
        <f t="array" ref="CD338">IF(ISBLANK(Y338), INDEX(Use, $AH338, 4) - AN338*INDEX(Use, $AH338, 6) - (Q338-X338), Y338)</f>
        <v>7</v>
      </c>
      <c r="CE338" s="229">
        <f t="shared" si="474"/>
        <v>32</v>
      </c>
      <c r="CF338" s="230">
        <f t="shared" si="475"/>
        <v>0</v>
      </c>
      <c r="CG338" s="229">
        <v>35</v>
      </c>
      <c r="CH338" s="230">
        <f t="shared" si="476"/>
        <v>48</v>
      </c>
      <c r="CI338" s="235">
        <f t="shared" si="477"/>
        <v>3.0748170731707316</v>
      </c>
      <c r="CJ338" s="235" cm="1">
        <f t="array" ref="CJ338">$BI338 * SUMPRODUCT(INDEX($AR$77:$AT$82,,$AI338),INDEX($AU$77:$BA$82,,$AH338), N($AQ$77:$AQ$82&gt;$AO338)) / CI338 / 1000</f>
        <v>0</v>
      </c>
      <c r="CK338" s="232">
        <f t="shared" si="260"/>
        <v>30</v>
      </c>
      <c r="CL338" s="230">
        <f t="shared" si="478"/>
        <v>43</v>
      </c>
      <c r="CM338" s="235">
        <f t="shared" si="479"/>
        <v>3.5018750000000001</v>
      </c>
      <c r="CN338" s="235" cm="1">
        <f t="array" ref="CN338">$BI338 * IF($AH338&lt;=2,
SUMPRODUCT(INDEX($AR$72:$AT$76,,$AI338), INDEX($AU$72:$BA$76,,$AH338), 1 / ($BB$72:$BB$76*CM338 + (1-$BB$72:$BB$76)*CI338), N($AQ$72:$AQ$76&gt;$AO338)),
SUMPRODUCT(INDEX($AR$67:$AT$76,,$AI338), INDEX($AU$67:$BA$76,,$AH338), 1 / ($BC$67:$BC$76*CM338 + (1-$BC$67:$BC$76)*CI338), N($AQ$67:$AQ$76&gt;$AO338))
) / 1000</f>
        <v>0</v>
      </c>
      <c r="CO338" s="232">
        <f t="shared" si="263"/>
        <v>25</v>
      </c>
      <c r="CP338" s="230">
        <f t="shared" si="480"/>
        <v>38</v>
      </c>
      <c r="CQ338" s="235">
        <f t="shared" si="481"/>
        <v>4.0666935483870965</v>
      </c>
      <c r="CR338" s="235" cm="1">
        <f t="array" ref="CR338">$BI338 * IF($AH338&lt;=2,
SUMPRODUCT(INDEX($AR$67:$AT$71,,$AI338), INDEX($AU$67:$BA$71,,$AH338), 1 / ($BB$67:$BB$71*CQ338 + (1-$BB$67:$BB$71)*CM338), N($AQ$67:$AQ$71&gt;$AO338)),
SUMPRODUCT(INDEX($AR$57:$AT$66,,$AI338), INDEX($AU$57:$BA$66,,$AH338), 1 / ($BC$57:$BC$66*CQ338 + (1-$BC$57:$BC$66)*CM338), N($AQ$57:$AQ$66&gt;$AO338))
) / 1000</f>
        <v>0</v>
      </c>
      <c r="CS338" s="232">
        <f t="shared" si="266"/>
        <v>20</v>
      </c>
      <c r="CT338" s="230">
        <f t="shared" si="482"/>
        <v>33</v>
      </c>
      <c r="CU338" s="235">
        <f t="shared" si="483"/>
        <v>4.8487499999999999</v>
      </c>
      <c r="CV338" s="235" cm="1">
        <f t="array" ref="CV338">$BI338 * IF($AH338&lt;=2,
SUMPRODUCT(INDEX($AR$62:$AT$66,,$AI338), INDEX($AU$62:$BA$66,,$AH338), 1 / ($BB$62:$BB$66*CU338 + (1-$BB$62:$BB$66)*CQ338), N($AQ$62:$AQ$66&gt;$AO338)),
SUMPRODUCT(INDEX($AR$47:$AT$56,,$AI338), INDEX($AU$47:$BA$56,,$AH338), 1 / ($BC$47:$BC$56*CU338 + (1-$BC$47:$BC$56)*CQ338), N($AQ$47:$AQ$56&gt;$AO338))
) / 1000</f>
        <v>0</v>
      </c>
      <c r="CW338" s="235" cm="1">
        <f t="array" ref="CW338">$BI338 * IF($AH338&lt;=2,
SUMPRODUCT(INDEX($AR$23:$AT$61,,$AI338), INDEX($AU$23:$BA$61,,$AH338), 1 / ($BB$23:$BB$61*CU338), N($AQ$23:$AQ$61&gt;$AO338)),
SUMPRODUCT(INDEX($AR$23:$AT$46,,$AI338), INDEX($AU$23:$BA$46,,$AH338), 1 / ($BC$23:$BC$46*CU338), N($AQ$23:$AQ$46&gt;$AO338))
) / 1000</f>
        <v>0</v>
      </c>
      <c r="CX338" s="230">
        <f t="shared" si="484"/>
        <v>0</v>
      </c>
      <c r="CY338" s="238"/>
    </row>
    <row r="339" spans="1:103" s="76" customFormat="1" ht="14.25" customHeight="1" x14ac:dyDescent="0.2">
      <c r="A339" s="231" t="b">
        <f t="shared" si="229"/>
        <v>0</v>
      </c>
      <c r="B339" s="245">
        <v>317</v>
      </c>
      <c r="C339" s="258"/>
      <c r="D339" s="258"/>
      <c r="E339" s="246"/>
      <c r="F339" s="247" t="str">
        <f>IF(ISBLANK(E339), "", VLOOKUP(E339, Z!$A$2:$C$4127, 3, FALSE))</f>
        <v/>
      </c>
      <c r="G339" s="248"/>
      <c r="H339" s="248"/>
      <c r="I339" s="249"/>
      <c r="J339" s="250"/>
      <c r="K339" s="259"/>
      <c r="L339" s="260"/>
      <c r="M339" s="252" t="str" cm="1">
        <f t="array" ref="M339">INDEX(Trad, 53, $A$20)</f>
        <v>Verschmutzt</v>
      </c>
      <c r="N339" s="253"/>
      <c r="O339" s="253"/>
      <c r="P339" s="254"/>
      <c r="Q339" s="251"/>
      <c r="R339" s="251"/>
      <c r="S339" s="264">
        <f t="shared" si="459"/>
        <v>0</v>
      </c>
      <c r="T339" s="252" t="str" cm="1">
        <f t="array" ref="T339">INDEX(Trad, 52, $A$20)</f>
        <v>Sauber</v>
      </c>
      <c r="U339" s="253"/>
      <c r="V339" s="253"/>
      <c r="W339" s="254"/>
      <c r="X339" s="251"/>
      <c r="Y339" s="251"/>
      <c r="Z339" s="264">
        <f t="shared" si="460"/>
        <v>0</v>
      </c>
      <c r="AA339" s="261"/>
      <c r="AB339" s="258"/>
      <c r="AC339" s="246"/>
      <c r="AD339" s="247" t="str">
        <f>IF(ISBLANK(AC339), "", VLOOKUP(AC339, Z!$A$2:$C$4127, 3, FALSE))</f>
        <v/>
      </c>
      <c r="AE339" s="262"/>
      <c r="AF339" s="263">
        <f t="shared" si="461"/>
        <v>0</v>
      </c>
      <c r="AG339" s="238"/>
      <c r="AH339" s="229">
        <f t="shared" si="485"/>
        <v>1</v>
      </c>
      <c r="AI339" s="229">
        <f t="shared" si="486"/>
        <v>1</v>
      </c>
      <c r="AJ339" s="229">
        <f t="shared" si="487"/>
        <v>0</v>
      </c>
      <c r="AK339" s="229">
        <v>0</v>
      </c>
      <c r="AL339" s="229">
        <v>0</v>
      </c>
      <c r="AM339" s="229">
        <v>1</v>
      </c>
      <c r="AN339" s="229">
        <v>0</v>
      </c>
      <c r="AO339" s="229">
        <f t="shared" si="462"/>
        <v>-100</v>
      </c>
      <c r="AP339" s="238"/>
      <c r="AQ339" s="255"/>
      <c r="AR339" s="255"/>
      <c r="AS339" s="256"/>
      <c r="AT339" s="256"/>
      <c r="AU339" s="256"/>
      <c r="AV339" s="256"/>
      <c r="AW339" s="256"/>
      <c r="AX339" s="256"/>
      <c r="AY339" s="256"/>
      <c r="AZ339" s="256"/>
      <c r="BA339" s="256"/>
      <c r="BB339" s="256"/>
      <c r="BC339" s="256"/>
      <c r="BD339" s="238"/>
      <c r="BE339" s="229" cm="1">
        <f t="array" ref="BE339">IF(ISBLANK(R339), INDEX(Use, $AH339, 4) - AM339*INDEX(Use, $AH339, 6), R339)</f>
        <v>5</v>
      </c>
      <c r="BF339" s="229">
        <f t="shared" si="463"/>
        <v>30</v>
      </c>
      <c r="BG339" s="229">
        <f t="shared" si="241"/>
        <v>13</v>
      </c>
      <c r="BH339" s="229">
        <f t="shared" si="242"/>
        <v>0</v>
      </c>
      <c r="BI339" s="234" cm="1">
        <f t="array" ref="BI339">K339/IF($L339&gt;0, INDEX($AU$23:$BA$77, $L339+20, $AH339), 1)</f>
        <v>0</v>
      </c>
      <c r="BJ339" s="230">
        <f t="shared" si="464"/>
        <v>0</v>
      </c>
      <c r="BK339" s="229">
        <v>35</v>
      </c>
      <c r="BL339" s="230">
        <f t="shared" si="465"/>
        <v>48</v>
      </c>
      <c r="BM339" s="235">
        <f t="shared" si="466"/>
        <v>2.9108720930232557</v>
      </c>
      <c r="BN339" s="235" cm="1">
        <f t="array" ref="BN339">$BI339 * SUMPRODUCT(INDEX($AR$77:$AT$82,,$AI339),INDEX($AU$77:$BA$82,,$AH339), N($AQ$77:$AQ$82&gt;$AO339)) / BM339 / 1000</f>
        <v>0</v>
      </c>
      <c r="BO339" s="232">
        <f t="shared" si="246"/>
        <v>30</v>
      </c>
      <c r="BP339" s="230">
        <f t="shared" si="467"/>
        <v>43</v>
      </c>
      <c r="BQ339" s="235">
        <f t="shared" si="468"/>
        <v>3.2938815789473681</v>
      </c>
      <c r="BR339" s="235" cm="1">
        <f t="array" ref="BR339">$BI339 * IF($AH339&lt;=2,
SUMPRODUCT(INDEX($AR$72:$AT$76,,$AI339), INDEX($AU$72:$BA$76,,$AH339), 1 / ($BB$72:$BB$76*BQ339 + (1-$BB$72:$BB$76)*BM339), N($AQ$72:$AQ$76&gt;$AO339)),
SUMPRODUCT(INDEX($AR$67:$AT$76,,$AI339), INDEX($AU$67:$BA$76,,$AH339), 1 / ($BC$67:$BC$76*BQ339 + (1-$BC$67:$BC$76)*BM339), N($AQ$67:$AQ$76&gt;$AO339))
) / 1000</f>
        <v>0</v>
      </c>
      <c r="BS339" s="232">
        <f t="shared" si="249"/>
        <v>25</v>
      </c>
      <c r="BT339" s="230">
        <f t="shared" si="469"/>
        <v>38</v>
      </c>
      <c r="BU339" s="235">
        <f t="shared" si="470"/>
        <v>3.792954545454545</v>
      </c>
      <c r="BV339" s="235" cm="1">
        <f t="array" ref="BV339">$BI339 * IF($AH339&lt;=2,
SUMPRODUCT(INDEX($AR$67:$AT$71,,$AI339), INDEX($AU$67:$BA$71,,$AH339), 1 / ($BB$67:$BB$71*BU339 + (1-$BB$67:$BB$71)*BQ339), N($AQ$67:$AQ$71&gt;$AO339)),
SUMPRODUCT(INDEX($AR$57:$AT$66,,$AI339), INDEX($AU$57:$BA$66,,$AH339), 1 / ($BC$57:$BC$66*BU339 + (1-$BC$57:$BC$66)*BQ339), N($AQ$57:$AQ$66&gt;$AO339))
) / 1000</f>
        <v>0</v>
      </c>
      <c r="BW339" s="232">
        <f t="shared" si="252"/>
        <v>20</v>
      </c>
      <c r="BX339" s="230">
        <f t="shared" si="471"/>
        <v>33</v>
      </c>
      <c r="BY339" s="235">
        <f t="shared" si="472"/>
        <v>4.4702678571428569</v>
      </c>
      <c r="BZ339" s="235" cm="1">
        <f t="array" ref="BZ339">$BI339 * IF($AH339&lt;=2,
SUMPRODUCT(INDEX($AR$62:$AT$66,,$AI339), INDEX($AU$62:$BA$66,,$AH339), 1 / ($BB$62:$BB$66*BY339 + (1-$BB$62:$BB$66)*BU339), N($AQ$62:$AQ$66&gt;$AO339)),
SUMPRODUCT(INDEX($AR$47:$AT$56,,$AI339), INDEX($AU$47:$BA$56,,$AH339), 1 / ($BC$47:$BC$56*BY339 + (1-$BC$47:$BC$56)*BU339), N($AQ$47:$AQ$56&gt;$AO339))
) / 1000</f>
        <v>0</v>
      </c>
      <c r="CA339" s="235" cm="1">
        <f t="array" ref="CA339">$BI339 * IF($AH339&lt;=2,
SUMPRODUCT(INDEX($AR$23:$AT$61,,$AI339), INDEX($AU$23:$BA$61,,$AH339), 1 / ($BB$23:$BB$61*BY339), N($AQ$23:$AQ$61&gt;$AO339)),
SUMPRODUCT(INDEX($AR$23:$AT$46,,$AI339), INDEX($AU$23:$BA$46,,$AH339), 1 / ($BC$23:$BC$46*BY339), N($AQ$23:$AQ$46&gt;$AO339))
) / 1000</f>
        <v>0</v>
      </c>
      <c r="CB339" s="230">
        <f t="shared" si="473"/>
        <v>0</v>
      </c>
      <c r="CC339" s="238"/>
      <c r="CD339" s="229" cm="1">
        <f t="array" ref="CD339">IF(ISBLANK(Y339), INDEX(Use, $AH339, 4) - AN339*INDEX(Use, $AH339, 6) - (Q339-X339), Y339)</f>
        <v>7</v>
      </c>
      <c r="CE339" s="229">
        <f t="shared" si="474"/>
        <v>32</v>
      </c>
      <c r="CF339" s="230">
        <f t="shared" si="475"/>
        <v>0</v>
      </c>
      <c r="CG339" s="229">
        <v>35</v>
      </c>
      <c r="CH339" s="230">
        <f t="shared" si="476"/>
        <v>48</v>
      </c>
      <c r="CI339" s="235">
        <f t="shared" si="477"/>
        <v>3.0748170731707316</v>
      </c>
      <c r="CJ339" s="235" cm="1">
        <f t="array" ref="CJ339">$BI339 * SUMPRODUCT(INDEX($AR$77:$AT$82,,$AI339),INDEX($AU$77:$BA$82,,$AH339), N($AQ$77:$AQ$82&gt;$AO339)) / CI339 / 1000</f>
        <v>0</v>
      </c>
      <c r="CK339" s="232">
        <f t="shared" si="260"/>
        <v>30</v>
      </c>
      <c r="CL339" s="230">
        <f t="shared" si="478"/>
        <v>43</v>
      </c>
      <c r="CM339" s="235">
        <f t="shared" si="479"/>
        <v>3.5018750000000001</v>
      </c>
      <c r="CN339" s="235" cm="1">
        <f t="array" ref="CN339">$BI339 * IF($AH339&lt;=2,
SUMPRODUCT(INDEX($AR$72:$AT$76,,$AI339), INDEX($AU$72:$BA$76,,$AH339), 1 / ($BB$72:$BB$76*CM339 + (1-$BB$72:$BB$76)*CI339), N($AQ$72:$AQ$76&gt;$AO339)),
SUMPRODUCT(INDEX($AR$67:$AT$76,,$AI339), INDEX($AU$67:$BA$76,,$AH339), 1 / ($BC$67:$BC$76*CM339 + (1-$BC$67:$BC$76)*CI339), N($AQ$67:$AQ$76&gt;$AO339))
) / 1000</f>
        <v>0</v>
      </c>
      <c r="CO339" s="232">
        <f t="shared" si="263"/>
        <v>25</v>
      </c>
      <c r="CP339" s="230">
        <f t="shared" si="480"/>
        <v>38</v>
      </c>
      <c r="CQ339" s="235">
        <f t="shared" si="481"/>
        <v>4.0666935483870965</v>
      </c>
      <c r="CR339" s="235" cm="1">
        <f t="array" ref="CR339">$BI339 * IF($AH339&lt;=2,
SUMPRODUCT(INDEX($AR$67:$AT$71,,$AI339), INDEX($AU$67:$BA$71,,$AH339), 1 / ($BB$67:$BB$71*CQ339 + (1-$BB$67:$BB$71)*CM339), N($AQ$67:$AQ$71&gt;$AO339)),
SUMPRODUCT(INDEX($AR$57:$AT$66,,$AI339), INDEX($AU$57:$BA$66,,$AH339), 1 / ($BC$57:$BC$66*CQ339 + (1-$BC$57:$BC$66)*CM339), N($AQ$57:$AQ$66&gt;$AO339))
) / 1000</f>
        <v>0</v>
      </c>
      <c r="CS339" s="232">
        <f t="shared" si="266"/>
        <v>20</v>
      </c>
      <c r="CT339" s="230">
        <f t="shared" si="482"/>
        <v>33</v>
      </c>
      <c r="CU339" s="235">
        <f t="shared" si="483"/>
        <v>4.8487499999999999</v>
      </c>
      <c r="CV339" s="235" cm="1">
        <f t="array" ref="CV339">$BI339 * IF($AH339&lt;=2,
SUMPRODUCT(INDEX($AR$62:$AT$66,,$AI339), INDEX($AU$62:$BA$66,,$AH339), 1 / ($BB$62:$BB$66*CU339 + (1-$BB$62:$BB$66)*CQ339), N($AQ$62:$AQ$66&gt;$AO339)),
SUMPRODUCT(INDEX($AR$47:$AT$56,,$AI339), INDEX($AU$47:$BA$56,,$AH339), 1 / ($BC$47:$BC$56*CU339 + (1-$BC$47:$BC$56)*CQ339), N($AQ$47:$AQ$56&gt;$AO339))
) / 1000</f>
        <v>0</v>
      </c>
      <c r="CW339" s="235" cm="1">
        <f t="array" ref="CW339">$BI339 * IF($AH339&lt;=2,
SUMPRODUCT(INDEX($AR$23:$AT$61,,$AI339), INDEX($AU$23:$BA$61,,$AH339), 1 / ($BB$23:$BB$61*CU339), N($AQ$23:$AQ$61&gt;$AO339)),
SUMPRODUCT(INDEX($AR$23:$AT$46,,$AI339), INDEX($AU$23:$BA$46,,$AH339), 1 / ($BC$23:$BC$46*CU339), N($AQ$23:$AQ$46&gt;$AO339))
) / 1000</f>
        <v>0</v>
      </c>
      <c r="CX339" s="230">
        <f t="shared" si="484"/>
        <v>0</v>
      </c>
      <c r="CY339" s="238"/>
    </row>
    <row r="340" spans="1:103" s="76" customFormat="1" ht="14.25" customHeight="1" x14ac:dyDescent="0.2">
      <c r="A340" s="231" t="b">
        <f t="shared" si="229"/>
        <v>0</v>
      </c>
      <c r="B340" s="245">
        <v>318</v>
      </c>
      <c r="C340" s="258"/>
      <c r="D340" s="258"/>
      <c r="E340" s="246"/>
      <c r="F340" s="247" t="str">
        <f>IF(ISBLANK(E340), "", VLOOKUP(E340, Z!$A$2:$C$4127, 3, FALSE))</f>
        <v/>
      </c>
      <c r="G340" s="248"/>
      <c r="H340" s="248"/>
      <c r="I340" s="249"/>
      <c r="J340" s="250"/>
      <c r="K340" s="259"/>
      <c r="L340" s="260"/>
      <c r="M340" s="252" t="str" cm="1">
        <f t="array" ref="M340">INDEX(Trad, 53, $A$20)</f>
        <v>Verschmutzt</v>
      </c>
      <c r="N340" s="253"/>
      <c r="O340" s="253"/>
      <c r="P340" s="254"/>
      <c r="Q340" s="251"/>
      <c r="R340" s="251"/>
      <c r="S340" s="264">
        <f t="shared" si="459"/>
        <v>0</v>
      </c>
      <c r="T340" s="252" t="str" cm="1">
        <f t="array" ref="T340">INDEX(Trad, 52, $A$20)</f>
        <v>Sauber</v>
      </c>
      <c r="U340" s="253"/>
      <c r="V340" s="253"/>
      <c r="W340" s="254"/>
      <c r="X340" s="251"/>
      <c r="Y340" s="251"/>
      <c r="Z340" s="264">
        <f t="shared" si="460"/>
        <v>0</v>
      </c>
      <c r="AA340" s="261"/>
      <c r="AB340" s="258"/>
      <c r="AC340" s="246"/>
      <c r="AD340" s="247" t="str">
        <f>IF(ISBLANK(AC340), "", VLOOKUP(AC340, Z!$A$2:$C$4127, 3, FALSE))</f>
        <v/>
      </c>
      <c r="AE340" s="262"/>
      <c r="AF340" s="263">
        <f t="shared" si="461"/>
        <v>0</v>
      </c>
      <c r="AG340" s="238"/>
      <c r="AH340" s="229">
        <f t="shared" si="485"/>
        <v>1</v>
      </c>
      <c r="AI340" s="229">
        <f t="shared" si="486"/>
        <v>1</v>
      </c>
      <c r="AJ340" s="229">
        <f t="shared" si="487"/>
        <v>0</v>
      </c>
      <c r="AK340" s="229">
        <v>0</v>
      </c>
      <c r="AL340" s="229">
        <v>0</v>
      </c>
      <c r="AM340" s="229">
        <v>1</v>
      </c>
      <c r="AN340" s="229">
        <v>0</v>
      </c>
      <c r="AO340" s="229">
        <f t="shared" si="462"/>
        <v>-100</v>
      </c>
      <c r="AP340" s="238"/>
      <c r="AQ340" s="255"/>
      <c r="AR340" s="255"/>
      <c r="AS340" s="256"/>
      <c r="AT340" s="256"/>
      <c r="AU340" s="256"/>
      <c r="AV340" s="256"/>
      <c r="AW340" s="256"/>
      <c r="AX340" s="256"/>
      <c r="AY340" s="256"/>
      <c r="AZ340" s="256"/>
      <c r="BA340" s="256"/>
      <c r="BB340" s="256"/>
      <c r="BC340" s="256"/>
      <c r="BD340" s="238"/>
      <c r="BE340" s="229" cm="1">
        <f t="array" ref="BE340">IF(ISBLANK(R340), INDEX(Use, $AH340, 4) - AM340*INDEX(Use, $AH340, 6), R340)</f>
        <v>5</v>
      </c>
      <c r="BF340" s="229">
        <f t="shared" si="463"/>
        <v>30</v>
      </c>
      <c r="BG340" s="229">
        <f t="shared" si="241"/>
        <v>13</v>
      </c>
      <c r="BH340" s="229">
        <f t="shared" si="242"/>
        <v>0</v>
      </c>
      <c r="BI340" s="234" cm="1">
        <f t="array" ref="BI340">K340/IF($L340&gt;0, INDEX($AU$23:$BA$77, $L340+20, $AH340), 1)</f>
        <v>0</v>
      </c>
      <c r="BJ340" s="230">
        <f t="shared" si="464"/>
        <v>0</v>
      </c>
      <c r="BK340" s="229">
        <v>35</v>
      </c>
      <c r="BL340" s="230">
        <f t="shared" si="465"/>
        <v>48</v>
      </c>
      <c r="BM340" s="235">
        <f t="shared" si="466"/>
        <v>2.9108720930232557</v>
      </c>
      <c r="BN340" s="235" cm="1">
        <f t="array" ref="BN340">$BI340 * SUMPRODUCT(INDEX($AR$77:$AT$82,,$AI340),INDEX($AU$77:$BA$82,,$AH340), N($AQ$77:$AQ$82&gt;$AO340)) / BM340 / 1000</f>
        <v>0</v>
      </c>
      <c r="BO340" s="232">
        <f t="shared" si="246"/>
        <v>30</v>
      </c>
      <c r="BP340" s="230">
        <f t="shared" si="467"/>
        <v>43</v>
      </c>
      <c r="BQ340" s="235">
        <f t="shared" si="468"/>
        <v>3.2938815789473681</v>
      </c>
      <c r="BR340" s="235" cm="1">
        <f t="array" ref="BR340">$BI340 * IF($AH340&lt;=2,
SUMPRODUCT(INDEX($AR$72:$AT$76,,$AI340), INDEX($AU$72:$BA$76,,$AH340), 1 / ($BB$72:$BB$76*BQ340 + (1-$BB$72:$BB$76)*BM340), N($AQ$72:$AQ$76&gt;$AO340)),
SUMPRODUCT(INDEX($AR$67:$AT$76,,$AI340), INDEX($AU$67:$BA$76,,$AH340), 1 / ($BC$67:$BC$76*BQ340 + (1-$BC$67:$BC$76)*BM340), N($AQ$67:$AQ$76&gt;$AO340))
) / 1000</f>
        <v>0</v>
      </c>
      <c r="BS340" s="232">
        <f t="shared" si="249"/>
        <v>25</v>
      </c>
      <c r="BT340" s="230">
        <f t="shared" si="469"/>
        <v>38</v>
      </c>
      <c r="BU340" s="235">
        <f t="shared" si="470"/>
        <v>3.792954545454545</v>
      </c>
      <c r="BV340" s="235" cm="1">
        <f t="array" ref="BV340">$BI340 * IF($AH340&lt;=2,
SUMPRODUCT(INDEX($AR$67:$AT$71,,$AI340), INDEX($AU$67:$BA$71,,$AH340), 1 / ($BB$67:$BB$71*BU340 + (1-$BB$67:$BB$71)*BQ340), N($AQ$67:$AQ$71&gt;$AO340)),
SUMPRODUCT(INDEX($AR$57:$AT$66,,$AI340), INDEX($AU$57:$BA$66,,$AH340), 1 / ($BC$57:$BC$66*BU340 + (1-$BC$57:$BC$66)*BQ340), N($AQ$57:$AQ$66&gt;$AO340))
) / 1000</f>
        <v>0</v>
      </c>
      <c r="BW340" s="232">
        <f t="shared" si="252"/>
        <v>20</v>
      </c>
      <c r="BX340" s="230">
        <f t="shared" si="471"/>
        <v>33</v>
      </c>
      <c r="BY340" s="235">
        <f t="shared" si="472"/>
        <v>4.4702678571428569</v>
      </c>
      <c r="BZ340" s="235" cm="1">
        <f t="array" ref="BZ340">$BI340 * IF($AH340&lt;=2,
SUMPRODUCT(INDEX($AR$62:$AT$66,,$AI340), INDEX($AU$62:$BA$66,,$AH340), 1 / ($BB$62:$BB$66*BY340 + (1-$BB$62:$BB$66)*BU340), N($AQ$62:$AQ$66&gt;$AO340)),
SUMPRODUCT(INDEX($AR$47:$AT$56,,$AI340), INDEX($AU$47:$BA$56,,$AH340), 1 / ($BC$47:$BC$56*BY340 + (1-$BC$47:$BC$56)*BU340), N($AQ$47:$AQ$56&gt;$AO340))
) / 1000</f>
        <v>0</v>
      </c>
      <c r="CA340" s="235" cm="1">
        <f t="array" ref="CA340">$BI340 * IF($AH340&lt;=2,
SUMPRODUCT(INDEX($AR$23:$AT$61,,$AI340), INDEX($AU$23:$BA$61,,$AH340), 1 / ($BB$23:$BB$61*BY340), N($AQ$23:$AQ$61&gt;$AO340)),
SUMPRODUCT(INDEX($AR$23:$AT$46,,$AI340), INDEX($AU$23:$BA$46,,$AH340), 1 / ($BC$23:$BC$46*BY340), N($AQ$23:$AQ$46&gt;$AO340))
) / 1000</f>
        <v>0</v>
      </c>
      <c r="CB340" s="230">
        <f t="shared" si="473"/>
        <v>0</v>
      </c>
      <c r="CC340" s="238"/>
      <c r="CD340" s="229" cm="1">
        <f t="array" ref="CD340">IF(ISBLANK(Y340), INDEX(Use, $AH340, 4) - AN340*INDEX(Use, $AH340, 6) - (Q340-X340), Y340)</f>
        <v>7</v>
      </c>
      <c r="CE340" s="229">
        <f t="shared" si="474"/>
        <v>32</v>
      </c>
      <c r="CF340" s="230">
        <f t="shared" si="475"/>
        <v>0</v>
      </c>
      <c r="CG340" s="229">
        <v>35</v>
      </c>
      <c r="CH340" s="230">
        <f t="shared" si="476"/>
        <v>48</v>
      </c>
      <c r="CI340" s="235">
        <f t="shared" si="477"/>
        <v>3.0748170731707316</v>
      </c>
      <c r="CJ340" s="235" cm="1">
        <f t="array" ref="CJ340">$BI340 * SUMPRODUCT(INDEX($AR$77:$AT$82,,$AI340),INDEX($AU$77:$BA$82,,$AH340), N($AQ$77:$AQ$82&gt;$AO340)) / CI340 / 1000</f>
        <v>0</v>
      </c>
      <c r="CK340" s="232">
        <f t="shared" si="260"/>
        <v>30</v>
      </c>
      <c r="CL340" s="230">
        <f t="shared" si="478"/>
        <v>43</v>
      </c>
      <c r="CM340" s="235">
        <f t="shared" si="479"/>
        <v>3.5018750000000001</v>
      </c>
      <c r="CN340" s="235" cm="1">
        <f t="array" ref="CN340">$BI340 * IF($AH340&lt;=2,
SUMPRODUCT(INDEX($AR$72:$AT$76,,$AI340), INDEX($AU$72:$BA$76,,$AH340), 1 / ($BB$72:$BB$76*CM340 + (1-$BB$72:$BB$76)*CI340), N($AQ$72:$AQ$76&gt;$AO340)),
SUMPRODUCT(INDEX($AR$67:$AT$76,,$AI340), INDEX($AU$67:$BA$76,,$AH340), 1 / ($BC$67:$BC$76*CM340 + (1-$BC$67:$BC$76)*CI340), N($AQ$67:$AQ$76&gt;$AO340))
) / 1000</f>
        <v>0</v>
      </c>
      <c r="CO340" s="232">
        <f t="shared" si="263"/>
        <v>25</v>
      </c>
      <c r="CP340" s="230">
        <f t="shared" si="480"/>
        <v>38</v>
      </c>
      <c r="CQ340" s="235">
        <f t="shared" si="481"/>
        <v>4.0666935483870965</v>
      </c>
      <c r="CR340" s="235" cm="1">
        <f t="array" ref="CR340">$BI340 * IF($AH340&lt;=2,
SUMPRODUCT(INDEX($AR$67:$AT$71,,$AI340), INDEX($AU$67:$BA$71,,$AH340), 1 / ($BB$67:$BB$71*CQ340 + (1-$BB$67:$BB$71)*CM340), N($AQ$67:$AQ$71&gt;$AO340)),
SUMPRODUCT(INDEX($AR$57:$AT$66,,$AI340), INDEX($AU$57:$BA$66,,$AH340), 1 / ($BC$57:$BC$66*CQ340 + (1-$BC$57:$BC$66)*CM340), N($AQ$57:$AQ$66&gt;$AO340))
) / 1000</f>
        <v>0</v>
      </c>
      <c r="CS340" s="232">
        <f t="shared" si="266"/>
        <v>20</v>
      </c>
      <c r="CT340" s="230">
        <f t="shared" si="482"/>
        <v>33</v>
      </c>
      <c r="CU340" s="235">
        <f t="shared" si="483"/>
        <v>4.8487499999999999</v>
      </c>
      <c r="CV340" s="235" cm="1">
        <f t="array" ref="CV340">$BI340 * IF($AH340&lt;=2,
SUMPRODUCT(INDEX($AR$62:$AT$66,,$AI340), INDEX($AU$62:$BA$66,,$AH340), 1 / ($BB$62:$BB$66*CU340 + (1-$BB$62:$BB$66)*CQ340), N($AQ$62:$AQ$66&gt;$AO340)),
SUMPRODUCT(INDEX($AR$47:$AT$56,,$AI340), INDEX($AU$47:$BA$56,,$AH340), 1 / ($BC$47:$BC$56*CU340 + (1-$BC$47:$BC$56)*CQ340), N($AQ$47:$AQ$56&gt;$AO340))
) / 1000</f>
        <v>0</v>
      </c>
      <c r="CW340" s="235" cm="1">
        <f t="array" ref="CW340">$BI340 * IF($AH340&lt;=2,
SUMPRODUCT(INDEX($AR$23:$AT$61,,$AI340), INDEX($AU$23:$BA$61,,$AH340), 1 / ($BB$23:$BB$61*CU340), N($AQ$23:$AQ$61&gt;$AO340)),
SUMPRODUCT(INDEX($AR$23:$AT$46,,$AI340), INDEX($AU$23:$BA$46,,$AH340), 1 / ($BC$23:$BC$46*CU340), N($AQ$23:$AQ$46&gt;$AO340))
) / 1000</f>
        <v>0</v>
      </c>
      <c r="CX340" s="230">
        <f t="shared" si="484"/>
        <v>0</v>
      </c>
      <c r="CY340" s="238"/>
    </row>
    <row r="341" spans="1:103" s="76" customFormat="1" ht="14.25" customHeight="1" x14ac:dyDescent="0.2">
      <c r="A341" s="231" t="b">
        <f t="shared" si="229"/>
        <v>0</v>
      </c>
      <c r="B341" s="245">
        <v>319</v>
      </c>
      <c r="C341" s="258"/>
      <c r="D341" s="258"/>
      <c r="E341" s="246"/>
      <c r="F341" s="247" t="str">
        <f>IF(ISBLANK(E341), "", VLOOKUP(E341, Z!$A$2:$C$4127, 3, FALSE))</f>
        <v/>
      </c>
      <c r="G341" s="248"/>
      <c r="H341" s="248"/>
      <c r="I341" s="249"/>
      <c r="J341" s="250"/>
      <c r="K341" s="259"/>
      <c r="L341" s="260"/>
      <c r="M341" s="252" t="str" cm="1">
        <f t="array" ref="M341">INDEX(Trad, 53, $A$20)</f>
        <v>Verschmutzt</v>
      </c>
      <c r="N341" s="253"/>
      <c r="O341" s="253"/>
      <c r="P341" s="254"/>
      <c r="Q341" s="251"/>
      <c r="R341" s="251"/>
      <c r="S341" s="264">
        <f t="shared" si="459"/>
        <v>0</v>
      </c>
      <c r="T341" s="252" t="str" cm="1">
        <f t="array" ref="T341">INDEX(Trad, 52, $A$20)</f>
        <v>Sauber</v>
      </c>
      <c r="U341" s="253"/>
      <c r="V341" s="253"/>
      <c r="W341" s="254"/>
      <c r="X341" s="251"/>
      <c r="Y341" s="251"/>
      <c r="Z341" s="264">
        <f t="shared" si="460"/>
        <v>0</v>
      </c>
      <c r="AA341" s="261"/>
      <c r="AB341" s="258"/>
      <c r="AC341" s="246"/>
      <c r="AD341" s="247" t="str">
        <f>IF(ISBLANK(AC341), "", VLOOKUP(AC341, Z!$A$2:$C$4127, 3, FALSE))</f>
        <v/>
      </c>
      <c r="AE341" s="262"/>
      <c r="AF341" s="263">
        <f t="shared" si="461"/>
        <v>0</v>
      </c>
      <c r="AG341" s="238"/>
      <c r="AH341" s="229">
        <f t="shared" si="485"/>
        <v>1</v>
      </c>
      <c r="AI341" s="229">
        <f t="shared" si="486"/>
        <v>1</v>
      </c>
      <c r="AJ341" s="229">
        <f t="shared" si="487"/>
        <v>0</v>
      </c>
      <c r="AK341" s="229">
        <v>0</v>
      </c>
      <c r="AL341" s="229">
        <v>0</v>
      </c>
      <c r="AM341" s="229">
        <v>1</v>
      </c>
      <c r="AN341" s="229">
        <v>0</v>
      </c>
      <c r="AO341" s="229">
        <f t="shared" si="462"/>
        <v>-100</v>
      </c>
      <c r="AP341" s="238"/>
      <c r="AQ341" s="255"/>
      <c r="AR341" s="255"/>
      <c r="AS341" s="256"/>
      <c r="AT341" s="256"/>
      <c r="AU341" s="256"/>
      <c r="AV341" s="256"/>
      <c r="AW341" s="256"/>
      <c r="AX341" s="256"/>
      <c r="AY341" s="256"/>
      <c r="AZ341" s="256"/>
      <c r="BA341" s="256"/>
      <c r="BB341" s="256"/>
      <c r="BC341" s="256"/>
      <c r="BD341" s="238"/>
      <c r="BE341" s="229" cm="1">
        <f t="array" ref="BE341">IF(ISBLANK(R341), INDEX(Use, $AH341, 4) - AM341*INDEX(Use, $AH341, 6), R341)</f>
        <v>5</v>
      </c>
      <c r="BF341" s="229">
        <f t="shared" si="463"/>
        <v>30</v>
      </c>
      <c r="BG341" s="229">
        <f t="shared" si="241"/>
        <v>13</v>
      </c>
      <c r="BH341" s="229">
        <f t="shared" si="242"/>
        <v>0</v>
      </c>
      <c r="BI341" s="234" cm="1">
        <f t="array" ref="BI341">K341/IF($L341&gt;0, INDEX($AU$23:$BA$77, $L341+20, $AH341), 1)</f>
        <v>0</v>
      </c>
      <c r="BJ341" s="230">
        <f t="shared" si="464"/>
        <v>0</v>
      </c>
      <c r="BK341" s="229">
        <v>35</v>
      </c>
      <c r="BL341" s="230">
        <f t="shared" si="465"/>
        <v>48</v>
      </c>
      <c r="BM341" s="235">
        <f t="shared" si="466"/>
        <v>2.9108720930232557</v>
      </c>
      <c r="BN341" s="235" cm="1">
        <f t="array" ref="BN341">$BI341 * SUMPRODUCT(INDEX($AR$77:$AT$82,,$AI341),INDEX($AU$77:$BA$82,,$AH341), N($AQ$77:$AQ$82&gt;$AO341)) / BM341 / 1000</f>
        <v>0</v>
      </c>
      <c r="BO341" s="232">
        <f t="shared" si="246"/>
        <v>30</v>
      </c>
      <c r="BP341" s="230">
        <f t="shared" si="467"/>
        <v>43</v>
      </c>
      <c r="BQ341" s="235">
        <f t="shared" si="468"/>
        <v>3.2938815789473681</v>
      </c>
      <c r="BR341" s="235" cm="1">
        <f t="array" ref="BR341">$BI341 * IF($AH341&lt;=2,
SUMPRODUCT(INDEX($AR$72:$AT$76,,$AI341), INDEX($AU$72:$BA$76,,$AH341), 1 / ($BB$72:$BB$76*BQ341 + (1-$BB$72:$BB$76)*BM341), N($AQ$72:$AQ$76&gt;$AO341)),
SUMPRODUCT(INDEX($AR$67:$AT$76,,$AI341), INDEX($AU$67:$BA$76,,$AH341), 1 / ($BC$67:$BC$76*BQ341 + (1-$BC$67:$BC$76)*BM341), N($AQ$67:$AQ$76&gt;$AO341))
) / 1000</f>
        <v>0</v>
      </c>
      <c r="BS341" s="232">
        <f t="shared" si="249"/>
        <v>25</v>
      </c>
      <c r="BT341" s="230">
        <f t="shared" si="469"/>
        <v>38</v>
      </c>
      <c r="BU341" s="235">
        <f t="shared" si="470"/>
        <v>3.792954545454545</v>
      </c>
      <c r="BV341" s="235" cm="1">
        <f t="array" ref="BV341">$BI341 * IF($AH341&lt;=2,
SUMPRODUCT(INDEX($AR$67:$AT$71,,$AI341), INDEX($AU$67:$BA$71,,$AH341), 1 / ($BB$67:$BB$71*BU341 + (1-$BB$67:$BB$71)*BQ341), N($AQ$67:$AQ$71&gt;$AO341)),
SUMPRODUCT(INDEX($AR$57:$AT$66,,$AI341), INDEX($AU$57:$BA$66,,$AH341), 1 / ($BC$57:$BC$66*BU341 + (1-$BC$57:$BC$66)*BQ341), N($AQ$57:$AQ$66&gt;$AO341))
) / 1000</f>
        <v>0</v>
      </c>
      <c r="BW341" s="232">
        <f t="shared" si="252"/>
        <v>20</v>
      </c>
      <c r="BX341" s="230">
        <f t="shared" si="471"/>
        <v>33</v>
      </c>
      <c r="BY341" s="235">
        <f t="shared" si="472"/>
        <v>4.4702678571428569</v>
      </c>
      <c r="BZ341" s="235" cm="1">
        <f t="array" ref="BZ341">$BI341 * IF($AH341&lt;=2,
SUMPRODUCT(INDEX($AR$62:$AT$66,,$AI341), INDEX($AU$62:$BA$66,,$AH341), 1 / ($BB$62:$BB$66*BY341 + (1-$BB$62:$BB$66)*BU341), N($AQ$62:$AQ$66&gt;$AO341)),
SUMPRODUCT(INDEX($AR$47:$AT$56,,$AI341), INDEX($AU$47:$BA$56,,$AH341), 1 / ($BC$47:$BC$56*BY341 + (1-$BC$47:$BC$56)*BU341), N($AQ$47:$AQ$56&gt;$AO341))
) / 1000</f>
        <v>0</v>
      </c>
      <c r="CA341" s="235" cm="1">
        <f t="array" ref="CA341">$BI341 * IF($AH341&lt;=2,
SUMPRODUCT(INDEX($AR$23:$AT$61,,$AI341), INDEX($AU$23:$BA$61,,$AH341), 1 / ($BB$23:$BB$61*BY341), N($AQ$23:$AQ$61&gt;$AO341)),
SUMPRODUCT(INDEX($AR$23:$AT$46,,$AI341), INDEX($AU$23:$BA$46,,$AH341), 1 / ($BC$23:$BC$46*BY341), N($AQ$23:$AQ$46&gt;$AO341))
) / 1000</f>
        <v>0</v>
      </c>
      <c r="CB341" s="230">
        <f t="shared" si="473"/>
        <v>0</v>
      </c>
      <c r="CC341" s="238"/>
      <c r="CD341" s="229" cm="1">
        <f t="array" ref="CD341">IF(ISBLANK(Y341), INDEX(Use, $AH341, 4) - AN341*INDEX(Use, $AH341, 6) - (Q341-X341), Y341)</f>
        <v>7</v>
      </c>
      <c r="CE341" s="229">
        <f t="shared" si="474"/>
        <v>32</v>
      </c>
      <c r="CF341" s="230">
        <f t="shared" si="475"/>
        <v>0</v>
      </c>
      <c r="CG341" s="229">
        <v>35</v>
      </c>
      <c r="CH341" s="230">
        <f t="shared" si="476"/>
        <v>48</v>
      </c>
      <c r="CI341" s="235">
        <f t="shared" si="477"/>
        <v>3.0748170731707316</v>
      </c>
      <c r="CJ341" s="235" cm="1">
        <f t="array" ref="CJ341">$BI341 * SUMPRODUCT(INDEX($AR$77:$AT$82,,$AI341),INDEX($AU$77:$BA$82,,$AH341), N($AQ$77:$AQ$82&gt;$AO341)) / CI341 / 1000</f>
        <v>0</v>
      </c>
      <c r="CK341" s="232">
        <f t="shared" si="260"/>
        <v>30</v>
      </c>
      <c r="CL341" s="230">
        <f t="shared" si="478"/>
        <v>43</v>
      </c>
      <c r="CM341" s="235">
        <f t="shared" si="479"/>
        <v>3.5018750000000001</v>
      </c>
      <c r="CN341" s="235" cm="1">
        <f t="array" ref="CN341">$BI341 * IF($AH341&lt;=2,
SUMPRODUCT(INDEX($AR$72:$AT$76,,$AI341), INDEX($AU$72:$BA$76,,$AH341), 1 / ($BB$72:$BB$76*CM341 + (1-$BB$72:$BB$76)*CI341), N($AQ$72:$AQ$76&gt;$AO341)),
SUMPRODUCT(INDEX($AR$67:$AT$76,,$AI341), INDEX($AU$67:$BA$76,,$AH341), 1 / ($BC$67:$BC$76*CM341 + (1-$BC$67:$BC$76)*CI341), N($AQ$67:$AQ$76&gt;$AO341))
) / 1000</f>
        <v>0</v>
      </c>
      <c r="CO341" s="232">
        <f t="shared" si="263"/>
        <v>25</v>
      </c>
      <c r="CP341" s="230">
        <f t="shared" si="480"/>
        <v>38</v>
      </c>
      <c r="CQ341" s="235">
        <f t="shared" si="481"/>
        <v>4.0666935483870965</v>
      </c>
      <c r="CR341" s="235" cm="1">
        <f t="array" ref="CR341">$BI341 * IF($AH341&lt;=2,
SUMPRODUCT(INDEX($AR$67:$AT$71,,$AI341), INDEX($AU$67:$BA$71,,$AH341), 1 / ($BB$67:$BB$71*CQ341 + (1-$BB$67:$BB$71)*CM341), N($AQ$67:$AQ$71&gt;$AO341)),
SUMPRODUCT(INDEX($AR$57:$AT$66,,$AI341), INDEX($AU$57:$BA$66,,$AH341), 1 / ($BC$57:$BC$66*CQ341 + (1-$BC$57:$BC$66)*CM341), N($AQ$57:$AQ$66&gt;$AO341))
) / 1000</f>
        <v>0</v>
      </c>
      <c r="CS341" s="232">
        <f t="shared" si="266"/>
        <v>20</v>
      </c>
      <c r="CT341" s="230">
        <f t="shared" si="482"/>
        <v>33</v>
      </c>
      <c r="CU341" s="235">
        <f t="shared" si="483"/>
        <v>4.8487499999999999</v>
      </c>
      <c r="CV341" s="235" cm="1">
        <f t="array" ref="CV341">$BI341 * IF($AH341&lt;=2,
SUMPRODUCT(INDEX($AR$62:$AT$66,,$AI341), INDEX($AU$62:$BA$66,,$AH341), 1 / ($BB$62:$BB$66*CU341 + (1-$BB$62:$BB$66)*CQ341), N($AQ$62:$AQ$66&gt;$AO341)),
SUMPRODUCT(INDEX($AR$47:$AT$56,,$AI341), INDEX($AU$47:$BA$56,,$AH341), 1 / ($BC$47:$BC$56*CU341 + (1-$BC$47:$BC$56)*CQ341), N($AQ$47:$AQ$56&gt;$AO341))
) / 1000</f>
        <v>0</v>
      </c>
      <c r="CW341" s="235" cm="1">
        <f t="array" ref="CW341">$BI341 * IF($AH341&lt;=2,
SUMPRODUCT(INDEX($AR$23:$AT$61,,$AI341), INDEX($AU$23:$BA$61,,$AH341), 1 / ($BB$23:$BB$61*CU341), N($AQ$23:$AQ$61&gt;$AO341)),
SUMPRODUCT(INDEX($AR$23:$AT$46,,$AI341), INDEX($AU$23:$BA$46,,$AH341), 1 / ($BC$23:$BC$46*CU341), N($AQ$23:$AQ$46&gt;$AO341))
) / 1000</f>
        <v>0</v>
      </c>
      <c r="CX341" s="230">
        <f t="shared" si="484"/>
        <v>0</v>
      </c>
      <c r="CY341" s="238"/>
    </row>
    <row r="342" spans="1:103" s="76" customFormat="1" ht="14.25" customHeight="1" x14ac:dyDescent="0.2">
      <c r="A342" s="231" t="b">
        <f t="shared" ref="A342:A405" si="488">IF(OR(AND($K342&gt;80, $AH342=1), AND($K342&gt;40, $AH342=3), AND($K342&gt;30, $AH342=4),), TRUE, FALSE)</f>
        <v>0</v>
      </c>
      <c r="B342" s="245">
        <v>320</v>
      </c>
      <c r="C342" s="258"/>
      <c r="D342" s="258"/>
      <c r="E342" s="246"/>
      <c r="F342" s="247" t="str">
        <f>IF(ISBLANK(E342), "", VLOOKUP(E342, Z!$A$2:$C$4127, 3, FALSE))</f>
        <v/>
      </c>
      <c r="G342" s="248"/>
      <c r="H342" s="248"/>
      <c r="I342" s="249"/>
      <c r="J342" s="250"/>
      <c r="K342" s="259"/>
      <c r="L342" s="260"/>
      <c r="M342" s="252" t="str" cm="1">
        <f t="array" ref="M342">INDEX(Trad, 53, $A$20)</f>
        <v>Verschmutzt</v>
      </c>
      <c r="N342" s="253"/>
      <c r="O342" s="253"/>
      <c r="P342" s="254"/>
      <c r="Q342" s="251"/>
      <c r="R342" s="251"/>
      <c r="S342" s="264">
        <f t="shared" si="459"/>
        <v>0</v>
      </c>
      <c r="T342" s="252" t="str" cm="1">
        <f t="array" ref="T342">INDEX(Trad, 52, $A$20)</f>
        <v>Sauber</v>
      </c>
      <c r="U342" s="253"/>
      <c r="V342" s="253"/>
      <c r="W342" s="254"/>
      <c r="X342" s="251"/>
      <c r="Y342" s="251"/>
      <c r="Z342" s="264">
        <f t="shared" si="460"/>
        <v>0</v>
      </c>
      <c r="AA342" s="261"/>
      <c r="AB342" s="258"/>
      <c r="AC342" s="246"/>
      <c r="AD342" s="247" t="str">
        <f>IF(ISBLANK(AC342), "", VLOOKUP(AC342, Z!$A$2:$C$4127, 3, FALSE))</f>
        <v/>
      </c>
      <c r="AE342" s="262"/>
      <c r="AF342" s="263">
        <f t="shared" si="461"/>
        <v>0</v>
      </c>
      <c r="AG342" s="238"/>
      <c r="AH342" s="229">
        <f t="shared" si="485"/>
        <v>1</v>
      </c>
      <c r="AI342" s="229">
        <f t="shared" si="486"/>
        <v>1</v>
      </c>
      <c r="AJ342" s="229">
        <f t="shared" si="487"/>
        <v>0</v>
      </c>
      <c r="AK342" s="229">
        <v>0</v>
      </c>
      <c r="AL342" s="229">
        <v>0</v>
      </c>
      <c r="AM342" s="229">
        <v>1</v>
      </c>
      <c r="AN342" s="229">
        <v>0</v>
      </c>
      <c r="AO342" s="229">
        <f t="shared" si="462"/>
        <v>-100</v>
      </c>
      <c r="AP342" s="238"/>
      <c r="AQ342" s="255"/>
      <c r="AR342" s="255"/>
      <c r="AS342" s="256"/>
      <c r="AT342" s="256"/>
      <c r="AU342" s="256"/>
      <c r="AV342" s="256"/>
      <c r="AW342" s="256"/>
      <c r="AX342" s="256"/>
      <c r="AY342" s="256"/>
      <c r="AZ342" s="256"/>
      <c r="BA342" s="256"/>
      <c r="BB342" s="256"/>
      <c r="BC342" s="256"/>
      <c r="BD342" s="238"/>
      <c r="BE342" s="229" cm="1">
        <f t="array" ref="BE342">IF(ISBLANK(R342), INDEX(Use, $AH342, 4) - AM342*INDEX(Use, $AH342, 6), R342)</f>
        <v>5</v>
      </c>
      <c r="BF342" s="229">
        <f t="shared" si="463"/>
        <v>30</v>
      </c>
      <c r="BG342" s="229">
        <f t="shared" si="241"/>
        <v>13</v>
      </c>
      <c r="BH342" s="229">
        <f t="shared" si="242"/>
        <v>0</v>
      </c>
      <c r="BI342" s="234" cm="1">
        <f t="array" ref="BI342">K342/IF($L342&gt;0, INDEX($AU$23:$BA$77, $L342+20, $AH342), 1)</f>
        <v>0</v>
      </c>
      <c r="BJ342" s="230">
        <f t="shared" si="464"/>
        <v>0</v>
      </c>
      <c r="BK342" s="229">
        <v>35</v>
      </c>
      <c r="BL342" s="230">
        <f t="shared" si="465"/>
        <v>48</v>
      </c>
      <c r="BM342" s="235">
        <f t="shared" si="466"/>
        <v>2.9108720930232557</v>
      </c>
      <c r="BN342" s="235" cm="1">
        <f t="array" ref="BN342">$BI342 * SUMPRODUCT(INDEX($AR$77:$AT$82,,$AI342),INDEX($AU$77:$BA$82,,$AH342), N($AQ$77:$AQ$82&gt;$AO342)) / BM342 / 1000</f>
        <v>0</v>
      </c>
      <c r="BO342" s="232">
        <f t="shared" si="246"/>
        <v>30</v>
      </c>
      <c r="BP342" s="230">
        <f t="shared" si="467"/>
        <v>43</v>
      </c>
      <c r="BQ342" s="235">
        <f t="shared" si="468"/>
        <v>3.2938815789473681</v>
      </c>
      <c r="BR342" s="235" cm="1">
        <f t="array" ref="BR342">$BI342 * IF($AH342&lt;=2,
SUMPRODUCT(INDEX($AR$72:$AT$76,,$AI342), INDEX($AU$72:$BA$76,,$AH342), 1 / ($BB$72:$BB$76*BQ342 + (1-$BB$72:$BB$76)*BM342), N($AQ$72:$AQ$76&gt;$AO342)),
SUMPRODUCT(INDEX($AR$67:$AT$76,,$AI342), INDEX($AU$67:$BA$76,,$AH342), 1 / ($BC$67:$BC$76*BQ342 + (1-$BC$67:$BC$76)*BM342), N($AQ$67:$AQ$76&gt;$AO342))
) / 1000</f>
        <v>0</v>
      </c>
      <c r="BS342" s="232">
        <f t="shared" si="249"/>
        <v>25</v>
      </c>
      <c r="BT342" s="230">
        <f t="shared" si="469"/>
        <v>38</v>
      </c>
      <c r="BU342" s="235">
        <f t="shared" si="470"/>
        <v>3.792954545454545</v>
      </c>
      <c r="BV342" s="235" cm="1">
        <f t="array" ref="BV342">$BI342 * IF($AH342&lt;=2,
SUMPRODUCT(INDEX($AR$67:$AT$71,,$AI342), INDEX($AU$67:$BA$71,,$AH342), 1 / ($BB$67:$BB$71*BU342 + (1-$BB$67:$BB$71)*BQ342), N($AQ$67:$AQ$71&gt;$AO342)),
SUMPRODUCT(INDEX($AR$57:$AT$66,,$AI342), INDEX($AU$57:$BA$66,,$AH342), 1 / ($BC$57:$BC$66*BU342 + (1-$BC$57:$BC$66)*BQ342), N($AQ$57:$AQ$66&gt;$AO342))
) / 1000</f>
        <v>0</v>
      </c>
      <c r="BW342" s="232">
        <f t="shared" si="252"/>
        <v>20</v>
      </c>
      <c r="BX342" s="230">
        <f t="shared" si="471"/>
        <v>33</v>
      </c>
      <c r="BY342" s="235">
        <f t="shared" si="472"/>
        <v>4.4702678571428569</v>
      </c>
      <c r="BZ342" s="235" cm="1">
        <f t="array" ref="BZ342">$BI342 * IF($AH342&lt;=2,
SUMPRODUCT(INDEX($AR$62:$AT$66,,$AI342), INDEX($AU$62:$BA$66,,$AH342), 1 / ($BB$62:$BB$66*BY342 + (1-$BB$62:$BB$66)*BU342), N($AQ$62:$AQ$66&gt;$AO342)),
SUMPRODUCT(INDEX($AR$47:$AT$56,,$AI342), INDEX($AU$47:$BA$56,,$AH342), 1 / ($BC$47:$BC$56*BY342 + (1-$BC$47:$BC$56)*BU342), N($AQ$47:$AQ$56&gt;$AO342))
) / 1000</f>
        <v>0</v>
      </c>
      <c r="CA342" s="235" cm="1">
        <f t="array" ref="CA342">$BI342 * IF($AH342&lt;=2,
SUMPRODUCT(INDEX($AR$23:$AT$61,,$AI342), INDEX($AU$23:$BA$61,,$AH342), 1 / ($BB$23:$BB$61*BY342), N($AQ$23:$AQ$61&gt;$AO342)),
SUMPRODUCT(INDEX($AR$23:$AT$46,,$AI342), INDEX($AU$23:$BA$46,,$AH342), 1 / ($BC$23:$BC$46*BY342), N($AQ$23:$AQ$46&gt;$AO342))
) / 1000</f>
        <v>0</v>
      </c>
      <c r="CB342" s="230">
        <f t="shared" si="473"/>
        <v>0</v>
      </c>
      <c r="CC342" s="238"/>
      <c r="CD342" s="229" cm="1">
        <f t="array" ref="CD342">IF(ISBLANK(Y342), INDEX(Use, $AH342, 4) - AN342*INDEX(Use, $AH342, 6) - (Q342-X342), Y342)</f>
        <v>7</v>
      </c>
      <c r="CE342" s="229">
        <f t="shared" si="474"/>
        <v>32</v>
      </c>
      <c r="CF342" s="230">
        <f t="shared" si="475"/>
        <v>0</v>
      </c>
      <c r="CG342" s="229">
        <v>35</v>
      </c>
      <c r="CH342" s="230">
        <f t="shared" si="476"/>
        <v>48</v>
      </c>
      <c r="CI342" s="235">
        <f t="shared" si="477"/>
        <v>3.0748170731707316</v>
      </c>
      <c r="CJ342" s="235" cm="1">
        <f t="array" ref="CJ342">$BI342 * SUMPRODUCT(INDEX($AR$77:$AT$82,,$AI342),INDEX($AU$77:$BA$82,,$AH342), N($AQ$77:$AQ$82&gt;$AO342)) / CI342 / 1000</f>
        <v>0</v>
      </c>
      <c r="CK342" s="232">
        <f t="shared" si="260"/>
        <v>30</v>
      </c>
      <c r="CL342" s="230">
        <f t="shared" si="478"/>
        <v>43</v>
      </c>
      <c r="CM342" s="235">
        <f t="shared" si="479"/>
        <v>3.5018750000000001</v>
      </c>
      <c r="CN342" s="235" cm="1">
        <f t="array" ref="CN342">$BI342 * IF($AH342&lt;=2,
SUMPRODUCT(INDEX($AR$72:$AT$76,,$AI342), INDEX($AU$72:$BA$76,,$AH342), 1 / ($BB$72:$BB$76*CM342 + (1-$BB$72:$BB$76)*CI342), N($AQ$72:$AQ$76&gt;$AO342)),
SUMPRODUCT(INDEX($AR$67:$AT$76,,$AI342), INDEX($AU$67:$BA$76,,$AH342), 1 / ($BC$67:$BC$76*CM342 + (1-$BC$67:$BC$76)*CI342), N($AQ$67:$AQ$76&gt;$AO342))
) / 1000</f>
        <v>0</v>
      </c>
      <c r="CO342" s="232">
        <f t="shared" si="263"/>
        <v>25</v>
      </c>
      <c r="CP342" s="230">
        <f t="shared" si="480"/>
        <v>38</v>
      </c>
      <c r="CQ342" s="235">
        <f t="shared" si="481"/>
        <v>4.0666935483870965</v>
      </c>
      <c r="CR342" s="235" cm="1">
        <f t="array" ref="CR342">$BI342 * IF($AH342&lt;=2,
SUMPRODUCT(INDEX($AR$67:$AT$71,,$AI342), INDEX($AU$67:$BA$71,,$AH342), 1 / ($BB$67:$BB$71*CQ342 + (1-$BB$67:$BB$71)*CM342), N($AQ$67:$AQ$71&gt;$AO342)),
SUMPRODUCT(INDEX($AR$57:$AT$66,,$AI342), INDEX($AU$57:$BA$66,,$AH342), 1 / ($BC$57:$BC$66*CQ342 + (1-$BC$57:$BC$66)*CM342), N($AQ$57:$AQ$66&gt;$AO342))
) / 1000</f>
        <v>0</v>
      </c>
      <c r="CS342" s="232">
        <f t="shared" si="266"/>
        <v>20</v>
      </c>
      <c r="CT342" s="230">
        <f t="shared" si="482"/>
        <v>33</v>
      </c>
      <c r="CU342" s="235">
        <f t="shared" si="483"/>
        <v>4.8487499999999999</v>
      </c>
      <c r="CV342" s="235" cm="1">
        <f t="array" ref="CV342">$BI342 * IF($AH342&lt;=2,
SUMPRODUCT(INDEX($AR$62:$AT$66,,$AI342), INDEX($AU$62:$BA$66,,$AH342), 1 / ($BB$62:$BB$66*CU342 + (1-$BB$62:$BB$66)*CQ342), N($AQ$62:$AQ$66&gt;$AO342)),
SUMPRODUCT(INDEX($AR$47:$AT$56,,$AI342), INDEX($AU$47:$BA$56,,$AH342), 1 / ($BC$47:$BC$56*CU342 + (1-$BC$47:$BC$56)*CQ342), N($AQ$47:$AQ$56&gt;$AO342))
) / 1000</f>
        <v>0</v>
      </c>
      <c r="CW342" s="235" cm="1">
        <f t="array" ref="CW342">$BI342 * IF($AH342&lt;=2,
SUMPRODUCT(INDEX($AR$23:$AT$61,,$AI342), INDEX($AU$23:$BA$61,,$AH342), 1 / ($BB$23:$BB$61*CU342), N($AQ$23:$AQ$61&gt;$AO342)),
SUMPRODUCT(INDEX($AR$23:$AT$46,,$AI342), INDEX($AU$23:$BA$46,,$AH342), 1 / ($BC$23:$BC$46*CU342), N($AQ$23:$AQ$46&gt;$AO342))
) / 1000</f>
        <v>0</v>
      </c>
      <c r="CX342" s="230">
        <f t="shared" si="484"/>
        <v>0</v>
      </c>
      <c r="CY342" s="238"/>
    </row>
    <row r="343" spans="1:103" s="76" customFormat="1" ht="14.25" customHeight="1" x14ac:dyDescent="0.2">
      <c r="A343" s="231" t="b">
        <f t="shared" si="488"/>
        <v>0</v>
      </c>
      <c r="B343" s="245">
        <v>321</v>
      </c>
      <c r="C343" s="258"/>
      <c r="D343" s="258"/>
      <c r="E343" s="246"/>
      <c r="F343" s="247" t="str">
        <f>IF(ISBLANK(E343), "", VLOOKUP(E343, Z!$A$2:$C$4127, 3, FALSE))</f>
        <v/>
      </c>
      <c r="G343" s="248"/>
      <c r="H343" s="248"/>
      <c r="I343" s="249"/>
      <c r="J343" s="250"/>
      <c r="K343" s="259"/>
      <c r="L343" s="260"/>
      <c r="M343" s="252" t="str" cm="1">
        <f t="array" ref="M343">INDEX(Trad, 53, $A$20)</f>
        <v>Verschmutzt</v>
      </c>
      <c r="N343" s="253"/>
      <c r="O343" s="253"/>
      <c r="P343" s="254"/>
      <c r="Q343" s="251"/>
      <c r="R343" s="251"/>
      <c r="S343" s="264">
        <f t="shared" si="459"/>
        <v>0</v>
      </c>
      <c r="T343" s="252" t="str" cm="1">
        <f t="array" ref="T343">INDEX(Trad, 52, $A$20)</f>
        <v>Sauber</v>
      </c>
      <c r="U343" s="253"/>
      <c r="V343" s="253"/>
      <c r="W343" s="254"/>
      <c r="X343" s="251"/>
      <c r="Y343" s="251"/>
      <c r="Z343" s="264">
        <f t="shared" si="460"/>
        <v>0</v>
      </c>
      <c r="AA343" s="261"/>
      <c r="AB343" s="258"/>
      <c r="AC343" s="246"/>
      <c r="AD343" s="247" t="str">
        <f>IF(ISBLANK(AC343), "", VLOOKUP(AC343, Z!$A$2:$C$4127, 3, FALSE))</f>
        <v/>
      </c>
      <c r="AE343" s="262"/>
      <c r="AF343" s="263">
        <f t="shared" si="461"/>
        <v>0</v>
      </c>
      <c r="AG343" s="238"/>
      <c r="AH343" s="229">
        <f t="shared" si="485"/>
        <v>1</v>
      </c>
      <c r="AI343" s="229">
        <f t="shared" si="486"/>
        <v>1</v>
      </c>
      <c r="AJ343" s="229">
        <f t="shared" si="487"/>
        <v>0</v>
      </c>
      <c r="AK343" s="229">
        <v>0</v>
      </c>
      <c r="AL343" s="229">
        <v>0</v>
      </c>
      <c r="AM343" s="229">
        <v>1</v>
      </c>
      <c r="AN343" s="229">
        <v>0</v>
      </c>
      <c r="AO343" s="229">
        <f t="shared" si="462"/>
        <v>-100</v>
      </c>
      <c r="AP343" s="238"/>
      <c r="AQ343" s="255"/>
      <c r="AR343" s="255"/>
      <c r="AS343" s="256"/>
      <c r="AT343" s="256"/>
      <c r="AU343" s="256"/>
      <c r="AV343" s="256"/>
      <c r="AW343" s="256"/>
      <c r="AX343" s="256"/>
      <c r="AY343" s="256"/>
      <c r="AZ343" s="256"/>
      <c r="BA343" s="256"/>
      <c r="BB343" s="256"/>
      <c r="BC343" s="256"/>
      <c r="BD343" s="238"/>
      <c r="BE343" s="229" cm="1">
        <f t="array" ref="BE343">IF(ISBLANK(R343), INDEX(Use, $AH343, 4) - AM343*INDEX(Use, $AH343, 6), R343)</f>
        <v>5</v>
      </c>
      <c r="BF343" s="229">
        <f t="shared" si="463"/>
        <v>30</v>
      </c>
      <c r="BG343" s="229">
        <f t="shared" ref="BG343:BG406" si="489">IF($AJ343=1, 6, IF($AH343=4, 10, 13))</f>
        <v>13</v>
      </c>
      <c r="BH343" s="229">
        <f t="shared" ref="BH343:BH406" si="490">IF($AJ343=1, 9, 0)</f>
        <v>0</v>
      </c>
      <c r="BI343" s="234" cm="1">
        <f t="array" ref="BI343">K343/IF($L343&gt;0, INDEX($AU$23:$BA$77, $L343+20, $AH343), 1)</f>
        <v>0</v>
      </c>
      <c r="BJ343" s="230">
        <f t="shared" si="464"/>
        <v>0</v>
      </c>
      <c r="BK343" s="229">
        <v>35</v>
      </c>
      <c r="BL343" s="230">
        <f t="shared" si="465"/>
        <v>48</v>
      </c>
      <c r="BM343" s="235">
        <f t="shared" si="466"/>
        <v>2.9108720930232557</v>
      </c>
      <c r="BN343" s="235" cm="1">
        <f t="array" ref="BN343">$BI343 * SUMPRODUCT(INDEX($AR$77:$AT$82,,$AI343),INDEX($AU$77:$BA$82,,$AH343), N($AQ$77:$AQ$82&gt;$AO343)) / BM343 / 1000</f>
        <v>0</v>
      </c>
      <c r="BO343" s="232">
        <f t="shared" ref="BO343:BO406" si="491">IF($AH343&lt;=2, 30, 25)</f>
        <v>30</v>
      </c>
      <c r="BP343" s="230">
        <f t="shared" si="467"/>
        <v>43</v>
      </c>
      <c r="BQ343" s="235">
        <f t="shared" si="468"/>
        <v>3.2938815789473681</v>
      </c>
      <c r="BR343" s="235" cm="1">
        <f t="array" ref="BR343">$BI343 * IF($AH343&lt;=2,
SUMPRODUCT(INDEX($AR$72:$AT$76,,$AI343), INDEX($AU$72:$BA$76,,$AH343), 1 / ($BB$72:$BB$76*BQ343 + (1-$BB$72:$BB$76)*BM343), N($AQ$72:$AQ$76&gt;$AO343)),
SUMPRODUCT(INDEX($AR$67:$AT$76,,$AI343), INDEX($AU$67:$BA$76,,$AH343), 1 / ($BC$67:$BC$76*BQ343 + (1-$BC$67:$BC$76)*BM343), N($AQ$67:$AQ$76&gt;$AO343))
) / 1000</f>
        <v>0</v>
      </c>
      <c r="BS343" s="232">
        <f t="shared" ref="BS343:BS406" si="492">IF($AH343&lt;=2, 25, 15)</f>
        <v>25</v>
      </c>
      <c r="BT343" s="230">
        <f t="shared" si="469"/>
        <v>38</v>
      </c>
      <c r="BU343" s="235">
        <f t="shared" si="470"/>
        <v>3.792954545454545</v>
      </c>
      <c r="BV343" s="235" cm="1">
        <f t="array" ref="BV343">$BI343 * IF($AH343&lt;=2,
SUMPRODUCT(INDEX($AR$67:$AT$71,,$AI343), INDEX($AU$67:$BA$71,,$AH343), 1 / ($BB$67:$BB$71*BU343 + (1-$BB$67:$BB$71)*BQ343), N($AQ$67:$AQ$71&gt;$AO343)),
SUMPRODUCT(INDEX($AR$57:$AT$66,,$AI343), INDEX($AU$57:$BA$66,,$AH343), 1 / ($BC$57:$BC$66*BU343 + (1-$BC$57:$BC$66)*BQ343), N($AQ$57:$AQ$66&gt;$AO343))
) / 1000</f>
        <v>0</v>
      </c>
      <c r="BW343" s="232">
        <f t="shared" ref="BW343:BW406" si="493">IF($AH343&lt;=2, 20, 5)</f>
        <v>20</v>
      </c>
      <c r="BX343" s="230">
        <f t="shared" si="471"/>
        <v>33</v>
      </c>
      <c r="BY343" s="235">
        <f t="shared" si="472"/>
        <v>4.4702678571428569</v>
      </c>
      <c r="BZ343" s="235" cm="1">
        <f t="array" ref="BZ343">$BI343 * IF($AH343&lt;=2,
SUMPRODUCT(INDEX($AR$62:$AT$66,,$AI343), INDEX($AU$62:$BA$66,,$AH343), 1 / ($BB$62:$BB$66*BY343 + (1-$BB$62:$BB$66)*BU343), N($AQ$62:$AQ$66&gt;$AO343)),
SUMPRODUCT(INDEX($AR$47:$AT$56,,$AI343), INDEX($AU$47:$BA$56,,$AH343), 1 / ($BC$47:$BC$56*BY343 + (1-$BC$47:$BC$56)*BU343), N($AQ$47:$AQ$56&gt;$AO343))
) / 1000</f>
        <v>0</v>
      </c>
      <c r="CA343" s="235" cm="1">
        <f t="array" ref="CA343">$BI343 * IF($AH343&lt;=2,
SUMPRODUCT(INDEX($AR$23:$AT$61,,$AI343), INDEX($AU$23:$BA$61,,$AH343), 1 / ($BB$23:$BB$61*BY343), N($AQ$23:$AQ$61&gt;$AO343)),
SUMPRODUCT(INDEX($AR$23:$AT$46,,$AI343), INDEX($AU$23:$BA$46,,$AH343), 1 / ($BC$23:$BC$46*BY343), N($AQ$23:$AQ$46&gt;$AO343))
) / 1000</f>
        <v>0</v>
      </c>
      <c r="CB343" s="230">
        <f t="shared" si="473"/>
        <v>0</v>
      </c>
      <c r="CC343" s="238"/>
      <c r="CD343" s="229" cm="1">
        <f t="array" ref="CD343">IF(ISBLANK(Y343), INDEX(Use, $AH343, 4) - AN343*INDEX(Use, $AH343, 6) - (Q343-X343), Y343)</f>
        <v>7</v>
      </c>
      <c r="CE343" s="229">
        <f t="shared" si="474"/>
        <v>32</v>
      </c>
      <c r="CF343" s="230">
        <f t="shared" si="475"/>
        <v>0</v>
      </c>
      <c r="CG343" s="229">
        <v>35</v>
      </c>
      <c r="CH343" s="230">
        <f t="shared" si="476"/>
        <v>48</v>
      </c>
      <c r="CI343" s="235">
        <f t="shared" si="477"/>
        <v>3.0748170731707316</v>
      </c>
      <c r="CJ343" s="235" cm="1">
        <f t="array" ref="CJ343">$BI343 * SUMPRODUCT(INDEX($AR$77:$AT$82,,$AI343),INDEX($AU$77:$BA$82,,$AH343), N($AQ$77:$AQ$82&gt;$AO343)) / CI343 / 1000</f>
        <v>0</v>
      </c>
      <c r="CK343" s="232">
        <f t="shared" ref="CK343:CK406" si="494">IF($AH343&lt;=2, 30, 25)</f>
        <v>30</v>
      </c>
      <c r="CL343" s="230">
        <f t="shared" si="478"/>
        <v>43</v>
      </c>
      <c r="CM343" s="235">
        <f t="shared" si="479"/>
        <v>3.5018750000000001</v>
      </c>
      <c r="CN343" s="235" cm="1">
        <f t="array" ref="CN343">$BI343 * IF($AH343&lt;=2,
SUMPRODUCT(INDEX($AR$72:$AT$76,,$AI343), INDEX($AU$72:$BA$76,,$AH343), 1 / ($BB$72:$BB$76*CM343 + (1-$BB$72:$BB$76)*CI343), N($AQ$72:$AQ$76&gt;$AO343)),
SUMPRODUCT(INDEX($AR$67:$AT$76,,$AI343), INDEX($AU$67:$BA$76,,$AH343), 1 / ($BC$67:$BC$76*CM343 + (1-$BC$67:$BC$76)*CI343), N($AQ$67:$AQ$76&gt;$AO343))
) / 1000</f>
        <v>0</v>
      </c>
      <c r="CO343" s="232">
        <f t="shared" ref="CO343:CO406" si="495">IF($AH343&lt;=2, 25, 15)</f>
        <v>25</v>
      </c>
      <c r="CP343" s="230">
        <f t="shared" si="480"/>
        <v>38</v>
      </c>
      <c r="CQ343" s="235">
        <f t="shared" si="481"/>
        <v>4.0666935483870965</v>
      </c>
      <c r="CR343" s="235" cm="1">
        <f t="array" ref="CR343">$BI343 * IF($AH343&lt;=2,
SUMPRODUCT(INDEX($AR$67:$AT$71,,$AI343), INDEX($AU$67:$BA$71,,$AH343), 1 / ($BB$67:$BB$71*CQ343 + (1-$BB$67:$BB$71)*CM343), N($AQ$67:$AQ$71&gt;$AO343)),
SUMPRODUCT(INDEX($AR$57:$AT$66,,$AI343), INDEX($AU$57:$BA$66,,$AH343), 1 / ($BC$57:$BC$66*CQ343 + (1-$BC$57:$BC$66)*CM343), N($AQ$57:$AQ$66&gt;$AO343))
) / 1000</f>
        <v>0</v>
      </c>
      <c r="CS343" s="232">
        <f t="shared" ref="CS343:CS406" si="496">IF($AH343&lt;=2, 20, 5)</f>
        <v>20</v>
      </c>
      <c r="CT343" s="230">
        <f t="shared" si="482"/>
        <v>33</v>
      </c>
      <c r="CU343" s="235">
        <f t="shared" si="483"/>
        <v>4.8487499999999999</v>
      </c>
      <c r="CV343" s="235" cm="1">
        <f t="array" ref="CV343">$BI343 * IF($AH343&lt;=2,
SUMPRODUCT(INDEX($AR$62:$AT$66,,$AI343), INDEX($AU$62:$BA$66,,$AH343), 1 / ($BB$62:$BB$66*CU343 + (1-$BB$62:$BB$66)*CQ343), N($AQ$62:$AQ$66&gt;$AO343)),
SUMPRODUCT(INDEX($AR$47:$AT$56,,$AI343), INDEX($AU$47:$BA$56,,$AH343), 1 / ($BC$47:$BC$56*CU343 + (1-$BC$47:$BC$56)*CQ343), N($AQ$47:$AQ$56&gt;$AO343))
) / 1000</f>
        <v>0</v>
      </c>
      <c r="CW343" s="235" cm="1">
        <f t="array" ref="CW343">$BI343 * IF($AH343&lt;=2,
SUMPRODUCT(INDEX($AR$23:$AT$61,,$AI343), INDEX($AU$23:$BA$61,,$AH343), 1 / ($BB$23:$BB$61*CU343), N($AQ$23:$AQ$61&gt;$AO343)),
SUMPRODUCT(INDEX($AR$23:$AT$46,,$AI343), INDEX($AU$23:$BA$46,,$AH343), 1 / ($BC$23:$BC$46*CU343), N($AQ$23:$AQ$46&gt;$AO343))
) / 1000</f>
        <v>0</v>
      </c>
      <c r="CX343" s="230">
        <f t="shared" si="484"/>
        <v>0</v>
      </c>
      <c r="CY343" s="238"/>
    </row>
    <row r="344" spans="1:103" s="76" customFormat="1" ht="14.25" customHeight="1" x14ac:dyDescent="0.2">
      <c r="A344" s="231" t="b">
        <f t="shared" si="488"/>
        <v>0</v>
      </c>
      <c r="B344" s="245">
        <v>322</v>
      </c>
      <c r="C344" s="258"/>
      <c r="D344" s="258"/>
      <c r="E344" s="246"/>
      <c r="F344" s="247" t="str">
        <f>IF(ISBLANK(E344), "", VLOOKUP(E344, Z!$A$2:$C$4127, 3, FALSE))</f>
        <v/>
      </c>
      <c r="G344" s="248"/>
      <c r="H344" s="248"/>
      <c r="I344" s="249"/>
      <c r="J344" s="250"/>
      <c r="K344" s="259"/>
      <c r="L344" s="260"/>
      <c r="M344" s="252" t="str" cm="1">
        <f t="array" ref="M344">INDEX(Trad, 53, $A$20)</f>
        <v>Verschmutzt</v>
      </c>
      <c r="N344" s="253"/>
      <c r="O344" s="253"/>
      <c r="P344" s="254"/>
      <c r="Q344" s="251"/>
      <c r="R344" s="251"/>
      <c r="S344" s="264">
        <f t="shared" si="459"/>
        <v>0</v>
      </c>
      <c r="T344" s="252" t="str" cm="1">
        <f t="array" ref="T344">INDEX(Trad, 52, $A$20)</f>
        <v>Sauber</v>
      </c>
      <c r="U344" s="253"/>
      <c r="V344" s="253"/>
      <c r="W344" s="254"/>
      <c r="X344" s="251"/>
      <c r="Y344" s="251"/>
      <c r="Z344" s="264">
        <f t="shared" si="460"/>
        <v>0</v>
      </c>
      <c r="AA344" s="261"/>
      <c r="AB344" s="258"/>
      <c r="AC344" s="246"/>
      <c r="AD344" s="247" t="str">
        <f>IF(ISBLANK(AC344), "", VLOOKUP(AC344, Z!$A$2:$C$4127, 3, FALSE))</f>
        <v/>
      </c>
      <c r="AE344" s="262"/>
      <c r="AF344" s="263">
        <f t="shared" si="461"/>
        <v>0</v>
      </c>
      <c r="AG344" s="238"/>
      <c r="AH344" s="229">
        <f t="shared" si="485"/>
        <v>1</v>
      </c>
      <c r="AI344" s="229">
        <f t="shared" si="486"/>
        <v>1</v>
      </c>
      <c r="AJ344" s="229">
        <f t="shared" si="487"/>
        <v>0</v>
      </c>
      <c r="AK344" s="229">
        <v>0</v>
      </c>
      <c r="AL344" s="229">
        <v>0</v>
      </c>
      <c r="AM344" s="229">
        <v>1</v>
      </c>
      <c r="AN344" s="229">
        <v>0</v>
      </c>
      <c r="AO344" s="229">
        <f t="shared" si="462"/>
        <v>-100</v>
      </c>
      <c r="AP344" s="238"/>
      <c r="AQ344" s="255"/>
      <c r="AR344" s="255"/>
      <c r="AS344" s="256"/>
      <c r="AT344" s="256"/>
      <c r="AU344" s="256"/>
      <c r="AV344" s="256"/>
      <c r="AW344" s="256"/>
      <c r="AX344" s="256"/>
      <c r="AY344" s="256"/>
      <c r="AZ344" s="256"/>
      <c r="BA344" s="256"/>
      <c r="BB344" s="256"/>
      <c r="BC344" s="256"/>
      <c r="BD344" s="238"/>
      <c r="BE344" s="229" cm="1">
        <f t="array" ref="BE344">IF(ISBLANK(R344), INDEX(Use, $AH344, 4) - AM344*INDEX(Use, $AH344, 6), R344)</f>
        <v>5</v>
      </c>
      <c r="BF344" s="229">
        <f t="shared" si="463"/>
        <v>30</v>
      </c>
      <c r="BG344" s="229">
        <f t="shared" si="489"/>
        <v>13</v>
      </c>
      <c r="BH344" s="229">
        <f t="shared" si="490"/>
        <v>0</v>
      </c>
      <c r="BI344" s="234" cm="1">
        <f t="array" ref="BI344">K344/IF($L344&gt;0, INDEX($AU$23:$BA$77, $L344+20, $AH344), 1)</f>
        <v>0</v>
      </c>
      <c r="BJ344" s="230">
        <f t="shared" si="464"/>
        <v>0</v>
      </c>
      <c r="BK344" s="229">
        <v>35</v>
      </c>
      <c r="BL344" s="230">
        <f t="shared" si="465"/>
        <v>48</v>
      </c>
      <c r="BM344" s="235">
        <f t="shared" si="466"/>
        <v>2.9108720930232557</v>
      </c>
      <c r="BN344" s="235" cm="1">
        <f t="array" ref="BN344">$BI344 * SUMPRODUCT(INDEX($AR$77:$AT$82,,$AI344),INDEX($AU$77:$BA$82,,$AH344), N($AQ$77:$AQ$82&gt;$AO344)) / BM344 / 1000</f>
        <v>0</v>
      </c>
      <c r="BO344" s="232">
        <f t="shared" si="491"/>
        <v>30</v>
      </c>
      <c r="BP344" s="230">
        <f t="shared" si="467"/>
        <v>43</v>
      </c>
      <c r="BQ344" s="235">
        <f t="shared" si="468"/>
        <v>3.2938815789473681</v>
      </c>
      <c r="BR344" s="235" cm="1">
        <f t="array" ref="BR344">$BI344 * IF($AH344&lt;=2,
SUMPRODUCT(INDEX($AR$72:$AT$76,,$AI344), INDEX($AU$72:$BA$76,,$AH344), 1 / ($BB$72:$BB$76*BQ344 + (1-$BB$72:$BB$76)*BM344), N($AQ$72:$AQ$76&gt;$AO344)),
SUMPRODUCT(INDEX($AR$67:$AT$76,,$AI344), INDEX($AU$67:$BA$76,,$AH344), 1 / ($BC$67:$BC$76*BQ344 + (1-$BC$67:$BC$76)*BM344), N($AQ$67:$AQ$76&gt;$AO344))
) / 1000</f>
        <v>0</v>
      </c>
      <c r="BS344" s="232">
        <f t="shared" si="492"/>
        <v>25</v>
      </c>
      <c r="BT344" s="230">
        <f t="shared" si="469"/>
        <v>38</v>
      </c>
      <c r="BU344" s="235">
        <f t="shared" si="470"/>
        <v>3.792954545454545</v>
      </c>
      <c r="BV344" s="235" cm="1">
        <f t="array" ref="BV344">$BI344 * IF($AH344&lt;=2,
SUMPRODUCT(INDEX($AR$67:$AT$71,,$AI344), INDEX($AU$67:$BA$71,,$AH344), 1 / ($BB$67:$BB$71*BU344 + (1-$BB$67:$BB$71)*BQ344), N($AQ$67:$AQ$71&gt;$AO344)),
SUMPRODUCT(INDEX($AR$57:$AT$66,,$AI344), INDEX($AU$57:$BA$66,,$AH344), 1 / ($BC$57:$BC$66*BU344 + (1-$BC$57:$BC$66)*BQ344), N($AQ$57:$AQ$66&gt;$AO344))
) / 1000</f>
        <v>0</v>
      </c>
      <c r="BW344" s="232">
        <f t="shared" si="493"/>
        <v>20</v>
      </c>
      <c r="BX344" s="230">
        <f t="shared" si="471"/>
        <v>33</v>
      </c>
      <c r="BY344" s="235">
        <f t="shared" si="472"/>
        <v>4.4702678571428569</v>
      </c>
      <c r="BZ344" s="235" cm="1">
        <f t="array" ref="BZ344">$BI344 * IF($AH344&lt;=2,
SUMPRODUCT(INDEX($AR$62:$AT$66,,$AI344), INDEX($AU$62:$BA$66,,$AH344), 1 / ($BB$62:$BB$66*BY344 + (1-$BB$62:$BB$66)*BU344), N($AQ$62:$AQ$66&gt;$AO344)),
SUMPRODUCT(INDEX($AR$47:$AT$56,,$AI344), INDEX($AU$47:$BA$56,,$AH344), 1 / ($BC$47:$BC$56*BY344 + (1-$BC$47:$BC$56)*BU344), N($AQ$47:$AQ$56&gt;$AO344))
) / 1000</f>
        <v>0</v>
      </c>
      <c r="CA344" s="235" cm="1">
        <f t="array" ref="CA344">$BI344 * IF($AH344&lt;=2,
SUMPRODUCT(INDEX($AR$23:$AT$61,,$AI344), INDEX($AU$23:$BA$61,,$AH344), 1 / ($BB$23:$BB$61*BY344), N($AQ$23:$AQ$61&gt;$AO344)),
SUMPRODUCT(INDEX($AR$23:$AT$46,,$AI344), INDEX($AU$23:$BA$46,,$AH344), 1 / ($BC$23:$BC$46*BY344), N($AQ$23:$AQ$46&gt;$AO344))
) / 1000</f>
        <v>0</v>
      </c>
      <c r="CB344" s="230">
        <f t="shared" si="473"/>
        <v>0</v>
      </c>
      <c r="CC344" s="238"/>
      <c r="CD344" s="229" cm="1">
        <f t="array" ref="CD344">IF(ISBLANK(Y344), INDEX(Use, $AH344, 4) - AN344*INDEX(Use, $AH344, 6) - (Q344-X344), Y344)</f>
        <v>7</v>
      </c>
      <c r="CE344" s="229">
        <f t="shared" si="474"/>
        <v>32</v>
      </c>
      <c r="CF344" s="230">
        <f t="shared" si="475"/>
        <v>0</v>
      </c>
      <c r="CG344" s="229">
        <v>35</v>
      </c>
      <c r="CH344" s="230">
        <f t="shared" si="476"/>
        <v>48</v>
      </c>
      <c r="CI344" s="235">
        <f t="shared" si="477"/>
        <v>3.0748170731707316</v>
      </c>
      <c r="CJ344" s="235" cm="1">
        <f t="array" ref="CJ344">$BI344 * SUMPRODUCT(INDEX($AR$77:$AT$82,,$AI344),INDEX($AU$77:$BA$82,,$AH344), N($AQ$77:$AQ$82&gt;$AO344)) / CI344 / 1000</f>
        <v>0</v>
      </c>
      <c r="CK344" s="232">
        <f t="shared" si="494"/>
        <v>30</v>
      </c>
      <c r="CL344" s="230">
        <f t="shared" si="478"/>
        <v>43</v>
      </c>
      <c r="CM344" s="235">
        <f t="shared" si="479"/>
        <v>3.5018750000000001</v>
      </c>
      <c r="CN344" s="235" cm="1">
        <f t="array" ref="CN344">$BI344 * IF($AH344&lt;=2,
SUMPRODUCT(INDEX($AR$72:$AT$76,,$AI344), INDEX($AU$72:$BA$76,,$AH344), 1 / ($BB$72:$BB$76*CM344 + (1-$BB$72:$BB$76)*CI344), N($AQ$72:$AQ$76&gt;$AO344)),
SUMPRODUCT(INDEX($AR$67:$AT$76,,$AI344), INDEX($AU$67:$BA$76,,$AH344), 1 / ($BC$67:$BC$76*CM344 + (1-$BC$67:$BC$76)*CI344), N($AQ$67:$AQ$76&gt;$AO344))
) / 1000</f>
        <v>0</v>
      </c>
      <c r="CO344" s="232">
        <f t="shared" si="495"/>
        <v>25</v>
      </c>
      <c r="CP344" s="230">
        <f t="shared" si="480"/>
        <v>38</v>
      </c>
      <c r="CQ344" s="235">
        <f t="shared" si="481"/>
        <v>4.0666935483870965</v>
      </c>
      <c r="CR344" s="235" cm="1">
        <f t="array" ref="CR344">$BI344 * IF($AH344&lt;=2,
SUMPRODUCT(INDEX($AR$67:$AT$71,,$AI344), INDEX($AU$67:$BA$71,,$AH344), 1 / ($BB$67:$BB$71*CQ344 + (1-$BB$67:$BB$71)*CM344), N($AQ$67:$AQ$71&gt;$AO344)),
SUMPRODUCT(INDEX($AR$57:$AT$66,,$AI344), INDEX($AU$57:$BA$66,,$AH344), 1 / ($BC$57:$BC$66*CQ344 + (1-$BC$57:$BC$66)*CM344), N($AQ$57:$AQ$66&gt;$AO344))
) / 1000</f>
        <v>0</v>
      </c>
      <c r="CS344" s="232">
        <f t="shared" si="496"/>
        <v>20</v>
      </c>
      <c r="CT344" s="230">
        <f t="shared" si="482"/>
        <v>33</v>
      </c>
      <c r="CU344" s="235">
        <f t="shared" si="483"/>
        <v>4.8487499999999999</v>
      </c>
      <c r="CV344" s="235" cm="1">
        <f t="array" ref="CV344">$BI344 * IF($AH344&lt;=2,
SUMPRODUCT(INDEX($AR$62:$AT$66,,$AI344), INDEX($AU$62:$BA$66,,$AH344), 1 / ($BB$62:$BB$66*CU344 + (1-$BB$62:$BB$66)*CQ344), N($AQ$62:$AQ$66&gt;$AO344)),
SUMPRODUCT(INDEX($AR$47:$AT$56,,$AI344), INDEX($AU$47:$BA$56,,$AH344), 1 / ($BC$47:$BC$56*CU344 + (1-$BC$47:$BC$56)*CQ344), N($AQ$47:$AQ$56&gt;$AO344))
) / 1000</f>
        <v>0</v>
      </c>
      <c r="CW344" s="235" cm="1">
        <f t="array" ref="CW344">$BI344 * IF($AH344&lt;=2,
SUMPRODUCT(INDEX($AR$23:$AT$61,,$AI344), INDEX($AU$23:$BA$61,,$AH344), 1 / ($BB$23:$BB$61*CU344), N($AQ$23:$AQ$61&gt;$AO344)),
SUMPRODUCT(INDEX($AR$23:$AT$46,,$AI344), INDEX($AU$23:$BA$46,,$AH344), 1 / ($BC$23:$BC$46*CU344), N($AQ$23:$AQ$46&gt;$AO344))
) / 1000</f>
        <v>0</v>
      </c>
      <c r="CX344" s="230">
        <f t="shared" si="484"/>
        <v>0</v>
      </c>
      <c r="CY344" s="238"/>
    </row>
    <row r="345" spans="1:103" s="76" customFormat="1" ht="14.25" customHeight="1" x14ac:dyDescent="0.2">
      <c r="A345" s="231" t="b">
        <f t="shared" si="488"/>
        <v>0</v>
      </c>
      <c r="B345" s="245">
        <v>323</v>
      </c>
      <c r="C345" s="258"/>
      <c r="D345" s="258"/>
      <c r="E345" s="246"/>
      <c r="F345" s="247" t="str">
        <f>IF(ISBLANK(E345), "", VLOOKUP(E345, Z!$A$2:$C$4127, 3, FALSE))</f>
        <v/>
      </c>
      <c r="G345" s="248"/>
      <c r="H345" s="248"/>
      <c r="I345" s="249"/>
      <c r="J345" s="250"/>
      <c r="K345" s="259"/>
      <c r="L345" s="260"/>
      <c r="M345" s="252" t="str" cm="1">
        <f t="array" ref="M345">INDEX(Trad, 53, $A$20)</f>
        <v>Verschmutzt</v>
      </c>
      <c r="N345" s="253"/>
      <c r="O345" s="253"/>
      <c r="P345" s="254"/>
      <c r="Q345" s="251"/>
      <c r="R345" s="251"/>
      <c r="S345" s="264">
        <f t="shared" si="459"/>
        <v>0</v>
      </c>
      <c r="T345" s="252" t="str" cm="1">
        <f t="array" ref="T345">INDEX(Trad, 52, $A$20)</f>
        <v>Sauber</v>
      </c>
      <c r="U345" s="253"/>
      <c r="V345" s="253"/>
      <c r="W345" s="254"/>
      <c r="X345" s="251"/>
      <c r="Y345" s="251"/>
      <c r="Z345" s="264">
        <f t="shared" si="460"/>
        <v>0</v>
      </c>
      <c r="AA345" s="261"/>
      <c r="AB345" s="258"/>
      <c r="AC345" s="246"/>
      <c r="AD345" s="247" t="str">
        <f>IF(ISBLANK(AC345), "", VLOOKUP(AC345, Z!$A$2:$C$4127, 3, FALSE))</f>
        <v/>
      </c>
      <c r="AE345" s="262"/>
      <c r="AF345" s="263">
        <f t="shared" si="461"/>
        <v>0</v>
      </c>
      <c r="AG345" s="238"/>
      <c r="AH345" s="229">
        <f t="shared" si="485"/>
        <v>1</v>
      </c>
      <c r="AI345" s="229">
        <f t="shared" si="486"/>
        <v>1</v>
      </c>
      <c r="AJ345" s="229">
        <f t="shared" si="487"/>
        <v>0</v>
      </c>
      <c r="AK345" s="229">
        <v>0</v>
      </c>
      <c r="AL345" s="229">
        <v>0</v>
      </c>
      <c r="AM345" s="229">
        <v>1</v>
      </c>
      <c r="AN345" s="229">
        <v>0</v>
      </c>
      <c r="AO345" s="229">
        <f t="shared" si="462"/>
        <v>-100</v>
      </c>
      <c r="AP345" s="238"/>
      <c r="AQ345" s="255"/>
      <c r="AR345" s="255"/>
      <c r="AS345" s="256"/>
      <c r="AT345" s="256"/>
      <c r="AU345" s="256"/>
      <c r="AV345" s="256"/>
      <c r="AW345" s="256"/>
      <c r="AX345" s="256"/>
      <c r="AY345" s="256"/>
      <c r="AZ345" s="256"/>
      <c r="BA345" s="256"/>
      <c r="BB345" s="256"/>
      <c r="BC345" s="256"/>
      <c r="BD345" s="238"/>
      <c r="BE345" s="229" cm="1">
        <f t="array" ref="BE345">IF(ISBLANK(R345), INDEX(Use, $AH345, 4) - AM345*INDEX(Use, $AH345, 6), R345)</f>
        <v>5</v>
      </c>
      <c r="BF345" s="229">
        <f t="shared" si="463"/>
        <v>30</v>
      </c>
      <c r="BG345" s="229">
        <f t="shared" si="489"/>
        <v>13</v>
      </c>
      <c r="BH345" s="229">
        <f t="shared" si="490"/>
        <v>0</v>
      </c>
      <c r="BI345" s="234" cm="1">
        <f t="array" ref="BI345">K345/IF($L345&gt;0, INDEX($AU$23:$BA$77, $L345+20, $AH345), 1)</f>
        <v>0</v>
      </c>
      <c r="BJ345" s="230">
        <f t="shared" si="464"/>
        <v>0</v>
      </c>
      <c r="BK345" s="229">
        <v>35</v>
      </c>
      <c r="BL345" s="230">
        <f t="shared" si="465"/>
        <v>48</v>
      </c>
      <c r="BM345" s="235">
        <f t="shared" si="466"/>
        <v>2.9108720930232557</v>
      </c>
      <c r="BN345" s="235" cm="1">
        <f t="array" ref="BN345">$BI345 * SUMPRODUCT(INDEX($AR$77:$AT$82,,$AI345),INDEX($AU$77:$BA$82,,$AH345), N($AQ$77:$AQ$82&gt;$AO345)) / BM345 / 1000</f>
        <v>0</v>
      </c>
      <c r="BO345" s="232">
        <f t="shared" si="491"/>
        <v>30</v>
      </c>
      <c r="BP345" s="230">
        <f t="shared" si="467"/>
        <v>43</v>
      </c>
      <c r="BQ345" s="235">
        <f t="shared" si="468"/>
        <v>3.2938815789473681</v>
      </c>
      <c r="BR345" s="235" cm="1">
        <f t="array" ref="BR345">$BI345 * IF($AH345&lt;=2,
SUMPRODUCT(INDEX($AR$72:$AT$76,,$AI345), INDEX($AU$72:$BA$76,,$AH345), 1 / ($BB$72:$BB$76*BQ345 + (1-$BB$72:$BB$76)*BM345), N($AQ$72:$AQ$76&gt;$AO345)),
SUMPRODUCT(INDEX($AR$67:$AT$76,,$AI345), INDEX($AU$67:$BA$76,,$AH345), 1 / ($BC$67:$BC$76*BQ345 + (1-$BC$67:$BC$76)*BM345), N($AQ$67:$AQ$76&gt;$AO345))
) / 1000</f>
        <v>0</v>
      </c>
      <c r="BS345" s="232">
        <f t="shared" si="492"/>
        <v>25</v>
      </c>
      <c r="BT345" s="230">
        <f t="shared" si="469"/>
        <v>38</v>
      </c>
      <c r="BU345" s="235">
        <f t="shared" si="470"/>
        <v>3.792954545454545</v>
      </c>
      <c r="BV345" s="235" cm="1">
        <f t="array" ref="BV345">$BI345 * IF($AH345&lt;=2,
SUMPRODUCT(INDEX($AR$67:$AT$71,,$AI345), INDEX($AU$67:$BA$71,,$AH345), 1 / ($BB$67:$BB$71*BU345 + (1-$BB$67:$BB$71)*BQ345), N($AQ$67:$AQ$71&gt;$AO345)),
SUMPRODUCT(INDEX($AR$57:$AT$66,,$AI345), INDEX($AU$57:$BA$66,,$AH345), 1 / ($BC$57:$BC$66*BU345 + (1-$BC$57:$BC$66)*BQ345), N($AQ$57:$AQ$66&gt;$AO345))
) / 1000</f>
        <v>0</v>
      </c>
      <c r="BW345" s="232">
        <f t="shared" si="493"/>
        <v>20</v>
      </c>
      <c r="BX345" s="230">
        <f t="shared" si="471"/>
        <v>33</v>
      </c>
      <c r="BY345" s="235">
        <f t="shared" si="472"/>
        <v>4.4702678571428569</v>
      </c>
      <c r="BZ345" s="235" cm="1">
        <f t="array" ref="BZ345">$BI345 * IF($AH345&lt;=2,
SUMPRODUCT(INDEX($AR$62:$AT$66,,$AI345), INDEX($AU$62:$BA$66,,$AH345), 1 / ($BB$62:$BB$66*BY345 + (1-$BB$62:$BB$66)*BU345), N($AQ$62:$AQ$66&gt;$AO345)),
SUMPRODUCT(INDEX($AR$47:$AT$56,,$AI345), INDEX($AU$47:$BA$56,,$AH345), 1 / ($BC$47:$BC$56*BY345 + (1-$BC$47:$BC$56)*BU345), N($AQ$47:$AQ$56&gt;$AO345))
) / 1000</f>
        <v>0</v>
      </c>
      <c r="CA345" s="235" cm="1">
        <f t="array" ref="CA345">$BI345 * IF($AH345&lt;=2,
SUMPRODUCT(INDEX($AR$23:$AT$61,,$AI345), INDEX($AU$23:$BA$61,,$AH345), 1 / ($BB$23:$BB$61*BY345), N($AQ$23:$AQ$61&gt;$AO345)),
SUMPRODUCT(INDEX($AR$23:$AT$46,,$AI345), INDEX($AU$23:$BA$46,,$AH345), 1 / ($BC$23:$BC$46*BY345), N($AQ$23:$AQ$46&gt;$AO345))
) / 1000</f>
        <v>0</v>
      </c>
      <c r="CB345" s="230">
        <f t="shared" si="473"/>
        <v>0</v>
      </c>
      <c r="CC345" s="238"/>
      <c r="CD345" s="229" cm="1">
        <f t="array" ref="CD345">IF(ISBLANK(Y345), INDEX(Use, $AH345, 4) - AN345*INDEX(Use, $AH345, 6) - (Q345-X345), Y345)</f>
        <v>7</v>
      </c>
      <c r="CE345" s="229">
        <f t="shared" si="474"/>
        <v>32</v>
      </c>
      <c r="CF345" s="230">
        <f t="shared" si="475"/>
        <v>0</v>
      </c>
      <c r="CG345" s="229">
        <v>35</v>
      </c>
      <c r="CH345" s="230">
        <f t="shared" si="476"/>
        <v>48</v>
      </c>
      <c r="CI345" s="235">
        <f t="shared" si="477"/>
        <v>3.0748170731707316</v>
      </c>
      <c r="CJ345" s="235" cm="1">
        <f t="array" ref="CJ345">$BI345 * SUMPRODUCT(INDEX($AR$77:$AT$82,,$AI345),INDEX($AU$77:$BA$82,,$AH345), N($AQ$77:$AQ$82&gt;$AO345)) / CI345 / 1000</f>
        <v>0</v>
      </c>
      <c r="CK345" s="232">
        <f t="shared" si="494"/>
        <v>30</v>
      </c>
      <c r="CL345" s="230">
        <f t="shared" si="478"/>
        <v>43</v>
      </c>
      <c r="CM345" s="235">
        <f t="shared" si="479"/>
        <v>3.5018750000000001</v>
      </c>
      <c r="CN345" s="235" cm="1">
        <f t="array" ref="CN345">$BI345 * IF($AH345&lt;=2,
SUMPRODUCT(INDEX($AR$72:$AT$76,,$AI345), INDEX($AU$72:$BA$76,,$AH345), 1 / ($BB$72:$BB$76*CM345 + (1-$BB$72:$BB$76)*CI345), N($AQ$72:$AQ$76&gt;$AO345)),
SUMPRODUCT(INDEX($AR$67:$AT$76,,$AI345), INDEX($AU$67:$BA$76,,$AH345), 1 / ($BC$67:$BC$76*CM345 + (1-$BC$67:$BC$76)*CI345), N($AQ$67:$AQ$76&gt;$AO345))
) / 1000</f>
        <v>0</v>
      </c>
      <c r="CO345" s="232">
        <f t="shared" si="495"/>
        <v>25</v>
      </c>
      <c r="CP345" s="230">
        <f t="shared" si="480"/>
        <v>38</v>
      </c>
      <c r="CQ345" s="235">
        <f t="shared" si="481"/>
        <v>4.0666935483870965</v>
      </c>
      <c r="CR345" s="235" cm="1">
        <f t="array" ref="CR345">$BI345 * IF($AH345&lt;=2,
SUMPRODUCT(INDEX($AR$67:$AT$71,,$AI345), INDEX($AU$67:$BA$71,,$AH345), 1 / ($BB$67:$BB$71*CQ345 + (1-$BB$67:$BB$71)*CM345), N($AQ$67:$AQ$71&gt;$AO345)),
SUMPRODUCT(INDEX($AR$57:$AT$66,,$AI345), INDEX($AU$57:$BA$66,,$AH345), 1 / ($BC$57:$BC$66*CQ345 + (1-$BC$57:$BC$66)*CM345), N($AQ$57:$AQ$66&gt;$AO345))
) / 1000</f>
        <v>0</v>
      </c>
      <c r="CS345" s="232">
        <f t="shared" si="496"/>
        <v>20</v>
      </c>
      <c r="CT345" s="230">
        <f t="shared" si="482"/>
        <v>33</v>
      </c>
      <c r="CU345" s="235">
        <f t="shared" si="483"/>
        <v>4.8487499999999999</v>
      </c>
      <c r="CV345" s="235" cm="1">
        <f t="array" ref="CV345">$BI345 * IF($AH345&lt;=2,
SUMPRODUCT(INDEX($AR$62:$AT$66,,$AI345), INDEX($AU$62:$BA$66,,$AH345), 1 / ($BB$62:$BB$66*CU345 + (1-$BB$62:$BB$66)*CQ345), N($AQ$62:$AQ$66&gt;$AO345)),
SUMPRODUCT(INDEX($AR$47:$AT$56,,$AI345), INDEX($AU$47:$BA$56,,$AH345), 1 / ($BC$47:$BC$56*CU345 + (1-$BC$47:$BC$56)*CQ345), N($AQ$47:$AQ$56&gt;$AO345))
) / 1000</f>
        <v>0</v>
      </c>
      <c r="CW345" s="235" cm="1">
        <f t="array" ref="CW345">$BI345 * IF($AH345&lt;=2,
SUMPRODUCT(INDEX($AR$23:$AT$61,,$AI345), INDEX($AU$23:$BA$61,,$AH345), 1 / ($BB$23:$BB$61*CU345), N($AQ$23:$AQ$61&gt;$AO345)),
SUMPRODUCT(INDEX($AR$23:$AT$46,,$AI345), INDEX($AU$23:$BA$46,,$AH345), 1 / ($BC$23:$BC$46*CU345), N($AQ$23:$AQ$46&gt;$AO345))
) / 1000</f>
        <v>0</v>
      </c>
      <c r="CX345" s="230">
        <f t="shared" si="484"/>
        <v>0</v>
      </c>
      <c r="CY345" s="238"/>
    </row>
    <row r="346" spans="1:103" s="76" customFormat="1" ht="14.25" customHeight="1" x14ac:dyDescent="0.2">
      <c r="A346" s="231" t="b">
        <f t="shared" si="488"/>
        <v>0</v>
      </c>
      <c r="B346" s="245">
        <v>324</v>
      </c>
      <c r="C346" s="258"/>
      <c r="D346" s="258"/>
      <c r="E346" s="246"/>
      <c r="F346" s="247" t="str">
        <f>IF(ISBLANK(E346), "", VLOOKUP(E346, Z!$A$2:$C$4127, 3, FALSE))</f>
        <v/>
      </c>
      <c r="G346" s="248"/>
      <c r="H346" s="248"/>
      <c r="I346" s="249"/>
      <c r="J346" s="250"/>
      <c r="K346" s="259"/>
      <c r="L346" s="260"/>
      <c r="M346" s="252" t="str" cm="1">
        <f t="array" ref="M346">INDEX(Trad, 53, $A$20)</f>
        <v>Verschmutzt</v>
      </c>
      <c r="N346" s="253"/>
      <c r="O346" s="253"/>
      <c r="P346" s="254"/>
      <c r="Q346" s="251"/>
      <c r="R346" s="251"/>
      <c r="S346" s="264">
        <f t="shared" si="459"/>
        <v>0</v>
      </c>
      <c r="T346" s="252" t="str" cm="1">
        <f t="array" ref="T346">INDEX(Trad, 52, $A$20)</f>
        <v>Sauber</v>
      </c>
      <c r="U346" s="253"/>
      <c r="V346" s="253"/>
      <c r="W346" s="254"/>
      <c r="X346" s="251"/>
      <c r="Y346" s="251"/>
      <c r="Z346" s="264">
        <f t="shared" si="460"/>
        <v>0</v>
      </c>
      <c r="AA346" s="261"/>
      <c r="AB346" s="258"/>
      <c r="AC346" s="246"/>
      <c r="AD346" s="247" t="str">
        <f>IF(ISBLANK(AC346), "", VLOOKUP(AC346, Z!$A$2:$C$4127, 3, FALSE))</f>
        <v/>
      </c>
      <c r="AE346" s="262"/>
      <c r="AF346" s="263">
        <f t="shared" si="461"/>
        <v>0</v>
      </c>
      <c r="AG346" s="238"/>
      <c r="AH346" s="229">
        <f t="shared" si="485"/>
        <v>1</v>
      </c>
      <c r="AI346" s="229">
        <f t="shared" si="486"/>
        <v>1</v>
      </c>
      <c r="AJ346" s="229">
        <f t="shared" si="487"/>
        <v>0</v>
      </c>
      <c r="AK346" s="229">
        <v>0</v>
      </c>
      <c r="AL346" s="229">
        <v>0</v>
      </c>
      <c r="AM346" s="229">
        <v>1</v>
      </c>
      <c r="AN346" s="229">
        <v>0</v>
      </c>
      <c r="AO346" s="229">
        <f t="shared" si="462"/>
        <v>-100</v>
      </c>
      <c r="AP346" s="238"/>
      <c r="AQ346" s="255"/>
      <c r="AR346" s="255"/>
      <c r="AS346" s="256"/>
      <c r="AT346" s="256"/>
      <c r="AU346" s="256"/>
      <c r="AV346" s="256"/>
      <c r="AW346" s="256"/>
      <c r="AX346" s="256"/>
      <c r="AY346" s="256"/>
      <c r="AZ346" s="256"/>
      <c r="BA346" s="256"/>
      <c r="BB346" s="256"/>
      <c r="BC346" s="256"/>
      <c r="BD346" s="238"/>
      <c r="BE346" s="229" cm="1">
        <f t="array" ref="BE346">IF(ISBLANK(R346), INDEX(Use, $AH346, 4) - AM346*INDEX(Use, $AH346, 6), R346)</f>
        <v>5</v>
      </c>
      <c r="BF346" s="229">
        <f t="shared" si="463"/>
        <v>30</v>
      </c>
      <c r="BG346" s="229">
        <f t="shared" si="489"/>
        <v>13</v>
      </c>
      <c r="BH346" s="229">
        <f t="shared" si="490"/>
        <v>0</v>
      </c>
      <c r="BI346" s="234" cm="1">
        <f t="array" ref="BI346">K346/IF($L346&gt;0, INDEX($AU$23:$BA$77, $L346+20, $AH346), 1)</f>
        <v>0</v>
      </c>
      <c r="BJ346" s="230">
        <f t="shared" si="464"/>
        <v>0</v>
      </c>
      <c r="BK346" s="229">
        <v>35</v>
      </c>
      <c r="BL346" s="230">
        <f t="shared" si="465"/>
        <v>48</v>
      </c>
      <c r="BM346" s="235">
        <f t="shared" si="466"/>
        <v>2.9108720930232557</v>
      </c>
      <c r="BN346" s="235" cm="1">
        <f t="array" ref="BN346">$BI346 * SUMPRODUCT(INDEX($AR$77:$AT$82,,$AI346),INDEX($AU$77:$BA$82,,$AH346), N($AQ$77:$AQ$82&gt;$AO346)) / BM346 / 1000</f>
        <v>0</v>
      </c>
      <c r="BO346" s="232">
        <f t="shared" si="491"/>
        <v>30</v>
      </c>
      <c r="BP346" s="230">
        <f t="shared" si="467"/>
        <v>43</v>
      </c>
      <c r="BQ346" s="235">
        <f t="shared" si="468"/>
        <v>3.2938815789473681</v>
      </c>
      <c r="BR346" s="235" cm="1">
        <f t="array" ref="BR346">$BI346 * IF($AH346&lt;=2,
SUMPRODUCT(INDEX($AR$72:$AT$76,,$AI346), INDEX($AU$72:$BA$76,,$AH346), 1 / ($BB$72:$BB$76*BQ346 + (1-$BB$72:$BB$76)*BM346), N($AQ$72:$AQ$76&gt;$AO346)),
SUMPRODUCT(INDEX($AR$67:$AT$76,,$AI346), INDEX($AU$67:$BA$76,,$AH346), 1 / ($BC$67:$BC$76*BQ346 + (1-$BC$67:$BC$76)*BM346), N($AQ$67:$AQ$76&gt;$AO346))
) / 1000</f>
        <v>0</v>
      </c>
      <c r="BS346" s="232">
        <f t="shared" si="492"/>
        <v>25</v>
      </c>
      <c r="BT346" s="230">
        <f t="shared" si="469"/>
        <v>38</v>
      </c>
      <c r="BU346" s="235">
        <f t="shared" si="470"/>
        <v>3.792954545454545</v>
      </c>
      <c r="BV346" s="235" cm="1">
        <f t="array" ref="BV346">$BI346 * IF($AH346&lt;=2,
SUMPRODUCT(INDEX($AR$67:$AT$71,,$AI346), INDEX($AU$67:$BA$71,,$AH346), 1 / ($BB$67:$BB$71*BU346 + (1-$BB$67:$BB$71)*BQ346), N($AQ$67:$AQ$71&gt;$AO346)),
SUMPRODUCT(INDEX($AR$57:$AT$66,,$AI346), INDEX($AU$57:$BA$66,,$AH346), 1 / ($BC$57:$BC$66*BU346 + (1-$BC$57:$BC$66)*BQ346), N($AQ$57:$AQ$66&gt;$AO346))
) / 1000</f>
        <v>0</v>
      </c>
      <c r="BW346" s="232">
        <f t="shared" si="493"/>
        <v>20</v>
      </c>
      <c r="BX346" s="230">
        <f t="shared" si="471"/>
        <v>33</v>
      </c>
      <c r="BY346" s="235">
        <f t="shared" si="472"/>
        <v>4.4702678571428569</v>
      </c>
      <c r="BZ346" s="235" cm="1">
        <f t="array" ref="BZ346">$BI346 * IF($AH346&lt;=2,
SUMPRODUCT(INDEX($AR$62:$AT$66,,$AI346), INDEX($AU$62:$BA$66,,$AH346), 1 / ($BB$62:$BB$66*BY346 + (1-$BB$62:$BB$66)*BU346), N($AQ$62:$AQ$66&gt;$AO346)),
SUMPRODUCT(INDEX($AR$47:$AT$56,,$AI346), INDEX($AU$47:$BA$56,,$AH346), 1 / ($BC$47:$BC$56*BY346 + (1-$BC$47:$BC$56)*BU346), N($AQ$47:$AQ$56&gt;$AO346))
) / 1000</f>
        <v>0</v>
      </c>
      <c r="CA346" s="235" cm="1">
        <f t="array" ref="CA346">$BI346 * IF($AH346&lt;=2,
SUMPRODUCT(INDEX($AR$23:$AT$61,,$AI346), INDEX($AU$23:$BA$61,,$AH346), 1 / ($BB$23:$BB$61*BY346), N($AQ$23:$AQ$61&gt;$AO346)),
SUMPRODUCT(INDEX($AR$23:$AT$46,,$AI346), INDEX($AU$23:$BA$46,,$AH346), 1 / ($BC$23:$BC$46*BY346), N($AQ$23:$AQ$46&gt;$AO346))
) / 1000</f>
        <v>0</v>
      </c>
      <c r="CB346" s="230">
        <f t="shared" si="473"/>
        <v>0</v>
      </c>
      <c r="CC346" s="238"/>
      <c r="CD346" s="229" cm="1">
        <f t="array" ref="CD346">IF(ISBLANK(Y346), INDEX(Use, $AH346, 4) - AN346*INDEX(Use, $AH346, 6) - (Q346-X346), Y346)</f>
        <v>7</v>
      </c>
      <c r="CE346" s="229">
        <f t="shared" si="474"/>
        <v>32</v>
      </c>
      <c r="CF346" s="230">
        <f t="shared" si="475"/>
        <v>0</v>
      </c>
      <c r="CG346" s="229">
        <v>35</v>
      </c>
      <c r="CH346" s="230">
        <f t="shared" si="476"/>
        <v>48</v>
      </c>
      <c r="CI346" s="235">
        <f t="shared" si="477"/>
        <v>3.0748170731707316</v>
      </c>
      <c r="CJ346" s="235" cm="1">
        <f t="array" ref="CJ346">$BI346 * SUMPRODUCT(INDEX($AR$77:$AT$82,,$AI346),INDEX($AU$77:$BA$82,,$AH346), N($AQ$77:$AQ$82&gt;$AO346)) / CI346 / 1000</f>
        <v>0</v>
      </c>
      <c r="CK346" s="232">
        <f t="shared" si="494"/>
        <v>30</v>
      </c>
      <c r="CL346" s="230">
        <f t="shared" si="478"/>
        <v>43</v>
      </c>
      <c r="CM346" s="235">
        <f t="shared" si="479"/>
        <v>3.5018750000000001</v>
      </c>
      <c r="CN346" s="235" cm="1">
        <f t="array" ref="CN346">$BI346 * IF($AH346&lt;=2,
SUMPRODUCT(INDEX($AR$72:$AT$76,,$AI346), INDEX($AU$72:$BA$76,,$AH346), 1 / ($BB$72:$BB$76*CM346 + (1-$BB$72:$BB$76)*CI346), N($AQ$72:$AQ$76&gt;$AO346)),
SUMPRODUCT(INDEX($AR$67:$AT$76,,$AI346), INDEX($AU$67:$BA$76,,$AH346), 1 / ($BC$67:$BC$76*CM346 + (1-$BC$67:$BC$76)*CI346), N($AQ$67:$AQ$76&gt;$AO346))
) / 1000</f>
        <v>0</v>
      </c>
      <c r="CO346" s="232">
        <f t="shared" si="495"/>
        <v>25</v>
      </c>
      <c r="CP346" s="230">
        <f t="shared" si="480"/>
        <v>38</v>
      </c>
      <c r="CQ346" s="235">
        <f t="shared" si="481"/>
        <v>4.0666935483870965</v>
      </c>
      <c r="CR346" s="235" cm="1">
        <f t="array" ref="CR346">$BI346 * IF($AH346&lt;=2,
SUMPRODUCT(INDEX($AR$67:$AT$71,,$AI346), INDEX($AU$67:$BA$71,,$AH346), 1 / ($BB$67:$BB$71*CQ346 + (1-$BB$67:$BB$71)*CM346), N($AQ$67:$AQ$71&gt;$AO346)),
SUMPRODUCT(INDEX($AR$57:$AT$66,,$AI346), INDEX($AU$57:$BA$66,,$AH346), 1 / ($BC$57:$BC$66*CQ346 + (1-$BC$57:$BC$66)*CM346), N($AQ$57:$AQ$66&gt;$AO346))
) / 1000</f>
        <v>0</v>
      </c>
      <c r="CS346" s="232">
        <f t="shared" si="496"/>
        <v>20</v>
      </c>
      <c r="CT346" s="230">
        <f t="shared" si="482"/>
        <v>33</v>
      </c>
      <c r="CU346" s="235">
        <f t="shared" si="483"/>
        <v>4.8487499999999999</v>
      </c>
      <c r="CV346" s="235" cm="1">
        <f t="array" ref="CV346">$BI346 * IF($AH346&lt;=2,
SUMPRODUCT(INDEX($AR$62:$AT$66,,$AI346), INDEX($AU$62:$BA$66,,$AH346), 1 / ($BB$62:$BB$66*CU346 + (1-$BB$62:$BB$66)*CQ346), N($AQ$62:$AQ$66&gt;$AO346)),
SUMPRODUCT(INDEX($AR$47:$AT$56,,$AI346), INDEX($AU$47:$BA$56,,$AH346), 1 / ($BC$47:$BC$56*CU346 + (1-$BC$47:$BC$56)*CQ346), N($AQ$47:$AQ$56&gt;$AO346))
) / 1000</f>
        <v>0</v>
      </c>
      <c r="CW346" s="235" cm="1">
        <f t="array" ref="CW346">$BI346 * IF($AH346&lt;=2,
SUMPRODUCT(INDEX($AR$23:$AT$61,,$AI346), INDEX($AU$23:$BA$61,,$AH346), 1 / ($BB$23:$BB$61*CU346), N($AQ$23:$AQ$61&gt;$AO346)),
SUMPRODUCT(INDEX($AR$23:$AT$46,,$AI346), INDEX($AU$23:$BA$46,,$AH346), 1 / ($BC$23:$BC$46*CU346), N($AQ$23:$AQ$46&gt;$AO346))
) / 1000</f>
        <v>0</v>
      </c>
      <c r="CX346" s="230">
        <f t="shared" si="484"/>
        <v>0</v>
      </c>
      <c r="CY346" s="238"/>
    </row>
    <row r="347" spans="1:103" s="76" customFormat="1" ht="14.25" customHeight="1" x14ac:dyDescent="0.2">
      <c r="A347" s="231" t="b">
        <f t="shared" si="488"/>
        <v>0</v>
      </c>
      <c r="B347" s="245">
        <v>325</v>
      </c>
      <c r="C347" s="258"/>
      <c r="D347" s="258"/>
      <c r="E347" s="246"/>
      <c r="F347" s="247" t="str">
        <f>IF(ISBLANK(E347), "", VLOOKUP(E347, Z!$A$2:$C$4127, 3, FALSE))</f>
        <v/>
      </c>
      <c r="G347" s="248"/>
      <c r="H347" s="248"/>
      <c r="I347" s="249"/>
      <c r="J347" s="250"/>
      <c r="K347" s="259"/>
      <c r="L347" s="260"/>
      <c r="M347" s="252" t="str" cm="1">
        <f t="array" ref="M347">INDEX(Trad, 53, $A$20)</f>
        <v>Verschmutzt</v>
      </c>
      <c r="N347" s="253"/>
      <c r="O347" s="253"/>
      <c r="P347" s="254"/>
      <c r="Q347" s="251"/>
      <c r="R347" s="251"/>
      <c r="S347" s="264">
        <f t="shared" si="459"/>
        <v>0</v>
      </c>
      <c r="T347" s="252" t="str" cm="1">
        <f t="array" ref="T347">INDEX(Trad, 52, $A$20)</f>
        <v>Sauber</v>
      </c>
      <c r="U347" s="253"/>
      <c r="V347" s="253"/>
      <c r="W347" s="254"/>
      <c r="X347" s="251"/>
      <c r="Y347" s="251"/>
      <c r="Z347" s="264">
        <f t="shared" si="460"/>
        <v>0</v>
      </c>
      <c r="AA347" s="261"/>
      <c r="AB347" s="258"/>
      <c r="AC347" s="246"/>
      <c r="AD347" s="247" t="str">
        <f>IF(ISBLANK(AC347), "", VLOOKUP(AC347, Z!$A$2:$C$4127, 3, FALSE))</f>
        <v/>
      </c>
      <c r="AE347" s="262"/>
      <c r="AF347" s="263">
        <f t="shared" si="461"/>
        <v>0</v>
      </c>
      <c r="AG347" s="238"/>
      <c r="AH347" s="229">
        <f t="shared" si="485"/>
        <v>1</v>
      </c>
      <c r="AI347" s="229">
        <f t="shared" si="486"/>
        <v>1</v>
      </c>
      <c r="AJ347" s="229">
        <f t="shared" si="487"/>
        <v>0</v>
      </c>
      <c r="AK347" s="229">
        <v>0</v>
      </c>
      <c r="AL347" s="229">
        <v>0</v>
      </c>
      <c r="AM347" s="229">
        <v>1</v>
      </c>
      <c r="AN347" s="229">
        <v>0</v>
      </c>
      <c r="AO347" s="229">
        <f t="shared" si="462"/>
        <v>-100</v>
      </c>
      <c r="AP347" s="238"/>
      <c r="AQ347" s="255"/>
      <c r="AR347" s="255"/>
      <c r="AS347" s="256"/>
      <c r="AT347" s="256"/>
      <c r="AU347" s="256"/>
      <c r="AV347" s="256"/>
      <c r="AW347" s="256"/>
      <c r="AX347" s="256"/>
      <c r="AY347" s="256"/>
      <c r="AZ347" s="256"/>
      <c r="BA347" s="256"/>
      <c r="BB347" s="256"/>
      <c r="BC347" s="256"/>
      <c r="BD347" s="238"/>
      <c r="BE347" s="229" cm="1">
        <f t="array" ref="BE347">IF(ISBLANK(R347), INDEX(Use, $AH347, 4) - AM347*INDEX(Use, $AH347, 6), R347)</f>
        <v>5</v>
      </c>
      <c r="BF347" s="229">
        <f t="shared" si="463"/>
        <v>30</v>
      </c>
      <c r="BG347" s="229">
        <f t="shared" si="489"/>
        <v>13</v>
      </c>
      <c r="BH347" s="229">
        <f t="shared" si="490"/>
        <v>0</v>
      </c>
      <c r="BI347" s="234" cm="1">
        <f t="array" ref="BI347">K347/IF($L347&gt;0, INDEX($AU$23:$BA$77, $L347+20, $AH347), 1)</f>
        <v>0</v>
      </c>
      <c r="BJ347" s="230">
        <f t="shared" si="464"/>
        <v>0</v>
      </c>
      <c r="BK347" s="229">
        <v>35</v>
      </c>
      <c r="BL347" s="230">
        <f t="shared" si="465"/>
        <v>48</v>
      </c>
      <c r="BM347" s="235">
        <f t="shared" si="466"/>
        <v>2.9108720930232557</v>
      </c>
      <c r="BN347" s="235" cm="1">
        <f t="array" ref="BN347">$BI347 * SUMPRODUCT(INDEX($AR$77:$AT$82,,$AI347),INDEX($AU$77:$BA$82,,$AH347), N($AQ$77:$AQ$82&gt;$AO347)) / BM347 / 1000</f>
        <v>0</v>
      </c>
      <c r="BO347" s="232">
        <f t="shared" si="491"/>
        <v>30</v>
      </c>
      <c r="BP347" s="230">
        <f t="shared" si="467"/>
        <v>43</v>
      </c>
      <c r="BQ347" s="235">
        <f t="shared" si="468"/>
        <v>3.2938815789473681</v>
      </c>
      <c r="BR347" s="235" cm="1">
        <f t="array" ref="BR347">$BI347 * IF($AH347&lt;=2,
SUMPRODUCT(INDEX($AR$72:$AT$76,,$AI347), INDEX($AU$72:$BA$76,,$AH347), 1 / ($BB$72:$BB$76*BQ347 + (1-$BB$72:$BB$76)*BM347), N($AQ$72:$AQ$76&gt;$AO347)),
SUMPRODUCT(INDEX($AR$67:$AT$76,,$AI347), INDEX($AU$67:$BA$76,,$AH347), 1 / ($BC$67:$BC$76*BQ347 + (1-$BC$67:$BC$76)*BM347), N($AQ$67:$AQ$76&gt;$AO347))
) / 1000</f>
        <v>0</v>
      </c>
      <c r="BS347" s="232">
        <f t="shared" si="492"/>
        <v>25</v>
      </c>
      <c r="BT347" s="230">
        <f t="shared" si="469"/>
        <v>38</v>
      </c>
      <c r="BU347" s="235">
        <f t="shared" si="470"/>
        <v>3.792954545454545</v>
      </c>
      <c r="BV347" s="235" cm="1">
        <f t="array" ref="BV347">$BI347 * IF($AH347&lt;=2,
SUMPRODUCT(INDEX($AR$67:$AT$71,,$AI347), INDEX($AU$67:$BA$71,,$AH347), 1 / ($BB$67:$BB$71*BU347 + (1-$BB$67:$BB$71)*BQ347), N($AQ$67:$AQ$71&gt;$AO347)),
SUMPRODUCT(INDEX($AR$57:$AT$66,,$AI347), INDEX($AU$57:$BA$66,,$AH347), 1 / ($BC$57:$BC$66*BU347 + (1-$BC$57:$BC$66)*BQ347), N($AQ$57:$AQ$66&gt;$AO347))
) / 1000</f>
        <v>0</v>
      </c>
      <c r="BW347" s="232">
        <f t="shared" si="493"/>
        <v>20</v>
      </c>
      <c r="BX347" s="230">
        <f t="shared" si="471"/>
        <v>33</v>
      </c>
      <c r="BY347" s="235">
        <f t="shared" si="472"/>
        <v>4.4702678571428569</v>
      </c>
      <c r="BZ347" s="235" cm="1">
        <f t="array" ref="BZ347">$BI347 * IF($AH347&lt;=2,
SUMPRODUCT(INDEX($AR$62:$AT$66,,$AI347), INDEX($AU$62:$BA$66,,$AH347), 1 / ($BB$62:$BB$66*BY347 + (1-$BB$62:$BB$66)*BU347), N($AQ$62:$AQ$66&gt;$AO347)),
SUMPRODUCT(INDEX($AR$47:$AT$56,,$AI347), INDEX($AU$47:$BA$56,,$AH347), 1 / ($BC$47:$BC$56*BY347 + (1-$BC$47:$BC$56)*BU347), N($AQ$47:$AQ$56&gt;$AO347))
) / 1000</f>
        <v>0</v>
      </c>
      <c r="CA347" s="235" cm="1">
        <f t="array" ref="CA347">$BI347 * IF($AH347&lt;=2,
SUMPRODUCT(INDEX($AR$23:$AT$61,,$AI347), INDEX($AU$23:$BA$61,,$AH347), 1 / ($BB$23:$BB$61*BY347), N($AQ$23:$AQ$61&gt;$AO347)),
SUMPRODUCT(INDEX($AR$23:$AT$46,,$AI347), INDEX($AU$23:$BA$46,,$AH347), 1 / ($BC$23:$BC$46*BY347), N($AQ$23:$AQ$46&gt;$AO347))
) / 1000</f>
        <v>0</v>
      </c>
      <c r="CB347" s="230">
        <f t="shared" si="473"/>
        <v>0</v>
      </c>
      <c r="CC347" s="238"/>
      <c r="CD347" s="229" cm="1">
        <f t="array" ref="CD347">IF(ISBLANK(Y347), INDEX(Use, $AH347, 4) - AN347*INDEX(Use, $AH347, 6) - (Q347-X347), Y347)</f>
        <v>7</v>
      </c>
      <c r="CE347" s="229">
        <f t="shared" si="474"/>
        <v>32</v>
      </c>
      <c r="CF347" s="230">
        <f t="shared" si="475"/>
        <v>0</v>
      </c>
      <c r="CG347" s="229">
        <v>35</v>
      </c>
      <c r="CH347" s="230">
        <f t="shared" si="476"/>
        <v>48</v>
      </c>
      <c r="CI347" s="235">
        <f t="shared" si="477"/>
        <v>3.0748170731707316</v>
      </c>
      <c r="CJ347" s="235" cm="1">
        <f t="array" ref="CJ347">$BI347 * SUMPRODUCT(INDEX($AR$77:$AT$82,,$AI347),INDEX($AU$77:$BA$82,,$AH347), N($AQ$77:$AQ$82&gt;$AO347)) / CI347 / 1000</f>
        <v>0</v>
      </c>
      <c r="CK347" s="232">
        <f t="shared" si="494"/>
        <v>30</v>
      </c>
      <c r="CL347" s="230">
        <f t="shared" si="478"/>
        <v>43</v>
      </c>
      <c r="CM347" s="235">
        <f t="shared" si="479"/>
        <v>3.5018750000000001</v>
      </c>
      <c r="CN347" s="235" cm="1">
        <f t="array" ref="CN347">$BI347 * IF($AH347&lt;=2,
SUMPRODUCT(INDEX($AR$72:$AT$76,,$AI347), INDEX($AU$72:$BA$76,,$AH347), 1 / ($BB$72:$BB$76*CM347 + (1-$BB$72:$BB$76)*CI347), N($AQ$72:$AQ$76&gt;$AO347)),
SUMPRODUCT(INDEX($AR$67:$AT$76,,$AI347), INDEX($AU$67:$BA$76,,$AH347), 1 / ($BC$67:$BC$76*CM347 + (1-$BC$67:$BC$76)*CI347), N($AQ$67:$AQ$76&gt;$AO347))
) / 1000</f>
        <v>0</v>
      </c>
      <c r="CO347" s="232">
        <f t="shared" si="495"/>
        <v>25</v>
      </c>
      <c r="CP347" s="230">
        <f t="shared" si="480"/>
        <v>38</v>
      </c>
      <c r="CQ347" s="235">
        <f t="shared" si="481"/>
        <v>4.0666935483870965</v>
      </c>
      <c r="CR347" s="235" cm="1">
        <f t="array" ref="CR347">$BI347 * IF($AH347&lt;=2,
SUMPRODUCT(INDEX($AR$67:$AT$71,,$AI347), INDEX($AU$67:$BA$71,,$AH347), 1 / ($BB$67:$BB$71*CQ347 + (1-$BB$67:$BB$71)*CM347), N($AQ$67:$AQ$71&gt;$AO347)),
SUMPRODUCT(INDEX($AR$57:$AT$66,,$AI347), INDEX($AU$57:$BA$66,,$AH347), 1 / ($BC$57:$BC$66*CQ347 + (1-$BC$57:$BC$66)*CM347), N($AQ$57:$AQ$66&gt;$AO347))
) / 1000</f>
        <v>0</v>
      </c>
      <c r="CS347" s="232">
        <f t="shared" si="496"/>
        <v>20</v>
      </c>
      <c r="CT347" s="230">
        <f t="shared" si="482"/>
        <v>33</v>
      </c>
      <c r="CU347" s="235">
        <f t="shared" si="483"/>
        <v>4.8487499999999999</v>
      </c>
      <c r="CV347" s="235" cm="1">
        <f t="array" ref="CV347">$BI347 * IF($AH347&lt;=2,
SUMPRODUCT(INDEX($AR$62:$AT$66,,$AI347), INDEX($AU$62:$BA$66,,$AH347), 1 / ($BB$62:$BB$66*CU347 + (1-$BB$62:$BB$66)*CQ347), N($AQ$62:$AQ$66&gt;$AO347)),
SUMPRODUCT(INDEX($AR$47:$AT$56,,$AI347), INDEX($AU$47:$BA$56,,$AH347), 1 / ($BC$47:$BC$56*CU347 + (1-$BC$47:$BC$56)*CQ347), N($AQ$47:$AQ$56&gt;$AO347))
) / 1000</f>
        <v>0</v>
      </c>
      <c r="CW347" s="235" cm="1">
        <f t="array" ref="CW347">$BI347 * IF($AH347&lt;=2,
SUMPRODUCT(INDEX($AR$23:$AT$61,,$AI347), INDEX($AU$23:$BA$61,,$AH347), 1 / ($BB$23:$BB$61*CU347), N($AQ$23:$AQ$61&gt;$AO347)),
SUMPRODUCT(INDEX($AR$23:$AT$46,,$AI347), INDEX($AU$23:$BA$46,,$AH347), 1 / ($BC$23:$BC$46*CU347), N($AQ$23:$AQ$46&gt;$AO347))
) / 1000</f>
        <v>0</v>
      </c>
      <c r="CX347" s="230">
        <f t="shared" si="484"/>
        <v>0</v>
      </c>
      <c r="CY347" s="238"/>
    </row>
    <row r="348" spans="1:103" s="76" customFormat="1" ht="14.25" customHeight="1" x14ac:dyDescent="0.2">
      <c r="A348" s="231" t="b">
        <f t="shared" si="488"/>
        <v>0</v>
      </c>
      <c r="B348" s="245">
        <v>326</v>
      </c>
      <c r="C348" s="258"/>
      <c r="D348" s="258"/>
      <c r="E348" s="246"/>
      <c r="F348" s="247" t="str">
        <f>IF(ISBLANK(E348), "", VLOOKUP(E348, Z!$A$2:$C$4127, 3, FALSE))</f>
        <v/>
      </c>
      <c r="G348" s="248"/>
      <c r="H348" s="248"/>
      <c r="I348" s="249"/>
      <c r="J348" s="250"/>
      <c r="K348" s="259"/>
      <c r="L348" s="260"/>
      <c r="M348" s="252" t="str" cm="1">
        <f t="array" ref="M348">INDEX(Trad, 53, $A$20)</f>
        <v>Verschmutzt</v>
      </c>
      <c r="N348" s="253"/>
      <c r="O348" s="253"/>
      <c r="P348" s="254"/>
      <c r="Q348" s="251"/>
      <c r="R348" s="251"/>
      <c r="S348" s="264">
        <f t="shared" si="459"/>
        <v>0</v>
      </c>
      <c r="T348" s="252" t="str" cm="1">
        <f t="array" ref="T348">INDEX(Trad, 52, $A$20)</f>
        <v>Sauber</v>
      </c>
      <c r="U348" s="253"/>
      <c r="V348" s="253"/>
      <c r="W348" s="254"/>
      <c r="X348" s="251"/>
      <c r="Y348" s="251"/>
      <c r="Z348" s="264">
        <f t="shared" si="460"/>
        <v>0</v>
      </c>
      <c r="AA348" s="261"/>
      <c r="AB348" s="258"/>
      <c r="AC348" s="246"/>
      <c r="AD348" s="247" t="str">
        <f>IF(ISBLANK(AC348), "", VLOOKUP(AC348, Z!$A$2:$C$4127, 3, FALSE))</f>
        <v/>
      </c>
      <c r="AE348" s="262"/>
      <c r="AF348" s="263">
        <f t="shared" si="461"/>
        <v>0</v>
      </c>
      <c r="AG348" s="238"/>
      <c r="AH348" s="229">
        <f t="shared" si="485"/>
        <v>1</v>
      </c>
      <c r="AI348" s="229">
        <f t="shared" si="486"/>
        <v>1</v>
      </c>
      <c r="AJ348" s="229">
        <f t="shared" si="487"/>
        <v>0</v>
      </c>
      <c r="AK348" s="229">
        <v>0</v>
      </c>
      <c r="AL348" s="229">
        <v>0</v>
      </c>
      <c r="AM348" s="229">
        <v>1</v>
      </c>
      <c r="AN348" s="229">
        <v>0</v>
      </c>
      <c r="AO348" s="229">
        <f t="shared" si="462"/>
        <v>-100</v>
      </c>
      <c r="AP348" s="238"/>
      <c r="AQ348" s="255"/>
      <c r="AR348" s="255"/>
      <c r="AS348" s="256"/>
      <c r="AT348" s="256"/>
      <c r="AU348" s="256"/>
      <c r="AV348" s="256"/>
      <c r="AW348" s="256"/>
      <c r="AX348" s="256"/>
      <c r="AY348" s="256"/>
      <c r="AZ348" s="256"/>
      <c r="BA348" s="256"/>
      <c r="BB348" s="256"/>
      <c r="BC348" s="256"/>
      <c r="BD348" s="238"/>
      <c r="BE348" s="229" cm="1">
        <f t="array" ref="BE348">IF(ISBLANK(R348), INDEX(Use, $AH348, 4) - AM348*INDEX(Use, $AH348, 6), R348)</f>
        <v>5</v>
      </c>
      <c r="BF348" s="229">
        <f t="shared" si="463"/>
        <v>30</v>
      </c>
      <c r="BG348" s="229">
        <f t="shared" si="489"/>
        <v>13</v>
      </c>
      <c r="BH348" s="229">
        <f t="shared" si="490"/>
        <v>0</v>
      </c>
      <c r="BI348" s="234" cm="1">
        <f t="array" ref="BI348">K348/IF($L348&gt;0, INDEX($AU$23:$BA$77, $L348+20, $AH348), 1)</f>
        <v>0</v>
      </c>
      <c r="BJ348" s="230">
        <f t="shared" si="464"/>
        <v>0</v>
      </c>
      <c r="BK348" s="229">
        <v>35</v>
      </c>
      <c r="BL348" s="230">
        <f t="shared" si="465"/>
        <v>48</v>
      </c>
      <c r="BM348" s="235">
        <f t="shared" si="466"/>
        <v>2.9108720930232557</v>
      </c>
      <c r="BN348" s="235" cm="1">
        <f t="array" ref="BN348">$BI348 * SUMPRODUCT(INDEX($AR$77:$AT$82,,$AI348),INDEX($AU$77:$BA$82,,$AH348), N($AQ$77:$AQ$82&gt;$AO348)) / BM348 / 1000</f>
        <v>0</v>
      </c>
      <c r="BO348" s="232">
        <f t="shared" si="491"/>
        <v>30</v>
      </c>
      <c r="BP348" s="230">
        <f t="shared" si="467"/>
        <v>43</v>
      </c>
      <c r="BQ348" s="235">
        <f t="shared" si="468"/>
        <v>3.2938815789473681</v>
      </c>
      <c r="BR348" s="235" cm="1">
        <f t="array" ref="BR348">$BI348 * IF($AH348&lt;=2,
SUMPRODUCT(INDEX($AR$72:$AT$76,,$AI348), INDEX($AU$72:$BA$76,,$AH348), 1 / ($BB$72:$BB$76*BQ348 + (1-$BB$72:$BB$76)*BM348), N($AQ$72:$AQ$76&gt;$AO348)),
SUMPRODUCT(INDEX($AR$67:$AT$76,,$AI348), INDEX($AU$67:$BA$76,,$AH348), 1 / ($BC$67:$BC$76*BQ348 + (1-$BC$67:$BC$76)*BM348), N($AQ$67:$AQ$76&gt;$AO348))
) / 1000</f>
        <v>0</v>
      </c>
      <c r="BS348" s="232">
        <f t="shared" si="492"/>
        <v>25</v>
      </c>
      <c r="BT348" s="230">
        <f t="shared" si="469"/>
        <v>38</v>
      </c>
      <c r="BU348" s="235">
        <f t="shared" si="470"/>
        <v>3.792954545454545</v>
      </c>
      <c r="BV348" s="235" cm="1">
        <f t="array" ref="BV348">$BI348 * IF($AH348&lt;=2,
SUMPRODUCT(INDEX($AR$67:$AT$71,,$AI348), INDEX($AU$67:$BA$71,,$AH348), 1 / ($BB$67:$BB$71*BU348 + (1-$BB$67:$BB$71)*BQ348), N($AQ$67:$AQ$71&gt;$AO348)),
SUMPRODUCT(INDEX($AR$57:$AT$66,,$AI348), INDEX($AU$57:$BA$66,,$AH348), 1 / ($BC$57:$BC$66*BU348 + (1-$BC$57:$BC$66)*BQ348), N($AQ$57:$AQ$66&gt;$AO348))
) / 1000</f>
        <v>0</v>
      </c>
      <c r="BW348" s="232">
        <f t="shared" si="493"/>
        <v>20</v>
      </c>
      <c r="BX348" s="230">
        <f t="shared" si="471"/>
        <v>33</v>
      </c>
      <c r="BY348" s="235">
        <f t="shared" si="472"/>
        <v>4.4702678571428569</v>
      </c>
      <c r="BZ348" s="235" cm="1">
        <f t="array" ref="BZ348">$BI348 * IF($AH348&lt;=2,
SUMPRODUCT(INDEX($AR$62:$AT$66,,$AI348), INDEX($AU$62:$BA$66,,$AH348), 1 / ($BB$62:$BB$66*BY348 + (1-$BB$62:$BB$66)*BU348), N($AQ$62:$AQ$66&gt;$AO348)),
SUMPRODUCT(INDEX($AR$47:$AT$56,,$AI348), INDEX($AU$47:$BA$56,,$AH348), 1 / ($BC$47:$BC$56*BY348 + (1-$BC$47:$BC$56)*BU348), N($AQ$47:$AQ$56&gt;$AO348))
) / 1000</f>
        <v>0</v>
      </c>
      <c r="CA348" s="235" cm="1">
        <f t="array" ref="CA348">$BI348 * IF($AH348&lt;=2,
SUMPRODUCT(INDEX($AR$23:$AT$61,,$AI348), INDEX($AU$23:$BA$61,,$AH348), 1 / ($BB$23:$BB$61*BY348), N($AQ$23:$AQ$61&gt;$AO348)),
SUMPRODUCT(INDEX($AR$23:$AT$46,,$AI348), INDEX($AU$23:$BA$46,,$AH348), 1 / ($BC$23:$BC$46*BY348), N($AQ$23:$AQ$46&gt;$AO348))
) / 1000</f>
        <v>0</v>
      </c>
      <c r="CB348" s="230">
        <f t="shared" si="473"/>
        <v>0</v>
      </c>
      <c r="CC348" s="238"/>
      <c r="CD348" s="229" cm="1">
        <f t="array" ref="CD348">IF(ISBLANK(Y348), INDEX(Use, $AH348, 4) - AN348*INDEX(Use, $AH348, 6) - (Q348-X348), Y348)</f>
        <v>7</v>
      </c>
      <c r="CE348" s="229">
        <f t="shared" si="474"/>
        <v>32</v>
      </c>
      <c r="CF348" s="230">
        <f t="shared" si="475"/>
        <v>0</v>
      </c>
      <c r="CG348" s="229">
        <v>35</v>
      </c>
      <c r="CH348" s="230">
        <f t="shared" si="476"/>
        <v>48</v>
      </c>
      <c r="CI348" s="235">
        <f t="shared" si="477"/>
        <v>3.0748170731707316</v>
      </c>
      <c r="CJ348" s="235" cm="1">
        <f t="array" ref="CJ348">$BI348 * SUMPRODUCT(INDEX($AR$77:$AT$82,,$AI348),INDEX($AU$77:$BA$82,,$AH348), N($AQ$77:$AQ$82&gt;$AO348)) / CI348 / 1000</f>
        <v>0</v>
      </c>
      <c r="CK348" s="232">
        <f t="shared" si="494"/>
        <v>30</v>
      </c>
      <c r="CL348" s="230">
        <f t="shared" si="478"/>
        <v>43</v>
      </c>
      <c r="CM348" s="235">
        <f t="shared" si="479"/>
        <v>3.5018750000000001</v>
      </c>
      <c r="CN348" s="235" cm="1">
        <f t="array" ref="CN348">$BI348 * IF($AH348&lt;=2,
SUMPRODUCT(INDEX($AR$72:$AT$76,,$AI348), INDEX($AU$72:$BA$76,,$AH348), 1 / ($BB$72:$BB$76*CM348 + (1-$BB$72:$BB$76)*CI348), N($AQ$72:$AQ$76&gt;$AO348)),
SUMPRODUCT(INDEX($AR$67:$AT$76,,$AI348), INDEX($AU$67:$BA$76,,$AH348), 1 / ($BC$67:$BC$76*CM348 + (1-$BC$67:$BC$76)*CI348), N($AQ$67:$AQ$76&gt;$AO348))
) / 1000</f>
        <v>0</v>
      </c>
      <c r="CO348" s="232">
        <f t="shared" si="495"/>
        <v>25</v>
      </c>
      <c r="CP348" s="230">
        <f t="shared" si="480"/>
        <v>38</v>
      </c>
      <c r="CQ348" s="235">
        <f t="shared" si="481"/>
        <v>4.0666935483870965</v>
      </c>
      <c r="CR348" s="235" cm="1">
        <f t="array" ref="CR348">$BI348 * IF($AH348&lt;=2,
SUMPRODUCT(INDEX($AR$67:$AT$71,,$AI348), INDEX($AU$67:$BA$71,,$AH348), 1 / ($BB$67:$BB$71*CQ348 + (1-$BB$67:$BB$71)*CM348), N($AQ$67:$AQ$71&gt;$AO348)),
SUMPRODUCT(INDEX($AR$57:$AT$66,,$AI348), INDEX($AU$57:$BA$66,,$AH348), 1 / ($BC$57:$BC$66*CQ348 + (1-$BC$57:$BC$66)*CM348), N($AQ$57:$AQ$66&gt;$AO348))
) / 1000</f>
        <v>0</v>
      </c>
      <c r="CS348" s="232">
        <f t="shared" si="496"/>
        <v>20</v>
      </c>
      <c r="CT348" s="230">
        <f t="shared" si="482"/>
        <v>33</v>
      </c>
      <c r="CU348" s="235">
        <f t="shared" si="483"/>
        <v>4.8487499999999999</v>
      </c>
      <c r="CV348" s="235" cm="1">
        <f t="array" ref="CV348">$BI348 * IF($AH348&lt;=2,
SUMPRODUCT(INDEX($AR$62:$AT$66,,$AI348), INDEX($AU$62:$BA$66,,$AH348), 1 / ($BB$62:$BB$66*CU348 + (1-$BB$62:$BB$66)*CQ348), N($AQ$62:$AQ$66&gt;$AO348)),
SUMPRODUCT(INDEX($AR$47:$AT$56,,$AI348), INDEX($AU$47:$BA$56,,$AH348), 1 / ($BC$47:$BC$56*CU348 + (1-$BC$47:$BC$56)*CQ348), N($AQ$47:$AQ$56&gt;$AO348))
) / 1000</f>
        <v>0</v>
      </c>
      <c r="CW348" s="235" cm="1">
        <f t="array" ref="CW348">$BI348 * IF($AH348&lt;=2,
SUMPRODUCT(INDEX($AR$23:$AT$61,,$AI348), INDEX($AU$23:$BA$61,,$AH348), 1 / ($BB$23:$BB$61*CU348), N($AQ$23:$AQ$61&gt;$AO348)),
SUMPRODUCT(INDEX($AR$23:$AT$46,,$AI348), INDEX($AU$23:$BA$46,,$AH348), 1 / ($BC$23:$BC$46*CU348), N($AQ$23:$AQ$46&gt;$AO348))
) / 1000</f>
        <v>0</v>
      </c>
      <c r="CX348" s="230">
        <f t="shared" si="484"/>
        <v>0</v>
      </c>
      <c r="CY348" s="238"/>
    </row>
    <row r="349" spans="1:103" s="76" customFormat="1" ht="14.25" customHeight="1" x14ac:dyDescent="0.2">
      <c r="A349" s="231" t="b">
        <f t="shared" si="488"/>
        <v>0</v>
      </c>
      <c r="B349" s="245">
        <v>327</v>
      </c>
      <c r="C349" s="258"/>
      <c r="D349" s="258"/>
      <c r="E349" s="246"/>
      <c r="F349" s="247" t="str">
        <f>IF(ISBLANK(E349), "", VLOOKUP(E349, Z!$A$2:$C$4127, 3, FALSE))</f>
        <v/>
      </c>
      <c r="G349" s="248"/>
      <c r="H349" s="248"/>
      <c r="I349" s="249"/>
      <c r="J349" s="250"/>
      <c r="K349" s="259"/>
      <c r="L349" s="260"/>
      <c r="M349" s="252" t="str" cm="1">
        <f t="array" ref="M349">INDEX(Trad, 53, $A$20)</f>
        <v>Verschmutzt</v>
      </c>
      <c r="N349" s="253"/>
      <c r="O349" s="253"/>
      <c r="P349" s="254"/>
      <c r="Q349" s="251"/>
      <c r="R349" s="251"/>
      <c r="S349" s="264">
        <f t="shared" si="459"/>
        <v>0</v>
      </c>
      <c r="T349" s="252" t="str" cm="1">
        <f t="array" ref="T349">INDEX(Trad, 52, $A$20)</f>
        <v>Sauber</v>
      </c>
      <c r="U349" s="253"/>
      <c r="V349" s="253"/>
      <c r="W349" s="254"/>
      <c r="X349" s="251"/>
      <c r="Y349" s="251"/>
      <c r="Z349" s="264">
        <f t="shared" si="460"/>
        <v>0</v>
      </c>
      <c r="AA349" s="261"/>
      <c r="AB349" s="258"/>
      <c r="AC349" s="246"/>
      <c r="AD349" s="247" t="str">
        <f>IF(ISBLANK(AC349), "", VLOOKUP(AC349, Z!$A$2:$C$4127, 3, FALSE))</f>
        <v/>
      </c>
      <c r="AE349" s="262"/>
      <c r="AF349" s="263">
        <f t="shared" si="461"/>
        <v>0</v>
      </c>
      <c r="AG349" s="238"/>
      <c r="AH349" s="229">
        <f t="shared" si="485"/>
        <v>1</v>
      </c>
      <c r="AI349" s="229">
        <f t="shared" si="486"/>
        <v>1</v>
      </c>
      <c r="AJ349" s="229">
        <f t="shared" si="487"/>
        <v>0</v>
      </c>
      <c r="AK349" s="229">
        <v>0</v>
      </c>
      <c r="AL349" s="229">
        <v>0</v>
      </c>
      <c r="AM349" s="229">
        <v>1</v>
      </c>
      <c r="AN349" s="229">
        <v>0</v>
      </c>
      <c r="AO349" s="229">
        <f t="shared" si="462"/>
        <v>-100</v>
      </c>
      <c r="AP349" s="238"/>
      <c r="AQ349" s="255"/>
      <c r="AR349" s="255"/>
      <c r="AS349" s="256"/>
      <c r="AT349" s="256"/>
      <c r="AU349" s="256"/>
      <c r="AV349" s="256"/>
      <c r="AW349" s="256"/>
      <c r="AX349" s="256"/>
      <c r="AY349" s="256"/>
      <c r="AZ349" s="256"/>
      <c r="BA349" s="256"/>
      <c r="BB349" s="256"/>
      <c r="BC349" s="256"/>
      <c r="BD349" s="238"/>
      <c r="BE349" s="229" cm="1">
        <f t="array" ref="BE349">IF(ISBLANK(R349), INDEX(Use, $AH349, 4) - AM349*INDEX(Use, $AH349, 6), R349)</f>
        <v>5</v>
      </c>
      <c r="BF349" s="229">
        <f t="shared" si="463"/>
        <v>30</v>
      </c>
      <c r="BG349" s="229">
        <f t="shared" si="489"/>
        <v>13</v>
      </c>
      <c r="BH349" s="229">
        <f t="shared" si="490"/>
        <v>0</v>
      </c>
      <c r="BI349" s="234" cm="1">
        <f t="array" ref="BI349">K349/IF($L349&gt;0, INDEX($AU$23:$BA$77, $L349+20, $AH349), 1)</f>
        <v>0</v>
      </c>
      <c r="BJ349" s="230">
        <f t="shared" si="464"/>
        <v>0</v>
      </c>
      <c r="BK349" s="229">
        <v>35</v>
      </c>
      <c r="BL349" s="230">
        <f t="shared" si="465"/>
        <v>48</v>
      </c>
      <c r="BM349" s="235">
        <f t="shared" si="466"/>
        <v>2.9108720930232557</v>
      </c>
      <c r="BN349" s="235" cm="1">
        <f t="array" ref="BN349">$BI349 * SUMPRODUCT(INDEX($AR$77:$AT$82,,$AI349),INDEX($AU$77:$BA$82,,$AH349), N($AQ$77:$AQ$82&gt;$AO349)) / BM349 / 1000</f>
        <v>0</v>
      </c>
      <c r="BO349" s="232">
        <f t="shared" si="491"/>
        <v>30</v>
      </c>
      <c r="BP349" s="230">
        <f t="shared" si="467"/>
        <v>43</v>
      </c>
      <c r="BQ349" s="235">
        <f t="shared" si="468"/>
        <v>3.2938815789473681</v>
      </c>
      <c r="BR349" s="235" cm="1">
        <f t="array" ref="BR349">$BI349 * IF($AH349&lt;=2,
SUMPRODUCT(INDEX($AR$72:$AT$76,,$AI349), INDEX($AU$72:$BA$76,,$AH349), 1 / ($BB$72:$BB$76*BQ349 + (1-$BB$72:$BB$76)*BM349), N($AQ$72:$AQ$76&gt;$AO349)),
SUMPRODUCT(INDEX($AR$67:$AT$76,,$AI349), INDEX($AU$67:$BA$76,,$AH349), 1 / ($BC$67:$BC$76*BQ349 + (1-$BC$67:$BC$76)*BM349), N($AQ$67:$AQ$76&gt;$AO349))
) / 1000</f>
        <v>0</v>
      </c>
      <c r="BS349" s="232">
        <f t="shared" si="492"/>
        <v>25</v>
      </c>
      <c r="BT349" s="230">
        <f t="shared" si="469"/>
        <v>38</v>
      </c>
      <c r="BU349" s="235">
        <f t="shared" si="470"/>
        <v>3.792954545454545</v>
      </c>
      <c r="BV349" s="235" cm="1">
        <f t="array" ref="BV349">$BI349 * IF($AH349&lt;=2,
SUMPRODUCT(INDEX($AR$67:$AT$71,,$AI349), INDEX($AU$67:$BA$71,,$AH349), 1 / ($BB$67:$BB$71*BU349 + (1-$BB$67:$BB$71)*BQ349), N($AQ$67:$AQ$71&gt;$AO349)),
SUMPRODUCT(INDEX($AR$57:$AT$66,,$AI349), INDEX($AU$57:$BA$66,,$AH349), 1 / ($BC$57:$BC$66*BU349 + (1-$BC$57:$BC$66)*BQ349), N($AQ$57:$AQ$66&gt;$AO349))
) / 1000</f>
        <v>0</v>
      </c>
      <c r="BW349" s="232">
        <f t="shared" si="493"/>
        <v>20</v>
      </c>
      <c r="BX349" s="230">
        <f t="shared" si="471"/>
        <v>33</v>
      </c>
      <c r="BY349" s="235">
        <f t="shared" si="472"/>
        <v>4.4702678571428569</v>
      </c>
      <c r="BZ349" s="235" cm="1">
        <f t="array" ref="BZ349">$BI349 * IF($AH349&lt;=2,
SUMPRODUCT(INDEX($AR$62:$AT$66,,$AI349), INDEX($AU$62:$BA$66,,$AH349), 1 / ($BB$62:$BB$66*BY349 + (1-$BB$62:$BB$66)*BU349), N($AQ$62:$AQ$66&gt;$AO349)),
SUMPRODUCT(INDEX($AR$47:$AT$56,,$AI349), INDEX($AU$47:$BA$56,,$AH349), 1 / ($BC$47:$BC$56*BY349 + (1-$BC$47:$BC$56)*BU349), N($AQ$47:$AQ$56&gt;$AO349))
) / 1000</f>
        <v>0</v>
      </c>
      <c r="CA349" s="235" cm="1">
        <f t="array" ref="CA349">$BI349 * IF($AH349&lt;=2,
SUMPRODUCT(INDEX($AR$23:$AT$61,,$AI349), INDEX($AU$23:$BA$61,,$AH349), 1 / ($BB$23:$BB$61*BY349), N($AQ$23:$AQ$61&gt;$AO349)),
SUMPRODUCT(INDEX($AR$23:$AT$46,,$AI349), INDEX($AU$23:$BA$46,,$AH349), 1 / ($BC$23:$BC$46*BY349), N($AQ$23:$AQ$46&gt;$AO349))
) / 1000</f>
        <v>0</v>
      </c>
      <c r="CB349" s="230">
        <f t="shared" si="473"/>
        <v>0</v>
      </c>
      <c r="CC349" s="238"/>
      <c r="CD349" s="229" cm="1">
        <f t="array" ref="CD349">IF(ISBLANK(Y349), INDEX(Use, $AH349, 4) - AN349*INDEX(Use, $AH349, 6) - (Q349-X349), Y349)</f>
        <v>7</v>
      </c>
      <c r="CE349" s="229">
        <f t="shared" si="474"/>
        <v>32</v>
      </c>
      <c r="CF349" s="230">
        <f t="shared" si="475"/>
        <v>0</v>
      </c>
      <c r="CG349" s="229">
        <v>35</v>
      </c>
      <c r="CH349" s="230">
        <f t="shared" si="476"/>
        <v>48</v>
      </c>
      <c r="CI349" s="235">
        <f t="shared" si="477"/>
        <v>3.0748170731707316</v>
      </c>
      <c r="CJ349" s="235" cm="1">
        <f t="array" ref="CJ349">$BI349 * SUMPRODUCT(INDEX($AR$77:$AT$82,,$AI349),INDEX($AU$77:$BA$82,,$AH349), N($AQ$77:$AQ$82&gt;$AO349)) / CI349 / 1000</f>
        <v>0</v>
      </c>
      <c r="CK349" s="232">
        <f t="shared" si="494"/>
        <v>30</v>
      </c>
      <c r="CL349" s="230">
        <f t="shared" si="478"/>
        <v>43</v>
      </c>
      <c r="CM349" s="235">
        <f t="shared" si="479"/>
        <v>3.5018750000000001</v>
      </c>
      <c r="CN349" s="235" cm="1">
        <f t="array" ref="CN349">$BI349 * IF($AH349&lt;=2,
SUMPRODUCT(INDEX($AR$72:$AT$76,,$AI349), INDEX($AU$72:$BA$76,,$AH349), 1 / ($BB$72:$BB$76*CM349 + (1-$BB$72:$BB$76)*CI349), N($AQ$72:$AQ$76&gt;$AO349)),
SUMPRODUCT(INDEX($AR$67:$AT$76,,$AI349), INDEX($AU$67:$BA$76,,$AH349), 1 / ($BC$67:$BC$76*CM349 + (1-$BC$67:$BC$76)*CI349), N($AQ$67:$AQ$76&gt;$AO349))
) / 1000</f>
        <v>0</v>
      </c>
      <c r="CO349" s="232">
        <f t="shared" si="495"/>
        <v>25</v>
      </c>
      <c r="CP349" s="230">
        <f t="shared" si="480"/>
        <v>38</v>
      </c>
      <c r="CQ349" s="235">
        <f t="shared" si="481"/>
        <v>4.0666935483870965</v>
      </c>
      <c r="CR349" s="235" cm="1">
        <f t="array" ref="CR349">$BI349 * IF($AH349&lt;=2,
SUMPRODUCT(INDEX($AR$67:$AT$71,,$AI349), INDEX($AU$67:$BA$71,,$AH349), 1 / ($BB$67:$BB$71*CQ349 + (1-$BB$67:$BB$71)*CM349), N($AQ$67:$AQ$71&gt;$AO349)),
SUMPRODUCT(INDEX($AR$57:$AT$66,,$AI349), INDEX($AU$57:$BA$66,,$AH349), 1 / ($BC$57:$BC$66*CQ349 + (1-$BC$57:$BC$66)*CM349), N($AQ$57:$AQ$66&gt;$AO349))
) / 1000</f>
        <v>0</v>
      </c>
      <c r="CS349" s="232">
        <f t="shared" si="496"/>
        <v>20</v>
      </c>
      <c r="CT349" s="230">
        <f t="shared" si="482"/>
        <v>33</v>
      </c>
      <c r="CU349" s="235">
        <f t="shared" si="483"/>
        <v>4.8487499999999999</v>
      </c>
      <c r="CV349" s="235" cm="1">
        <f t="array" ref="CV349">$BI349 * IF($AH349&lt;=2,
SUMPRODUCT(INDEX($AR$62:$AT$66,,$AI349), INDEX($AU$62:$BA$66,,$AH349), 1 / ($BB$62:$BB$66*CU349 + (1-$BB$62:$BB$66)*CQ349), N($AQ$62:$AQ$66&gt;$AO349)),
SUMPRODUCT(INDEX($AR$47:$AT$56,,$AI349), INDEX($AU$47:$BA$56,,$AH349), 1 / ($BC$47:$BC$56*CU349 + (1-$BC$47:$BC$56)*CQ349), N($AQ$47:$AQ$56&gt;$AO349))
) / 1000</f>
        <v>0</v>
      </c>
      <c r="CW349" s="235" cm="1">
        <f t="array" ref="CW349">$BI349 * IF($AH349&lt;=2,
SUMPRODUCT(INDEX($AR$23:$AT$61,,$AI349), INDEX($AU$23:$BA$61,,$AH349), 1 / ($BB$23:$BB$61*CU349), N($AQ$23:$AQ$61&gt;$AO349)),
SUMPRODUCT(INDEX($AR$23:$AT$46,,$AI349), INDEX($AU$23:$BA$46,,$AH349), 1 / ($BC$23:$BC$46*CU349), N($AQ$23:$AQ$46&gt;$AO349))
) / 1000</f>
        <v>0</v>
      </c>
      <c r="CX349" s="230">
        <f t="shared" si="484"/>
        <v>0</v>
      </c>
      <c r="CY349" s="238"/>
    </row>
    <row r="350" spans="1:103" s="76" customFormat="1" ht="14.25" customHeight="1" x14ac:dyDescent="0.2">
      <c r="A350" s="231" t="b">
        <f t="shared" si="488"/>
        <v>0</v>
      </c>
      <c r="B350" s="245">
        <v>328</v>
      </c>
      <c r="C350" s="258"/>
      <c r="D350" s="258"/>
      <c r="E350" s="246"/>
      <c r="F350" s="247" t="str">
        <f>IF(ISBLANK(E350), "", VLOOKUP(E350, Z!$A$2:$C$4127, 3, FALSE))</f>
        <v/>
      </c>
      <c r="G350" s="248"/>
      <c r="H350" s="248"/>
      <c r="I350" s="249"/>
      <c r="J350" s="250"/>
      <c r="K350" s="259"/>
      <c r="L350" s="260"/>
      <c r="M350" s="252" t="str" cm="1">
        <f t="array" ref="M350">INDEX(Trad, 53, $A$20)</f>
        <v>Verschmutzt</v>
      </c>
      <c r="N350" s="253"/>
      <c r="O350" s="253"/>
      <c r="P350" s="254"/>
      <c r="Q350" s="251"/>
      <c r="R350" s="251"/>
      <c r="S350" s="264">
        <f t="shared" si="459"/>
        <v>0</v>
      </c>
      <c r="T350" s="252" t="str" cm="1">
        <f t="array" ref="T350">INDEX(Trad, 52, $A$20)</f>
        <v>Sauber</v>
      </c>
      <c r="U350" s="253"/>
      <c r="V350" s="253"/>
      <c r="W350" s="254"/>
      <c r="X350" s="251"/>
      <c r="Y350" s="251"/>
      <c r="Z350" s="264">
        <f t="shared" si="460"/>
        <v>0</v>
      </c>
      <c r="AA350" s="261"/>
      <c r="AB350" s="258"/>
      <c r="AC350" s="246"/>
      <c r="AD350" s="247" t="str">
        <f>IF(ISBLANK(AC350), "", VLOOKUP(AC350, Z!$A$2:$C$4127, 3, FALSE))</f>
        <v/>
      </c>
      <c r="AE350" s="262"/>
      <c r="AF350" s="263">
        <f t="shared" si="461"/>
        <v>0</v>
      </c>
      <c r="AG350" s="238"/>
      <c r="AH350" s="229">
        <f t="shared" si="485"/>
        <v>1</v>
      </c>
      <c r="AI350" s="229">
        <f t="shared" si="486"/>
        <v>1</v>
      </c>
      <c r="AJ350" s="229">
        <f t="shared" si="487"/>
        <v>0</v>
      </c>
      <c r="AK350" s="229">
        <v>0</v>
      </c>
      <c r="AL350" s="229">
        <v>0</v>
      </c>
      <c r="AM350" s="229">
        <v>1</v>
      </c>
      <c r="AN350" s="229">
        <v>0</v>
      </c>
      <c r="AO350" s="229">
        <f t="shared" si="462"/>
        <v>-100</v>
      </c>
      <c r="AP350" s="238"/>
      <c r="AQ350" s="255"/>
      <c r="AR350" s="255"/>
      <c r="AS350" s="256"/>
      <c r="AT350" s="256"/>
      <c r="AU350" s="256"/>
      <c r="AV350" s="256"/>
      <c r="AW350" s="256"/>
      <c r="AX350" s="256"/>
      <c r="AY350" s="256"/>
      <c r="AZ350" s="256"/>
      <c r="BA350" s="256"/>
      <c r="BB350" s="256"/>
      <c r="BC350" s="256"/>
      <c r="BD350" s="238"/>
      <c r="BE350" s="229" cm="1">
        <f t="array" ref="BE350">IF(ISBLANK(R350), INDEX(Use, $AH350, 4) - AM350*INDEX(Use, $AH350, 6), R350)</f>
        <v>5</v>
      </c>
      <c r="BF350" s="229">
        <f t="shared" si="463"/>
        <v>30</v>
      </c>
      <c r="BG350" s="229">
        <f t="shared" si="489"/>
        <v>13</v>
      </c>
      <c r="BH350" s="229">
        <f t="shared" si="490"/>
        <v>0</v>
      </c>
      <c r="BI350" s="234" cm="1">
        <f t="array" ref="BI350">K350/IF($L350&gt;0, INDEX($AU$23:$BA$77, $L350+20, $AH350), 1)</f>
        <v>0</v>
      </c>
      <c r="BJ350" s="230">
        <f t="shared" si="464"/>
        <v>0</v>
      </c>
      <c r="BK350" s="229">
        <v>35</v>
      </c>
      <c r="BL350" s="230">
        <f t="shared" si="465"/>
        <v>48</v>
      </c>
      <c r="BM350" s="235">
        <f t="shared" si="466"/>
        <v>2.9108720930232557</v>
      </c>
      <c r="BN350" s="235" cm="1">
        <f t="array" ref="BN350">$BI350 * SUMPRODUCT(INDEX($AR$77:$AT$82,,$AI350),INDEX($AU$77:$BA$82,,$AH350), N($AQ$77:$AQ$82&gt;$AO350)) / BM350 / 1000</f>
        <v>0</v>
      </c>
      <c r="BO350" s="232">
        <f t="shared" si="491"/>
        <v>30</v>
      </c>
      <c r="BP350" s="230">
        <f t="shared" si="467"/>
        <v>43</v>
      </c>
      <c r="BQ350" s="235">
        <f t="shared" si="468"/>
        <v>3.2938815789473681</v>
      </c>
      <c r="BR350" s="235" cm="1">
        <f t="array" ref="BR350">$BI350 * IF($AH350&lt;=2,
SUMPRODUCT(INDEX($AR$72:$AT$76,,$AI350), INDEX($AU$72:$BA$76,,$AH350), 1 / ($BB$72:$BB$76*BQ350 + (1-$BB$72:$BB$76)*BM350), N($AQ$72:$AQ$76&gt;$AO350)),
SUMPRODUCT(INDEX($AR$67:$AT$76,,$AI350), INDEX($AU$67:$BA$76,,$AH350), 1 / ($BC$67:$BC$76*BQ350 + (1-$BC$67:$BC$76)*BM350), N($AQ$67:$AQ$76&gt;$AO350))
) / 1000</f>
        <v>0</v>
      </c>
      <c r="BS350" s="232">
        <f t="shared" si="492"/>
        <v>25</v>
      </c>
      <c r="BT350" s="230">
        <f t="shared" si="469"/>
        <v>38</v>
      </c>
      <c r="BU350" s="235">
        <f t="shared" si="470"/>
        <v>3.792954545454545</v>
      </c>
      <c r="BV350" s="235" cm="1">
        <f t="array" ref="BV350">$BI350 * IF($AH350&lt;=2,
SUMPRODUCT(INDEX($AR$67:$AT$71,,$AI350), INDEX($AU$67:$BA$71,,$AH350), 1 / ($BB$67:$BB$71*BU350 + (1-$BB$67:$BB$71)*BQ350), N($AQ$67:$AQ$71&gt;$AO350)),
SUMPRODUCT(INDEX($AR$57:$AT$66,,$AI350), INDEX($AU$57:$BA$66,,$AH350), 1 / ($BC$57:$BC$66*BU350 + (1-$BC$57:$BC$66)*BQ350), N($AQ$57:$AQ$66&gt;$AO350))
) / 1000</f>
        <v>0</v>
      </c>
      <c r="BW350" s="232">
        <f t="shared" si="493"/>
        <v>20</v>
      </c>
      <c r="BX350" s="230">
        <f t="shared" si="471"/>
        <v>33</v>
      </c>
      <c r="BY350" s="235">
        <f t="shared" si="472"/>
        <v>4.4702678571428569</v>
      </c>
      <c r="BZ350" s="235" cm="1">
        <f t="array" ref="BZ350">$BI350 * IF($AH350&lt;=2,
SUMPRODUCT(INDEX($AR$62:$AT$66,,$AI350), INDEX($AU$62:$BA$66,,$AH350), 1 / ($BB$62:$BB$66*BY350 + (1-$BB$62:$BB$66)*BU350), N($AQ$62:$AQ$66&gt;$AO350)),
SUMPRODUCT(INDEX($AR$47:$AT$56,,$AI350), INDEX($AU$47:$BA$56,,$AH350), 1 / ($BC$47:$BC$56*BY350 + (1-$BC$47:$BC$56)*BU350), N($AQ$47:$AQ$56&gt;$AO350))
) / 1000</f>
        <v>0</v>
      </c>
      <c r="CA350" s="235" cm="1">
        <f t="array" ref="CA350">$BI350 * IF($AH350&lt;=2,
SUMPRODUCT(INDEX($AR$23:$AT$61,,$AI350), INDEX($AU$23:$BA$61,,$AH350), 1 / ($BB$23:$BB$61*BY350), N($AQ$23:$AQ$61&gt;$AO350)),
SUMPRODUCT(INDEX($AR$23:$AT$46,,$AI350), INDEX($AU$23:$BA$46,,$AH350), 1 / ($BC$23:$BC$46*BY350), N($AQ$23:$AQ$46&gt;$AO350))
) / 1000</f>
        <v>0</v>
      </c>
      <c r="CB350" s="230">
        <f t="shared" si="473"/>
        <v>0</v>
      </c>
      <c r="CC350" s="238"/>
      <c r="CD350" s="229" cm="1">
        <f t="array" ref="CD350">IF(ISBLANK(Y350), INDEX(Use, $AH350, 4) - AN350*INDEX(Use, $AH350, 6) - (Q350-X350), Y350)</f>
        <v>7</v>
      </c>
      <c r="CE350" s="229">
        <f t="shared" si="474"/>
        <v>32</v>
      </c>
      <c r="CF350" s="230">
        <f t="shared" si="475"/>
        <v>0</v>
      </c>
      <c r="CG350" s="229">
        <v>35</v>
      </c>
      <c r="CH350" s="230">
        <f t="shared" si="476"/>
        <v>48</v>
      </c>
      <c r="CI350" s="235">
        <f t="shared" si="477"/>
        <v>3.0748170731707316</v>
      </c>
      <c r="CJ350" s="235" cm="1">
        <f t="array" ref="CJ350">$BI350 * SUMPRODUCT(INDEX($AR$77:$AT$82,,$AI350),INDEX($AU$77:$BA$82,,$AH350), N($AQ$77:$AQ$82&gt;$AO350)) / CI350 / 1000</f>
        <v>0</v>
      </c>
      <c r="CK350" s="232">
        <f t="shared" si="494"/>
        <v>30</v>
      </c>
      <c r="CL350" s="230">
        <f t="shared" si="478"/>
        <v>43</v>
      </c>
      <c r="CM350" s="235">
        <f t="shared" si="479"/>
        <v>3.5018750000000001</v>
      </c>
      <c r="CN350" s="235" cm="1">
        <f t="array" ref="CN350">$BI350 * IF($AH350&lt;=2,
SUMPRODUCT(INDEX($AR$72:$AT$76,,$AI350), INDEX($AU$72:$BA$76,,$AH350), 1 / ($BB$72:$BB$76*CM350 + (1-$BB$72:$BB$76)*CI350), N($AQ$72:$AQ$76&gt;$AO350)),
SUMPRODUCT(INDEX($AR$67:$AT$76,,$AI350), INDEX($AU$67:$BA$76,,$AH350), 1 / ($BC$67:$BC$76*CM350 + (1-$BC$67:$BC$76)*CI350), N($AQ$67:$AQ$76&gt;$AO350))
) / 1000</f>
        <v>0</v>
      </c>
      <c r="CO350" s="232">
        <f t="shared" si="495"/>
        <v>25</v>
      </c>
      <c r="CP350" s="230">
        <f t="shared" si="480"/>
        <v>38</v>
      </c>
      <c r="CQ350" s="235">
        <f t="shared" si="481"/>
        <v>4.0666935483870965</v>
      </c>
      <c r="CR350" s="235" cm="1">
        <f t="array" ref="CR350">$BI350 * IF($AH350&lt;=2,
SUMPRODUCT(INDEX($AR$67:$AT$71,,$AI350), INDEX($AU$67:$BA$71,,$AH350), 1 / ($BB$67:$BB$71*CQ350 + (1-$BB$67:$BB$71)*CM350), N($AQ$67:$AQ$71&gt;$AO350)),
SUMPRODUCT(INDEX($AR$57:$AT$66,,$AI350), INDEX($AU$57:$BA$66,,$AH350), 1 / ($BC$57:$BC$66*CQ350 + (1-$BC$57:$BC$66)*CM350), N($AQ$57:$AQ$66&gt;$AO350))
) / 1000</f>
        <v>0</v>
      </c>
      <c r="CS350" s="232">
        <f t="shared" si="496"/>
        <v>20</v>
      </c>
      <c r="CT350" s="230">
        <f t="shared" si="482"/>
        <v>33</v>
      </c>
      <c r="CU350" s="235">
        <f t="shared" si="483"/>
        <v>4.8487499999999999</v>
      </c>
      <c r="CV350" s="235" cm="1">
        <f t="array" ref="CV350">$BI350 * IF($AH350&lt;=2,
SUMPRODUCT(INDEX($AR$62:$AT$66,,$AI350), INDEX($AU$62:$BA$66,,$AH350), 1 / ($BB$62:$BB$66*CU350 + (1-$BB$62:$BB$66)*CQ350), N($AQ$62:$AQ$66&gt;$AO350)),
SUMPRODUCT(INDEX($AR$47:$AT$56,,$AI350), INDEX($AU$47:$BA$56,,$AH350), 1 / ($BC$47:$BC$56*CU350 + (1-$BC$47:$BC$56)*CQ350), N($AQ$47:$AQ$56&gt;$AO350))
) / 1000</f>
        <v>0</v>
      </c>
      <c r="CW350" s="235" cm="1">
        <f t="array" ref="CW350">$BI350 * IF($AH350&lt;=2,
SUMPRODUCT(INDEX($AR$23:$AT$61,,$AI350), INDEX($AU$23:$BA$61,,$AH350), 1 / ($BB$23:$BB$61*CU350), N($AQ$23:$AQ$61&gt;$AO350)),
SUMPRODUCT(INDEX($AR$23:$AT$46,,$AI350), INDEX($AU$23:$BA$46,,$AH350), 1 / ($BC$23:$BC$46*CU350), N($AQ$23:$AQ$46&gt;$AO350))
) / 1000</f>
        <v>0</v>
      </c>
      <c r="CX350" s="230">
        <f t="shared" si="484"/>
        <v>0</v>
      </c>
      <c r="CY350" s="238"/>
    </row>
    <row r="351" spans="1:103" s="76" customFormat="1" ht="14.25" customHeight="1" x14ac:dyDescent="0.2">
      <c r="A351" s="231" t="b">
        <f t="shared" si="488"/>
        <v>0</v>
      </c>
      <c r="B351" s="245">
        <v>329</v>
      </c>
      <c r="C351" s="258"/>
      <c r="D351" s="258"/>
      <c r="E351" s="246"/>
      <c r="F351" s="247" t="str">
        <f>IF(ISBLANK(E351), "", VLOOKUP(E351, Z!$A$2:$C$4127, 3, FALSE))</f>
        <v/>
      </c>
      <c r="G351" s="248"/>
      <c r="H351" s="248"/>
      <c r="I351" s="249"/>
      <c r="J351" s="250"/>
      <c r="K351" s="259"/>
      <c r="L351" s="260"/>
      <c r="M351" s="252" t="str" cm="1">
        <f t="array" ref="M351">INDEX(Trad, 53, $A$20)</f>
        <v>Verschmutzt</v>
      </c>
      <c r="N351" s="253"/>
      <c r="O351" s="253"/>
      <c r="P351" s="254"/>
      <c r="Q351" s="251"/>
      <c r="R351" s="251"/>
      <c r="S351" s="264">
        <f t="shared" si="459"/>
        <v>0</v>
      </c>
      <c r="T351" s="252" t="str" cm="1">
        <f t="array" ref="T351">INDEX(Trad, 52, $A$20)</f>
        <v>Sauber</v>
      </c>
      <c r="U351" s="253"/>
      <c r="V351" s="253"/>
      <c r="W351" s="254"/>
      <c r="X351" s="251"/>
      <c r="Y351" s="251"/>
      <c r="Z351" s="264">
        <f t="shared" si="460"/>
        <v>0</v>
      </c>
      <c r="AA351" s="261"/>
      <c r="AB351" s="258"/>
      <c r="AC351" s="246"/>
      <c r="AD351" s="247" t="str">
        <f>IF(ISBLANK(AC351), "", VLOOKUP(AC351, Z!$A$2:$C$4127, 3, FALSE))</f>
        <v/>
      </c>
      <c r="AE351" s="262"/>
      <c r="AF351" s="263">
        <f t="shared" si="461"/>
        <v>0</v>
      </c>
      <c r="AG351" s="238"/>
      <c r="AH351" s="229">
        <f t="shared" si="485"/>
        <v>1</v>
      </c>
      <c r="AI351" s="229">
        <f t="shared" si="486"/>
        <v>1</v>
      </c>
      <c r="AJ351" s="229">
        <f t="shared" si="487"/>
        <v>0</v>
      </c>
      <c r="AK351" s="229">
        <v>0</v>
      </c>
      <c r="AL351" s="229">
        <v>0</v>
      </c>
      <c r="AM351" s="229">
        <v>1</v>
      </c>
      <c r="AN351" s="229">
        <v>0</v>
      </c>
      <c r="AO351" s="229">
        <f t="shared" si="462"/>
        <v>-100</v>
      </c>
      <c r="AP351" s="238"/>
      <c r="AQ351" s="255"/>
      <c r="AR351" s="255"/>
      <c r="AS351" s="256"/>
      <c r="AT351" s="256"/>
      <c r="AU351" s="256"/>
      <c r="AV351" s="256"/>
      <c r="AW351" s="256"/>
      <c r="AX351" s="256"/>
      <c r="AY351" s="256"/>
      <c r="AZ351" s="256"/>
      <c r="BA351" s="256"/>
      <c r="BB351" s="256"/>
      <c r="BC351" s="256"/>
      <c r="BD351" s="238"/>
      <c r="BE351" s="229" cm="1">
        <f t="array" ref="BE351">IF(ISBLANK(R351), INDEX(Use, $AH351, 4) - AM351*INDEX(Use, $AH351, 6), R351)</f>
        <v>5</v>
      </c>
      <c r="BF351" s="229">
        <f t="shared" si="463"/>
        <v>30</v>
      </c>
      <c r="BG351" s="229">
        <f t="shared" si="489"/>
        <v>13</v>
      </c>
      <c r="BH351" s="229">
        <f t="shared" si="490"/>
        <v>0</v>
      </c>
      <c r="BI351" s="234" cm="1">
        <f t="array" ref="BI351">K351/IF($L351&gt;0, INDEX($AU$23:$BA$77, $L351+20, $AH351), 1)</f>
        <v>0</v>
      </c>
      <c r="BJ351" s="230">
        <f t="shared" si="464"/>
        <v>0</v>
      </c>
      <c r="BK351" s="229">
        <v>35</v>
      </c>
      <c r="BL351" s="230">
        <f t="shared" si="465"/>
        <v>48</v>
      </c>
      <c r="BM351" s="235">
        <f t="shared" si="466"/>
        <v>2.9108720930232557</v>
      </c>
      <c r="BN351" s="235" cm="1">
        <f t="array" ref="BN351">$BI351 * SUMPRODUCT(INDEX($AR$77:$AT$82,,$AI351),INDEX($AU$77:$BA$82,,$AH351), N($AQ$77:$AQ$82&gt;$AO351)) / BM351 / 1000</f>
        <v>0</v>
      </c>
      <c r="BO351" s="232">
        <f t="shared" si="491"/>
        <v>30</v>
      </c>
      <c r="BP351" s="230">
        <f t="shared" si="467"/>
        <v>43</v>
      </c>
      <c r="BQ351" s="235">
        <f t="shared" si="468"/>
        <v>3.2938815789473681</v>
      </c>
      <c r="BR351" s="235" cm="1">
        <f t="array" ref="BR351">$BI351 * IF($AH351&lt;=2,
SUMPRODUCT(INDEX($AR$72:$AT$76,,$AI351), INDEX($AU$72:$BA$76,,$AH351), 1 / ($BB$72:$BB$76*BQ351 + (1-$BB$72:$BB$76)*BM351), N($AQ$72:$AQ$76&gt;$AO351)),
SUMPRODUCT(INDEX($AR$67:$AT$76,,$AI351), INDEX($AU$67:$BA$76,,$AH351), 1 / ($BC$67:$BC$76*BQ351 + (1-$BC$67:$BC$76)*BM351), N($AQ$67:$AQ$76&gt;$AO351))
) / 1000</f>
        <v>0</v>
      </c>
      <c r="BS351" s="232">
        <f t="shared" si="492"/>
        <v>25</v>
      </c>
      <c r="BT351" s="230">
        <f t="shared" si="469"/>
        <v>38</v>
      </c>
      <c r="BU351" s="235">
        <f t="shared" si="470"/>
        <v>3.792954545454545</v>
      </c>
      <c r="BV351" s="235" cm="1">
        <f t="array" ref="BV351">$BI351 * IF($AH351&lt;=2,
SUMPRODUCT(INDEX($AR$67:$AT$71,,$AI351), INDEX($AU$67:$BA$71,,$AH351), 1 / ($BB$67:$BB$71*BU351 + (1-$BB$67:$BB$71)*BQ351), N($AQ$67:$AQ$71&gt;$AO351)),
SUMPRODUCT(INDEX($AR$57:$AT$66,,$AI351), INDEX($AU$57:$BA$66,,$AH351), 1 / ($BC$57:$BC$66*BU351 + (1-$BC$57:$BC$66)*BQ351), N($AQ$57:$AQ$66&gt;$AO351))
) / 1000</f>
        <v>0</v>
      </c>
      <c r="BW351" s="232">
        <f t="shared" si="493"/>
        <v>20</v>
      </c>
      <c r="BX351" s="230">
        <f t="shared" si="471"/>
        <v>33</v>
      </c>
      <c r="BY351" s="235">
        <f t="shared" si="472"/>
        <v>4.4702678571428569</v>
      </c>
      <c r="BZ351" s="235" cm="1">
        <f t="array" ref="BZ351">$BI351 * IF($AH351&lt;=2,
SUMPRODUCT(INDEX($AR$62:$AT$66,,$AI351), INDEX($AU$62:$BA$66,,$AH351), 1 / ($BB$62:$BB$66*BY351 + (1-$BB$62:$BB$66)*BU351), N($AQ$62:$AQ$66&gt;$AO351)),
SUMPRODUCT(INDEX($AR$47:$AT$56,,$AI351), INDEX($AU$47:$BA$56,,$AH351), 1 / ($BC$47:$BC$56*BY351 + (1-$BC$47:$BC$56)*BU351), N($AQ$47:$AQ$56&gt;$AO351))
) / 1000</f>
        <v>0</v>
      </c>
      <c r="CA351" s="235" cm="1">
        <f t="array" ref="CA351">$BI351 * IF($AH351&lt;=2,
SUMPRODUCT(INDEX($AR$23:$AT$61,,$AI351), INDEX($AU$23:$BA$61,,$AH351), 1 / ($BB$23:$BB$61*BY351), N($AQ$23:$AQ$61&gt;$AO351)),
SUMPRODUCT(INDEX($AR$23:$AT$46,,$AI351), INDEX($AU$23:$BA$46,,$AH351), 1 / ($BC$23:$BC$46*BY351), N($AQ$23:$AQ$46&gt;$AO351))
) / 1000</f>
        <v>0</v>
      </c>
      <c r="CB351" s="230">
        <f t="shared" si="473"/>
        <v>0</v>
      </c>
      <c r="CC351" s="238"/>
      <c r="CD351" s="229" cm="1">
        <f t="array" ref="CD351">IF(ISBLANK(Y351), INDEX(Use, $AH351, 4) - AN351*INDEX(Use, $AH351, 6) - (Q351-X351), Y351)</f>
        <v>7</v>
      </c>
      <c r="CE351" s="229">
        <f t="shared" si="474"/>
        <v>32</v>
      </c>
      <c r="CF351" s="230">
        <f t="shared" si="475"/>
        <v>0</v>
      </c>
      <c r="CG351" s="229">
        <v>35</v>
      </c>
      <c r="CH351" s="230">
        <f t="shared" si="476"/>
        <v>48</v>
      </c>
      <c r="CI351" s="235">
        <f t="shared" si="477"/>
        <v>3.0748170731707316</v>
      </c>
      <c r="CJ351" s="235" cm="1">
        <f t="array" ref="CJ351">$BI351 * SUMPRODUCT(INDEX($AR$77:$AT$82,,$AI351),INDEX($AU$77:$BA$82,,$AH351), N($AQ$77:$AQ$82&gt;$AO351)) / CI351 / 1000</f>
        <v>0</v>
      </c>
      <c r="CK351" s="232">
        <f t="shared" si="494"/>
        <v>30</v>
      </c>
      <c r="CL351" s="230">
        <f t="shared" si="478"/>
        <v>43</v>
      </c>
      <c r="CM351" s="235">
        <f t="shared" si="479"/>
        <v>3.5018750000000001</v>
      </c>
      <c r="CN351" s="235" cm="1">
        <f t="array" ref="CN351">$BI351 * IF($AH351&lt;=2,
SUMPRODUCT(INDEX($AR$72:$AT$76,,$AI351), INDEX($AU$72:$BA$76,,$AH351), 1 / ($BB$72:$BB$76*CM351 + (1-$BB$72:$BB$76)*CI351), N($AQ$72:$AQ$76&gt;$AO351)),
SUMPRODUCT(INDEX($AR$67:$AT$76,,$AI351), INDEX($AU$67:$BA$76,,$AH351), 1 / ($BC$67:$BC$76*CM351 + (1-$BC$67:$BC$76)*CI351), N($AQ$67:$AQ$76&gt;$AO351))
) / 1000</f>
        <v>0</v>
      </c>
      <c r="CO351" s="232">
        <f t="shared" si="495"/>
        <v>25</v>
      </c>
      <c r="CP351" s="230">
        <f t="shared" si="480"/>
        <v>38</v>
      </c>
      <c r="CQ351" s="235">
        <f t="shared" si="481"/>
        <v>4.0666935483870965</v>
      </c>
      <c r="CR351" s="235" cm="1">
        <f t="array" ref="CR351">$BI351 * IF($AH351&lt;=2,
SUMPRODUCT(INDEX($AR$67:$AT$71,,$AI351), INDEX($AU$67:$BA$71,,$AH351), 1 / ($BB$67:$BB$71*CQ351 + (1-$BB$67:$BB$71)*CM351), N($AQ$67:$AQ$71&gt;$AO351)),
SUMPRODUCT(INDEX($AR$57:$AT$66,,$AI351), INDEX($AU$57:$BA$66,,$AH351), 1 / ($BC$57:$BC$66*CQ351 + (1-$BC$57:$BC$66)*CM351), N($AQ$57:$AQ$66&gt;$AO351))
) / 1000</f>
        <v>0</v>
      </c>
      <c r="CS351" s="232">
        <f t="shared" si="496"/>
        <v>20</v>
      </c>
      <c r="CT351" s="230">
        <f t="shared" si="482"/>
        <v>33</v>
      </c>
      <c r="CU351" s="235">
        <f t="shared" si="483"/>
        <v>4.8487499999999999</v>
      </c>
      <c r="CV351" s="235" cm="1">
        <f t="array" ref="CV351">$BI351 * IF($AH351&lt;=2,
SUMPRODUCT(INDEX($AR$62:$AT$66,,$AI351), INDEX($AU$62:$BA$66,,$AH351), 1 / ($BB$62:$BB$66*CU351 + (1-$BB$62:$BB$66)*CQ351), N($AQ$62:$AQ$66&gt;$AO351)),
SUMPRODUCT(INDEX($AR$47:$AT$56,,$AI351), INDEX($AU$47:$BA$56,,$AH351), 1 / ($BC$47:$BC$56*CU351 + (1-$BC$47:$BC$56)*CQ351), N($AQ$47:$AQ$56&gt;$AO351))
) / 1000</f>
        <v>0</v>
      </c>
      <c r="CW351" s="235" cm="1">
        <f t="array" ref="CW351">$BI351 * IF($AH351&lt;=2,
SUMPRODUCT(INDEX($AR$23:$AT$61,,$AI351), INDEX($AU$23:$BA$61,,$AH351), 1 / ($BB$23:$BB$61*CU351), N($AQ$23:$AQ$61&gt;$AO351)),
SUMPRODUCT(INDEX($AR$23:$AT$46,,$AI351), INDEX($AU$23:$BA$46,,$AH351), 1 / ($BC$23:$BC$46*CU351), N($AQ$23:$AQ$46&gt;$AO351))
) / 1000</f>
        <v>0</v>
      </c>
      <c r="CX351" s="230">
        <f t="shared" si="484"/>
        <v>0</v>
      </c>
      <c r="CY351" s="238"/>
    </row>
    <row r="352" spans="1:103" s="76" customFormat="1" ht="14.25" customHeight="1" x14ac:dyDescent="0.2">
      <c r="A352" s="231" t="b">
        <f t="shared" si="488"/>
        <v>0</v>
      </c>
      <c r="B352" s="245">
        <v>330</v>
      </c>
      <c r="C352" s="258"/>
      <c r="D352" s="258"/>
      <c r="E352" s="246"/>
      <c r="F352" s="247" t="str">
        <f>IF(ISBLANK(E352), "", VLOOKUP(E352, Z!$A$2:$C$4127, 3, FALSE))</f>
        <v/>
      </c>
      <c r="G352" s="248"/>
      <c r="H352" s="248"/>
      <c r="I352" s="249"/>
      <c r="J352" s="250"/>
      <c r="K352" s="259"/>
      <c r="L352" s="260"/>
      <c r="M352" s="252" t="str" cm="1">
        <f t="array" ref="M352">INDEX(Trad, 53, $A$20)</f>
        <v>Verschmutzt</v>
      </c>
      <c r="N352" s="253"/>
      <c r="O352" s="253"/>
      <c r="P352" s="254"/>
      <c r="Q352" s="251"/>
      <c r="R352" s="251"/>
      <c r="S352" s="264">
        <f t="shared" si="459"/>
        <v>0</v>
      </c>
      <c r="T352" s="252" t="str" cm="1">
        <f t="array" ref="T352">INDEX(Trad, 52, $A$20)</f>
        <v>Sauber</v>
      </c>
      <c r="U352" s="253"/>
      <c r="V352" s="253"/>
      <c r="W352" s="254"/>
      <c r="X352" s="251"/>
      <c r="Y352" s="251"/>
      <c r="Z352" s="264">
        <f t="shared" si="460"/>
        <v>0</v>
      </c>
      <c r="AA352" s="261"/>
      <c r="AB352" s="258"/>
      <c r="AC352" s="246"/>
      <c r="AD352" s="247" t="str">
        <f>IF(ISBLANK(AC352), "", VLOOKUP(AC352, Z!$A$2:$C$4127, 3, FALSE))</f>
        <v/>
      </c>
      <c r="AE352" s="262"/>
      <c r="AF352" s="263">
        <f t="shared" si="461"/>
        <v>0</v>
      </c>
      <c r="AG352" s="238"/>
      <c r="AH352" s="229">
        <f t="shared" si="485"/>
        <v>1</v>
      </c>
      <c r="AI352" s="229">
        <f t="shared" si="486"/>
        <v>1</v>
      </c>
      <c r="AJ352" s="229">
        <f t="shared" si="487"/>
        <v>0</v>
      </c>
      <c r="AK352" s="229">
        <v>0</v>
      </c>
      <c r="AL352" s="229">
        <v>0</v>
      </c>
      <c r="AM352" s="229">
        <v>1</v>
      </c>
      <c r="AN352" s="229">
        <v>0</v>
      </c>
      <c r="AO352" s="229">
        <f t="shared" si="462"/>
        <v>-100</v>
      </c>
      <c r="AP352" s="238"/>
      <c r="AQ352" s="255"/>
      <c r="AR352" s="255"/>
      <c r="AS352" s="256"/>
      <c r="AT352" s="256"/>
      <c r="AU352" s="256"/>
      <c r="AV352" s="256"/>
      <c r="AW352" s="256"/>
      <c r="AX352" s="256"/>
      <c r="AY352" s="256"/>
      <c r="AZ352" s="256"/>
      <c r="BA352" s="256"/>
      <c r="BB352" s="256"/>
      <c r="BC352" s="256"/>
      <c r="BD352" s="238"/>
      <c r="BE352" s="229" cm="1">
        <f t="array" ref="BE352">IF(ISBLANK(R352), INDEX(Use, $AH352, 4) - AM352*INDEX(Use, $AH352, 6), R352)</f>
        <v>5</v>
      </c>
      <c r="BF352" s="229">
        <f t="shared" si="463"/>
        <v>30</v>
      </c>
      <c r="BG352" s="229">
        <f t="shared" si="489"/>
        <v>13</v>
      </c>
      <c r="BH352" s="229">
        <f t="shared" si="490"/>
        <v>0</v>
      </c>
      <c r="BI352" s="234" cm="1">
        <f t="array" ref="BI352">K352/IF($L352&gt;0, INDEX($AU$23:$BA$77, $L352+20, $AH352), 1)</f>
        <v>0</v>
      </c>
      <c r="BJ352" s="230">
        <f t="shared" si="464"/>
        <v>0</v>
      </c>
      <c r="BK352" s="229">
        <v>35</v>
      </c>
      <c r="BL352" s="230">
        <f t="shared" si="465"/>
        <v>48</v>
      </c>
      <c r="BM352" s="235">
        <f t="shared" si="466"/>
        <v>2.9108720930232557</v>
      </c>
      <c r="BN352" s="235" cm="1">
        <f t="array" ref="BN352">$BI352 * SUMPRODUCT(INDEX($AR$77:$AT$82,,$AI352),INDEX($AU$77:$BA$82,,$AH352), N($AQ$77:$AQ$82&gt;$AO352)) / BM352 / 1000</f>
        <v>0</v>
      </c>
      <c r="BO352" s="232">
        <f t="shared" si="491"/>
        <v>30</v>
      </c>
      <c r="BP352" s="230">
        <f t="shared" si="467"/>
        <v>43</v>
      </c>
      <c r="BQ352" s="235">
        <f t="shared" si="468"/>
        <v>3.2938815789473681</v>
      </c>
      <c r="BR352" s="235" cm="1">
        <f t="array" ref="BR352">$BI352 * IF($AH352&lt;=2,
SUMPRODUCT(INDEX($AR$72:$AT$76,,$AI352), INDEX($AU$72:$BA$76,,$AH352), 1 / ($BB$72:$BB$76*BQ352 + (1-$BB$72:$BB$76)*BM352), N($AQ$72:$AQ$76&gt;$AO352)),
SUMPRODUCT(INDEX($AR$67:$AT$76,,$AI352), INDEX($AU$67:$BA$76,,$AH352), 1 / ($BC$67:$BC$76*BQ352 + (1-$BC$67:$BC$76)*BM352), N($AQ$67:$AQ$76&gt;$AO352))
) / 1000</f>
        <v>0</v>
      </c>
      <c r="BS352" s="232">
        <f t="shared" si="492"/>
        <v>25</v>
      </c>
      <c r="BT352" s="230">
        <f t="shared" si="469"/>
        <v>38</v>
      </c>
      <c r="BU352" s="235">
        <f t="shared" si="470"/>
        <v>3.792954545454545</v>
      </c>
      <c r="BV352" s="235" cm="1">
        <f t="array" ref="BV352">$BI352 * IF($AH352&lt;=2,
SUMPRODUCT(INDEX($AR$67:$AT$71,,$AI352), INDEX($AU$67:$BA$71,,$AH352), 1 / ($BB$67:$BB$71*BU352 + (1-$BB$67:$BB$71)*BQ352), N($AQ$67:$AQ$71&gt;$AO352)),
SUMPRODUCT(INDEX($AR$57:$AT$66,,$AI352), INDEX($AU$57:$BA$66,,$AH352), 1 / ($BC$57:$BC$66*BU352 + (1-$BC$57:$BC$66)*BQ352), N($AQ$57:$AQ$66&gt;$AO352))
) / 1000</f>
        <v>0</v>
      </c>
      <c r="BW352" s="232">
        <f t="shared" si="493"/>
        <v>20</v>
      </c>
      <c r="BX352" s="230">
        <f t="shared" si="471"/>
        <v>33</v>
      </c>
      <c r="BY352" s="235">
        <f t="shared" si="472"/>
        <v>4.4702678571428569</v>
      </c>
      <c r="BZ352" s="235" cm="1">
        <f t="array" ref="BZ352">$BI352 * IF($AH352&lt;=2,
SUMPRODUCT(INDEX($AR$62:$AT$66,,$AI352), INDEX($AU$62:$BA$66,,$AH352), 1 / ($BB$62:$BB$66*BY352 + (1-$BB$62:$BB$66)*BU352), N($AQ$62:$AQ$66&gt;$AO352)),
SUMPRODUCT(INDEX($AR$47:$AT$56,,$AI352), INDEX($AU$47:$BA$56,,$AH352), 1 / ($BC$47:$BC$56*BY352 + (1-$BC$47:$BC$56)*BU352), N($AQ$47:$AQ$56&gt;$AO352))
) / 1000</f>
        <v>0</v>
      </c>
      <c r="CA352" s="235" cm="1">
        <f t="array" ref="CA352">$BI352 * IF($AH352&lt;=2,
SUMPRODUCT(INDEX($AR$23:$AT$61,,$AI352), INDEX($AU$23:$BA$61,,$AH352), 1 / ($BB$23:$BB$61*BY352), N($AQ$23:$AQ$61&gt;$AO352)),
SUMPRODUCT(INDEX($AR$23:$AT$46,,$AI352), INDEX($AU$23:$BA$46,,$AH352), 1 / ($BC$23:$BC$46*BY352), N($AQ$23:$AQ$46&gt;$AO352))
) / 1000</f>
        <v>0</v>
      </c>
      <c r="CB352" s="230">
        <f t="shared" si="473"/>
        <v>0</v>
      </c>
      <c r="CC352" s="238"/>
      <c r="CD352" s="229" cm="1">
        <f t="array" ref="CD352">IF(ISBLANK(Y352), INDEX(Use, $AH352, 4) - AN352*INDEX(Use, $AH352, 6) - (Q352-X352), Y352)</f>
        <v>7</v>
      </c>
      <c r="CE352" s="229">
        <f t="shared" si="474"/>
        <v>32</v>
      </c>
      <c r="CF352" s="230">
        <f t="shared" si="475"/>
        <v>0</v>
      </c>
      <c r="CG352" s="229">
        <v>35</v>
      </c>
      <c r="CH352" s="230">
        <f t="shared" si="476"/>
        <v>48</v>
      </c>
      <c r="CI352" s="235">
        <f t="shared" si="477"/>
        <v>3.0748170731707316</v>
      </c>
      <c r="CJ352" s="235" cm="1">
        <f t="array" ref="CJ352">$BI352 * SUMPRODUCT(INDEX($AR$77:$AT$82,,$AI352),INDEX($AU$77:$BA$82,,$AH352), N($AQ$77:$AQ$82&gt;$AO352)) / CI352 / 1000</f>
        <v>0</v>
      </c>
      <c r="CK352" s="232">
        <f t="shared" si="494"/>
        <v>30</v>
      </c>
      <c r="CL352" s="230">
        <f t="shared" si="478"/>
        <v>43</v>
      </c>
      <c r="CM352" s="235">
        <f t="shared" si="479"/>
        <v>3.5018750000000001</v>
      </c>
      <c r="CN352" s="235" cm="1">
        <f t="array" ref="CN352">$BI352 * IF($AH352&lt;=2,
SUMPRODUCT(INDEX($AR$72:$AT$76,,$AI352), INDEX($AU$72:$BA$76,,$AH352), 1 / ($BB$72:$BB$76*CM352 + (1-$BB$72:$BB$76)*CI352), N($AQ$72:$AQ$76&gt;$AO352)),
SUMPRODUCT(INDEX($AR$67:$AT$76,,$AI352), INDEX($AU$67:$BA$76,,$AH352), 1 / ($BC$67:$BC$76*CM352 + (1-$BC$67:$BC$76)*CI352), N($AQ$67:$AQ$76&gt;$AO352))
) / 1000</f>
        <v>0</v>
      </c>
      <c r="CO352" s="232">
        <f t="shared" si="495"/>
        <v>25</v>
      </c>
      <c r="CP352" s="230">
        <f t="shared" si="480"/>
        <v>38</v>
      </c>
      <c r="CQ352" s="235">
        <f t="shared" si="481"/>
        <v>4.0666935483870965</v>
      </c>
      <c r="CR352" s="235" cm="1">
        <f t="array" ref="CR352">$BI352 * IF($AH352&lt;=2,
SUMPRODUCT(INDEX($AR$67:$AT$71,,$AI352), INDEX($AU$67:$BA$71,,$AH352), 1 / ($BB$67:$BB$71*CQ352 + (1-$BB$67:$BB$71)*CM352), N($AQ$67:$AQ$71&gt;$AO352)),
SUMPRODUCT(INDEX($AR$57:$AT$66,,$AI352), INDEX($AU$57:$BA$66,,$AH352), 1 / ($BC$57:$BC$66*CQ352 + (1-$BC$57:$BC$66)*CM352), N($AQ$57:$AQ$66&gt;$AO352))
) / 1000</f>
        <v>0</v>
      </c>
      <c r="CS352" s="232">
        <f t="shared" si="496"/>
        <v>20</v>
      </c>
      <c r="CT352" s="230">
        <f t="shared" si="482"/>
        <v>33</v>
      </c>
      <c r="CU352" s="235">
        <f t="shared" si="483"/>
        <v>4.8487499999999999</v>
      </c>
      <c r="CV352" s="235" cm="1">
        <f t="array" ref="CV352">$BI352 * IF($AH352&lt;=2,
SUMPRODUCT(INDEX($AR$62:$AT$66,,$AI352), INDEX($AU$62:$BA$66,,$AH352), 1 / ($BB$62:$BB$66*CU352 + (1-$BB$62:$BB$66)*CQ352), N($AQ$62:$AQ$66&gt;$AO352)),
SUMPRODUCT(INDEX($AR$47:$AT$56,,$AI352), INDEX($AU$47:$BA$56,,$AH352), 1 / ($BC$47:$BC$56*CU352 + (1-$BC$47:$BC$56)*CQ352), N($AQ$47:$AQ$56&gt;$AO352))
) / 1000</f>
        <v>0</v>
      </c>
      <c r="CW352" s="235" cm="1">
        <f t="array" ref="CW352">$BI352 * IF($AH352&lt;=2,
SUMPRODUCT(INDEX($AR$23:$AT$61,,$AI352), INDEX($AU$23:$BA$61,,$AH352), 1 / ($BB$23:$BB$61*CU352), N($AQ$23:$AQ$61&gt;$AO352)),
SUMPRODUCT(INDEX($AR$23:$AT$46,,$AI352), INDEX($AU$23:$BA$46,,$AH352), 1 / ($BC$23:$BC$46*CU352), N($AQ$23:$AQ$46&gt;$AO352))
) / 1000</f>
        <v>0</v>
      </c>
      <c r="CX352" s="230">
        <f t="shared" si="484"/>
        <v>0</v>
      </c>
      <c r="CY352" s="238"/>
    </row>
    <row r="353" spans="1:103" s="76" customFormat="1" ht="14.25" customHeight="1" x14ac:dyDescent="0.2">
      <c r="A353" s="231" t="b">
        <f t="shared" si="488"/>
        <v>0</v>
      </c>
      <c r="B353" s="245">
        <v>331</v>
      </c>
      <c r="C353" s="258"/>
      <c r="D353" s="258"/>
      <c r="E353" s="246"/>
      <c r="F353" s="247" t="str">
        <f>IF(ISBLANK(E353), "", VLOOKUP(E353, Z!$A$2:$C$4127, 3, FALSE))</f>
        <v/>
      </c>
      <c r="G353" s="248"/>
      <c r="H353" s="248"/>
      <c r="I353" s="249"/>
      <c r="J353" s="250"/>
      <c r="K353" s="259"/>
      <c r="L353" s="260"/>
      <c r="M353" s="252" t="str" cm="1">
        <f t="array" ref="M353">INDEX(Trad, 53, $A$20)</f>
        <v>Verschmutzt</v>
      </c>
      <c r="N353" s="253"/>
      <c r="O353" s="253"/>
      <c r="P353" s="254"/>
      <c r="Q353" s="251"/>
      <c r="R353" s="251"/>
      <c r="S353" s="264">
        <f t="shared" si="459"/>
        <v>0</v>
      </c>
      <c r="T353" s="252" t="str" cm="1">
        <f t="array" ref="T353">INDEX(Trad, 52, $A$20)</f>
        <v>Sauber</v>
      </c>
      <c r="U353" s="253"/>
      <c r="V353" s="253"/>
      <c r="W353" s="254"/>
      <c r="X353" s="251"/>
      <c r="Y353" s="251"/>
      <c r="Z353" s="264">
        <f t="shared" si="460"/>
        <v>0</v>
      </c>
      <c r="AA353" s="261"/>
      <c r="AB353" s="258"/>
      <c r="AC353" s="246"/>
      <c r="AD353" s="247" t="str">
        <f>IF(ISBLANK(AC353), "", VLOOKUP(AC353, Z!$A$2:$C$4127, 3, FALSE))</f>
        <v/>
      </c>
      <c r="AE353" s="262"/>
      <c r="AF353" s="263">
        <f t="shared" si="461"/>
        <v>0</v>
      </c>
      <c r="AG353" s="238"/>
      <c r="AH353" s="229">
        <f t="shared" si="485"/>
        <v>1</v>
      </c>
      <c r="AI353" s="229">
        <f t="shared" si="486"/>
        <v>1</v>
      </c>
      <c r="AJ353" s="229">
        <f t="shared" si="487"/>
        <v>0</v>
      </c>
      <c r="AK353" s="229">
        <v>0</v>
      </c>
      <c r="AL353" s="229">
        <v>0</v>
      </c>
      <c r="AM353" s="229">
        <v>1</v>
      </c>
      <c r="AN353" s="229">
        <v>0</v>
      </c>
      <c r="AO353" s="229">
        <f t="shared" si="462"/>
        <v>-100</v>
      </c>
      <c r="AP353" s="238"/>
      <c r="AQ353" s="255"/>
      <c r="AR353" s="255"/>
      <c r="AS353" s="256"/>
      <c r="AT353" s="256"/>
      <c r="AU353" s="256"/>
      <c r="AV353" s="256"/>
      <c r="AW353" s="256"/>
      <c r="AX353" s="256"/>
      <c r="AY353" s="256"/>
      <c r="AZ353" s="256"/>
      <c r="BA353" s="256"/>
      <c r="BB353" s="256"/>
      <c r="BC353" s="256"/>
      <c r="BD353" s="238"/>
      <c r="BE353" s="229" cm="1">
        <f t="array" ref="BE353">IF(ISBLANK(R353), INDEX(Use, $AH353, 4) - AM353*INDEX(Use, $AH353, 6), R353)</f>
        <v>5</v>
      </c>
      <c r="BF353" s="229">
        <f t="shared" si="463"/>
        <v>30</v>
      </c>
      <c r="BG353" s="229">
        <f t="shared" si="489"/>
        <v>13</v>
      </c>
      <c r="BH353" s="229">
        <f t="shared" si="490"/>
        <v>0</v>
      </c>
      <c r="BI353" s="234" cm="1">
        <f t="array" ref="BI353">K353/IF($L353&gt;0, INDEX($AU$23:$BA$77, $L353+20, $AH353), 1)</f>
        <v>0</v>
      </c>
      <c r="BJ353" s="230">
        <f t="shared" si="464"/>
        <v>0</v>
      </c>
      <c r="BK353" s="229">
        <v>35</v>
      </c>
      <c r="BL353" s="230">
        <f t="shared" si="465"/>
        <v>48</v>
      </c>
      <c r="BM353" s="235">
        <f t="shared" si="466"/>
        <v>2.9108720930232557</v>
      </c>
      <c r="BN353" s="235" cm="1">
        <f t="array" ref="BN353">$BI353 * SUMPRODUCT(INDEX($AR$77:$AT$82,,$AI353),INDEX($AU$77:$BA$82,,$AH353), N($AQ$77:$AQ$82&gt;$AO353)) / BM353 / 1000</f>
        <v>0</v>
      </c>
      <c r="BO353" s="232">
        <f t="shared" si="491"/>
        <v>30</v>
      </c>
      <c r="BP353" s="230">
        <f t="shared" si="467"/>
        <v>43</v>
      </c>
      <c r="BQ353" s="235">
        <f t="shared" si="468"/>
        <v>3.2938815789473681</v>
      </c>
      <c r="BR353" s="235" cm="1">
        <f t="array" ref="BR353">$BI353 * IF($AH353&lt;=2,
SUMPRODUCT(INDEX($AR$72:$AT$76,,$AI353), INDEX($AU$72:$BA$76,,$AH353), 1 / ($BB$72:$BB$76*BQ353 + (1-$BB$72:$BB$76)*BM353), N($AQ$72:$AQ$76&gt;$AO353)),
SUMPRODUCT(INDEX($AR$67:$AT$76,,$AI353), INDEX($AU$67:$BA$76,,$AH353), 1 / ($BC$67:$BC$76*BQ353 + (1-$BC$67:$BC$76)*BM353), N($AQ$67:$AQ$76&gt;$AO353))
) / 1000</f>
        <v>0</v>
      </c>
      <c r="BS353" s="232">
        <f t="shared" si="492"/>
        <v>25</v>
      </c>
      <c r="BT353" s="230">
        <f t="shared" si="469"/>
        <v>38</v>
      </c>
      <c r="BU353" s="235">
        <f t="shared" si="470"/>
        <v>3.792954545454545</v>
      </c>
      <c r="BV353" s="235" cm="1">
        <f t="array" ref="BV353">$BI353 * IF($AH353&lt;=2,
SUMPRODUCT(INDEX($AR$67:$AT$71,,$AI353), INDEX($AU$67:$BA$71,,$AH353), 1 / ($BB$67:$BB$71*BU353 + (1-$BB$67:$BB$71)*BQ353), N($AQ$67:$AQ$71&gt;$AO353)),
SUMPRODUCT(INDEX($AR$57:$AT$66,,$AI353), INDEX($AU$57:$BA$66,,$AH353), 1 / ($BC$57:$BC$66*BU353 + (1-$BC$57:$BC$66)*BQ353), N($AQ$57:$AQ$66&gt;$AO353))
) / 1000</f>
        <v>0</v>
      </c>
      <c r="BW353" s="232">
        <f t="shared" si="493"/>
        <v>20</v>
      </c>
      <c r="BX353" s="230">
        <f t="shared" si="471"/>
        <v>33</v>
      </c>
      <c r="BY353" s="235">
        <f t="shared" si="472"/>
        <v>4.4702678571428569</v>
      </c>
      <c r="BZ353" s="235" cm="1">
        <f t="array" ref="BZ353">$BI353 * IF($AH353&lt;=2,
SUMPRODUCT(INDEX($AR$62:$AT$66,,$AI353), INDEX($AU$62:$BA$66,,$AH353), 1 / ($BB$62:$BB$66*BY353 + (1-$BB$62:$BB$66)*BU353), N($AQ$62:$AQ$66&gt;$AO353)),
SUMPRODUCT(INDEX($AR$47:$AT$56,,$AI353), INDEX($AU$47:$BA$56,,$AH353), 1 / ($BC$47:$BC$56*BY353 + (1-$BC$47:$BC$56)*BU353), N($AQ$47:$AQ$56&gt;$AO353))
) / 1000</f>
        <v>0</v>
      </c>
      <c r="CA353" s="235" cm="1">
        <f t="array" ref="CA353">$BI353 * IF($AH353&lt;=2,
SUMPRODUCT(INDEX($AR$23:$AT$61,,$AI353), INDEX($AU$23:$BA$61,,$AH353), 1 / ($BB$23:$BB$61*BY353), N($AQ$23:$AQ$61&gt;$AO353)),
SUMPRODUCT(INDEX($AR$23:$AT$46,,$AI353), INDEX($AU$23:$BA$46,,$AH353), 1 / ($BC$23:$BC$46*BY353), N($AQ$23:$AQ$46&gt;$AO353))
) / 1000</f>
        <v>0</v>
      </c>
      <c r="CB353" s="230">
        <f t="shared" si="473"/>
        <v>0</v>
      </c>
      <c r="CC353" s="238"/>
      <c r="CD353" s="229" cm="1">
        <f t="array" ref="CD353">IF(ISBLANK(Y353), INDEX(Use, $AH353, 4) - AN353*INDEX(Use, $AH353, 6) - (Q353-X353), Y353)</f>
        <v>7</v>
      </c>
      <c r="CE353" s="229">
        <f t="shared" si="474"/>
        <v>32</v>
      </c>
      <c r="CF353" s="230">
        <f t="shared" si="475"/>
        <v>0</v>
      </c>
      <c r="CG353" s="229">
        <v>35</v>
      </c>
      <c r="CH353" s="230">
        <f t="shared" si="476"/>
        <v>48</v>
      </c>
      <c r="CI353" s="235">
        <f t="shared" si="477"/>
        <v>3.0748170731707316</v>
      </c>
      <c r="CJ353" s="235" cm="1">
        <f t="array" ref="CJ353">$BI353 * SUMPRODUCT(INDEX($AR$77:$AT$82,,$AI353),INDEX($AU$77:$BA$82,,$AH353), N($AQ$77:$AQ$82&gt;$AO353)) / CI353 / 1000</f>
        <v>0</v>
      </c>
      <c r="CK353" s="232">
        <f t="shared" si="494"/>
        <v>30</v>
      </c>
      <c r="CL353" s="230">
        <f t="shared" si="478"/>
        <v>43</v>
      </c>
      <c r="CM353" s="235">
        <f t="shared" si="479"/>
        <v>3.5018750000000001</v>
      </c>
      <c r="CN353" s="235" cm="1">
        <f t="array" ref="CN353">$BI353 * IF($AH353&lt;=2,
SUMPRODUCT(INDEX($AR$72:$AT$76,,$AI353), INDEX($AU$72:$BA$76,,$AH353), 1 / ($BB$72:$BB$76*CM353 + (1-$BB$72:$BB$76)*CI353), N($AQ$72:$AQ$76&gt;$AO353)),
SUMPRODUCT(INDEX($AR$67:$AT$76,,$AI353), INDEX($AU$67:$BA$76,,$AH353), 1 / ($BC$67:$BC$76*CM353 + (1-$BC$67:$BC$76)*CI353), N($AQ$67:$AQ$76&gt;$AO353))
) / 1000</f>
        <v>0</v>
      </c>
      <c r="CO353" s="232">
        <f t="shared" si="495"/>
        <v>25</v>
      </c>
      <c r="CP353" s="230">
        <f t="shared" si="480"/>
        <v>38</v>
      </c>
      <c r="CQ353" s="235">
        <f t="shared" si="481"/>
        <v>4.0666935483870965</v>
      </c>
      <c r="CR353" s="235" cm="1">
        <f t="array" ref="CR353">$BI353 * IF($AH353&lt;=2,
SUMPRODUCT(INDEX($AR$67:$AT$71,,$AI353), INDEX($AU$67:$BA$71,,$AH353), 1 / ($BB$67:$BB$71*CQ353 + (1-$BB$67:$BB$71)*CM353), N($AQ$67:$AQ$71&gt;$AO353)),
SUMPRODUCT(INDEX($AR$57:$AT$66,,$AI353), INDEX($AU$57:$BA$66,,$AH353), 1 / ($BC$57:$BC$66*CQ353 + (1-$BC$57:$BC$66)*CM353), N($AQ$57:$AQ$66&gt;$AO353))
) / 1000</f>
        <v>0</v>
      </c>
      <c r="CS353" s="232">
        <f t="shared" si="496"/>
        <v>20</v>
      </c>
      <c r="CT353" s="230">
        <f t="shared" si="482"/>
        <v>33</v>
      </c>
      <c r="CU353" s="235">
        <f t="shared" si="483"/>
        <v>4.8487499999999999</v>
      </c>
      <c r="CV353" s="235" cm="1">
        <f t="array" ref="CV353">$BI353 * IF($AH353&lt;=2,
SUMPRODUCT(INDEX($AR$62:$AT$66,,$AI353), INDEX($AU$62:$BA$66,,$AH353), 1 / ($BB$62:$BB$66*CU353 + (1-$BB$62:$BB$66)*CQ353), N($AQ$62:$AQ$66&gt;$AO353)),
SUMPRODUCT(INDEX($AR$47:$AT$56,,$AI353), INDEX($AU$47:$BA$56,,$AH353), 1 / ($BC$47:$BC$56*CU353 + (1-$BC$47:$BC$56)*CQ353), N($AQ$47:$AQ$56&gt;$AO353))
) / 1000</f>
        <v>0</v>
      </c>
      <c r="CW353" s="235" cm="1">
        <f t="array" ref="CW353">$BI353 * IF($AH353&lt;=2,
SUMPRODUCT(INDEX($AR$23:$AT$61,,$AI353), INDEX($AU$23:$BA$61,,$AH353), 1 / ($BB$23:$BB$61*CU353), N($AQ$23:$AQ$61&gt;$AO353)),
SUMPRODUCT(INDEX($AR$23:$AT$46,,$AI353), INDEX($AU$23:$BA$46,,$AH353), 1 / ($BC$23:$BC$46*CU353), N($AQ$23:$AQ$46&gt;$AO353))
) / 1000</f>
        <v>0</v>
      </c>
      <c r="CX353" s="230">
        <f t="shared" si="484"/>
        <v>0</v>
      </c>
      <c r="CY353" s="238"/>
    </row>
    <row r="354" spans="1:103" s="76" customFormat="1" ht="14.25" customHeight="1" x14ac:dyDescent="0.2">
      <c r="A354" s="231" t="b">
        <f t="shared" si="488"/>
        <v>0</v>
      </c>
      <c r="B354" s="245">
        <v>332</v>
      </c>
      <c r="C354" s="258"/>
      <c r="D354" s="258"/>
      <c r="E354" s="246"/>
      <c r="F354" s="247" t="str">
        <f>IF(ISBLANK(E354), "", VLOOKUP(E354, Z!$A$2:$C$4127, 3, FALSE))</f>
        <v/>
      </c>
      <c r="G354" s="248"/>
      <c r="H354" s="248"/>
      <c r="I354" s="249"/>
      <c r="J354" s="250"/>
      <c r="K354" s="259"/>
      <c r="L354" s="260"/>
      <c r="M354" s="252" t="str" cm="1">
        <f t="array" ref="M354">INDEX(Trad, 53, $A$20)</f>
        <v>Verschmutzt</v>
      </c>
      <c r="N354" s="253"/>
      <c r="O354" s="253"/>
      <c r="P354" s="254"/>
      <c r="Q354" s="251"/>
      <c r="R354" s="251"/>
      <c r="S354" s="264">
        <f t="shared" si="459"/>
        <v>0</v>
      </c>
      <c r="T354" s="252" t="str" cm="1">
        <f t="array" ref="T354">INDEX(Trad, 52, $A$20)</f>
        <v>Sauber</v>
      </c>
      <c r="U354" s="253"/>
      <c r="V354" s="253"/>
      <c r="W354" s="254"/>
      <c r="X354" s="251"/>
      <c r="Y354" s="251"/>
      <c r="Z354" s="264">
        <f t="shared" si="460"/>
        <v>0</v>
      </c>
      <c r="AA354" s="261"/>
      <c r="AB354" s="258"/>
      <c r="AC354" s="246"/>
      <c r="AD354" s="247" t="str">
        <f>IF(ISBLANK(AC354), "", VLOOKUP(AC354, Z!$A$2:$C$4127, 3, FALSE))</f>
        <v/>
      </c>
      <c r="AE354" s="262"/>
      <c r="AF354" s="263">
        <f t="shared" si="461"/>
        <v>0</v>
      </c>
      <c r="AG354" s="238"/>
      <c r="AH354" s="229">
        <f t="shared" si="485"/>
        <v>1</v>
      </c>
      <c r="AI354" s="229">
        <f t="shared" si="486"/>
        <v>1</v>
      </c>
      <c r="AJ354" s="229">
        <f t="shared" si="487"/>
        <v>0</v>
      </c>
      <c r="AK354" s="229">
        <v>0</v>
      </c>
      <c r="AL354" s="229">
        <v>0</v>
      </c>
      <c r="AM354" s="229">
        <v>1</v>
      </c>
      <c r="AN354" s="229">
        <v>0</v>
      </c>
      <c r="AO354" s="229">
        <f t="shared" si="462"/>
        <v>-100</v>
      </c>
      <c r="AP354" s="238"/>
      <c r="AQ354" s="255"/>
      <c r="AR354" s="255"/>
      <c r="AS354" s="256"/>
      <c r="AT354" s="256"/>
      <c r="AU354" s="256"/>
      <c r="AV354" s="256"/>
      <c r="AW354" s="256"/>
      <c r="AX354" s="256"/>
      <c r="AY354" s="256"/>
      <c r="AZ354" s="256"/>
      <c r="BA354" s="256"/>
      <c r="BB354" s="256"/>
      <c r="BC354" s="256"/>
      <c r="BD354" s="238"/>
      <c r="BE354" s="229" cm="1">
        <f t="array" ref="BE354">IF(ISBLANK(R354), INDEX(Use, $AH354, 4) - AM354*INDEX(Use, $AH354, 6), R354)</f>
        <v>5</v>
      </c>
      <c r="BF354" s="229">
        <f t="shared" si="463"/>
        <v>30</v>
      </c>
      <c r="BG354" s="229">
        <f t="shared" si="489"/>
        <v>13</v>
      </c>
      <c r="BH354" s="229">
        <f t="shared" si="490"/>
        <v>0</v>
      </c>
      <c r="BI354" s="234" cm="1">
        <f t="array" ref="BI354">K354/IF($L354&gt;0, INDEX($AU$23:$BA$77, $L354+20, $AH354), 1)</f>
        <v>0</v>
      </c>
      <c r="BJ354" s="230">
        <f t="shared" si="464"/>
        <v>0</v>
      </c>
      <c r="BK354" s="229">
        <v>35</v>
      </c>
      <c r="BL354" s="230">
        <f t="shared" si="465"/>
        <v>48</v>
      </c>
      <c r="BM354" s="235">
        <f t="shared" si="466"/>
        <v>2.9108720930232557</v>
      </c>
      <c r="BN354" s="235" cm="1">
        <f t="array" ref="BN354">$BI354 * SUMPRODUCT(INDEX($AR$77:$AT$82,,$AI354),INDEX($AU$77:$BA$82,,$AH354), N($AQ$77:$AQ$82&gt;$AO354)) / BM354 / 1000</f>
        <v>0</v>
      </c>
      <c r="BO354" s="232">
        <f t="shared" si="491"/>
        <v>30</v>
      </c>
      <c r="BP354" s="230">
        <f t="shared" si="467"/>
        <v>43</v>
      </c>
      <c r="BQ354" s="235">
        <f t="shared" si="468"/>
        <v>3.2938815789473681</v>
      </c>
      <c r="BR354" s="235" cm="1">
        <f t="array" ref="BR354">$BI354 * IF($AH354&lt;=2,
SUMPRODUCT(INDEX($AR$72:$AT$76,,$AI354), INDEX($AU$72:$BA$76,,$AH354), 1 / ($BB$72:$BB$76*BQ354 + (1-$BB$72:$BB$76)*BM354), N($AQ$72:$AQ$76&gt;$AO354)),
SUMPRODUCT(INDEX($AR$67:$AT$76,,$AI354), INDEX($AU$67:$BA$76,,$AH354), 1 / ($BC$67:$BC$76*BQ354 + (1-$BC$67:$BC$76)*BM354), N($AQ$67:$AQ$76&gt;$AO354))
) / 1000</f>
        <v>0</v>
      </c>
      <c r="BS354" s="232">
        <f t="shared" si="492"/>
        <v>25</v>
      </c>
      <c r="BT354" s="230">
        <f t="shared" si="469"/>
        <v>38</v>
      </c>
      <c r="BU354" s="235">
        <f t="shared" si="470"/>
        <v>3.792954545454545</v>
      </c>
      <c r="BV354" s="235" cm="1">
        <f t="array" ref="BV354">$BI354 * IF($AH354&lt;=2,
SUMPRODUCT(INDEX($AR$67:$AT$71,,$AI354), INDEX($AU$67:$BA$71,,$AH354), 1 / ($BB$67:$BB$71*BU354 + (1-$BB$67:$BB$71)*BQ354), N($AQ$67:$AQ$71&gt;$AO354)),
SUMPRODUCT(INDEX($AR$57:$AT$66,,$AI354), INDEX($AU$57:$BA$66,,$AH354), 1 / ($BC$57:$BC$66*BU354 + (1-$BC$57:$BC$66)*BQ354), N($AQ$57:$AQ$66&gt;$AO354))
) / 1000</f>
        <v>0</v>
      </c>
      <c r="BW354" s="232">
        <f t="shared" si="493"/>
        <v>20</v>
      </c>
      <c r="BX354" s="230">
        <f t="shared" si="471"/>
        <v>33</v>
      </c>
      <c r="BY354" s="235">
        <f t="shared" si="472"/>
        <v>4.4702678571428569</v>
      </c>
      <c r="BZ354" s="235" cm="1">
        <f t="array" ref="BZ354">$BI354 * IF($AH354&lt;=2,
SUMPRODUCT(INDEX($AR$62:$AT$66,,$AI354), INDEX($AU$62:$BA$66,,$AH354), 1 / ($BB$62:$BB$66*BY354 + (1-$BB$62:$BB$66)*BU354), N($AQ$62:$AQ$66&gt;$AO354)),
SUMPRODUCT(INDEX($AR$47:$AT$56,,$AI354), INDEX($AU$47:$BA$56,,$AH354), 1 / ($BC$47:$BC$56*BY354 + (1-$BC$47:$BC$56)*BU354), N($AQ$47:$AQ$56&gt;$AO354))
) / 1000</f>
        <v>0</v>
      </c>
      <c r="CA354" s="235" cm="1">
        <f t="array" ref="CA354">$BI354 * IF($AH354&lt;=2,
SUMPRODUCT(INDEX($AR$23:$AT$61,,$AI354), INDEX($AU$23:$BA$61,,$AH354), 1 / ($BB$23:$BB$61*BY354), N($AQ$23:$AQ$61&gt;$AO354)),
SUMPRODUCT(INDEX($AR$23:$AT$46,,$AI354), INDEX($AU$23:$BA$46,,$AH354), 1 / ($BC$23:$BC$46*BY354), N($AQ$23:$AQ$46&gt;$AO354))
) / 1000</f>
        <v>0</v>
      </c>
      <c r="CB354" s="230">
        <f t="shared" si="473"/>
        <v>0</v>
      </c>
      <c r="CC354" s="238"/>
      <c r="CD354" s="229" cm="1">
        <f t="array" ref="CD354">IF(ISBLANK(Y354), INDEX(Use, $AH354, 4) - AN354*INDEX(Use, $AH354, 6) - (Q354-X354), Y354)</f>
        <v>7</v>
      </c>
      <c r="CE354" s="229">
        <f t="shared" si="474"/>
        <v>32</v>
      </c>
      <c r="CF354" s="230">
        <f t="shared" si="475"/>
        <v>0</v>
      </c>
      <c r="CG354" s="229">
        <v>35</v>
      </c>
      <c r="CH354" s="230">
        <f t="shared" si="476"/>
        <v>48</v>
      </c>
      <c r="CI354" s="235">
        <f t="shared" si="477"/>
        <v>3.0748170731707316</v>
      </c>
      <c r="CJ354" s="235" cm="1">
        <f t="array" ref="CJ354">$BI354 * SUMPRODUCT(INDEX($AR$77:$AT$82,,$AI354),INDEX($AU$77:$BA$82,,$AH354), N($AQ$77:$AQ$82&gt;$AO354)) / CI354 / 1000</f>
        <v>0</v>
      </c>
      <c r="CK354" s="232">
        <f t="shared" si="494"/>
        <v>30</v>
      </c>
      <c r="CL354" s="230">
        <f t="shared" si="478"/>
        <v>43</v>
      </c>
      <c r="CM354" s="235">
        <f t="shared" si="479"/>
        <v>3.5018750000000001</v>
      </c>
      <c r="CN354" s="235" cm="1">
        <f t="array" ref="CN354">$BI354 * IF($AH354&lt;=2,
SUMPRODUCT(INDEX($AR$72:$AT$76,,$AI354), INDEX($AU$72:$BA$76,,$AH354), 1 / ($BB$72:$BB$76*CM354 + (1-$BB$72:$BB$76)*CI354), N($AQ$72:$AQ$76&gt;$AO354)),
SUMPRODUCT(INDEX($AR$67:$AT$76,,$AI354), INDEX($AU$67:$BA$76,,$AH354), 1 / ($BC$67:$BC$76*CM354 + (1-$BC$67:$BC$76)*CI354), N($AQ$67:$AQ$76&gt;$AO354))
) / 1000</f>
        <v>0</v>
      </c>
      <c r="CO354" s="232">
        <f t="shared" si="495"/>
        <v>25</v>
      </c>
      <c r="CP354" s="230">
        <f t="shared" si="480"/>
        <v>38</v>
      </c>
      <c r="CQ354" s="235">
        <f t="shared" si="481"/>
        <v>4.0666935483870965</v>
      </c>
      <c r="CR354" s="235" cm="1">
        <f t="array" ref="CR354">$BI354 * IF($AH354&lt;=2,
SUMPRODUCT(INDEX($AR$67:$AT$71,,$AI354), INDEX($AU$67:$BA$71,,$AH354), 1 / ($BB$67:$BB$71*CQ354 + (1-$BB$67:$BB$71)*CM354), N($AQ$67:$AQ$71&gt;$AO354)),
SUMPRODUCT(INDEX($AR$57:$AT$66,,$AI354), INDEX($AU$57:$BA$66,,$AH354), 1 / ($BC$57:$BC$66*CQ354 + (1-$BC$57:$BC$66)*CM354), N($AQ$57:$AQ$66&gt;$AO354))
) / 1000</f>
        <v>0</v>
      </c>
      <c r="CS354" s="232">
        <f t="shared" si="496"/>
        <v>20</v>
      </c>
      <c r="CT354" s="230">
        <f t="shared" si="482"/>
        <v>33</v>
      </c>
      <c r="CU354" s="235">
        <f t="shared" si="483"/>
        <v>4.8487499999999999</v>
      </c>
      <c r="CV354" s="235" cm="1">
        <f t="array" ref="CV354">$BI354 * IF($AH354&lt;=2,
SUMPRODUCT(INDEX($AR$62:$AT$66,,$AI354), INDEX($AU$62:$BA$66,,$AH354), 1 / ($BB$62:$BB$66*CU354 + (1-$BB$62:$BB$66)*CQ354), N($AQ$62:$AQ$66&gt;$AO354)),
SUMPRODUCT(INDEX($AR$47:$AT$56,,$AI354), INDEX($AU$47:$BA$56,,$AH354), 1 / ($BC$47:$BC$56*CU354 + (1-$BC$47:$BC$56)*CQ354), N($AQ$47:$AQ$56&gt;$AO354))
) / 1000</f>
        <v>0</v>
      </c>
      <c r="CW354" s="235" cm="1">
        <f t="array" ref="CW354">$BI354 * IF($AH354&lt;=2,
SUMPRODUCT(INDEX($AR$23:$AT$61,,$AI354), INDEX($AU$23:$BA$61,,$AH354), 1 / ($BB$23:$BB$61*CU354), N($AQ$23:$AQ$61&gt;$AO354)),
SUMPRODUCT(INDEX($AR$23:$AT$46,,$AI354), INDEX($AU$23:$BA$46,,$AH354), 1 / ($BC$23:$BC$46*CU354), N($AQ$23:$AQ$46&gt;$AO354))
) / 1000</f>
        <v>0</v>
      </c>
      <c r="CX354" s="230">
        <f t="shared" si="484"/>
        <v>0</v>
      </c>
      <c r="CY354" s="238"/>
    </row>
    <row r="355" spans="1:103" s="76" customFormat="1" ht="14.25" customHeight="1" x14ac:dyDescent="0.2">
      <c r="A355" s="231" t="b">
        <f t="shared" si="488"/>
        <v>0</v>
      </c>
      <c r="B355" s="245">
        <v>333</v>
      </c>
      <c r="C355" s="258"/>
      <c r="D355" s="258"/>
      <c r="E355" s="246"/>
      <c r="F355" s="247" t="str">
        <f>IF(ISBLANK(E355), "", VLOOKUP(E355, Z!$A$2:$C$4127, 3, FALSE))</f>
        <v/>
      </c>
      <c r="G355" s="248"/>
      <c r="H355" s="248"/>
      <c r="I355" s="249"/>
      <c r="J355" s="250"/>
      <c r="K355" s="259"/>
      <c r="L355" s="260"/>
      <c r="M355" s="252" t="str" cm="1">
        <f t="array" ref="M355">INDEX(Trad, 53, $A$20)</f>
        <v>Verschmutzt</v>
      </c>
      <c r="N355" s="253"/>
      <c r="O355" s="253"/>
      <c r="P355" s="254"/>
      <c r="Q355" s="251"/>
      <c r="R355" s="251"/>
      <c r="S355" s="264">
        <f t="shared" si="459"/>
        <v>0</v>
      </c>
      <c r="T355" s="252" t="str" cm="1">
        <f t="array" ref="T355">INDEX(Trad, 52, $A$20)</f>
        <v>Sauber</v>
      </c>
      <c r="U355" s="253"/>
      <c r="V355" s="253"/>
      <c r="W355" s="254"/>
      <c r="X355" s="251"/>
      <c r="Y355" s="251"/>
      <c r="Z355" s="264">
        <f t="shared" si="460"/>
        <v>0</v>
      </c>
      <c r="AA355" s="261"/>
      <c r="AB355" s="258"/>
      <c r="AC355" s="246"/>
      <c r="AD355" s="247" t="str">
        <f>IF(ISBLANK(AC355), "", VLOOKUP(AC355, Z!$A$2:$C$4127, 3, FALSE))</f>
        <v/>
      </c>
      <c r="AE355" s="262"/>
      <c r="AF355" s="263">
        <f t="shared" si="461"/>
        <v>0</v>
      </c>
      <c r="AG355" s="238"/>
      <c r="AH355" s="229">
        <f t="shared" si="485"/>
        <v>1</v>
      </c>
      <c r="AI355" s="229">
        <f t="shared" si="486"/>
        <v>1</v>
      </c>
      <c r="AJ355" s="229">
        <f t="shared" si="487"/>
        <v>0</v>
      </c>
      <c r="AK355" s="229">
        <v>0</v>
      </c>
      <c r="AL355" s="229">
        <v>0</v>
      </c>
      <c r="AM355" s="229">
        <v>1</v>
      </c>
      <c r="AN355" s="229">
        <v>0</v>
      </c>
      <c r="AO355" s="229">
        <f t="shared" si="462"/>
        <v>-100</v>
      </c>
      <c r="AP355" s="238"/>
      <c r="AQ355" s="255"/>
      <c r="AR355" s="255"/>
      <c r="AS355" s="256"/>
      <c r="AT355" s="256"/>
      <c r="AU355" s="256"/>
      <c r="AV355" s="256"/>
      <c r="AW355" s="256"/>
      <c r="AX355" s="256"/>
      <c r="AY355" s="256"/>
      <c r="AZ355" s="256"/>
      <c r="BA355" s="256"/>
      <c r="BB355" s="256"/>
      <c r="BC355" s="256"/>
      <c r="BD355" s="238"/>
      <c r="BE355" s="229" cm="1">
        <f t="array" ref="BE355">IF(ISBLANK(R355), INDEX(Use, $AH355, 4) - AM355*INDEX(Use, $AH355, 6), R355)</f>
        <v>5</v>
      </c>
      <c r="BF355" s="229">
        <f t="shared" si="463"/>
        <v>30</v>
      </c>
      <c r="BG355" s="229">
        <f t="shared" si="489"/>
        <v>13</v>
      </c>
      <c r="BH355" s="229">
        <f t="shared" si="490"/>
        <v>0</v>
      </c>
      <c r="BI355" s="234" cm="1">
        <f t="array" ref="BI355">K355/IF($L355&gt;0, INDEX($AU$23:$BA$77, $L355+20, $AH355), 1)</f>
        <v>0</v>
      </c>
      <c r="BJ355" s="230">
        <f t="shared" si="464"/>
        <v>0</v>
      </c>
      <c r="BK355" s="229">
        <v>35</v>
      </c>
      <c r="BL355" s="230">
        <f t="shared" si="465"/>
        <v>48</v>
      </c>
      <c r="BM355" s="235">
        <f t="shared" si="466"/>
        <v>2.9108720930232557</v>
      </c>
      <c r="BN355" s="235" cm="1">
        <f t="array" ref="BN355">$BI355 * SUMPRODUCT(INDEX($AR$77:$AT$82,,$AI355),INDEX($AU$77:$BA$82,,$AH355), N($AQ$77:$AQ$82&gt;$AO355)) / BM355 / 1000</f>
        <v>0</v>
      </c>
      <c r="BO355" s="232">
        <f t="shared" si="491"/>
        <v>30</v>
      </c>
      <c r="BP355" s="230">
        <f t="shared" si="467"/>
        <v>43</v>
      </c>
      <c r="BQ355" s="235">
        <f t="shared" si="468"/>
        <v>3.2938815789473681</v>
      </c>
      <c r="BR355" s="235" cm="1">
        <f t="array" ref="BR355">$BI355 * IF($AH355&lt;=2,
SUMPRODUCT(INDEX($AR$72:$AT$76,,$AI355), INDEX($AU$72:$BA$76,,$AH355), 1 / ($BB$72:$BB$76*BQ355 + (1-$BB$72:$BB$76)*BM355), N($AQ$72:$AQ$76&gt;$AO355)),
SUMPRODUCT(INDEX($AR$67:$AT$76,,$AI355), INDEX($AU$67:$BA$76,,$AH355), 1 / ($BC$67:$BC$76*BQ355 + (1-$BC$67:$BC$76)*BM355), N($AQ$67:$AQ$76&gt;$AO355))
) / 1000</f>
        <v>0</v>
      </c>
      <c r="BS355" s="232">
        <f t="shared" si="492"/>
        <v>25</v>
      </c>
      <c r="BT355" s="230">
        <f t="shared" si="469"/>
        <v>38</v>
      </c>
      <c r="BU355" s="235">
        <f t="shared" si="470"/>
        <v>3.792954545454545</v>
      </c>
      <c r="BV355" s="235" cm="1">
        <f t="array" ref="BV355">$BI355 * IF($AH355&lt;=2,
SUMPRODUCT(INDEX($AR$67:$AT$71,,$AI355), INDEX($AU$67:$BA$71,,$AH355), 1 / ($BB$67:$BB$71*BU355 + (1-$BB$67:$BB$71)*BQ355), N($AQ$67:$AQ$71&gt;$AO355)),
SUMPRODUCT(INDEX($AR$57:$AT$66,,$AI355), INDEX($AU$57:$BA$66,,$AH355), 1 / ($BC$57:$BC$66*BU355 + (1-$BC$57:$BC$66)*BQ355), N($AQ$57:$AQ$66&gt;$AO355))
) / 1000</f>
        <v>0</v>
      </c>
      <c r="BW355" s="232">
        <f t="shared" si="493"/>
        <v>20</v>
      </c>
      <c r="BX355" s="230">
        <f t="shared" si="471"/>
        <v>33</v>
      </c>
      <c r="BY355" s="235">
        <f t="shared" si="472"/>
        <v>4.4702678571428569</v>
      </c>
      <c r="BZ355" s="235" cm="1">
        <f t="array" ref="BZ355">$BI355 * IF($AH355&lt;=2,
SUMPRODUCT(INDEX($AR$62:$AT$66,,$AI355), INDEX($AU$62:$BA$66,,$AH355), 1 / ($BB$62:$BB$66*BY355 + (1-$BB$62:$BB$66)*BU355), N($AQ$62:$AQ$66&gt;$AO355)),
SUMPRODUCT(INDEX($AR$47:$AT$56,,$AI355), INDEX($AU$47:$BA$56,,$AH355), 1 / ($BC$47:$BC$56*BY355 + (1-$BC$47:$BC$56)*BU355), N($AQ$47:$AQ$56&gt;$AO355))
) / 1000</f>
        <v>0</v>
      </c>
      <c r="CA355" s="235" cm="1">
        <f t="array" ref="CA355">$BI355 * IF($AH355&lt;=2,
SUMPRODUCT(INDEX($AR$23:$AT$61,,$AI355), INDEX($AU$23:$BA$61,,$AH355), 1 / ($BB$23:$BB$61*BY355), N($AQ$23:$AQ$61&gt;$AO355)),
SUMPRODUCT(INDEX($AR$23:$AT$46,,$AI355), INDEX($AU$23:$BA$46,,$AH355), 1 / ($BC$23:$BC$46*BY355), N($AQ$23:$AQ$46&gt;$AO355))
) / 1000</f>
        <v>0</v>
      </c>
      <c r="CB355" s="230">
        <f t="shared" si="473"/>
        <v>0</v>
      </c>
      <c r="CC355" s="238"/>
      <c r="CD355" s="229" cm="1">
        <f t="array" ref="CD355">IF(ISBLANK(Y355), INDEX(Use, $AH355, 4) - AN355*INDEX(Use, $AH355, 6) - (Q355-X355), Y355)</f>
        <v>7</v>
      </c>
      <c r="CE355" s="229">
        <f t="shared" si="474"/>
        <v>32</v>
      </c>
      <c r="CF355" s="230">
        <f t="shared" si="475"/>
        <v>0</v>
      </c>
      <c r="CG355" s="229">
        <v>35</v>
      </c>
      <c r="CH355" s="230">
        <f t="shared" si="476"/>
        <v>48</v>
      </c>
      <c r="CI355" s="235">
        <f t="shared" si="477"/>
        <v>3.0748170731707316</v>
      </c>
      <c r="CJ355" s="235" cm="1">
        <f t="array" ref="CJ355">$BI355 * SUMPRODUCT(INDEX($AR$77:$AT$82,,$AI355),INDEX($AU$77:$BA$82,,$AH355), N($AQ$77:$AQ$82&gt;$AO355)) / CI355 / 1000</f>
        <v>0</v>
      </c>
      <c r="CK355" s="232">
        <f t="shared" si="494"/>
        <v>30</v>
      </c>
      <c r="CL355" s="230">
        <f t="shared" si="478"/>
        <v>43</v>
      </c>
      <c r="CM355" s="235">
        <f t="shared" si="479"/>
        <v>3.5018750000000001</v>
      </c>
      <c r="CN355" s="235" cm="1">
        <f t="array" ref="CN355">$BI355 * IF($AH355&lt;=2,
SUMPRODUCT(INDEX($AR$72:$AT$76,,$AI355), INDEX($AU$72:$BA$76,,$AH355), 1 / ($BB$72:$BB$76*CM355 + (1-$BB$72:$BB$76)*CI355), N($AQ$72:$AQ$76&gt;$AO355)),
SUMPRODUCT(INDEX($AR$67:$AT$76,,$AI355), INDEX($AU$67:$BA$76,,$AH355), 1 / ($BC$67:$BC$76*CM355 + (1-$BC$67:$BC$76)*CI355), N($AQ$67:$AQ$76&gt;$AO355))
) / 1000</f>
        <v>0</v>
      </c>
      <c r="CO355" s="232">
        <f t="shared" si="495"/>
        <v>25</v>
      </c>
      <c r="CP355" s="230">
        <f t="shared" si="480"/>
        <v>38</v>
      </c>
      <c r="CQ355" s="235">
        <f t="shared" si="481"/>
        <v>4.0666935483870965</v>
      </c>
      <c r="CR355" s="235" cm="1">
        <f t="array" ref="CR355">$BI355 * IF($AH355&lt;=2,
SUMPRODUCT(INDEX($AR$67:$AT$71,,$AI355), INDEX($AU$67:$BA$71,,$AH355), 1 / ($BB$67:$BB$71*CQ355 + (1-$BB$67:$BB$71)*CM355), N($AQ$67:$AQ$71&gt;$AO355)),
SUMPRODUCT(INDEX($AR$57:$AT$66,,$AI355), INDEX($AU$57:$BA$66,,$AH355), 1 / ($BC$57:$BC$66*CQ355 + (1-$BC$57:$BC$66)*CM355), N($AQ$57:$AQ$66&gt;$AO355))
) / 1000</f>
        <v>0</v>
      </c>
      <c r="CS355" s="232">
        <f t="shared" si="496"/>
        <v>20</v>
      </c>
      <c r="CT355" s="230">
        <f t="shared" si="482"/>
        <v>33</v>
      </c>
      <c r="CU355" s="235">
        <f t="shared" si="483"/>
        <v>4.8487499999999999</v>
      </c>
      <c r="CV355" s="235" cm="1">
        <f t="array" ref="CV355">$BI355 * IF($AH355&lt;=2,
SUMPRODUCT(INDEX($AR$62:$AT$66,,$AI355), INDEX($AU$62:$BA$66,,$AH355), 1 / ($BB$62:$BB$66*CU355 + (1-$BB$62:$BB$66)*CQ355), N($AQ$62:$AQ$66&gt;$AO355)),
SUMPRODUCT(INDEX($AR$47:$AT$56,,$AI355), INDEX($AU$47:$BA$56,,$AH355), 1 / ($BC$47:$BC$56*CU355 + (1-$BC$47:$BC$56)*CQ355), N($AQ$47:$AQ$56&gt;$AO355))
) / 1000</f>
        <v>0</v>
      </c>
      <c r="CW355" s="235" cm="1">
        <f t="array" ref="CW355">$BI355 * IF($AH355&lt;=2,
SUMPRODUCT(INDEX($AR$23:$AT$61,,$AI355), INDEX($AU$23:$BA$61,,$AH355), 1 / ($BB$23:$BB$61*CU355), N($AQ$23:$AQ$61&gt;$AO355)),
SUMPRODUCT(INDEX($AR$23:$AT$46,,$AI355), INDEX($AU$23:$BA$46,,$AH355), 1 / ($BC$23:$BC$46*CU355), N($AQ$23:$AQ$46&gt;$AO355))
) / 1000</f>
        <v>0</v>
      </c>
      <c r="CX355" s="230">
        <f t="shared" si="484"/>
        <v>0</v>
      </c>
      <c r="CY355" s="238"/>
    </row>
    <row r="356" spans="1:103" s="76" customFormat="1" ht="14.25" customHeight="1" x14ac:dyDescent="0.2">
      <c r="A356" s="231" t="b">
        <f t="shared" si="488"/>
        <v>0</v>
      </c>
      <c r="B356" s="245">
        <v>334</v>
      </c>
      <c r="C356" s="258"/>
      <c r="D356" s="258"/>
      <c r="E356" s="246"/>
      <c r="F356" s="247" t="str">
        <f>IF(ISBLANK(E356), "", VLOOKUP(E356, Z!$A$2:$C$4127, 3, FALSE))</f>
        <v/>
      </c>
      <c r="G356" s="248"/>
      <c r="H356" s="248"/>
      <c r="I356" s="249"/>
      <c r="J356" s="250"/>
      <c r="K356" s="259"/>
      <c r="L356" s="260"/>
      <c r="M356" s="252" t="str" cm="1">
        <f t="array" ref="M356">INDEX(Trad, 53, $A$20)</f>
        <v>Verschmutzt</v>
      </c>
      <c r="N356" s="253"/>
      <c r="O356" s="253"/>
      <c r="P356" s="254"/>
      <c r="Q356" s="251"/>
      <c r="R356" s="251"/>
      <c r="S356" s="264">
        <f t="shared" si="459"/>
        <v>0</v>
      </c>
      <c r="T356" s="252" t="str" cm="1">
        <f t="array" ref="T356">INDEX(Trad, 52, $A$20)</f>
        <v>Sauber</v>
      </c>
      <c r="U356" s="253"/>
      <c r="V356" s="253"/>
      <c r="W356" s="254"/>
      <c r="X356" s="251"/>
      <c r="Y356" s="251"/>
      <c r="Z356" s="264">
        <f t="shared" si="460"/>
        <v>0</v>
      </c>
      <c r="AA356" s="261"/>
      <c r="AB356" s="258"/>
      <c r="AC356" s="246"/>
      <c r="AD356" s="247" t="str">
        <f>IF(ISBLANK(AC356), "", VLOOKUP(AC356, Z!$A$2:$C$4127, 3, FALSE))</f>
        <v/>
      </c>
      <c r="AE356" s="262"/>
      <c r="AF356" s="263">
        <f t="shared" si="461"/>
        <v>0</v>
      </c>
      <c r="AG356" s="238"/>
      <c r="AH356" s="229">
        <f t="shared" si="485"/>
        <v>1</v>
      </c>
      <c r="AI356" s="229">
        <f t="shared" si="486"/>
        <v>1</v>
      </c>
      <c r="AJ356" s="229">
        <f t="shared" si="487"/>
        <v>0</v>
      </c>
      <c r="AK356" s="229">
        <v>0</v>
      </c>
      <c r="AL356" s="229">
        <v>0</v>
      </c>
      <c r="AM356" s="229">
        <v>1</v>
      </c>
      <c r="AN356" s="229">
        <v>0</v>
      </c>
      <c r="AO356" s="229">
        <f t="shared" si="462"/>
        <v>-100</v>
      </c>
      <c r="AP356" s="238"/>
      <c r="AQ356" s="255"/>
      <c r="AR356" s="255"/>
      <c r="AS356" s="256"/>
      <c r="AT356" s="256"/>
      <c r="AU356" s="256"/>
      <c r="AV356" s="256"/>
      <c r="AW356" s="256"/>
      <c r="AX356" s="256"/>
      <c r="AY356" s="256"/>
      <c r="AZ356" s="256"/>
      <c r="BA356" s="256"/>
      <c r="BB356" s="256"/>
      <c r="BC356" s="256"/>
      <c r="BD356" s="238"/>
      <c r="BE356" s="229" cm="1">
        <f t="array" ref="BE356">IF(ISBLANK(R356), INDEX(Use, $AH356, 4) - AM356*INDEX(Use, $AH356, 6), R356)</f>
        <v>5</v>
      </c>
      <c r="BF356" s="229">
        <f t="shared" si="463"/>
        <v>30</v>
      </c>
      <c r="BG356" s="229">
        <f t="shared" si="489"/>
        <v>13</v>
      </c>
      <c r="BH356" s="229">
        <f t="shared" si="490"/>
        <v>0</v>
      </c>
      <c r="BI356" s="234" cm="1">
        <f t="array" ref="BI356">K356/IF($L356&gt;0, INDEX($AU$23:$BA$77, $L356+20, $AH356), 1)</f>
        <v>0</v>
      </c>
      <c r="BJ356" s="230">
        <f t="shared" si="464"/>
        <v>0</v>
      </c>
      <c r="BK356" s="229">
        <v>35</v>
      </c>
      <c r="BL356" s="230">
        <f t="shared" si="465"/>
        <v>48</v>
      </c>
      <c r="BM356" s="235">
        <f t="shared" si="466"/>
        <v>2.9108720930232557</v>
      </c>
      <c r="BN356" s="235" cm="1">
        <f t="array" ref="BN356">$BI356 * SUMPRODUCT(INDEX($AR$77:$AT$82,,$AI356),INDEX($AU$77:$BA$82,,$AH356), N($AQ$77:$AQ$82&gt;$AO356)) / BM356 / 1000</f>
        <v>0</v>
      </c>
      <c r="BO356" s="232">
        <f t="shared" si="491"/>
        <v>30</v>
      </c>
      <c r="BP356" s="230">
        <f t="shared" si="467"/>
        <v>43</v>
      </c>
      <c r="BQ356" s="235">
        <f t="shared" si="468"/>
        <v>3.2938815789473681</v>
      </c>
      <c r="BR356" s="235" cm="1">
        <f t="array" ref="BR356">$BI356 * IF($AH356&lt;=2,
SUMPRODUCT(INDEX($AR$72:$AT$76,,$AI356), INDEX($AU$72:$BA$76,,$AH356), 1 / ($BB$72:$BB$76*BQ356 + (1-$BB$72:$BB$76)*BM356), N($AQ$72:$AQ$76&gt;$AO356)),
SUMPRODUCT(INDEX($AR$67:$AT$76,,$AI356), INDEX($AU$67:$BA$76,,$AH356), 1 / ($BC$67:$BC$76*BQ356 + (1-$BC$67:$BC$76)*BM356), N($AQ$67:$AQ$76&gt;$AO356))
) / 1000</f>
        <v>0</v>
      </c>
      <c r="BS356" s="232">
        <f t="shared" si="492"/>
        <v>25</v>
      </c>
      <c r="BT356" s="230">
        <f t="shared" si="469"/>
        <v>38</v>
      </c>
      <c r="BU356" s="235">
        <f t="shared" si="470"/>
        <v>3.792954545454545</v>
      </c>
      <c r="BV356" s="235" cm="1">
        <f t="array" ref="BV356">$BI356 * IF($AH356&lt;=2,
SUMPRODUCT(INDEX($AR$67:$AT$71,,$AI356), INDEX($AU$67:$BA$71,,$AH356), 1 / ($BB$67:$BB$71*BU356 + (1-$BB$67:$BB$71)*BQ356), N($AQ$67:$AQ$71&gt;$AO356)),
SUMPRODUCT(INDEX($AR$57:$AT$66,,$AI356), INDEX($AU$57:$BA$66,,$AH356), 1 / ($BC$57:$BC$66*BU356 + (1-$BC$57:$BC$66)*BQ356), N($AQ$57:$AQ$66&gt;$AO356))
) / 1000</f>
        <v>0</v>
      </c>
      <c r="BW356" s="232">
        <f t="shared" si="493"/>
        <v>20</v>
      </c>
      <c r="BX356" s="230">
        <f t="shared" si="471"/>
        <v>33</v>
      </c>
      <c r="BY356" s="235">
        <f t="shared" si="472"/>
        <v>4.4702678571428569</v>
      </c>
      <c r="BZ356" s="235" cm="1">
        <f t="array" ref="BZ356">$BI356 * IF($AH356&lt;=2,
SUMPRODUCT(INDEX($AR$62:$AT$66,,$AI356), INDEX($AU$62:$BA$66,,$AH356), 1 / ($BB$62:$BB$66*BY356 + (1-$BB$62:$BB$66)*BU356), N($AQ$62:$AQ$66&gt;$AO356)),
SUMPRODUCT(INDEX($AR$47:$AT$56,,$AI356), INDEX($AU$47:$BA$56,,$AH356), 1 / ($BC$47:$BC$56*BY356 + (1-$BC$47:$BC$56)*BU356), N($AQ$47:$AQ$56&gt;$AO356))
) / 1000</f>
        <v>0</v>
      </c>
      <c r="CA356" s="235" cm="1">
        <f t="array" ref="CA356">$BI356 * IF($AH356&lt;=2,
SUMPRODUCT(INDEX($AR$23:$AT$61,,$AI356), INDEX($AU$23:$BA$61,,$AH356), 1 / ($BB$23:$BB$61*BY356), N($AQ$23:$AQ$61&gt;$AO356)),
SUMPRODUCT(INDEX($AR$23:$AT$46,,$AI356), INDEX($AU$23:$BA$46,,$AH356), 1 / ($BC$23:$BC$46*BY356), N($AQ$23:$AQ$46&gt;$AO356))
) / 1000</f>
        <v>0</v>
      </c>
      <c r="CB356" s="230">
        <f t="shared" si="473"/>
        <v>0</v>
      </c>
      <c r="CC356" s="238"/>
      <c r="CD356" s="229" cm="1">
        <f t="array" ref="CD356">IF(ISBLANK(Y356), INDEX(Use, $AH356, 4) - AN356*INDEX(Use, $AH356, 6) - (Q356-X356), Y356)</f>
        <v>7</v>
      </c>
      <c r="CE356" s="229">
        <f t="shared" si="474"/>
        <v>32</v>
      </c>
      <c r="CF356" s="230">
        <f t="shared" si="475"/>
        <v>0</v>
      </c>
      <c r="CG356" s="229">
        <v>35</v>
      </c>
      <c r="CH356" s="230">
        <f t="shared" si="476"/>
        <v>48</v>
      </c>
      <c r="CI356" s="235">
        <f t="shared" si="477"/>
        <v>3.0748170731707316</v>
      </c>
      <c r="CJ356" s="235" cm="1">
        <f t="array" ref="CJ356">$BI356 * SUMPRODUCT(INDEX($AR$77:$AT$82,,$AI356),INDEX($AU$77:$BA$82,,$AH356), N($AQ$77:$AQ$82&gt;$AO356)) / CI356 / 1000</f>
        <v>0</v>
      </c>
      <c r="CK356" s="232">
        <f t="shared" si="494"/>
        <v>30</v>
      </c>
      <c r="CL356" s="230">
        <f t="shared" si="478"/>
        <v>43</v>
      </c>
      <c r="CM356" s="235">
        <f t="shared" si="479"/>
        <v>3.5018750000000001</v>
      </c>
      <c r="CN356" s="235" cm="1">
        <f t="array" ref="CN356">$BI356 * IF($AH356&lt;=2,
SUMPRODUCT(INDEX($AR$72:$AT$76,,$AI356), INDEX($AU$72:$BA$76,,$AH356), 1 / ($BB$72:$BB$76*CM356 + (1-$BB$72:$BB$76)*CI356), N($AQ$72:$AQ$76&gt;$AO356)),
SUMPRODUCT(INDEX($AR$67:$AT$76,,$AI356), INDEX($AU$67:$BA$76,,$AH356), 1 / ($BC$67:$BC$76*CM356 + (1-$BC$67:$BC$76)*CI356), N($AQ$67:$AQ$76&gt;$AO356))
) / 1000</f>
        <v>0</v>
      </c>
      <c r="CO356" s="232">
        <f t="shared" si="495"/>
        <v>25</v>
      </c>
      <c r="CP356" s="230">
        <f t="shared" si="480"/>
        <v>38</v>
      </c>
      <c r="CQ356" s="235">
        <f t="shared" si="481"/>
        <v>4.0666935483870965</v>
      </c>
      <c r="CR356" s="235" cm="1">
        <f t="array" ref="CR356">$BI356 * IF($AH356&lt;=2,
SUMPRODUCT(INDEX($AR$67:$AT$71,,$AI356), INDEX($AU$67:$BA$71,,$AH356), 1 / ($BB$67:$BB$71*CQ356 + (1-$BB$67:$BB$71)*CM356), N($AQ$67:$AQ$71&gt;$AO356)),
SUMPRODUCT(INDEX($AR$57:$AT$66,,$AI356), INDEX($AU$57:$BA$66,,$AH356), 1 / ($BC$57:$BC$66*CQ356 + (1-$BC$57:$BC$66)*CM356), N($AQ$57:$AQ$66&gt;$AO356))
) / 1000</f>
        <v>0</v>
      </c>
      <c r="CS356" s="232">
        <f t="shared" si="496"/>
        <v>20</v>
      </c>
      <c r="CT356" s="230">
        <f t="shared" si="482"/>
        <v>33</v>
      </c>
      <c r="CU356" s="235">
        <f t="shared" si="483"/>
        <v>4.8487499999999999</v>
      </c>
      <c r="CV356" s="235" cm="1">
        <f t="array" ref="CV356">$BI356 * IF($AH356&lt;=2,
SUMPRODUCT(INDEX($AR$62:$AT$66,,$AI356), INDEX($AU$62:$BA$66,,$AH356), 1 / ($BB$62:$BB$66*CU356 + (1-$BB$62:$BB$66)*CQ356), N($AQ$62:$AQ$66&gt;$AO356)),
SUMPRODUCT(INDEX($AR$47:$AT$56,,$AI356), INDEX($AU$47:$BA$56,,$AH356), 1 / ($BC$47:$BC$56*CU356 + (1-$BC$47:$BC$56)*CQ356), N($AQ$47:$AQ$56&gt;$AO356))
) / 1000</f>
        <v>0</v>
      </c>
      <c r="CW356" s="235" cm="1">
        <f t="array" ref="CW356">$BI356 * IF($AH356&lt;=2,
SUMPRODUCT(INDEX($AR$23:$AT$61,,$AI356), INDEX($AU$23:$BA$61,,$AH356), 1 / ($BB$23:$BB$61*CU356), N($AQ$23:$AQ$61&gt;$AO356)),
SUMPRODUCT(INDEX($AR$23:$AT$46,,$AI356), INDEX($AU$23:$BA$46,,$AH356), 1 / ($BC$23:$BC$46*CU356), N($AQ$23:$AQ$46&gt;$AO356))
) / 1000</f>
        <v>0</v>
      </c>
      <c r="CX356" s="230">
        <f t="shared" si="484"/>
        <v>0</v>
      </c>
      <c r="CY356" s="238"/>
    </row>
    <row r="357" spans="1:103" s="76" customFormat="1" ht="14.25" customHeight="1" x14ac:dyDescent="0.2">
      <c r="A357" s="231" t="b">
        <f t="shared" si="488"/>
        <v>0</v>
      </c>
      <c r="B357" s="245">
        <v>335</v>
      </c>
      <c r="C357" s="258"/>
      <c r="D357" s="258"/>
      <c r="E357" s="246"/>
      <c r="F357" s="247" t="str">
        <f>IF(ISBLANK(E357), "", VLOOKUP(E357, Z!$A$2:$C$4127, 3, FALSE))</f>
        <v/>
      </c>
      <c r="G357" s="248"/>
      <c r="H357" s="248"/>
      <c r="I357" s="249"/>
      <c r="J357" s="250"/>
      <c r="K357" s="259"/>
      <c r="L357" s="260"/>
      <c r="M357" s="252" t="str" cm="1">
        <f t="array" ref="M357">INDEX(Trad, 53, $A$20)</f>
        <v>Verschmutzt</v>
      </c>
      <c r="N357" s="253"/>
      <c r="O357" s="253"/>
      <c r="P357" s="254"/>
      <c r="Q357" s="251"/>
      <c r="R357" s="251"/>
      <c r="S357" s="264">
        <f t="shared" si="459"/>
        <v>0</v>
      </c>
      <c r="T357" s="252" t="str" cm="1">
        <f t="array" ref="T357">INDEX(Trad, 52, $A$20)</f>
        <v>Sauber</v>
      </c>
      <c r="U357" s="253"/>
      <c r="V357" s="253"/>
      <c r="W357" s="254"/>
      <c r="X357" s="251"/>
      <c r="Y357" s="251"/>
      <c r="Z357" s="264">
        <f t="shared" si="460"/>
        <v>0</v>
      </c>
      <c r="AA357" s="261"/>
      <c r="AB357" s="258"/>
      <c r="AC357" s="246"/>
      <c r="AD357" s="247" t="str">
        <f>IF(ISBLANK(AC357), "", VLOOKUP(AC357, Z!$A$2:$C$4127, 3, FALSE))</f>
        <v/>
      </c>
      <c r="AE357" s="262"/>
      <c r="AF357" s="263">
        <f t="shared" si="461"/>
        <v>0</v>
      </c>
      <c r="AG357" s="238"/>
      <c r="AH357" s="229">
        <f t="shared" si="485"/>
        <v>1</v>
      </c>
      <c r="AI357" s="229">
        <f t="shared" si="486"/>
        <v>1</v>
      </c>
      <c r="AJ357" s="229">
        <f t="shared" si="487"/>
        <v>0</v>
      </c>
      <c r="AK357" s="229">
        <v>0</v>
      </c>
      <c r="AL357" s="229">
        <v>0</v>
      </c>
      <c r="AM357" s="229">
        <v>1</v>
      </c>
      <c r="AN357" s="229">
        <v>0</v>
      </c>
      <c r="AO357" s="229">
        <f t="shared" si="462"/>
        <v>-100</v>
      </c>
      <c r="AP357" s="238"/>
      <c r="AQ357" s="255"/>
      <c r="AR357" s="255"/>
      <c r="AS357" s="256"/>
      <c r="AT357" s="256"/>
      <c r="AU357" s="256"/>
      <c r="AV357" s="256"/>
      <c r="AW357" s="256"/>
      <c r="AX357" s="256"/>
      <c r="AY357" s="256"/>
      <c r="AZ357" s="256"/>
      <c r="BA357" s="256"/>
      <c r="BB357" s="256"/>
      <c r="BC357" s="256"/>
      <c r="BD357" s="238"/>
      <c r="BE357" s="229" cm="1">
        <f t="array" ref="BE357">IF(ISBLANK(R357), INDEX(Use, $AH357, 4) - AM357*INDEX(Use, $AH357, 6), R357)</f>
        <v>5</v>
      </c>
      <c r="BF357" s="229">
        <f t="shared" si="463"/>
        <v>30</v>
      </c>
      <c r="BG357" s="229">
        <f t="shared" si="489"/>
        <v>13</v>
      </c>
      <c r="BH357" s="229">
        <f t="shared" si="490"/>
        <v>0</v>
      </c>
      <c r="BI357" s="234" cm="1">
        <f t="array" ref="BI357">K357/IF($L357&gt;0, INDEX($AU$23:$BA$77, $L357+20, $AH357), 1)</f>
        <v>0</v>
      </c>
      <c r="BJ357" s="230">
        <f t="shared" si="464"/>
        <v>0</v>
      </c>
      <c r="BK357" s="229">
        <v>35</v>
      </c>
      <c r="BL357" s="230">
        <f t="shared" si="465"/>
        <v>48</v>
      </c>
      <c r="BM357" s="235">
        <f t="shared" si="466"/>
        <v>2.9108720930232557</v>
      </c>
      <c r="BN357" s="235" cm="1">
        <f t="array" ref="BN357">$BI357 * SUMPRODUCT(INDEX($AR$77:$AT$82,,$AI357),INDEX($AU$77:$BA$82,,$AH357), N($AQ$77:$AQ$82&gt;$AO357)) / BM357 / 1000</f>
        <v>0</v>
      </c>
      <c r="BO357" s="232">
        <f t="shared" si="491"/>
        <v>30</v>
      </c>
      <c r="BP357" s="230">
        <f t="shared" si="467"/>
        <v>43</v>
      </c>
      <c r="BQ357" s="235">
        <f t="shared" si="468"/>
        <v>3.2938815789473681</v>
      </c>
      <c r="BR357" s="235" cm="1">
        <f t="array" ref="BR357">$BI357 * IF($AH357&lt;=2,
SUMPRODUCT(INDEX($AR$72:$AT$76,,$AI357), INDEX($AU$72:$BA$76,,$AH357), 1 / ($BB$72:$BB$76*BQ357 + (1-$BB$72:$BB$76)*BM357), N($AQ$72:$AQ$76&gt;$AO357)),
SUMPRODUCT(INDEX($AR$67:$AT$76,,$AI357), INDEX($AU$67:$BA$76,,$AH357), 1 / ($BC$67:$BC$76*BQ357 + (1-$BC$67:$BC$76)*BM357), N($AQ$67:$AQ$76&gt;$AO357))
) / 1000</f>
        <v>0</v>
      </c>
      <c r="BS357" s="232">
        <f t="shared" si="492"/>
        <v>25</v>
      </c>
      <c r="BT357" s="230">
        <f t="shared" si="469"/>
        <v>38</v>
      </c>
      <c r="BU357" s="235">
        <f t="shared" si="470"/>
        <v>3.792954545454545</v>
      </c>
      <c r="BV357" s="235" cm="1">
        <f t="array" ref="BV357">$BI357 * IF($AH357&lt;=2,
SUMPRODUCT(INDEX($AR$67:$AT$71,,$AI357), INDEX($AU$67:$BA$71,,$AH357), 1 / ($BB$67:$BB$71*BU357 + (1-$BB$67:$BB$71)*BQ357), N($AQ$67:$AQ$71&gt;$AO357)),
SUMPRODUCT(INDEX($AR$57:$AT$66,,$AI357), INDEX($AU$57:$BA$66,,$AH357), 1 / ($BC$57:$BC$66*BU357 + (1-$BC$57:$BC$66)*BQ357), N($AQ$57:$AQ$66&gt;$AO357))
) / 1000</f>
        <v>0</v>
      </c>
      <c r="BW357" s="232">
        <f t="shared" si="493"/>
        <v>20</v>
      </c>
      <c r="BX357" s="230">
        <f t="shared" si="471"/>
        <v>33</v>
      </c>
      <c r="BY357" s="235">
        <f t="shared" si="472"/>
        <v>4.4702678571428569</v>
      </c>
      <c r="BZ357" s="235" cm="1">
        <f t="array" ref="BZ357">$BI357 * IF($AH357&lt;=2,
SUMPRODUCT(INDEX($AR$62:$AT$66,,$AI357), INDEX($AU$62:$BA$66,,$AH357), 1 / ($BB$62:$BB$66*BY357 + (1-$BB$62:$BB$66)*BU357), N($AQ$62:$AQ$66&gt;$AO357)),
SUMPRODUCT(INDEX($AR$47:$AT$56,,$AI357), INDEX($AU$47:$BA$56,,$AH357), 1 / ($BC$47:$BC$56*BY357 + (1-$BC$47:$BC$56)*BU357), N($AQ$47:$AQ$56&gt;$AO357))
) / 1000</f>
        <v>0</v>
      </c>
      <c r="CA357" s="235" cm="1">
        <f t="array" ref="CA357">$BI357 * IF($AH357&lt;=2,
SUMPRODUCT(INDEX($AR$23:$AT$61,,$AI357), INDEX($AU$23:$BA$61,,$AH357), 1 / ($BB$23:$BB$61*BY357), N($AQ$23:$AQ$61&gt;$AO357)),
SUMPRODUCT(INDEX($AR$23:$AT$46,,$AI357), INDEX($AU$23:$BA$46,,$AH357), 1 / ($BC$23:$BC$46*BY357), N($AQ$23:$AQ$46&gt;$AO357))
) / 1000</f>
        <v>0</v>
      </c>
      <c r="CB357" s="230">
        <f t="shared" si="473"/>
        <v>0</v>
      </c>
      <c r="CC357" s="238"/>
      <c r="CD357" s="229" cm="1">
        <f t="array" ref="CD357">IF(ISBLANK(Y357), INDEX(Use, $AH357, 4) - AN357*INDEX(Use, $AH357, 6) - (Q357-X357), Y357)</f>
        <v>7</v>
      </c>
      <c r="CE357" s="229">
        <f t="shared" si="474"/>
        <v>32</v>
      </c>
      <c r="CF357" s="230">
        <f t="shared" si="475"/>
        <v>0</v>
      </c>
      <c r="CG357" s="229">
        <v>35</v>
      </c>
      <c r="CH357" s="230">
        <f t="shared" si="476"/>
        <v>48</v>
      </c>
      <c r="CI357" s="235">
        <f t="shared" si="477"/>
        <v>3.0748170731707316</v>
      </c>
      <c r="CJ357" s="235" cm="1">
        <f t="array" ref="CJ357">$BI357 * SUMPRODUCT(INDEX($AR$77:$AT$82,,$AI357),INDEX($AU$77:$BA$82,,$AH357), N($AQ$77:$AQ$82&gt;$AO357)) / CI357 / 1000</f>
        <v>0</v>
      </c>
      <c r="CK357" s="232">
        <f t="shared" si="494"/>
        <v>30</v>
      </c>
      <c r="CL357" s="230">
        <f t="shared" si="478"/>
        <v>43</v>
      </c>
      <c r="CM357" s="235">
        <f t="shared" si="479"/>
        <v>3.5018750000000001</v>
      </c>
      <c r="CN357" s="235" cm="1">
        <f t="array" ref="CN357">$BI357 * IF($AH357&lt;=2,
SUMPRODUCT(INDEX($AR$72:$AT$76,,$AI357), INDEX($AU$72:$BA$76,,$AH357), 1 / ($BB$72:$BB$76*CM357 + (1-$BB$72:$BB$76)*CI357), N($AQ$72:$AQ$76&gt;$AO357)),
SUMPRODUCT(INDEX($AR$67:$AT$76,,$AI357), INDEX($AU$67:$BA$76,,$AH357), 1 / ($BC$67:$BC$76*CM357 + (1-$BC$67:$BC$76)*CI357), N($AQ$67:$AQ$76&gt;$AO357))
) / 1000</f>
        <v>0</v>
      </c>
      <c r="CO357" s="232">
        <f t="shared" si="495"/>
        <v>25</v>
      </c>
      <c r="CP357" s="230">
        <f t="shared" si="480"/>
        <v>38</v>
      </c>
      <c r="CQ357" s="235">
        <f t="shared" si="481"/>
        <v>4.0666935483870965</v>
      </c>
      <c r="CR357" s="235" cm="1">
        <f t="array" ref="CR357">$BI357 * IF($AH357&lt;=2,
SUMPRODUCT(INDEX($AR$67:$AT$71,,$AI357), INDEX($AU$67:$BA$71,,$AH357), 1 / ($BB$67:$BB$71*CQ357 + (1-$BB$67:$BB$71)*CM357), N($AQ$67:$AQ$71&gt;$AO357)),
SUMPRODUCT(INDEX($AR$57:$AT$66,,$AI357), INDEX($AU$57:$BA$66,,$AH357), 1 / ($BC$57:$BC$66*CQ357 + (1-$BC$57:$BC$66)*CM357), N($AQ$57:$AQ$66&gt;$AO357))
) / 1000</f>
        <v>0</v>
      </c>
      <c r="CS357" s="232">
        <f t="shared" si="496"/>
        <v>20</v>
      </c>
      <c r="CT357" s="230">
        <f t="shared" si="482"/>
        <v>33</v>
      </c>
      <c r="CU357" s="235">
        <f t="shared" si="483"/>
        <v>4.8487499999999999</v>
      </c>
      <c r="CV357" s="235" cm="1">
        <f t="array" ref="CV357">$BI357 * IF($AH357&lt;=2,
SUMPRODUCT(INDEX($AR$62:$AT$66,,$AI357), INDEX($AU$62:$BA$66,,$AH357), 1 / ($BB$62:$BB$66*CU357 + (1-$BB$62:$BB$66)*CQ357), N($AQ$62:$AQ$66&gt;$AO357)),
SUMPRODUCT(INDEX($AR$47:$AT$56,,$AI357), INDEX($AU$47:$BA$56,,$AH357), 1 / ($BC$47:$BC$56*CU357 + (1-$BC$47:$BC$56)*CQ357), N($AQ$47:$AQ$56&gt;$AO357))
) / 1000</f>
        <v>0</v>
      </c>
      <c r="CW357" s="235" cm="1">
        <f t="array" ref="CW357">$BI357 * IF($AH357&lt;=2,
SUMPRODUCT(INDEX($AR$23:$AT$61,,$AI357), INDEX($AU$23:$BA$61,,$AH357), 1 / ($BB$23:$BB$61*CU357), N($AQ$23:$AQ$61&gt;$AO357)),
SUMPRODUCT(INDEX($AR$23:$AT$46,,$AI357), INDEX($AU$23:$BA$46,,$AH357), 1 / ($BC$23:$BC$46*CU357), N($AQ$23:$AQ$46&gt;$AO357))
) / 1000</f>
        <v>0</v>
      </c>
      <c r="CX357" s="230">
        <f t="shared" si="484"/>
        <v>0</v>
      </c>
      <c r="CY357" s="238"/>
    </row>
    <row r="358" spans="1:103" s="76" customFormat="1" ht="14.25" customHeight="1" x14ac:dyDescent="0.2">
      <c r="A358" s="231" t="b">
        <f t="shared" si="488"/>
        <v>0</v>
      </c>
      <c r="B358" s="245">
        <v>336</v>
      </c>
      <c r="C358" s="258"/>
      <c r="D358" s="258"/>
      <c r="E358" s="246"/>
      <c r="F358" s="247" t="str">
        <f>IF(ISBLANK(E358), "", VLOOKUP(E358, Z!$A$2:$C$4127, 3, FALSE))</f>
        <v/>
      </c>
      <c r="G358" s="248"/>
      <c r="H358" s="248"/>
      <c r="I358" s="249"/>
      <c r="J358" s="250"/>
      <c r="K358" s="259"/>
      <c r="L358" s="260"/>
      <c r="M358" s="252" t="str" cm="1">
        <f t="array" ref="M358">INDEX(Trad, 53, $A$20)</f>
        <v>Verschmutzt</v>
      </c>
      <c r="N358" s="253"/>
      <c r="O358" s="253"/>
      <c r="P358" s="254"/>
      <c r="Q358" s="251"/>
      <c r="R358" s="251"/>
      <c r="S358" s="264">
        <f t="shared" si="459"/>
        <v>0</v>
      </c>
      <c r="T358" s="252" t="str" cm="1">
        <f t="array" ref="T358">INDEX(Trad, 52, $A$20)</f>
        <v>Sauber</v>
      </c>
      <c r="U358" s="253"/>
      <c r="V358" s="253"/>
      <c r="W358" s="254"/>
      <c r="X358" s="251"/>
      <c r="Y358" s="251"/>
      <c r="Z358" s="264">
        <f t="shared" si="460"/>
        <v>0</v>
      </c>
      <c r="AA358" s="261"/>
      <c r="AB358" s="258"/>
      <c r="AC358" s="246"/>
      <c r="AD358" s="247" t="str">
        <f>IF(ISBLANK(AC358), "", VLOOKUP(AC358, Z!$A$2:$C$4127, 3, FALSE))</f>
        <v/>
      </c>
      <c r="AE358" s="262"/>
      <c r="AF358" s="263">
        <f t="shared" si="461"/>
        <v>0</v>
      </c>
      <c r="AG358" s="238"/>
      <c r="AH358" s="229">
        <f t="shared" si="485"/>
        <v>1</v>
      </c>
      <c r="AI358" s="229">
        <f t="shared" si="486"/>
        <v>1</v>
      </c>
      <c r="AJ358" s="229">
        <f t="shared" si="487"/>
        <v>0</v>
      </c>
      <c r="AK358" s="229">
        <v>0</v>
      </c>
      <c r="AL358" s="229">
        <v>0</v>
      </c>
      <c r="AM358" s="229">
        <v>1</v>
      </c>
      <c r="AN358" s="229">
        <v>0</v>
      </c>
      <c r="AO358" s="229">
        <f t="shared" si="462"/>
        <v>-100</v>
      </c>
      <c r="AP358" s="238"/>
      <c r="AQ358" s="255"/>
      <c r="AR358" s="255"/>
      <c r="AS358" s="256"/>
      <c r="AT358" s="256"/>
      <c r="AU358" s="256"/>
      <c r="AV358" s="256"/>
      <c r="AW358" s="256"/>
      <c r="AX358" s="256"/>
      <c r="AY358" s="256"/>
      <c r="AZ358" s="256"/>
      <c r="BA358" s="256"/>
      <c r="BB358" s="256"/>
      <c r="BC358" s="256"/>
      <c r="BD358" s="238"/>
      <c r="BE358" s="229" cm="1">
        <f t="array" ref="BE358">IF(ISBLANK(R358), INDEX(Use, $AH358, 4) - AM358*INDEX(Use, $AH358, 6), R358)</f>
        <v>5</v>
      </c>
      <c r="BF358" s="229">
        <f t="shared" si="463"/>
        <v>30</v>
      </c>
      <c r="BG358" s="229">
        <f t="shared" si="489"/>
        <v>13</v>
      </c>
      <c r="BH358" s="229">
        <f t="shared" si="490"/>
        <v>0</v>
      </c>
      <c r="BI358" s="234" cm="1">
        <f t="array" ref="BI358">K358/IF($L358&gt;0, INDEX($AU$23:$BA$77, $L358+20, $AH358), 1)</f>
        <v>0</v>
      </c>
      <c r="BJ358" s="230">
        <f t="shared" si="464"/>
        <v>0</v>
      </c>
      <c r="BK358" s="229">
        <v>35</v>
      </c>
      <c r="BL358" s="230">
        <f t="shared" si="465"/>
        <v>48</v>
      </c>
      <c r="BM358" s="235">
        <f t="shared" si="466"/>
        <v>2.9108720930232557</v>
      </c>
      <c r="BN358" s="235" cm="1">
        <f t="array" ref="BN358">$BI358 * SUMPRODUCT(INDEX($AR$77:$AT$82,,$AI358),INDEX($AU$77:$BA$82,,$AH358), N($AQ$77:$AQ$82&gt;$AO358)) / BM358 / 1000</f>
        <v>0</v>
      </c>
      <c r="BO358" s="232">
        <f t="shared" si="491"/>
        <v>30</v>
      </c>
      <c r="BP358" s="230">
        <f t="shared" si="467"/>
        <v>43</v>
      </c>
      <c r="BQ358" s="235">
        <f t="shared" si="468"/>
        <v>3.2938815789473681</v>
      </c>
      <c r="BR358" s="235" cm="1">
        <f t="array" ref="BR358">$BI358 * IF($AH358&lt;=2,
SUMPRODUCT(INDEX($AR$72:$AT$76,,$AI358), INDEX($AU$72:$BA$76,,$AH358), 1 / ($BB$72:$BB$76*BQ358 + (1-$BB$72:$BB$76)*BM358), N($AQ$72:$AQ$76&gt;$AO358)),
SUMPRODUCT(INDEX($AR$67:$AT$76,,$AI358), INDEX($AU$67:$BA$76,,$AH358), 1 / ($BC$67:$BC$76*BQ358 + (1-$BC$67:$BC$76)*BM358), N($AQ$67:$AQ$76&gt;$AO358))
) / 1000</f>
        <v>0</v>
      </c>
      <c r="BS358" s="232">
        <f t="shared" si="492"/>
        <v>25</v>
      </c>
      <c r="BT358" s="230">
        <f t="shared" si="469"/>
        <v>38</v>
      </c>
      <c r="BU358" s="235">
        <f t="shared" si="470"/>
        <v>3.792954545454545</v>
      </c>
      <c r="BV358" s="235" cm="1">
        <f t="array" ref="BV358">$BI358 * IF($AH358&lt;=2,
SUMPRODUCT(INDEX($AR$67:$AT$71,,$AI358), INDEX($AU$67:$BA$71,,$AH358), 1 / ($BB$67:$BB$71*BU358 + (1-$BB$67:$BB$71)*BQ358), N($AQ$67:$AQ$71&gt;$AO358)),
SUMPRODUCT(INDEX($AR$57:$AT$66,,$AI358), INDEX($AU$57:$BA$66,,$AH358), 1 / ($BC$57:$BC$66*BU358 + (1-$BC$57:$BC$66)*BQ358), N($AQ$57:$AQ$66&gt;$AO358))
) / 1000</f>
        <v>0</v>
      </c>
      <c r="BW358" s="232">
        <f t="shared" si="493"/>
        <v>20</v>
      </c>
      <c r="BX358" s="230">
        <f t="shared" si="471"/>
        <v>33</v>
      </c>
      <c r="BY358" s="235">
        <f t="shared" si="472"/>
        <v>4.4702678571428569</v>
      </c>
      <c r="BZ358" s="235" cm="1">
        <f t="array" ref="BZ358">$BI358 * IF($AH358&lt;=2,
SUMPRODUCT(INDEX($AR$62:$AT$66,,$AI358), INDEX($AU$62:$BA$66,,$AH358), 1 / ($BB$62:$BB$66*BY358 + (1-$BB$62:$BB$66)*BU358), N($AQ$62:$AQ$66&gt;$AO358)),
SUMPRODUCT(INDEX($AR$47:$AT$56,,$AI358), INDEX($AU$47:$BA$56,,$AH358), 1 / ($BC$47:$BC$56*BY358 + (1-$BC$47:$BC$56)*BU358), N($AQ$47:$AQ$56&gt;$AO358))
) / 1000</f>
        <v>0</v>
      </c>
      <c r="CA358" s="235" cm="1">
        <f t="array" ref="CA358">$BI358 * IF($AH358&lt;=2,
SUMPRODUCT(INDEX($AR$23:$AT$61,,$AI358), INDEX($AU$23:$BA$61,,$AH358), 1 / ($BB$23:$BB$61*BY358), N($AQ$23:$AQ$61&gt;$AO358)),
SUMPRODUCT(INDEX($AR$23:$AT$46,,$AI358), INDEX($AU$23:$BA$46,,$AH358), 1 / ($BC$23:$BC$46*BY358), N($AQ$23:$AQ$46&gt;$AO358))
) / 1000</f>
        <v>0</v>
      </c>
      <c r="CB358" s="230">
        <f t="shared" si="473"/>
        <v>0</v>
      </c>
      <c r="CC358" s="238"/>
      <c r="CD358" s="229" cm="1">
        <f t="array" ref="CD358">IF(ISBLANK(Y358), INDEX(Use, $AH358, 4) - AN358*INDEX(Use, $AH358, 6) - (Q358-X358), Y358)</f>
        <v>7</v>
      </c>
      <c r="CE358" s="229">
        <f t="shared" si="474"/>
        <v>32</v>
      </c>
      <c r="CF358" s="230">
        <f t="shared" si="475"/>
        <v>0</v>
      </c>
      <c r="CG358" s="229">
        <v>35</v>
      </c>
      <c r="CH358" s="230">
        <f t="shared" si="476"/>
        <v>48</v>
      </c>
      <c r="CI358" s="235">
        <f t="shared" si="477"/>
        <v>3.0748170731707316</v>
      </c>
      <c r="CJ358" s="235" cm="1">
        <f t="array" ref="CJ358">$BI358 * SUMPRODUCT(INDEX($AR$77:$AT$82,,$AI358),INDEX($AU$77:$BA$82,,$AH358), N($AQ$77:$AQ$82&gt;$AO358)) / CI358 / 1000</f>
        <v>0</v>
      </c>
      <c r="CK358" s="232">
        <f t="shared" si="494"/>
        <v>30</v>
      </c>
      <c r="CL358" s="230">
        <f t="shared" si="478"/>
        <v>43</v>
      </c>
      <c r="CM358" s="235">
        <f t="shared" si="479"/>
        <v>3.5018750000000001</v>
      </c>
      <c r="CN358" s="235" cm="1">
        <f t="array" ref="CN358">$BI358 * IF($AH358&lt;=2,
SUMPRODUCT(INDEX($AR$72:$AT$76,,$AI358), INDEX($AU$72:$BA$76,,$AH358), 1 / ($BB$72:$BB$76*CM358 + (1-$BB$72:$BB$76)*CI358), N($AQ$72:$AQ$76&gt;$AO358)),
SUMPRODUCT(INDEX($AR$67:$AT$76,,$AI358), INDEX($AU$67:$BA$76,,$AH358), 1 / ($BC$67:$BC$76*CM358 + (1-$BC$67:$BC$76)*CI358), N($AQ$67:$AQ$76&gt;$AO358))
) / 1000</f>
        <v>0</v>
      </c>
      <c r="CO358" s="232">
        <f t="shared" si="495"/>
        <v>25</v>
      </c>
      <c r="CP358" s="230">
        <f t="shared" si="480"/>
        <v>38</v>
      </c>
      <c r="CQ358" s="235">
        <f t="shared" si="481"/>
        <v>4.0666935483870965</v>
      </c>
      <c r="CR358" s="235" cm="1">
        <f t="array" ref="CR358">$BI358 * IF($AH358&lt;=2,
SUMPRODUCT(INDEX($AR$67:$AT$71,,$AI358), INDEX($AU$67:$BA$71,,$AH358), 1 / ($BB$67:$BB$71*CQ358 + (1-$BB$67:$BB$71)*CM358), N($AQ$67:$AQ$71&gt;$AO358)),
SUMPRODUCT(INDEX($AR$57:$AT$66,,$AI358), INDEX($AU$57:$BA$66,,$AH358), 1 / ($BC$57:$BC$66*CQ358 + (1-$BC$57:$BC$66)*CM358), N($AQ$57:$AQ$66&gt;$AO358))
) / 1000</f>
        <v>0</v>
      </c>
      <c r="CS358" s="232">
        <f t="shared" si="496"/>
        <v>20</v>
      </c>
      <c r="CT358" s="230">
        <f t="shared" si="482"/>
        <v>33</v>
      </c>
      <c r="CU358" s="235">
        <f t="shared" si="483"/>
        <v>4.8487499999999999</v>
      </c>
      <c r="CV358" s="235" cm="1">
        <f t="array" ref="CV358">$BI358 * IF($AH358&lt;=2,
SUMPRODUCT(INDEX($AR$62:$AT$66,,$AI358), INDEX($AU$62:$BA$66,,$AH358), 1 / ($BB$62:$BB$66*CU358 + (1-$BB$62:$BB$66)*CQ358), N($AQ$62:$AQ$66&gt;$AO358)),
SUMPRODUCT(INDEX($AR$47:$AT$56,,$AI358), INDEX($AU$47:$BA$56,,$AH358), 1 / ($BC$47:$BC$56*CU358 + (1-$BC$47:$BC$56)*CQ358), N($AQ$47:$AQ$56&gt;$AO358))
) / 1000</f>
        <v>0</v>
      </c>
      <c r="CW358" s="235" cm="1">
        <f t="array" ref="CW358">$BI358 * IF($AH358&lt;=2,
SUMPRODUCT(INDEX($AR$23:$AT$61,,$AI358), INDEX($AU$23:$BA$61,,$AH358), 1 / ($BB$23:$BB$61*CU358), N($AQ$23:$AQ$61&gt;$AO358)),
SUMPRODUCT(INDEX($AR$23:$AT$46,,$AI358), INDEX($AU$23:$BA$46,,$AH358), 1 / ($BC$23:$BC$46*CU358), N($AQ$23:$AQ$46&gt;$AO358))
) / 1000</f>
        <v>0</v>
      </c>
      <c r="CX358" s="230">
        <f t="shared" si="484"/>
        <v>0</v>
      </c>
      <c r="CY358" s="238"/>
    </row>
    <row r="359" spans="1:103" s="76" customFormat="1" ht="14.25" customHeight="1" x14ac:dyDescent="0.2">
      <c r="A359" s="231" t="b">
        <f t="shared" si="488"/>
        <v>0</v>
      </c>
      <c r="B359" s="245">
        <v>337</v>
      </c>
      <c r="C359" s="258"/>
      <c r="D359" s="258"/>
      <c r="E359" s="246"/>
      <c r="F359" s="247" t="str">
        <f>IF(ISBLANK(E359), "", VLOOKUP(E359, Z!$A$2:$C$4127, 3, FALSE))</f>
        <v/>
      </c>
      <c r="G359" s="248"/>
      <c r="H359" s="248"/>
      <c r="I359" s="249"/>
      <c r="J359" s="250"/>
      <c r="K359" s="259"/>
      <c r="L359" s="260"/>
      <c r="M359" s="252" t="str" cm="1">
        <f t="array" ref="M359">INDEX(Trad, 53, $A$20)</f>
        <v>Verschmutzt</v>
      </c>
      <c r="N359" s="253"/>
      <c r="O359" s="253"/>
      <c r="P359" s="254"/>
      <c r="Q359" s="251"/>
      <c r="R359" s="251"/>
      <c r="S359" s="264">
        <f t="shared" si="459"/>
        <v>0</v>
      </c>
      <c r="T359" s="252" t="str" cm="1">
        <f t="array" ref="T359">INDEX(Trad, 52, $A$20)</f>
        <v>Sauber</v>
      </c>
      <c r="U359" s="253"/>
      <c r="V359" s="253"/>
      <c r="W359" s="254"/>
      <c r="X359" s="251"/>
      <c r="Y359" s="251"/>
      <c r="Z359" s="264">
        <f t="shared" si="460"/>
        <v>0</v>
      </c>
      <c r="AA359" s="261"/>
      <c r="AB359" s="258"/>
      <c r="AC359" s="246"/>
      <c r="AD359" s="247" t="str">
        <f>IF(ISBLANK(AC359), "", VLOOKUP(AC359, Z!$A$2:$C$4127, 3, FALSE))</f>
        <v/>
      </c>
      <c r="AE359" s="262"/>
      <c r="AF359" s="263">
        <f t="shared" si="461"/>
        <v>0</v>
      </c>
      <c r="AG359" s="238"/>
      <c r="AH359" s="229">
        <f t="shared" si="485"/>
        <v>1</v>
      </c>
      <c r="AI359" s="229">
        <f t="shared" si="486"/>
        <v>1</v>
      </c>
      <c r="AJ359" s="229">
        <f t="shared" si="487"/>
        <v>0</v>
      </c>
      <c r="AK359" s="229">
        <v>0</v>
      </c>
      <c r="AL359" s="229">
        <v>0</v>
      </c>
      <c r="AM359" s="229">
        <v>1</v>
      </c>
      <c r="AN359" s="229">
        <v>0</v>
      </c>
      <c r="AO359" s="229">
        <f t="shared" si="462"/>
        <v>-100</v>
      </c>
      <c r="AP359" s="238"/>
      <c r="AQ359" s="255"/>
      <c r="AR359" s="255"/>
      <c r="AS359" s="256"/>
      <c r="AT359" s="256"/>
      <c r="AU359" s="256"/>
      <c r="AV359" s="256"/>
      <c r="AW359" s="256"/>
      <c r="AX359" s="256"/>
      <c r="AY359" s="256"/>
      <c r="AZ359" s="256"/>
      <c r="BA359" s="256"/>
      <c r="BB359" s="256"/>
      <c r="BC359" s="256"/>
      <c r="BD359" s="238"/>
      <c r="BE359" s="229" cm="1">
        <f t="array" ref="BE359">IF(ISBLANK(R359), INDEX(Use, $AH359, 4) - AM359*INDEX(Use, $AH359, 6), R359)</f>
        <v>5</v>
      </c>
      <c r="BF359" s="229">
        <f t="shared" si="463"/>
        <v>30</v>
      </c>
      <c r="BG359" s="229">
        <f t="shared" si="489"/>
        <v>13</v>
      </c>
      <c r="BH359" s="229">
        <f t="shared" si="490"/>
        <v>0</v>
      </c>
      <c r="BI359" s="234" cm="1">
        <f t="array" ref="BI359">K359/IF($L359&gt;0, INDEX($AU$23:$BA$77, $L359+20, $AH359), 1)</f>
        <v>0</v>
      </c>
      <c r="BJ359" s="230">
        <f t="shared" si="464"/>
        <v>0</v>
      </c>
      <c r="BK359" s="229">
        <v>35</v>
      </c>
      <c r="BL359" s="230">
        <f t="shared" si="465"/>
        <v>48</v>
      </c>
      <c r="BM359" s="235">
        <f t="shared" si="466"/>
        <v>2.9108720930232557</v>
      </c>
      <c r="BN359" s="235" cm="1">
        <f t="array" ref="BN359">$BI359 * SUMPRODUCT(INDEX($AR$77:$AT$82,,$AI359),INDEX($AU$77:$BA$82,,$AH359), N($AQ$77:$AQ$82&gt;$AO359)) / BM359 / 1000</f>
        <v>0</v>
      </c>
      <c r="BO359" s="232">
        <f t="shared" si="491"/>
        <v>30</v>
      </c>
      <c r="BP359" s="230">
        <f t="shared" si="467"/>
        <v>43</v>
      </c>
      <c r="BQ359" s="235">
        <f t="shared" si="468"/>
        <v>3.2938815789473681</v>
      </c>
      <c r="BR359" s="235" cm="1">
        <f t="array" ref="BR359">$BI359 * IF($AH359&lt;=2,
SUMPRODUCT(INDEX($AR$72:$AT$76,,$AI359), INDEX($AU$72:$BA$76,,$AH359), 1 / ($BB$72:$BB$76*BQ359 + (1-$BB$72:$BB$76)*BM359), N($AQ$72:$AQ$76&gt;$AO359)),
SUMPRODUCT(INDEX($AR$67:$AT$76,,$AI359), INDEX($AU$67:$BA$76,,$AH359), 1 / ($BC$67:$BC$76*BQ359 + (1-$BC$67:$BC$76)*BM359), N($AQ$67:$AQ$76&gt;$AO359))
) / 1000</f>
        <v>0</v>
      </c>
      <c r="BS359" s="232">
        <f t="shared" si="492"/>
        <v>25</v>
      </c>
      <c r="BT359" s="230">
        <f t="shared" si="469"/>
        <v>38</v>
      </c>
      <c r="BU359" s="235">
        <f t="shared" si="470"/>
        <v>3.792954545454545</v>
      </c>
      <c r="BV359" s="235" cm="1">
        <f t="array" ref="BV359">$BI359 * IF($AH359&lt;=2,
SUMPRODUCT(INDEX($AR$67:$AT$71,,$AI359), INDEX($AU$67:$BA$71,,$AH359), 1 / ($BB$67:$BB$71*BU359 + (1-$BB$67:$BB$71)*BQ359), N($AQ$67:$AQ$71&gt;$AO359)),
SUMPRODUCT(INDEX($AR$57:$AT$66,,$AI359), INDEX($AU$57:$BA$66,,$AH359), 1 / ($BC$57:$BC$66*BU359 + (1-$BC$57:$BC$66)*BQ359), N($AQ$57:$AQ$66&gt;$AO359))
) / 1000</f>
        <v>0</v>
      </c>
      <c r="BW359" s="232">
        <f t="shared" si="493"/>
        <v>20</v>
      </c>
      <c r="BX359" s="230">
        <f t="shared" si="471"/>
        <v>33</v>
      </c>
      <c r="BY359" s="235">
        <f t="shared" si="472"/>
        <v>4.4702678571428569</v>
      </c>
      <c r="BZ359" s="235" cm="1">
        <f t="array" ref="BZ359">$BI359 * IF($AH359&lt;=2,
SUMPRODUCT(INDEX($AR$62:$AT$66,,$AI359), INDEX($AU$62:$BA$66,,$AH359), 1 / ($BB$62:$BB$66*BY359 + (1-$BB$62:$BB$66)*BU359), N($AQ$62:$AQ$66&gt;$AO359)),
SUMPRODUCT(INDEX($AR$47:$AT$56,,$AI359), INDEX($AU$47:$BA$56,,$AH359), 1 / ($BC$47:$BC$56*BY359 + (1-$BC$47:$BC$56)*BU359), N($AQ$47:$AQ$56&gt;$AO359))
) / 1000</f>
        <v>0</v>
      </c>
      <c r="CA359" s="235" cm="1">
        <f t="array" ref="CA359">$BI359 * IF($AH359&lt;=2,
SUMPRODUCT(INDEX($AR$23:$AT$61,,$AI359), INDEX($AU$23:$BA$61,,$AH359), 1 / ($BB$23:$BB$61*BY359), N($AQ$23:$AQ$61&gt;$AO359)),
SUMPRODUCT(INDEX($AR$23:$AT$46,,$AI359), INDEX($AU$23:$BA$46,,$AH359), 1 / ($BC$23:$BC$46*BY359), N($AQ$23:$AQ$46&gt;$AO359))
) / 1000</f>
        <v>0</v>
      </c>
      <c r="CB359" s="230">
        <f t="shared" si="473"/>
        <v>0</v>
      </c>
      <c r="CC359" s="238"/>
      <c r="CD359" s="229" cm="1">
        <f t="array" ref="CD359">IF(ISBLANK(Y359), INDEX(Use, $AH359, 4) - AN359*INDEX(Use, $AH359, 6) - (Q359-X359), Y359)</f>
        <v>7</v>
      </c>
      <c r="CE359" s="229">
        <f t="shared" si="474"/>
        <v>32</v>
      </c>
      <c r="CF359" s="230">
        <f t="shared" si="475"/>
        <v>0</v>
      </c>
      <c r="CG359" s="229">
        <v>35</v>
      </c>
      <c r="CH359" s="230">
        <f t="shared" si="476"/>
        <v>48</v>
      </c>
      <c r="CI359" s="235">
        <f t="shared" si="477"/>
        <v>3.0748170731707316</v>
      </c>
      <c r="CJ359" s="235" cm="1">
        <f t="array" ref="CJ359">$BI359 * SUMPRODUCT(INDEX($AR$77:$AT$82,,$AI359),INDEX($AU$77:$BA$82,,$AH359), N($AQ$77:$AQ$82&gt;$AO359)) / CI359 / 1000</f>
        <v>0</v>
      </c>
      <c r="CK359" s="232">
        <f t="shared" si="494"/>
        <v>30</v>
      </c>
      <c r="CL359" s="230">
        <f t="shared" si="478"/>
        <v>43</v>
      </c>
      <c r="CM359" s="235">
        <f t="shared" si="479"/>
        <v>3.5018750000000001</v>
      </c>
      <c r="CN359" s="235" cm="1">
        <f t="array" ref="CN359">$BI359 * IF($AH359&lt;=2,
SUMPRODUCT(INDEX($AR$72:$AT$76,,$AI359), INDEX($AU$72:$BA$76,,$AH359), 1 / ($BB$72:$BB$76*CM359 + (1-$BB$72:$BB$76)*CI359), N($AQ$72:$AQ$76&gt;$AO359)),
SUMPRODUCT(INDEX($AR$67:$AT$76,,$AI359), INDEX($AU$67:$BA$76,,$AH359), 1 / ($BC$67:$BC$76*CM359 + (1-$BC$67:$BC$76)*CI359), N($AQ$67:$AQ$76&gt;$AO359))
) / 1000</f>
        <v>0</v>
      </c>
      <c r="CO359" s="232">
        <f t="shared" si="495"/>
        <v>25</v>
      </c>
      <c r="CP359" s="230">
        <f t="shared" si="480"/>
        <v>38</v>
      </c>
      <c r="CQ359" s="235">
        <f t="shared" si="481"/>
        <v>4.0666935483870965</v>
      </c>
      <c r="CR359" s="235" cm="1">
        <f t="array" ref="CR359">$BI359 * IF($AH359&lt;=2,
SUMPRODUCT(INDEX($AR$67:$AT$71,,$AI359), INDEX($AU$67:$BA$71,,$AH359), 1 / ($BB$67:$BB$71*CQ359 + (1-$BB$67:$BB$71)*CM359), N($AQ$67:$AQ$71&gt;$AO359)),
SUMPRODUCT(INDEX($AR$57:$AT$66,,$AI359), INDEX($AU$57:$BA$66,,$AH359), 1 / ($BC$57:$BC$66*CQ359 + (1-$BC$57:$BC$66)*CM359), N($AQ$57:$AQ$66&gt;$AO359))
) / 1000</f>
        <v>0</v>
      </c>
      <c r="CS359" s="232">
        <f t="shared" si="496"/>
        <v>20</v>
      </c>
      <c r="CT359" s="230">
        <f t="shared" si="482"/>
        <v>33</v>
      </c>
      <c r="CU359" s="235">
        <f t="shared" si="483"/>
        <v>4.8487499999999999</v>
      </c>
      <c r="CV359" s="235" cm="1">
        <f t="array" ref="CV359">$BI359 * IF($AH359&lt;=2,
SUMPRODUCT(INDEX($AR$62:$AT$66,,$AI359), INDEX($AU$62:$BA$66,,$AH359), 1 / ($BB$62:$BB$66*CU359 + (1-$BB$62:$BB$66)*CQ359), N($AQ$62:$AQ$66&gt;$AO359)),
SUMPRODUCT(INDEX($AR$47:$AT$56,,$AI359), INDEX($AU$47:$BA$56,,$AH359), 1 / ($BC$47:$BC$56*CU359 + (1-$BC$47:$BC$56)*CQ359), N($AQ$47:$AQ$56&gt;$AO359))
) / 1000</f>
        <v>0</v>
      </c>
      <c r="CW359" s="235" cm="1">
        <f t="array" ref="CW359">$BI359 * IF($AH359&lt;=2,
SUMPRODUCT(INDEX($AR$23:$AT$61,,$AI359), INDEX($AU$23:$BA$61,,$AH359), 1 / ($BB$23:$BB$61*CU359), N($AQ$23:$AQ$61&gt;$AO359)),
SUMPRODUCT(INDEX($AR$23:$AT$46,,$AI359), INDEX($AU$23:$BA$46,,$AH359), 1 / ($BC$23:$BC$46*CU359), N($AQ$23:$AQ$46&gt;$AO359))
) / 1000</f>
        <v>0</v>
      </c>
      <c r="CX359" s="230">
        <f t="shared" si="484"/>
        <v>0</v>
      </c>
      <c r="CY359" s="238"/>
    </row>
    <row r="360" spans="1:103" s="76" customFormat="1" ht="14.25" customHeight="1" x14ac:dyDescent="0.2">
      <c r="A360" s="231" t="b">
        <f t="shared" si="488"/>
        <v>0</v>
      </c>
      <c r="B360" s="245">
        <v>338</v>
      </c>
      <c r="C360" s="258"/>
      <c r="D360" s="258"/>
      <c r="E360" s="246"/>
      <c r="F360" s="247" t="str">
        <f>IF(ISBLANK(E360), "", VLOOKUP(E360, Z!$A$2:$C$4127, 3, FALSE))</f>
        <v/>
      </c>
      <c r="G360" s="248"/>
      <c r="H360" s="248"/>
      <c r="I360" s="249"/>
      <c r="J360" s="250"/>
      <c r="K360" s="259"/>
      <c r="L360" s="260"/>
      <c r="M360" s="252" t="str" cm="1">
        <f t="array" ref="M360">INDEX(Trad, 53, $A$20)</f>
        <v>Verschmutzt</v>
      </c>
      <c r="N360" s="253"/>
      <c r="O360" s="253"/>
      <c r="P360" s="254"/>
      <c r="Q360" s="251"/>
      <c r="R360" s="251"/>
      <c r="S360" s="264">
        <f t="shared" si="459"/>
        <v>0</v>
      </c>
      <c r="T360" s="252" t="str" cm="1">
        <f t="array" ref="T360">INDEX(Trad, 52, $A$20)</f>
        <v>Sauber</v>
      </c>
      <c r="U360" s="253"/>
      <c r="V360" s="253"/>
      <c r="W360" s="254"/>
      <c r="X360" s="251"/>
      <c r="Y360" s="251"/>
      <c r="Z360" s="264">
        <f t="shared" si="460"/>
        <v>0</v>
      </c>
      <c r="AA360" s="261"/>
      <c r="AB360" s="258"/>
      <c r="AC360" s="246"/>
      <c r="AD360" s="247" t="str">
        <f>IF(ISBLANK(AC360), "", VLOOKUP(AC360, Z!$A$2:$C$4127, 3, FALSE))</f>
        <v/>
      </c>
      <c r="AE360" s="262"/>
      <c r="AF360" s="263">
        <f t="shared" si="461"/>
        <v>0</v>
      </c>
      <c r="AG360" s="238"/>
      <c r="AH360" s="229">
        <f t="shared" si="485"/>
        <v>1</v>
      </c>
      <c r="AI360" s="229">
        <f t="shared" si="486"/>
        <v>1</v>
      </c>
      <c r="AJ360" s="229">
        <f t="shared" si="487"/>
        <v>0</v>
      </c>
      <c r="AK360" s="229">
        <v>0</v>
      </c>
      <c r="AL360" s="229">
        <v>0</v>
      </c>
      <c r="AM360" s="229">
        <v>1</v>
      </c>
      <c r="AN360" s="229">
        <v>0</v>
      </c>
      <c r="AO360" s="229">
        <f t="shared" si="462"/>
        <v>-100</v>
      </c>
      <c r="AP360" s="238"/>
      <c r="AQ360" s="255"/>
      <c r="AR360" s="255"/>
      <c r="AS360" s="256"/>
      <c r="AT360" s="256"/>
      <c r="AU360" s="256"/>
      <c r="AV360" s="256"/>
      <c r="AW360" s="256"/>
      <c r="AX360" s="256"/>
      <c r="AY360" s="256"/>
      <c r="AZ360" s="256"/>
      <c r="BA360" s="256"/>
      <c r="BB360" s="256"/>
      <c r="BC360" s="256"/>
      <c r="BD360" s="238"/>
      <c r="BE360" s="229" cm="1">
        <f t="array" ref="BE360">IF(ISBLANK(R360), INDEX(Use, $AH360, 4) - AM360*INDEX(Use, $AH360, 6), R360)</f>
        <v>5</v>
      </c>
      <c r="BF360" s="229">
        <f t="shared" si="463"/>
        <v>30</v>
      </c>
      <c r="BG360" s="229">
        <f t="shared" si="489"/>
        <v>13</v>
      </c>
      <c r="BH360" s="229">
        <f t="shared" si="490"/>
        <v>0</v>
      </c>
      <c r="BI360" s="234" cm="1">
        <f t="array" ref="BI360">K360/IF($L360&gt;0, INDEX($AU$23:$BA$77, $L360+20, $AH360), 1)</f>
        <v>0</v>
      </c>
      <c r="BJ360" s="230">
        <f t="shared" si="464"/>
        <v>0</v>
      </c>
      <c r="BK360" s="229">
        <v>35</v>
      </c>
      <c r="BL360" s="230">
        <f t="shared" si="465"/>
        <v>48</v>
      </c>
      <c r="BM360" s="235">
        <f t="shared" si="466"/>
        <v>2.9108720930232557</v>
      </c>
      <c r="BN360" s="235" cm="1">
        <f t="array" ref="BN360">$BI360 * SUMPRODUCT(INDEX($AR$77:$AT$82,,$AI360),INDEX($AU$77:$BA$82,,$AH360), N($AQ$77:$AQ$82&gt;$AO360)) / BM360 / 1000</f>
        <v>0</v>
      </c>
      <c r="BO360" s="232">
        <f t="shared" si="491"/>
        <v>30</v>
      </c>
      <c r="BP360" s="230">
        <f t="shared" si="467"/>
        <v>43</v>
      </c>
      <c r="BQ360" s="235">
        <f t="shared" si="468"/>
        <v>3.2938815789473681</v>
      </c>
      <c r="BR360" s="235" cm="1">
        <f t="array" ref="BR360">$BI360 * IF($AH360&lt;=2,
SUMPRODUCT(INDEX($AR$72:$AT$76,,$AI360), INDEX($AU$72:$BA$76,,$AH360), 1 / ($BB$72:$BB$76*BQ360 + (1-$BB$72:$BB$76)*BM360), N($AQ$72:$AQ$76&gt;$AO360)),
SUMPRODUCT(INDEX($AR$67:$AT$76,,$AI360), INDEX($AU$67:$BA$76,,$AH360), 1 / ($BC$67:$BC$76*BQ360 + (1-$BC$67:$BC$76)*BM360), N($AQ$67:$AQ$76&gt;$AO360))
) / 1000</f>
        <v>0</v>
      </c>
      <c r="BS360" s="232">
        <f t="shared" si="492"/>
        <v>25</v>
      </c>
      <c r="BT360" s="230">
        <f t="shared" si="469"/>
        <v>38</v>
      </c>
      <c r="BU360" s="235">
        <f t="shared" si="470"/>
        <v>3.792954545454545</v>
      </c>
      <c r="BV360" s="235" cm="1">
        <f t="array" ref="BV360">$BI360 * IF($AH360&lt;=2,
SUMPRODUCT(INDEX($AR$67:$AT$71,,$AI360), INDEX($AU$67:$BA$71,,$AH360), 1 / ($BB$67:$BB$71*BU360 + (1-$BB$67:$BB$71)*BQ360), N($AQ$67:$AQ$71&gt;$AO360)),
SUMPRODUCT(INDEX($AR$57:$AT$66,,$AI360), INDEX($AU$57:$BA$66,,$AH360), 1 / ($BC$57:$BC$66*BU360 + (1-$BC$57:$BC$66)*BQ360), N($AQ$57:$AQ$66&gt;$AO360))
) / 1000</f>
        <v>0</v>
      </c>
      <c r="BW360" s="232">
        <f t="shared" si="493"/>
        <v>20</v>
      </c>
      <c r="BX360" s="230">
        <f t="shared" si="471"/>
        <v>33</v>
      </c>
      <c r="BY360" s="235">
        <f t="shared" si="472"/>
        <v>4.4702678571428569</v>
      </c>
      <c r="BZ360" s="235" cm="1">
        <f t="array" ref="BZ360">$BI360 * IF($AH360&lt;=2,
SUMPRODUCT(INDEX($AR$62:$AT$66,,$AI360), INDEX($AU$62:$BA$66,,$AH360), 1 / ($BB$62:$BB$66*BY360 + (1-$BB$62:$BB$66)*BU360), N($AQ$62:$AQ$66&gt;$AO360)),
SUMPRODUCT(INDEX($AR$47:$AT$56,,$AI360), INDEX($AU$47:$BA$56,,$AH360), 1 / ($BC$47:$BC$56*BY360 + (1-$BC$47:$BC$56)*BU360), N($AQ$47:$AQ$56&gt;$AO360))
) / 1000</f>
        <v>0</v>
      </c>
      <c r="CA360" s="235" cm="1">
        <f t="array" ref="CA360">$BI360 * IF($AH360&lt;=2,
SUMPRODUCT(INDEX($AR$23:$AT$61,,$AI360), INDEX($AU$23:$BA$61,,$AH360), 1 / ($BB$23:$BB$61*BY360), N($AQ$23:$AQ$61&gt;$AO360)),
SUMPRODUCT(INDEX($AR$23:$AT$46,,$AI360), INDEX($AU$23:$BA$46,,$AH360), 1 / ($BC$23:$BC$46*BY360), N($AQ$23:$AQ$46&gt;$AO360))
) / 1000</f>
        <v>0</v>
      </c>
      <c r="CB360" s="230">
        <f t="shared" si="473"/>
        <v>0</v>
      </c>
      <c r="CC360" s="238"/>
      <c r="CD360" s="229" cm="1">
        <f t="array" ref="CD360">IF(ISBLANK(Y360), INDEX(Use, $AH360, 4) - AN360*INDEX(Use, $AH360, 6) - (Q360-X360), Y360)</f>
        <v>7</v>
      </c>
      <c r="CE360" s="229">
        <f t="shared" si="474"/>
        <v>32</v>
      </c>
      <c r="CF360" s="230">
        <f t="shared" si="475"/>
        <v>0</v>
      </c>
      <c r="CG360" s="229">
        <v>35</v>
      </c>
      <c r="CH360" s="230">
        <f t="shared" si="476"/>
        <v>48</v>
      </c>
      <c r="CI360" s="235">
        <f t="shared" si="477"/>
        <v>3.0748170731707316</v>
      </c>
      <c r="CJ360" s="235" cm="1">
        <f t="array" ref="CJ360">$BI360 * SUMPRODUCT(INDEX($AR$77:$AT$82,,$AI360),INDEX($AU$77:$BA$82,,$AH360), N($AQ$77:$AQ$82&gt;$AO360)) / CI360 / 1000</f>
        <v>0</v>
      </c>
      <c r="CK360" s="232">
        <f t="shared" si="494"/>
        <v>30</v>
      </c>
      <c r="CL360" s="230">
        <f t="shared" si="478"/>
        <v>43</v>
      </c>
      <c r="CM360" s="235">
        <f t="shared" si="479"/>
        <v>3.5018750000000001</v>
      </c>
      <c r="CN360" s="235" cm="1">
        <f t="array" ref="CN360">$BI360 * IF($AH360&lt;=2,
SUMPRODUCT(INDEX($AR$72:$AT$76,,$AI360), INDEX($AU$72:$BA$76,,$AH360), 1 / ($BB$72:$BB$76*CM360 + (1-$BB$72:$BB$76)*CI360), N($AQ$72:$AQ$76&gt;$AO360)),
SUMPRODUCT(INDEX($AR$67:$AT$76,,$AI360), INDEX($AU$67:$BA$76,,$AH360), 1 / ($BC$67:$BC$76*CM360 + (1-$BC$67:$BC$76)*CI360), N($AQ$67:$AQ$76&gt;$AO360))
) / 1000</f>
        <v>0</v>
      </c>
      <c r="CO360" s="232">
        <f t="shared" si="495"/>
        <v>25</v>
      </c>
      <c r="CP360" s="230">
        <f t="shared" si="480"/>
        <v>38</v>
      </c>
      <c r="CQ360" s="235">
        <f t="shared" si="481"/>
        <v>4.0666935483870965</v>
      </c>
      <c r="CR360" s="235" cm="1">
        <f t="array" ref="CR360">$BI360 * IF($AH360&lt;=2,
SUMPRODUCT(INDEX($AR$67:$AT$71,,$AI360), INDEX($AU$67:$BA$71,,$AH360), 1 / ($BB$67:$BB$71*CQ360 + (1-$BB$67:$BB$71)*CM360), N($AQ$67:$AQ$71&gt;$AO360)),
SUMPRODUCT(INDEX($AR$57:$AT$66,,$AI360), INDEX($AU$57:$BA$66,,$AH360), 1 / ($BC$57:$BC$66*CQ360 + (1-$BC$57:$BC$66)*CM360), N($AQ$57:$AQ$66&gt;$AO360))
) / 1000</f>
        <v>0</v>
      </c>
      <c r="CS360" s="232">
        <f t="shared" si="496"/>
        <v>20</v>
      </c>
      <c r="CT360" s="230">
        <f t="shared" si="482"/>
        <v>33</v>
      </c>
      <c r="CU360" s="235">
        <f t="shared" si="483"/>
        <v>4.8487499999999999</v>
      </c>
      <c r="CV360" s="235" cm="1">
        <f t="array" ref="CV360">$BI360 * IF($AH360&lt;=2,
SUMPRODUCT(INDEX($AR$62:$AT$66,,$AI360), INDEX($AU$62:$BA$66,,$AH360), 1 / ($BB$62:$BB$66*CU360 + (1-$BB$62:$BB$66)*CQ360), N($AQ$62:$AQ$66&gt;$AO360)),
SUMPRODUCT(INDEX($AR$47:$AT$56,,$AI360), INDEX($AU$47:$BA$56,,$AH360), 1 / ($BC$47:$BC$56*CU360 + (1-$BC$47:$BC$56)*CQ360), N($AQ$47:$AQ$56&gt;$AO360))
) / 1000</f>
        <v>0</v>
      </c>
      <c r="CW360" s="235" cm="1">
        <f t="array" ref="CW360">$BI360 * IF($AH360&lt;=2,
SUMPRODUCT(INDEX($AR$23:$AT$61,,$AI360), INDEX($AU$23:$BA$61,,$AH360), 1 / ($BB$23:$BB$61*CU360), N($AQ$23:$AQ$61&gt;$AO360)),
SUMPRODUCT(INDEX($AR$23:$AT$46,,$AI360), INDEX($AU$23:$BA$46,,$AH360), 1 / ($BC$23:$BC$46*CU360), N($AQ$23:$AQ$46&gt;$AO360))
) / 1000</f>
        <v>0</v>
      </c>
      <c r="CX360" s="230">
        <f t="shared" si="484"/>
        <v>0</v>
      </c>
      <c r="CY360" s="238"/>
    </row>
    <row r="361" spans="1:103" s="76" customFormat="1" ht="14.25" customHeight="1" x14ac:dyDescent="0.2">
      <c r="A361" s="231" t="b">
        <f t="shared" si="488"/>
        <v>0</v>
      </c>
      <c r="B361" s="245">
        <v>339</v>
      </c>
      <c r="C361" s="258"/>
      <c r="D361" s="258"/>
      <c r="E361" s="246"/>
      <c r="F361" s="247" t="str">
        <f>IF(ISBLANK(E361), "", VLOOKUP(E361, Z!$A$2:$C$4127, 3, FALSE))</f>
        <v/>
      </c>
      <c r="G361" s="248"/>
      <c r="H361" s="248"/>
      <c r="I361" s="249"/>
      <c r="J361" s="250"/>
      <c r="K361" s="259"/>
      <c r="L361" s="260"/>
      <c r="M361" s="252" t="str" cm="1">
        <f t="array" ref="M361">INDEX(Trad, 53, $A$20)</f>
        <v>Verschmutzt</v>
      </c>
      <c r="N361" s="253"/>
      <c r="O361" s="253"/>
      <c r="P361" s="254"/>
      <c r="Q361" s="251"/>
      <c r="R361" s="251"/>
      <c r="S361" s="264">
        <f t="shared" si="459"/>
        <v>0</v>
      </c>
      <c r="T361" s="252" t="str" cm="1">
        <f t="array" ref="T361">INDEX(Trad, 52, $A$20)</f>
        <v>Sauber</v>
      </c>
      <c r="U361" s="253"/>
      <c r="V361" s="253"/>
      <c r="W361" s="254"/>
      <c r="X361" s="251"/>
      <c r="Y361" s="251"/>
      <c r="Z361" s="264">
        <f t="shared" si="460"/>
        <v>0</v>
      </c>
      <c r="AA361" s="261"/>
      <c r="AB361" s="258"/>
      <c r="AC361" s="246"/>
      <c r="AD361" s="247" t="str">
        <f>IF(ISBLANK(AC361), "", VLOOKUP(AC361, Z!$A$2:$C$4127, 3, FALSE))</f>
        <v/>
      </c>
      <c r="AE361" s="262"/>
      <c r="AF361" s="263">
        <f t="shared" si="461"/>
        <v>0</v>
      </c>
      <c r="AG361" s="238"/>
      <c r="AH361" s="229">
        <f t="shared" si="485"/>
        <v>1</v>
      </c>
      <c r="AI361" s="229">
        <f t="shared" si="486"/>
        <v>1</v>
      </c>
      <c r="AJ361" s="229">
        <f t="shared" si="487"/>
        <v>0</v>
      </c>
      <c r="AK361" s="229">
        <v>0</v>
      </c>
      <c r="AL361" s="229">
        <v>0</v>
      </c>
      <c r="AM361" s="229">
        <v>1</v>
      </c>
      <c r="AN361" s="229">
        <v>0</v>
      </c>
      <c r="AO361" s="229">
        <f t="shared" si="462"/>
        <v>-100</v>
      </c>
      <c r="AP361" s="238"/>
      <c r="AQ361" s="255"/>
      <c r="AR361" s="255"/>
      <c r="AS361" s="256"/>
      <c r="AT361" s="256"/>
      <c r="AU361" s="256"/>
      <c r="AV361" s="256"/>
      <c r="AW361" s="256"/>
      <c r="AX361" s="256"/>
      <c r="AY361" s="256"/>
      <c r="AZ361" s="256"/>
      <c r="BA361" s="256"/>
      <c r="BB361" s="256"/>
      <c r="BC361" s="256"/>
      <c r="BD361" s="238"/>
      <c r="BE361" s="229" cm="1">
        <f t="array" ref="BE361">IF(ISBLANK(R361), INDEX(Use, $AH361, 4) - AM361*INDEX(Use, $AH361, 6), R361)</f>
        <v>5</v>
      </c>
      <c r="BF361" s="229">
        <f t="shared" si="463"/>
        <v>30</v>
      </c>
      <c r="BG361" s="229">
        <f t="shared" si="489"/>
        <v>13</v>
      </c>
      <c r="BH361" s="229">
        <f t="shared" si="490"/>
        <v>0</v>
      </c>
      <c r="BI361" s="234" cm="1">
        <f t="array" ref="BI361">K361/IF($L361&gt;0, INDEX($AU$23:$BA$77, $L361+20, $AH361), 1)</f>
        <v>0</v>
      </c>
      <c r="BJ361" s="230">
        <f t="shared" si="464"/>
        <v>0</v>
      </c>
      <c r="BK361" s="229">
        <v>35</v>
      </c>
      <c r="BL361" s="230">
        <f t="shared" si="465"/>
        <v>48</v>
      </c>
      <c r="BM361" s="235">
        <f t="shared" si="466"/>
        <v>2.9108720930232557</v>
      </c>
      <c r="BN361" s="235" cm="1">
        <f t="array" ref="BN361">$BI361 * SUMPRODUCT(INDEX($AR$77:$AT$82,,$AI361),INDEX($AU$77:$BA$82,,$AH361), N($AQ$77:$AQ$82&gt;$AO361)) / BM361 / 1000</f>
        <v>0</v>
      </c>
      <c r="BO361" s="232">
        <f t="shared" si="491"/>
        <v>30</v>
      </c>
      <c r="BP361" s="230">
        <f t="shared" si="467"/>
        <v>43</v>
      </c>
      <c r="BQ361" s="235">
        <f t="shared" si="468"/>
        <v>3.2938815789473681</v>
      </c>
      <c r="BR361" s="235" cm="1">
        <f t="array" ref="BR361">$BI361 * IF($AH361&lt;=2,
SUMPRODUCT(INDEX($AR$72:$AT$76,,$AI361), INDEX($AU$72:$BA$76,,$AH361), 1 / ($BB$72:$BB$76*BQ361 + (1-$BB$72:$BB$76)*BM361), N($AQ$72:$AQ$76&gt;$AO361)),
SUMPRODUCT(INDEX($AR$67:$AT$76,,$AI361), INDEX($AU$67:$BA$76,,$AH361), 1 / ($BC$67:$BC$76*BQ361 + (1-$BC$67:$BC$76)*BM361), N($AQ$67:$AQ$76&gt;$AO361))
) / 1000</f>
        <v>0</v>
      </c>
      <c r="BS361" s="232">
        <f t="shared" si="492"/>
        <v>25</v>
      </c>
      <c r="BT361" s="230">
        <f t="shared" si="469"/>
        <v>38</v>
      </c>
      <c r="BU361" s="235">
        <f t="shared" si="470"/>
        <v>3.792954545454545</v>
      </c>
      <c r="BV361" s="235" cm="1">
        <f t="array" ref="BV361">$BI361 * IF($AH361&lt;=2,
SUMPRODUCT(INDEX($AR$67:$AT$71,,$AI361), INDEX($AU$67:$BA$71,,$AH361), 1 / ($BB$67:$BB$71*BU361 + (1-$BB$67:$BB$71)*BQ361), N($AQ$67:$AQ$71&gt;$AO361)),
SUMPRODUCT(INDEX($AR$57:$AT$66,,$AI361), INDEX($AU$57:$BA$66,,$AH361), 1 / ($BC$57:$BC$66*BU361 + (1-$BC$57:$BC$66)*BQ361), N($AQ$57:$AQ$66&gt;$AO361))
) / 1000</f>
        <v>0</v>
      </c>
      <c r="BW361" s="232">
        <f t="shared" si="493"/>
        <v>20</v>
      </c>
      <c r="BX361" s="230">
        <f t="shared" si="471"/>
        <v>33</v>
      </c>
      <c r="BY361" s="235">
        <f t="shared" si="472"/>
        <v>4.4702678571428569</v>
      </c>
      <c r="BZ361" s="235" cm="1">
        <f t="array" ref="BZ361">$BI361 * IF($AH361&lt;=2,
SUMPRODUCT(INDEX($AR$62:$AT$66,,$AI361), INDEX($AU$62:$BA$66,,$AH361), 1 / ($BB$62:$BB$66*BY361 + (1-$BB$62:$BB$66)*BU361), N($AQ$62:$AQ$66&gt;$AO361)),
SUMPRODUCT(INDEX($AR$47:$AT$56,,$AI361), INDEX($AU$47:$BA$56,,$AH361), 1 / ($BC$47:$BC$56*BY361 + (1-$BC$47:$BC$56)*BU361), N($AQ$47:$AQ$56&gt;$AO361))
) / 1000</f>
        <v>0</v>
      </c>
      <c r="CA361" s="235" cm="1">
        <f t="array" ref="CA361">$BI361 * IF($AH361&lt;=2,
SUMPRODUCT(INDEX($AR$23:$AT$61,,$AI361), INDEX($AU$23:$BA$61,,$AH361), 1 / ($BB$23:$BB$61*BY361), N($AQ$23:$AQ$61&gt;$AO361)),
SUMPRODUCT(INDEX($AR$23:$AT$46,,$AI361), INDEX($AU$23:$BA$46,,$AH361), 1 / ($BC$23:$BC$46*BY361), N($AQ$23:$AQ$46&gt;$AO361))
) / 1000</f>
        <v>0</v>
      </c>
      <c r="CB361" s="230">
        <f t="shared" si="473"/>
        <v>0</v>
      </c>
      <c r="CC361" s="238"/>
      <c r="CD361" s="229" cm="1">
        <f t="array" ref="CD361">IF(ISBLANK(Y361), INDEX(Use, $AH361, 4) - AN361*INDEX(Use, $AH361, 6) - (Q361-X361), Y361)</f>
        <v>7</v>
      </c>
      <c r="CE361" s="229">
        <f t="shared" si="474"/>
        <v>32</v>
      </c>
      <c r="CF361" s="230">
        <f t="shared" si="475"/>
        <v>0</v>
      </c>
      <c r="CG361" s="229">
        <v>35</v>
      </c>
      <c r="CH361" s="230">
        <f t="shared" si="476"/>
        <v>48</v>
      </c>
      <c r="CI361" s="235">
        <f t="shared" si="477"/>
        <v>3.0748170731707316</v>
      </c>
      <c r="CJ361" s="235" cm="1">
        <f t="array" ref="CJ361">$BI361 * SUMPRODUCT(INDEX($AR$77:$AT$82,,$AI361),INDEX($AU$77:$BA$82,,$AH361), N($AQ$77:$AQ$82&gt;$AO361)) / CI361 / 1000</f>
        <v>0</v>
      </c>
      <c r="CK361" s="232">
        <f t="shared" si="494"/>
        <v>30</v>
      </c>
      <c r="CL361" s="230">
        <f t="shared" si="478"/>
        <v>43</v>
      </c>
      <c r="CM361" s="235">
        <f t="shared" si="479"/>
        <v>3.5018750000000001</v>
      </c>
      <c r="CN361" s="235" cm="1">
        <f t="array" ref="CN361">$BI361 * IF($AH361&lt;=2,
SUMPRODUCT(INDEX($AR$72:$AT$76,,$AI361), INDEX($AU$72:$BA$76,,$AH361), 1 / ($BB$72:$BB$76*CM361 + (1-$BB$72:$BB$76)*CI361), N($AQ$72:$AQ$76&gt;$AO361)),
SUMPRODUCT(INDEX($AR$67:$AT$76,,$AI361), INDEX($AU$67:$BA$76,,$AH361), 1 / ($BC$67:$BC$76*CM361 + (1-$BC$67:$BC$76)*CI361), N($AQ$67:$AQ$76&gt;$AO361))
) / 1000</f>
        <v>0</v>
      </c>
      <c r="CO361" s="232">
        <f t="shared" si="495"/>
        <v>25</v>
      </c>
      <c r="CP361" s="230">
        <f t="shared" si="480"/>
        <v>38</v>
      </c>
      <c r="CQ361" s="235">
        <f t="shared" si="481"/>
        <v>4.0666935483870965</v>
      </c>
      <c r="CR361" s="235" cm="1">
        <f t="array" ref="CR361">$BI361 * IF($AH361&lt;=2,
SUMPRODUCT(INDEX($AR$67:$AT$71,,$AI361), INDEX($AU$67:$BA$71,,$AH361), 1 / ($BB$67:$BB$71*CQ361 + (1-$BB$67:$BB$71)*CM361), N($AQ$67:$AQ$71&gt;$AO361)),
SUMPRODUCT(INDEX($AR$57:$AT$66,,$AI361), INDEX($AU$57:$BA$66,,$AH361), 1 / ($BC$57:$BC$66*CQ361 + (1-$BC$57:$BC$66)*CM361), N($AQ$57:$AQ$66&gt;$AO361))
) / 1000</f>
        <v>0</v>
      </c>
      <c r="CS361" s="232">
        <f t="shared" si="496"/>
        <v>20</v>
      </c>
      <c r="CT361" s="230">
        <f t="shared" si="482"/>
        <v>33</v>
      </c>
      <c r="CU361" s="235">
        <f t="shared" si="483"/>
        <v>4.8487499999999999</v>
      </c>
      <c r="CV361" s="235" cm="1">
        <f t="array" ref="CV361">$BI361 * IF($AH361&lt;=2,
SUMPRODUCT(INDEX($AR$62:$AT$66,,$AI361), INDEX($AU$62:$BA$66,,$AH361), 1 / ($BB$62:$BB$66*CU361 + (1-$BB$62:$BB$66)*CQ361), N($AQ$62:$AQ$66&gt;$AO361)),
SUMPRODUCT(INDEX($AR$47:$AT$56,,$AI361), INDEX($AU$47:$BA$56,,$AH361), 1 / ($BC$47:$BC$56*CU361 + (1-$BC$47:$BC$56)*CQ361), N($AQ$47:$AQ$56&gt;$AO361))
) / 1000</f>
        <v>0</v>
      </c>
      <c r="CW361" s="235" cm="1">
        <f t="array" ref="CW361">$BI361 * IF($AH361&lt;=2,
SUMPRODUCT(INDEX($AR$23:$AT$61,,$AI361), INDEX($AU$23:$BA$61,,$AH361), 1 / ($BB$23:$BB$61*CU361), N($AQ$23:$AQ$61&gt;$AO361)),
SUMPRODUCT(INDEX($AR$23:$AT$46,,$AI361), INDEX($AU$23:$BA$46,,$AH361), 1 / ($BC$23:$BC$46*CU361), N($AQ$23:$AQ$46&gt;$AO361))
) / 1000</f>
        <v>0</v>
      </c>
      <c r="CX361" s="230">
        <f t="shared" si="484"/>
        <v>0</v>
      </c>
      <c r="CY361" s="238"/>
    </row>
    <row r="362" spans="1:103" s="76" customFormat="1" ht="14.25" customHeight="1" x14ac:dyDescent="0.2">
      <c r="A362" s="231" t="b">
        <f t="shared" si="488"/>
        <v>0</v>
      </c>
      <c r="B362" s="245">
        <v>340</v>
      </c>
      <c r="C362" s="258"/>
      <c r="D362" s="258"/>
      <c r="E362" s="246"/>
      <c r="F362" s="247" t="str">
        <f>IF(ISBLANK(E362), "", VLOOKUP(E362, Z!$A$2:$C$4127, 3, FALSE))</f>
        <v/>
      </c>
      <c r="G362" s="248"/>
      <c r="H362" s="248"/>
      <c r="I362" s="249"/>
      <c r="J362" s="250"/>
      <c r="K362" s="259"/>
      <c r="L362" s="260"/>
      <c r="M362" s="252" t="str" cm="1">
        <f t="array" ref="M362">INDEX(Trad, 53, $A$20)</f>
        <v>Verschmutzt</v>
      </c>
      <c r="N362" s="253"/>
      <c r="O362" s="253"/>
      <c r="P362" s="254"/>
      <c r="Q362" s="251"/>
      <c r="R362" s="251"/>
      <c r="S362" s="264">
        <f t="shared" si="459"/>
        <v>0</v>
      </c>
      <c r="T362" s="252" t="str" cm="1">
        <f t="array" ref="T362">INDEX(Trad, 52, $A$20)</f>
        <v>Sauber</v>
      </c>
      <c r="U362" s="253"/>
      <c r="V362" s="253"/>
      <c r="W362" s="254"/>
      <c r="X362" s="251"/>
      <c r="Y362" s="251"/>
      <c r="Z362" s="264">
        <f t="shared" si="460"/>
        <v>0</v>
      </c>
      <c r="AA362" s="261"/>
      <c r="AB362" s="258"/>
      <c r="AC362" s="246"/>
      <c r="AD362" s="247" t="str">
        <f>IF(ISBLANK(AC362), "", VLOOKUP(AC362, Z!$A$2:$C$4127, 3, FALSE))</f>
        <v/>
      </c>
      <c r="AE362" s="262"/>
      <c r="AF362" s="263">
        <f t="shared" si="461"/>
        <v>0</v>
      </c>
      <c r="AG362" s="238"/>
      <c r="AH362" s="229">
        <f t="shared" si="485"/>
        <v>1</v>
      </c>
      <c r="AI362" s="229">
        <f t="shared" si="486"/>
        <v>1</v>
      </c>
      <c r="AJ362" s="229">
        <f t="shared" si="487"/>
        <v>0</v>
      </c>
      <c r="AK362" s="229">
        <v>0</v>
      </c>
      <c r="AL362" s="229">
        <v>0</v>
      </c>
      <c r="AM362" s="229">
        <v>1</v>
      </c>
      <c r="AN362" s="229">
        <v>0</v>
      </c>
      <c r="AO362" s="229">
        <f t="shared" si="462"/>
        <v>-100</v>
      </c>
      <c r="AP362" s="238"/>
      <c r="AQ362" s="255"/>
      <c r="AR362" s="255"/>
      <c r="AS362" s="256"/>
      <c r="AT362" s="256"/>
      <c r="AU362" s="256"/>
      <c r="AV362" s="256"/>
      <c r="AW362" s="256"/>
      <c r="AX362" s="256"/>
      <c r="AY362" s="256"/>
      <c r="AZ362" s="256"/>
      <c r="BA362" s="256"/>
      <c r="BB362" s="256"/>
      <c r="BC362" s="256"/>
      <c r="BD362" s="238"/>
      <c r="BE362" s="229" cm="1">
        <f t="array" ref="BE362">IF(ISBLANK(R362), INDEX(Use, $AH362, 4) - AM362*INDEX(Use, $AH362, 6), R362)</f>
        <v>5</v>
      </c>
      <c r="BF362" s="229">
        <f t="shared" si="463"/>
        <v>30</v>
      </c>
      <c r="BG362" s="229">
        <f t="shared" si="489"/>
        <v>13</v>
      </c>
      <c r="BH362" s="229">
        <f t="shared" si="490"/>
        <v>0</v>
      </c>
      <c r="BI362" s="234" cm="1">
        <f t="array" ref="BI362">K362/IF($L362&gt;0, INDEX($AU$23:$BA$77, $L362+20, $AH362), 1)</f>
        <v>0</v>
      </c>
      <c r="BJ362" s="230">
        <f t="shared" si="464"/>
        <v>0</v>
      </c>
      <c r="BK362" s="229">
        <v>35</v>
      </c>
      <c r="BL362" s="230">
        <f t="shared" si="465"/>
        <v>48</v>
      </c>
      <c r="BM362" s="235">
        <f t="shared" si="466"/>
        <v>2.9108720930232557</v>
      </c>
      <c r="BN362" s="235" cm="1">
        <f t="array" ref="BN362">$BI362 * SUMPRODUCT(INDEX($AR$77:$AT$82,,$AI362),INDEX($AU$77:$BA$82,,$AH362), N($AQ$77:$AQ$82&gt;$AO362)) / BM362 / 1000</f>
        <v>0</v>
      </c>
      <c r="BO362" s="232">
        <f t="shared" si="491"/>
        <v>30</v>
      </c>
      <c r="BP362" s="230">
        <f t="shared" si="467"/>
        <v>43</v>
      </c>
      <c r="BQ362" s="235">
        <f t="shared" si="468"/>
        <v>3.2938815789473681</v>
      </c>
      <c r="BR362" s="235" cm="1">
        <f t="array" ref="BR362">$BI362 * IF($AH362&lt;=2,
SUMPRODUCT(INDEX($AR$72:$AT$76,,$AI362), INDEX($AU$72:$BA$76,,$AH362), 1 / ($BB$72:$BB$76*BQ362 + (1-$BB$72:$BB$76)*BM362), N($AQ$72:$AQ$76&gt;$AO362)),
SUMPRODUCT(INDEX($AR$67:$AT$76,,$AI362), INDEX($AU$67:$BA$76,,$AH362), 1 / ($BC$67:$BC$76*BQ362 + (1-$BC$67:$BC$76)*BM362), N($AQ$67:$AQ$76&gt;$AO362))
) / 1000</f>
        <v>0</v>
      </c>
      <c r="BS362" s="232">
        <f t="shared" si="492"/>
        <v>25</v>
      </c>
      <c r="BT362" s="230">
        <f t="shared" si="469"/>
        <v>38</v>
      </c>
      <c r="BU362" s="235">
        <f t="shared" si="470"/>
        <v>3.792954545454545</v>
      </c>
      <c r="BV362" s="235" cm="1">
        <f t="array" ref="BV362">$BI362 * IF($AH362&lt;=2,
SUMPRODUCT(INDEX($AR$67:$AT$71,,$AI362), INDEX($AU$67:$BA$71,,$AH362), 1 / ($BB$67:$BB$71*BU362 + (1-$BB$67:$BB$71)*BQ362), N($AQ$67:$AQ$71&gt;$AO362)),
SUMPRODUCT(INDEX($AR$57:$AT$66,,$AI362), INDEX($AU$57:$BA$66,,$AH362), 1 / ($BC$57:$BC$66*BU362 + (1-$BC$57:$BC$66)*BQ362), N($AQ$57:$AQ$66&gt;$AO362))
) / 1000</f>
        <v>0</v>
      </c>
      <c r="BW362" s="232">
        <f t="shared" si="493"/>
        <v>20</v>
      </c>
      <c r="BX362" s="230">
        <f t="shared" si="471"/>
        <v>33</v>
      </c>
      <c r="BY362" s="235">
        <f t="shared" si="472"/>
        <v>4.4702678571428569</v>
      </c>
      <c r="BZ362" s="235" cm="1">
        <f t="array" ref="BZ362">$BI362 * IF($AH362&lt;=2,
SUMPRODUCT(INDEX($AR$62:$AT$66,,$AI362), INDEX($AU$62:$BA$66,,$AH362), 1 / ($BB$62:$BB$66*BY362 + (1-$BB$62:$BB$66)*BU362), N($AQ$62:$AQ$66&gt;$AO362)),
SUMPRODUCT(INDEX($AR$47:$AT$56,,$AI362), INDEX($AU$47:$BA$56,,$AH362), 1 / ($BC$47:$BC$56*BY362 + (1-$BC$47:$BC$56)*BU362), N($AQ$47:$AQ$56&gt;$AO362))
) / 1000</f>
        <v>0</v>
      </c>
      <c r="CA362" s="235" cm="1">
        <f t="array" ref="CA362">$BI362 * IF($AH362&lt;=2,
SUMPRODUCT(INDEX($AR$23:$AT$61,,$AI362), INDEX($AU$23:$BA$61,,$AH362), 1 / ($BB$23:$BB$61*BY362), N($AQ$23:$AQ$61&gt;$AO362)),
SUMPRODUCT(INDEX($AR$23:$AT$46,,$AI362), INDEX($AU$23:$BA$46,,$AH362), 1 / ($BC$23:$BC$46*BY362), N($AQ$23:$AQ$46&gt;$AO362))
) / 1000</f>
        <v>0</v>
      </c>
      <c r="CB362" s="230">
        <f t="shared" si="473"/>
        <v>0</v>
      </c>
      <c r="CC362" s="238"/>
      <c r="CD362" s="229" cm="1">
        <f t="array" ref="CD362">IF(ISBLANK(Y362), INDEX(Use, $AH362, 4) - AN362*INDEX(Use, $AH362, 6) - (Q362-X362), Y362)</f>
        <v>7</v>
      </c>
      <c r="CE362" s="229">
        <f t="shared" si="474"/>
        <v>32</v>
      </c>
      <c r="CF362" s="230">
        <f t="shared" si="475"/>
        <v>0</v>
      </c>
      <c r="CG362" s="229">
        <v>35</v>
      </c>
      <c r="CH362" s="230">
        <f t="shared" si="476"/>
        <v>48</v>
      </c>
      <c r="CI362" s="235">
        <f t="shared" si="477"/>
        <v>3.0748170731707316</v>
      </c>
      <c r="CJ362" s="235" cm="1">
        <f t="array" ref="CJ362">$BI362 * SUMPRODUCT(INDEX($AR$77:$AT$82,,$AI362),INDEX($AU$77:$BA$82,,$AH362), N($AQ$77:$AQ$82&gt;$AO362)) / CI362 / 1000</f>
        <v>0</v>
      </c>
      <c r="CK362" s="232">
        <f t="shared" si="494"/>
        <v>30</v>
      </c>
      <c r="CL362" s="230">
        <f t="shared" si="478"/>
        <v>43</v>
      </c>
      <c r="CM362" s="235">
        <f t="shared" si="479"/>
        <v>3.5018750000000001</v>
      </c>
      <c r="CN362" s="235" cm="1">
        <f t="array" ref="CN362">$BI362 * IF($AH362&lt;=2,
SUMPRODUCT(INDEX($AR$72:$AT$76,,$AI362), INDEX($AU$72:$BA$76,,$AH362), 1 / ($BB$72:$BB$76*CM362 + (1-$BB$72:$BB$76)*CI362), N($AQ$72:$AQ$76&gt;$AO362)),
SUMPRODUCT(INDEX($AR$67:$AT$76,,$AI362), INDEX($AU$67:$BA$76,,$AH362), 1 / ($BC$67:$BC$76*CM362 + (1-$BC$67:$BC$76)*CI362), N($AQ$67:$AQ$76&gt;$AO362))
) / 1000</f>
        <v>0</v>
      </c>
      <c r="CO362" s="232">
        <f t="shared" si="495"/>
        <v>25</v>
      </c>
      <c r="CP362" s="230">
        <f t="shared" si="480"/>
        <v>38</v>
      </c>
      <c r="CQ362" s="235">
        <f t="shared" si="481"/>
        <v>4.0666935483870965</v>
      </c>
      <c r="CR362" s="235" cm="1">
        <f t="array" ref="CR362">$BI362 * IF($AH362&lt;=2,
SUMPRODUCT(INDEX($AR$67:$AT$71,,$AI362), INDEX($AU$67:$BA$71,,$AH362), 1 / ($BB$67:$BB$71*CQ362 + (1-$BB$67:$BB$71)*CM362), N($AQ$67:$AQ$71&gt;$AO362)),
SUMPRODUCT(INDEX($AR$57:$AT$66,,$AI362), INDEX($AU$57:$BA$66,,$AH362), 1 / ($BC$57:$BC$66*CQ362 + (1-$BC$57:$BC$66)*CM362), N($AQ$57:$AQ$66&gt;$AO362))
) / 1000</f>
        <v>0</v>
      </c>
      <c r="CS362" s="232">
        <f t="shared" si="496"/>
        <v>20</v>
      </c>
      <c r="CT362" s="230">
        <f t="shared" si="482"/>
        <v>33</v>
      </c>
      <c r="CU362" s="235">
        <f t="shared" si="483"/>
        <v>4.8487499999999999</v>
      </c>
      <c r="CV362" s="235" cm="1">
        <f t="array" ref="CV362">$BI362 * IF($AH362&lt;=2,
SUMPRODUCT(INDEX($AR$62:$AT$66,,$AI362), INDEX($AU$62:$BA$66,,$AH362), 1 / ($BB$62:$BB$66*CU362 + (1-$BB$62:$BB$66)*CQ362), N($AQ$62:$AQ$66&gt;$AO362)),
SUMPRODUCT(INDEX($AR$47:$AT$56,,$AI362), INDEX($AU$47:$BA$56,,$AH362), 1 / ($BC$47:$BC$56*CU362 + (1-$BC$47:$BC$56)*CQ362), N($AQ$47:$AQ$56&gt;$AO362))
) / 1000</f>
        <v>0</v>
      </c>
      <c r="CW362" s="235" cm="1">
        <f t="array" ref="CW362">$BI362 * IF($AH362&lt;=2,
SUMPRODUCT(INDEX($AR$23:$AT$61,,$AI362), INDEX($AU$23:$BA$61,,$AH362), 1 / ($BB$23:$BB$61*CU362), N($AQ$23:$AQ$61&gt;$AO362)),
SUMPRODUCT(INDEX($AR$23:$AT$46,,$AI362), INDEX($AU$23:$BA$46,,$AH362), 1 / ($BC$23:$BC$46*CU362), N($AQ$23:$AQ$46&gt;$AO362))
) / 1000</f>
        <v>0</v>
      </c>
      <c r="CX362" s="230">
        <f t="shared" si="484"/>
        <v>0</v>
      </c>
      <c r="CY362" s="238"/>
    </row>
    <row r="363" spans="1:103" s="76" customFormat="1" ht="14.25" customHeight="1" x14ac:dyDescent="0.2">
      <c r="A363" s="231" t="b">
        <f t="shared" si="488"/>
        <v>0</v>
      </c>
      <c r="B363" s="245">
        <v>341</v>
      </c>
      <c r="C363" s="258"/>
      <c r="D363" s="258"/>
      <c r="E363" s="246"/>
      <c r="F363" s="247" t="str">
        <f>IF(ISBLANK(E363), "", VLOOKUP(E363, Z!$A$2:$C$4127, 3, FALSE))</f>
        <v/>
      </c>
      <c r="G363" s="248"/>
      <c r="H363" s="248"/>
      <c r="I363" s="249"/>
      <c r="J363" s="250"/>
      <c r="K363" s="259"/>
      <c r="L363" s="260"/>
      <c r="M363" s="252" t="str" cm="1">
        <f t="array" ref="M363">INDEX(Trad, 53, $A$20)</f>
        <v>Verschmutzt</v>
      </c>
      <c r="N363" s="253"/>
      <c r="O363" s="253"/>
      <c r="P363" s="254"/>
      <c r="Q363" s="251"/>
      <c r="R363" s="251"/>
      <c r="S363" s="264">
        <f t="shared" si="459"/>
        <v>0</v>
      </c>
      <c r="T363" s="252" t="str" cm="1">
        <f t="array" ref="T363">INDEX(Trad, 52, $A$20)</f>
        <v>Sauber</v>
      </c>
      <c r="U363" s="253"/>
      <c r="V363" s="253"/>
      <c r="W363" s="254"/>
      <c r="X363" s="251"/>
      <c r="Y363" s="251"/>
      <c r="Z363" s="264">
        <f t="shared" si="460"/>
        <v>0</v>
      </c>
      <c r="AA363" s="261"/>
      <c r="AB363" s="258"/>
      <c r="AC363" s="246"/>
      <c r="AD363" s="247" t="str">
        <f>IF(ISBLANK(AC363), "", VLOOKUP(AC363, Z!$A$2:$C$4127, 3, FALSE))</f>
        <v/>
      </c>
      <c r="AE363" s="262"/>
      <c r="AF363" s="263">
        <f t="shared" si="461"/>
        <v>0</v>
      </c>
      <c r="AG363" s="238"/>
      <c r="AH363" s="229">
        <f t="shared" si="485"/>
        <v>1</v>
      </c>
      <c r="AI363" s="229">
        <f t="shared" si="486"/>
        <v>1</v>
      </c>
      <c r="AJ363" s="229">
        <f t="shared" si="487"/>
        <v>0</v>
      </c>
      <c r="AK363" s="229">
        <v>0</v>
      </c>
      <c r="AL363" s="229">
        <v>0</v>
      </c>
      <c r="AM363" s="229">
        <v>1</v>
      </c>
      <c r="AN363" s="229">
        <v>0</v>
      </c>
      <c r="AO363" s="229">
        <f t="shared" si="462"/>
        <v>-100</v>
      </c>
      <c r="AP363" s="238"/>
      <c r="AQ363" s="255"/>
      <c r="AR363" s="255"/>
      <c r="AS363" s="256"/>
      <c r="AT363" s="256"/>
      <c r="AU363" s="256"/>
      <c r="AV363" s="256"/>
      <c r="AW363" s="256"/>
      <c r="AX363" s="256"/>
      <c r="AY363" s="256"/>
      <c r="AZ363" s="256"/>
      <c r="BA363" s="256"/>
      <c r="BB363" s="256"/>
      <c r="BC363" s="256"/>
      <c r="BD363" s="238"/>
      <c r="BE363" s="229" cm="1">
        <f t="array" ref="BE363">IF(ISBLANK(R363), INDEX(Use, $AH363, 4) - AM363*INDEX(Use, $AH363, 6), R363)</f>
        <v>5</v>
      </c>
      <c r="BF363" s="229">
        <f t="shared" si="463"/>
        <v>30</v>
      </c>
      <c r="BG363" s="229">
        <f t="shared" si="489"/>
        <v>13</v>
      </c>
      <c r="BH363" s="229">
        <f t="shared" si="490"/>
        <v>0</v>
      </c>
      <c r="BI363" s="234" cm="1">
        <f t="array" ref="BI363">K363/IF($L363&gt;0, INDEX($AU$23:$BA$77, $L363+20, $AH363), 1)</f>
        <v>0</v>
      </c>
      <c r="BJ363" s="230">
        <f t="shared" si="464"/>
        <v>0</v>
      </c>
      <c r="BK363" s="229">
        <v>35</v>
      </c>
      <c r="BL363" s="230">
        <f t="shared" si="465"/>
        <v>48</v>
      </c>
      <c r="BM363" s="235">
        <f t="shared" si="466"/>
        <v>2.9108720930232557</v>
      </c>
      <c r="BN363" s="235" cm="1">
        <f t="array" ref="BN363">$BI363 * SUMPRODUCT(INDEX($AR$77:$AT$82,,$AI363),INDEX($AU$77:$BA$82,,$AH363), N($AQ$77:$AQ$82&gt;$AO363)) / BM363 / 1000</f>
        <v>0</v>
      </c>
      <c r="BO363" s="232">
        <f t="shared" si="491"/>
        <v>30</v>
      </c>
      <c r="BP363" s="230">
        <f t="shared" si="467"/>
        <v>43</v>
      </c>
      <c r="BQ363" s="235">
        <f t="shared" si="468"/>
        <v>3.2938815789473681</v>
      </c>
      <c r="BR363" s="235" cm="1">
        <f t="array" ref="BR363">$BI363 * IF($AH363&lt;=2,
SUMPRODUCT(INDEX($AR$72:$AT$76,,$AI363), INDEX($AU$72:$BA$76,,$AH363), 1 / ($BB$72:$BB$76*BQ363 + (1-$BB$72:$BB$76)*BM363), N($AQ$72:$AQ$76&gt;$AO363)),
SUMPRODUCT(INDEX($AR$67:$AT$76,,$AI363), INDEX($AU$67:$BA$76,,$AH363), 1 / ($BC$67:$BC$76*BQ363 + (1-$BC$67:$BC$76)*BM363), N($AQ$67:$AQ$76&gt;$AO363))
) / 1000</f>
        <v>0</v>
      </c>
      <c r="BS363" s="232">
        <f t="shared" si="492"/>
        <v>25</v>
      </c>
      <c r="BT363" s="230">
        <f t="shared" si="469"/>
        <v>38</v>
      </c>
      <c r="BU363" s="235">
        <f t="shared" si="470"/>
        <v>3.792954545454545</v>
      </c>
      <c r="BV363" s="235" cm="1">
        <f t="array" ref="BV363">$BI363 * IF($AH363&lt;=2,
SUMPRODUCT(INDEX($AR$67:$AT$71,,$AI363), INDEX($AU$67:$BA$71,,$AH363), 1 / ($BB$67:$BB$71*BU363 + (1-$BB$67:$BB$71)*BQ363), N($AQ$67:$AQ$71&gt;$AO363)),
SUMPRODUCT(INDEX($AR$57:$AT$66,,$AI363), INDEX($AU$57:$BA$66,,$AH363), 1 / ($BC$57:$BC$66*BU363 + (1-$BC$57:$BC$66)*BQ363), N($AQ$57:$AQ$66&gt;$AO363))
) / 1000</f>
        <v>0</v>
      </c>
      <c r="BW363" s="232">
        <f t="shared" si="493"/>
        <v>20</v>
      </c>
      <c r="BX363" s="230">
        <f t="shared" si="471"/>
        <v>33</v>
      </c>
      <c r="BY363" s="235">
        <f t="shared" si="472"/>
        <v>4.4702678571428569</v>
      </c>
      <c r="BZ363" s="235" cm="1">
        <f t="array" ref="BZ363">$BI363 * IF($AH363&lt;=2,
SUMPRODUCT(INDEX($AR$62:$AT$66,,$AI363), INDEX($AU$62:$BA$66,,$AH363), 1 / ($BB$62:$BB$66*BY363 + (1-$BB$62:$BB$66)*BU363), N($AQ$62:$AQ$66&gt;$AO363)),
SUMPRODUCT(INDEX($AR$47:$AT$56,,$AI363), INDEX($AU$47:$BA$56,,$AH363), 1 / ($BC$47:$BC$56*BY363 + (1-$BC$47:$BC$56)*BU363), N($AQ$47:$AQ$56&gt;$AO363))
) / 1000</f>
        <v>0</v>
      </c>
      <c r="CA363" s="235" cm="1">
        <f t="array" ref="CA363">$BI363 * IF($AH363&lt;=2,
SUMPRODUCT(INDEX($AR$23:$AT$61,,$AI363), INDEX($AU$23:$BA$61,,$AH363), 1 / ($BB$23:$BB$61*BY363), N($AQ$23:$AQ$61&gt;$AO363)),
SUMPRODUCT(INDEX($AR$23:$AT$46,,$AI363), INDEX($AU$23:$BA$46,,$AH363), 1 / ($BC$23:$BC$46*BY363), N($AQ$23:$AQ$46&gt;$AO363))
) / 1000</f>
        <v>0</v>
      </c>
      <c r="CB363" s="230">
        <f t="shared" si="473"/>
        <v>0</v>
      </c>
      <c r="CC363" s="238"/>
      <c r="CD363" s="229" cm="1">
        <f t="array" ref="CD363">IF(ISBLANK(Y363), INDEX(Use, $AH363, 4) - AN363*INDEX(Use, $AH363, 6) - (Q363-X363), Y363)</f>
        <v>7</v>
      </c>
      <c r="CE363" s="229">
        <f t="shared" si="474"/>
        <v>32</v>
      </c>
      <c r="CF363" s="230">
        <f t="shared" si="475"/>
        <v>0</v>
      </c>
      <c r="CG363" s="229">
        <v>35</v>
      </c>
      <c r="CH363" s="230">
        <f t="shared" si="476"/>
        <v>48</v>
      </c>
      <c r="CI363" s="235">
        <f t="shared" si="477"/>
        <v>3.0748170731707316</v>
      </c>
      <c r="CJ363" s="235" cm="1">
        <f t="array" ref="CJ363">$BI363 * SUMPRODUCT(INDEX($AR$77:$AT$82,,$AI363),INDEX($AU$77:$BA$82,,$AH363), N($AQ$77:$AQ$82&gt;$AO363)) / CI363 / 1000</f>
        <v>0</v>
      </c>
      <c r="CK363" s="232">
        <f t="shared" si="494"/>
        <v>30</v>
      </c>
      <c r="CL363" s="230">
        <f t="shared" si="478"/>
        <v>43</v>
      </c>
      <c r="CM363" s="235">
        <f t="shared" si="479"/>
        <v>3.5018750000000001</v>
      </c>
      <c r="CN363" s="235" cm="1">
        <f t="array" ref="CN363">$BI363 * IF($AH363&lt;=2,
SUMPRODUCT(INDEX($AR$72:$AT$76,,$AI363), INDEX($AU$72:$BA$76,,$AH363), 1 / ($BB$72:$BB$76*CM363 + (1-$BB$72:$BB$76)*CI363), N($AQ$72:$AQ$76&gt;$AO363)),
SUMPRODUCT(INDEX($AR$67:$AT$76,,$AI363), INDEX($AU$67:$BA$76,,$AH363), 1 / ($BC$67:$BC$76*CM363 + (1-$BC$67:$BC$76)*CI363), N($AQ$67:$AQ$76&gt;$AO363))
) / 1000</f>
        <v>0</v>
      </c>
      <c r="CO363" s="232">
        <f t="shared" si="495"/>
        <v>25</v>
      </c>
      <c r="CP363" s="230">
        <f t="shared" si="480"/>
        <v>38</v>
      </c>
      <c r="CQ363" s="235">
        <f t="shared" si="481"/>
        <v>4.0666935483870965</v>
      </c>
      <c r="CR363" s="235" cm="1">
        <f t="array" ref="CR363">$BI363 * IF($AH363&lt;=2,
SUMPRODUCT(INDEX($AR$67:$AT$71,,$AI363), INDEX($AU$67:$BA$71,,$AH363), 1 / ($BB$67:$BB$71*CQ363 + (1-$BB$67:$BB$71)*CM363), N($AQ$67:$AQ$71&gt;$AO363)),
SUMPRODUCT(INDEX($AR$57:$AT$66,,$AI363), INDEX($AU$57:$BA$66,,$AH363), 1 / ($BC$57:$BC$66*CQ363 + (1-$BC$57:$BC$66)*CM363), N($AQ$57:$AQ$66&gt;$AO363))
) / 1000</f>
        <v>0</v>
      </c>
      <c r="CS363" s="232">
        <f t="shared" si="496"/>
        <v>20</v>
      </c>
      <c r="CT363" s="230">
        <f t="shared" si="482"/>
        <v>33</v>
      </c>
      <c r="CU363" s="235">
        <f t="shared" si="483"/>
        <v>4.8487499999999999</v>
      </c>
      <c r="CV363" s="235" cm="1">
        <f t="array" ref="CV363">$BI363 * IF($AH363&lt;=2,
SUMPRODUCT(INDEX($AR$62:$AT$66,,$AI363), INDEX($AU$62:$BA$66,,$AH363), 1 / ($BB$62:$BB$66*CU363 + (1-$BB$62:$BB$66)*CQ363), N($AQ$62:$AQ$66&gt;$AO363)),
SUMPRODUCT(INDEX($AR$47:$AT$56,,$AI363), INDEX($AU$47:$BA$56,,$AH363), 1 / ($BC$47:$BC$56*CU363 + (1-$BC$47:$BC$56)*CQ363), N($AQ$47:$AQ$56&gt;$AO363))
) / 1000</f>
        <v>0</v>
      </c>
      <c r="CW363" s="235" cm="1">
        <f t="array" ref="CW363">$BI363 * IF($AH363&lt;=2,
SUMPRODUCT(INDEX($AR$23:$AT$61,,$AI363), INDEX($AU$23:$BA$61,,$AH363), 1 / ($BB$23:$BB$61*CU363), N($AQ$23:$AQ$61&gt;$AO363)),
SUMPRODUCT(INDEX($AR$23:$AT$46,,$AI363), INDEX($AU$23:$BA$46,,$AH363), 1 / ($BC$23:$BC$46*CU363), N($AQ$23:$AQ$46&gt;$AO363))
) / 1000</f>
        <v>0</v>
      </c>
      <c r="CX363" s="230">
        <f t="shared" si="484"/>
        <v>0</v>
      </c>
      <c r="CY363" s="238"/>
    </row>
    <row r="364" spans="1:103" s="76" customFormat="1" ht="14.25" customHeight="1" x14ac:dyDescent="0.2">
      <c r="A364" s="231" t="b">
        <f t="shared" si="488"/>
        <v>0</v>
      </c>
      <c r="B364" s="245">
        <v>342</v>
      </c>
      <c r="C364" s="258"/>
      <c r="D364" s="258"/>
      <c r="E364" s="246"/>
      <c r="F364" s="247" t="str">
        <f>IF(ISBLANK(E364), "", VLOOKUP(E364, Z!$A$2:$C$4127, 3, FALSE))</f>
        <v/>
      </c>
      <c r="G364" s="248"/>
      <c r="H364" s="248"/>
      <c r="I364" s="249"/>
      <c r="J364" s="250"/>
      <c r="K364" s="259"/>
      <c r="L364" s="260"/>
      <c r="M364" s="252" t="str" cm="1">
        <f t="array" ref="M364">INDEX(Trad, 53, $A$20)</f>
        <v>Verschmutzt</v>
      </c>
      <c r="N364" s="253"/>
      <c r="O364" s="253"/>
      <c r="P364" s="254"/>
      <c r="Q364" s="251"/>
      <c r="R364" s="251"/>
      <c r="S364" s="264">
        <f t="shared" si="459"/>
        <v>0</v>
      </c>
      <c r="T364" s="252" t="str" cm="1">
        <f t="array" ref="T364">INDEX(Trad, 52, $A$20)</f>
        <v>Sauber</v>
      </c>
      <c r="U364" s="253"/>
      <c r="V364" s="253"/>
      <c r="W364" s="254"/>
      <c r="X364" s="251"/>
      <c r="Y364" s="251"/>
      <c r="Z364" s="264">
        <f t="shared" si="460"/>
        <v>0</v>
      </c>
      <c r="AA364" s="261"/>
      <c r="AB364" s="258"/>
      <c r="AC364" s="246"/>
      <c r="AD364" s="247" t="str">
        <f>IF(ISBLANK(AC364), "", VLOOKUP(AC364, Z!$A$2:$C$4127, 3, FALSE))</f>
        <v/>
      </c>
      <c r="AE364" s="262"/>
      <c r="AF364" s="263">
        <f t="shared" si="461"/>
        <v>0</v>
      </c>
      <c r="AG364" s="238"/>
      <c r="AH364" s="229">
        <f t="shared" si="485"/>
        <v>1</v>
      </c>
      <c r="AI364" s="229">
        <f t="shared" si="486"/>
        <v>1</v>
      </c>
      <c r="AJ364" s="229">
        <f t="shared" si="487"/>
        <v>0</v>
      </c>
      <c r="AK364" s="229">
        <v>0</v>
      </c>
      <c r="AL364" s="229">
        <v>0</v>
      </c>
      <c r="AM364" s="229">
        <v>1</v>
      </c>
      <c r="AN364" s="229">
        <v>0</v>
      </c>
      <c r="AO364" s="229">
        <f t="shared" si="462"/>
        <v>-100</v>
      </c>
      <c r="AP364" s="238"/>
      <c r="AQ364" s="255"/>
      <c r="AR364" s="255"/>
      <c r="AS364" s="256"/>
      <c r="AT364" s="256"/>
      <c r="AU364" s="256"/>
      <c r="AV364" s="256"/>
      <c r="AW364" s="256"/>
      <c r="AX364" s="256"/>
      <c r="AY364" s="256"/>
      <c r="AZ364" s="256"/>
      <c r="BA364" s="256"/>
      <c r="BB364" s="256"/>
      <c r="BC364" s="256"/>
      <c r="BD364" s="238"/>
      <c r="BE364" s="229" cm="1">
        <f t="array" ref="BE364">IF(ISBLANK(R364), INDEX(Use, $AH364, 4) - AM364*INDEX(Use, $AH364, 6), R364)</f>
        <v>5</v>
      </c>
      <c r="BF364" s="229">
        <f t="shared" si="463"/>
        <v>30</v>
      </c>
      <c r="BG364" s="229">
        <f t="shared" si="489"/>
        <v>13</v>
      </c>
      <c r="BH364" s="229">
        <f t="shared" si="490"/>
        <v>0</v>
      </c>
      <c r="BI364" s="234" cm="1">
        <f t="array" ref="BI364">K364/IF($L364&gt;0, INDEX($AU$23:$BA$77, $L364+20, $AH364), 1)</f>
        <v>0</v>
      </c>
      <c r="BJ364" s="230">
        <f t="shared" si="464"/>
        <v>0</v>
      </c>
      <c r="BK364" s="229">
        <v>35</v>
      </c>
      <c r="BL364" s="230">
        <f t="shared" si="465"/>
        <v>48</v>
      </c>
      <c r="BM364" s="235">
        <f t="shared" si="466"/>
        <v>2.9108720930232557</v>
      </c>
      <c r="BN364" s="235" cm="1">
        <f t="array" ref="BN364">$BI364 * SUMPRODUCT(INDEX($AR$77:$AT$82,,$AI364),INDEX($AU$77:$BA$82,,$AH364), N($AQ$77:$AQ$82&gt;$AO364)) / BM364 / 1000</f>
        <v>0</v>
      </c>
      <c r="BO364" s="232">
        <f t="shared" si="491"/>
        <v>30</v>
      </c>
      <c r="BP364" s="230">
        <f t="shared" si="467"/>
        <v>43</v>
      </c>
      <c r="BQ364" s="235">
        <f t="shared" si="468"/>
        <v>3.2938815789473681</v>
      </c>
      <c r="BR364" s="235" cm="1">
        <f t="array" ref="BR364">$BI364 * IF($AH364&lt;=2,
SUMPRODUCT(INDEX($AR$72:$AT$76,,$AI364), INDEX($AU$72:$BA$76,,$AH364), 1 / ($BB$72:$BB$76*BQ364 + (1-$BB$72:$BB$76)*BM364), N($AQ$72:$AQ$76&gt;$AO364)),
SUMPRODUCT(INDEX($AR$67:$AT$76,,$AI364), INDEX($AU$67:$BA$76,,$AH364), 1 / ($BC$67:$BC$76*BQ364 + (1-$BC$67:$BC$76)*BM364), N($AQ$67:$AQ$76&gt;$AO364))
) / 1000</f>
        <v>0</v>
      </c>
      <c r="BS364" s="232">
        <f t="shared" si="492"/>
        <v>25</v>
      </c>
      <c r="BT364" s="230">
        <f t="shared" si="469"/>
        <v>38</v>
      </c>
      <c r="BU364" s="235">
        <f t="shared" si="470"/>
        <v>3.792954545454545</v>
      </c>
      <c r="BV364" s="235" cm="1">
        <f t="array" ref="BV364">$BI364 * IF($AH364&lt;=2,
SUMPRODUCT(INDEX($AR$67:$AT$71,,$AI364), INDEX($AU$67:$BA$71,,$AH364), 1 / ($BB$67:$BB$71*BU364 + (1-$BB$67:$BB$71)*BQ364), N($AQ$67:$AQ$71&gt;$AO364)),
SUMPRODUCT(INDEX($AR$57:$AT$66,,$AI364), INDEX($AU$57:$BA$66,,$AH364), 1 / ($BC$57:$BC$66*BU364 + (1-$BC$57:$BC$66)*BQ364), N($AQ$57:$AQ$66&gt;$AO364))
) / 1000</f>
        <v>0</v>
      </c>
      <c r="BW364" s="232">
        <f t="shared" si="493"/>
        <v>20</v>
      </c>
      <c r="BX364" s="230">
        <f t="shared" si="471"/>
        <v>33</v>
      </c>
      <c r="BY364" s="235">
        <f t="shared" si="472"/>
        <v>4.4702678571428569</v>
      </c>
      <c r="BZ364" s="235" cm="1">
        <f t="array" ref="BZ364">$BI364 * IF($AH364&lt;=2,
SUMPRODUCT(INDEX($AR$62:$AT$66,,$AI364), INDEX($AU$62:$BA$66,,$AH364), 1 / ($BB$62:$BB$66*BY364 + (1-$BB$62:$BB$66)*BU364), N($AQ$62:$AQ$66&gt;$AO364)),
SUMPRODUCT(INDEX($AR$47:$AT$56,,$AI364), INDEX($AU$47:$BA$56,,$AH364), 1 / ($BC$47:$BC$56*BY364 + (1-$BC$47:$BC$56)*BU364), N($AQ$47:$AQ$56&gt;$AO364))
) / 1000</f>
        <v>0</v>
      </c>
      <c r="CA364" s="235" cm="1">
        <f t="array" ref="CA364">$BI364 * IF($AH364&lt;=2,
SUMPRODUCT(INDEX($AR$23:$AT$61,,$AI364), INDEX($AU$23:$BA$61,,$AH364), 1 / ($BB$23:$BB$61*BY364), N($AQ$23:$AQ$61&gt;$AO364)),
SUMPRODUCT(INDEX($AR$23:$AT$46,,$AI364), INDEX($AU$23:$BA$46,,$AH364), 1 / ($BC$23:$BC$46*BY364), N($AQ$23:$AQ$46&gt;$AO364))
) / 1000</f>
        <v>0</v>
      </c>
      <c r="CB364" s="230">
        <f t="shared" si="473"/>
        <v>0</v>
      </c>
      <c r="CC364" s="238"/>
      <c r="CD364" s="229" cm="1">
        <f t="array" ref="CD364">IF(ISBLANK(Y364), INDEX(Use, $AH364, 4) - AN364*INDEX(Use, $AH364, 6) - (Q364-X364), Y364)</f>
        <v>7</v>
      </c>
      <c r="CE364" s="229">
        <f t="shared" si="474"/>
        <v>32</v>
      </c>
      <c r="CF364" s="230">
        <f t="shared" si="475"/>
        <v>0</v>
      </c>
      <c r="CG364" s="229">
        <v>35</v>
      </c>
      <c r="CH364" s="230">
        <f t="shared" si="476"/>
        <v>48</v>
      </c>
      <c r="CI364" s="235">
        <f t="shared" si="477"/>
        <v>3.0748170731707316</v>
      </c>
      <c r="CJ364" s="235" cm="1">
        <f t="array" ref="CJ364">$BI364 * SUMPRODUCT(INDEX($AR$77:$AT$82,,$AI364),INDEX($AU$77:$BA$82,,$AH364), N($AQ$77:$AQ$82&gt;$AO364)) / CI364 / 1000</f>
        <v>0</v>
      </c>
      <c r="CK364" s="232">
        <f t="shared" si="494"/>
        <v>30</v>
      </c>
      <c r="CL364" s="230">
        <f t="shared" si="478"/>
        <v>43</v>
      </c>
      <c r="CM364" s="235">
        <f t="shared" si="479"/>
        <v>3.5018750000000001</v>
      </c>
      <c r="CN364" s="235" cm="1">
        <f t="array" ref="CN364">$BI364 * IF($AH364&lt;=2,
SUMPRODUCT(INDEX($AR$72:$AT$76,,$AI364), INDEX($AU$72:$BA$76,,$AH364), 1 / ($BB$72:$BB$76*CM364 + (1-$BB$72:$BB$76)*CI364), N($AQ$72:$AQ$76&gt;$AO364)),
SUMPRODUCT(INDEX($AR$67:$AT$76,,$AI364), INDEX($AU$67:$BA$76,,$AH364), 1 / ($BC$67:$BC$76*CM364 + (1-$BC$67:$BC$76)*CI364), N($AQ$67:$AQ$76&gt;$AO364))
) / 1000</f>
        <v>0</v>
      </c>
      <c r="CO364" s="232">
        <f t="shared" si="495"/>
        <v>25</v>
      </c>
      <c r="CP364" s="230">
        <f t="shared" si="480"/>
        <v>38</v>
      </c>
      <c r="CQ364" s="235">
        <f t="shared" si="481"/>
        <v>4.0666935483870965</v>
      </c>
      <c r="CR364" s="235" cm="1">
        <f t="array" ref="CR364">$BI364 * IF($AH364&lt;=2,
SUMPRODUCT(INDEX($AR$67:$AT$71,,$AI364), INDEX($AU$67:$BA$71,,$AH364), 1 / ($BB$67:$BB$71*CQ364 + (1-$BB$67:$BB$71)*CM364), N($AQ$67:$AQ$71&gt;$AO364)),
SUMPRODUCT(INDEX($AR$57:$AT$66,,$AI364), INDEX($AU$57:$BA$66,,$AH364), 1 / ($BC$57:$BC$66*CQ364 + (1-$BC$57:$BC$66)*CM364), N($AQ$57:$AQ$66&gt;$AO364))
) / 1000</f>
        <v>0</v>
      </c>
      <c r="CS364" s="232">
        <f t="shared" si="496"/>
        <v>20</v>
      </c>
      <c r="CT364" s="230">
        <f t="shared" si="482"/>
        <v>33</v>
      </c>
      <c r="CU364" s="235">
        <f t="shared" si="483"/>
        <v>4.8487499999999999</v>
      </c>
      <c r="CV364" s="235" cm="1">
        <f t="array" ref="CV364">$BI364 * IF($AH364&lt;=2,
SUMPRODUCT(INDEX($AR$62:$AT$66,,$AI364), INDEX($AU$62:$BA$66,,$AH364), 1 / ($BB$62:$BB$66*CU364 + (1-$BB$62:$BB$66)*CQ364), N($AQ$62:$AQ$66&gt;$AO364)),
SUMPRODUCT(INDEX($AR$47:$AT$56,,$AI364), INDEX($AU$47:$BA$56,,$AH364), 1 / ($BC$47:$BC$56*CU364 + (1-$BC$47:$BC$56)*CQ364), N($AQ$47:$AQ$56&gt;$AO364))
) / 1000</f>
        <v>0</v>
      </c>
      <c r="CW364" s="235" cm="1">
        <f t="array" ref="CW364">$BI364 * IF($AH364&lt;=2,
SUMPRODUCT(INDEX($AR$23:$AT$61,,$AI364), INDEX($AU$23:$BA$61,,$AH364), 1 / ($BB$23:$BB$61*CU364), N($AQ$23:$AQ$61&gt;$AO364)),
SUMPRODUCT(INDEX($AR$23:$AT$46,,$AI364), INDEX($AU$23:$BA$46,,$AH364), 1 / ($BC$23:$BC$46*CU364), N($AQ$23:$AQ$46&gt;$AO364))
) / 1000</f>
        <v>0</v>
      </c>
      <c r="CX364" s="230">
        <f t="shared" si="484"/>
        <v>0</v>
      </c>
      <c r="CY364" s="238"/>
    </row>
    <row r="365" spans="1:103" s="76" customFormat="1" ht="14.25" customHeight="1" x14ac:dyDescent="0.2">
      <c r="A365" s="231" t="b">
        <f t="shared" si="488"/>
        <v>0</v>
      </c>
      <c r="B365" s="245">
        <v>343</v>
      </c>
      <c r="C365" s="258"/>
      <c r="D365" s="258"/>
      <c r="E365" s="246"/>
      <c r="F365" s="247" t="str">
        <f>IF(ISBLANK(E365), "", VLOOKUP(E365, Z!$A$2:$C$4127, 3, FALSE))</f>
        <v/>
      </c>
      <c r="G365" s="248"/>
      <c r="H365" s="248"/>
      <c r="I365" s="249"/>
      <c r="J365" s="250"/>
      <c r="K365" s="259"/>
      <c r="L365" s="260"/>
      <c r="M365" s="252" t="str" cm="1">
        <f t="array" ref="M365">INDEX(Trad, 53, $A$20)</f>
        <v>Verschmutzt</v>
      </c>
      <c r="N365" s="253"/>
      <c r="O365" s="253"/>
      <c r="P365" s="254"/>
      <c r="Q365" s="251"/>
      <c r="R365" s="251"/>
      <c r="S365" s="264">
        <f t="shared" si="459"/>
        <v>0</v>
      </c>
      <c r="T365" s="252" t="str" cm="1">
        <f t="array" ref="T365">INDEX(Trad, 52, $A$20)</f>
        <v>Sauber</v>
      </c>
      <c r="U365" s="253"/>
      <c r="V365" s="253"/>
      <c r="W365" s="254"/>
      <c r="X365" s="251"/>
      <c r="Y365" s="251"/>
      <c r="Z365" s="264">
        <f t="shared" si="460"/>
        <v>0</v>
      </c>
      <c r="AA365" s="261"/>
      <c r="AB365" s="258"/>
      <c r="AC365" s="246"/>
      <c r="AD365" s="247" t="str">
        <f>IF(ISBLANK(AC365), "", VLOOKUP(AC365, Z!$A$2:$C$4127, 3, FALSE))</f>
        <v/>
      </c>
      <c r="AE365" s="262"/>
      <c r="AF365" s="263">
        <f t="shared" si="461"/>
        <v>0</v>
      </c>
      <c r="AG365" s="238"/>
      <c r="AH365" s="229">
        <f t="shared" si="485"/>
        <v>1</v>
      </c>
      <c r="AI365" s="229">
        <f t="shared" si="486"/>
        <v>1</v>
      </c>
      <c r="AJ365" s="229">
        <f t="shared" si="487"/>
        <v>0</v>
      </c>
      <c r="AK365" s="229">
        <v>0</v>
      </c>
      <c r="AL365" s="229">
        <v>0</v>
      </c>
      <c r="AM365" s="229">
        <v>1</v>
      </c>
      <c r="AN365" s="229">
        <v>0</v>
      </c>
      <c r="AO365" s="229">
        <f t="shared" si="462"/>
        <v>-100</v>
      </c>
      <c r="AP365" s="238"/>
      <c r="AQ365" s="255"/>
      <c r="AR365" s="255"/>
      <c r="AS365" s="256"/>
      <c r="AT365" s="256"/>
      <c r="AU365" s="256"/>
      <c r="AV365" s="256"/>
      <c r="AW365" s="256"/>
      <c r="AX365" s="256"/>
      <c r="AY365" s="256"/>
      <c r="AZ365" s="256"/>
      <c r="BA365" s="256"/>
      <c r="BB365" s="256"/>
      <c r="BC365" s="256"/>
      <c r="BD365" s="238"/>
      <c r="BE365" s="229" cm="1">
        <f t="array" ref="BE365">IF(ISBLANK(R365), INDEX(Use, $AH365, 4) - AM365*INDEX(Use, $AH365, 6), R365)</f>
        <v>5</v>
      </c>
      <c r="BF365" s="229">
        <f t="shared" si="463"/>
        <v>30</v>
      </c>
      <c r="BG365" s="229">
        <f t="shared" si="489"/>
        <v>13</v>
      </c>
      <c r="BH365" s="229">
        <f t="shared" si="490"/>
        <v>0</v>
      </c>
      <c r="BI365" s="234" cm="1">
        <f t="array" ref="BI365">K365/IF($L365&gt;0, INDEX($AU$23:$BA$77, $L365+20, $AH365), 1)</f>
        <v>0</v>
      </c>
      <c r="BJ365" s="230">
        <f t="shared" si="464"/>
        <v>0</v>
      </c>
      <c r="BK365" s="229">
        <v>35</v>
      </c>
      <c r="BL365" s="230">
        <f t="shared" si="465"/>
        <v>48</v>
      </c>
      <c r="BM365" s="235">
        <f t="shared" si="466"/>
        <v>2.9108720930232557</v>
      </c>
      <c r="BN365" s="235" cm="1">
        <f t="array" ref="BN365">$BI365 * SUMPRODUCT(INDEX($AR$77:$AT$82,,$AI365),INDEX($AU$77:$BA$82,,$AH365), N($AQ$77:$AQ$82&gt;$AO365)) / BM365 / 1000</f>
        <v>0</v>
      </c>
      <c r="BO365" s="232">
        <f t="shared" si="491"/>
        <v>30</v>
      </c>
      <c r="BP365" s="230">
        <f t="shared" si="467"/>
        <v>43</v>
      </c>
      <c r="BQ365" s="235">
        <f t="shared" si="468"/>
        <v>3.2938815789473681</v>
      </c>
      <c r="BR365" s="235" cm="1">
        <f t="array" ref="BR365">$BI365 * IF($AH365&lt;=2,
SUMPRODUCT(INDEX($AR$72:$AT$76,,$AI365), INDEX($AU$72:$BA$76,,$AH365), 1 / ($BB$72:$BB$76*BQ365 + (1-$BB$72:$BB$76)*BM365), N($AQ$72:$AQ$76&gt;$AO365)),
SUMPRODUCT(INDEX($AR$67:$AT$76,,$AI365), INDEX($AU$67:$BA$76,,$AH365), 1 / ($BC$67:$BC$76*BQ365 + (1-$BC$67:$BC$76)*BM365), N($AQ$67:$AQ$76&gt;$AO365))
) / 1000</f>
        <v>0</v>
      </c>
      <c r="BS365" s="232">
        <f t="shared" si="492"/>
        <v>25</v>
      </c>
      <c r="BT365" s="230">
        <f t="shared" si="469"/>
        <v>38</v>
      </c>
      <c r="BU365" s="235">
        <f t="shared" si="470"/>
        <v>3.792954545454545</v>
      </c>
      <c r="BV365" s="235" cm="1">
        <f t="array" ref="BV365">$BI365 * IF($AH365&lt;=2,
SUMPRODUCT(INDEX($AR$67:$AT$71,,$AI365), INDEX($AU$67:$BA$71,,$AH365), 1 / ($BB$67:$BB$71*BU365 + (1-$BB$67:$BB$71)*BQ365), N($AQ$67:$AQ$71&gt;$AO365)),
SUMPRODUCT(INDEX($AR$57:$AT$66,,$AI365), INDEX($AU$57:$BA$66,,$AH365), 1 / ($BC$57:$BC$66*BU365 + (1-$BC$57:$BC$66)*BQ365), N($AQ$57:$AQ$66&gt;$AO365))
) / 1000</f>
        <v>0</v>
      </c>
      <c r="BW365" s="232">
        <f t="shared" si="493"/>
        <v>20</v>
      </c>
      <c r="BX365" s="230">
        <f t="shared" si="471"/>
        <v>33</v>
      </c>
      <c r="BY365" s="235">
        <f t="shared" si="472"/>
        <v>4.4702678571428569</v>
      </c>
      <c r="BZ365" s="235" cm="1">
        <f t="array" ref="BZ365">$BI365 * IF($AH365&lt;=2,
SUMPRODUCT(INDEX($AR$62:$AT$66,,$AI365), INDEX($AU$62:$BA$66,,$AH365), 1 / ($BB$62:$BB$66*BY365 + (1-$BB$62:$BB$66)*BU365), N($AQ$62:$AQ$66&gt;$AO365)),
SUMPRODUCT(INDEX($AR$47:$AT$56,,$AI365), INDEX($AU$47:$BA$56,,$AH365), 1 / ($BC$47:$BC$56*BY365 + (1-$BC$47:$BC$56)*BU365), N($AQ$47:$AQ$56&gt;$AO365))
) / 1000</f>
        <v>0</v>
      </c>
      <c r="CA365" s="235" cm="1">
        <f t="array" ref="CA365">$BI365 * IF($AH365&lt;=2,
SUMPRODUCT(INDEX($AR$23:$AT$61,,$AI365), INDEX($AU$23:$BA$61,,$AH365), 1 / ($BB$23:$BB$61*BY365), N($AQ$23:$AQ$61&gt;$AO365)),
SUMPRODUCT(INDEX($AR$23:$AT$46,,$AI365), INDEX($AU$23:$BA$46,,$AH365), 1 / ($BC$23:$BC$46*BY365), N($AQ$23:$AQ$46&gt;$AO365))
) / 1000</f>
        <v>0</v>
      </c>
      <c r="CB365" s="230">
        <f t="shared" si="473"/>
        <v>0</v>
      </c>
      <c r="CC365" s="238"/>
      <c r="CD365" s="229" cm="1">
        <f t="array" ref="CD365">IF(ISBLANK(Y365), INDEX(Use, $AH365, 4) - AN365*INDEX(Use, $AH365, 6) - (Q365-X365), Y365)</f>
        <v>7</v>
      </c>
      <c r="CE365" s="229">
        <f t="shared" si="474"/>
        <v>32</v>
      </c>
      <c r="CF365" s="230">
        <f t="shared" si="475"/>
        <v>0</v>
      </c>
      <c r="CG365" s="229">
        <v>35</v>
      </c>
      <c r="CH365" s="230">
        <f t="shared" si="476"/>
        <v>48</v>
      </c>
      <c r="CI365" s="235">
        <f t="shared" si="477"/>
        <v>3.0748170731707316</v>
      </c>
      <c r="CJ365" s="235" cm="1">
        <f t="array" ref="CJ365">$BI365 * SUMPRODUCT(INDEX($AR$77:$AT$82,,$AI365),INDEX($AU$77:$BA$82,,$AH365), N($AQ$77:$AQ$82&gt;$AO365)) / CI365 / 1000</f>
        <v>0</v>
      </c>
      <c r="CK365" s="232">
        <f t="shared" si="494"/>
        <v>30</v>
      </c>
      <c r="CL365" s="230">
        <f t="shared" si="478"/>
        <v>43</v>
      </c>
      <c r="CM365" s="235">
        <f t="shared" si="479"/>
        <v>3.5018750000000001</v>
      </c>
      <c r="CN365" s="235" cm="1">
        <f t="array" ref="CN365">$BI365 * IF($AH365&lt;=2,
SUMPRODUCT(INDEX($AR$72:$AT$76,,$AI365), INDEX($AU$72:$BA$76,,$AH365), 1 / ($BB$72:$BB$76*CM365 + (1-$BB$72:$BB$76)*CI365), N($AQ$72:$AQ$76&gt;$AO365)),
SUMPRODUCT(INDEX($AR$67:$AT$76,,$AI365), INDEX($AU$67:$BA$76,,$AH365), 1 / ($BC$67:$BC$76*CM365 + (1-$BC$67:$BC$76)*CI365), N($AQ$67:$AQ$76&gt;$AO365))
) / 1000</f>
        <v>0</v>
      </c>
      <c r="CO365" s="232">
        <f t="shared" si="495"/>
        <v>25</v>
      </c>
      <c r="CP365" s="230">
        <f t="shared" si="480"/>
        <v>38</v>
      </c>
      <c r="CQ365" s="235">
        <f t="shared" si="481"/>
        <v>4.0666935483870965</v>
      </c>
      <c r="CR365" s="235" cm="1">
        <f t="array" ref="CR365">$BI365 * IF($AH365&lt;=2,
SUMPRODUCT(INDEX($AR$67:$AT$71,,$AI365), INDEX($AU$67:$BA$71,,$AH365), 1 / ($BB$67:$BB$71*CQ365 + (1-$BB$67:$BB$71)*CM365), N($AQ$67:$AQ$71&gt;$AO365)),
SUMPRODUCT(INDEX($AR$57:$AT$66,,$AI365), INDEX($AU$57:$BA$66,,$AH365), 1 / ($BC$57:$BC$66*CQ365 + (1-$BC$57:$BC$66)*CM365), N($AQ$57:$AQ$66&gt;$AO365))
) / 1000</f>
        <v>0</v>
      </c>
      <c r="CS365" s="232">
        <f t="shared" si="496"/>
        <v>20</v>
      </c>
      <c r="CT365" s="230">
        <f t="shared" si="482"/>
        <v>33</v>
      </c>
      <c r="CU365" s="235">
        <f t="shared" si="483"/>
        <v>4.8487499999999999</v>
      </c>
      <c r="CV365" s="235" cm="1">
        <f t="array" ref="CV365">$BI365 * IF($AH365&lt;=2,
SUMPRODUCT(INDEX($AR$62:$AT$66,,$AI365), INDEX($AU$62:$BA$66,,$AH365), 1 / ($BB$62:$BB$66*CU365 + (1-$BB$62:$BB$66)*CQ365), N($AQ$62:$AQ$66&gt;$AO365)),
SUMPRODUCT(INDEX($AR$47:$AT$56,,$AI365), INDEX($AU$47:$BA$56,,$AH365), 1 / ($BC$47:$BC$56*CU365 + (1-$BC$47:$BC$56)*CQ365), N($AQ$47:$AQ$56&gt;$AO365))
) / 1000</f>
        <v>0</v>
      </c>
      <c r="CW365" s="235" cm="1">
        <f t="array" ref="CW365">$BI365 * IF($AH365&lt;=2,
SUMPRODUCT(INDEX($AR$23:$AT$61,,$AI365), INDEX($AU$23:$BA$61,,$AH365), 1 / ($BB$23:$BB$61*CU365), N($AQ$23:$AQ$61&gt;$AO365)),
SUMPRODUCT(INDEX($AR$23:$AT$46,,$AI365), INDEX($AU$23:$BA$46,,$AH365), 1 / ($BC$23:$BC$46*CU365), N($AQ$23:$AQ$46&gt;$AO365))
) / 1000</f>
        <v>0</v>
      </c>
      <c r="CX365" s="230">
        <f t="shared" si="484"/>
        <v>0</v>
      </c>
      <c r="CY365" s="238"/>
    </row>
    <row r="366" spans="1:103" s="76" customFormat="1" ht="14.25" customHeight="1" x14ac:dyDescent="0.2">
      <c r="A366" s="231" t="b">
        <f t="shared" si="488"/>
        <v>0</v>
      </c>
      <c r="B366" s="245">
        <v>344</v>
      </c>
      <c r="C366" s="258"/>
      <c r="D366" s="258"/>
      <c r="E366" s="246"/>
      <c r="F366" s="247" t="str">
        <f>IF(ISBLANK(E366), "", VLOOKUP(E366, Z!$A$2:$C$4127, 3, FALSE))</f>
        <v/>
      </c>
      <c r="G366" s="248"/>
      <c r="H366" s="248"/>
      <c r="I366" s="249"/>
      <c r="J366" s="250"/>
      <c r="K366" s="259"/>
      <c r="L366" s="260"/>
      <c r="M366" s="252" t="str" cm="1">
        <f t="array" ref="M366">INDEX(Trad, 53, $A$20)</f>
        <v>Verschmutzt</v>
      </c>
      <c r="N366" s="253"/>
      <c r="O366" s="253"/>
      <c r="P366" s="254"/>
      <c r="Q366" s="251"/>
      <c r="R366" s="251"/>
      <c r="S366" s="264">
        <f t="shared" si="459"/>
        <v>0</v>
      </c>
      <c r="T366" s="252" t="str" cm="1">
        <f t="array" ref="T366">INDEX(Trad, 52, $A$20)</f>
        <v>Sauber</v>
      </c>
      <c r="U366" s="253"/>
      <c r="V366" s="253"/>
      <c r="W366" s="254"/>
      <c r="X366" s="251"/>
      <c r="Y366" s="251"/>
      <c r="Z366" s="264">
        <f t="shared" si="460"/>
        <v>0</v>
      </c>
      <c r="AA366" s="261"/>
      <c r="AB366" s="258"/>
      <c r="AC366" s="246"/>
      <c r="AD366" s="247" t="str">
        <f>IF(ISBLANK(AC366), "", VLOOKUP(AC366, Z!$A$2:$C$4127, 3, FALSE))</f>
        <v/>
      </c>
      <c r="AE366" s="262"/>
      <c r="AF366" s="263">
        <f t="shared" si="461"/>
        <v>0</v>
      </c>
      <c r="AG366" s="238"/>
      <c r="AH366" s="229">
        <f t="shared" si="485"/>
        <v>1</v>
      </c>
      <c r="AI366" s="229">
        <f t="shared" si="486"/>
        <v>1</v>
      </c>
      <c r="AJ366" s="229">
        <f t="shared" si="487"/>
        <v>0</v>
      </c>
      <c r="AK366" s="229">
        <v>0</v>
      </c>
      <c r="AL366" s="229">
        <v>0</v>
      </c>
      <c r="AM366" s="229">
        <v>1</v>
      </c>
      <c r="AN366" s="229">
        <v>0</v>
      </c>
      <c r="AO366" s="229">
        <f t="shared" si="462"/>
        <v>-100</v>
      </c>
      <c r="AP366" s="238"/>
      <c r="AQ366" s="255"/>
      <c r="AR366" s="255"/>
      <c r="AS366" s="256"/>
      <c r="AT366" s="256"/>
      <c r="AU366" s="256"/>
      <c r="AV366" s="256"/>
      <c r="AW366" s="256"/>
      <c r="AX366" s="256"/>
      <c r="AY366" s="256"/>
      <c r="AZ366" s="256"/>
      <c r="BA366" s="256"/>
      <c r="BB366" s="256"/>
      <c r="BC366" s="256"/>
      <c r="BD366" s="238"/>
      <c r="BE366" s="229" cm="1">
        <f t="array" ref="BE366">IF(ISBLANK(R366), INDEX(Use, $AH366, 4) - AM366*INDEX(Use, $AH366, 6), R366)</f>
        <v>5</v>
      </c>
      <c r="BF366" s="229">
        <f t="shared" si="463"/>
        <v>30</v>
      </c>
      <c r="BG366" s="229">
        <f t="shared" si="489"/>
        <v>13</v>
      </c>
      <c r="BH366" s="229">
        <f t="shared" si="490"/>
        <v>0</v>
      </c>
      <c r="BI366" s="234" cm="1">
        <f t="array" ref="BI366">K366/IF($L366&gt;0, INDEX($AU$23:$BA$77, $L366+20, $AH366), 1)</f>
        <v>0</v>
      </c>
      <c r="BJ366" s="230">
        <f t="shared" si="464"/>
        <v>0</v>
      </c>
      <c r="BK366" s="229">
        <v>35</v>
      </c>
      <c r="BL366" s="230">
        <f t="shared" si="465"/>
        <v>48</v>
      </c>
      <c r="BM366" s="235">
        <f t="shared" si="466"/>
        <v>2.9108720930232557</v>
      </c>
      <c r="BN366" s="235" cm="1">
        <f t="array" ref="BN366">$BI366 * SUMPRODUCT(INDEX($AR$77:$AT$82,,$AI366),INDEX($AU$77:$BA$82,,$AH366), N($AQ$77:$AQ$82&gt;$AO366)) / BM366 / 1000</f>
        <v>0</v>
      </c>
      <c r="BO366" s="232">
        <f t="shared" si="491"/>
        <v>30</v>
      </c>
      <c r="BP366" s="230">
        <f t="shared" si="467"/>
        <v>43</v>
      </c>
      <c r="BQ366" s="235">
        <f t="shared" si="468"/>
        <v>3.2938815789473681</v>
      </c>
      <c r="BR366" s="235" cm="1">
        <f t="array" ref="BR366">$BI366 * IF($AH366&lt;=2,
SUMPRODUCT(INDEX($AR$72:$AT$76,,$AI366), INDEX($AU$72:$BA$76,,$AH366), 1 / ($BB$72:$BB$76*BQ366 + (1-$BB$72:$BB$76)*BM366), N($AQ$72:$AQ$76&gt;$AO366)),
SUMPRODUCT(INDEX($AR$67:$AT$76,,$AI366), INDEX($AU$67:$BA$76,,$AH366), 1 / ($BC$67:$BC$76*BQ366 + (1-$BC$67:$BC$76)*BM366), N($AQ$67:$AQ$76&gt;$AO366))
) / 1000</f>
        <v>0</v>
      </c>
      <c r="BS366" s="232">
        <f t="shared" si="492"/>
        <v>25</v>
      </c>
      <c r="BT366" s="230">
        <f t="shared" si="469"/>
        <v>38</v>
      </c>
      <c r="BU366" s="235">
        <f t="shared" si="470"/>
        <v>3.792954545454545</v>
      </c>
      <c r="BV366" s="235" cm="1">
        <f t="array" ref="BV366">$BI366 * IF($AH366&lt;=2,
SUMPRODUCT(INDEX($AR$67:$AT$71,,$AI366), INDEX($AU$67:$BA$71,,$AH366), 1 / ($BB$67:$BB$71*BU366 + (1-$BB$67:$BB$71)*BQ366), N($AQ$67:$AQ$71&gt;$AO366)),
SUMPRODUCT(INDEX($AR$57:$AT$66,,$AI366), INDEX($AU$57:$BA$66,,$AH366), 1 / ($BC$57:$BC$66*BU366 + (1-$BC$57:$BC$66)*BQ366), N($AQ$57:$AQ$66&gt;$AO366))
) / 1000</f>
        <v>0</v>
      </c>
      <c r="BW366" s="232">
        <f t="shared" si="493"/>
        <v>20</v>
      </c>
      <c r="BX366" s="230">
        <f t="shared" si="471"/>
        <v>33</v>
      </c>
      <c r="BY366" s="235">
        <f t="shared" si="472"/>
        <v>4.4702678571428569</v>
      </c>
      <c r="BZ366" s="235" cm="1">
        <f t="array" ref="BZ366">$BI366 * IF($AH366&lt;=2,
SUMPRODUCT(INDEX($AR$62:$AT$66,,$AI366), INDEX($AU$62:$BA$66,,$AH366), 1 / ($BB$62:$BB$66*BY366 + (1-$BB$62:$BB$66)*BU366), N($AQ$62:$AQ$66&gt;$AO366)),
SUMPRODUCT(INDEX($AR$47:$AT$56,,$AI366), INDEX($AU$47:$BA$56,,$AH366), 1 / ($BC$47:$BC$56*BY366 + (1-$BC$47:$BC$56)*BU366), N($AQ$47:$AQ$56&gt;$AO366))
) / 1000</f>
        <v>0</v>
      </c>
      <c r="CA366" s="235" cm="1">
        <f t="array" ref="CA366">$BI366 * IF($AH366&lt;=2,
SUMPRODUCT(INDEX($AR$23:$AT$61,,$AI366), INDEX($AU$23:$BA$61,,$AH366), 1 / ($BB$23:$BB$61*BY366), N($AQ$23:$AQ$61&gt;$AO366)),
SUMPRODUCT(INDEX($AR$23:$AT$46,,$AI366), INDEX($AU$23:$BA$46,,$AH366), 1 / ($BC$23:$BC$46*BY366), N($AQ$23:$AQ$46&gt;$AO366))
) / 1000</f>
        <v>0</v>
      </c>
      <c r="CB366" s="230">
        <f t="shared" si="473"/>
        <v>0</v>
      </c>
      <c r="CC366" s="238"/>
      <c r="CD366" s="229" cm="1">
        <f t="array" ref="CD366">IF(ISBLANK(Y366), INDEX(Use, $AH366, 4) - AN366*INDEX(Use, $AH366, 6) - (Q366-X366), Y366)</f>
        <v>7</v>
      </c>
      <c r="CE366" s="229">
        <f t="shared" si="474"/>
        <v>32</v>
      </c>
      <c r="CF366" s="230">
        <f t="shared" si="475"/>
        <v>0</v>
      </c>
      <c r="CG366" s="229">
        <v>35</v>
      </c>
      <c r="CH366" s="230">
        <f t="shared" si="476"/>
        <v>48</v>
      </c>
      <c r="CI366" s="235">
        <f t="shared" si="477"/>
        <v>3.0748170731707316</v>
      </c>
      <c r="CJ366" s="235" cm="1">
        <f t="array" ref="CJ366">$BI366 * SUMPRODUCT(INDEX($AR$77:$AT$82,,$AI366),INDEX($AU$77:$BA$82,,$AH366), N($AQ$77:$AQ$82&gt;$AO366)) / CI366 / 1000</f>
        <v>0</v>
      </c>
      <c r="CK366" s="232">
        <f t="shared" si="494"/>
        <v>30</v>
      </c>
      <c r="CL366" s="230">
        <f t="shared" si="478"/>
        <v>43</v>
      </c>
      <c r="CM366" s="235">
        <f t="shared" si="479"/>
        <v>3.5018750000000001</v>
      </c>
      <c r="CN366" s="235" cm="1">
        <f t="array" ref="CN366">$BI366 * IF($AH366&lt;=2,
SUMPRODUCT(INDEX($AR$72:$AT$76,,$AI366), INDEX($AU$72:$BA$76,,$AH366), 1 / ($BB$72:$BB$76*CM366 + (1-$BB$72:$BB$76)*CI366), N($AQ$72:$AQ$76&gt;$AO366)),
SUMPRODUCT(INDEX($AR$67:$AT$76,,$AI366), INDEX($AU$67:$BA$76,,$AH366), 1 / ($BC$67:$BC$76*CM366 + (1-$BC$67:$BC$76)*CI366), N($AQ$67:$AQ$76&gt;$AO366))
) / 1000</f>
        <v>0</v>
      </c>
      <c r="CO366" s="232">
        <f t="shared" si="495"/>
        <v>25</v>
      </c>
      <c r="CP366" s="230">
        <f t="shared" si="480"/>
        <v>38</v>
      </c>
      <c r="CQ366" s="235">
        <f t="shared" si="481"/>
        <v>4.0666935483870965</v>
      </c>
      <c r="CR366" s="235" cm="1">
        <f t="array" ref="CR366">$BI366 * IF($AH366&lt;=2,
SUMPRODUCT(INDEX($AR$67:$AT$71,,$AI366), INDEX($AU$67:$BA$71,,$AH366), 1 / ($BB$67:$BB$71*CQ366 + (1-$BB$67:$BB$71)*CM366), N($AQ$67:$AQ$71&gt;$AO366)),
SUMPRODUCT(INDEX($AR$57:$AT$66,,$AI366), INDEX($AU$57:$BA$66,,$AH366), 1 / ($BC$57:$BC$66*CQ366 + (1-$BC$57:$BC$66)*CM366), N($AQ$57:$AQ$66&gt;$AO366))
) / 1000</f>
        <v>0</v>
      </c>
      <c r="CS366" s="232">
        <f t="shared" si="496"/>
        <v>20</v>
      </c>
      <c r="CT366" s="230">
        <f t="shared" si="482"/>
        <v>33</v>
      </c>
      <c r="CU366" s="235">
        <f t="shared" si="483"/>
        <v>4.8487499999999999</v>
      </c>
      <c r="CV366" s="235" cm="1">
        <f t="array" ref="CV366">$BI366 * IF($AH366&lt;=2,
SUMPRODUCT(INDEX($AR$62:$AT$66,,$AI366), INDEX($AU$62:$BA$66,,$AH366), 1 / ($BB$62:$BB$66*CU366 + (1-$BB$62:$BB$66)*CQ366), N($AQ$62:$AQ$66&gt;$AO366)),
SUMPRODUCT(INDEX($AR$47:$AT$56,,$AI366), INDEX($AU$47:$BA$56,,$AH366), 1 / ($BC$47:$BC$56*CU366 + (1-$BC$47:$BC$56)*CQ366), N($AQ$47:$AQ$56&gt;$AO366))
) / 1000</f>
        <v>0</v>
      </c>
      <c r="CW366" s="235" cm="1">
        <f t="array" ref="CW366">$BI366 * IF($AH366&lt;=2,
SUMPRODUCT(INDEX($AR$23:$AT$61,,$AI366), INDEX($AU$23:$BA$61,,$AH366), 1 / ($BB$23:$BB$61*CU366), N($AQ$23:$AQ$61&gt;$AO366)),
SUMPRODUCT(INDEX($AR$23:$AT$46,,$AI366), INDEX($AU$23:$BA$46,,$AH366), 1 / ($BC$23:$BC$46*CU366), N($AQ$23:$AQ$46&gt;$AO366))
) / 1000</f>
        <v>0</v>
      </c>
      <c r="CX366" s="230">
        <f t="shared" si="484"/>
        <v>0</v>
      </c>
      <c r="CY366" s="238"/>
    </row>
    <row r="367" spans="1:103" s="76" customFormat="1" ht="14.25" customHeight="1" x14ac:dyDescent="0.2">
      <c r="A367" s="231" t="b">
        <f t="shared" si="488"/>
        <v>0</v>
      </c>
      <c r="B367" s="245">
        <v>345</v>
      </c>
      <c r="C367" s="258"/>
      <c r="D367" s="258"/>
      <c r="E367" s="246"/>
      <c r="F367" s="247" t="str">
        <f>IF(ISBLANK(E367), "", VLOOKUP(E367, Z!$A$2:$C$4127, 3, FALSE))</f>
        <v/>
      </c>
      <c r="G367" s="248"/>
      <c r="H367" s="248"/>
      <c r="I367" s="249"/>
      <c r="J367" s="250"/>
      <c r="K367" s="259"/>
      <c r="L367" s="260"/>
      <c r="M367" s="252" t="str" cm="1">
        <f t="array" ref="M367">INDEX(Trad, 53, $A$20)</f>
        <v>Verschmutzt</v>
      </c>
      <c r="N367" s="253"/>
      <c r="O367" s="253"/>
      <c r="P367" s="254"/>
      <c r="Q367" s="251"/>
      <c r="R367" s="251"/>
      <c r="S367" s="264">
        <f t="shared" si="459"/>
        <v>0</v>
      </c>
      <c r="T367" s="252" t="str" cm="1">
        <f t="array" ref="T367">INDEX(Trad, 52, $A$20)</f>
        <v>Sauber</v>
      </c>
      <c r="U367" s="253"/>
      <c r="V367" s="253"/>
      <c r="W367" s="254"/>
      <c r="X367" s="251"/>
      <c r="Y367" s="251"/>
      <c r="Z367" s="264">
        <f t="shared" si="460"/>
        <v>0</v>
      </c>
      <c r="AA367" s="261"/>
      <c r="AB367" s="258"/>
      <c r="AC367" s="246"/>
      <c r="AD367" s="247" t="str">
        <f>IF(ISBLANK(AC367), "", VLOOKUP(AC367, Z!$A$2:$C$4127, 3, FALSE))</f>
        <v/>
      </c>
      <c r="AE367" s="262"/>
      <c r="AF367" s="263">
        <f t="shared" si="461"/>
        <v>0</v>
      </c>
      <c r="AG367" s="238"/>
      <c r="AH367" s="229">
        <f t="shared" si="485"/>
        <v>1</v>
      </c>
      <c r="AI367" s="229">
        <f t="shared" si="486"/>
        <v>1</v>
      </c>
      <c r="AJ367" s="229">
        <f t="shared" si="487"/>
        <v>0</v>
      </c>
      <c r="AK367" s="229">
        <v>0</v>
      </c>
      <c r="AL367" s="229">
        <v>0</v>
      </c>
      <c r="AM367" s="229">
        <v>1</v>
      </c>
      <c r="AN367" s="229">
        <v>0</v>
      </c>
      <c r="AO367" s="229">
        <f t="shared" si="462"/>
        <v>-100</v>
      </c>
      <c r="AP367" s="238"/>
      <c r="AQ367" s="255"/>
      <c r="AR367" s="255"/>
      <c r="AS367" s="256"/>
      <c r="AT367" s="256"/>
      <c r="AU367" s="256"/>
      <c r="AV367" s="256"/>
      <c r="AW367" s="256"/>
      <c r="AX367" s="256"/>
      <c r="AY367" s="256"/>
      <c r="AZ367" s="256"/>
      <c r="BA367" s="256"/>
      <c r="BB367" s="256"/>
      <c r="BC367" s="256"/>
      <c r="BD367" s="238"/>
      <c r="BE367" s="229" cm="1">
        <f t="array" ref="BE367">IF(ISBLANK(R367), INDEX(Use, $AH367, 4) - AM367*INDEX(Use, $AH367, 6), R367)</f>
        <v>5</v>
      </c>
      <c r="BF367" s="229">
        <f t="shared" si="463"/>
        <v>30</v>
      </c>
      <c r="BG367" s="229">
        <f t="shared" si="489"/>
        <v>13</v>
      </c>
      <c r="BH367" s="229">
        <f t="shared" si="490"/>
        <v>0</v>
      </c>
      <c r="BI367" s="234" cm="1">
        <f t="array" ref="BI367">K367/IF($L367&gt;0, INDEX($AU$23:$BA$77, $L367+20, $AH367), 1)</f>
        <v>0</v>
      </c>
      <c r="BJ367" s="230">
        <f t="shared" si="464"/>
        <v>0</v>
      </c>
      <c r="BK367" s="229">
        <v>35</v>
      </c>
      <c r="BL367" s="230">
        <f t="shared" si="465"/>
        <v>48</v>
      </c>
      <c r="BM367" s="235">
        <f t="shared" si="466"/>
        <v>2.9108720930232557</v>
      </c>
      <c r="BN367" s="235" cm="1">
        <f t="array" ref="BN367">$BI367 * SUMPRODUCT(INDEX($AR$77:$AT$82,,$AI367),INDEX($AU$77:$BA$82,,$AH367), N($AQ$77:$AQ$82&gt;$AO367)) / BM367 / 1000</f>
        <v>0</v>
      </c>
      <c r="BO367" s="232">
        <f t="shared" si="491"/>
        <v>30</v>
      </c>
      <c r="BP367" s="230">
        <f t="shared" si="467"/>
        <v>43</v>
      </c>
      <c r="BQ367" s="235">
        <f t="shared" si="468"/>
        <v>3.2938815789473681</v>
      </c>
      <c r="BR367" s="235" cm="1">
        <f t="array" ref="BR367">$BI367 * IF($AH367&lt;=2,
SUMPRODUCT(INDEX($AR$72:$AT$76,,$AI367), INDEX($AU$72:$BA$76,,$AH367), 1 / ($BB$72:$BB$76*BQ367 + (1-$BB$72:$BB$76)*BM367), N($AQ$72:$AQ$76&gt;$AO367)),
SUMPRODUCT(INDEX($AR$67:$AT$76,,$AI367), INDEX($AU$67:$BA$76,,$AH367), 1 / ($BC$67:$BC$76*BQ367 + (1-$BC$67:$BC$76)*BM367), N($AQ$67:$AQ$76&gt;$AO367))
) / 1000</f>
        <v>0</v>
      </c>
      <c r="BS367" s="232">
        <f t="shared" si="492"/>
        <v>25</v>
      </c>
      <c r="BT367" s="230">
        <f t="shared" si="469"/>
        <v>38</v>
      </c>
      <c r="BU367" s="235">
        <f t="shared" si="470"/>
        <v>3.792954545454545</v>
      </c>
      <c r="BV367" s="235" cm="1">
        <f t="array" ref="BV367">$BI367 * IF($AH367&lt;=2,
SUMPRODUCT(INDEX($AR$67:$AT$71,,$AI367), INDEX($AU$67:$BA$71,,$AH367), 1 / ($BB$67:$BB$71*BU367 + (1-$BB$67:$BB$71)*BQ367), N($AQ$67:$AQ$71&gt;$AO367)),
SUMPRODUCT(INDEX($AR$57:$AT$66,,$AI367), INDEX($AU$57:$BA$66,,$AH367), 1 / ($BC$57:$BC$66*BU367 + (1-$BC$57:$BC$66)*BQ367), N($AQ$57:$AQ$66&gt;$AO367))
) / 1000</f>
        <v>0</v>
      </c>
      <c r="BW367" s="232">
        <f t="shared" si="493"/>
        <v>20</v>
      </c>
      <c r="BX367" s="230">
        <f t="shared" si="471"/>
        <v>33</v>
      </c>
      <c r="BY367" s="235">
        <f t="shared" si="472"/>
        <v>4.4702678571428569</v>
      </c>
      <c r="BZ367" s="235" cm="1">
        <f t="array" ref="BZ367">$BI367 * IF($AH367&lt;=2,
SUMPRODUCT(INDEX($AR$62:$AT$66,,$AI367), INDEX($AU$62:$BA$66,,$AH367), 1 / ($BB$62:$BB$66*BY367 + (1-$BB$62:$BB$66)*BU367), N($AQ$62:$AQ$66&gt;$AO367)),
SUMPRODUCT(INDEX($AR$47:$AT$56,,$AI367), INDEX($AU$47:$BA$56,,$AH367), 1 / ($BC$47:$BC$56*BY367 + (1-$BC$47:$BC$56)*BU367), N($AQ$47:$AQ$56&gt;$AO367))
) / 1000</f>
        <v>0</v>
      </c>
      <c r="CA367" s="235" cm="1">
        <f t="array" ref="CA367">$BI367 * IF($AH367&lt;=2,
SUMPRODUCT(INDEX($AR$23:$AT$61,,$AI367), INDEX($AU$23:$BA$61,,$AH367), 1 / ($BB$23:$BB$61*BY367), N($AQ$23:$AQ$61&gt;$AO367)),
SUMPRODUCT(INDEX($AR$23:$AT$46,,$AI367), INDEX($AU$23:$BA$46,,$AH367), 1 / ($BC$23:$BC$46*BY367), N($AQ$23:$AQ$46&gt;$AO367))
) / 1000</f>
        <v>0</v>
      </c>
      <c r="CB367" s="230">
        <f t="shared" si="473"/>
        <v>0</v>
      </c>
      <c r="CC367" s="238"/>
      <c r="CD367" s="229" cm="1">
        <f t="array" ref="CD367">IF(ISBLANK(Y367), INDEX(Use, $AH367, 4) - AN367*INDEX(Use, $AH367, 6) - (Q367-X367), Y367)</f>
        <v>7</v>
      </c>
      <c r="CE367" s="229">
        <f t="shared" si="474"/>
        <v>32</v>
      </c>
      <c r="CF367" s="230">
        <f t="shared" si="475"/>
        <v>0</v>
      </c>
      <c r="CG367" s="229">
        <v>35</v>
      </c>
      <c r="CH367" s="230">
        <f t="shared" si="476"/>
        <v>48</v>
      </c>
      <c r="CI367" s="235">
        <f t="shared" si="477"/>
        <v>3.0748170731707316</v>
      </c>
      <c r="CJ367" s="235" cm="1">
        <f t="array" ref="CJ367">$BI367 * SUMPRODUCT(INDEX($AR$77:$AT$82,,$AI367),INDEX($AU$77:$BA$82,,$AH367), N($AQ$77:$AQ$82&gt;$AO367)) / CI367 / 1000</f>
        <v>0</v>
      </c>
      <c r="CK367" s="232">
        <f t="shared" si="494"/>
        <v>30</v>
      </c>
      <c r="CL367" s="230">
        <f t="shared" si="478"/>
        <v>43</v>
      </c>
      <c r="CM367" s="235">
        <f t="shared" si="479"/>
        <v>3.5018750000000001</v>
      </c>
      <c r="CN367" s="235" cm="1">
        <f t="array" ref="CN367">$BI367 * IF($AH367&lt;=2,
SUMPRODUCT(INDEX($AR$72:$AT$76,,$AI367), INDEX($AU$72:$BA$76,,$AH367), 1 / ($BB$72:$BB$76*CM367 + (1-$BB$72:$BB$76)*CI367), N($AQ$72:$AQ$76&gt;$AO367)),
SUMPRODUCT(INDEX($AR$67:$AT$76,,$AI367), INDEX($AU$67:$BA$76,,$AH367), 1 / ($BC$67:$BC$76*CM367 + (1-$BC$67:$BC$76)*CI367), N($AQ$67:$AQ$76&gt;$AO367))
) / 1000</f>
        <v>0</v>
      </c>
      <c r="CO367" s="232">
        <f t="shared" si="495"/>
        <v>25</v>
      </c>
      <c r="CP367" s="230">
        <f t="shared" si="480"/>
        <v>38</v>
      </c>
      <c r="CQ367" s="235">
        <f t="shared" si="481"/>
        <v>4.0666935483870965</v>
      </c>
      <c r="CR367" s="235" cm="1">
        <f t="array" ref="CR367">$BI367 * IF($AH367&lt;=2,
SUMPRODUCT(INDEX($AR$67:$AT$71,,$AI367), INDEX($AU$67:$BA$71,,$AH367), 1 / ($BB$67:$BB$71*CQ367 + (1-$BB$67:$BB$71)*CM367), N($AQ$67:$AQ$71&gt;$AO367)),
SUMPRODUCT(INDEX($AR$57:$AT$66,,$AI367), INDEX($AU$57:$BA$66,,$AH367), 1 / ($BC$57:$BC$66*CQ367 + (1-$BC$57:$BC$66)*CM367), N($AQ$57:$AQ$66&gt;$AO367))
) / 1000</f>
        <v>0</v>
      </c>
      <c r="CS367" s="232">
        <f t="shared" si="496"/>
        <v>20</v>
      </c>
      <c r="CT367" s="230">
        <f t="shared" si="482"/>
        <v>33</v>
      </c>
      <c r="CU367" s="235">
        <f t="shared" si="483"/>
        <v>4.8487499999999999</v>
      </c>
      <c r="CV367" s="235" cm="1">
        <f t="array" ref="CV367">$BI367 * IF($AH367&lt;=2,
SUMPRODUCT(INDEX($AR$62:$AT$66,,$AI367), INDEX($AU$62:$BA$66,,$AH367), 1 / ($BB$62:$BB$66*CU367 + (1-$BB$62:$BB$66)*CQ367), N($AQ$62:$AQ$66&gt;$AO367)),
SUMPRODUCT(INDEX($AR$47:$AT$56,,$AI367), INDEX($AU$47:$BA$56,,$AH367), 1 / ($BC$47:$BC$56*CU367 + (1-$BC$47:$BC$56)*CQ367), N($AQ$47:$AQ$56&gt;$AO367))
) / 1000</f>
        <v>0</v>
      </c>
      <c r="CW367" s="235" cm="1">
        <f t="array" ref="CW367">$BI367 * IF($AH367&lt;=2,
SUMPRODUCT(INDEX($AR$23:$AT$61,,$AI367), INDEX($AU$23:$BA$61,,$AH367), 1 / ($BB$23:$BB$61*CU367), N($AQ$23:$AQ$61&gt;$AO367)),
SUMPRODUCT(INDEX($AR$23:$AT$46,,$AI367), INDEX($AU$23:$BA$46,,$AH367), 1 / ($BC$23:$BC$46*CU367), N($AQ$23:$AQ$46&gt;$AO367))
) / 1000</f>
        <v>0</v>
      </c>
      <c r="CX367" s="230">
        <f t="shared" si="484"/>
        <v>0</v>
      </c>
      <c r="CY367" s="238"/>
    </row>
    <row r="368" spans="1:103" s="76" customFormat="1" ht="14.25" customHeight="1" x14ac:dyDescent="0.2">
      <c r="A368" s="231" t="b">
        <f t="shared" si="488"/>
        <v>0</v>
      </c>
      <c r="B368" s="245">
        <v>346</v>
      </c>
      <c r="C368" s="258"/>
      <c r="D368" s="258"/>
      <c r="E368" s="246"/>
      <c r="F368" s="247" t="str">
        <f>IF(ISBLANK(E368), "", VLOOKUP(E368, Z!$A$2:$C$4127, 3, FALSE))</f>
        <v/>
      </c>
      <c r="G368" s="248"/>
      <c r="H368" s="248"/>
      <c r="I368" s="249"/>
      <c r="J368" s="250"/>
      <c r="K368" s="259"/>
      <c r="L368" s="260"/>
      <c r="M368" s="252" t="str" cm="1">
        <f t="array" ref="M368">INDEX(Trad, 53, $A$20)</f>
        <v>Verschmutzt</v>
      </c>
      <c r="N368" s="253"/>
      <c r="O368" s="253"/>
      <c r="P368" s="254"/>
      <c r="Q368" s="251"/>
      <c r="R368" s="251"/>
      <c r="S368" s="264">
        <f t="shared" si="459"/>
        <v>0</v>
      </c>
      <c r="T368" s="252" t="str" cm="1">
        <f t="array" ref="T368">INDEX(Trad, 52, $A$20)</f>
        <v>Sauber</v>
      </c>
      <c r="U368" s="253"/>
      <c r="V368" s="253"/>
      <c r="W368" s="254"/>
      <c r="X368" s="251"/>
      <c r="Y368" s="251"/>
      <c r="Z368" s="264">
        <f t="shared" si="460"/>
        <v>0</v>
      </c>
      <c r="AA368" s="261"/>
      <c r="AB368" s="258"/>
      <c r="AC368" s="246"/>
      <c r="AD368" s="247" t="str">
        <f>IF(ISBLANK(AC368), "", VLOOKUP(AC368, Z!$A$2:$C$4127, 3, FALSE))</f>
        <v/>
      </c>
      <c r="AE368" s="262"/>
      <c r="AF368" s="263">
        <f t="shared" si="461"/>
        <v>0</v>
      </c>
      <c r="AG368" s="238"/>
      <c r="AH368" s="229">
        <f t="shared" si="485"/>
        <v>1</v>
      </c>
      <c r="AI368" s="229">
        <f t="shared" si="486"/>
        <v>1</v>
      </c>
      <c r="AJ368" s="229">
        <f t="shared" si="487"/>
        <v>0</v>
      </c>
      <c r="AK368" s="229">
        <v>0</v>
      </c>
      <c r="AL368" s="229">
        <v>0</v>
      </c>
      <c r="AM368" s="229">
        <v>1</v>
      </c>
      <c r="AN368" s="229">
        <v>0</v>
      </c>
      <c r="AO368" s="229">
        <f t="shared" si="462"/>
        <v>-100</v>
      </c>
      <c r="AP368" s="238"/>
      <c r="AQ368" s="255"/>
      <c r="AR368" s="255"/>
      <c r="AS368" s="256"/>
      <c r="AT368" s="256"/>
      <c r="AU368" s="256"/>
      <c r="AV368" s="256"/>
      <c r="AW368" s="256"/>
      <c r="AX368" s="256"/>
      <c r="AY368" s="256"/>
      <c r="AZ368" s="256"/>
      <c r="BA368" s="256"/>
      <c r="BB368" s="256"/>
      <c r="BC368" s="256"/>
      <c r="BD368" s="238"/>
      <c r="BE368" s="229" cm="1">
        <f t="array" ref="BE368">IF(ISBLANK(R368), INDEX(Use, $AH368, 4) - AM368*INDEX(Use, $AH368, 6), R368)</f>
        <v>5</v>
      </c>
      <c r="BF368" s="229">
        <f t="shared" si="463"/>
        <v>30</v>
      </c>
      <c r="BG368" s="229">
        <f t="shared" si="489"/>
        <v>13</v>
      </c>
      <c r="BH368" s="229">
        <f t="shared" si="490"/>
        <v>0</v>
      </c>
      <c r="BI368" s="234" cm="1">
        <f t="array" ref="BI368">K368/IF($L368&gt;0, INDEX($AU$23:$BA$77, $L368+20, $AH368), 1)</f>
        <v>0</v>
      </c>
      <c r="BJ368" s="230">
        <f t="shared" si="464"/>
        <v>0</v>
      </c>
      <c r="BK368" s="229">
        <v>35</v>
      </c>
      <c r="BL368" s="230">
        <f t="shared" si="465"/>
        <v>48</v>
      </c>
      <c r="BM368" s="235">
        <f t="shared" si="466"/>
        <v>2.9108720930232557</v>
      </c>
      <c r="BN368" s="235" cm="1">
        <f t="array" ref="BN368">$BI368 * SUMPRODUCT(INDEX($AR$77:$AT$82,,$AI368),INDEX($AU$77:$BA$82,,$AH368), N($AQ$77:$AQ$82&gt;$AO368)) / BM368 / 1000</f>
        <v>0</v>
      </c>
      <c r="BO368" s="232">
        <f t="shared" si="491"/>
        <v>30</v>
      </c>
      <c r="BP368" s="230">
        <f t="shared" si="467"/>
        <v>43</v>
      </c>
      <c r="BQ368" s="235">
        <f t="shared" si="468"/>
        <v>3.2938815789473681</v>
      </c>
      <c r="BR368" s="235" cm="1">
        <f t="array" ref="BR368">$BI368 * IF($AH368&lt;=2,
SUMPRODUCT(INDEX($AR$72:$AT$76,,$AI368), INDEX($AU$72:$BA$76,,$AH368), 1 / ($BB$72:$BB$76*BQ368 + (1-$BB$72:$BB$76)*BM368), N($AQ$72:$AQ$76&gt;$AO368)),
SUMPRODUCT(INDEX($AR$67:$AT$76,,$AI368), INDEX($AU$67:$BA$76,,$AH368), 1 / ($BC$67:$BC$76*BQ368 + (1-$BC$67:$BC$76)*BM368), N($AQ$67:$AQ$76&gt;$AO368))
) / 1000</f>
        <v>0</v>
      </c>
      <c r="BS368" s="232">
        <f t="shared" si="492"/>
        <v>25</v>
      </c>
      <c r="BT368" s="230">
        <f t="shared" si="469"/>
        <v>38</v>
      </c>
      <c r="BU368" s="235">
        <f t="shared" si="470"/>
        <v>3.792954545454545</v>
      </c>
      <c r="BV368" s="235" cm="1">
        <f t="array" ref="BV368">$BI368 * IF($AH368&lt;=2,
SUMPRODUCT(INDEX($AR$67:$AT$71,,$AI368), INDEX($AU$67:$BA$71,,$AH368), 1 / ($BB$67:$BB$71*BU368 + (1-$BB$67:$BB$71)*BQ368), N($AQ$67:$AQ$71&gt;$AO368)),
SUMPRODUCT(INDEX($AR$57:$AT$66,,$AI368), INDEX($AU$57:$BA$66,,$AH368), 1 / ($BC$57:$BC$66*BU368 + (1-$BC$57:$BC$66)*BQ368), N($AQ$57:$AQ$66&gt;$AO368))
) / 1000</f>
        <v>0</v>
      </c>
      <c r="BW368" s="232">
        <f t="shared" si="493"/>
        <v>20</v>
      </c>
      <c r="BX368" s="230">
        <f t="shared" si="471"/>
        <v>33</v>
      </c>
      <c r="BY368" s="235">
        <f t="shared" si="472"/>
        <v>4.4702678571428569</v>
      </c>
      <c r="BZ368" s="235" cm="1">
        <f t="array" ref="BZ368">$BI368 * IF($AH368&lt;=2,
SUMPRODUCT(INDEX($AR$62:$AT$66,,$AI368), INDEX($AU$62:$BA$66,,$AH368), 1 / ($BB$62:$BB$66*BY368 + (1-$BB$62:$BB$66)*BU368), N($AQ$62:$AQ$66&gt;$AO368)),
SUMPRODUCT(INDEX($AR$47:$AT$56,,$AI368), INDEX($AU$47:$BA$56,,$AH368), 1 / ($BC$47:$BC$56*BY368 + (1-$BC$47:$BC$56)*BU368), N($AQ$47:$AQ$56&gt;$AO368))
) / 1000</f>
        <v>0</v>
      </c>
      <c r="CA368" s="235" cm="1">
        <f t="array" ref="CA368">$BI368 * IF($AH368&lt;=2,
SUMPRODUCT(INDEX($AR$23:$AT$61,,$AI368), INDEX($AU$23:$BA$61,,$AH368), 1 / ($BB$23:$BB$61*BY368), N($AQ$23:$AQ$61&gt;$AO368)),
SUMPRODUCT(INDEX($AR$23:$AT$46,,$AI368), INDEX($AU$23:$BA$46,,$AH368), 1 / ($BC$23:$BC$46*BY368), N($AQ$23:$AQ$46&gt;$AO368))
) / 1000</f>
        <v>0</v>
      </c>
      <c r="CB368" s="230">
        <f t="shared" si="473"/>
        <v>0</v>
      </c>
      <c r="CC368" s="238"/>
      <c r="CD368" s="229" cm="1">
        <f t="array" ref="CD368">IF(ISBLANK(Y368), INDEX(Use, $AH368, 4) - AN368*INDEX(Use, $AH368, 6) - (Q368-X368), Y368)</f>
        <v>7</v>
      </c>
      <c r="CE368" s="229">
        <f t="shared" si="474"/>
        <v>32</v>
      </c>
      <c r="CF368" s="230">
        <f t="shared" si="475"/>
        <v>0</v>
      </c>
      <c r="CG368" s="229">
        <v>35</v>
      </c>
      <c r="CH368" s="230">
        <f t="shared" si="476"/>
        <v>48</v>
      </c>
      <c r="CI368" s="235">
        <f t="shared" si="477"/>
        <v>3.0748170731707316</v>
      </c>
      <c r="CJ368" s="235" cm="1">
        <f t="array" ref="CJ368">$BI368 * SUMPRODUCT(INDEX($AR$77:$AT$82,,$AI368),INDEX($AU$77:$BA$82,,$AH368), N($AQ$77:$AQ$82&gt;$AO368)) / CI368 / 1000</f>
        <v>0</v>
      </c>
      <c r="CK368" s="232">
        <f t="shared" si="494"/>
        <v>30</v>
      </c>
      <c r="CL368" s="230">
        <f t="shared" si="478"/>
        <v>43</v>
      </c>
      <c r="CM368" s="235">
        <f t="shared" si="479"/>
        <v>3.5018750000000001</v>
      </c>
      <c r="CN368" s="235" cm="1">
        <f t="array" ref="CN368">$BI368 * IF($AH368&lt;=2,
SUMPRODUCT(INDEX($AR$72:$AT$76,,$AI368), INDEX($AU$72:$BA$76,,$AH368), 1 / ($BB$72:$BB$76*CM368 + (1-$BB$72:$BB$76)*CI368), N($AQ$72:$AQ$76&gt;$AO368)),
SUMPRODUCT(INDEX($AR$67:$AT$76,,$AI368), INDEX($AU$67:$BA$76,,$AH368), 1 / ($BC$67:$BC$76*CM368 + (1-$BC$67:$BC$76)*CI368), N($AQ$67:$AQ$76&gt;$AO368))
) / 1000</f>
        <v>0</v>
      </c>
      <c r="CO368" s="232">
        <f t="shared" si="495"/>
        <v>25</v>
      </c>
      <c r="CP368" s="230">
        <f t="shared" si="480"/>
        <v>38</v>
      </c>
      <c r="CQ368" s="235">
        <f t="shared" si="481"/>
        <v>4.0666935483870965</v>
      </c>
      <c r="CR368" s="235" cm="1">
        <f t="array" ref="CR368">$BI368 * IF($AH368&lt;=2,
SUMPRODUCT(INDEX($AR$67:$AT$71,,$AI368), INDEX($AU$67:$BA$71,,$AH368), 1 / ($BB$67:$BB$71*CQ368 + (1-$BB$67:$BB$71)*CM368), N($AQ$67:$AQ$71&gt;$AO368)),
SUMPRODUCT(INDEX($AR$57:$AT$66,,$AI368), INDEX($AU$57:$BA$66,,$AH368), 1 / ($BC$57:$BC$66*CQ368 + (1-$BC$57:$BC$66)*CM368), N($AQ$57:$AQ$66&gt;$AO368))
) / 1000</f>
        <v>0</v>
      </c>
      <c r="CS368" s="232">
        <f t="shared" si="496"/>
        <v>20</v>
      </c>
      <c r="CT368" s="230">
        <f t="shared" si="482"/>
        <v>33</v>
      </c>
      <c r="CU368" s="235">
        <f t="shared" si="483"/>
        <v>4.8487499999999999</v>
      </c>
      <c r="CV368" s="235" cm="1">
        <f t="array" ref="CV368">$BI368 * IF($AH368&lt;=2,
SUMPRODUCT(INDEX($AR$62:$AT$66,,$AI368), INDEX($AU$62:$BA$66,,$AH368), 1 / ($BB$62:$BB$66*CU368 + (1-$BB$62:$BB$66)*CQ368), N($AQ$62:$AQ$66&gt;$AO368)),
SUMPRODUCT(INDEX($AR$47:$AT$56,,$AI368), INDEX($AU$47:$BA$56,,$AH368), 1 / ($BC$47:$BC$56*CU368 + (1-$BC$47:$BC$56)*CQ368), N($AQ$47:$AQ$56&gt;$AO368))
) / 1000</f>
        <v>0</v>
      </c>
      <c r="CW368" s="235" cm="1">
        <f t="array" ref="CW368">$BI368 * IF($AH368&lt;=2,
SUMPRODUCT(INDEX($AR$23:$AT$61,,$AI368), INDEX($AU$23:$BA$61,,$AH368), 1 / ($BB$23:$BB$61*CU368), N($AQ$23:$AQ$61&gt;$AO368)),
SUMPRODUCT(INDEX($AR$23:$AT$46,,$AI368), INDEX($AU$23:$BA$46,,$AH368), 1 / ($BC$23:$BC$46*CU368), N($AQ$23:$AQ$46&gt;$AO368))
) / 1000</f>
        <v>0</v>
      </c>
      <c r="CX368" s="230">
        <f t="shared" si="484"/>
        <v>0</v>
      </c>
      <c r="CY368" s="238"/>
    </row>
    <row r="369" spans="1:103" s="76" customFormat="1" ht="14.25" customHeight="1" x14ac:dyDescent="0.2">
      <c r="A369" s="231" t="b">
        <f t="shared" si="488"/>
        <v>0</v>
      </c>
      <c r="B369" s="245">
        <v>347</v>
      </c>
      <c r="C369" s="258"/>
      <c r="D369" s="258"/>
      <c r="E369" s="246"/>
      <c r="F369" s="247" t="str">
        <f>IF(ISBLANK(E369), "", VLOOKUP(E369, Z!$A$2:$C$4127, 3, FALSE))</f>
        <v/>
      </c>
      <c r="G369" s="248"/>
      <c r="H369" s="248"/>
      <c r="I369" s="249"/>
      <c r="J369" s="250"/>
      <c r="K369" s="259"/>
      <c r="L369" s="260"/>
      <c r="M369" s="252" t="str" cm="1">
        <f t="array" ref="M369">INDEX(Trad, 53, $A$20)</f>
        <v>Verschmutzt</v>
      </c>
      <c r="N369" s="253"/>
      <c r="O369" s="253"/>
      <c r="P369" s="254"/>
      <c r="Q369" s="251"/>
      <c r="R369" s="251"/>
      <c r="S369" s="264">
        <f t="shared" si="459"/>
        <v>0</v>
      </c>
      <c r="T369" s="252" t="str" cm="1">
        <f t="array" ref="T369">INDEX(Trad, 52, $A$20)</f>
        <v>Sauber</v>
      </c>
      <c r="U369" s="253"/>
      <c r="V369" s="253"/>
      <c r="W369" s="254"/>
      <c r="X369" s="251"/>
      <c r="Y369" s="251"/>
      <c r="Z369" s="264">
        <f t="shared" si="460"/>
        <v>0</v>
      </c>
      <c r="AA369" s="261"/>
      <c r="AB369" s="258"/>
      <c r="AC369" s="246"/>
      <c r="AD369" s="247" t="str">
        <f>IF(ISBLANK(AC369), "", VLOOKUP(AC369, Z!$A$2:$C$4127, 3, FALSE))</f>
        <v/>
      </c>
      <c r="AE369" s="262"/>
      <c r="AF369" s="263">
        <f t="shared" si="461"/>
        <v>0</v>
      </c>
      <c r="AG369" s="238"/>
      <c r="AH369" s="229">
        <f t="shared" si="485"/>
        <v>1</v>
      </c>
      <c r="AI369" s="229">
        <f t="shared" si="486"/>
        <v>1</v>
      </c>
      <c r="AJ369" s="229">
        <f t="shared" si="487"/>
        <v>0</v>
      </c>
      <c r="AK369" s="229">
        <v>0</v>
      </c>
      <c r="AL369" s="229">
        <v>0</v>
      </c>
      <c r="AM369" s="229">
        <v>1</v>
      </c>
      <c r="AN369" s="229">
        <v>0</v>
      </c>
      <c r="AO369" s="229">
        <f t="shared" si="462"/>
        <v>-100</v>
      </c>
      <c r="AP369" s="238"/>
      <c r="AQ369" s="255"/>
      <c r="AR369" s="255"/>
      <c r="AS369" s="256"/>
      <c r="AT369" s="256"/>
      <c r="AU369" s="256"/>
      <c r="AV369" s="256"/>
      <c r="AW369" s="256"/>
      <c r="AX369" s="256"/>
      <c r="AY369" s="256"/>
      <c r="AZ369" s="256"/>
      <c r="BA369" s="256"/>
      <c r="BB369" s="256"/>
      <c r="BC369" s="256"/>
      <c r="BD369" s="238"/>
      <c r="BE369" s="229" cm="1">
        <f t="array" ref="BE369">IF(ISBLANK(R369), INDEX(Use, $AH369, 4) - AM369*INDEX(Use, $AH369, 6), R369)</f>
        <v>5</v>
      </c>
      <c r="BF369" s="229">
        <f t="shared" si="463"/>
        <v>30</v>
      </c>
      <c r="BG369" s="229">
        <f t="shared" si="489"/>
        <v>13</v>
      </c>
      <c r="BH369" s="229">
        <f t="shared" si="490"/>
        <v>0</v>
      </c>
      <c r="BI369" s="234" cm="1">
        <f t="array" ref="BI369">K369/IF($L369&gt;0, INDEX($AU$23:$BA$77, $L369+20, $AH369), 1)</f>
        <v>0</v>
      </c>
      <c r="BJ369" s="230">
        <f t="shared" si="464"/>
        <v>0</v>
      </c>
      <c r="BK369" s="229">
        <v>35</v>
      </c>
      <c r="BL369" s="230">
        <f t="shared" si="465"/>
        <v>48</v>
      </c>
      <c r="BM369" s="235">
        <f t="shared" si="466"/>
        <v>2.9108720930232557</v>
      </c>
      <c r="BN369" s="235" cm="1">
        <f t="array" ref="BN369">$BI369 * SUMPRODUCT(INDEX($AR$77:$AT$82,,$AI369),INDEX($AU$77:$BA$82,,$AH369), N($AQ$77:$AQ$82&gt;$AO369)) / BM369 / 1000</f>
        <v>0</v>
      </c>
      <c r="BO369" s="232">
        <f t="shared" si="491"/>
        <v>30</v>
      </c>
      <c r="BP369" s="230">
        <f t="shared" si="467"/>
        <v>43</v>
      </c>
      <c r="BQ369" s="235">
        <f t="shared" si="468"/>
        <v>3.2938815789473681</v>
      </c>
      <c r="BR369" s="235" cm="1">
        <f t="array" ref="BR369">$BI369 * IF($AH369&lt;=2,
SUMPRODUCT(INDEX($AR$72:$AT$76,,$AI369), INDEX($AU$72:$BA$76,,$AH369), 1 / ($BB$72:$BB$76*BQ369 + (1-$BB$72:$BB$76)*BM369), N($AQ$72:$AQ$76&gt;$AO369)),
SUMPRODUCT(INDEX($AR$67:$AT$76,,$AI369), INDEX($AU$67:$BA$76,,$AH369), 1 / ($BC$67:$BC$76*BQ369 + (1-$BC$67:$BC$76)*BM369), N($AQ$67:$AQ$76&gt;$AO369))
) / 1000</f>
        <v>0</v>
      </c>
      <c r="BS369" s="232">
        <f t="shared" si="492"/>
        <v>25</v>
      </c>
      <c r="BT369" s="230">
        <f t="shared" si="469"/>
        <v>38</v>
      </c>
      <c r="BU369" s="235">
        <f t="shared" si="470"/>
        <v>3.792954545454545</v>
      </c>
      <c r="BV369" s="235" cm="1">
        <f t="array" ref="BV369">$BI369 * IF($AH369&lt;=2,
SUMPRODUCT(INDEX($AR$67:$AT$71,,$AI369), INDEX($AU$67:$BA$71,,$AH369), 1 / ($BB$67:$BB$71*BU369 + (1-$BB$67:$BB$71)*BQ369), N($AQ$67:$AQ$71&gt;$AO369)),
SUMPRODUCT(INDEX($AR$57:$AT$66,,$AI369), INDEX($AU$57:$BA$66,,$AH369), 1 / ($BC$57:$BC$66*BU369 + (1-$BC$57:$BC$66)*BQ369), N($AQ$57:$AQ$66&gt;$AO369))
) / 1000</f>
        <v>0</v>
      </c>
      <c r="BW369" s="232">
        <f t="shared" si="493"/>
        <v>20</v>
      </c>
      <c r="BX369" s="230">
        <f t="shared" si="471"/>
        <v>33</v>
      </c>
      <c r="BY369" s="235">
        <f t="shared" si="472"/>
        <v>4.4702678571428569</v>
      </c>
      <c r="BZ369" s="235" cm="1">
        <f t="array" ref="BZ369">$BI369 * IF($AH369&lt;=2,
SUMPRODUCT(INDEX($AR$62:$AT$66,,$AI369), INDEX($AU$62:$BA$66,,$AH369), 1 / ($BB$62:$BB$66*BY369 + (1-$BB$62:$BB$66)*BU369), N($AQ$62:$AQ$66&gt;$AO369)),
SUMPRODUCT(INDEX($AR$47:$AT$56,,$AI369), INDEX($AU$47:$BA$56,,$AH369), 1 / ($BC$47:$BC$56*BY369 + (1-$BC$47:$BC$56)*BU369), N($AQ$47:$AQ$56&gt;$AO369))
) / 1000</f>
        <v>0</v>
      </c>
      <c r="CA369" s="235" cm="1">
        <f t="array" ref="CA369">$BI369 * IF($AH369&lt;=2,
SUMPRODUCT(INDEX($AR$23:$AT$61,,$AI369), INDEX($AU$23:$BA$61,,$AH369), 1 / ($BB$23:$BB$61*BY369), N($AQ$23:$AQ$61&gt;$AO369)),
SUMPRODUCT(INDEX($AR$23:$AT$46,,$AI369), INDEX($AU$23:$BA$46,,$AH369), 1 / ($BC$23:$BC$46*BY369), N($AQ$23:$AQ$46&gt;$AO369))
) / 1000</f>
        <v>0</v>
      </c>
      <c r="CB369" s="230">
        <f t="shared" si="473"/>
        <v>0</v>
      </c>
      <c r="CC369" s="238"/>
      <c r="CD369" s="229" cm="1">
        <f t="array" ref="CD369">IF(ISBLANK(Y369), INDEX(Use, $AH369, 4) - AN369*INDEX(Use, $AH369, 6) - (Q369-X369), Y369)</f>
        <v>7</v>
      </c>
      <c r="CE369" s="229">
        <f t="shared" si="474"/>
        <v>32</v>
      </c>
      <c r="CF369" s="230">
        <f t="shared" si="475"/>
        <v>0</v>
      </c>
      <c r="CG369" s="229">
        <v>35</v>
      </c>
      <c r="CH369" s="230">
        <f t="shared" si="476"/>
        <v>48</v>
      </c>
      <c r="CI369" s="235">
        <f t="shared" si="477"/>
        <v>3.0748170731707316</v>
      </c>
      <c r="CJ369" s="235" cm="1">
        <f t="array" ref="CJ369">$BI369 * SUMPRODUCT(INDEX($AR$77:$AT$82,,$AI369),INDEX($AU$77:$BA$82,,$AH369), N($AQ$77:$AQ$82&gt;$AO369)) / CI369 / 1000</f>
        <v>0</v>
      </c>
      <c r="CK369" s="232">
        <f t="shared" si="494"/>
        <v>30</v>
      </c>
      <c r="CL369" s="230">
        <f t="shared" si="478"/>
        <v>43</v>
      </c>
      <c r="CM369" s="235">
        <f t="shared" si="479"/>
        <v>3.5018750000000001</v>
      </c>
      <c r="CN369" s="235" cm="1">
        <f t="array" ref="CN369">$BI369 * IF($AH369&lt;=2,
SUMPRODUCT(INDEX($AR$72:$AT$76,,$AI369), INDEX($AU$72:$BA$76,,$AH369), 1 / ($BB$72:$BB$76*CM369 + (1-$BB$72:$BB$76)*CI369), N($AQ$72:$AQ$76&gt;$AO369)),
SUMPRODUCT(INDEX($AR$67:$AT$76,,$AI369), INDEX($AU$67:$BA$76,,$AH369), 1 / ($BC$67:$BC$76*CM369 + (1-$BC$67:$BC$76)*CI369), N($AQ$67:$AQ$76&gt;$AO369))
) / 1000</f>
        <v>0</v>
      </c>
      <c r="CO369" s="232">
        <f t="shared" si="495"/>
        <v>25</v>
      </c>
      <c r="CP369" s="230">
        <f t="shared" si="480"/>
        <v>38</v>
      </c>
      <c r="CQ369" s="235">
        <f t="shared" si="481"/>
        <v>4.0666935483870965</v>
      </c>
      <c r="CR369" s="235" cm="1">
        <f t="array" ref="CR369">$BI369 * IF($AH369&lt;=2,
SUMPRODUCT(INDEX($AR$67:$AT$71,,$AI369), INDEX($AU$67:$BA$71,,$AH369), 1 / ($BB$67:$BB$71*CQ369 + (1-$BB$67:$BB$71)*CM369), N($AQ$67:$AQ$71&gt;$AO369)),
SUMPRODUCT(INDEX($AR$57:$AT$66,,$AI369), INDEX($AU$57:$BA$66,,$AH369), 1 / ($BC$57:$BC$66*CQ369 + (1-$BC$57:$BC$66)*CM369), N($AQ$57:$AQ$66&gt;$AO369))
) / 1000</f>
        <v>0</v>
      </c>
      <c r="CS369" s="232">
        <f t="shared" si="496"/>
        <v>20</v>
      </c>
      <c r="CT369" s="230">
        <f t="shared" si="482"/>
        <v>33</v>
      </c>
      <c r="CU369" s="235">
        <f t="shared" si="483"/>
        <v>4.8487499999999999</v>
      </c>
      <c r="CV369" s="235" cm="1">
        <f t="array" ref="CV369">$BI369 * IF($AH369&lt;=2,
SUMPRODUCT(INDEX($AR$62:$AT$66,,$AI369), INDEX($AU$62:$BA$66,,$AH369), 1 / ($BB$62:$BB$66*CU369 + (1-$BB$62:$BB$66)*CQ369), N($AQ$62:$AQ$66&gt;$AO369)),
SUMPRODUCT(INDEX($AR$47:$AT$56,,$AI369), INDEX($AU$47:$BA$56,,$AH369), 1 / ($BC$47:$BC$56*CU369 + (1-$BC$47:$BC$56)*CQ369), N($AQ$47:$AQ$56&gt;$AO369))
) / 1000</f>
        <v>0</v>
      </c>
      <c r="CW369" s="235" cm="1">
        <f t="array" ref="CW369">$BI369 * IF($AH369&lt;=2,
SUMPRODUCT(INDEX($AR$23:$AT$61,,$AI369), INDEX($AU$23:$BA$61,,$AH369), 1 / ($BB$23:$BB$61*CU369), N($AQ$23:$AQ$61&gt;$AO369)),
SUMPRODUCT(INDEX($AR$23:$AT$46,,$AI369), INDEX($AU$23:$BA$46,,$AH369), 1 / ($BC$23:$BC$46*CU369), N($AQ$23:$AQ$46&gt;$AO369))
) / 1000</f>
        <v>0</v>
      </c>
      <c r="CX369" s="230">
        <f t="shared" si="484"/>
        <v>0</v>
      </c>
      <c r="CY369" s="238"/>
    </row>
    <row r="370" spans="1:103" s="76" customFormat="1" ht="14.25" customHeight="1" x14ac:dyDescent="0.2">
      <c r="A370" s="231" t="b">
        <f t="shared" si="488"/>
        <v>0</v>
      </c>
      <c r="B370" s="245">
        <v>348</v>
      </c>
      <c r="C370" s="258"/>
      <c r="D370" s="258"/>
      <c r="E370" s="246"/>
      <c r="F370" s="247" t="str">
        <f>IF(ISBLANK(E370), "", VLOOKUP(E370, Z!$A$2:$C$4127, 3, FALSE))</f>
        <v/>
      </c>
      <c r="G370" s="248"/>
      <c r="H370" s="248"/>
      <c r="I370" s="249"/>
      <c r="J370" s="250"/>
      <c r="K370" s="259"/>
      <c r="L370" s="260"/>
      <c r="M370" s="252" t="str" cm="1">
        <f t="array" ref="M370">INDEX(Trad, 53, $A$20)</f>
        <v>Verschmutzt</v>
      </c>
      <c r="N370" s="253"/>
      <c r="O370" s="253"/>
      <c r="P370" s="254"/>
      <c r="Q370" s="251"/>
      <c r="R370" s="251"/>
      <c r="S370" s="264">
        <f t="shared" si="459"/>
        <v>0</v>
      </c>
      <c r="T370" s="252" t="str" cm="1">
        <f t="array" ref="T370">INDEX(Trad, 52, $A$20)</f>
        <v>Sauber</v>
      </c>
      <c r="U370" s="253"/>
      <c r="V370" s="253"/>
      <c r="W370" s="254"/>
      <c r="X370" s="251"/>
      <c r="Y370" s="251"/>
      <c r="Z370" s="264">
        <f t="shared" si="460"/>
        <v>0</v>
      </c>
      <c r="AA370" s="261"/>
      <c r="AB370" s="258"/>
      <c r="AC370" s="246"/>
      <c r="AD370" s="247" t="str">
        <f>IF(ISBLANK(AC370), "", VLOOKUP(AC370, Z!$A$2:$C$4127, 3, FALSE))</f>
        <v/>
      </c>
      <c r="AE370" s="262"/>
      <c r="AF370" s="263">
        <f t="shared" si="461"/>
        <v>0</v>
      </c>
      <c r="AG370" s="238"/>
      <c r="AH370" s="229">
        <f t="shared" si="485"/>
        <v>1</v>
      </c>
      <c r="AI370" s="229">
        <f t="shared" si="486"/>
        <v>1</v>
      </c>
      <c r="AJ370" s="229">
        <f t="shared" si="487"/>
        <v>0</v>
      </c>
      <c r="AK370" s="229">
        <v>0</v>
      </c>
      <c r="AL370" s="229">
        <v>0</v>
      </c>
      <c r="AM370" s="229">
        <v>1</v>
      </c>
      <c r="AN370" s="229">
        <v>0</v>
      </c>
      <c r="AO370" s="229">
        <f t="shared" si="462"/>
        <v>-100</v>
      </c>
      <c r="AP370" s="238"/>
      <c r="AQ370" s="255"/>
      <c r="AR370" s="255"/>
      <c r="AS370" s="256"/>
      <c r="AT370" s="256"/>
      <c r="AU370" s="256"/>
      <c r="AV370" s="256"/>
      <c r="AW370" s="256"/>
      <c r="AX370" s="256"/>
      <c r="AY370" s="256"/>
      <c r="AZ370" s="256"/>
      <c r="BA370" s="256"/>
      <c r="BB370" s="256"/>
      <c r="BC370" s="256"/>
      <c r="BD370" s="238"/>
      <c r="BE370" s="229" cm="1">
        <f t="array" ref="BE370">IF(ISBLANK(R370), INDEX(Use, $AH370, 4) - AM370*INDEX(Use, $AH370, 6), R370)</f>
        <v>5</v>
      </c>
      <c r="BF370" s="229">
        <f t="shared" si="463"/>
        <v>30</v>
      </c>
      <c r="BG370" s="229">
        <f t="shared" si="489"/>
        <v>13</v>
      </c>
      <c r="BH370" s="229">
        <f t="shared" si="490"/>
        <v>0</v>
      </c>
      <c r="BI370" s="234" cm="1">
        <f t="array" ref="BI370">K370/IF($L370&gt;0, INDEX($AU$23:$BA$77, $L370+20, $AH370), 1)</f>
        <v>0</v>
      </c>
      <c r="BJ370" s="230">
        <f t="shared" si="464"/>
        <v>0</v>
      </c>
      <c r="BK370" s="229">
        <v>35</v>
      </c>
      <c r="BL370" s="230">
        <f t="shared" si="465"/>
        <v>48</v>
      </c>
      <c r="BM370" s="235">
        <f t="shared" si="466"/>
        <v>2.9108720930232557</v>
      </c>
      <c r="BN370" s="235" cm="1">
        <f t="array" ref="BN370">$BI370 * SUMPRODUCT(INDEX($AR$77:$AT$82,,$AI370),INDEX($AU$77:$BA$82,,$AH370), N($AQ$77:$AQ$82&gt;$AO370)) / BM370 / 1000</f>
        <v>0</v>
      </c>
      <c r="BO370" s="232">
        <f t="shared" si="491"/>
        <v>30</v>
      </c>
      <c r="BP370" s="230">
        <f t="shared" si="467"/>
        <v>43</v>
      </c>
      <c r="BQ370" s="235">
        <f t="shared" si="468"/>
        <v>3.2938815789473681</v>
      </c>
      <c r="BR370" s="235" cm="1">
        <f t="array" ref="BR370">$BI370 * IF($AH370&lt;=2,
SUMPRODUCT(INDEX($AR$72:$AT$76,,$AI370), INDEX($AU$72:$BA$76,,$AH370), 1 / ($BB$72:$BB$76*BQ370 + (1-$BB$72:$BB$76)*BM370), N($AQ$72:$AQ$76&gt;$AO370)),
SUMPRODUCT(INDEX($AR$67:$AT$76,,$AI370), INDEX($AU$67:$BA$76,,$AH370), 1 / ($BC$67:$BC$76*BQ370 + (1-$BC$67:$BC$76)*BM370), N($AQ$67:$AQ$76&gt;$AO370))
) / 1000</f>
        <v>0</v>
      </c>
      <c r="BS370" s="232">
        <f t="shared" si="492"/>
        <v>25</v>
      </c>
      <c r="BT370" s="230">
        <f t="shared" si="469"/>
        <v>38</v>
      </c>
      <c r="BU370" s="235">
        <f t="shared" si="470"/>
        <v>3.792954545454545</v>
      </c>
      <c r="BV370" s="235" cm="1">
        <f t="array" ref="BV370">$BI370 * IF($AH370&lt;=2,
SUMPRODUCT(INDEX($AR$67:$AT$71,,$AI370), INDEX($AU$67:$BA$71,,$AH370), 1 / ($BB$67:$BB$71*BU370 + (1-$BB$67:$BB$71)*BQ370), N($AQ$67:$AQ$71&gt;$AO370)),
SUMPRODUCT(INDEX($AR$57:$AT$66,,$AI370), INDEX($AU$57:$BA$66,,$AH370), 1 / ($BC$57:$BC$66*BU370 + (1-$BC$57:$BC$66)*BQ370), N($AQ$57:$AQ$66&gt;$AO370))
) / 1000</f>
        <v>0</v>
      </c>
      <c r="BW370" s="232">
        <f t="shared" si="493"/>
        <v>20</v>
      </c>
      <c r="BX370" s="230">
        <f t="shared" si="471"/>
        <v>33</v>
      </c>
      <c r="BY370" s="235">
        <f t="shared" si="472"/>
        <v>4.4702678571428569</v>
      </c>
      <c r="BZ370" s="235" cm="1">
        <f t="array" ref="BZ370">$BI370 * IF($AH370&lt;=2,
SUMPRODUCT(INDEX($AR$62:$AT$66,,$AI370), INDEX($AU$62:$BA$66,,$AH370), 1 / ($BB$62:$BB$66*BY370 + (1-$BB$62:$BB$66)*BU370), N($AQ$62:$AQ$66&gt;$AO370)),
SUMPRODUCT(INDEX($AR$47:$AT$56,,$AI370), INDEX($AU$47:$BA$56,,$AH370), 1 / ($BC$47:$BC$56*BY370 + (1-$BC$47:$BC$56)*BU370), N($AQ$47:$AQ$56&gt;$AO370))
) / 1000</f>
        <v>0</v>
      </c>
      <c r="CA370" s="235" cm="1">
        <f t="array" ref="CA370">$BI370 * IF($AH370&lt;=2,
SUMPRODUCT(INDEX($AR$23:$AT$61,,$AI370), INDEX($AU$23:$BA$61,,$AH370), 1 / ($BB$23:$BB$61*BY370), N($AQ$23:$AQ$61&gt;$AO370)),
SUMPRODUCT(INDEX($AR$23:$AT$46,,$AI370), INDEX($AU$23:$BA$46,,$AH370), 1 / ($BC$23:$BC$46*BY370), N($AQ$23:$AQ$46&gt;$AO370))
) / 1000</f>
        <v>0</v>
      </c>
      <c r="CB370" s="230">
        <f t="shared" si="473"/>
        <v>0</v>
      </c>
      <c r="CC370" s="238"/>
      <c r="CD370" s="229" cm="1">
        <f t="array" ref="CD370">IF(ISBLANK(Y370), INDEX(Use, $AH370, 4) - AN370*INDEX(Use, $AH370, 6) - (Q370-X370), Y370)</f>
        <v>7</v>
      </c>
      <c r="CE370" s="229">
        <f t="shared" si="474"/>
        <v>32</v>
      </c>
      <c r="CF370" s="230">
        <f t="shared" si="475"/>
        <v>0</v>
      </c>
      <c r="CG370" s="229">
        <v>35</v>
      </c>
      <c r="CH370" s="230">
        <f t="shared" si="476"/>
        <v>48</v>
      </c>
      <c r="CI370" s="235">
        <f t="shared" si="477"/>
        <v>3.0748170731707316</v>
      </c>
      <c r="CJ370" s="235" cm="1">
        <f t="array" ref="CJ370">$BI370 * SUMPRODUCT(INDEX($AR$77:$AT$82,,$AI370),INDEX($AU$77:$BA$82,,$AH370), N($AQ$77:$AQ$82&gt;$AO370)) / CI370 / 1000</f>
        <v>0</v>
      </c>
      <c r="CK370" s="232">
        <f t="shared" si="494"/>
        <v>30</v>
      </c>
      <c r="CL370" s="230">
        <f t="shared" si="478"/>
        <v>43</v>
      </c>
      <c r="CM370" s="235">
        <f t="shared" si="479"/>
        <v>3.5018750000000001</v>
      </c>
      <c r="CN370" s="235" cm="1">
        <f t="array" ref="CN370">$BI370 * IF($AH370&lt;=2,
SUMPRODUCT(INDEX($AR$72:$AT$76,,$AI370), INDEX($AU$72:$BA$76,,$AH370), 1 / ($BB$72:$BB$76*CM370 + (1-$BB$72:$BB$76)*CI370), N($AQ$72:$AQ$76&gt;$AO370)),
SUMPRODUCT(INDEX($AR$67:$AT$76,,$AI370), INDEX($AU$67:$BA$76,,$AH370), 1 / ($BC$67:$BC$76*CM370 + (1-$BC$67:$BC$76)*CI370), N($AQ$67:$AQ$76&gt;$AO370))
) / 1000</f>
        <v>0</v>
      </c>
      <c r="CO370" s="232">
        <f t="shared" si="495"/>
        <v>25</v>
      </c>
      <c r="CP370" s="230">
        <f t="shared" si="480"/>
        <v>38</v>
      </c>
      <c r="CQ370" s="235">
        <f t="shared" si="481"/>
        <v>4.0666935483870965</v>
      </c>
      <c r="CR370" s="235" cm="1">
        <f t="array" ref="CR370">$BI370 * IF($AH370&lt;=2,
SUMPRODUCT(INDEX($AR$67:$AT$71,,$AI370), INDEX($AU$67:$BA$71,,$AH370), 1 / ($BB$67:$BB$71*CQ370 + (1-$BB$67:$BB$71)*CM370), N($AQ$67:$AQ$71&gt;$AO370)),
SUMPRODUCT(INDEX($AR$57:$AT$66,,$AI370), INDEX($AU$57:$BA$66,,$AH370), 1 / ($BC$57:$BC$66*CQ370 + (1-$BC$57:$BC$66)*CM370), N($AQ$57:$AQ$66&gt;$AO370))
) / 1000</f>
        <v>0</v>
      </c>
      <c r="CS370" s="232">
        <f t="shared" si="496"/>
        <v>20</v>
      </c>
      <c r="CT370" s="230">
        <f t="shared" si="482"/>
        <v>33</v>
      </c>
      <c r="CU370" s="235">
        <f t="shared" si="483"/>
        <v>4.8487499999999999</v>
      </c>
      <c r="CV370" s="235" cm="1">
        <f t="array" ref="CV370">$BI370 * IF($AH370&lt;=2,
SUMPRODUCT(INDEX($AR$62:$AT$66,,$AI370), INDEX($AU$62:$BA$66,,$AH370), 1 / ($BB$62:$BB$66*CU370 + (1-$BB$62:$BB$66)*CQ370), N($AQ$62:$AQ$66&gt;$AO370)),
SUMPRODUCT(INDEX($AR$47:$AT$56,,$AI370), INDEX($AU$47:$BA$56,,$AH370), 1 / ($BC$47:$BC$56*CU370 + (1-$BC$47:$BC$56)*CQ370), N($AQ$47:$AQ$56&gt;$AO370))
) / 1000</f>
        <v>0</v>
      </c>
      <c r="CW370" s="235" cm="1">
        <f t="array" ref="CW370">$BI370 * IF($AH370&lt;=2,
SUMPRODUCT(INDEX($AR$23:$AT$61,,$AI370), INDEX($AU$23:$BA$61,,$AH370), 1 / ($BB$23:$BB$61*CU370), N($AQ$23:$AQ$61&gt;$AO370)),
SUMPRODUCT(INDEX($AR$23:$AT$46,,$AI370), INDEX($AU$23:$BA$46,,$AH370), 1 / ($BC$23:$BC$46*CU370), N($AQ$23:$AQ$46&gt;$AO370))
) / 1000</f>
        <v>0</v>
      </c>
      <c r="CX370" s="230">
        <f t="shared" si="484"/>
        <v>0</v>
      </c>
      <c r="CY370" s="238"/>
    </row>
    <row r="371" spans="1:103" s="76" customFormat="1" ht="14.25" customHeight="1" x14ac:dyDescent="0.2">
      <c r="A371" s="231" t="b">
        <f t="shared" si="488"/>
        <v>0</v>
      </c>
      <c r="B371" s="245">
        <v>349</v>
      </c>
      <c r="C371" s="258"/>
      <c r="D371" s="258"/>
      <c r="E371" s="246"/>
      <c r="F371" s="247" t="str">
        <f>IF(ISBLANK(E371), "", VLOOKUP(E371, Z!$A$2:$C$4127, 3, FALSE))</f>
        <v/>
      </c>
      <c r="G371" s="248"/>
      <c r="H371" s="248"/>
      <c r="I371" s="249"/>
      <c r="J371" s="250"/>
      <c r="K371" s="259"/>
      <c r="L371" s="260"/>
      <c r="M371" s="252" t="str" cm="1">
        <f t="array" ref="M371">INDEX(Trad, 53, $A$20)</f>
        <v>Verschmutzt</v>
      </c>
      <c r="N371" s="253"/>
      <c r="O371" s="253"/>
      <c r="P371" s="254"/>
      <c r="Q371" s="251"/>
      <c r="R371" s="251"/>
      <c r="S371" s="264">
        <f t="shared" si="459"/>
        <v>0</v>
      </c>
      <c r="T371" s="252" t="str" cm="1">
        <f t="array" ref="T371">INDEX(Trad, 52, $A$20)</f>
        <v>Sauber</v>
      </c>
      <c r="U371" s="253"/>
      <c r="V371" s="253"/>
      <c r="W371" s="254"/>
      <c r="X371" s="251"/>
      <c r="Y371" s="251"/>
      <c r="Z371" s="264">
        <f t="shared" si="460"/>
        <v>0</v>
      </c>
      <c r="AA371" s="261"/>
      <c r="AB371" s="258"/>
      <c r="AC371" s="246"/>
      <c r="AD371" s="247" t="str">
        <f>IF(ISBLANK(AC371), "", VLOOKUP(AC371, Z!$A$2:$C$4127, 3, FALSE))</f>
        <v/>
      </c>
      <c r="AE371" s="262"/>
      <c r="AF371" s="263">
        <f t="shared" si="461"/>
        <v>0</v>
      </c>
      <c r="AG371" s="238"/>
      <c r="AH371" s="229">
        <f t="shared" si="485"/>
        <v>1</v>
      </c>
      <c r="AI371" s="229">
        <f t="shared" si="486"/>
        <v>1</v>
      </c>
      <c r="AJ371" s="229">
        <f t="shared" si="487"/>
        <v>0</v>
      </c>
      <c r="AK371" s="229">
        <v>0</v>
      </c>
      <c r="AL371" s="229">
        <v>0</v>
      </c>
      <c r="AM371" s="229">
        <v>1</v>
      </c>
      <c r="AN371" s="229">
        <v>0</v>
      </c>
      <c r="AO371" s="229">
        <f t="shared" si="462"/>
        <v>-100</v>
      </c>
      <c r="AP371" s="238"/>
      <c r="AQ371" s="255"/>
      <c r="AR371" s="255"/>
      <c r="AS371" s="256"/>
      <c r="AT371" s="256"/>
      <c r="AU371" s="256"/>
      <c r="AV371" s="256"/>
      <c r="AW371" s="256"/>
      <c r="AX371" s="256"/>
      <c r="AY371" s="256"/>
      <c r="AZ371" s="256"/>
      <c r="BA371" s="256"/>
      <c r="BB371" s="256"/>
      <c r="BC371" s="256"/>
      <c r="BD371" s="238"/>
      <c r="BE371" s="229" cm="1">
        <f t="array" ref="BE371">IF(ISBLANK(R371), INDEX(Use, $AH371, 4) - AM371*INDEX(Use, $AH371, 6), R371)</f>
        <v>5</v>
      </c>
      <c r="BF371" s="229">
        <f t="shared" si="463"/>
        <v>30</v>
      </c>
      <c r="BG371" s="229">
        <f t="shared" si="489"/>
        <v>13</v>
      </c>
      <c r="BH371" s="229">
        <f t="shared" si="490"/>
        <v>0</v>
      </c>
      <c r="BI371" s="234" cm="1">
        <f t="array" ref="BI371">K371/IF($L371&gt;0, INDEX($AU$23:$BA$77, $L371+20, $AH371), 1)</f>
        <v>0</v>
      </c>
      <c r="BJ371" s="230">
        <f t="shared" si="464"/>
        <v>0</v>
      </c>
      <c r="BK371" s="229">
        <v>35</v>
      </c>
      <c r="BL371" s="230">
        <f t="shared" si="465"/>
        <v>48</v>
      </c>
      <c r="BM371" s="235">
        <f t="shared" si="466"/>
        <v>2.9108720930232557</v>
      </c>
      <c r="BN371" s="235" cm="1">
        <f t="array" ref="BN371">$BI371 * SUMPRODUCT(INDEX($AR$77:$AT$82,,$AI371),INDEX($AU$77:$BA$82,,$AH371), N($AQ$77:$AQ$82&gt;$AO371)) / BM371 / 1000</f>
        <v>0</v>
      </c>
      <c r="BO371" s="232">
        <f t="shared" si="491"/>
        <v>30</v>
      </c>
      <c r="BP371" s="230">
        <f t="shared" si="467"/>
        <v>43</v>
      </c>
      <c r="BQ371" s="235">
        <f t="shared" si="468"/>
        <v>3.2938815789473681</v>
      </c>
      <c r="BR371" s="235" cm="1">
        <f t="array" ref="BR371">$BI371 * IF($AH371&lt;=2,
SUMPRODUCT(INDEX($AR$72:$AT$76,,$AI371), INDEX($AU$72:$BA$76,,$AH371), 1 / ($BB$72:$BB$76*BQ371 + (1-$BB$72:$BB$76)*BM371), N($AQ$72:$AQ$76&gt;$AO371)),
SUMPRODUCT(INDEX($AR$67:$AT$76,,$AI371), INDEX($AU$67:$BA$76,,$AH371), 1 / ($BC$67:$BC$76*BQ371 + (1-$BC$67:$BC$76)*BM371), N($AQ$67:$AQ$76&gt;$AO371))
) / 1000</f>
        <v>0</v>
      </c>
      <c r="BS371" s="232">
        <f t="shared" si="492"/>
        <v>25</v>
      </c>
      <c r="BT371" s="230">
        <f t="shared" si="469"/>
        <v>38</v>
      </c>
      <c r="BU371" s="235">
        <f t="shared" si="470"/>
        <v>3.792954545454545</v>
      </c>
      <c r="BV371" s="235" cm="1">
        <f t="array" ref="BV371">$BI371 * IF($AH371&lt;=2,
SUMPRODUCT(INDEX($AR$67:$AT$71,,$AI371), INDEX($AU$67:$BA$71,,$AH371), 1 / ($BB$67:$BB$71*BU371 + (1-$BB$67:$BB$71)*BQ371), N($AQ$67:$AQ$71&gt;$AO371)),
SUMPRODUCT(INDEX($AR$57:$AT$66,,$AI371), INDEX($AU$57:$BA$66,,$AH371), 1 / ($BC$57:$BC$66*BU371 + (1-$BC$57:$BC$66)*BQ371), N($AQ$57:$AQ$66&gt;$AO371))
) / 1000</f>
        <v>0</v>
      </c>
      <c r="BW371" s="232">
        <f t="shared" si="493"/>
        <v>20</v>
      </c>
      <c r="BX371" s="230">
        <f t="shared" si="471"/>
        <v>33</v>
      </c>
      <c r="BY371" s="235">
        <f t="shared" si="472"/>
        <v>4.4702678571428569</v>
      </c>
      <c r="BZ371" s="235" cm="1">
        <f t="array" ref="BZ371">$BI371 * IF($AH371&lt;=2,
SUMPRODUCT(INDEX($AR$62:$AT$66,,$AI371), INDEX($AU$62:$BA$66,,$AH371), 1 / ($BB$62:$BB$66*BY371 + (1-$BB$62:$BB$66)*BU371), N($AQ$62:$AQ$66&gt;$AO371)),
SUMPRODUCT(INDEX($AR$47:$AT$56,,$AI371), INDEX($AU$47:$BA$56,,$AH371), 1 / ($BC$47:$BC$56*BY371 + (1-$BC$47:$BC$56)*BU371), N($AQ$47:$AQ$56&gt;$AO371))
) / 1000</f>
        <v>0</v>
      </c>
      <c r="CA371" s="235" cm="1">
        <f t="array" ref="CA371">$BI371 * IF($AH371&lt;=2,
SUMPRODUCT(INDEX($AR$23:$AT$61,,$AI371), INDEX($AU$23:$BA$61,,$AH371), 1 / ($BB$23:$BB$61*BY371), N($AQ$23:$AQ$61&gt;$AO371)),
SUMPRODUCT(INDEX($AR$23:$AT$46,,$AI371), INDEX($AU$23:$BA$46,,$AH371), 1 / ($BC$23:$BC$46*BY371), N($AQ$23:$AQ$46&gt;$AO371))
) / 1000</f>
        <v>0</v>
      </c>
      <c r="CB371" s="230">
        <f t="shared" si="473"/>
        <v>0</v>
      </c>
      <c r="CC371" s="238"/>
      <c r="CD371" s="229" cm="1">
        <f t="array" ref="CD371">IF(ISBLANK(Y371), INDEX(Use, $AH371, 4) - AN371*INDEX(Use, $AH371, 6) - (Q371-X371), Y371)</f>
        <v>7</v>
      </c>
      <c r="CE371" s="229">
        <f t="shared" si="474"/>
        <v>32</v>
      </c>
      <c r="CF371" s="230">
        <f t="shared" si="475"/>
        <v>0</v>
      </c>
      <c r="CG371" s="229">
        <v>35</v>
      </c>
      <c r="CH371" s="230">
        <f t="shared" si="476"/>
        <v>48</v>
      </c>
      <c r="CI371" s="235">
        <f t="shared" si="477"/>
        <v>3.0748170731707316</v>
      </c>
      <c r="CJ371" s="235" cm="1">
        <f t="array" ref="CJ371">$BI371 * SUMPRODUCT(INDEX($AR$77:$AT$82,,$AI371),INDEX($AU$77:$BA$82,,$AH371), N($AQ$77:$AQ$82&gt;$AO371)) / CI371 / 1000</f>
        <v>0</v>
      </c>
      <c r="CK371" s="232">
        <f t="shared" si="494"/>
        <v>30</v>
      </c>
      <c r="CL371" s="230">
        <f t="shared" si="478"/>
        <v>43</v>
      </c>
      <c r="CM371" s="235">
        <f t="shared" si="479"/>
        <v>3.5018750000000001</v>
      </c>
      <c r="CN371" s="235" cm="1">
        <f t="array" ref="CN371">$BI371 * IF($AH371&lt;=2,
SUMPRODUCT(INDEX($AR$72:$AT$76,,$AI371), INDEX($AU$72:$BA$76,,$AH371), 1 / ($BB$72:$BB$76*CM371 + (1-$BB$72:$BB$76)*CI371), N($AQ$72:$AQ$76&gt;$AO371)),
SUMPRODUCT(INDEX($AR$67:$AT$76,,$AI371), INDEX($AU$67:$BA$76,,$AH371), 1 / ($BC$67:$BC$76*CM371 + (1-$BC$67:$BC$76)*CI371), N($AQ$67:$AQ$76&gt;$AO371))
) / 1000</f>
        <v>0</v>
      </c>
      <c r="CO371" s="232">
        <f t="shared" si="495"/>
        <v>25</v>
      </c>
      <c r="CP371" s="230">
        <f t="shared" si="480"/>
        <v>38</v>
      </c>
      <c r="CQ371" s="235">
        <f t="shared" si="481"/>
        <v>4.0666935483870965</v>
      </c>
      <c r="CR371" s="235" cm="1">
        <f t="array" ref="CR371">$BI371 * IF($AH371&lt;=2,
SUMPRODUCT(INDEX($AR$67:$AT$71,,$AI371), INDEX($AU$67:$BA$71,,$AH371), 1 / ($BB$67:$BB$71*CQ371 + (1-$BB$67:$BB$71)*CM371), N($AQ$67:$AQ$71&gt;$AO371)),
SUMPRODUCT(INDEX($AR$57:$AT$66,,$AI371), INDEX($AU$57:$BA$66,,$AH371), 1 / ($BC$57:$BC$66*CQ371 + (1-$BC$57:$BC$66)*CM371), N($AQ$57:$AQ$66&gt;$AO371))
) / 1000</f>
        <v>0</v>
      </c>
      <c r="CS371" s="232">
        <f t="shared" si="496"/>
        <v>20</v>
      </c>
      <c r="CT371" s="230">
        <f t="shared" si="482"/>
        <v>33</v>
      </c>
      <c r="CU371" s="235">
        <f t="shared" si="483"/>
        <v>4.8487499999999999</v>
      </c>
      <c r="CV371" s="235" cm="1">
        <f t="array" ref="CV371">$BI371 * IF($AH371&lt;=2,
SUMPRODUCT(INDEX($AR$62:$AT$66,,$AI371), INDEX($AU$62:$BA$66,,$AH371), 1 / ($BB$62:$BB$66*CU371 + (1-$BB$62:$BB$66)*CQ371), N($AQ$62:$AQ$66&gt;$AO371)),
SUMPRODUCT(INDEX($AR$47:$AT$56,,$AI371), INDEX($AU$47:$BA$56,,$AH371), 1 / ($BC$47:$BC$56*CU371 + (1-$BC$47:$BC$56)*CQ371), N($AQ$47:$AQ$56&gt;$AO371))
) / 1000</f>
        <v>0</v>
      </c>
      <c r="CW371" s="235" cm="1">
        <f t="array" ref="CW371">$BI371 * IF($AH371&lt;=2,
SUMPRODUCT(INDEX($AR$23:$AT$61,,$AI371), INDEX($AU$23:$BA$61,,$AH371), 1 / ($BB$23:$BB$61*CU371), N($AQ$23:$AQ$61&gt;$AO371)),
SUMPRODUCT(INDEX($AR$23:$AT$46,,$AI371), INDEX($AU$23:$BA$46,,$AH371), 1 / ($BC$23:$BC$46*CU371), N($AQ$23:$AQ$46&gt;$AO371))
) / 1000</f>
        <v>0</v>
      </c>
      <c r="CX371" s="230">
        <f t="shared" si="484"/>
        <v>0</v>
      </c>
      <c r="CY371" s="238"/>
    </row>
    <row r="372" spans="1:103" s="76" customFormat="1" ht="14.25" customHeight="1" x14ac:dyDescent="0.2">
      <c r="A372" s="231" t="b">
        <f t="shared" si="488"/>
        <v>0</v>
      </c>
      <c r="B372" s="245">
        <v>350</v>
      </c>
      <c r="C372" s="258"/>
      <c r="D372" s="258"/>
      <c r="E372" s="246"/>
      <c r="F372" s="247" t="str">
        <f>IF(ISBLANK(E372), "", VLOOKUP(E372, Z!$A$2:$C$4127, 3, FALSE))</f>
        <v/>
      </c>
      <c r="G372" s="248"/>
      <c r="H372" s="248"/>
      <c r="I372" s="249"/>
      <c r="J372" s="250"/>
      <c r="K372" s="259"/>
      <c r="L372" s="260"/>
      <c r="M372" s="252" t="str" cm="1">
        <f t="array" ref="M372">INDEX(Trad, 53, $A$20)</f>
        <v>Verschmutzt</v>
      </c>
      <c r="N372" s="253"/>
      <c r="O372" s="253"/>
      <c r="P372" s="254"/>
      <c r="Q372" s="251"/>
      <c r="R372" s="251"/>
      <c r="S372" s="264">
        <f t="shared" si="459"/>
        <v>0</v>
      </c>
      <c r="T372" s="252" t="str" cm="1">
        <f t="array" ref="T372">INDEX(Trad, 52, $A$20)</f>
        <v>Sauber</v>
      </c>
      <c r="U372" s="253"/>
      <c r="V372" s="253"/>
      <c r="W372" s="254"/>
      <c r="X372" s="251"/>
      <c r="Y372" s="251"/>
      <c r="Z372" s="264">
        <f t="shared" si="460"/>
        <v>0</v>
      </c>
      <c r="AA372" s="261"/>
      <c r="AB372" s="258"/>
      <c r="AC372" s="246"/>
      <c r="AD372" s="247" t="str">
        <f>IF(ISBLANK(AC372), "", VLOOKUP(AC372, Z!$A$2:$C$4127, 3, FALSE))</f>
        <v/>
      </c>
      <c r="AE372" s="262"/>
      <c r="AF372" s="263">
        <f t="shared" si="461"/>
        <v>0</v>
      </c>
      <c r="AG372" s="238"/>
      <c r="AH372" s="229">
        <f t="shared" si="485"/>
        <v>1</v>
      </c>
      <c r="AI372" s="229">
        <f t="shared" si="486"/>
        <v>1</v>
      </c>
      <c r="AJ372" s="229">
        <f t="shared" si="487"/>
        <v>0</v>
      </c>
      <c r="AK372" s="229">
        <v>0</v>
      </c>
      <c r="AL372" s="229">
        <v>0</v>
      </c>
      <c r="AM372" s="229">
        <v>1</v>
      </c>
      <c r="AN372" s="229">
        <v>0</v>
      </c>
      <c r="AO372" s="229">
        <f t="shared" si="462"/>
        <v>-100</v>
      </c>
      <c r="AP372" s="238"/>
      <c r="AQ372" s="255"/>
      <c r="AR372" s="255"/>
      <c r="AS372" s="256"/>
      <c r="AT372" s="256"/>
      <c r="AU372" s="256"/>
      <c r="AV372" s="256"/>
      <c r="AW372" s="256"/>
      <c r="AX372" s="256"/>
      <c r="AY372" s="256"/>
      <c r="AZ372" s="256"/>
      <c r="BA372" s="256"/>
      <c r="BB372" s="256"/>
      <c r="BC372" s="256"/>
      <c r="BD372" s="238"/>
      <c r="BE372" s="229" cm="1">
        <f t="array" ref="BE372">IF(ISBLANK(R372), INDEX(Use, $AH372, 4) - AM372*INDEX(Use, $AH372, 6), R372)</f>
        <v>5</v>
      </c>
      <c r="BF372" s="229">
        <f t="shared" si="463"/>
        <v>30</v>
      </c>
      <c r="BG372" s="229">
        <f t="shared" si="489"/>
        <v>13</v>
      </c>
      <c r="BH372" s="229">
        <f t="shared" si="490"/>
        <v>0</v>
      </c>
      <c r="BI372" s="234" cm="1">
        <f t="array" ref="BI372">K372/IF($L372&gt;0, INDEX($AU$23:$BA$77, $L372+20, $AH372), 1)</f>
        <v>0</v>
      </c>
      <c r="BJ372" s="230">
        <f t="shared" si="464"/>
        <v>0</v>
      </c>
      <c r="BK372" s="229">
        <v>35</v>
      </c>
      <c r="BL372" s="230">
        <f t="shared" si="465"/>
        <v>48</v>
      </c>
      <c r="BM372" s="235">
        <f t="shared" si="466"/>
        <v>2.9108720930232557</v>
      </c>
      <c r="BN372" s="235" cm="1">
        <f t="array" ref="BN372">$BI372 * SUMPRODUCT(INDEX($AR$77:$AT$82,,$AI372),INDEX($AU$77:$BA$82,,$AH372), N($AQ$77:$AQ$82&gt;$AO372)) / BM372 / 1000</f>
        <v>0</v>
      </c>
      <c r="BO372" s="232">
        <f t="shared" si="491"/>
        <v>30</v>
      </c>
      <c r="BP372" s="230">
        <f t="shared" si="467"/>
        <v>43</v>
      </c>
      <c r="BQ372" s="235">
        <f t="shared" si="468"/>
        <v>3.2938815789473681</v>
      </c>
      <c r="BR372" s="235" cm="1">
        <f t="array" ref="BR372">$BI372 * IF($AH372&lt;=2,
SUMPRODUCT(INDEX($AR$72:$AT$76,,$AI372), INDEX($AU$72:$BA$76,,$AH372), 1 / ($BB$72:$BB$76*BQ372 + (1-$BB$72:$BB$76)*BM372), N($AQ$72:$AQ$76&gt;$AO372)),
SUMPRODUCT(INDEX($AR$67:$AT$76,,$AI372), INDEX($AU$67:$BA$76,,$AH372), 1 / ($BC$67:$BC$76*BQ372 + (1-$BC$67:$BC$76)*BM372), N($AQ$67:$AQ$76&gt;$AO372))
) / 1000</f>
        <v>0</v>
      </c>
      <c r="BS372" s="232">
        <f t="shared" si="492"/>
        <v>25</v>
      </c>
      <c r="BT372" s="230">
        <f t="shared" si="469"/>
        <v>38</v>
      </c>
      <c r="BU372" s="235">
        <f t="shared" si="470"/>
        <v>3.792954545454545</v>
      </c>
      <c r="BV372" s="235" cm="1">
        <f t="array" ref="BV372">$BI372 * IF($AH372&lt;=2,
SUMPRODUCT(INDEX($AR$67:$AT$71,,$AI372), INDEX($AU$67:$BA$71,,$AH372), 1 / ($BB$67:$BB$71*BU372 + (1-$BB$67:$BB$71)*BQ372), N($AQ$67:$AQ$71&gt;$AO372)),
SUMPRODUCT(INDEX($AR$57:$AT$66,,$AI372), INDEX($AU$57:$BA$66,,$AH372), 1 / ($BC$57:$BC$66*BU372 + (1-$BC$57:$BC$66)*BQ372), N($AQ$57:$AQ$66&gt;$AO372))
) / 1000</f>
        <v>0</v>
      </c>
      <c r="BW372" s="232">
        <f t="shared" si="493"/>
        <v>20</v>
      </c>
      <c r="BX372" s="230">
        <f t="shared" si="471"/>
        <v>33</v>
      </c>
      <c r="BY372" s="235">
        <f t="shared" si="472"/>
        <v>4.4702678571428569</v>
      </c>
      <c r="BZ372" s="235" cm="1">
        <f t="array" ref="BZ372">$BI372 * IF($AH372&lt;=2,
SUMPRODUCT(INDEX($AR$62:$AT$66,,$AI372), INDEX($AU$62:$BA$66,,$AH372), 1 / ($BB$62:$BB$66*BY372 + (1-$BB$62:$BB$66)*BU372), N($AQ$62:$AQ$66&gt;$AO372)),
SUMPRODUCT(INDEX($AR$47:$AT$56,,$AI372), INDEX($AU$47:$BA$56,,$AH372), 1 / ($BC$47:$BC$56*BY372 + (1-$BC$47:$BC$56)*BU372), N($AQ$47:$AQ$56&gt;$AO372))
) / 1000</f>
        <v>0</v>
      </c>
      <c r="CA372" s="235" cm="1">
        <f t="array" ref="CA372">$BI372 * IF($AH372&lt;=2,
SUMPRODUCT(INDEX($AR$23:$AT$61,,$AI372), INDEX($AU$23:$BA$61,,$AH372), 1 / ($BB$23:$BB$61*BY372), N($AQ$23:$AQ$61&gt;$AO372)),
SUMPRODUCT(INDEX($AR$23:$AT$46,,$AI372), INDEX($AU$23:$BA$46,,$AH372), 1 / ($BC$23:$BC$46*BY372), N($AQ$23:$AQ$46&gt;$AO372))
) / 1000</f>
        <v>0</v>
      </c>
      <c r="CB372" s="230">
        <f t="shared" si="473"/>
        <v>0</v>
      </c>
      <c r="CC372" s="238"/>
      <c r="CD372" s="229" cm="1">
        <f t="array" ref="CD372">IF(ISBLANK(Y372), INDEX(Use, $AH372, 4) - AN372*INDEX(Use, $AH372, 6) - (Q372-X372), Y372)</f>
        <v>7</v>
      </c>
      <c r="CE372" s="229">
        <f t="shared" si="474"/>
        <v>32</v>
      </c>
      <c r="CF372" s="230">
        <f t="shared" si="475"/>
        <v>0</v>
      </c>
      <c r="CG372" s="229">
        <v>35</v>
      </c>
      <c r="CH372" s="230">
        <f t="shared" si="476"/>
        <v>48</v>
      </c>
      <c r="CI372" s="235">
        <f t="shared" si="477"/>
        <v>3.0748170731707316</v>
      </c>
      <c r="CJ372" s="235" cm="1">
        <f t="array" ref="CJ372">$BI372 * SUMPRODUCT(INDEX($AR$77:$AT$82,,$AI372),INDEX($AU$77:$BA$82,,$AH372), N($AQ$77:$AQ$82&gt;$AO372)) / CI372 / 1000</f>
        <v>0</v>
      </c>
      <c r="CK372" s="232">
        <f t="shared" si="494"/>
        <v>30</v>
      </c>
      <c r="CL372" s="230">
        <f t="shared" si="478"/>
        <v>43</v>
      </c>
      <c r="CM372" s="235">
        <f t="shared" si="479"/>
        <v>3.5018750000000001</v>
      </c>
      <c r="CN372" s="235" cm="1">
        <f t="array" ref="CN372">$BI372 * IF($AH372&lt;=2,
SUMPRODUCT(INDEX($AR$72:$AT$76,,$AI372), INDEX($AU$72:$BA$76,,$AH372), 1 / ($BB$72:$BB$76*CM372 + (1-$BB$72:$BB$76)*CI372), N($AQ$72:$AQ$76&gt;$AO372)),
SUMPRODUCT(INDEX($AR$67:$AT$76,,$AI372), INDEX($AU$67:$BA$76,,$AH372), 1 / ($BC$67:$BC$76*CM372 + (1-$BC$67:$BC$76)*CI372), N($AQ$67:$AQ$76&gt;$AO372))
) / 1000</f>
        <v>0</v>
      </c>
      <c r="CO372" s="232">
        <f t="shared" si="495"/>
        <v>25</v>
      </c>
      <c r="CP372" s="230">
        <f t="shared" si="480"/>
        <v>38</v>
      </c>
      <c r="CQ372" s="235">
        <f t="shared" si="481"/>
        <v>4.0666935483870965</v>
      </c>
      <c r="CR372" s="235" cm="1">
        <f t="array" ref="CR372">$BI372 * IF($AH372&lt;=2,
SUMPRODUCT(INDEX($AR$67:$AT$71,,$AI372), INDEX($AU$67:$BA$71,,$AH372), 1 / ($BB$67:$BB$71*CQ372 + (1-$BB$67:$BB$71)*CM372), N($AQ$67:$AQ$71&gt;$AO372)),
SUMPRODUCT(INDEX($AR$57:$AT$66,,$AI372), INDEX($AU$57:$BA$66,,$AH372), 1 / ($BC$57:$BC$66*CQ372 + (1-$BC$57:$BC$66)*CM372), N($AQ$57:$AQ$66&gt;$AO372))
) / 1000</f>
        <v>0</v>
      </c>
      <c r="CS372" s="232">
        <f t="shared" si="496"/>
        <v>20</v>
      </c>
      <c r="CT372" s="230">
        <f t="shared" si="482"/>
        <v>33</v>
      </c>
      <c r="CU372" s="235">
        <f t="shared" si="483"/>
        <v>4.8487499999999999</v>
      </c>
      <c r="CV372" s="235" cm="1">
        <f t="array" ref="CV372">$BI372 * IF($AH372&lt;=2,
SUMPRODUCT(INDEX($AR$62:$AT$66,,$AI372), INDEX($AU$62:$BA$66,,$AH372), 1 / ($BB$62:$BB$66*CU372 + (1-$BB$62:$BB$66)*CQ372), N($AQ$62:$AQ$66&gt;$AO372)),
SUMPRODUCT(INDEX($AR$47:$AT$56,,$AI372), INDEX($AU$47:$BA$56,,$AH372), 1 / ($BC$47:$BC$56*CU372 + (1-$BC$47:$BC$56)*CQ372), N($AQ$47:$AQ$56&gt;$AO372))
) / 1000</f>
        <v>0</v>
      </c>
      <c r="CW372" s="235" cm="1">
        <f t="array" ref="CW372">$BI372 * IF($AH372&lt;=2,
SUMPRODUCT(INDEX($AR$23:$AT$61,,$AI372), INDEX($AU$23:$BA$61,,$AH372), 1 / ($BB$23:$BB$61*CU372), N($AQ$23:$AQ$61&gt;$AO372)),
SUMPRODUCT(INDEX($AR$23:$AT$46,,$AI372), INDEX($AU$23:$BA$46,,$AH372), 1 / ($BC$23:$BC$46*CU372), N($AQ$23:$AQ$46&gt;$AO372))
) / 1000</f>
        <v>0</v>
      </c>
      <c r="CX372" s="230">
        <f t="shared" si="484"/>
        <v>0</v>
      </c>
      <c r="CY372" s="238"/>
    </row>
    <row r="373" spans="1:103" s="76" customFormat="1" ht="14.25" customHeight="1" x14ac:dyDescent="0.2">
      <c r="A373" s="231" t="b">
        <f t="shared" si="488"/>
        <v>0</v>
      </c>
      <c r="B373" s="245">
        <v>351</v>
      </c>
      <c r="C373" s="258"/>
      <c r="D373" s="258"/>
      <c r="E373" s="246"/>
      <c r="F373" s="247" t="str">
        <f>IF(ISBLANK(E373), "", VLOOKUP(E373, Z!$A$2:$C$4127, 3, FALSE))</f>
        <v/>
      </c>
      <c r="G373" s="248"/>
      <c r="H373" s="248"/>
      <c r="I373" s="249"/>
      <c r="J373" s="250"/>
      <c r="K373" s="259"/>
      <c r="L373" s="260"/>
      <c r="M373" s="252" t="str" cm="1">
        <f t="array" ref="M373">INDEX(Trad, 53, $A$20)</f>
        <v>Verschmutzt</v>
      </c>
      <c r="N373" s="253"/>
      <c r="O373" s="253"/>
      <c r="P373" s="254"/>
      <c r="Q373" s="251"/>
      <c r="R373" s="251"/>
      <c r="S373" s="264">
        <f t="shared" si="459"/>
        <v>0</v>
      </c>
      <c r="T373" s="252" t="str" cm="1">
        <f t="array" ref="T373">INDEX(Trad, 52, $A$20)</f>
        <v>Sauber</v>
      </c>
      <c r="U373" s="253"/>
      <c r="V373" s="253"/>
      <c r="W373" s="254"/>
      <c r="X373" s="251"/>
      <c r="Y373" s="251"/>
      <c r="Z373" s="264">
        <f t="shared" si="460"/>
        <v>0</v>
      </c>
      <c r="AA373" s="261"/>
      <c r="AB373" s="258"/>
      <c r="AC373" s="246"/>
      <c r="AD373" s="247" t="str">
        <f>IF(ISBLANK(AC373), "", VLOOKUP(AC373, Z!$A$2:$C$4127, 3, FALSE))</f>
        <v/>
      </c>
      <c r="AE373" s="262"/>
      <c r="AF373" s="263">
        <f t="shared" si="461"/>
        <v>0</v>
      </c>
      <c r="AG373" s="238"/>
      <c r="AH373" s="229">
        <f t="shared" si="485"/>
        <v>1</v>
      </c>
      <c r="AI373" s="229">
        <f t="shared" si="486"/>
        <v>1</v>
      </c>
      <c r="AJ373" s="229">
        <f t="shared" si="487"/>
        <v>0</v>
      </c>
      <c r="AK373" s="229">
        <v>0</v>
      </c>
      <c r="AL373" s="229">
        <v>0</v>
      </c>
      <c r="AM373" s="229">
        <v>1</v>
      </c>
      <c r="AN373" s="229">
        <v>0</v>
      </c>
      <c r="AO373" s="229">
        <f t="shared" si="462"/>
        <v>-100</v>
      </c>
      <c r="AP373" s="238"/>
      <c r="AQ373" s="255"/>
      <c r="AR373" s="255"/>
      <c r="AS373" s="256"/>
      <c r="AT373" s="256"/>
      <c r="AU373" s="256"/>
      <c r="AV373" s="256"/>
      <c r="AW373" s="256"/>
      <c r="AX373" s="256"/>
      <c r="AY373" s="256"/>
      <c r="AZ373" s="256"/>
      <c r="BA373" s="256"/>
      <c r="BB373" s="256"/>
      <c r="BC373" s="256"/>
      <c r="BD373" s="238"/>
      <c r="BE373" s="229" cm="1">
        <f t="array" ref="BE373">IF(ISBLANK(R373), INDEX(Use, $AH373, 4) - AM373*INDEX(Use, $AH373, 6), R373)</f>
        <v>5</v>
      </c>
      <c r="BF373" s="229">
        <f t="shared" si="463"/>
        <v>30</v>
      </c>
      <c r="BG373" s="229">
        <f t="shared" si="489"/>
        <v>13</v>
      </c>
      <c r="BH373" s="229">
        <f t="shared" si="490"/>
        <v>0</v>
      </c>
      <c r="BI373" s="234" cm="1">
        <f t="array" ref="BI373">K373/IF($L373&gt;0, INDEX($AU$23:$BA$77, $L373+20, $AH373), 1)</f>
        <v>0</v>
      </c>
      <c r="BJ373" s="230">
        <f t="shared" si="464"/>
        <v>0</v>
      </c>
      <c r="BK373" s="229">
        <v>35</v>
      </c>
      <c r="BL373" s="230">
        <f t="shared" si="465"/>
        <v>48</v>
      </c>
      <c r="BM373" s="235">
        <f t="shared" si="466"/>
        <v>2.9108720930232557</v>
      </c>
      <c r="BN373" s="235" cm="1">
        <f t="array" ref="BN373">$BI373 * SUMPRODUCT(INDEX($AR$77:$AT$82,,$AI373),INDEX($AU$77:$BA$82,,$AH373), N($AQ$77:$AQ$82&gt;$AO373)) / BM373 / 1000</f>
        <v>0</v>
      </c>
      <c r="BO373" s="232">
        <f t="shared" si="491"/>
        <v>30</v>
      </c>
      <c r="BP373" s="230">
        <f t="shared" si="467"/>
        <v>43</v>
      </c>
      <c r="BQ373" s="235">
        <f t="shared" si="468"/>
        <v>3.2938815789473681</v>
      </c>
      <c r="BR373" s="235" cm="1">
        <f t="array" ref="BR373">$BI373 * IF($AH373&lt;=2,
SUMPRODUCT(INDEX($AR$72:$AT$76,,$AI373), INDEX($AU$72:$BA$76,,$AH373), 1 / ($BB$72:$BB$76*BQ373 + (1-$BB$72:$BB$76)*BM373), N($AQ$72:$AQ$76&gt;$AO373)),
SUMPRODUCT(INDEX($AR$67:$AT$76,,$AI373), INDEX($AU$67:$BA$76,,$AH373), 1 / ($BC$67:$BC$76*BQ373 + (1-$BC$67:$BC$76)*BM373), N($AQ$67:$AQ$76&gt;$AO373))
) / 1000</f>
        <v>0</v>
      </c>
      <c r="BS373" s="232">
        <f t="shared" si="492"/>
        <v>25</v>
      </c>
      <c r="BT373" s="230">
        <f t="shared" si="469"/>
        <v>38</v>
      </c>
      <c r="BU373" s="235">
        <f t="shared" si="470"/>
        <v>3.792954545454545</v>
      </c>
      <c r="BV373" s="235" cm="1">
        <f t="array" ref="BV373">$BI373 * IF($AH373&lt;=2,
SUMPRODUCT(INDEX($AR$67:$AT$71,,$AI373), INDEX($AU$67:$BA$71,,$AH373), 1 / ($BB$67:$BB$71*BU373 + (1-$BB$67:$BB$71)*BQ373), N($AQ$67:$AQ$71&gt;$AO373)),
SUMPRODUCT(INDEX($AR$57:$AT$66,,$AI373), INDEX($AU$57:$BA$66,,$AH373), 1 / ($BC$57:$BC$66*BU373 + (1-$BC$57:$BC$66)*BQ373), N($AQ$57:$AQ$66&gt;$AO373))
) / 1000</f>
        <v>0</v>
      </c>
      <c r="BW373" s="232">
        <f t="shared" si="493"/>
        <v>20</v>
      </c>
      <c r="BX373" s="230">
        <f t="shared" si="471"/>
        <v>33</v>
      </c>
      <c r="BY373" s="235">
        <f t="shared" si="472"/>
        <v>4.4702678571428569</v>
      </c>
      <c r="BZ373" s="235" cm="1">
        <f t="array" ref="BZ373">$BI373 * IF($AH373&lt;=2,
SUMPRODUCT(INDEX($AR$62:$AT$66,,$AI373), INDEX($AU$62:$BA$66,,$AH373), 1 / ($BB$62:$BB$66*BY373 + (1-$BB$62:$BB$66)*BU373), N($AQ$62:$AQ$66&gt;$AO373)),
SUMPRODUCT(INDEX($AR$47:$AT$56,,$AI373), INDEX($AU$47:$BA$56,,$AH373), 1 / ($BC$47:$BC$56*BY373 + (1-$BC$47:$BC$56)*BU373), N($AQ$47:$AQ$56&gt;$AO373))
) / 1000</f>
        <v>0</v>
      </c>
      <c r="CA373" s="235" cm="1">
        <f t="array" ref="CA373">$BI373 * IF($AH373&lt;=2,
SUMPRODUCT(INDEX($AR$23:$AT$61,,$AI373), INDEX($AU$23:$BA$61,,$AH373), 1 / ($BB$23:$BB$61*BY373), N($AQ$23:$AQ$61&gt;$AO373)),
SUMPRODUCT(INDEX($AR$23:$AT$46,,$AI373), INDEX($AU$23:$BA$46,,$AH373), 1 / ($BC$23:$BC$46*BY373), N($AQ$23:$AQ$46&gt;$AO373))
) / 1000</f>
        <v>0</v>
      </c>
      <c r="CB373" s="230">
        <f t="shared" si="473"/>
        <v>0</v>
      </c>
      <c r="CC373" s="238"/>
      <c r="CD373" s="229" cm="1">
        <f t="array" ref="CD373">IF(ISBLANK(Y373), INDEX(Use, $AH373, 4) - AN373*INDEX(Use, $AH373, 6) - (Q373-X373), Y373)</f>
        <v>7</v>
      </c>
      <c r="CE373" s="229">
        <f t="shared" si="474"/>
        <v>32</v>
      </c>
      <c r="CF373" s="230">
        <f t="shared" si="475"/>
        <v>0</v>
      </c>
      <c r="CG373" s="229">
        <v>35</v>
      </c>
      <c r="CH373" s="230">
        <f t="shared" si="476"/>
        <v>48</v>
      </c>
      <c r="CI373" s="235">
        <f t="shared" si="477"/>
        <v>3.0748170731707316</v>
      </c>
      <c r="CJ373" s="235" cm="1">
        <f t="array" ref="CJ373">$BI373 * SUMPRODUCT(INDEX($AR$77:$AT$82,,$AI373),INDEX($AU$77:$BA$82,,$AH373), N($AQ$77:$AQ$82&gt;$AO373)) / CI373 / 1000</f>
        <v>0</v>
      </c>
      <c r="CK373" s="232">
        <f t="shared" si="494"/>
        <v>30</v>
      </c>
      <c r="CL373" s="230">
        <f t="shared" si="478"/>
        <v>43</v>
      </c>
      <c r="CM373" s="235">
        <f t="shared" si="479"/>
        <v>3.5018750000000001</v>
      </c>
      <c r="CN373" s="235" cm="1">
        <f t="array" ref="CN373">$BI373 * IF($AH373&lt;=2,
SUMPRODUCT(INDEX($AR$72:$AT$76,,$AI373), INDEX($AU$72:$BA$76,,$AH373), 1 / ($BB$72:$BB$76*CM373 + (1-$BB$72:$BB$76)*CI373), N($AQ$72:$AQ$76&gt;$AO373)),
SUMPRODUCT(INDEX($AR$67:$AT$76,,$AI373), INDEX($AU$67:$BA$76,,$AH373), 1 / ($BC$67:$BC$76*CM373 + (1-$BC$67:$BC$76)*CI373), N($AQ$67:$AQ$76&gt;$AO373))
) / 1000</f>
        <v>0</v>
      </c>
      <c r="CO373" s="232">
        <f t="shared" si="495"/>
        <v>25</v>
      </c>
      <c r="CP373" s="230">
        <f t="shared" si="480"/>
        <v>38</v>
      </c>
      <c r="CQ373" s="235">
        <f t="shared" si="481"/>
        <v>4.0666935483870965</v>
      </c>
      <c r="CR373" s="235" cm="1">
        <f t="array" ref="CR373">$BI373 * IF($AH373&lt;=2,
SUMPRODUCT(INDEX($AR$67:$AT$71,,$AI373), INDEX($AU$67:$BA$71,,$AH373), 1 / ($BB$67:$BB$71*CQ373 + (1-$BB$67:$BB$71)*CM373), N($AQ$67:$AQ$71&gt;$AO373)),
SUMPRODUCT(INDEX($AR$57:$AT$66,,$AI373), INDEX($AU$57:$BA$66,,$AH373), 1 / ($BC$57:$BC$66*CQ373 + (1-$BC$57:$BC$66)*CM373), N($AQ$57:$AQ$66&gt;$AO373))
) / 1000</f>
        <v>0</v>
      </c>
      <c r="CS373" s="232">
        <f t="shared" si="496"/>
        <v>20</v>
      </c>
      <c r="CT373" s="230">
        <f t="shared" si="482"/>
        <v>33</v>
      </c>
      <c r="CU373" s="235">
        <f t="shared" si="483"/>
        <v>4.8487499999999999</v>
      </c>
      <c r="CV373" s="235" cm="1">
        <f t="array" ref="CV373">$BI373 * IF($AH373&lt;=2,
SUMPRODUCT(INDEX($AR$62:$AT$66,,$AI373), INDEX($AU$62:$BA$66,,$AH373), 1 / ($BB$62:$BB$66*CU373 + (1-$BB$62:$BB$66)*CQ373), N($AQ$62:$AQ$66&gt;$AO373)),
SUMPRODUCT(INDEX($AR$47:$AT$56,,$AI373), INDEX($AU$47:$BA$56,,$AH373), 1 / ($BC$47:$BC$56*CU373 + (1-$BC$47:$BC$56)*CQ373), N($AQ$47:$AQ$56&gt;$AO373))
) / 1000</f>
        <v>0</v>
      </c>
      <c r="CW373" s="235" cm="1">
        <f t="array" ref="CW373">$BI373 * IF($AH373&lt;=2,
SUMPRODUCT(INDEX($AR$23:$AT$61,,$AI373), INDEX($AU$23:$BA$61,,$AH373), 1 / ($BB$23:$BB$61*CU373), N($AQ$23:$AQ$61&gt;$AO373)),
SUMPRODUCT(INDEX($AR$23:$AT$46,,$AI373), INDEX($AU$23:$BA$46,,$AH373), 1 / ($BC$23:$BC$46*CU373), N($AQ$23:$AQ$46&gt;$AO373))
) / 1000</f>
        <v>0</v>
      </c>
      <c r="CX373" s="230">
        <f t="shared" si="484"/>
        <v>0</v>
      </c>
      <c r="CY373" s="238"/>
    </row>
    <row r="374" spans="1:103" s="76" customFormat="1" ht="14.25" customHeight="1" x14ac:dyDescent="0.2">
      <c r="A374" s="231" t="b">
        <f t="shared" si="488"/>
        <v>0</v>
      </c>
      <c r="B374" s="245">
        <v>352</v>
      </c>
      <c r="C374" s="258"/>
      <c r="D374" s="258"/>
      <c r="E374" s="246"/>
      <c r="F374" s="247" t="str">
        <f>IF(ISBLANK(E374), "", VLOOKUP(E374, Z!$A$2:$C$4127, 3, FALSE))</f>
        <v/>
      </c>
      <c r="G374" s="248"/>
      <c r="H374" s="248"/>
      <c r="I374" s="249"/>
      <c r="J374" s="250"/>
      <c r="K374" s="259"/>
      <c r="L374" s="260"/>
      <c r="M374" s="252" t="str" cm="1">
        <f t="array" ref="M374">INDEX(Trad, 53, $A$20)</f>
        <v>Verschmutzt</v>
      </c>
      <c r="N374" s="253"/>
      <c r="O374" s="253"/>
      <c r="P374" s="254"/>
      <c r="Q374" s="251"/>
      <c r="R374" s="251"/>
      <c r="S374" s="264">
        <f t="shared" si="459"/>
        <v>0</v>
      </c>
      <c r="T374" s="252" t="str" cm="1">
        <f t="array" ref="T374">INDEX(Trad, 52, $A$20)</f>
        <v>Sauber</v>
      </c>
      <c r="U374" s="253"/>
      <c r="V374" s="253"/>
      <c r="W374" s="254"/>
      <c r="X374" s="251"/>
      <c r="Y374" s="251"/>
      <c r="Z374" s="264">
        <f t="shared" si="460"/>
        <v>0</v>
      </c>
      <c r="AA374" s="261"/>
      <c r="AB374" s="258"/>
      <c r="AC374" s="246"/>
      <c r="AD374" s="247" t="str">
        <f>IF(ISBLANK(AC374), "", VLOOKUP(AC374, Z!$A$2:$C$4127, 3, FALSE))</f>
        <v/>
      </c>
      <c r="AE374" s="262"/>
      <c r="AF374" s="263">
        <f t="shared" si="461"/>
        <v>0</v>
      </c>
      <c r="AG374" s="238"/>
      <c r="AH374" s="229">
        <f t="shared" si="485"/>
        <v>1</v>
      </c>
      <c r="AI374" s="229">
        <f t="shared" si="486"/>
        <v>1</v>
      </c>
      <c r="AJ374" s="229">
        <f t="shared" si="487"/>
        <v>0</v>
      </c>
      <c r="AK374" s="229">
        <v>0</v>
      </c>
      <c r="AL374" s="229">
        <v>0</v>
      </c>
      <c r="AM374" s="229">
        <v>1</v>
      </c>
      <c r="AN374" s="229">
        <v>0</v>
      </c>
      <c r="AO374" s="229">
        <f t="shared" si="462"/>
        <v>-100</v>
      </c>
      <c r="AP374" s="238"/>
      <c r="AQ374" s="255"/>
      <c r="AR374" s="255"/>
      <c r="AS374" s="256"/>
      <c r="AT374" s="256"/>
      <c r="AU374" s="256"/>
      <c r="AV374" s="256"/>
      <c r="AW374" s="256"/>
      <c r="AX374" s="256"/>
      <c r="AY374" s="256"/>
      <c r="AZ374" s="256"/>
      <c r="BA374" s="256"/>
      <c r="BB374" s="256"/>
      <c r="BC374" s="256"/>
      <c r="BD374" s="238"/>
      <c r="BE374" s="229" cm="1">
        <f t="array" ref="BE374">IF(ISBLANK(R374), INDEX(Use, $AH374, 4) - AM374*INDEX(Use, $AH374, 6), R374)</f>
        <v>5</v>
      </c>
      <c r="BF374" s="229">
        <f t="shared" si="463"/>
        <v>30</v>
      </c>
      <c r="BG374" s="229">
        <f t="shared" si="489"/>
        <v>13</v>
      </c>
      <c r="BH374" s="229">
        <f t="shared" si="490"/>
        <v>0</v>
      </c>
      <c r="BI374" s="234" cm="1">
        <f t="array" ref="BI374">K374/IF($L374&gt;0, INDEX($AU$23:$BA$77, $L374+20, $AH374), 1)</f>
        <v>0</v>
      </c>
      <c r="BJ374" s="230">
        <f t="shared" si="464"/>
        <v>0</v>
      </c>
      <c r="BK374" s="229">
        <v>35</v>
      </c>
      <c r="BL374" s="230">
        <f t="shared" si="465"/>
        <v>48</v>
      </c>
      <c r="BM374" s="235">
        <f t="shared" si="466"/>
        <v>2.9108720930232557</v>
      </c>
      <c r="BN374" s="235" cm="1">
        <f t="array" ref="BN374">$BI374 * SUMPRODUCT(INDEX($AR$77:$AT$82,,$AI374),INDEX($AU$77:$BA$82,,$AH374), N($AQ$77:$AQ$82&gt;$AO374)) / BM374 / 1000</f>
        <v>0</v>
      </c>
      <c r="BO374" s="232">
        <f t="shared" si="491"/>
        <v>30</v>
      </c>
      <c r="BP374" s="230">
        <f t="shared" si="467"/>
        <v>43</v>
      </c>
      <c r="BQ374" s="235">
        <f t="shared" si="468"/>
        <v>3.2938815789473681</v>
      </c>
      <c r="BR374" s="235" cm="1">
        <f t="array" ref="BR374">$BI374 * IF($AH374&lt;=2,
SUMPRODUCT(INDEX($AR$72:$AT$76,,$AI374), INDEX($AU$72:$BA$76,,$AH374), 1 / ($BB$72:$BB$76*BQ374 + (1-$BB$72:$BB$76)*BM374), N($AQ$72:$AQ$76&gt;$AO374)),
SUMPRODUCT(INDEX($AR$67:$AT$76,,$AI374), INDEX($AU$67:$BA$76,,$AH374), 1 / ($BC$67:$BC$76*BQ374 + (1-$BC$67:$BC$76)*BM374), N($AQ$67:$AQ$76&gt;$AO374))
) / 1000</f>
        <v>0</v>
      </c>
      <c r="BS374" s="232">
        <f t="shared" si="492"/>
        <v>25</v>
      </c>
      <c r="BT374" s="230">
        <f t="shared" si="469"/>
        <v>38</v>
      </c>
      <c r="BU374" s="235">
        <f t="shared" si="470"/>
        <v>3.792954545454545</v>
      </c>
      <c r="BV374" s="235" cm="1">
        <f t="array" ref="BV374">$BI374 * IF($AH374&lt;=2,
SUMPRODUCT(INDEX($AR$67:$AT$71,,$AI374), INDEX($AU$67:$BA$71,,$AH374), 1 / ($BB$67:$BB$71*BU374 + (1-$BB$67:$BB$71)*BQ374), N($AQ$67:$AQ$71&gt;$AO374)),
SUMPRODUCT(INDEX($AR$57:$AT$66,,$AI374), INDEX($AU$57:$BA$66,,$AH374), 1 / ($BC$57:$BC$66*BU374 + (1-$BC$57:$BC$66)*BQ374), N($AQ$57:$AQ$66&gt;$AO374))
) / 1000</f>
        <v>0</v>
      </c>
      <c r="BW374" s="232">
        <f t="shared" si="493"/>
        <v>20</v>
      </c>
      <c r="BX374" s="230">
        <f t="shared" si="471"/>
        <v>33</v>
      </c>
      <c r="BY374" s="235">
        <f t="shared" si="472"/>
        <v>4.4702678571428569</v>
      </c>
      <c r="BZ374" s="235" cm="1">
        <f t="array" ref="BZ374">$BI374 * IF($AH374&lt;=2,
SUMPRODUCT(INDEX($AR$62:$AT$66,,$AI374), INDEX($AU$62:$BA$66,,$AH374), 1 / ($BB$62:$BB$66*BY374 + (1-$BB$62:$BB$66)*BU374), N($AQ$62:$AQ$66&gt;$AO374)),
SUMPRODUCT(INDEX($AR$47:$AT$56,,$AI374), INDEX($AU$47:$BA$56,,$AH374), 1 / ($BC$47:$BC$56*BY374 + (1-$BC$47:$BC$56)*BU374), N($AQ$47:$AQ$56&gt;$AO374))
) / 1000</f>
        <v>0</v>
      </c>
      <c r="CA374" s="235" cm="1">
        <f t="array" ref="CA374">$BI374 * IF($AH374&lt;=2,
SUMPRODUCT(INDEX($AR$23:$AT$61,,$AI374), INDEX($AU$23:$BA$61,,$AH374), 1 / ($BB$23:$BB$61*BY374), N($AQ$23:$AQ$61&gt;$AO374)),
SUMPRODUCT(INDEX($AR$23:$AT$46,,$AI374), INDEX($AU$23:$BA$46,,$AH374), 1 / ($BC$23:$BC$46*BY374), N($AQ$23:$AQ$46&gt;$AO374))
) / 1000</f>
        <v>0</v>
      </c>
      <c r="CB374" s="230">
        <f t="shared" si="473"/>
        <v>0</v>
      </c>
      <c r="CC374" s="238"/>
      <c r="CD374" s="229" cm="1">
        <f t="array" ref="CD374">IF(ISBLANK(Y374), INDEX(Use, $AH374, 4) - AN374*INDEX(Use, $AH374, 6) - (Q374-X374), Y374)</f>
        <v>7</v>
      </c>
      <c r="CE374" s="229">
        <f t="shared" si="474"/>
        <v>32</v>
      </c>
      <c r="CF374" s="230">
        <f t="shared" si="475"/>
        <v>0</v>
      </c>
      <c r="CG374" s="229">
        <v>35</v>
      </c>
      <c r="CH374" s="230">
        <f t="shared" si="476"/>
        <v>48</v>
      </c>
      <c r="CI374" s="235">
        <f t="shared" si="477"/>
        <v>3.0748170731707316</v>
      </c>
      <c r="CJ374" s="235" cm="1">
        <f t="array" ref="CJ374">$BI374 * SUMPRODUCT(INDEX($AR$77:$AT$82,,$AI374),INDEX($AU$77:$BA$82,,$AH374), N($AQ$77:$AQ$82&gt;$AO374)) / CI374 / 1000</f>
        <v>0</v>
      </c>
      <c r="CK374" s="232">
        <f t="shared" si="494"/>
        <v>30</v>
      </c>
      <c r="CL374" s="230">
        <f t="shared" si="478"/>
        <v>43</v>
      </c>
      <c r="CM374" s="235">
        <f t="shared" si="479"/>
        <v>3.5018750000000001</v>
      </c>
      <c r="CN374" s="235" cm="1">
        <f t="array" ref="CN374">$BI374 * IF($AH374&lt;=2,
SUMPRODUCT(INDEX($AR$72:$AT$76,,$AI374), INDEX($AU$72:$BA$76,,$AH374), 1 / ($BB$72:$BB$76*CM374 + (1-$BB$72:$BB$76)*CI374), N($AQ$72:$AQ$76&gt;$AO374)),
SUMPRODUCT(INDEX($AR$67:$AT$76,,$AI374), INDEX($AU$67:$BA$76,,$AH374), 1 / ($BC$67:$BC$76*CM374 + (1-$BC$67:$BC$76)*CI374), N($AQ$67:$AQ$76&gt;$AO374))
) / 1000</f>
        <v>0</v>
      </c>
      <c r="CO374" s="232">
        <f t="shared" si="495"/>
        <v>25</v>
      </c>
      <c r="CP374" s="230">
        <f t="shared" si="480"/>
        <v>38</v>
      </c>
      <c r="CQ374" s="235">
        <f t="shared" si="481"/>
        <v>4.0666935483870965</v>
      </c>
      <c r="CR374" s="235" cm="1">
        <f t="array" ref="CR374">$BI374 * IF($AH374&lt;=2,
SUMPRODUCT(INDEX($AR$67:$AT$71,,$AI374), INDEX($AU$67:$BA$71,,$AH374), 1 / ($BB$67:$BB$71*CQ374 + (1-$BB$67:$BB$71)*CM374), N($AQ$67:$AQ$71&gt;$AO374)),
SUMPRODUCT(INDEX($AR$57:$AT$66,,$AI374), INDEX($AU$57:$BA$66,,$AH374), 1 / ($BC$57:$BC$66*CQ374 + (1-$BC$57:$BC$66)*CM374), N($AQ$57:$AQ$66&gt;$AO374))
) / 1000</f>
        <v>0</v>
      </c>
      <c r="CS374" s="232">
        <f t="shared" si="496"/>
        <v>20</v>
      </c>
      <c r="CT374" s="230">
        <f t="shared" si="482"/>
        <v>33</v>
      </c>
      <c r="CU374" s="235">
        <f t="shared" si="483"/>
        <v>4.8487499999999999</v>
      </c>
      <c r="CV374" s="235" cm="1">
        <f t="array" ref="CV374">$BI374 * IF($AH374&lt;=2,
SUMPRODUCT(INDEX($AR$62:$AT$66,,$AI374), INDEX($AU$62:$BA$66,,$AH374), 1 / ($BB$62:$BB$66*CU374 + (1-$BB$62:$BB$66)*CQ374), N($AQ$62:$AQ$66&gt;$AO374)),
SUMPRODUCT(INDEX($AR$47:$AT$56,,$AI374), INDEX($AU$47:$BA$56,,$AH374), 1 / ($BC$47:$BC$56*CU374 + (1-$BC$47:$BC$56)*CQ374), N($AQ$47:$AQ$56&gt;$AO374))
) / 1000</f>
        <v>0</v>
      </c>
      <c r="CW374" s="235" cm="1">
        <f t="array" ref="CW374">$BI374 * IF($AH374&lt;=2,
SUMPRODUCT(INDEX($AR$23:$AT$61,,$AI374), INDEX($AU$23:$BA$61,,$AH374), 1 / ($BB$23:$BB$61*CU374), N($AQ$23:$AQ$61&gt;$AO374)),
SUMPRODUCT(INDEX($AR$23:$AT$46,,$AI374), INDEX($AU$23:$BA$46,,$AH374), 1 / ($BC$23:$BC$46*CU374), N($AQ$23:$AQ$46&gt;$AO374))
) / 1000</f>
        <v>0</v>
      </c>
      <c r="CX374" s="230">
        <f t="shared" si="484"/>
        <v>0</v>
      </c>
      <c r="CY374" s="238"/>
    </row>
    <row r="375" spans="1:103" s="76" customFormat="1" ht="14.25" customHeight="1" x14ac:dyDescent="0.2">
      <c r="A375" s="231" t="b">
        <f t="shared" si="488"/>
        <v>0</v>
      </c>
      <c r="B375" s="245">
        <v>353</v>
      </c>
      <c r="C375" s="258"/>
      <c r="D375" s="258"/>
      <c r="E375" s="246"/>
      <c r="F375" s="247" t="str">
        <f>IF(ISBLANK(E375), "", VLOOKUP(E375, Z!$A$2:$C$4127, 3, FALSE))</f>
        <v/>
      </c>
      <c r="G375" s="248"/>
      <c r="H375" s="248"/>
      <c r="I375" s="249"/>
      <c r="J375" s="250"/>
      <c r="K375" s="259"/>
      <c r="L375" s="260"/>
      <c r="M375" s="252" t="str" cm="1">
        <f t="array" ref="M375">INDEX(Trad, 53, $A$20)</f>
        <v>Verschmutzt</v>
      </c>
      <c r="N375" s="253"/>
      <c r="O375" s="253"/>
      <c r="P375" s="254"/>
      <c r="Q375" s="251"/>
      <c r="R375" s="251"/>
      <c r="S375" s="264">
        <f t="shared" si="459"/>
        <v>0</v>
      </c>
      <c r="T375" s="252" t="str" cm="1">
        <f t="array" ref="T375">INDEX(Trad, 52, $A$20)</f>
        <v>Sauber</v>
      </c>
      <c r="U375" s="253"/>
      <c r="V375" s="253"/>
      <c r="W375" s="254"/>
      <c r="X375" s="251"/>
      <c r="Y375" s="251"/>
      <c r="Z375" s="264">
        <f t="shared" si="460"/>
        <v>0</v>
      </c>
      <c r="AA375" s="261"/>
      <c r="AB375" s="258"/>
      <c r="AC375" s="246"/>
      <c r="AD375" s="247" t="str">
        <f>IF(ISBLANK(AC375), "", VLOOKUP(AC375, Z!$A$2:$C$4127, 3, FALSE))</f>
        <v/>
      </c>
      <c r="AE375" s="262"/>
      <c r="AF375" s="263">
        <f t="shared" si="461"/>
        <v>0</v>
      </c>
      <c r="AG375" s="238"/>
      <c r="AH375" s="229">
        <f t="shared" si="485"/>
        <v>1</v>
      </c>
      <c r="AI375" s="229">
        <f t="shared" si="486"/>
        <v>1</v>
      </c>
      <c r="AJ375" s="229">
        <f t="shared" si="487"/>
        <v>0</v>
      </c>
      <c r="AK375" s="229">
        <v>0</v>
      </c>
      <c r="AL375" s="229">
        <v>0</v>
      </c>
      <c r="AM375" s="229">
        <v>1</v>
      </c>
      <c r="AN375" s="229">
        <v>0</v>
      </c>
      <c r="AO375" s="229">
        <f t="shared" si="462"/>
        <v>-100</v>
      </c>
      <c r="AP375" s="238"/>
      <c r="AQ375" s="255"/>
      <c r="AR375" s="255"/>
      <c r="AS375" s="256"/>
      <c r="AT375" s="256"/>
      <c r="AU375" s="256"/>
      <c r="AV375" s="256"/>
      <c r="AW375" s="256"/>
      <c r="AX375" s="256"/>
      <c r="AY375" s="256"/>
      <c r="AZ375" s="256"/>
      <c r="BA375" s="256"/>
      <c r="BB375" s="256"/>
      <c r="BC375" s="256"/>
      <c r="BD375" s="238"/>
      <c r="BE375" s="229" cm="1">
        <f t="array" ref="BE375">IF(ISBLANK(R375), INDEX(Use, $AH375, 4) - AM375*INDEX(Use, $AH375, 6), R375)</f>
        <v>5</v>
      </c>
      <c r="BF375" s="229">
        <f t="shared" si="463"/>
        <v>30</v>
      </c>
      <c r="BG375" s="229">
        <f t="shared" si="489"/>
        <v>13</v>
      </c>
      <c r="BH375" s="229">
        <f t="shared" si="490"/>
        <v>0</v>
      </c>
      <c r="BI375" s="234" cm="1">
        <f t="array" ref="BI375">K375/IF($L375&gt;0, INDEX($AU$23:$BA$77, $L375+20, $AH375), 1)</f>
        <v>0</v>
      </c>
      <c r="BJ375" s="230">
        <f t="shared" si="464"/>
        <v>0</v>
      </c>
      <c r="BK375" s="229">
        <v>35</v>
      </c>
      <c r="BL375" s="230">
        <f t="shared" si="465"/>
        <v>48</v>
      </c>
      <c r="BM375" s="235">
        <f t="shared" si="466"/>
        <v>2.9108720930232557</v>
      </c>
      <c r="BN375" s="235" cm="1">
        <f t="array" ref="BN375">$BI375 * SUMPRODUCT(INDEX($AR$77:$AT$82,,$AI375),INDEX($AU$77:$BA$82,,$AH375), N($AQ$77:$AQ$82&gt;$AO375)) / BM375 / 1000</f>
        <v>0</v>
      </c>
      <c r="BO375" s="232">
        <f t="shared" si="491"/>
        <v>30</v>
      </c>
      <c r="BP375" s="230">
        <f t="shared" si="467"/>
        <v>43</v>
      </c>
      <c r="BQ375" s="235">
        <f t="shared" si="468"/>
        <v>3.2938815789473681</v>
      </c>
      <c r="BR375" s="235" cm="1">
        <f t="array" ref="BR375">$BI375 * IF($AH375&lt;=2,
SUMPRODUCT(INDEX($AR$72:$AT$76,,$AI375), INDEX($AU$72:$BA$76,,$AH375), 1 / ($BB$72:$BB$76*BQ375 + (1-$BB$72:$BB$76)*BM375), N($AQ$72:$AQ$76&gt;$AO375)),
SUMPRODUCT(INDEX($AR$67:$AT$76,,$AI375), INDEX($AU$67:$BA$76,,$AH375), 1 / ($BC$67:$BC$76*BQ375 + (1-$BC$67:$BC$76)*BM375), N($AQ$67:$AQ$76&gt;$AO375))
) / 1000</f>
        <v>0</v>
      </c>
      <c r="BS375" s="232">
        <f t="shared" si="492"/>
        <v>25</v>
      </c>
      <c r="BT375" s="230">
        <f t="shared" si="469"/>
        <v>38</v>
      </c>
      <c r="BU375" s="235">
        <f t="shared" si="470"/>
        <v>3.792954545454545</v>
      </c>
      <c r="BV375" s="235" cm="1">
        <f t="array" ref="BV375">$BI375 * IF($AH375&lt;=2,
SUMPRODUCT(INDEX($AR$67:$AT$71,,$AI375), INDEX($AU$67:$BA$71,,$AH375), 1 / ($BB$67:$BB$71*BU375 + (1-$BB$67:$BB$71)*BQ375), N($AQ$67:$AQ$71&gt;$AO375)),
SUMPRODUCT(INDEX($AR$57:$AT$66,,$AI375), INDEX($AU$57:$BA$66,,$AH375), 1 / ($BC$57:$BC$66*BU375 + (1-$BC$57:$BC$66)*BQ375), N($AQ$57:$AQ$66&gt;$AO375))
) / 1000</f>
        <v>0</v>
      </c>
      <c r="BW375" s="232">
        <f t="shared" si="493"/>
        <v>20</v>
      </c>
      <c r="BX375" s="230">
        <f t="shared" si="471"/>
        <v>33</v>
      </c>
      <c r="BY375" s="235">
        <f t="shared" si="472"/>
        <v>4.4702678571428569</v>
      </c>
      <c r="BZ375" s="235" cm="1">
        <f t="array" ref="BZ375">$BI375 * IF($AH375&lt;=2,
SUMPRODUCT(INDEX($AR$62:$AT$66,,$AI375), INDEX($AU$62:$BA$66,,$AH375), 1 / ($BB$62:$BB$66*BY375 + (1-$BB$62:$BB$66)*BU375), N($AQ$62:$AQ$66&gt;$AO375)),
SUMPRODUCT(INDEX($AR$47:$AT$56,,$AI375), INDEX($AU$47:$BA$56,,$AH375), 1 / ($BC$47:$BC$56*BY375 + (1-$BC$47:$BC$56)*BU375), N($AQ$47:$AQ$56&gt;$AO375))
) / 1000</f>
        <v>0</v>
      </c>
      <c r="CA375" s="235" cm="1">
        <f t="array" ref="CA375">$BI375 * IF($AH375&lt;=2,
SUMPRODUCT(INDEX($AR$23:$AT$61,,$AI375), INDEX($AU$23:$BA$61,,$AH375), 1 / ($BB$23:$BB$61*BY375), N($AQ$23:$AQ$61&gt;$AO375)),
SUMPRODUCT(INDEX($AR$23:$AT$46,,$AI375), INDEX($AU$23:$BA$46,,$AH375), 1 / ($BC$23:$BC$46*BY375), N($AQ$23:$AQ$46&gt;$AO375))
) / 1000</f>
        <v>0</v>
      </c>
      <c r="CB375" s="230">
        <f t="shared" si="473"/>
        <v>0</v>
      </c>
      <c r="CC375" s="238"/>
      <c r="CD375" s="229" cm="1">
        <f t="array" ref="CD375">IF(ISBLANK(Y375), INDEX(Use, $AH375, 4) - AN375*INDEX(Use, $AH375, 6) - (Q375-X375), Y375)</f>
        <v>7</v>
      </c>
      <c r="CE375" s="229">
        <f t="shared" si="474"/>
        <v>32</v>
      </c>
      <c r="CF375" s="230">
        <f t="shared" si="475"/>
        <v>0</v>
      </c>
      <c r="CG375" s="229">
        <v>35</v>
      </c>
      <c r="CH375" s="230">
        <f t="shared" si="476"/>
        <v>48</v>
      </c>
      <c r="CI375" s="235">
        <f t="shared" si="477"/>
        <v>3.0748170731707316</v>
      </c>
      <c r="CJ375" s="235" cm="1">
        <f t="array" ref="CJ375">$BI375 * SUMPRODUCT(INDEX($AR$77:$AT$82,,$AI375),INDEX($AU$77:$BA$82,,$AH375), N($AQ$77:$AQ$82&gt;$AO375)) / CI375 / 1000</f>
        <v>0</v>
      </c>
      <c r="CK375" s="232">
        <f t="shared" si="494"/>
        <v>30</v>
      </c>
      <c r="CL375" s="230">
        <f t="shared" si="478"/>
        <v>43</v>
      </c>
      <c r="CM375" s="235">
        <f t="shared" si="479"/>
        <v>3.5018750000000001</v>
      </c>
      <c r="CN375" s="235" cm="1">
        <f t="array" ref="CN375">$BI375 * IF($AH375&lt;=2,
SUMPRODUCT(INDEX($AR$72:$AT$76,,$AI375), INDEX($AU$72:$BA$76,,$AH375), 1 / ($BB$72:$BB$76*CM375 + (1-$BB$72:$BB$76)*CI375), N($AQ$72:$AQ$76&gt;$AO375)),
SUMPRODUCT(INDEX($AR$67:$AT$76,,$AI375), INDEX($AU$67:$BA$76,,$AH375), 1 / ($BC$67:$BC$76*CM375 + (1-$BC$67:$BC$76)*CI375), N($AQ$67:$AQ$76&gt;$AO375))
) / 1000</f>
        <v>0</v>
      </c>
      <c r="CO375" s="232">
        <f t="shared" si="495"/>
        <v>25</v>
      </c>
      <c r="CP375" s="230">
        <f t="shared" si="480"/>
        <v>38</v>
      </c>
      <c r="CQ375" s="235">
        <f t="shared" si="481"/>
        <v>4.0666935483870965</v>
      </c>
      <c r="CR375" s="235" cm="1">
        <f t="array" ref="CR375">$BI375 * IF($AH375&lt;=2,
SUMPRODUCT(INDEX($AR$67:$AT$71,,$AI375), INDEX($AU$67:$BA$71,,$AH375), 1 / ($BB$67:$BB$71*CQ375 + (1-$BB$67:$BB$71)*CM375), N($AQ$67:$AQ$71&gt;$AO375)),
SUMPRODUCT(INDEX($AR$57:$AT$66,,$AI375), INDEX($AU$57:$BA$66,,$AH375), 1 / ($BC$57:$BC$66*CQ375 + (1-$BC$57:$BC$66)*CM375), N($AQ$57:$AQ$66&gt;$AO375))
) / 1000</f>
        <v>0</v>
      </c>
      <c r="CS375" s="232">
        <f t="shared" si="496"/>
        <v>20</v>
      </c>
      <c r="CT375" s="230">
        <f t="shared" si="482"/>
        <v>33</v>
      </c>
      <c r="CU375" s="235">
        <f t="shared" si="483"/>
        <v>4.8487499999999999</v>
      </c>
      <c r="CV375" s="235" cm="1">
        <f t="array" ref="CV375">$BI375 * IF($AH375&lt;=2,
SUMPRODUCT(INDEX($AR$62:$AT$66,,$AI375), INDEX($AU$62:$BA$66,,$AH375), 1 / ($BB$62:$BB$66*CU375 + (1-$BB$62:$BB$66)*CQ375), N($AQ$62:$AQ$66&gt;$AO375)),
SUMPRODUCT(INDEX($AR$47:$AT$56,,$AI375), INDEX($AU$47:$BA$56,,$AH375), 1 / ($BC$47:$BC$56*CU375 + (1-$BC$47:$BC$56)*CQ375), N($AQ$47:$AQ$56&gt;$AO375))
) / 1000</f>
        <v>0</v>
      </c>
      <c r="CW375" s="235" cm="1">
        <f t="array" ref="CW375">$BI375 * IF($AH375&lt;=2,
SUMPRODUCT(INDEX($AR$23:$AT$61,,$AI375), INDEX($AU$23:$BA$61,,$AH375), 1 / ($BB$23:$BB$61*CU375), N($AQ$23:$AQ$61&gt;$AO375)),
SUMPRODUCT(INDEX($AR$23:$AT$46,,$AI375), INDEX($AU$23:$BA$46,,$AH375), 1 / ($BC$23:$BC$46*CU375), N($AQ$23:$AQ$46&gt;$AO375))
) / 1000</f>
        <v>0</v>
      </c>
      <c r="CX375" s="230">
        <f t="shared" si="484"/>
        <v>0</v>
      </c>
      <c r="CY375" s="238"/>
    </row>
    <row r="376" spans="1:103" s="76" customFormat="1" ht="14.25" customHeight="1" x14ac:dyDescent="0.2">
      <c r="A376" s="231" t="b">
        <f t="shared" si="488"/>
        <v>0</v>
      </c>
      <c r="B376" s="245">
        <v>354</v>
      </c>
      <c r="C376" s="258"/>
      <c r="D376" s="258"/>
      <c r="E376" s="246"/>
      <c r="F376" s="247" t="str">
        <f>IF(ISBLANK(E376), "", VLOOKUP(E376, Z!$A$2:$C$4127, 3, FALSE))</f>
        <v/>
      </c>
      <c r="G376" s="248"/>
      <c r="H376" s="248"/>
      <c r="I376" s="249"/>
      <c r="J376" s="250"/>
      <c r="K376" s="259"/>
      <c r="L376" s="260"/>
      <c r="M376" s="252" t="str" cm="1">
        <f t="array" ref="M376">INDEX(Trad, 53, $A$20)</f>
        <v>Verschmutzt</v>
      </c>
      <c r="N376" s="253"/>
      <c r="O376" s="253"/>
      <c r="P376" s="254"/>
      <c r="Q376" s="251"/>
      <c r="R376" s="251"/>
      <c r="S376" s="264">
        <f t="shared" si="459"/>
        <v>0</v>
      </c>
      <c r="T376" s="252" t="str" cm="1">
        <f t="array" ref="T376">INDEX(Trad, 52, $A$20)</f>
        <v>Sauber</v>
      </c>
      <c r="U376" s="253"/>
      <c r="V376" s="253"/>
      <c r="W376" s="254"/>
      <c r="X376" s="251"/>
      <c r="Y376" s="251"/>
      <c r="Z376" s="264">
        <f t="shared" si="460"/>
        <v>0</v>
      </c>
      <c r="AA376" s="261"/>
      <c r="AB376" s="258"/>
      <c r="AC376" s="246"/>
      <c r="AD376" s="247" t="str">
        <f>IF(ISBLANK(AC376), "", VLOOKUP(AC376, Z!$A$2:$C$4127, 3, FALSE))</f>
        <v/>
      </c>
      <c r="AE376" s="262"/>
      <c r="AF376" s="263">
        <f t="shared" si="461"/>
        <v>0</v>
      </c>
      <c r="AG376" s="238"/>
      <c r="AH376" s="229">
        <f t="shared" si="485"/>
        <v>1</v>
      </c>
      <c r="AI376" s="229">
        <f t="shared" si="486"/>
        <v>1</v>
      </c>
      <c r="AJ376" s="229">
        <f t="shared" si="487"/>
        <v>0</v>
      </c>
      <c r="AK376" s="229">
        <v>0</v>
      </c>
      <c r="AL376" s="229">
        <v>0</v>
      </c>
      <c r="AM376" s="229">
        <v>1</v>
      </c>
      <c r="AN376" s="229">
        <v>0</v>
      </c>
      <c r="AO376" s="229">
        <f t="shared" si="462"/>
        <v>-100</v>
      </c>
      <c r="AP376" s="238"/>
      <c r="AQ376" s="255"/>
      <c r="AR376" s="255"/>
      <c r="AS376" s="256"/>
      <c r="AT376" s="256"/>
      <c r="AU376" s="256"/>
      <c r="AV376" s="256"/>
      <c r="AW376" s="256"/>
      <c r="AX376" s="256"/>
      <c r="AY376" s="256"/>
      <c r="AZ376" s="256"/>
      <c r="BA376" s="256"/>
      <c r="BB376" s="256"/>
      <c r="BC376" s="256"/>
      <c r="BD376" s="238"/>
      <c r="BE376" s="229" cm="1">
        <f t="array" ref="BE376">IF(ISBLANK(R376), INDEX(Use, $AH376, 4) - AM376*INDEX(Use, $AH376, 6), R376)</f>
        <v>5</v>
      </c>
      <c r="BF376" s="229">
        <f t="shared" si="463"/>
        <v>30</v>
      </c>
      <c r="BG376" s="229">
        <f t="shared" si="489"/>
        <v>13</v>
      </c>
      <c r="BH376" s="229">
        <f t="shared" si="490"/>
        <v>0</v>
      </c>
      <c r="BI376" s="234" cm="1">
        <f t="array" ref="BI376">K376/IF($L376&gt;0, INDEX($AU$23:$BA$77, $L376+20, $AH376), 1)</f>
        <v>0</v>
      </c>
      <c r="BJ376" s="230">
        <f t="shared" si="464"/>
        <v>0</v>
      </c>
      <c r="BK376" s="229">
        <v>35</v>
      </c>
      <c r="BL376" s="230">
        <f t="shared" si="465"/>
        <v>48</v>
      </c>
      <c r="BM376" s="235">
        <f t="shared" si="466"/>
        <v>2.9108720930232557</v>
      </c>
      <c r="BN376" s="235" cm="1">
        <f t="array" ref="BN376">$BI376 * SUMPRODUCT(INDEX($AR$77:$AT$82,,$AI376),INDEX($AU$77:$BA$82,,$AH376), N($AQ$77:$AQ$82&gt;$AO376)) / BM376 / 1000</f>
        <v>0</v>
      </c>
      <c r="BO376" s="232">
        <f t="shared" si="491"/>
        <v>30</v>
      </c>
      <c r="BP376" s="230">
        <f t="shared" si="467"/>
        <v>43</v>
      </c>
      <c r="BQ376" s="235">
        <f t="shared" si="468"/>
        <v>3.2938815789473681</v>
      </c>
      <c r="BR376" s="235" cm="1">
        <f t="array" ref="BR376">$BI376 * IF($AH376&lt;=2,
SUMPRODUCT(INDEX($AR$72:$AT$76,,$AI376), INDEX($AU$72:$BA$76,,$AH376), 1 / ($BB$72:$BB$76*BQ376 + (1-$BB$72:$BB$76)*BM376), N($AQ$72:$AQ$76&gt;$AO376)),
SUMPRODUCT(INDEX($AR$67:$AT$76,,$AI376), INDEX($AU$67:$BA$76,,$AH376), 1 / ($BC$67:$BC$76*BQ376 + (1-$BC$67:$BC$76)*BM376), N($AQ$67:$AQ$76&gt;$AO376))
) / 1000</f>
        <v>0</v>
      </c>
      <c r="BS376" s="232">
        <f t="shared" si="492"/>
        <v>25</v>
      </c>
      <c r="BT376" s="230">
        <f t="shared" si="469"/>
        <v>38</v>
      </c>
      <c r="BU376" s="235">
        <f t="shared" si="470"/>
        <v>3.792954545454545</v>
      </c>
      <c r="BV376" s="235" cm="1">
        <f t="array" ref="BV376">$BI376 * IF($AH376&lt;=2,
SUMPRODUCT(INDEX($AR$67:$AT$71,,$AI376), INDEX($AU$67:$BA$71,,$AH376), 1 / ($BB$67:$BB$71*BU376 + (1-$BB$67:$BB$71)*BQ376), N($AQ$67:$AQ$71&gt;$AO376)),
SUMPRODUCT(INDEX($AR$57:$AT$66,,$AI376), INDEX($AU$57:$BA$66,,$AH376), 1 / ($BC$57:$BC$66*BU376 + (1-$BC$57:$BC$66)*BQ376), N($AQ$57:$AQ$66&gt;$AO376))
) / 1000</f>
        <v>0</v>
      </c>
      <c r="BW376" s="232">
        <f t="shared" si="493"/>
        <v>20</v>
      </c>
      <c r="BX376" s="230">
        <f t="shared" si="471"/>
        <v>33</v>
      </c>
      <c r="BY376" s="235">
        <f t="shared" si="472"/>
        <v>4.4702678571428569</v>
      </c>
      <c r="BZ376" s="235" cm="1">
        <f t="array" ref="BZ376">$BI376 * IF($AH376&lt;=2,
SUMPRODUCT(INDEX($AR$62:$AT$66,,$AI376), INDEX($AU$62:$BA$66,,$AH376), 1 / ($BB$62:$BB$66*BY376 + (1-$BB$62:$BB$66)*BU376), N($AQ$62:$AQ$66&gt;$AO376)),
SUMPRODUCT(INDEX($AR$47:$AT$56,,$AI376), INDEX($AU$47:$BA$56,,$AH376), 1 / ($BC$47:$BC$56*BY376 + (1-$BC$47:$BC$56)*BU376), N($AQ$47:$AQ$56&gt;$AO376))
) / 1000</f>
        <v>0</v>
      </c>
      <c r="CA376" s="235" cm="1">
        <f t="array" ref="CA376">$BI376 * IF($AH376&lt;=2,
SUMPRODUCT(INDEX($AR$23:$AT$61,,$AI376), INDEX($AU$23:$BA$61,,$AH376), 1 / ($BB$23:$BB$61*BY376), N($AQ$23:$AQ$61&gt;$AO376)),
SUMPRODUCT(INDEX($AR$23:$AT$46,,$AI376), INDEX($AU$23:$BA$46,,$AH376), 1 / ($BC$23:$BC$46*BY376), N($AQ$23:$AQ$46&gt;$AO376))
) / 1000</f>
        <v>0</v>
      </c>
      <c r="CB376" s="230">
        <f t="shared" si="473"/>
        <v>0</v>
      </c>
      <c r="CC376" s="238"/>
      <c r="CD376" s="229" cm="1">
        <f t="array" ref="CD376">IF(ISBLANK(Y376), INDEX(Use, $AH376, 4) - AN376*INDEX(Use, $AH376, 6) - (Q376-X376), Y376)</f>
        <v>7</v>
      </c>
      <c r="CE376" s="229">
        <f t="shared" si="474"/>
        <v>32</v>
      </c>
      <c r="CF376" s="230">
        <f t="shared" si="475"/>
        <v>0</v>
      </c>
      <c r="CG376" s="229">
        <v>35</v>
      </c>
      <c r="CH376" s="230">
        <f t="shared" si="476"/>
        <v>48</v>
      </c>
      <c r="CI376" s="235">
        <f t="shared" si="477"/>
        <v>3.0748170731707316</v>
      </c>
      <c r="CJ376" s="235" cm="1">
        <f t="array" ref="CJ376">$BI376 * SUMPRODUCT(INDEX($AR$77:$AT$82,,$AI376),INDEX($AU$77:$BA$82,,$AH376), N($AQ$77:$AQ$82&gt;$AO376)) / CI376 / 1000</f>
        <v>0</v>
      </c>
      <c r="CK376" s="232">
        <f t="shared" si="494"/>
        <v>30</v>
      </c>
      <c r="CL376" s="230">
        <f t="shared" si="478"/>
        <v>43</v>
      </c>
      <c r="CM376" s="235">
        <f t="shared" si="479"/>
        <v>3.5018750000000001</v>
      </c>
      <c r="CN376" s="235" cm="1">
        <f t="array" ref="CN376">$BI376 * IF($AH376&lt;=2,
SUMPRODUCT(INDEX($AR$72:$AT$76,,$AI376), INDEX($AU$72:$BA$76,,$AH376), 1 / ($BB$72:$BB$76*CM376 + (1-$BB$72:$BB$76)*CI376), N($AQ$72:$AQ$76&gt;$AO376)),
SUMPRODUCT(INDEX($AR$67:$AT$76,,$AI376), INDEX($AU$67:$BA$76,,$AH376), 1 / ($BC$67:$BC$76*CM376 + (1-$BC$67:$BC$76)*CI376), N($AQ$67:$AQ$76&gt;$AO376))
) / 1000</f>
        <v>0</v>
      </c>
      <c r="CO376" s="232">
        <f t="shared" si="495"/>
        <v>25</v>
      </c>
      <c r="CP376" s="230">
        <f t="shared" si="480"/>
        <v>38</v>
      </c>
      <c r="CQ376" s="235">
        <f t="shared" si="481"/>
        <v>4.0666935483870965</v>
      </c>
      <c r="CR376" s="235" cm="1">
        <f t="array" ref="CR376">$BI376 * IF($AH376&lt;=2,
SUMPRODUCT(INDEX($AR$67:$AT$71,,$AI376), INDEX($AU$67:$BA$71,,$AH376), 1 / ($BB$67:$BB$71*CQ376 + (1-$BB$67:$BB$71)*CM376), N($AQ$67:$AQ$71&gt;$AO376)),
SUMPRODUCT(INDEX($AR$57:$AT$66,,$AI376), INDEX($AU$57:$BA$66,,$AH376), 1 / ($BC$57:$BC$66*CQ376 + (1-$BC$57:$BC$66)*CM376), N($AQ$57:$AQ$66&gt;$AO376))
) / 1000</f>
        <v>0</v>
      </c>
      <c r="CS376" s="232">
        <f t="shared" si="496"/>
        <v>20</v>
      </c>
      <c r="CT376" s="230">
        <f t="shared" si="482"/>
        <v>33</v>
      </c>
      <c r="CU376" s="235">
        <f t="shared" si="483"/>
        <v>4.8487499999999999</v>
      </c>
      <c r="CV376" s="235" cm="1">
        <f t="array" ref="CV376">$BI376 * IF($AH376&lt;=2,
SUMPRODUCT(INDEX($AR$62:$AT$66,,$AI376), INDEX($AU$62:$BA$66,,$AH376), 1 / ($BB$62:$BB$66*CU376 + (1-$BB$62:$BB$66)*CQ376), N($AQ$62:$AQ$66&gt;$AO376)),
SUMPRODUCT(INDEX($AR$47:$AT$56,,$AI376), INDEX($AU$47:$BA$56,,$AH376), 1 / ($BC$47:$BC$56*CU376 + (1-$BC$47:$BC$56)*CQ376), N($AQ$47:$AQ$56&gt;$AO376))
) / 1000</f>
        <v>0</v>
      </c>
      <c r="CW376" s="235" cm="1">
        <f t="array" ref="CW376">$BI376 * IF($AH376&lt;=2,
SUMPRODUCT(INDEX($AR$23:$AT$61,,$AI376), INDEX($AU$23:$BA$61,,$AH376), 1 / ($BB$23:$BB$61*CU376), N($AQ$23:$AQ$61&gt;$AO376)),
SUMPRODUCT(INDEX($AR$23:$AT$46,,$AI376), INDEX($AU$23:$BA$46,,$AH376), 1 / ($BC$23:$BC$46*CU376), N($AQ$23:$AQ$46&gt;$AO376))
) / 1000</f>
        <v>0</v>
      </c>
      <c r="CX376" s="230">
        <f t="shared" si="484"/>
        <v>0</v>
      </c>
      <c r="CY376" s="238"/>
    </row>
    <row r="377" spans="1:103" s="76" customFormat="1" ht="14.25" customHeight="1" x14ac:dyDescent="0.2">
      <c r="A377" s="231" t="b">
        <f t="shared" si="488"/>
        <v>0</v>
      </c>
      <c r="B377" s="245">
        <v>355</v>
      </c>
      <c r="C377" s="258"/>
      <c r="D377" s="258"/>
      <c r="E377" s="246"/>
      <c r="F377" s="247" t="str">
        <f>IF(ISBLANK(E377), "", VLOOKUP(E377, Z!$A$2:$C$4127, 3, FALSE))</f>
        <v/>
      </c>
      <c r="G377" s="248"/>
      <c r="H377" s="248"/>
      <c r="I377" s="249"/>
      <c r="J377" s="250"/>
      <c r="K377" s="259"/>
      <c r="L377" s="260"/>
      <c r="M377" s="252" t="str" cm="1">
        <f t="array" ref="M377">INDEX(Trad, 53, $A$20)</f>
        <v>Verschmutzt</v>
      </c>
      <c r="N377" s="253"/>
      <c r="O377" s="253"/>
      <c r="P377" s="254"/>
      <c r="Q377" s="251"/>
      <c r="R377" s="251"/>
      <c r="S377" s="264">
        <f t="shared" si="459"/>
        <v>0</v>
      </c>
      <c r="T377" s="252" t="str" cm="1">
        <f t="array" ref="T377">INDEX(Trad, 52, $A$20)</f>
        <v>Sauber</v>
      </c>
      <c r="U377" s="253"/>
      <c r="V377" s="253"/>
      <c r="W377" s="254"/>
      <c r="X377" s="251"/>
      <c r="Y377" s="251"/>
      <c r="Z377" s="264">
        <f t="shared" si="460"/>
        <v>0</v>
      </c>
      <c r="AA377" s="261"/>
      <c r="AB377" s="258"/>
      <c r="AC377" s="246"/>
      <c r="AD377" s="247" t="str">
        <f>IF(ISBLANK(AC377), "", VLOOKUP(AC377, Z!$A$2:$C$4127, 3, FALSE))</f>
        <v/>
      </c>
      <c r="AE377" s="262"/>
      <c r="AF377" s="263">
        <f t="shared" si="461"/>
        <v>0</v>
      </c>
      <c r="AG377" s="238"/>
      <c r="AH377" s="229">
        <f t="shared" si="485"/>
        <v>1</v>
      </c>
      <c r="AI377" s="229">
        <f t="shared" si="486"/>
        <v>1</v>
      </c>
      <c r="AJ377" s="229">
        <f t="shared" si="487"/>
        <v>0</v>
      </c>
      <c r="AK377" s="229">
        <v>0</v>
      </c>
      <c r="AL377" s="229">
        <v>0</v>
      </c>
      <c r="AM377" s="229">
        <v>1</v>
      </c>
      <c r="AN377" s="229">
        <v>0</v>
      </c>
      <c r="AO377" s="229">
        <f t="shared" si="462"/>
        <v>-100</v>
      </c>
      <c r="AP377" s="238"/>
      <c r="AQ377" s="255"/>
      <c r="AR377" s="255"/>
      <c r="AS377" s="256"/>
      <c r="AT377" s="256"/>
      <c r="AU377" s="256"/>
      <c r="AV377" s="256"/>
      <c r="AW377" s="256"/>
      <c r="AX377" s="256"/>
      <c r="AY377" s="256"/>
      <c r="AZ377" s="256"/>
      <c r="BA377" s="256"/>
      <c r="BB377" s="256"/>
      <c r="BC377" s="256"/>
      <c r="BD377" s="238"/>
      <c r="BE377" s="229" cm="1">
        <f t="array" ref="BE377">IF(ISBLANK(R377), INDEX(Use, $AH377, 4) - AM377*INDEX(Use, $AH377, 6), R377)</f>
        <v>5</v>
      </c>
      <c r="BF377" s="229">
        <f t="shared" si="463"/>
        <v>30</v>
      </c>
      <c r="BG377" s="229">
        <f t="shared" si="489"/>
        <v>13</v>
      </c>
      <c r="BH377" s="229">
        <f t="shared" si="490"/>
        <v>0</v>
      </c>
      <c r="BI377" s="234" cm="1">
        <f t="array" ref="BI377">K377/IF($L377&gt;0, INDEX($AU$23:$BA$77, $L377+20, $AH377), 1)</f>
        <v>0</v>
      </c>
      <c r="BJ377" s="230">
        <f t="shared" si="464"/>
        <v>0</v>
      </c>
      <c r="BK377" s="229">
        <v>35</v>
      </c>
      <c r="BL377" s="230">
        <f t="shared" si="465"/>
        <v>48</v>
      </c>
      <c r="BM377" s="235">
        <f t="shared" si="466"/>
        <v>2.9108720930232557</v>
      </c>
      <c r="BN377" s="235" cm="1">
        <f t="array" ref="BN377">$BI377 * SUMPRODUCT(INDEX($AR$77:$AT$82,,$AI377),INDEX($AU$77:$BA$82,,$AH377), N($AQ$77:$AQ$82&gt;$AO377)) / BM377 / 1000</f>
        <v>0</v>
      </c>
      <c r="BO377" s="232">
        <f t="shared" si="491"/>
        <v>30</v>
      </c>
      <c r="BP377" s="230">
        <f t="shared" si="467"/>
        <v>43</v>
      </c>
      <c r="BQ377" s="235">
        <f t="shared" si="468"/>
        <v>3.2938815789473681</v>
      </c>
      <c r="BR377" s="235" cm="1">
        <f t="array" ref="BR377">$BI377 * IF($AH377&lt;=2,
SUMPRODUCT(INDEX($AR$72:$AT$76,,$AI377), INDEX($AU$72:$BA$76,,$AH377), 1 / ($BB$72:$BB$76*BQ377 + (1-$BB$72:$BB$76)*BM377), N($AQ$72:$AQ$76&gt;$AO377)),
SUMPRODUCT(INDEX($AR$67:$AT$76,,$AI377), INDEX($AU$67:$BA$76,,$AH377), 1 / ($BC$67:$BC$76*BQ377 + (1-$BC$67:$BC$76)*BM377), N($AQ$67:$AQ$76&gt;$AO377))
) / 1000</f>
        <v>0</v>
      </c>
      <c r="BS377" s="232">
        <f t="shared" si="492"/>
        <v>25</v>
      </c>
      <c r="BT377" s="230">
        <f t="shared" si="469"/>
        <v>38</v>
      </c>
      <c r="BU377" s="235">
        <f t="shared" si="470"/>
        <v>3.792954545454545</v>
      </c>
      <c r="BV377" s="235" cm="1">
        <f t="array" ref="BV377">$BI377 * IF($AH377&lt;=2,
SUMPRODUCT(INDEX($AR$67:$AT$71,,$AI377), INDEX($AU$67:$BA$71,,$AH377), 1 / ($BB$67:$BB$71*BU377 + (1-$BB$67:$BB$71)*BQ377), N($AQ$67:$AQ$71&gt;$AO377)),
SUMPRODUCT(INDEX($AR$57:$AT$66,,$AI377), INDEX($AU$57:$BA$66,,$AH377), 1 / ($BC$57:$BC$66*BU377 + (1-$BC$57:$BC$66)*BQ377), N($AQ$57:$AQ$66&gt;$AO377))
) / 1000</f>
        <v>0</v>
      </c>
      <c r="BW377" s="232">
        <f t="shared" si="493"/>
        <v>20</v>
      </c>
      <c r="BX377" s="230">
        <f t="shared" si="471"/>
        <v>33</v>
      </c>
      <c r="BY377" s="235">
        <f t="shared" si="472"/>
        <v>4.4702678571428569</v>
      </c>
      <c r="BZ377" s="235" cm="1">
        <f t="array" ref="BZ377">$BI377 * IF($AH377&lt;=2,
SUMPRODUCT(INDEX($AR$62:$AT$66,,$AI377), INDEX($AU$62:$BA$66,,$AH377), 1 / ($BB$62:$BB$66*BY377 + (1-$BB$62:$BB$66)*BU377), N($AQ$62:$AQ$66&gt;$AO377)),
SUMPRODUCT(INDEX($AR$47:$AT$56,,$AI377), INDEX($AU$47:$BA$56,,$AH377), 1 / ($BC$47:$BC$56*BY377 + (1-$BC$47:$BC$56)*BU377), N($AQ$47:$AQ$56&gt;$AO377))
) / 1000</f>
        <v>0</v>
      </c>
      <c r="CA377" s="235" cm="1">
        <f t="array" ref="CA377">$BI377 * IF($AH377&lt;=2,
SUMPRODUCT(INDEX($AR$23:$AT$61,,$AI377), INDEX($AU$23:$BA$61,,$AH377), 1 / ($BB$23:$BB$61*BY377), N($AQ$23:$AQ$61&gt;$AO377)),
SUMPRODUCT(INDEX($AR$23:$AT$46,,$AI377), INDEX($AU$23:$BA$46,,$AH377), 1 / ($BC$23:$BC$46*BY377), N($AQ$23:$AQ$46&gt;$AO377))
) / 1000</f>
        <v>0</v>
      </c>
      <c r="CB377" s="230">
        <f t="shared" si="473"/>
        <v>0</v>
      </c>
      <c r="CC377" s="238"/>
      <c r="CD377" s="229" cm="1">
        <f t="array" ref="CD377">IF(ISBLANK(Y377), INDEX(Use, $AH377, 4) - AN377*INDEX(Use, $AH377, 6) - (Q377-X377), Y377)</f>
        <v>7</v>
      </c>
      <c r="CE377" s="229">
        <f t="shared" si="474"/>
        <v>32</v>
      </c>
      <c r="CF377" s="230">
        <f t="shared" si="475"/>
        <v>0</v>
      </c>
      <c r="CG377" s="229">
        <v>35</v>
      </c>
      <c r="CH377" s="230">
        <f t="shared" si="476"/>
        <v>48</v>
      </c>
      <c r="CI377" s="235">
        <f t="shared" si="477"/>
        <v>3.0748170731707316</v>
      </c>
      <c r="CJ377" s="235" cm="1">
        <f t="array" ref="CJ377">$BI377 * SUMPRODUCT(INDEX($AR$77:$AT$82,,$AI377),INDEX($AU$77:$BA$82,,$AH377), N($AQ$77:$AQ$82&gt;$AO377)) / CI377 / 1000</f>
        <v>0</v>
      </c>
      <c r="CK377" s="232">
        <f t="shared" si="494"/>
        <v>30</v>
      </c>
      <c r="CL377" s="230">
        <f t="shared" si="478"/>
        <v>43</v>
      </c>
      <c r="CM377" s="235">
        <f t="shared" si="479"/>
        <v>3.5018750000000001</v>
      </c>
      <c r="CN377" s="235" cm="1">
        <f t="array" ref="CN377">$BI377 * IF($AH377&lt;=2,
SUMPRODUCT(INDEX($AR$72:$AT$76,,$AI377), INDEX($AU$72:$BA$76,,$AH377), 1 / ($BB$72:$BB$76*CM377 + (1-$BB$72:$BB$76)*CI377), N($AQ$72:$AQ$76&gt;$AO377)),
SUMPRODUCT(INDEX($AR$67:$AT$76,,$AI377), INDEX($AU$67:$BA$76,,$AH377), 1 / ($BC$67:$BC$76*CM377 + (1-$BC$67:$BC$76)*CI377), N($AQ$67:$AQ$76&gt;$AO377))
) / 1000</f>
        <v>0</v>
      </c>
      <c r="CO377" s="232">
        <f t="shared" si="495"/>
        <v>25</v>
      </c>
      <c r="CP377" s="230">
        <f t="shared" si="480"/>
        <v>38</v>
      </c>
      <c r="CQ377" s="235">
        <f t="shared" si="481"/>
        <v>4.0666935483870965</v>
      </c>
      <c r="CR377" s="235" cm="1">
        <f t="array" ref="CR377">$BI377 * IF($AH377&lt;=2,
SUMPRODUCT(INDEX($AR$67:$AT$71,,$AI377), INDEX($AU$67:$BA$71,,$AH377), 1 / ($BB$67:$BB$71*CQ377 + (1-$BB$67:$BB$71)*CM377), N($AQ$67:$AQ$71&gt;$AO377)),
SUMPRODUCT(INDEX($AR$57:$AT$66,,$AI377), INDEX($AU$57:$BA$66,,$AH377), 1 / ($BC$57:$BC$66*CQ377 + (1-$BC$57:$BC$66)*CM377), N($AQ$57:$AQ$66&gt;$AO377))
) / 1000</f>
        <v>0</v>
      </c>
      <c r="CS377" s="232">
        <f t="shared" si="496"/>
        <v>20</v>
      </c>
      <c r="CT377" s="230">
        <f t="shared" si="482"/>
        <v>33</v>
      </c>
      <c r="CU377" s="235">
        <f t="shared" si="483"/>
        <v>4.8487499999999999</v>
      </c>
      <c r="CV377" s="235" cm="1">
        <f t="array" ref="CV377">$BI377 * IF($AH377&lt;=2,
SUMPRODUCT(INDEX($AR$62:$AT$66,,$AI377), INDEX($AU$62:$BA$66,,$AH377), 1 / ($BB$62:$BB$66*CU377 + (1-$BB$62:$BB$66)*CQ377), N($AQ$62:$AQ$66&gt;$AO377)),
SUMPRODUCT(INDEX($AR$47:$AT$56,,$AI377), INDEX($AU$47:$BA$56,,$AH377), 1 / ($BC$47:$BC$56*CU377 + (1-$BC$47:$BC$56)*CQ377), N($AQ$47:$AQ$56&gt;$AO377))
) / 1000</f>
        <v>0</v>
      </c>
      <c r="CW377" s="235" cm="1">
        <f t="array" ref="CW377">$BI377 * IF($AH377&lt;=2,
SUMPRODUCT(INDEX($AR$23:$AT$61,,$AI377), INDEX($AU$23:$BA$61,,$AH377), 1 / ($BB$23:$BB$61*CU377), N($AQ$23:$AQ$61&gt;$AO377)),
SUMPRODUCT(INDEX($AR$23:$AT$46,,$AI377), INDEX($AU$23:$BA$46,,$AH377), 1 / ($BC$23:$BC$46*CU377), N($AQ$23:$AQ$46&gt;$AO377))
) / 1000</f>
        <v>0</v>
      </c>
      <c r="CX377" s="230">
        <f t="shared" si="484"/>
        <v>0</v>
      </c>
      <c r="CY377" s="238"/>
    </row>
    <row r="378" spans="1:103" s="76" customFormat="1" ht="14.25" customHeight="1" x14ac:dyDescent="0.2">
      <c r="A378" s="231" t="b">
        <f t="shared" si="488"/>
        <v>0</v>
      </c>
      <c r="B378" s="245">
        <v>356</v>
      </c>
      <c r="C378" s="258"/>
      <c r="D378" s="258"/>
      <c r="E378" s="246"/>
      <c r="F378" s="247" t="str">
        <f>IF(ISBLANK(E378), "", VLOOKUP(E378, Z!$A$2:$C$4127, 3, FALSE))</f>
        <v/>
      </c>
      <c r="G378" s="248"/>
      <c r="H378" s="248"/>
      <c r="I378" s="249"/>
      <c r="J378" s="250"/>
      <c r="K378" s="259"/>
      <c r="L378" s="260"/>
      <c r="M378" s="252" t="str" cm="1">
        <f t="array" ref="M378">INDEX(Trad, 53, $A$20)</f>
        <v>Verschmutzt</v>
      </c>
      <c r="N378" s="253"/>
      <c r="O378" s="253"/>
      <c r="P378" s="254"/>
      <c r="Q378" s="251"/>
      <c r="R378" s="251"/>
      <c r="S378" s="264">
        <f t="shared" si="459"/>
        <v>0</v>
      </c>
      <c r="T378" s="252" t="str" cm="1">
        <f t="array" ref="T378">INDEX(Trad, 52, $A$20)</f>
        <v>Sauber</v>
      </c>
      <c r="U378" s="253"/>
      <c r="V378" s="253"/>
      <c r="W378" s="254"/>
      <c r="X378" s="251"/>
      <c r="Y378" s="251"/>
      <c r="Z378" s="264">
        <f t="shared" si="460"/>
        <v>0</v>
      </c>
      <c r="AA378" s="261"/>
      <c r="AB378" s="258"/>
      <c r="AC378" s="246"/>
      <c r="AD378" s="247" t="str">
        <f>IF(ISBLANK(AC378), "", VLOOKUP(AC378, Z!$A$2:$C$4127, 3, FALSE))</f>
        <v/>
      </c>
      <c r="AE378" s="262"/>
      <c r="AF378" s="263">
        <f t="shared" si="461"/>
        <v>0</v>
      </c>
      <c r="AG378" s="238"/>
      <c r="AH378" s="229">
        <f t="shared" si="485"/>
        <v>1</v>
      </c>
      <c r="AI378" s="229">
        <f t="shared" si="486"/>
        <v>1</v>
      </c>
      <c r="AJ378" s="229">
        <f t="shared" si="487"/>
        <v>0</v>
      </c>
      <c r="AK378" s="229">
        <v>0</v>
      </c>
      <c r="AL378" s="229">
        <v>0</v>
      </c>
      <c r="AM378" s="229">
        <v>1</v>
      </c>
      <c r="AN378" s="229">
        <v>0</v>
      </c>
      <c r="AO378" s="229">
        <f t="shared" si="462"/>
        <v>-100</v>
      </c>
      <c r="AP378" s="238"/>
      <c r="AQ378" s="255"/>
      <c r="AR378" s="255"/>
      <c r="AS378" s="256"/>
      <c r="AT378" s="256"/>
      <c r="AU378" s="256"/>
      <c r="AV378" s="256"/>
      <c r="AW378" s="256"/>
      <c r="AX378" s="256"/>
      <c r="AY378" s="256"/>
      <c r="AZ378" s="256"/>
      <c r="BA378" s="256"/>
      <c r="BB378" s="256"/>
      <c r="BC378" s="256"/>
      <c r="BD378" s="238"/>
      <c r="BE378" s="229" cm="1">
        <f t="array" ref="BE378">IF(ISBLANK(R378), INDEX(Use, $AH378, 4) - AM378*INDEX(Use, $AH378, 6), R378)</f>
        <v>5</v>
      </c>
      <c r="BF378" s="229">
        <f t="shared" si="463"/>
        <v>30</v>
      </c>
      <c r="BG378" s="229">
        <f t="shared" si="489"/>
        <v>13</v>
      </c>
      <c r="BH378" s="229">
        <f t="shared" si="490"/>
        <v>0</v>
      </c>
      <c r="BI378" s="234" cm="1">
        <f t="array" ref="BI378">K378/IF($L378&gt;0, INDEX($AU$23:$BA$77, $L378+20, $AH378), 1)</f>
        <v>0</v>
      </c>
      <c r="BJ378" s="230">
        <f t="shared" si="464"/>
        <v>0</v>
      </c>
      <c r="BK378" s="229">
        <v>35</v>
      </c>
      <c r="BL378" s="230">
        <f t="shared" si="465"/>
        <v>48</v>
      </c>
      <c r="BM378" s="235">
        <f t="shared" si="466"/>
        <v>2.9108720930232557</v>
      </c>
      <c r="BN378" s="235" cm="1">
        <f t="array" ref="BN378">$BI378 * SUMPRODUCT(INDEX($AR$77:$AT$82,,$AI378),INDEX($AU$77:$BA$82,,$AH378), N($AQ$77:$AQ$82&gt;$AO378)) / BM378 / 1000</f>
        <v>0</v>
      </c>
      <c r="BO378" s="232">
        <f t="shared" si="491"/>
        <v>30</v>
      </c>
      <c r="BP378" s="230">
        <f t="shared" si="467"/>
        <v>43</v>
      </c>
      <c r="BQ378" s="235">
        <f t="shared" si="468"/>
        <v>3.2938815789473681</v>
      </c>
      <c r="BR378" s="235" cm="1">
        <f t="array" ref="BR378">$BI378 * IF($AH378&lt;=2,
SUMPRODUCT(INDEX($AR$72:$AT$76,,$AI378), INDEX($AU$72:$BA$76,,$AH378), 1 / ($BB$72:$BB$76*BQ378 + (1-$BB$72:$BB$76)*BM378), N($AQ$72:$AQ$76&gt;$AO378)),
SUMPRODUCT(INDEX($AR$67:$AT$76,,$AI378), INDEX($AU$67:$BA$76,,$AH378), 1 / ($BC$67:$BC$76*BQ378 + (1-$BC$67:$BC$76)*BM378), N($AQ$67:$AQ$76&gt;$AO378))
) / 1000</f>
        <v>0</v>
      </c>
      <c r="BS378" s="232">
        <f t="shared" si="492"/>
        <v>25</v>
      </c>
      <c r="BT378" s="230">
        <f t="shared" si="469"/>
        <v>38</v>
      </c>
      <c r="BU378" s="235">
        <f t="shared" si="470"/>
        <v>3.792954545454545</v>
      </c>
      <c r="BV378" s="235" cm="1">
        <f t="array" ref="BV378">$BI378 * IF($AH378&lt;=2,
SUMPRODUCT(INDEX($AR$67:$AT$71,,$AI378), INDEX($AU$67:$BA$71,,$AH378), 1 / ($BB$67:$BB$71*BU378 + (1-$BB$67:$BB$71)*BQ378), N($AQ$67:$AQ$71&gt;$AO378)),
SUMPRODUCT(INDEX($AR$57:$AT$66,,$AI378), INDEX($AU$57:$BA$66,,$AH378), 1 / ($BC$57:$BC$66*BU378 + (1-$BC$57:$BC$66)*BQ378), N($AQ$57:$AQ$66&gt;$AO378))
) / 1000</f>
        <v>0</v>
      </c>
      <c r="BW378" s="232">
        <f t="shared" si="493"/>
        <v>20</v>
      </c>
      <c r="BX378" s="230">
        <f t="shared" si="471"/>
        <v>33</v>
      </c>
      <c r="BY378" s="235">
        <f t="shared" si="472"/>
        <v>4.4702678571428569</v>
      </c>
      <c r="BZ378" s="235" cm="1">
        <f t="array" ref="BZ378">$BI378 * IF($AH378&lt;=2,
SUMPRODUCT(INDEX($AR$62:$AT$66,,$AI378), INDEX($AU$62:$BA$66,,$AH378), 1 / ($BB$62:$BB$66*BY378 + (1-$BB$62:$BB$66)*BU378), N($AQ$62:$AQ$66&gt;$AO378)),
SUMPRODUCT(INDEX($AR$47:$AT$56,,$AI378), INDEX($AU$47:$BA$56,,$AH378), 1 / ($BC$47:$BC$56*BY378 + (1-$BC$47:$BC$56)*BU378), N($AQ$47:$AQ$56&gt;$AO378))
) / 1000</f>
        <v>0</v>
      </c>
      <c r="CA378" s="235" cm="1">
        <f t="array" ref="CA378">$BI378 * IF($AH378&lt;=2,
SUMPRODUCT(INDEX($AR$23:$AT$61,,$AI378), INDEX($AU$23:$BA$61,,$AH378), 1 / ($BB$23:$BB$61*BY378), N($AQ$23:$AQ$61&gt;$AO378)),
SUMPRODUCT(INDEX($AR$23:$AT$46,,$AI378), INDEX($AU$23:$BA$46,,$AH378), 1 / ($BC$23:$BC$46*BY378), N($AQ$23:$AQ$46&gt;$AO378))
) / 1000</f>
        <v>0</v>
      </c>
      <c r="CB378" s="230">
        <f t="shared" si="473"/>
        <v>0</v>
      </c>
      <c r="CC378" s="238"/>
      <c r="CD378" s="229" cm="1">
        <f t="array" ref="CD378">IF(ISBLANK(Y378), INDEX(Use, $AH378, 4) - AN378*INDEX(Use, $AH378, 6) - (Q378-X378), Y378)</f>
        <v>7</v>
      </c>
      <c r="CE378" s="229">
        <f t="shared" si="474"/>
        <v>32</v>
      </c>
      <c r="CF378" s="230">
        <f t="shared" si="475"/>
        <v>0</v>
      </c>
      <c r="CG378" s="229">
        <v>35</v>
      </c>
      <c r="CH378" s="230">
        <f t="shared" si="476"/>
        <v>48</v>
      </c>
      <c r="CI378" s="235">
        <f t="shared" si="477"/>
        <v>3.0748170731707316</v>
      </c>
      <c r="CJ378" s="235" cm="1">
        <f t="array" ref="CJ378">$BI378 * SUMPRODUCT(INDEX($AR$77:$AT$82,,$AI378),INDEX($AU$77:$BA$82,,$AH378), N($AQ$77:$AQ$82&gt;$AO378)) / CI378 / 1000</f>
        <v>0</v>
      </c>
      <c r="CK378" s="232">
        <f t="shared" si="494"/>
        <v>30</v>
      </c>
      <c r="CL378" s="230">
        <f t="shared" si="478"/>
        <v>43</v>
      </c>
      <c r="CM378" s="235">
        <f t="shared" si="479"/>
        <v>3.5018750000000001</v>
      </c>
      <c r="CN378" s="235" cm="1">
        <f t="array" ref="CN378">$BI378 * IF($AH378&lt;=2,
SUMPRODUCT(INDEX($AR$72:$AT$76,,$AI378), INDEX($AU$72:$BA$76,,$AH378), 1 / ($BB$72:$BB$76*CM378 + (1-$BB$72:$BB$76)*CI378), N($AQ$72:$AQ$76&gt;$AO378)),
SUMPRODUCT(INDEX($AR$67:$AT$76,,$AI378), INDEX($AU$67:$BA$76,,$AH378), 1 / ($BC$67:$BC$76*CM378 + (1-$BC$67:$BC$76)*CI378), N($AQ$67:$AQ$76&gt;$AO378))
) / 1000</f>
        <v>0</v>
      </c>
      <c r="CO378" s="232">
        <f t="shared" si="495"/>
        <v>25</v>
      </c>
      <c r="CP378" s="230">
        <f t="shared" si="480"/>
        <v>38</v>
      </c>
      <c r="CQ378" s="235">
        <f t="shared" si="481"/>
        <v>4.0666935483870965</v>
      </c>
      <c r="CR378" s="235" cm="1">
        <f t="array" ref="CR378">$BI378 * IF($AH378&lt;=2,
SUMPRODUCT(INDEX($AR$67:$AT$71,,$AI378), INDEX($AU$67:$BA$71,,$AH378), 1 / ($BB$67:$BB$71*CQ378 + (1-$BB$67:$BB$71)*CM378), N($AQ$67:$AQ$71&gt;$AO378)),
SUMPRODUCT(INDEX($AR$57:$AT$66,,$AI378), INDEX($AU$57:$BA$66,,$AH378), 1 / ($BC$57:$BC$66*CQ378 + (1-$BC$57:$BC$66)*CM378), N($AQ$57:$AQ$66&gt;$AO378))
) / 1000</f>
        <v>0</v>
      </c>
      <c r="CS378" s="232">
        <f t="shared" si="496"/>
        <v>20</v>
      </c>
      <c r="CT378" s="230">
        <f t="shared" si="482"/>
        <v>33</v>
      </c>
      <c r="CU378" s="235">
        <f t="shared" si="483"/>
        <v>4.8487499999999999</v>
      </c>
      <c r="CV378" s="235" cm="1">
        <f t="array" ref="CV378">$BI378 * IF($AH378&lt;=2,
SUMPRODUCT(INDEX($AR$62:$AT$66,,$AI378), INDEX($AU$62:$BA$66,,$AH378), 1 / ($BB$62:$BB$66*CU378 + (1-$BB$62:$BB$66)*CQ378), N($AQ$62:$AQ$66&gt;$AO378)),
SUMPRODUCT(INDEX($AR$47:$AT$56,,$AI378), INDEX($AU$47:$BA$56,,$AH378), 1 / ($BC$47:$BC$56*CU378 + (1-$BC$47:$BC$56)*CQ378), N($AQ$47:$AQ$56&gt;$AO378))
) / 1000</f>
        <v>0</v>
      </c>
      <c r="CW378" s="235" cm="1">
        <f t="array" ref="CW378">$BI378 * IF($AH378&lt;=2,
SUMPRODUCT(INDEX($AR$23:$AT$61,,$AI378), INDEX($AU$23:$BA$61,,$AH378), 1 / ($BB$23:$BB$61*CU378), N($AQ$23:$AQ$61&gt;$AO378)),
SUMPRODUCT(INDEX($AR$23:$AT$46,,$AI378), INDEX($AU$23:$BA$46,,$AH378), 1 / ($BC$23:$BC$46*CU378), N($AQ$23:$AQ$46&gt;$AO378))
) / 1000</f>
        <v>0</v>
      </c>
      <c r="CX378" s="230">
        <f t="shared" si="484"/>
        <v>0</v>
      </c>
      <c r="CY378" s="238"/>
    </row>
    <row r="379" spans="1:103" s="76" customFormat="1" ht="14.25" customHeight="1" x14ac:dyDescent="0.2">
      <c r="A379" s="231" t="b">
        <f t="shared" si="488"/>
        <v>0</v>
      </c>
      <c r="B379" s="245">
        <v>357</v>
      </c>
      <c r="C379" s="258"/>
      <c r="D379" s="258"/>
      <c r="E379" s="246"/>
      <c r="F379" s="247" t="str">
        <f>IF(ISBLANK(E379), "", VLOOKUP(E379, Z!$A$2:$C$4127, 3, FALSE))</f>
        <v/>
      </c>
      <c r="G379" s="248"/>
      <c r="H379" s="248"/>
      <c r="I379" s="249"/>
      <c r="J379" s="250"/>
      <c r="K379" s="259"/>
      <c r="L379" s="260"/>
      <c r="M379" s="252" t="str" cm="1">
        <f t="array" ref="M379">INDEX(Trad, 53, $A$20)</f>
        <v>Verschmutzt</v>
      </c>
      <c r="N379" s="253"/>
      <c r="O379" s="253"/>
      <c r="P379" s="254"/>
      <c r="Q379" s="251"/>
      <c r="R379" s="251"/>
      <c r="S379" s="264">
        <f t="shared" ref="S379:S442" si="497">CB379*1000</f>
        <v>0</v>
      </c>
      <c r="T379" s="252" t="str" cm="1">
        <f t="array" ref="T379">INDEX(Trad, 52, $A$20)</f>
        <v>Sauber</v>
      </c>
      <c r="U379" s="253"/>
      <c r="V379" s="253"/>
      <c r="W379" s="254"/>
      <c r="X379" s="251"/>
      <c r="Y379" s="251"/>
      <c r="Z379" s="264">
        <f t="shared" ref="Z379:Z442" si="498">CX379*1000</f>
        <v>0</v>
      </c>
      <c r="AA379" s="261"/>
      <c r="AB379" s="258"/>
      <c r="AC379" s="246"/>
      <c r="AD379" s="247" t="str">
        <f>IF(ISBLANK(AC379), "", VLOOKUP(AC379, Z!$A$2:$C$4127, 3, FALSE))</f>
        <v/>
      </c>
      <c r="AE379" s="262"/>
      <c r="AF379" s="263">
        <f t="shared" ref="AF379:AF442" si="499">0.75*AP$23*(S379-Z379)</f>
        <v>0</v>
      </c>
      <c r="AG379" s="238"/>
      <c r="AH379" s="229">
        <f t="shared" si="485"/>
        <v>1</v>
      </c>
      <c r="AI379" s="229">
        <f t="shared" si="486"/>
        <v>1</v>
      </c>
      <c r="AJ379" s="229">
        <f t="shared" si="487"/>
        <v>0</v>
      </c>
      <c r="AK379" s="229">
        <v>0</v>
      </c>
      <c r="AL379" s="229">
        <v>0</v>
      </c>
      <c r="AM379" s="229">
        <v>1</v>
      </c>
      <c r="AN379" s="229">
        <v>0</v>
      </c>
      <c r="AO379" s="229">
        <f t="shared" ref="AO379:AO442" si="500">IF(AND(J379="x", AH379=5), 11, IF(AND(J379="x", AH379=6), 19, -100))</f>
        <v>-100</v>
      </c>
      <c r="AP379" s="238"/>
      <c r="AQ379" s="255"/>
      <c r="AR379" s="255"/>
      <c r="AS379" s="256"/>
      <c r="AT379" s="256"/>
      <c r="AU379" s="256"/>
      <c r="AV379" s="256"/>
      <c r="AW379" s="256"/>
      <c r="AX379" s="256"/>
      <c r="AY379" s="256"/>
      <c r="AZ379" s="256"/>
      <c r="BA379" s="256"/>
      <c r="BB379" s="256"/>
      <c r="BC379" s="256"/>
      <c r="BD379" s="238"/>
      <c r="BE379" s="229" cm="1">
        <f t="array" ref="BE379">IF(ISBLANK(R379), INDEX(Use, $AH379, 4) - AM379*INDEX(Use, $AH379, 6), R379)</f>
        <v>5</v>
      </c>
      <c r="BF379" s="229">
        <f t="shared" ref="BF379:BF442" si="501">MAX(25, BE379+25)</f>
        <v>30</v>
      </c>
      <c r="BG379" s="229">
        <f t="shared" si="489"/>
        <v>13</v>
      </c>
      <c r="BH379" s="229">
        <f t="shared" si="490"/>
        <v>0</v>
      </c>
      <c r="BI379" s="234" cm="1">
        <f t="array" ref="BI379">K379/IF($L379&gt;0, INDEX($AU$23:$BA$77, $L379+20, $AH379), 1)</f>
        <v>0</v>
      </c>
      <c r="BJ379" s="230">
        <f t="shared" ref="BJ379:BJ442" si="502">P379 /  IF(AH379&lt;=2, 0.7 + 0.3 * (O379-20)/(35-20), 0.4 + 0.6 * (O379-5)/(35-5))</f>
        <v>0</v>
      </c>
      <c r="BK379" s="229">
        <v>35</v>
      </c>
      <c r="BL379" s="230">
        <f t="shared" ref="BL379:BL442" si="503">MAX($N379, MAX($BF379, $BK379 + $BG379 + $BH379 + 0.35*$AK379*$BG379 + BJ379))</f>
        <v>48</v>
      </c>
      <c r="BM379" s="235">
        <f t="shared" ref="BM379:BM442" si="504">0.45*($BE379+273.15)/(BL379-$BE379)</f>
        <v>2.9108720930232557</v>
      </c>
      <c r="BN379" s="235" cm="1">
        <f t="array" ref="BN379">$BI379 * SUMPRODUCT(INDEX($AR$77:$AT$82,,$AI379),INDEX($AU$77:$BA$82,,$AH379), N($AQ$77:$AQ$82&gt;$AO379)) / BM379 / 1000</f>
        <v>0</v>
      </c>
      <c r="BO379" s="232">
        <f t="shared" si="491"/>
        <v>30</v>
      </c>
      <c r="BP379" s="230">
        <f t="shared" ref="BP379:BP442" si="505">MAX($N379, MAX($BF379, BO379 + $BG379 + $BH379 + IF($AH379&lt;=2, (BO379-20)/(35-20), 0.6+0.4*(BO379-5)/(35-5))*0.35*$AK379*$BG379) + IF($AH379&lt;=2,0.9,0.8)*$BJ379)</f>
        <v>43</v>
      </c>
      <c r="BQ379" s="235">
        <f t="shared" ref="BQ379:BQ442" si="506">0.45*($BE379+273.15)/(BP379-$BE379)</f>
        <v>3.2938815789473681</v>
      </c>
      <c r="BR379" s="235" cm="1">
        <f t="array" ref="BR379">$BI379 * IF($AH379&lt;=2,
SUMPRODUCT(INDEX($AR$72:$AT$76,,$AI379), INDEX($AU$72:$BA$76,,$AH379), 1 / ($BB$72:$BB$76*BQ379 + (1-$BB$72:$BB$76)*BM379), N($AQ$72:$AQ$76&gt;$AO379)),
SUMPRODUCT(INDEX($AR$67:$AT$76,,$AI379), INDEX($AU$67:$BA$76,,$AH379), 1 / ($BC$67:$BC$76*BQ379 + (1-$BC$67:$BC$76)*BM379), N($AQ$67:$AQ$76&gt;$AO379))
) / 1000</f>
        <v>0</v>
      </c>
      <c r="BS379" s="232">
        <f t="shared" si="492"/>
        <v>25</v>
      </c>
      <c r="BT379" s="230">
        <f t="shared" ref="BT379:BT442" si="507">MAX($N379, MAX($BF379, BS379 + $BG379 + $BH379 + IF($AH379&lt;=2, (BS379-20)/(35-20), 0.6+0.4*(BS379-5)/(35-5))*0.35*$AK379*$BG379) + IF($AH379&lt;=2,0.8,0.6)*$BJ379)</f>
        <v>38</v>
      </c>
      <c r="BU379" s="235">
        <f t="shared" ref="BU379:BU442" si="508">0.45*($BE379+273.15)/(BT379-$BE379)</f>
        <v>3.792954545454545</v>
      </c>
      <c r="BV379" s="235" cm="1">
        <f t="array" ref="BV379">$BI379 * IF($AH379&lt;=2,
SUMPRODUCT(INDEX($AR$67:$AT$71,,$AI379), INDEX($AU$67:$BA$71,,$AH379), 1 / ($BB$67:$BB$71*BU379 + (1-$BB$67:$BB$71)*BQ379), N($AQ$67:$AQ$71&gt;$AO379)),
SUMPRODUCT(INDEX($AR$57:$AT$66,,$AI379), INDEX($AU$57:$BA$66,,$AH379), 1 / ($BC$57:$BC$66*BU379 + (1-$BC$57:$BC$66)*BQ379), N($AQ$57:$AQ$66&gt;$AO379))
) / 1000</f>
        <v>0</v>
      </c>
      <c r="BW379" s="232">
        <f t="shared" si="493"/>
        <v>20</v>
      </c>
      <c r="BX379" s="230">
        <f t="shared" ref="BX379:BX442" si="509">MAX($N379, MAX($BF379, BW379 + $BG379 + $BH379 + IF($AH379&lt;=2, (BW379-20)/(35-20), 0.6+0.4*(BW379-5)/(35-5))*0.35*$AK379*$BG379) + IF($AH379&lt;=2,0.7,0.4)*$BJ379)</f>
        <v>33</v>
      </c>
      <c r="BY379" s="235">
        <f t="shared" ref="BY379:BY442" si="510">0.45*($BE379+273.15)/(BX379-$BE379)</f>
        <v>4.4702678571428569</v>
      </c>
      <c r="BZ379" s="235" cm="1">
        <f t="array" ref="BZ379">$BI379 * IF($AH379&lt;=2,
SUMPRODUCT(INDEX($AR$62:$AT$66,,$AI379), INDEX($AU$62:$BA$66,,$AH379), 1 / ($BB$62:$BB$66*BY379 + (1-$BB$62:$BB$66)*BU379), N($AQ$62:$AQ$66&gt;$AO379)),
SUMPRODUCT(INDEX($AR$47:$AT$56,,$AI379), INDEX($AU$47:$BA$56,,$AH379), 1 / ($BC$47:$BC$56*BY379 + (1-$BC$47:$BC$56)*BU379), N($AQ$47:$AQ$56&gt;$AO379))
) / 1000</f>
        <v>0</v>
      </c>
      <c r="CA379" s="235" cm="1">
        <f t="array" ref="CA379">$BI379 * IF($AH379&lt;=2,
SUMPRODUCT(INDEX($AR$23:$AT$61,,$AI379), INDEX($AU$23:$BA$61,,$AH379), 1 / ($BB$23:$BB$61*BY379), N($AQ$23:$AQ$61&gt;$AO379)),
SUMPRODUCT(INDEX($AR$23:$AT$46,,$AI379), INDEX($AU$23:$BA$46,,$AH379), 1 / ($BC$23:$BC$46*BY379), N($AQ$23:$AQ$46&gt;$AO379))
) / 1000</f>
        <v>0</v>
      </c>
      <c r="CB379" s="230">
        <f t="shared" ref="CB379:CB442" si="511">BN379+BR379+BV379+BZ379+CA379</f>
        <v>0</v>
      </c>
      <c r="CC379" s="238"/>
      <c r="CD379" s="229" cm="1">
        <f t="array" ref="CD379">IF(ISBLANK(Y379), INDEX(Use, $AH379, 4) - AN379*INDEX(Use, $AH379, 6) - (Q379-X379), Y379)</f>
        <v>7</v>
      </c>
      <c r="CE379" s="229">
        <f t="shared" ref="CE379:CE442" si="512">MAX(25, CD379+25)</f>
        <v>32</v>
      </c>
      <c r="CF379" s="230">
        <f t="shared" ref="CF379:CF442" si="513">W379 /  IF(AH379&lt;=2, 0.7 + 0.3 * (V379-20)/(35-20), 0.4 + 0.6 * (V379-5)/(35-5))</f>
        <v>0</v>
      </c>
      <c r="CG379" s="229">
        <v>35</v>
      </c>
      <c r="CH379" s="230">
        <f t="shared" ref="CH379:CH442" si="514">MAX($U379, MAX($CE379, $BK379 + $BG379 + $BH379 + 0.35*$AL379*$BG379 + CF379))</f>
        <v>48</v>
      </c>
      <c r="CI379" s="235">
        <f t="shared" ref="CI379:CI442" si="515">0.45*($CD379+273.15)/(CH379-$CD379)</f>
        <v>3.0748170731707316</v>
      </c>
      <c r="CJ379" s="235" cm="1">
        <f t="array" ref="CJ379">$BI379 * SUMPRODUCT(INDEX($AR$77:$AT$82,,$AI379),INDEX($AU$77:$BA$82,,$AH379), N($AQ$77:$AQ$82&gt;$AO379)) / CI379 / 1000</f>
        <v>0</v>
      </c>
      <c r="CK379" s="232">
        <f t="shared" si="494"/>
        <v>30</v>
      </c>
      <c r="CL379" s="230">
        <f t="shared" ref="CL379:CL442" si="516">MAX($U379, MAX($CE379, CK379 + $BG379 + $BH379 + IF($AH379&lt;=2, (CK379-20)/(35-20), 0.6+0.4*(CK379-5)/(35-5))*0.35*$AL379*$BG379) + IF($AH379&lt;=2,0.9,0.8)*$CF379)</f>
        <v>43</v>
      </c>
      <c r="CM379" s="235">
        <f t="shared" ref="CM379:CM442" si="517">0.45*($CD379+273.15)/(CL379-$CD379)</f>
        <v>3.5018750000000001</v>
      </c>
      <c r="CN379" s="235" cm="1">
        <f t="array" ref="CN379">$BI379 * IF($AH379&lt;=2,
SUMPRODUCT(INDEX($AR$72:$AT$76,,$AI379), INDEX($AU$72:$BA$76,,$AH379), 1 / ($BB$72:$BB$76*CM379 + (1-$BB$72:$BB$76)*CI379), N($AQ$72:$AQ$76&gt;$AO379)),
SUMPRODUCT(INDEX($AR$67:$AT$76,,$AI379), INDEX($AU$67:$BA$76,,$AH379), 1 / ($BC$67:$BC$76*CM379 + (1-$BC$67:$BC$76)*CI379), N($AQ$67:$AQ$76&gt;$AO379))
) / 1000</f>
        <v>0</v>
      </c>
      <c r="CO379" s="232">
        <f t="shared" si="495"/>
        <v>25</v>
      </c>
      <c r="CP379" s="230">
        <f t="shared" ref="CP379:CP442" si="518">MAX($U379, MAX($CE379, CO379 + $BG379 + $BH379 + IF($AH379&lt;=2, (CO379-20)/(35-20), 0.6+0.4*(CO379-5)/(35-5))*0.35*$AL379*$BG379) + IF($AH379&lt;=2,0.8,0.6)*$CF379)</f>
        <v>38</v>
      </c>
      <c r="CQ379" s="235">
        <f t="shared" ref="CQ379:CQ442" si="519">0.45*($CD379+273.15)/(CP379-$CD379)</f>
        <v>4.0666935483870965</v>
      </c>
      <c r="CR379" s="235" cm="1">
        <f t="array" ref="CR379">$BI379 * IF($AH379&lt;=2,
SUMPRODUCT(INDEX($AR$67:$AT$71,,$AI379), INDEX($AU$67:$BA$71,,$AH379), 1 / ($BB$67:$BB$71*CQ379 + (1-$BB$67:$BB$71)*CM379), N($AQ$67:$AQ$71&gt;$AO379)),
SUMPRODUCT(INDEX($AR$57:$AT$66,,$AI379), INDEX($AU$57:$BA$66,,$AH379), 1 / ($BC$57:$BC$66*CQ379 + (1-$BC$57:$BC$66)*CM379), N($AQ$57:$AQ$66&gt;$AO379))
) / 1000</f>
        <v>0</v>
      </c>
      <c r="CS379" s="232">
        <f t="shared" si="496"/>
        <v>20</v>
      </c>
      <c r="CT379" s="230">
        <f t="shared" ref="CT379:CT442" si="520">MAX($U379, MAX($CE379, CS379 + $BG379 + $BH379 + IF($AH379&lt;=2, (CS379-20)/(35-20), 0.6+0.4*(CS379-5)/(35-5))*0.35*$AL379*$BG379) + IF($AH379&lt;=2,0.7,0.4)*$CF379)</f>
        <v>33</v>
      </c>
      <c r="CU379" s="235">
        <f t="shared" ref="CU379:CU442" si="521">0.45*($CD379+273.15)/(CT379-$CD379)</f>
        <v>4.8487499999999999</v>
      </c>
      <c r="CV379" s="235" cm="1">
        <f t="array" ref="CV379">$BI379 * IF($AH379&lt;=2,
SUMPRODUCT(INDEX($AR$62:$AT$66,,$AI379), INDEX($AU$62:$BA$66,,$AH379), 1 / ($BB$62:$BB$66*CU379 + (1-$BB$62:$BB$66)*CQ379), N($AQ$62:$AQ$66&gt;$AO379)),
SUMPRODUCT(INDEX($AR$47:$AT$56,,$AI379), INDEX($AU$47:$BA$56,,$AH379), 1 / ($BC$47:$BC$56*CU379 + (1-$BC$47:$BC$56)*CQ379), N($AQ$47:$AQ$56&gt;$AO379))
) / 1000</f>
        <v>0</v>
      </c>
      <c r="CW379" s="235" cm="1">
        <f t="array" ref="CW379">$BI379 * IF($AH379&lt;=2,
SUMPRODUCT(INDEX($AR$23:$AT$61,,$AI379), INDEX($AU$23:$BA$61,,$AH379), 1 / ($BB$23:$BB$61*CU379), N($AQ$23:$AQ$61&gt;$AO379)),
SUMPRODUCT(INDEX($AR$23:$AT$46,,$AI379), INDEX($AU$23:$BA$46,,$AH379), 1 / ($BC$23:$BC$46*CU379), N($AQ$23:$AQ$46&gt;$AO379))
) / 1000</f>
        <v>0</v>
      </c>
      <c r="CX379" s="230">
        <f t="shared" ref="CX379:CX442" si="522">CJ379+CN379+CR379+CV379+CW379</f>
        <v>0</v>
      </c>
      <c r="CY379" s="238"/>
    </row>
    <row r="380" spans="1:103" s="76" customFormat="1" ht="14.25" customHeight="1" x14ac:dyDescent="0.2">
      <c r="A380" s="231" t="b">
        <f t="shared" si="488"/>
        <v>0</v>
      </c>
      <c r="B380" s="245">
        <v>358</v>
      </c>
      <c r="C380" s="258"/>
      <c r="D380" s="258"/>
      <c r="E380" s="246"/>
      <c r="F380" s="247" t="str">
        <f>IF(ISBLANK(E380), "", VLOOKUP(E380, Z!$A$2:$C$4127, 3, FALSE))</f>
        <v/>
      </c>
      <c r="G380" s="248"/>
      <c r="H380" s="248"/>
      <c r="I380" s="249"/>
      <c r="J380" s="250"/>
      <c r="K380" s="259"/>
      <c r="L380" s="260"/>
      <c r="M380" s="252" t="str" cm="1">
        <f t="array" ref="M380">INDEX(Trad, 53, $A$20)</f>
        <v>Verschmutzt</v>
      </c>
      <c r="N380" s="253"/>
      <c r="O380" s="253"/>
      <c r="P380" s="254"/>
      <c r="Q380" s="251"/>
      <c r="R380" s="251"/>
      <c r="S380" s="264">
        <f t="shared" si="497"/>
        <v>0</v>
      </c>
      <c r="T380" s="252" t="str" cm="1">
        <f t="array" ref="T380">INDEX(Trad, 52, $A$20)</f>
        <v>Sauber</v>
      </c>
      <c r="U380" s="253"/>
      <c r="V380" s="253"/>
      <c r="W380" s="254"/>
      <c r="X380" s="251"/>
      <c r="Y380" s="251"/>
      <c r="Z380" s="264">
        <f t="shared" si="498"/>
        <v>0</v>
      </c>
      <c r="AA380" s="261"/>
      <c r="AB380" s="258"/>
      <c r="AC380" s="246"/>
      <c r="AD380" s="247" t="str">
        <f>IF(ISBLANK(AC380), "", VLOOKUP(AC380, Z!$A$2:$C$4127, 3, FALSE))</f>
        <v/>
      </c>
      <c r="AE380" s="262"/>
      <c r="AF380" s="263">
        <f t="shared" si="499"/>
        <v>0</v>
      </c>
      <c r="AG380" s="238"/>
      <c r="AH380" s="229">
        <f t="shared" ref="AH380:AH443" si="523">IF(ISBLANK(H380), 1, IFERROR(MATCH(H380, INDEX(Use,,1), 0), IFERROR(MATCH(H380, INDEX(Use,,2), 0), MATCH(H380, INDEX(Use,,3), 0))))</f>
        <v>1</v>
      </c>
      <c r="AI380" s="229">
        <f t="shared" ref="AI380:AI443" si="524">IF(ISBLANK(G380), 1, IFERROR(MATCH(G380, INDEX(Loc,,1), 0), IFERROR(MATCH(G380, INDEX(Loc,,2), 0), MATCH(G380, INDEX(Loc,,3), 0))))</f>
        <v>1</v>
      </c>
      <c r="AJ380" s="229">
        <f t="shared" ref="AJ380:AJ443" si="525">_xlfn.IFNA(IF(IFERROR(MATCH(I380, INDEX(Medium,,1), 0), IFERROR(MATCH(I380, INDEX(Medium,,2), 0), MATCH(I380, INDEX(Medium,,3), 0))) = 2, 1, 0), 0)</f>
        <v>0</v>
      </c>
      <c r="AK380" s="229">
        <v>0</v>
      </c>
      <c r="AL380" s="229">
        <v>0</v>
      </c>
      <c r="AM380" s="229">
        <v>1</v>
      </c>
      <c r="AN380" s="229">
        <v>0</v>
      </c>
      <c r="AO380" s="229">
        <f t="shared" si="500"/>
        <v>-100</v>
      </c>
      <c r="AP380" s="238"/>
      <c r="AQ380" s="255"/>
      <c r="AR380" s="255"/>
      <c r="AS380" s="256"/>
      <c r="AT380" s="256"/>
      <c r="AU380" s="256"/>
      <c r="AV380" s="256"/>
      <c r="AW380" s="256"/>
      <c r="AX380" s="256"/>
      <c r="AY380" s="256"/>
      <c r="AZ380" s="256"/>
      <c r="BA380" s="256"/>
      <c r="BB380" s="256"/>
      <c r="BC380" s="256"/>
      <c r="BD380" s="238"/>
      <c r="BE380" s="229" cm="1">
        <f t="array" ref="BE380">IF(ISBLANK(R380), INDEX(Use, $AH380, 4) - AM380*INDEX(Use, $AH380, 6), R380)</f>
        <v>5</v>
      </c>
      <c r="BF380" s="229">
        <f t="shared" si="501"/>
        <v>30</v>
      </c>
      <c r="BG380" s="229">
        <f t="shared" si="489"/>
        <v>13</v>
      </c>
      <c r="BH380" s="229">
        <f t="shared" si="490"/>
        <v>0</v>
      </c>
      <c r="BI380" s="234" cm="1">
        <f t="array" ref="BI380">K380/IF($L380&gt;0, INDEX($AU$23:$BA$77, $L380+20, $AH380), 1)</f>
        <v>0</v>
      </c>
      <c r="BJ380" s="230">
        <f t="shared" si="502"/>
        <v>0</v>
      </c>
      <c r="BK380" s="229">
        <v>35</v>
      </c>
      <c r="BL380" s="230">
        <f t="shared" si="503"/>
        <v>48</v>
      </c>
      <c r="BM380" s="235">
        <f t="shared" si="504"/>
        <v>2.9108720930232557</v>
      </c>
      <c r="BN380" s="235" cm="1">
        <f t="array" ref="BN380">$BI380 * SUMPRODUCT(INDEX($AR$77:$AT$82,,$AI380),INDEX($AU$77:$BA$82,,$AH380), N($AQ$77:$AQ$82&gt;$AO380)) / BM380 / 1000</f>
        <v>0</v>
      </c>
      <c r="BO380" s="232">
        <f t="shared" si="491"/>
        <v>30</v>
      </c>
      <c r="BP380" s="230">
        <f t="shared" si="505"/>
        <v>43</v>
      </c>
      <c r="BQ380" s="235">
        <f t="shared" si="506"/>
        <v>3.2938815789473681</v>
      </c>
      <c r="BR380" s="235" cm="1">
        <f t="array" ref="BR380">$BI380 * IF($AH380&lt;=2,
SUMPRODUCT(INDEX($AR$72:$AT$76,,$AI380), INDEX($AU$72:$BA$76,,$AH380), 1 / ($BB$72:$BB$76*BQ380 + (1-$BB$72:$BB$76)*BM380), N($AQ$72:$AQ$76&gt;$AO380)),
SUMPRODUCT(INDEX($AR$67:$AT$76,,$AI380), INDEX($AU$67:$BA$76,,$AH380), 1 / ($BC$67:$BC$76*BQ380 + (1-$BC$67:$BC$76)*BM380), N($AQ$67:$AQ$76&gt;$AO380))
) / 1000</f>
        <v>0</v>
      </c>
      <c r="BS380" s="232">
        <f t="shared" si="492"/>
        <v>25</v>
      </c>
      <c r="BT380" s="230">
        <f t="shared" si="507"/>
        <v>38</v>
      </c>
      <c r="BU380" s="235">
        <f t="shared" si="508"/>
        <v>3.792954545454545</v>
      </c>
      <c r="BV380" s="235" cm="1">
        <f t="array" ref="BV380">$BI380 * IF($AH380&lt;=2,
SUMPRODUCT(INDEX($AR$67:$AT$71,,$AI380), INDEX($AU$67:$BA$71,,$AH380), 1 / ($BB$67:$BB$71*BU380 + (1-$BB$67:$BB$71)*BQ380), N($AQ$67:$AQ$71&gt;$AO380)),
SUMPRODUCT(INDEX($AR$57:$AT$66,,$AI380), INDEX($AU$57:$BA$66,,$AH380), 1 / ($BC$57:$BC$66*BU380 + (1-$BC$57:$BC$66)*BQ380), N($AQ$57:$AQ$66&gt;$AO380))
) / 1000</f>
        <v>0</v>
      </c>
      <c r="BW380" s="232">
        <f t="shared" si="493"/>
        <v>20</v>
      </c>
      <c r="BX380" s="230">
        <f t="shared" si="509"/>
        <v>33</v>
      </c>
      <c r="BY380" s="235">
        <f t="shared" si="510"/>
        <v>4.4702678571428569</v>
      </c>
      <c r="BZ380" s="235" cm="1">
        <f t="array" ref="BZ380">$BI380 * IF($AH380&lt;=2,
SUMPRODUCT(INDEX($AR$62:$AT$66,,$AI380), INDEX($AU$62:$BA$66,,$AH380), 1 / ($BB$62:$BB$66*BY380 + (1-$BB$62:$BB$66)*BU380), N($AQ$62:$AQ$66&gt;$AO380)),
SUMPRODUCT(INDEX($AR$47:$AT$56,,$AI380), INDEX($AU$47:$BA$56,,$AH380), 1 / ($BC$47:$BC$56*BY380 + (1-$BC$47:$BC$56)*BU380), N($AQ$47:$AQ$56&gt;$AO380))
) / 1000</f>
        <v>0</v>
      </c>
      <c r="CA380" s="235" cm="1">
        <f t="array" ref="CA380">$BI380 * IF($AH380&lt;=2,
SUMPRODUCT(INDEX($AR$23:$AT$61,,$AI380), INDEX($AU$23:$BA$61,,$AH380), 1 / ($BB$23:$BB$61*BY380), N($AQ$23:$AQ$61&gt;$AO380)),
SUMPRODUCT(INDEX($AR$23:$AT$46,,$AI380), INDEX($AU$23:$BA$46,,$AH380), 1 / ($BC$23:$BC$46*BY380), N($AQ$23:$AQ$46&gt;$AO380))
) / 1000</f>
        <v>0</v>
      </c>
      <c r="CB380" s="230">
        <f t="shared" si="511"/>
        <v>0</v>
      </c>
      <c r="CC380" s="238"/>
      <c r="CD380" s="229" cm="1">
        <f t="array" ref="CD380">IF(ISBLANK(Y380), INDEX(Use, $AH380, 4) - AN380*INDEX(Use, $AH380, 6) - (Q380-X380), Y380)</f>
        <v>7</v>
      </c>
      <c r="CE380" s="229">
        <f t="shared" si="512"/>
        <v>32</v>
      </c>
      <c r="CF380" s="230">
        <f t="shared" si="513"/>
        <v>0</v>
      </c>
      <c r="CG380" s="229">
        <v>35</v>
      </c>
      <c r="CH380" s="230">
        <f t="shared" si="514"/>
        <v>48</v>
      </c>
      <c r="CI380" s="235">
        <f t="shared" si="515"/>
        <v>3.0748170731707316</v>
      </c>
      <c r="CJ380" s="235" cm="1">
        <f t="array" ref="CJ380">$BI380 * SUMPRODUCT(INDEX($AR$77:$AT$82,,$AI380),INDEX($AU$77:$BA$82,,$AH380), N($AQ$77:$AQ$82&gt;$AO380)) / CI380 / 1000</f>
        <v>0</v>
      </c>
      <c r="CK380" s="232">
        <f t="shared" si="494"/>
        <v>30</v>
      </c>
      <c r="CL380" s="230">
        <f t="shared" si="516"/>
        <v>43</v>
      </c>
      <c r="CM380" s="235">
        <f t="shared" si="517"/>
        <v>3.5018750000000001</v>
      </c>
      <c r="CN380" s="235" cm="1">
        <f t="array" ref="CN380">$BI380 * IF($AH380&lt;=2,
SUMPRODUCT(INDEX($AR$72:$AT$76,,$AI380), INDEX($AU$72:$BA$76,,$AH380), 1 / ($BB$72:$BB$76*CM380 + (1-$BB$72:$BB$76)*CI380), N($AQ$72:$AQ$76&gt;$AO380)),
SUMPRODUCT(INDEX($AR$67:$AT$76,,$AI380), INDEX($AU$67:$BA$76,,$AH380), 1 / ($BC$67:$BC$76*CM380 + (1-$BC$67:$BC$76)*CI380), N($AQ$67:$AQ$76&gt;$AO380))
) / 1000</f>
        <v>0</v>
      </c>
      <c r="CO380" s="232">
        <f t="shared" si="495"/>
        <v>25</v>
      </c>
      <c r="CP380" s="230">
        <f t="shared" si="518"/>
        <v>38</v>
      </c>
      <c r="CQ380" s="235">
        <f t="shared" si="519"/>
        <v>4.0666935483870965</v>
      </c>
      <c r="CR380" s="235" cm="1">
        <f t="array" ref="CR380">$BI380 * IF($AH380&lt;=2,
SUMPRODUCT(INDEX($AR$67:$AT$71,,$AI380), INDEX($AU$67:$BA$71,,$AH380), 1 / ($BB$67:$BB$71*CQ380 + (1-$BB$67:$BB$71)*CM380), N($AQ$67:$AQ$71&gt;$AO380)),
SUMPRODUCT(INDEX($AR$57:$AT$66,,$AI380), INDEX($AU$57:$BA$66,,$AH380), 1 / ($BC$57:$BC$66*CQ380 + (1-$BC$57:$BC$66)*CM380), N($AQ$57:$AQ$66&gt;$AO380))
) / 1000</f>
        <v>0</v>
      </c>
      <c r="CS380" s="232">
        <f t="shared" si="496"/>
        <v>20</v>
      </c>
      <c r="CT380" s="230">
        <f t="shared" si="520"/>
        <v>33</v>
      </c>
      <c r="CU380" s="235">
        <f t="shared" si="521"/>
        <v>4.8487499999999999</v>
      </c>
      <c r="CV380" s="235" cm="1">
        <f t="array" ref="CV380">$BI380 * IF($AH380&lt;=2,
SUMPRODUCT(INDEX($AR$62:$AT$66,,$AI380), INDEX($AU$62:$BA$66,,$AH380), 1 / ($BB$62:$BB$66*CU380 + (1-$BB$62:$BB$66)*CQ380), N($AQ$62:$AQ$66&gt;$AO380)),
SUMPRODUCT(INDEX($AR$47:$AT$56,,$AI380), INDEX($AU$47:$BA$56,,$AH380), 1 / ($BC$47:$BC$56*CU380 + (1-$BC$47:$BC$56)*CQ380), N($AQ$47:$AQ$56&gt;$AO380))
) / 1000</f>
        <v>0</v>
      </c>
      <c r="CW380" s="235" cm="1">
        <f t="array" ref="CW380">$BI380 * IF($AH380&lt;=2,
SUMPRODUCT(INDEX($AR$23:$AT$61,,$AI380), INDEX($AU$23:$BA$61,,$AH380), 1 / ($BB$23:$BB$61*CU380), N($AQ$23:$AQ$61&gt;$AO380)),
SUMPRODUCT(INDEX($AR$23:$AT$46,,$AI380), INDEX($AU$23:$BA$46,,$AH380), 1 / ($BC$23:$BC$46*CU380), N($AQ$23:$AQ$46&gt;$AO380))
) / 1000</f>
        <v>0</v>
      </c>
      <c r="CX380" s="230">
        <f t="shared" si="522"/>
        <v>0</v>
      </c>
      <c r="CY380" s="238"/>
    </row>
    <row r="381" spans="1:103" s="76" customFormat="1" ht="14.25" customHeight="1" x14ac:dyDescent="0.2">
      <c r="A381" s="231" t="b">
        <f t="shared" si="488"/>
        <v>0</v>
      </c>
      <c r="B381" s="245">
        <v>359</v>
      </c>
      <c r="C381" s="258"/>
      <c r="D381" s="258"/>
      <c r="E381" s="246"/>
      <c r="F381" s="247" t="str">
        <f>IF(ISBLANK(E381), "", VLOOKUP(E381, Z!$A$2:$C$4127, 3, FALSE))</f>
        <v/>
      </c>
      <c r="G381" s="248"/>
      <c r="H381" s="248"/>
      <c r="I381" s="249"/>
      <c r="J381" s="250"/>
      <c r="K381" s="259"/>
      <c r="L381" s="260"/>
      <c r="M381" s="252" t="str" cm="1">
        <f t="array" ref="M381">INDEX(Trad, 53, $A$20)</f>
        <v>Verschmutzt</v>
      </c>
      <c r="N381" s="253"/>
      <c r="O381" s="253"/>
      <c r="P381" s="254"/>
      <c r="Q381" s="251"/>
      <c r="R381" s="251"/>
      <c r="S381" s="264">
        <f t="shared" si="497"/>
        <v>0</v>
      </c>
      <c r="T381" s="252" t="str" cm="1">
        <f t="array" ref="T381">INDEX(Trad, 52, $A$20)</f>
        <v>Sauber</v>
      </c>
      <c r="U381" s="253"/>
      <c r="V381" s="253"/>
      <c r="W381" s="254"/>
      <c r="X381" s="251"/>
      <c r="Y381" s="251"/>
      <c r="Z381" s="264">
        <f t="shared" si="498"/>
        <v>0</v>
      </c>
      <c r="AA381" s="261"/>
      <c r="AB381" s="258"/>
      <c r="AC381" s="246"/>
      <c r="AD381" s="247" t="str">
        <f>IF(ISBLANK(AC381), "", VLOOKUP(AC381, Z!$A$2:$C$4127, 3, FALSE))</f>
        <v/>
      </c>
      <c r="AE381" s="262"/>
      <c r="AF381" s="263">
        <f t="shared" si="499"/>
        <v>0</v>
      </c>
      <c r="AG381" s="238"/>
      <c r="AH381" s="229">
        <f t="shared" si="523"/>
        <v>1</v>
      </c>
      <c r="AI381" s="229">
        <f t="shared" si="524"/>
        <v>1</v>
      </c>
      <c r="AJ381" s="229">
        <f t="shared" si="525"/>
        <v>0</v>
      </c>
      <c r="AK381" s="229">
        <v>0</v>
      </c>
      <c r="AL381" s="229">
        <v>0</v>
      </c>
      <c r="AM381" s="229">
        <v>1</v>
      </c>
      <c r="AN381" s="229">
        <v>0</v>
      </c>
      <c r="AO381" s="229">
        <f t="shared" si="500"/>
        <v>-100</v>
      </c>
      <c r="AP381" s="238"/>
      <c r="AQ381" s="255"/>
      <c r="AR381" s="255"/>
      <c r="AS381" s="256"/>
      <c r="AT381" s="256"/>
      <c r="AU381" s="256"/>
      <c r="AV381" s="256"/>
      <c r="AW381" s="256"/>
      <c r="AX381" s="256"/>
      <c r="AY381" s="256"/>
      <c r="AZ381" s="256"/>
      <c r="BA381" s="256"/>
      <c r="BB381" s="256"/>
      <c r="BC381" s="256"/>
      <c r="BD381" s="238"/>
      <c r="BE381" s="229" cm="1">
        <f t="array" ref="BE381">IF(ISBLANK(R381), INDEX(Use, $AH381, 4) - AM381*INDEX(Use, $AH381, 6), R381)</f>
        <v>5</v>
      </c>
      <c r="BF381" s="229">
        <f t="shared" si="501"/>
        <v>30</v>
      </c>
      <c r="BG381" s="229">
        <f t="shared" si="489"/>
        <v>13</v>
      </c>
      <c r="BH381" s="229">
        <f t="shared" si="490"/>
        <v>0</v>
      </c>
      <c r="BI381" s="234" cm="1">
        <f t="array" ref="BI381">K381/IF($L381&gt;0, INDEX($AU$23:$BA$77, $L381+20, $AH381), 1)</f>
        <v>0</v>
      </c>
      <c r="BJ381" s="230">
        <f t="shared" si="502"/>
        <v>0</v>
      </c>
      <c r="BK381" s="229">
        <v>35</v>
      </c>
      <c r="BL381" s="230">
        <f t="shared" si="503"/>
        <v>48</v>
      </c>
      <c r="BM381" s="235">
        <f t="shared" si="504"/>
        <v>2.9108720930232557</v>
      </c>
      <c r="BN381" s="235" cm="1">
        <f t="array" ref="BN381">$BI381 * SUMPRODUCT(INDEX($AR$77:$AT$82,,$AI381),INDEX($AU$77:$BA$82,,$AH381), N($AQ$77:$AQ$82&gt;$AO381)) / BM381 / 1000</f>
        <v>0</v>
      </c>
      <c r="BO381" s="232">
        <f t="shared" si="491"/>
        <v>30</v>
      </c>
      <c r="BP381" s="230">
        <f t="shared" si="505"/>
        <v>43</v>
      </c>
      <c r="BQ381" s="235">
        <f t="shared" si="506"/>
        <v>3.2938815789473681</v>
      </c>
      <c r="BR381" s="235" cm="1">
        <f t="array" ref="BR381">$BI381 * IF($AH381&lt;=2,
SUMPRODUCT(INDEX($AR$72:$AT$76,,$AI381), INDEX($AU$72:$BA$76,,$AH381), 1 / ($BB$72:$BB$76*BQ381 + (1-$BB$72:$BB$76)*BM381), N($AQ$72:$AQ$76&gt;$AO381)),
SUMPRODUCT(INDEX($AR$67:$AT$76,,$AI381), INDEX($AU$67:$BA$76,,$AH381), 1 / ($BC$67:$BC$76*BQ381 + (1-$BC$67:$BC$76)*BM381), N($AQ$67:$AQ$76&gt;$AO381))
) / 1000</f>
        <v>0</v>
      </c>
      <c r="BS381" s="232">
        <f t="shared" si="492"/>
        <v>25</v>
      </c>
      <c r="BT381" s="230">
        <f t="shared" si="507"/>
        <v>38</v>
      </c>
      <c r="BU381" s="235">
        <f t="shared" si="508"/>
        <v>3.792954545454545</v>
      </c>
      <c r="BV381" s="235" cm="1">
        <f t="array" ref="BV381">$BI381 * IF($AH381&lt;=2,
SUMPRODUCT(INDEX($AR$67:$AT$71,,$AI381), INDEX($AU$67:$BA$71,,$AH381), 1 / ($BB$67:$BB$71*BU381 + (1-$BB$67:$BB$71)*BQ381), N($AQ$67:$AQ$71&gt;$AO381)),
SUMPRODUCT(INDEX($AR$57:$AT$66,,$AI381), INDEX($AU$57:$BA$66,,$AH381), 1 / ($BC$57:$BC$66*BU381 + (1-$BC$57:$BC$66)*BQ381), N($AQ$57:$AQ$66&gt;$AO381))
) / 1000</f>
        <v>0</v>
      </c>
      <c r="BW381" s="232">
        <f t="shared" si="493"/>
        <v>20</v>
      </c>
      <c r="BX381" s="230">
        <f t="shared" si="509"/>
        <v>33</v>
      </c>
      <c r="BY381" s="235">
        <f t="shared" si="510"/>
        <v>4.4702678571428569</v>
      </c>
      <c r="BZ381" s="235" cm="1">
        <f t="array" ref="BZ381">$BI381 * IF($AH381&lt;=2,
SUMPRODUCT(INDEX($AR$62:$AT$66,,$AI381), INDEX($AU$62:$BA$66,,$AH381), 1 / ($BB$62:$BB$66*BY381 + (1-$BB$62:$BB$66)*BU381), N($AQ$62:$AQ$66&gt;$AO381)),
SUMPRODUCT(INDEX($AR$47:$AT$56,,$AI381), INDEX($AU$47:$BA$56,,$AH381), 1 / ($BC$47:$BC$56*BY381 + (1-$BC$47:$BC$56)*BU381), N($AQ$47:$AQ$56&gt;$AO381))
) / 1000</f>
        <v>0</v>
      </c>
      <c r="CA381" s="235" cm="1">
        <f t="array" ref="CA381">$BI381 * IF($AH381&lt;=2,
SUMPRODUCT(INDEX($AR$23:$AT$61,,$AI381), INDEX($AU$23:$BA$61,,$AH381), 1 / ($BB$23:$BB$61*BY381), N($AQ$23:$AQ$61&gt;$AO381)),
SUMPRODUCT(INDEX($AR$23:$AT$46,,$AI381), INDEX($AU$23:$BA$46,,$AH381), 1 / ($BC$23:$BC$46*BY381), N($AQ$23:$AQ$46&gt;$AO381))
) / 1000</f>
        <v>0</v>
      </c>
      <c r="CB381" s="230">
        <f t="shared" si="511"/>
        <v>0</v>
      </c>
      <c r="CC381" s="238"/>
      <c r="CD381" s="229" cm="1">
        <f t="array" ref="CD381">IF(ISBLANK(Y381), INDEX(Use, $AH381, 4) - AN381*INDEX(Use, $AH381, 6) - (Q381-X381), Y381)</f>
        <v>7</v>
      </c>
      <c r="CE381" s="229">
        <f t="shared" si="512"/>
        <v>32</v>
      </c>
      <c r="CF381" s="230">
        <f t="shared" si="513"/>
        <v>0</v>
      </c>
      <c r="CG381" s="229">
        <v>35</v>
      </c>
      <c r="CH381" s="230">
        <f t="shared" si="514"/>
        <v>48</v>
      </c>
      <c r="CI381" s="235">
        <f t="shared" si="515"/>
        <v>3.0748170731707316</v>
      </c>
      <c r="CJ381" s="235" cm="1">
        <f t="array" ref="CJ381">$BI381 * SUMPRODUCT(INDEX($AR$77:$AT$82,,$AI381),INDEX($AU$77:$BA$82,,$AH381), N($AQ$77:$AQ$82&gt;$AO381)) / CI381 / 1000</f>
        <v>0</v>
      </c>
      <c r="CK381" s="232">
        <f t="shared" si="494"/>
        <v>30</v>
      </c>
      <c r="CL381" s="230">
        <f t="shared" si="516"/>
        <v>43</v>
      </c>
      <c r="CM381" s="235">
        <f t="shared" si="517"/>
        <v>3.5018750000000001</v>
      </c>
      <c r="CN381" s="235" cm="1">
        <f t="array" ref="CN381">$BI381 * IF($AH381&lt;=2,
SUMPRODUCT(INDEX($AR$72:$AT$76,,$AI381), INDEX($AU$72:$BA$76,,$AH381), 1 / ($BB$72:$BB$76*CM381 + (1-$BB$72:$BB$76)*CI381), N($AQ$72:$AQ$76&gt;$AO381)),
SUMPRODUCT(INDEX($AR$67:$AT$76,,$AI381), INDEX($AU$67:$BA$76,,$AH381), 1 / ($BC$67:$BC$76*CM381 + (1-$BC$67:$BC$76)*CI381), N($AQ$67:$AQ$76&gt;$AO381))
) / 1000</f>
        <v>0</v>
      </c>
      <c r="CO381" s="232">
        <f t="shared" si="495"/>
        <v>25</v>
      </c>
      <c r="CP381" s="230">
        <f t="shared" si="518"/>
        <v>38</v>
      </c>
      <c r="CQ381" s="235">
        <f t="shared" si="519"/>
        <v>4.0666935483870965</v>
      </c>
      <c r="CR381" s="235" cm="1">
        <f t="array" ref="CR381">$BI381 * IF($AH381&lt;=2,
SUMPRODUCT(INDEX($AR$67:$AT$71,,$AI381), INDEX($AU$67:$BA$71,,$AH381), 1 / ($BB$67:$BB$71*CQ381 + (1-$BB$67:$BB$71)*CM381), N($AQ$67:$AQ$71&gt;$AO381)),
SUMPRODUCT(INDEX($AR$57:$AT$66,,$AI381), INDEX($AU$57:$BA$66,,$AH381), 1 / ($BC$57:$BC$66*CQ381 + (1-$BC$57:$BC$66)*CM381), N($AQ$57:$AQ$66&gt;$AO381))
) / 1000</f>
        <v>0</v>
      </c>
      <c r="CS381" s="232">
        <f t="shared" si="496"/>
        <v>20</v>
      </c>
      <c r="CT381" s="230">
        <f t="shared" si="520"/>
        <v>33</v>
      </c>
      <c r="CU381" s="235">
        <f t="shared" si="521"/>
        <v>4.8487499999999999</v>
      </c>
      <c r="CV381" s="235" cm="1">
        <f t="array" ref="CV381">$BI381 * IF($AH381&lt;=2,
SUMPRODUCT(INDEX($AR$62:$AT$66,,$AI381), INDEX($AU$62:$BA$66,,$AH381), 1 / ($BB$62:$BB$66*CU381 + (1-$BB$62:$BB$66)*CQ381), N($AQ$62:$AQ$66&gt;$AO381)),
SUMPRODUCT(INDEX($AR$47:$AT$56,,$AI381), INDEX($AU$47:$BA$56,,$AH381), 1 / ($BC$47:$BC$56*CU381 + (1-$BC$47:$BC$56)*CQ381), N($AQ$47:$AQ$56&gt;$AO381))
) / 1000</f>
        <v>0</v>
      </c>
      <c r="CW381" s="235" cm="1">
        <f t="array" ref="CW381">$BI381 * IF($AH381&lt;=2,
SUMPRODUCT(INDEX($AR$23:$AT$61,,$AI381), INDEX($AU$23:$BA$61,,$AH381), 1 / ($BB$23:$BB$61*CU381), N($AQ$23:$AQ$61&gt;$AO381)),
SUMPRODUCT(INDEX($AR$23:$AT$46,,$AI381), INDEX($AU$23:$BA$46,,$AH381), 1 / ($BC$23:$BC$46*CU381), N($AQ$23:$AQ$46&gt;$AO381))
) / 1000</f>
        <v>0</v>
      </c>
      <c r="CX381" s="230">
        <f t="shared" si="522"/>
        <v>0</v>
      </c>
      <c r="CY381" s="238"/>
    </row>
    <row r="382" spans="1:103" s="76" customFormat="1" ht="14.25" customHeight="1" x14ac:dyDescent="0.2">
      <c r="A382" s="231" t="b">
        <f t="shared" si="488"/>
        <v>0</v>
      </c>
      <c r="B382" s="245">
        <v>360</v>
      </c>
      <c r="C382" s="258"/>
      <c r="D382" s="258"/>
      <c r="E382" s="246"/>
      <c r="F382" s="247" t="str">
        <f>IF(ISBLANK(E382), "", VLOOKUP(E382, Z!$A$2:$C$4127, 3, FALSE))</f>
        <v/>
      </c>
      <c r="G382" s="248"/>
      <c r="H382" s="248"/>
      <c r="I382" s="249"/>
      <c r="J382" s="250"/>
      <c r="K382" s="259"/>
      <c r="L382" s="260"/>
      <c r="M382" s="252" t="str" cm="1">
        <f t="array" ref="M382">INDEX(Trad, 53, $A$20)</f>
        <v>Verschmutzt</v>
      </c>
      <c r="N382" s="253"/>
      <c r="O382" s="253"/>
      <c r="P382" s="254"/>
      <c r="Q382" s="251"/>
      <c r="R382" s="251"/>
      <c r="S382" s="264">
        <f t="shared" si="497"/>
        <v>0</v>
      </c>
      <c r="T382" s="252" t="str" cm="1">
        <f t="array" ref="T382">INDEX(Trad, 52, $A$20)</f>
        <v>Sauber</v>
      </c>
      <c r="U382" s="253"/>
      <c r="V382" s="253"/>
      <c r="W382" s="254"/>
      <c r="X382" s="251"/>
      <c r="Y382" s="251"/>
      <c r="Z382" s="264">
        <f t="shared" si="498"/>
        <v>0</v>
      </c>
      <c r="AA382" s="261"/>
      <c r="AB382" s="258"/>
      <c r="AC382" s="246"/>
      <c r="AD382" s="247" t="str">
        <f>IF(ISBLANK(AC382), "", VLOOKUP(AC382, Z!$A$2:$C$4127, 3, FALSE))</f>
        <v/>
      </c>
      <c r="AE382" s="262"/>
      <c r="AF382" s="263">
        <f t="shared" si="499"/>
        <v>0</v>
      </c>
      <c r="AG382" s="238"/>
      <c r="AH382" s="229">
        <f t="shared" si="523"/>
        <v>1</v>
      </c>
      <c r="AI382" s="229">
        <f t="shared" si="524"/>
        <v>1</v>
      </c>
      <c r="AJ382" s="229">
        <f t="shared" si="525"/>
        <v>0</v>
      </c>
      <c r="AK382" s="229">
        <v>0</v>
      </c>
      <c r="AL382" s="229">
        <v>0</v>
      </c>
      <c r="AM382" s="229">
        <v>1</v>
      </c>
      <c r="AN382" s="229">
        <v>0</v>
      </c>
      <c r="AO382" s="229">
        <f t="shared" si="500"/>
        <v>-100</v>
      </c>
      <c r="AP382" s="238"/>
      <c r="AQ382" s="255"/>
      <c r="AR382" s="255"/>
      <c r="AS382" s="256"/>
      <c r="AT382" s="256"/>
      <c r="AU382" s="256"/>
      <c r="AV382" s="256"/>
      <c r="AW382" s="256"/>
      <c r="AX382" s="256"/>
      <c r="AY382" s="256"/>
      <c r="AZ382" s="256"/>
      <c r="BA382" s="256"/>
      <c r="BB382" s="256"/>
      <c r="BC382" s="256"/>
      <c r="BD382" s="238"/>
      <c r="BE382" s="229" cm="1">
        <f t="array" ref="BE382">IF(ISBLANK(R382), INDEX(Use, $AH382, 4) - AM382*INDEX(Use, $AH382, 6), R382)</f>
        <v>5</v>
      </c>
      <c r="BF382" s="229">
        <f t="shared" si="501"/>
        <v>30</v>
      </c>
      <c r="BG382" s="229">
        <f t="shared" si="489"/>
        <v>13</v>
      </c>
      <c r="BH382" s="229">
        <f t="shared" si="490"/>
        <v>0</v>
      </c>
      <c r="BI382" s="234" cm="1">
        <f t="array" ref="BI382">K382/IF($L382&gt;0, INDEX($AU$23:$BA$77, $L382+20, $AH382), 1)</f>
        <v>0</v>
      </c>
      <c r="BJ382" s="230">
        <f t="shared" si="502"/>
        <v>0</v>
      </c>
      <c r="BK382" s="229">
        <v>35</v>
      </c>
      <c r="BL382" s="230">
        <f t="shared" si="503"/>
        <v>48</v>
      </c>
      <c r="BM382" s="235">
        <f t="shared" si="504"/>
        <v>2.9108720930232557</v>
      </c>
      <c r="BN382" s="235" cm="1">
        <f t="array" ref="BN382">$BI382 * SUMPRODUCT(INDEX($AR$77:$AT$82,,$AI382),INDEX($AU$77:$BA$82,,$AH382), N($AQ$77:$AQ$82&gt;$AO382)) / BM382 / 1000</f>
        <v>0</v>
      </c>
      <c r="BO382" s="232">
        <f t="shared" si="491"/>
        <v>30</v>
      </c>
      <c r="BP382" s="230">
        <f t="shared" si="505"/>
        <v>43</v>
      </c>
      <c r="BQ382" s="235">
        <f t="shared" si="506"/>
        <v>3.2938815789473681</v>
      </c>
      <c r="BR382" s="235" cm="1">
        <f t="array" ref="BR382">$BI382 * IF($AH382&lt;=2,
SUMPRODUCT(INDEX($AR$72:$AT$76,,$AI382), INDEX($AU$72:$BA$76,,$AH382), 1 / ($BB$72:$BB$76*BQ382 + (1-$BB$72:$BB$76)*BM382), N($AQ$72:$AQ$76&gt;$AO382)),
SUMPRODUCT(INDEX($AR$67:$AT$76,,$AI382), INDEX($AU$67:$BA$76,,$AH382), 1 / ($BC$67:$BC$76*BQ382 + (1-$BC$67:$BC$76)*BM382), N($AQ$67:$AQ$76&gt;$AO382))
) / 1000</f>
        <v>0</v>
      </c>
      <c r="BS382" s="232">
        <f t="shared" si="492"/>
        <v>25</v>
      </c>
      <c r="BT382" s="230">
        <f t="shared" si="507"/>
        <v>38</v>
      </c>
      <c r="BU382" s="235">
        <f t="shared" si="508"/>
        <v>3.792954545454545</v>
      </c>
      <c r="BV382" s="235" cm="1">
        <f t="array" ref="BV382">$BI382 * IF($AH382&lt;=2,
SUMPRODUCT(INDEX($AR$67:$AT$71,,$AI382), INDEX($AU$67:$BA$71,,$AH382), 1 / ($BB$67:$BB$71*BU382 + (1-$BB$67:$BB$71)*BQ382), N($AQ$67:$AQ$71&gt;$AO382)),
SUMPRODUCT(INDEX($AR$57:$AT$66,,$AI382), INDEX($AU$57:$BA$66,,$AH382), 1 / ($BC$57:$BC$66*BU382 + (1-$BC$57:$BC$66)*BQ382), N($AQ$57:$AQ$66&gt;$AO382))
) / 1000</f>
        <v>0</v>
      </c>
      <c r="BW382" s="232">
        <f t="shared" si="493"/>
        <v>20</v>
      </c>
      <c r="BX382" s="230">
        <f t="shared" si="509"/>
        <v>33</v>
      </c>
      <c r="BY382" s="235">
        <f t="shared" si="510"/>
        <v>4.4702678571428569</v>
      </c>
      <c r="BZ382" s="235" cm="1">
        <f t="array" ref="BZ382">$BI382 * IF($AH382&lt;=2,
SUMPRODUCT(INDEX($AR$62:$AT$66,,$AI382), INDEX($AU$62:$BA$66,,$AH382), 1 / ($BB$62:$BB$66*BY382 + (1-$BB$62:$BB$66)*BU382), N($AQ$62:$AQ$66&gt;$AO382)),
SUMPRODUCT(INDEX($AR$47:$AT$56,,$AI382), INDEX($AU$47:$BA$56,,$AH382), 1 / ($BC$47:$BC$56*BY382 + (1-$BC$47:$BC$56)*BU382), N($AQ$47:$AQ$56&gt;$AO382))
) / 1000</f>
        <v>0</v>
      </c>
      <c r="CA382" s="235" cm="1">
        <f t="array" ref="CA382">$BI382 * IF($AH382&lt;=2,
SUMPRODUCT(INDEX($AR$23:$AT$61,,$AI382), INDEX($AU$23:$BA$61,,$AH382), 1 / ($BB$23:$BB$61*BY382), N($AQ$23:$AQ$61&gt;$AO382)),
SUMPRODUCT(INDEX($AR$23:$AT$46,,$AI382), INDEX($AU$23:$BA$46,,$AH382), 1 / ($BC$23:$BC$46*BY382), N($AQ$23:$AQ$46&gt;$AO382))
) / 1000</f>
        <v>0</v>
      </c>
      <c r="CB382" s="230">
        <f t="shared" si="511"/>
        <v>0</v>
      </c>
      <c r="CC382" s="238"/>
      <c r="CD382" s="229" cm="1">
        <f t="array" ref="CD382">IF(ISBLANK(Y382), INDEX(Use, $AH382, 4) - AN382*INDEX(Use, $AH382, 6) - (Q382-X382), Y382)</f>
        <v>7</v>
      </c>
      <c r="CE382" s="229">
        <f t="shared" si="512"/>
        <v>32</v>
      </c>
      <c r="CF382" s="230">
        <f t="shared" si="513"/>
        <v>0</v>
      </c>
      <c r="CG382" s="229">
        <v>35</v>
      </c>
      <c r="CH382" s="230">
        <f t="shared" si="514"/>
        <v>48</v>
      </c>
      <c r="CI382" s="235">
        <f t="shared" si="515"/>
        <v>3.0748170731707316</v>
      </c>
      <c r="CJ382" s="235" cm="1">
        <f t="array" ref="CJ382">$BI382 * SUMPRODUCT(INDEX($AR$77:$AT$82,,$AI382),INDEX($AU$77:$BA$82,,$AH382), N($AQ$77:$AQ$82&gt;$AO382)) / CI382 / 1000</f>
        <v>0</v>
      </c>
      <c r="CK382" s="232">
        <f t="shared" si="494"/>
        <v>30</v>
      </c>
      <c r="CL382" s="230">
        <f t="shared" si="516"/>
        <v>43</v>
      </c>
      <c r="CM382" s="235">
        <f t="shared" si="517"/>
        <v>3.5018750000000001</v>
      </c>
      <c r="CN382" s="235" cm="1">
        <f t="array" ref="CN382">$BI382 * IF($AH382&lt;=2,
SUMPRODUCT(INDEX($AR$72:$AT$76,,$AI382), INDEX($AU$72:$BA$76,,$AH382), 1 / ($BB$72:$BB$76*CM382 + (1-$BB$72:$BB$76)*CI382), N($AQ$72:$AQ$76&gt;$AO382)),
SUMPRODUCT(INDEX($AR$67:$AT$76,,$AI382), INDEX($AU$67:$BA$76,,$AH382), 1 / ($BC$67:$BC$76*CM382 + (1-$BC$67:$BC$76)*CI382), N($AQ$67:$AQ$76&gt;$AO382))
) / 1000</f>
        <v>0</v>
      </c>
      <c r="CO382" s="232">
        <f t="shared" si="495"/>
        <v>25</v>
      </c>
      <c r="CP382" s="230">
        <f t="shared" si="518"/>
        <v>38</v>
      </c>
      <c r="CQ382" s="235">
        <f t="shared" si="519"/>
        <v>4.0666935483870965</v>
      </c>
      <c r="CR382" s="235" cm="1">
        <f t="array" ref="CR382">$BI382 * IF($AH382&lt;=2,
SUMPRODUCT(INDEX($AR$67:$AT$71,,$AI382), INDEX($AU$67:$BA$71,,$AH382), 1 / ($BB$67:$BB$71*CQ382 + (1-$BB$67:$BB$71)*CM382), N($AQ$67:$AQ$71&gt;$AO382)),
SUMPRODUCT(INDEX($AR$57:$AT$66,,$AI382), INDEX($AU$57:$BA$66,,$AH382), 1 / ($BC$57:$BC$66*CQ382 + (1-$BC$57:$BC$66)*CM382), N($AQ$57:$AQ$66&gt;$AO382))
) / 1000</f>
        <v>0</v>
      </c>
      <c r="CS382" s="232">
        <f t="shared" si="496"/>
        <v>20</v>
      </c>
      <c r="CT382" s="230">
        <f t="shared" si="520"/>
        <v>33</v>
      </c>
      <c r="CU382" s="235">
        <f t="shared" si="521"/>
        <v>4.8487499999999999</v>
      </c>
      <c r="CV382" s="235" cm="1">
        <f t="array" ref="CV382">$BI382 * IF($AH382&lt;=2,
SUMPRODUCT(INDEX($AR$62:$AT$66,,$AI382), INDEX($AU$62:$BA$66,,$AH382), 1 / ($BB$62:$BB$66*CU382 + (1-$BB$62:$BB$66)*CQ382), N($AQ$62:$AQ$66&gt;$AO382)),
SUMPRODUCT(INDEX($AR$47:$AT$56,,$AI382), INDEX($AU$47:$BA$56,,$AH382), 1 / ($BC$47:$BC$56*CU382 + (1-$BC$47:$BC$56)*CQ382), N($AQ$47:$AQ$56&gt;$AO382))
) / 1000</f>
        <v>0</v>
      </c>
      <c r="CW382" s="235" cm="1">
        <f t="array" ref="CW382">$BI382 * IF($AH382&lt;=2,
SUMPRODUCT(INDEX($AR$23:$AT$61,,$AI382), INDEX($AU$23:$BA$61,,$AH382), 1 / ($BB$23:$BB$61*CU382), N($AQ$23:$AQ$61&gt;$AO382)),
SUMPRODUCT(INDEX($AR$23:$AT$46,,$AI382), INDEX($AU$23:$BA$46,,$AH382), 1 / ($BC$23:$BC$46*CU382), N($AQ$23:$AQ$46&gt;$AO382))
) / 1000</f>
        <v>0</v>
      </c>
      <c r="CX382" s="230">
        <f t="shared" si="522"/>
        <v>0</v>
      </c>
      <c r="CY382" s="238"/>
    </row>
    <row r="383" spans="1:103" s="76" customFormat="1" ht="14.25" customHeight="1" x14ac:dyDescent="0.2">
      <c r="A383" s="231" t="b">
        <f t="shared" si="488"/>
        <v>0</v>
      </c>
      <c r="B383" s="245">
        <v>361</v>
      </c>
      <c r="C383" s="258"/>
      <c r="D383" s="258"/>
      <c r="E383" s="246"/>
      <c r="F383" s="247" t="str">
        <f>IF(ISBLANK(E383), "", VLOOKUP(E383, Z!$A$2:$C$4127, 3, FALSE))</f>
        <v/>
      </c>
      <c r="G383" s="248"/>
      <c r="H383" s="248"/>
      <c r="I383" s="249"/>
      <c r="J383" s="250"/>
      <c r="K383" s="259"/>
      <c r="L383" s="260"/>
      <c r="M383" s="252" t="str" cm="1">
        <f t="array" ref="M383">INDEX(Trad, 53, $A$20)</f>
        <v>Verschmutzt</v>
      </c>
      <c r="N383" s="253"/>
      <c r="O383" s="253"/>
      <c r="P383" s="254"/>
      <c r="Q383" s="251"/>
      <c r="R383" s="251"/>
      <c r="S383" s="264">
        <f t="shared" si="497"/>
        <v>0</v>
      </c>
      <c r="T383" s="252" t="str" cm="1">
        <f t="array" ref="T383">INDEX(Trad, 52, $A$20)</f>
        <v>Sauber</v>
      </c>
      <c r="U383" s="253"/>
      <c r="V383" s="253"/>
      <c r="W383" s="254"/>
      <c r="X383" s="251"/>
      <c r="Y383" s="251"/>
      <c r="Z383" s="264">
        <f t="shared" si="498"/>
        <v>0</v>
      </c>
      <c r="AA383" s="261"/>
      <c r="AB383" s="258"/>
      <c r="AC383" s="246"/>
      <c r="AD383" s="247" t="str">
        <f>IF(ISBLANK(AC383), "", VLOOKUP(AC383, Z!$A$2:$C$4127, 3, FALSE))</f>
        <v/>
      </c>
      <c r="AE383" s="262"/>
      <c r="AF383" s="263">
        <f t="shared" si="499"/>
        <v>0</v>
      </c>
      <c r="AG383" s="238"/>
      <c r="AH383" s="229">
        <f t="shared" si="523"/>
        <v>1</v>
      </c>
      <c r="AI383" s="229">
        <f t="shared" si="524"/>
        <v>1</v>
      </c>
      <c r="AJ383" s="229">
        <f t="shared" si="525"/>
        <v>0</v>
      </c>
      <c r="AK383" s="229">
        <v>0</v>
      </c>
      <c r="AL383" s="229">
        <v>0</v>
      </c>
      <c r="AM383" s="229">
        <v>1</v>
      </c>
      <c r="AN383" s="229">
        <v>0</v>
      </c>
      <c r="AO383" s="229">
        <f t="shared" si="500"/>
        <v>-100</v>
      </c>
      <c r="AP383" s="238"/>
      <c r="AQ383" s="255"/>
      <c r="AR383" s="255"/>
      <c r="AS383" s="256"/>
      <c r="AT383" s="256"/>
      <c r="AU383" s="256"/>
      <c r="AV383" s="256"/>
      <c r="AW383" s="256"/>
      <c r="AX383" s="256"/>
      <c r="AY383" s="256"/>
      <c r="AZ383" s="256"/>
      <c r="BA383" s="256"/>
      <c r="BB383" s="256"/>
      <c r="BC383" s="256"/>
      <c r="BD383" s="238"/>
      <c r="BE383" s="229" cm="1">
        <f t="array" ref="BE383">IF(ISBLANK(R383), INDEX(Use, $AH383, 4) - AM383*INDEX(Use, $AH383, 6), R383)</f>
        <v>5</v>
      </c>
      <c r="BF383" s="229">
        <f t="shared" si="501"/>
        <v>30</v>
      </c>
      <c r="BG383" s="229">
        <f t="shared" si="489"/>
        <v>13</v>
      </c>
      <c r="BH383" s="229">
        <f t="shared" si="490"/>
        <v>0</v>
      </c>
      <c r="BI383" s="234" cm="1">
        <f t="array" ref="BI383">K383/IF($L383&gt;0, INDEX($AU$23:$BA$77, $L383+20, $AH383), 1)</f>
        <v>0</v>
      </c>
      <c r="BJ383" s="230">
        <f t="shared" si="502"/>
        <v>0</v>
      </c>
      <c r="BK383" s="229">
        <v>35</v>
      </c>
      <c r="BL383" s="230">
        <f t="shared" si="503"/>
        <v>48</v>
      </c>
      <c r="BM383" s="235">
        <f t="shared" si="504"/>
        <v>2.9108720930232557</v>
      </c>
      <c r="BN383" s="235" cm="1">
        <f t="array" ref="BN383">$BI383 * SUMPRODUCT(INDEX($AR$77:$AT$82,,$AI383),INDEX($AU$77:$BA$82,,$AH383), N($AQ$77:$AQ$82&gt;$AO383)) / BM383 / 1000</f>
        <v>0</v>
      </c>
      <c r="BO383" s="232">
        <f t="shared" si="491"/>
        <v>30</v>
      </c>
      <c r="BP383" s="230">
        <f t="shared" si="505"/>
        <v>43</v>
      </c>
      <c r="BQ383" s="235">
        <f t="shared" si="506"/>
        <v>3.2938815789473681</v>
      </c>
      <c r="BR383" s="235" cm="1">
        <f t="array" ref="BR383">$BI383 * IF($AH383&lt;=2,
SUMPRODUCT(INDEX($AR$72:$AT$76,,$AI383), INDEX($AU$72:$BA$76,,$AH383), 1 / ($BB$72:$BB$76*BQ383 + (1-$BB$72:$BB$76)*BM383), N($AQ$72:$AQ$76&gt;$AO383)),
SUMPRODUCT(INDEX($AR$67:$AT$76,,$AI383), INDEX($AU$67:$BA$76,,$AH383), 1 / ($BC$67:$BC$76*BQ383 + (1-$BC$67:$BC$76)*BM383), N($AQ$67:$AQ$76&gt;$AO383))
) / 1000</f>
        <v>0</v>
      </c>
      <c r="BS383" s="232">
        <f t="shared" si="492"/>
        <v>25</v>
      </c>
      <c r="BT383" s="230">
        <f t="shared" si="507"/>
        <v>38</v>
      </c>
      <c r="BU383" s="235">
        <f t="shared" si="508"/>
        <v>3.792954545454545</v>
      </c>
      <c r="BV383" s="235" cm="1">
        <f t="array" ref="BV383">$BI383 * IF($AH383&lt;=2,
SUMPRODUCT(INDEX($AR$67:$AT$71,,$AI383), INDEX($AU$67:$BA$71,,$AH383), 1 / ($BB$67:$BB$71*BU383 + (1-$BB$67:$BB$71)*BQ383), N($AQ$67:$AQ$71&gt;$AO383)),
SUMPRODUCT(INDEX($AR$57:$AT$66,,$AI383), INDEX($AU$57:$BA$66,,$AH383), 1 / ($BC$57:$BC$66*BU383 + (1-$BC$57:$BC$66)*BQ383), N($AQ$57:$AQ$66&gt;$AO383))
) / 1000</f>
        <v>0</v>
      </c>
      <c r="BW383" s="232">
        <f t="shared" si="493"/>
        <v>20</v>
      </c>
      <c r="BX383" s="230">
        <f t="shared" si="509"/>
        <v>33</v>
      </c>
      <c r="BY383" s="235">
        <f t="shared" si="510"/>
        <v>4.4702678571428569</v>
      </c>
      <c r="BZ383" s="235" cm="1">
        <f t="array" ref="BZ383">$BI383 * IF($AH383&lt;=2,
SUMPRODUCT(INDEX($AR$62:$AT$66,,$AI383), INDEX($AU$62:$BA$66,,$AH383), 1 / ($BB$62:$BB$66*BY383 + (1-$BB$62:$BB$66)*BU383), N($AQ$62:$AQ$66&gt;$AO383)),
SUMPRODUCT(INDEX($AR$47:$AT$56,,$AI383), INDEX($AU$47:$BA$56,,$AH383), 1 / ($BC$47:$BC$56*BY383 + (1-$BC$47:$BC$56)*BU383), N($AQ$47:$AQ$56&gt;$AO383))
) / 1000</f>
        <v>0</v>
      </c>
      <c r="CA383" s="235" cm="1">
        <f t="array" ref="CA383">$BI383 * IF($AH383&lt;=2,
SUMPRODUCT(INDEX($AR$23:$AT$61,,$AI383), INDEX($AU$23:$BA$61,,$AH383), 1 / ($BB$23:$BB$61*BY383), N($AQ$23:$AQ$61&gt;$AO383)),
SUMPRODUCT(INDEX($AR$23:$AT$46,,$AI383), INDEX($AU$23:$BA$46,,$AH383), 1 / ($BC$23:$BC$46*BY383), N($AQ$23:$AQ$46&gt;$AO383))
) / 1000</f>
        <v>0</v>
      </c>
      <c r="CB383" s="230">
        <f t="shared" si="511"/>
        <v>0</v>
      </c>
      <c r="CC383" s="238"/>
      <c r="CD383" s="229" cm="1">
        <f t="array" ref="CD383">IF(ISBLANK(Y383), INDEX(Use, $AH383, 4) - AN383*INDEX(Use, $AH383, 6) - (Q383-X383), Y383)</f>
        <v>7</v>
      </c>
      <c r="CE383" s="229">
        <f t="shared" si="512"/>
        <v>32</v>
      </c>
      <c r="CF383" s="230">
        <f t="shared" si="513"/>
        <v>0</v>
      </c>
      <c r="CG383" s="229">
        <v>35</v>
      </c>
      <c r="CH383" s="230">
        <f t="shared" si="514"/>
        <v>48</v>
      </c>
      <c r="CI383" s="235">
        <f t="shared" si="515"/>
        <v>3.0748170731707316</v>
      </c>
      <c r="CJ383" s="235" cm="1">
        <f t="array" ref="CJ383">$BI383 * SUMPRODUCT(INDEX($AR$77:$AT$82,,$AI383),INDEX($AU$77:$BA$82,,$AH383), N($AQ$77:$AQ$82&gt;$AO383)) / CI383 / 1000</f>
        <v>0</v>
      </c>
      <c r="CK383" s="232">
        <f t="shared" si="494"/>
        <v>30</v>
      </c>
      <c r="CL383" s="230">
        <f t="shared" si="516"/>
        <v>43</v>
      </c>
      <c r="CM383" s="235">
        <f t="shared" si="517"/>
        <v>3.5018750000000001</v>
      </c>
      <c r="CN383" s="235" cm="1">
        <f t="array" ref="CN383">$BI383 * IF($AH383&lt;=2,
SUMPRODUCT(INDEX($AR$72:$AT$76,,$AI383), INDEX($AU$72:$BA$76,,$AH383), 1 / ($BB$72:$BB$76*CM383 + (1-$BB$72:$BB$76)*CI383), N($AQ$72:$AQ$76&gt;$AO383)),
SUMPRODUCT(INDEX($AR$67:$AT$76,,$AI383), INDEX($AU$67:$BA$76,,$AH383), 1 / ($BC$67:$BC$76*CM383 + (1-$BC$67:$BC$76)*CI383), N($AQ$67:$AQ$76&gt;$AO383))
) / 1000</f>
        <v>0</v>
      </c>
      <c r="CO383" s="232">
        <f t="shared" si="495"/>
        <v>25</v>
      </c>
      <c r="CP383" s="230">
        <f t="shared" si="518"/>
        <v>38</v>
      </c>
      <c r="CQ383" s="235">
        <f t="shared" si="519"/>
        <v>4.0666935483870965</v>
      </c>
      <c r="CR383" s="235" cm="1">
        <f t="array" ref="CR383">$BI383 * IF($AH383&lt;=2,
SUMPRODUCT(INDEX($AR$67:$AT$71,,$AI383), INDEX($AU$67:$BA$71,,$AH383), 1 / ($BB$67:$BB$71*CQ383 + (1-$BB$67:$BB$71)*CM383), N($AQ$67:$AQ$71&gt;$AO383)),
SUMPRODUCT(INDEX($AR$57:$AT$66,,$AI383), INDEX($AU$57:$BA$66,,$AH383), 1 / ($BC$57:$BC$66*CQ383 + (1-$BC$57:$BC$66)*CM383), N($AQ$57:$AQ$66&gt;$AO383))
) / 1000</f>
        <v>0</v>
      </c>
      <c r="CS383" s="232">
        <f t="shared" si="496"/>
        <v>20</v>
      </c>
      <c r="CT383" s="230">
        <f t="shared" si="520"/>
        <v>33</v>
      </c>
      <c r="CU383" s="235">
        <f t="shared" si="521"/>
        <v>4.8487499999999999</v>
      </c>
      <c r="CV383" s="235" cm="1">
        <f t="array" ref="CV383">$BI383 * IF($AH383&lt;=2,
SUMPRODUCT(INDEX($AR$62:$AT$66,,$AI383), INDEX($AU$62:$BA$66,,$AH383), 1 / ($BB$62:$BB$66*CU383 + (1-$BB$62:$BB$66)*CQ383), N($AQ$62:$AQ$66&gt;$AO383)),
SUMPRODUCT(INDEX($AR$47:$AT$56,,$AI383), INDEX($AU$47:$BA$56,,$AH383), 1 / ($BC$47:$BC$56*CU383 + (1-$BC$47:$BC$56)*CQ383), N($AQ$47:$AQ$56&gt;$AO383))
) / 1000</f>
        <v>0</v>
      </c>
      <c r="CW383" s="235" cm="1">
        <f t="array" ref="CW383">$BI383 * IF($AH383&lt;=2,
SUMPRODUCT(INDEX($AR$23:$AT$61,,$AI383), INDEX($AU$23:$BA$61,,$AH383), 1 / ($BB$23:$BB$61*CU383), N($AQ$23:$AQ$61&gt;$AO383)),
SUMPRODUCT(INDEX($AR$23:$AT$46,,$AI383), INDEX($AU$23:$BA$46,,$AH383), 1 / ($BC$23:$BC$46*CU383), N($AQ$23:$AQ$46&gt;$AO383))
) / 1000</f>
        <v>0</v>
      </c>
      <c r="CX383" s="230">
        <f t="shared" si="522"/>
        <v>0</v>
      </c>
      <c r="CY383" s="238"/>
    </row>
    <row r="384" spans="1:103" s="76" customFormat="1" ht="14.25" customHeight="1" x14ac:dyDescent="0.2">
      <c r="A384" s="231" t="b">
        <f t="shared" si="488"/>
        <v>0</v>
      </c>
      <c r="B384" s="245">
        <v>362</v>
      </c>
      <c r="C384" s="258"/>
      <c r="D384" s="258"/>
      <c r="E384" s="246"/>
      <c r="F384" s="247" t="str">
        <f>IF(ISBLANK(E384), "", VLOOKUP(E384, Z!$A$2:$C$4127, 3, FALSE))</f>
        <v/>
      </c>
      <c r="G384" s="248"/>
      <c r="H384" s="248"/>
      <c r="I384" s="249"/>
      <c r="J384" s="250"/>
      <c r="K384" s="259"/>
      <c r="L384" s="260"/>
      <c r="M384" s="252" t="str" cm="1">
        <f t="array" ref="M384">INDEX(Trad, 53, $A$20)</f>
        <v>Verschmutzt</v>
      </c>
      <c r="N384" s="253"/>
      <c r="O384" s="253"/>
      <c r="P384" s="254"/>
      <c r="Q384" s="251"/>
      <c r="R384" s="251"/>
      <c r="S384" s="264">
        <f t="shared" si="497"/>
        <v>0</v>
      </c>
      <c r="T384" s="252" t="str" cm="1">
        <f t="array" ref="T384">INDEX(Trad, 52, $A$20)</f>
        <v>Sauber</v>
      </c>
      <c r="U384" s="253"/>
      <c r="V384" s="253"/>
      <c r="W384" s="254"/>
      <c r="X384" s="251"/>
      <c r="Y384" s="251"/>
      <c r="Z384" s="264">
        <f t="shared" si="498"/>
        <v>0</v>
      </c>
      <c r="AA384" s="261"/>
      <c r="AB384" s="258"/>
      <c r="AC384" s="246"/>
      <c r="AD384" s="247" t="str">
        <f>IF(ISBLANK(AC384), "", VLOOKUP(AC384, Z!$A$2:$C$4127, 3, FALSE))</f>
        <v/>
      </c>
      <c r="AE384" s="262"/>
      <c r="AF384" s="263">
        <f t="shared" si="499"/>
        <v>0</v>
      </c>
      <c r="AG384" s="238"/>
      <c r="AH384" s="229">
        <f t="shared" si="523"/>
        <v>1</v>
      </c>
      <c r="AI384" s="229">
        <f t="shared" si="524"/>
        <v>1</v>
      </c>
      <c r="AJ384" s="229">
        <f t="shared" si="525"/>
        <v>0</v>
      </c>
      <c r="AK384" s="229">
        <v>0</v>
      </c>
      <c r="AL384" s="229">
        <v>0</v>
      </c>
      <c r="AM384" s="229">
        <v>1</v>
      </c>
      <c r="AN384" s="229">
        <v>0</v>
      </c>
      <c r="AO384" s="229">
        <f t="shared" si="500"/>
        <v>-100</v>
      </c>
      <c r="AP384" s="238"/>
      <c r="AQ384" s="255"/>
      <c r="AR384" s="255"/>
      <c r="AS384" s="256"/>
      <c r="AT384" s="256"/>
      <c r="AU384" s="256"/>
      <c r="AV384" s="256"/>
      <c r="AW384" s="256"/>
      <c r="AX384" s="256"/>
      <c r="AY384" s="256"/>
      <c r="AZ384" s="256"/>
      <c r="BA384" s="256"/>
      <c r="BB384" s="256"/>
      <c r="BC384" s="256"/>
      <c r="BD384" s="238"/>
      <c r="BE384" s="229" cm="1">
        <f t="array" ref="BE384">IF(ISBLANK(R384), INDEX(Use, $AH384, 4) - AM384*INDEX(Use, $AH384, 6), R384)</f>
        <v>5</v>
      </c>
      <c r="BF384" s="229">
        <f t="shared" si="501"/>
        <v>30</v>
      </c>
      <c r="BG384" s="229">
        <f t="shared" si="489"/>
        <v>13</v>
      </c>
      <c r="BH384" s="229">
        <f t="shared" si="490"/>
        <v>0</v>
      </c>
      <c r="BI384" s="234" cm="1">
        <f t="array" ref="BI384">K384/IF($L384&gt;0, INDEX($AU$23:$BA$77, $L384+20, $AH384), 1)</f>
        <v>0</v>
      </c>
      <c r="BJ384" s="230">
        <f t="shared" si="502"/>
        <v>0</v>
      </c>
      <c r="BK384" s="229">
        <v>35</v>
      </c>
      <c r="BL384" s="230">
        <f t="shared" si="503"/>
        <v>48</v>
      </c>
      <c r="BM384" s="235">
        <f t="shared" si="504"/>
        <v>2.9108720930232557</v>
      </c>
      <c r="BN384" s="235" cm="1">
        <f t="array" ref="BN384">$BI384 * SUMPRODUCT(INDEX($AR$77:$AT$82,,$AI384),INDEX($AU$77:$BA$82,,$AH384), N($AQ$77:$AQ$82&gt;$AO384)) / BM384 / 1000</f>
        <v>0</v>
      </c>
      <c r="BO384" s="232">
        <f t="shared" si="491"/>
        <v>30</v>
      </c>
      <c r="BP384" s="230">
        <f t="shared" si="505"/>
        <v>43</v>
      </c>
      <c r="BQ384" s="235">
        <f t="shared" si="506"/>
        <v>3.2938815789473681</v>
      </c>
      <c r="BR384" s="235" cm="1">
        <f t="array" ref="BR384">$BI384 * IF($AH384&lt;=2,
SUMPRODUCT(INDEX($AR$72:$AT$76,,$AI384), INDEX($AU$72:$BA$76,,$AH384), 1 / ($BB$72:$BB$76*BQ384 + (1-$BB$72:$BB$76)*BM384), N($AQ$72:$AQ$76&gt;$AO384)),
SUMPRODUCT(INDEX($AR$67:$AT$76,,$AI384), INDEX($AU$67:$BA$76,,$AH384), 1 / ($BC$67:$BC$76*BQ384 + (1-$BC$67:$BC$76)*BM384), N($AQ$67:$AQ$76&gt;$AO384))
) / 1000</f>
        <v>0</v>
      </c>
      <c r="BS384" s="232">
        <f t="shared" si="492"/>
        <v>25</v>
      </c>
      <c r="BT384" s="230">
        <f t="shared" si="507"/>
        <v>38</v>
      </c>
      <c r="BU384" s="235">
        <f t="shared" si="508"/>
        <v>3.792954545454545</v>
      </c>
      <c r="BV384" s="235" cm="1">
        <f t="array" ref="BV384">$BI384 * IF($AH384&lt;=2,
SUMPRODUCT(INDEX($AR$67:$AT$71,,$AI384), INDEX($AU$67:$BA$71,,$AH384), 1 / ($BB$67:$BB$71*BU384 + (1-$BB$67:$BB$71)*BQ384), N($AQ$67:$AQ$71&gt;$AO384)),
SUMPRODUCT(INDEX($AR$57:$AT$66,,$AI384), INDEX($AU$57:$BA$66,,$AH384), 1 / ($BC$57:$BC$66*BU384 + (1-$BC$57:$BC$66)*BQ384), N($AQ$57:$AQ$66&gt;$AO384))
) / 1000</f>
        <v>0</v>
      </c>
      <c r="BW384" s="232">
        <f t="shared" si="493"/>
        <v>20</v>
      </c>
      <c r="BX384" s="230">
        <f t="shared" si="509"/>
        <v>33</v>
      </c>
      <c r="BY384" s="235">
        <f t="shared" si="510"/>
        <v>4.4702678571428569</v>
      </c>
      <c r="BZ384" s="235" cm="1">
        <f t="array" ref="BZ384">$BI384 * IF($AH384&lt;=2,
SUMPRODUCT(INDEX($AR$62:$AT$66,,$AI384), INDEX($AU$62:$BA$66,,$AH384), 1 / ($BB$62:$BB$66*BY384 + (1-$BB$62:$BB$66)*BU384), N($AQ$62:$AQ$66&gt;$AO384)),
SUMPRODUCT(INDEX($AR$47:$AT$56,,$AI384), INDEX($AU$47:$BA$56,,$AH384), 1 / ($BC$47:$BC$56*BY384 + (1-$BC$47:$BC$56)*BU384), N($AQ$47:$AQ$56&gt;$AO384))
) / 1000</f>
        <v>0</v>
      </c>
      <c r="CA384" s="235" cm="1">
        <f t="array" ref="CA384">$BI384 * IF($AH384&lt;=2,
SUMPRODUCT(INDEX($AR$23:$AT$61,,$AI384), INDEX($AU$23:$BA$61,,$AH384), 1 / ($BB$23:$BB$61*BY384), N($AQ$23:$AQ$61&gt;$AO384)),
SUMPRODUCT(INDEX($AR$23:$AT$46,,$AI384), INDEX($AU$23:$BA$46,,$AH384), 1 / ($BC$23:$BC$46*BY384), N($AQ$23:$AQ$46&gt;$AO384))
) / 1000</f>
        <v>0</v>
      </c>
      <c r="CB384" s="230">
        <f t="shared" si="511"/>
        <v>0</v>
      </c>
      <c r="CC384" s="238"/>
      <c r="CD384" s="229" cm="1">
        <f t="array" ref="CD384">IF(ISBLANK(Y384), INDEX(Use, $AH384, 4) - AN384*INDEX(Use, $AH384, 6) - (Q384-X384), Y384)</f>
        <v>7</v>
      </c>
      <c r="CE384" s="229">
        <f t="shared" si="512"/>
        <v>32</v>
      </c>
      <c r="CF384" s="230">
        <f t="shared" si="513"/>
        <v>0</v>
      </c>
      <c r="CG384" s="229">
        <v>35</v>
      </c>
      <c r="CH384" s="230">
        <f t="shared" si="514"/>
        <v>48</v>
      </c>
      <c r="CI384" s="235">
        <f t="shared" si="515"/>
        <v>3.0748170731707316</v>
      </c>
      <c r="CJ384" s="235" cm="1">
        <f t="array" ref="CJ384">$BI384 * SUMPRODUCT(INDEX($AR$77:$AT$82,,$AI384),INDEX($AU$77:$BA$82,,$AH384), N($AQ$77:$AQ$82&gt;$AO384)) / CI384 / 1000</f>
        <v>0</v>
      </c>
      <c r="CK384" s="232">
        <f t="shared" si="494"/>
        <v>30</v>
      </c>
      <c r="CL384" s="230">
        <f t="shared" si="516"/>
        <v>43</v>
      </c>
      <c r="CM384" s="235">
        <f t="shared" si="517"/>
        <v>3.5018750000000001</v>
      </c>
      <c r="CN384" s="235" cm="1">
        <f t="array" ref="CN384">$BI384 * IF($AH384&lt;=2,
SUMPRODUCT(INDEX($AR$72:$AT$76,,$AI384), INDEX($AU$72:$BA$76,,$AH384), 1 / ($BB$72:$BB$76*CM384 + (1-$BB$72:$BB$76)*CI384), N($AQ$72:$AQ$76&gt;$AO384)),
SUMPRODUCT(INDEX($AR$67:$AT$76,,$AI384), INDEX($AU$67:$BA$76,,$AH384), 1 / ($BC$67:$BC$76*CM384 + (1-$BC$67:$BC$76)*CI384), N($AQ$67:$AQ$76&gt;$AO384))
) / 1000</f>
        <v>0</v>
      </c>
      <c r="CO384" s="232">
        <f t="shared" si="495"/>
        <v>25</v>
      </c>
      <c r="CP384" s="230">
        <f t="shared" si="518"/>
        <v>38</v>
      </c>
      <c r="CQ384" s="235">
        <f t="shared" si="519"/>
        <v>4.0666935483870965</v>
      </c>
      <c r="CR384" s="235" cm="1">
        <f t="array" ref="CR384">$BI384 * IF($AH384&lt;=2,
SUMPRODUCT(INDEX($AR$67:$AT$71,,$AI384), INDEX($AU$67:$BA$71,,$AH384), 1 / ($BB$67:$BB$71*CQ384 + (1-$BB$67:$BB$71)*CM384), N($AQ$67:$AQ$71&gt;$AO384)),
SUMPRODUCT(INDEX($AR$57:$AT$66,,$AI384), INDEX($AU$57:$BA$66,,$AH384), 1 / ($BC$57:$BC$66*CQ384 + (1-$BC$57:$BC$66)*CM384), N($AQ$57:$AQ$66&gt;$AO384))
) / 1000</f>
        <v>0</v>
      </c>
      <c r="CS384" s="232">
        <f t="shared" si="496"/>
        <v>20</v>
      </c>
      <c r="CT384" s="230">
        <f t="shared" si="520"/>
        <v>33</v>
      </c>
      <c r="CU384" s="235">
        <f t="shared" si="521"/>
        <v>4.8487499999999999</v>
      </c>
      <c r="CV384" s="235" cm="1">
        <f t="array" ref="CV384">$BI384 * IF($AH384&lt;=2,
SUMPRODUCT(INDEX($AR$62:$AT$66,,$AI384), INDEX($AU$62:$BA$66,,$AH384), 1 / ($BB$62:$BB$66*CU384 + (1-$BB$62:$BB$66)*CQ384), N($AQ$62:$AQ$66&gt;$AO384)),
SUMPRODUCT(INDEX($AR$47:$AT$56,,$AI384), INDEX($AU$47:$BA$56,,$AH384), 1 / ($BC$47:$BC$56*CU384 + (1-$BC$47:$BC$56)*CQ384), N($AQ$47:$AQ$56&gt;$AO384))
) / 1000</f>
        <v>0</v>
      </c>
      <c r="CW384" s="235" cm="1">
        <f t="array" ref="CW384">$BI384 * IF($AH384&lt;=2,
SUMPRODUCT(INDEX($AR$23:$AT$61,,$AI384), INDEX($AU$23:$BA$61,,$AH384), 1 / ($BB$23:$BB$61*CU384), N($AQ$23:$AQ$61&gt;$AO384)),
SUMPRODUCT(INDEX($AR$23:$AT$46,,$AI384), INDEX($AU$23:$BA$46,,$AH384), 1 / ($BC$23:$BC$46*CU384), N($AQ$23:$AQ$46&gt;$AO384))
) / 1000</f>
        <v>0</v>
      </c>
      <c r="CX384" s="230">
        <f t="shared" si="522"/>
        <v>0</v>
      </c>
      <c r="CY384" s="238"/>
    </row>
    <row r="385" spans="1:103" s="76" customFormat="1" ht="14.25" customHeight="1" x14ac:dyDescent="0.2">
      <c r="A385" s="231" t="b">
        <f t="shared" si="488"/>
        <v>0</v>
      </c>
      <c r="B385" s="245">
        <v>363</v>
      </c>
      <c r="C385" s="258"/>
      <c r="D385" s="258"/>
      <c r="E385" s="246"/>
      <c r="F385" s="247" t="str">
        <f>IF(ISBLANK(E385), "", VLOOKUP(E385, Z!$A$2:$C$4127, 3, FALSE))</f>
        <v/>
      </c>
      <c r="G385" s="248"/>
      <c r="H385" s="248"/>
      <c r="I385" s="249"/>
      <c r="J385" s="250"/>
      <c r="K385" s="259"/>
      <c r="L385" s="260"/>
      <c r="M385" s="252" t="str" cm="1">
        <f t="array" ref="M385">INDEX(Trad, 53, $A$20)</f>
        <v>Verschmutzt</v>
      </c>
      <c r="N385" s="253"/>
      <c r="O385" s="253"/>
      <c r="P385" s="254"/>
      <c r="Q385" s="251"/>
      <c r="R385" s="251"/>
      <c r="S385" s="264">
        <f t="shared" si="497"/>
        <v>0</v>
      </c>
      <c r="T385" s="252" t="str" cm="1">
        <f t="array" ref="T385">INDEX(Trad, 52, $A$20)</f>
        <v>Sauber</v>
      </c>
      <c r="U385" s="253"/>
      <c r="V385" s="253"/>
      <c r="W385" s="254"/>
      <c r="X385" s="251"/>
      <c r="Y385" s="251"/>
      <c r="Z385" s="264">
        <f t="shared" si="498"/>
        <v>0</v>
      </c>
      <c r="AA385" s="261"/>
      <c r="AB385" s="258"/>
      <c r="AC385" s="246"/>
      <c r="AD385" s="247" t="str">
        <f>IF(ISBLANK(AC385), "", VLOOKUP(AC385, Z!$A$2:$C$4127, 3, FALSE))</f>
        <v/>
      </c>
      <c r="AE385" s="262"/>
      <c r="AF385" s="263">
        <f t="shared" si="499"/>
        <v>0</v>
      </c>
      <c r="AG385" s="238"/>
      <c r="AH385" s="229">
        <f t="shared" si="523"/>
        <v>1</v>
      </c>
      <c r="AI385" s="229">
        <f t="shared" si="524"/>
        <v>1</v>
      </c>
      <c r="AJ385" s="229">
        <f t="shared" si="525"/>
        <v>0</v>
      </c>
      <c r="AK385" s="229">
        <v>0</v>
      </c>
      <c r="AL385" s="229">
        <v>0</v>
      </c>
      <c r="AM385" s="229">
        <v>1</v>
      </c>
      <c r="AN385" s="229">
        <v>0</v>
      </c>
      <c r="AO385" s="229">
        <f t="shared" si="500"/>
        <v>-100</v>
      </c>
      <c r="AP385" s="238"/>
      <c r="AQ385" s="255"/>
      <c r="AR385" s="255"/>
      <c r="AS385" s="256"/>
      <c r="AT385" s="256"/>
      <c r="AU385" s="256"/>
      <c r="AV385" s="256"/>
      <c r="AW385" s="256"/>
      <c r="AX385" s="256"/>
      <c r="AY385" s="256"/>
      <c r="AZ385" s="256"/>
      <c r="BA385" s="256"/>
      <c r="BB385" s="256"/>
      <c r="BC385" s="256"/>
      <c r="BD385" s="238"/>
      <c r="BE385" s="229" cm="1">
        <f t="array" ref="BE385">IF(ISBLANK(R385), INDEX(Use, $AH385, 4) - AM385*INDEX(Use, $AH385, 6), R385)</f>
        <v>5</v>
      </c>
      <c r="BF385" s="229">
        <f t="shared" si="501"/>
        <v>30</v>
      </c>
      <c r="BG385" s="229">
        <f t="shared" si="489"/>
        <v>13</v>
      </c>
      <c r="BH385" s="229">
        <f t="shared" si="490"/>
        <v>0</v>
      </c>
      <c r="BI385" s="234" cm="1">
        <f t="array" ref="BI385">K385/IF($L385&gt;0, INDEX($AU$23:$BA$77, $L385+20, $AH385), 1)</f>
        <v>0</v>
      </c>
      <c r="BJ385" s="230">
        <f t="shared" si="502"/>
        <v>0</v>
      </c>
      <c r="BK385" s="229">
        <v>35</v>
      </c>
      <c r="BL385" s="230">
        <f t="shared" si="503"/>
        <v>48</v>
      </c>
      <c r="BM385" s="235">
        <f t="shared" si="504"/>
        <v>2.9108720930232557</v>
      </c>
      <c r="BN385" s="235" cm="1">
        <f t="array" ref="BN385">$BI385 * SUMPRODUCT(INDEX($AR$77:$AT$82,,$AI385),INDEX($AU$77:$BA$82,,$AH385), N($AQ$77:$AQ$82&gt;$AO385)) / BM385 / 1000</f>
        <v>0</v>
      </c>
      <c r="BO385" s="232">
        <f t="shared" si="491"/>
        <v>30</v>
      </c>
      <c r="BP385" s="230">
        <f t="shared" si="505"/>
        <v>43</v>
      </c>
      <c r="BQ385" s="235">
        <f t="shared" si="506"/>
        <v>3.2938815789473681</v>
      </c>
      <c r="BR385" s="235" cm="1">
        <f t="array" ref="BR385">$BI385 * IF($AH385&lt;=2,
SUMPRODUCT(INDEX($AR$72:$AT$76,,$AI385), INDEX($AU$72:$BA$76,,$AH385), 1 / ($BB$72:$BB$76*BQ385 + (1-$BB$72:$BB$76)*BM385), N($AQ$72:$AQ$76&gt;$AO385)),
SUMPRODUCT(INDEX($AR$67:$AT$76,,$AI385), INDEX($AU$67:$BA$76,,$AH385), 1 / ($BC$67:$BC$76*BQ385 + (1-$BC$67:$BC$76)*BM385), N($AQ$67:$AQ$76&gt;$AO385))
) / 1000</f>
        <v>0</v>
      </c>
      <c r="BS385" s="232">
        <f t="shared" si="492"/>
        <v>25</v>
      </c>
      <c r="BT385" s="230">
        <f t="shared" si="507"/>
        <v>38</v>
      </c>
      <c r="BU385" s="235">
        <f t="shared" si="508"/>
        <v>3.792954545454545</v>
      </c>
      <c r="BV385" s="235" cm="1">
        <f t="array" ref="BV385">$BI385 * IF($AH385&lt;=2,
SUMPRODUCT(INDEX($AR$67:$AT$71,,$AI385), INDEX($AU$67:$BA$71,,$AH385), 1 / ($BB$67:$BB$71*BU385 + (1-$BB$67:$BB$71)*BQ385), N($AQ$67:$AQ$71&gt;$AO385)),
SUMPRODUCT(INDEX($AR$57:$AT$66,,$AI385), INDEX($AU$57:$BA$66,,$AH385), 1 / ($BC$57:$BC$66*BU385 + (1-$BC$57:$BC$66)*BQ385), N($AQ$57:$AQ$66&gt;$AO385))
) / 1000</f>
        <v>0</v>
      </c>
      <c r="BW385" s="232">
        <f t="shared" si="493"/>
        <v>20</v>
      </c>
      <c r="BX385" s="230">
        <f t="shared" si="509"/>
        <v>33</v>
      </c>
      <c r="BY385" s="235">
        <f t="shared" si="510"/>
        <v>4.4702678571428569</v>
      </c>
      <c r="BZ385" s="235" cm="1">
        <f t="array" ref="BZ385">$BI385 * IF($AH385&lt;=2,
SUMPRODUCT(INDEX($AR$62:$AT$66,,$AI385), INDEX($AU$62:$BA$66,,$AH385), 1 / ($BB$62:$BB$66*BY385 + (1-$BB$62:$BB$66)*BU385), N($AQ$62:$AQ$66&gt;$AO385)),
SUMPRODUCT(INDEX($AR$47:$AT$56,,$AI385), INDEX($AU$47:$BA$56,,$AH385), 1 / ($BC$47:$BC$56*BY385 + (1-$BC$47:$BC$56)*BU385), N($AQ$47:$AQ$56&gt;$AO385))
) / 1000</f>
        <v>0</v>
      </c>
      <c r="CA385" s="235" cm="1">
        <f t="array" ref="CA385">$BI385 * IF($AH385&lt;=2,
SUMPRODUCT(INDEX($AR$23:$AT$61,,$AI385), INDEX($AU$23:$BA$61,,$AH385), 1 / ($BB$23:$BB$61*BY385), N($AQ$23:$AQ$61&gt;$AO385)),
SUMPRODUCT(INDEX($AR$23:$AT$46,,$AI385), INDEX($AU$23:$BA$46,,$AH385), 1 / ($BC$23:$BC$46*BY385), N($AQ$23:$AQ$46&gt;$AO385))
) / 1000</f>
        <v>0</v>
      </c>
      <c r="CB385" s="230">
        <f t="shared" si="511"/>
        <v>0</v>
      </c>
      <c r="CC385" s="238"/>
      <c r="CD385" s="229" cm="1">
        <f t="array" ref="CD385">IF(ISBLANK(Y385), INDEX(Use, $AH385, 4) - AN385*INDEX(Use, $AH385, 6) - (Q385-X385), Y385)</f>
        <v>7</v>
      </c>
      <c r="CE385" s="229">
        <f t="shared" si="512"/>
        <v>32</v>
      </c>
      <c r="CF385" s="230">
        <f t="shared" si="513"/>
        <v>0</v>
      </c>
      <c r="CG385" s="229">
        <v>35</v>
      </c>
      <c r="CH385" s="230">
        <f t="shared" si="514"/>
        <v>48</v>
      </c>
      <c r="CI385" s="235">
        <f t="shared" si="515"/>
        <v>3.0748170731707316</v>
      </c>
      <c r="CJ385" s="235" cm="1">
        <f t="array" ref="CJ385">$BI385 * SUMPRODUCT(INDEX($AR$77:$AT$82,,$AI385),INDEX($AU$77:$BA$82,,$AH385), N($AQ$77:$AQ$82&gt;$AO385)) / CI385 / 1000</f>
        <v>0</v>
      </c>
      <c r="CK385" s="232">
        <f t="shared" si="494"/>
        <v>30</v>
      </c>
      <c r="CL385" s="230">
        <f t="shared" si="516"/>
        <v>43</v>
      </c>
      <c r="CM385" s="235">
        <f t="shared" si="517"/>
        <v>3.5018750000000001</v>
      </c>
      <c r="CN385" s="235" cm="1">
        <f t="array" ref="CN385">$BI385 * IF($AH385&lt;=2,
SUMPRODUCT(INDEX($AR$72:$AT$76,,$AI385), INDEX($AU$72:$BA$76,,$AH385), 1 / ($BB$72:$BB$76*CM385 + (1-$BB$72:$BB$76)*CI385), N($AQ$72:$AQ$76&gt;$AO385)),
SUMPRODUCT(INDEX($AR$67:$AT$76,,$AI385), INDEX($AU$67:$BA$76,,$AH385), 1 / ($BC$67:$BC$76*CM385 + (1-$BC$67:$BC$76)*CI385), N($AQ$67:$AQ$76&gt;$AO385))
) / 1000</f>
        <v>0</v>
      </c>
      <c r="CO385" s="232">
        <f t="shared" si="495"/>
        <v>25</v>
      </c>
      <c r="CP385" s="230">
        <f t="shared" si="518"/>
        <v>38</v>
      </c>
      <c r="CQ385" s="235">
        <f t="shared" si="519"/>
        <v>4.0666935483870965</v>
      </c>
      <c r="CR385" s="235" cm="1">
        <f t="array" ref="CR385">$BI385 * IF($AH385&lt;=2,
SUMPRODUCT(INDEX($AR$67:$AT$71,,$AI385), INDEX($AU$67:$BA$71,,$AH385), 1 / ($BB$67:$BB$71*CQ385 + (1-$BB$67:$BB$71)*CM385), N($AQ$67:$AQ$71&gt;$AO385)),
SUMPRODUCT(INDEX($AR$57:$AT$66,,$AI385), INDEX($AU$57:$BA$66,,$AH385), 1 / ($BC$57:$BC$66*CQ385 + (1-$BC$57:$BC$66)*CM385), N($AQ$57:$AQ$66&gt;$AO385))
) / 1000</f>
        <v>0</v>
      </c>
      <c r="CS385" s="232">
        <f t="shared" si="496"/>
        <v>20</v>
      </c>
      <c r="CT385" s="230">
        <f t="shared" si="520"/>
        <v>33</v>
      </c>
      <c r="CU385" s="235">
        <f t="shared" si="521"/>
        <v>4.8487499999999999</v>
      </c>
      <c r="CV385" s="235" cm="1">
        <f t="array" ref="CV385">$BI385 * IF($AH385&lt;=2,
SUMPRODUCT(INDEX($AR$62:$AT$66,,$AI385), INDEX($AU$62:$BA$66,,$AH385), 1 / ($BB$62:$BB$66*CU385 + (1-$BB$62:$BB$66)*CQ385), N($AQ$62:$AQ$66&gt;$AO385)),
SUMPRODUCT(INDEX($AR$47:$AT$56,,$AI385), INDEX($AU$47:$BA$56,,$AH385), 1 / ($BC$47:$BC$56*CU385 + (1-$BC$47:$BC$56)*CQ385), N($AQ$47:$AQ$56&gt;$AO385))
) / 1000</f>
        <v>0</v>
      </c>
      <c r="CW385" s="235" cm="1">
        <f t="array" ref="CW385">$BI385 * IF($AH385&lt;=2,
SUMPRODUCT(INDEX($AR$23:$AT$61,,$AI385), INDEX($AU$23:$BA$61,,$AH385), 1 / ($BB$23:$BB$61*CU385), N($AQ$23:$AQ$61&gt;$AO385)),
SUMPRODUCT(INDEX($AR$23:$AT$46,,$AI385), INDEX($AU$23:$BA$46,,$AH385), 1 / ($BC$23:$BC$46*CU385), N($AQ$23:$AQ$46&gt;$AO385))
) / 1000</f>
        <v>0</v>
      </c>
      <c r="CX385" s="230">
        <f t="shared" si="522"/>
        <v>0</v>
      </c>
      <c r="CY385" s="238"/>
    </row>
    <row r="386" spans="1:103" s="76" customFormat="1" ht="14.25" customHeight="1" x14ac:dyDescent="0.2">
      <c r="A386" s="231" t="b">
        <f t="shared" si="488"/>
        <v>0</v>
      </c>
      <c r="B386" s="245">
        <v>364</v>
      </c>
      <c r="C386" s="258"/>
      <c r="D386" s="258"/>
      <c r="E386" s="246"/>
      <c r="F386" s="247" t="str">
        <f>IF(ISBLANK(E386), "", VLOOKUP(E386, Z!$A$2:$C$4127, 3, FALSE))</f>
        <v/>
      </c>
      <c r="G386" s="248"/>
      <c r="H386" s="248"/>
      <c r="I386" s="249"/>
      <c r="J386" s="250"/>
      <c r="K386" s="259"/>
      <c r="L386" s="260"/>
      <c r="M386" s="252" t="str" cm="1">
        <f t="array" ref="M386">INDEX(Trad, 53, $A$20)</f>
        <v>Verschmutzt</v>
      </c>
      <c r="N386" s="253"/>
      <c r="O386" s="253"/>
      <c r="P386" s="254"/>
      <c r="Q386" s="251"/>
      <c r="R386" s="251"/>
      <c r="S386" s="264">
        <f t="shared" si="497"/>
        <v>0</v>
      </c>
      <c r="T386" s="252" t="str" cm="1">
        <f t="array" ref="T386">INDEX(Trad, 52, $A$20)</f>
        <v>Sauber</v>
      </c>
      <c r="U386" s="253"/>
      <c r="V386" s="253"/>
      <c r="W386" s="254"/>
      <c r="X386" s="251"/>
      <c r="Y386" s="251"/>
      <c r="Z386" s="264">
        <f t="shared" si="498"/>
        <v>0</v>
      </c>
      <c r="AA386" s="261"/>
      <c r="AB386" s="258"/>
      <c r="AC386" s="246"/>
      <c r="AD386" s="247" t="str">
        <f>IF(ISBLANK(AC386), "", VLOOKUP(AC386, Z!$A$2:$C$4127, 3, FALSE))</f>
        <v/>
      </c>
      <c r="AE386" s="262"/>
      <c r="AF386" s="263">
        <f t="shared" si="499"/>
        <v>0</v>
      </c>
      <c r="AG386" s="238"/>
      <c r="AH386" s="229">
        <f t="shared" si="523"/>
        <v>1</v>
      </c>
      <c r="AI386" s="229">
        <f t="shared" si="524"/>
        <v>1</v>
      </c>
      <c r="AJ386" s="229">
        <f t="shared" si="525"/>
        <v>0</v>
      </c>
      <c r="AK386" s="229">
        <v>0</v>
      </c>
      <c r="AL386" s="229">
        <v>0</v>
      </c>
      <c r="AM386" s="229">
        <v>1</v>
      </c>
      <c r="AN386" s="229">
        <v>0</v>
      </c>
      <c r="AO386" s="229">
        <f t="shared" si="500"/>
        <v>-100</v>
      </c>
      <c r="AP386" s="238"/>
      <c r="AQ386" s="255"/>
      <c r="AR386" s="255"/>
      <c r="AS386" s="256"/>
      <c r="AT386" s="256"/>
      <c r="AU386" s="256"/>
      <c r="AV386" s="256"/>
      <c r="AW386" s="256"/>
      <c r="AX386" s="256"/>
      <c r="AY386" s="256"/>
      <c r="AZ386" s="256"/>
      <c r="BA386" s="256"/>
      <c r="BB386" s="256"/>
      <c r="BC386" s="256"/>
      <c r="BD386" s="238"/>
      <c r="BE386" s="229" cm="1">
        <f t="array" ref="BE386">IF(ISBLANK(R386), INDEX(Use, $AH386, 4) - AM386*INDEX(Use, $AH386, 6), R386)</f>
        <v>5</v>
      </c>
      <c r="BF386" s="229">
        <f t="shared" si="501"/>
        <v>30</v>
      </c>
      <c r="BG386" s="229">
        <f t="shared" si="489"/>
        <v>13</v>
      </c>
      <c r="BH386" s="229">
        <f t="shared" si="490"/>
        <v>0</v>
      </c>
      <c r="BI386" s="234" cm="1">
        <f t="array" ref="BI386">K386/IF($L386&gt;0, INDEX($AU$23:$BA$77, $L386+20, $AH386), 1)</f>
        <v>0</v>
      </c>
      <c r="BJ386" s="230">
        <f t="shared" si="502"/>
        <v>0</v>
      </c>
      <c r="BK386" s="229">
        <v>35</v>
      </c>
      <c r="BL386" s="230">
        <f t="shared" si="503"/>
        <v>48</v>
      </c>
      <c r="BM386" s="235">
        <f t="shared" si="504"/>
        <v>2.9108720930232557</v>
      </c>
      <c r="BN386" s="235" cm="1">
        <f t="array" ref="BN386">$BI386 * SUMPRODUCT(INDEX($AR$77:$AT$82,,$AI386),INDEX($AU$77:$BA$82,,$AH386), N($AQ$77:$AQ$82&gt;$AO386)) / BM386 / 1000</f>
        <v>0</v>
      </c>
      <c r="BO386" s="232">
        <f t="shared" si="491"/>
        <v>30</v>
      </c>
      <c r="BP386" s="230">
        <f t="shared" si="505"/>
        <v>43</v>
      </c>
      <c r="BQ386" s="235">
        <f t="shared" si="506"/>
        <v>3.2938815789473681</v>
      </c>
      <c r="BR386" s="235" cm="1">
        <f t="array" ref="BR386">$BI386 * IF($AH386&lt;=2,
SUMPRODUCT(INDEX($AR$72:$AT$76,,$AI386), INDEX($AU$72:$BA$76,,$AH386), 1 / ($BB$72:$BB$76*BQ386 + (1-$BB$72:$BB$76)*BM386), N($AQ$72:$AQ$76&gt;$AO386)),
SUMPRODUCT(INDEX($AR$67:$AT$76,,$AI386), INDEX($AU$67:$BA$76,,$AH386), 1 / ($BC$67:$BC$76*BQ386 + (1-$BC$67:$BC$76)*BM386), N($AQ$67:$AQ$76&gt;$AO386))
) / 1000</f>
        <v>0</v>
      </c>
      <c r="BS386" s="232">
        <f t="shared" si="492"/>
        <v>25</v>
      </c>
      <c r="BT386" s="230">
        <f t="shared" si="507"/>
        <v>38</v>
      </c>
      <c r="BU386" s="235">
        <f t="shared" si="508"/>
        <v>3.792954545454545</v>
      </c>
      <c r="BV386" s="235" cm="1">
        <f t="array" ref="BV386">$BI386 * IF($AH386&lt;=2,
SUMPRODUCT(INDEX($AR$67:$AT$71,,$AI386), INDEX($AU$67:$BA$71,,$AH386), 1 / ($BB$67:$BB$71*BU386 + (1-$BB$67:$BB$71)*BQ386), N($AQ$67:$AQ$71&gt;$AO386)),
SUMPRODUCT(INDEX($AR$57:$AT$66,,$AI386), INDEX($AU$57:$BA$66,,$AH386), 1 / ($BC$57:$BC$66*BU386 + (1-$BC$57:$BC$66)*BQ386), N($AQ$57:$AQ$66&gt;$AO386))
) / 1000</f>
        <v>0</v>
      </c>
      <c r="BW386" s="232">
        <f t="shared" si="493"/>
        <v>20</v>
      </c>
      <c r="BX386" s="230">
        <f t="shared" si="509"/>
        <v>33</v>
      </c>
      <c r="BY386" s="235">
        <f t="shared" si="510"/>
        <v>4.4702678571428569</v>
      </c>
      <c r="BZ386" s="235" cm="1">
        <f t="array" ref="BZ386">$BI386 * IF($AH386&lt;=2,
SUMPRODUCT(INDEX($AR$62:$AT$66,,$AI386), INDEX($AU$62:$BA$66,,$AH386), 1 / ($BB$62:$BB$66*BY386 + (1-$BB$62:$BB$66)*BU386), N($AQ$62:$AQ$66&gt;$AO386)),
SUMPRODUCT(INDEX($AR$47:$AT$56,,$AI386), INDEX($AU$47:$BA$56,,$AH386), 1 / ($BC$47:$BC$56*BY386 + (1-$BC$47:$BC$56)*BU386), N($AQ$47:$AQ$56&gt;$AO386))
) / 1000</f>
        <v>0</v>
      </c>
      <c r="CA386" s="235" cm="1">
        <f t="array" ref="CA386">$BI386 * IF($AH386&lt;=2,
SUMPRODUCT(INDEX($AR$23:$AT$61,,$AI386), INDEX($AU$23:$BA$61,,$AH386), 1 / ($BB$23:$BB$61*BY386), N($AQ$23:$AQ$61&gt;$AO386)),
SUMPRODUCT(INDEX($AR$23:$AT$46,,$AI386), INDEX($AU$23:$BA$46,,$AH386), 1 / ($BC$23:$BC$46*BY386), N($AQ$23:$AQ$46&gt;$AO386))
) / 1000</f>
        <v>0</v>
      </c>
      <c r="CB386" s="230">
        <f t="shared" si="511"/>
        <v>0</v>
      </c>
      <c r="CC386" s="238"/>
      <c r="CD386" s="229" cm="1">
        <f t="array" ref="CD386">IF(ISBLANK(Y386), INDEX(Use, $AH386, 4) - AN386*INDEX(Use, $AH386, 6) - (Q386-X386), Y386)</f>
        <v>7</v>
      </c>
      <c r="CE386" s="229">
        <f t="shared" si="512"/>
        <v>32</v>
      </c>
      <c r="CF386" s="230">
        <f t="shared" si="513"/>
        <v>0</v>
      </c>
      <c r="CG386" s="229">
        <v>35</v>
      </c>
      <c r="CH386" s="230">
        <f t="shared" si="514"/>
        <v>48</v>
      </c>
      <c r="CI386" s="235">
        <f t="shared" si="515"/>
        <v>3.0748170731707316</v>
      </c>
      <c r="CJ386" s="235" cm="1">
        <f t="array" ref="CJ386">$BI386 * SUMPRODUCT(INDEX($AR$77:$AT$82,,$AI386),INDEX($AU$77:$BA$82,,$AH386), N($AQ$77:$AQ$82&gt;$AO386)) / CI386 / 1000</f>
        <v>0</v>
      </c>
      <c r="CK386" s="232">
        <f t="shared" si="494"/>
        <v>30</v>
      </c>
      <c r="CL386" s="230">
        <f t="shared" si="516"/>
        <v>43</v>
      </c>
      <c r="CM386" s="235">
        <f t="shared" si="517"/>
        <v>3.5018750000000001</v>
      </c>
      <c r="CN386" s="235" cm="1">
        <f t="array" ref="CN386">$BI386 * IF($AH386&lt;=2,
SUMPRODUCT(INDEX($AR$72:$AT$76,,$AI386), INDEX($AU$72:$BA$76,,$AH386), 1 / ($BB$72:$BB$76*CM386 + (1-$BB$72:$BB$76)*CI386), N($AQ$72:$AQ$76&gt;$AO386)),
SUMPRODUCT(INDEX($AR$67:$AT$76,,$AI386), INDEX($AU$67:$BA$76,,$AH386), 1 / ($BC$67:$BC$76*CM386 + (1-$BC$67:$BC$76)*CI386), N($AQ$67:$AQ$76&gt;$AO386))
) / 1000</f>
        <v>0</v>
      </c>
      <c r="CO386" s="232">
        <f t="shared" si="495"/>
        <v>25</v>
      </c>
      <c r="CP386" s="230">
        <f t="shared" si="518"/>
        <v>38</v>
      </c>
      <c r="CQ386" s="235">
        <f t="shared" si="519"/>
        <v>4.0666935483870965</v>
      </c>
      <c r="CR386" s="235" cm="1">
        <f t="array" ref="CR386">$BI386 * IF($AH386&lt;=2,
SUMPRODUCT(INDEX($AR$67:$AT$71,,$AI386), INDEX($AU$67:$BA$71,,$AH386), 1 / ($BB$67:$BB$71*CQ386 + (1-$BB$67:$BB$71)*CM386), N($AQ$67:$AQ$71&gt;$AO386)),
SUMPRODUCT(INDEX($AR$57:$AT$66,,$AI386), INDEX($AU$57:$BA$66,,$AH386), 1 / ($BC$57:$BC$66*CQ386 + (1-$BC$57:$BC$66)*CM386), N($AQ$57:$AQ$66&gt;$AO386))
) / 1000</f>
        <v>0</v>
      </c>
      <c r="CS386" s="232">
        <f t="shared" si="496"/>
        <v>20</v>
      </c>
      <c r="CT386" s="230">
        <f t="shared" si="520"/>
        <v>33</v>
      </c>
      <c r="CU386" s="235">
        <f t="shared" si="521"/>
        <v>4.8487499999999999</v>
      </c>
      <c r="CV386" s="235" cm="1">
        <f t="array" ref="CV386">$BI386 * IF($AH386&lt;=2,
SUMPRODUCT(INDEX($AR$62:$AT$66,,$AI386), INDEX($AU$62:$BA$66,,$AH386), 1 / ($BB$62:$BB$66*CU386 + (1-$BB$62:$BB$66)*CQ386), N($AQ$62:$AQ$66&gt;$AO386)),
SUMPRODUCT(INDEX($AR$47:$AT$56,,$AI386), INDEX($AU$47:$BA$56,,$AH386), 1 / ($BC$47:$BC$56*CU386 + (1-$BC$47:$BC$56)*CQ386), N($AQ$47:$AQ$56&gt;$AO386))
) / 1000</f>
        <v>0</v>
      </c>
      <c r="CW386" s="235" cm="1">
        <f t="array" ref="CW386">$BI386 * IF($AH386&lt;=2,
SUMPRODUCT(INDEX($AR$23:$AT$61,,$AI386), INDEX($AU$23:$BA$61,,$AH386), 1 / ($BB$23:$BB$61*CU386), N($AQ$23:$AQ$61&gt;$AO386)),
SUMPRODUCT(INDEX($AR$23:$AT$46,,$AI386), INDEX($AU$23:$BA$46,,$AH386), 1 / ($BC$23:$BC$46*CU386), N($AQ$23:$AQ$46&gt;$AO386))
) / 1000</f>
        <v>0</v>
      </c>
      <c r="CX386" s="230">
        <f t="shared" si="522"/>
        <v>0</v>
      </c>
      <c r="CY386" s="238"/>
    </row>
    <row r="387" spans="1:103" s="76" customFormat="1" ht="14.25" customHeight="1" x14ac:dyDescent="0.2">
      <c r="A387" s="231" t="b">
        <f t="shared" si="488"/>
        <v>0</v>
      </c>
      <c r="B387" s="245">
        <v>365</v>
      </c>
      <c r="C387" s="258"/>
      <c r="D387" s="258"/>
      <c r="E387" s="246"/>
      <c r="F387" s="247" t="str">
        <f>IF(ISBLANK(E387), "", VLOOKUP(E387, Z!$A$2:$C$4127, 3, FALSE))</f>
        <v/>
      </c>
      <c r="G387" s="248"/>
      <c r="H387" s="248"/>
      <c r="I387" s="249"/>
      <c r="J387" s="250"/>
      <c r="K387" s="259"/>
      <c r="L387" s="260"/>
      <c r="M387" s="252" t="str" cm="1">
        <f t="array" ref="M387">INDEX(Trad, 53, $A$20)</f>
        <v>Verschmutzt</v>
      </c>
      <c r="N387" s="253"/>
      <c r="O387" s="253"/>
      <c r="P387" s="254"/>
      <c r="Q387" s="251"/>
      <c r="R387" s="251"/>
      <c r="S387" s="264">
        <f t="shared" si="497"/>
        <v>0</v>
      </c>
      <c r="T387" s="252" t="str" cm="1">
        <f t="array" ref="T387">INDEX(Trad, 52, $A$20)</f>
        <v>Sauber</v>
      </c>
      <c r="U387" s="253"/>
      <c r="V387" s="253"/>
      <c r="W387" s="254"/>
      <c r="X387" s="251"/>
      <c r="Y387" s="251"/>
      <c r="Z387" s="264">
        <f t="shared" si="498"/>
        <v>0</v>
      </c>
      <c r="AA387" s="261"/>
      <c r="AB387" s="258"/>
      <c r="AC387" s="246"/>
      <c r="AD387" s="247" t="str">
        <f>IF(ISBLANK(AC387), "", VLOOKUP(AC387, Z!$A$2:$C$4127, 3, FALSE))</f>
        <v/>
      </c>
      <c r="AE387" s="262"/>
      <c r="AF387" s="263">
        <f t="shared" si="499"/>
        <v>0</v>
      </c>
      <c r="AG387" s="238"/>
      <c r="AH387" s="229">
        <f t="shared" si="523"/>
        <v>1</v>
      </c>
      <c r="AI387" s="229">
        <f t="shared" si="524"/>
        <v>1</v>
      </c>
      <c r="AJ387" s="229">
        <f t="shared" si="525"/>
        <v>0</v>
      </c>
      <c r="AK387" s="229">
        <v>0</v>
      </c>
      <c r="AL387" s="229">
        <v>0</v>
      </c>
      <c r="AM387" s="229">
        <v>1</v>
      </c>
      <c r="AN387" s="229">
        <v>0</v>
      </c>
      <c r="AO387" s="229">
        <f t="shared" si="500"/>
        <v>-100</v>
      </c>
      <c r="AP387" s="238"/>
      <c r="AQ387" s="255"/>
      <c r="AR387" s="255"/>
      <c r="AS387" s="256"/>
      <c r="AT387" s="256"/>
      <c r="AU387" s="256"/>
      <c r="AV387" s="256"/>
      <c r="AW387" s="256"/>
      <c r="AX387" s="256"/>
      <c r="AY387" s="256"/>
      <c r="AZ387" s="256"/>
      <c r="BA387" s="256"/>
      <c r="BB387" s="256"/>
      <c r="BC387" s="256"/>
      <c r="BD387" s="238"/>
      <c r="BE387" s="229" cm="1">
        <f t="array" ref="BE387">IF(ISBLANK(R387), INDEX(Use, $AH387, 4) - AM387*INDEX(Use, $AH387, 6), R387)</f>
        <v>5</v>
      </c>
      <c r="BF387" s="229">
        <f t="shared" si="501"/>
        <v>30</v>
      </c>
      <c r="BG387" s="229">
        <f t="shared" si="489"/>
        <v>13</v>
      </c>
      <c r="BH387" s="229">
        <f t="shared" si="490"/>
        <v>0</v>
      </c>
      <c r="BI387" s="234" cm="1">
        <f t="array" ref="BI387">K387/IF($L387&gt;0, INDEX($AU$23:$BA$77, $L387+20, $AH387), 1)</f>
        <v>0</v>
      </c>
      <c r="BJ387" s="230">
        <f t="shared" si="502"/>
        <v>0</v>
      </c>
      <c r="BK387" s="229">
        <v>35</v>
      </c>
      <c r="BL387" s="230">
        <f t="shared" si="503"/>
        <v>48</v>
      </c>
      <c r="BM387" s="235">
        <f t="shared" si="504"/>
        <v>2.9108720930232557</v>
      </c>
      <c r="BN387" s="235" cm="1">
        <f t="array" ref="BN387">$BI387 * SUMPRODUCT(INDEX($AR$77:$AT$82,,$AI387),INDEX($AU$77:$BA$82,,$AH387), N($AQ$77:$AQ$82&gt;$AO387)) / BM387 / 1000</f>
        <v>0</v>
      </c>
      <c r="BO387" s="232">
        <f t="shared" si="491"/>
        <v>30</v>
      </c>
      <c r="BP387" s="230">
        <f t="shared" si="505"/>
        <v>43</v>
      </c>
      <c r="BQ387" s="235">
        <f t="shared" si="506"/>
        <v>3.2938815789473681</v>
      </c>
      <c r="BR387" s="235" cm="1">
        <f t="array" ref="BR387">$BI387 * IF($AH387&lt;=2,
SUMPRODUCT(INDEX($AR$72:$AT$76,,$AI387), INDEX($AU$72:$BA$76,,$AH387), 1 / ($BB$72:$BB$76*BQ387 + (1-$BB$72:$BB$76)*BM387), N($AQ$72:$AQ$76&gt;$AO387)),
SUMPRODUCT(INDEX($AR$67:$AT$76,,$AI387), INDEX($AU$67:$BA$76,,$AH387), 1 / ($BC$67:$BC$76*BQ387 + (1-$BC$67:$BC$76)*BM387), N($AQ$67:$AQ$76&gt;$AO387))
) / 1000</f>
        <v>0</v>
      </c>
      <c r="BS387" s="232">
        <f t="shared" si="492"/>
        <v>25</v>
      </c>
      <c r="BT387" s="230">
        <f t="shared" si="507"/>
        <v>38</v>
      </c>
      <c r="BU387" s="235">
        <f t="shared" si="508"/>
        <v>3.792954545454545</v>
      </c>
      <c r="BV387" s="235" cm="1">
        <f t="array" ref="BV387">$BI387 * IF($AH387&lt;=2,
SUMPRODUCT(INDEX($AR$67:$AT$71,,$AI387), INDEX($AU$67:$BA$71,,$AH387), 1 / ($BB$67:$BB$71*BU387 + (1-$BB$67:$BB$71)*BQ387), N($AQ$67:$AQ$71&gt;$AO387)),
SUMPRODUCT(INDEX($AR$57:$AT$66,,$AI387), INDEX($AU$57:$BA$66,,$AH387), 1 / ($BC$57:$BC$66*BU387 + (1-$BC$57:$BC$66)*BQ387), N($AQ$57:$AQ$66&gt;$AO387))
) / 1000</f>
        <v>0</v>
      </c>
      <c r="BW387" s="232">
        <f t="shared" si="493"/>
        <v>20</v>
      </c>
      <c r="BX387" s="230">
        <f t="shared" si="509"/>
        <v>33</v>
      </c>
      <c r="BY387" s="235">
        <f t="shared" si="510"/>
        <v>4.4702678571428569</v>
      </c>
      <c r="BZ387" s="235" cm="1">
        <f t="array" ref="BZ387">$BI387 * IF($AH387&lt;=2,
SUMPRODUCT(INDEX($AR$62:$AT$66,,$AI387), INDEX($AU$62:$BA$66,,$AH387), 1 / ($BB$62:$BB$66*BY387 + (1-$BB$62:$BB$66)*BU387), N($AQ$62:$AQ$66&gt;$AO387)),
SUMPRODUCT(INDEX($AR$47:$AT$56,,$AI387), INDEX($AU$47:$BA$56,,$AH387), 1 / ($BC$47:$BC$56*BY387 + (1-$BC$47:$BC$56)*BU387), N($AQ$47:$AQ$56&gt;$AO387))
) / 1000</f>
        <v>0</v>
      </c>
      <c r="CA387" s="235" cm="1">
        <f t="array" ref="CA387">$BI387 * IF($AH387&lt;=2,
SUMPRODUCT(INDEX($AR$23:$AT$61,,$AI387), INDEX($AU$23:$BA$61,,$AH387), 1 / ($BB$23:$BB$61*BY387), N($AQ$23:$AQ$61&gt;$AO387)),
SUMPRODUCT(INDEX($AR$23:$AT$46,,$AI387), INDEX($AU$23:$BA$46,,$AH387), 1 / ($BC$23:$BC$46*BY387), N($AQ$23:$AQ$46&gt;$AO387))
) / 1000</f>
        <v>0</v>
      </c>
      <c r="CB387" s="230">
        <f t="shared" si="511"/>
        <v>0</v>
      </c>
      <c r="CC387" s="238"/>
      <c r="CD387" s="229" cm="1">
        <f t="array" ref="CD387">IF(ISBLANK(Y387), INDEX(Use, $AH387, 4) - AN387*INDEX(Use, $AH387, 6) - (Q387-X387), Y387)</f>
        <v>7</v>
      </c>
      <c r="CE387" s="229">
        <f t="shared" si="512"/>
        <v>32</v>
      </c>
      <c r="CF387" s="230">
        <f t="shared" si="513"/>
        <v>0</v>
      </c>
      <c r="CG387" s="229">
        <v>35</v>
      </c>
      <c r="CH387" s="230">
        <f t="shared" si="514"/>
        <v>48</v>
      </c>
      <c r="CI387" s="235">
        <f t="shared" si="515"/>
        <v>3.0748170731707316</v>
      </c>
      <c r="CJ387" s="235" cm="1">
        <f t="array" ref="CJ387">$BI387 * SUMPRODUCT(INDEX($AR$77:$AT$82,,$AI387),INDEX($AU$77:$BA$82,,$AH387), N($AQ$77:$AQ$82&gt;$AO387)) / CI387 / 1000</f>
        <v>0</v>
      </c>
      <c r="CK387" s="232">
        <f t="shared" si="494"/>
        <v>30</v>
      </c>
      <c r="CL387" s="230">
        <f t="shared" si="516"/>
        <v>43</v>
      </c>
      <c r="CM387" s="235">
        <f t="shared" si="517"/>
        <v>3.5018750000000001</v>
      </c>
      <c r="CN387" s="235" cm="1">
        <f t="array" ref="CN387">$BI387 * IF($AH387&lt;=2,
SUMPRODUCT(INDEX($AR$72:$AT$76,,$AI387), INDEX($AU$72:$BA$76,,$AH387), 1 / ($BB$72:$BB$76*CM387 + (1-$BB$72:$BB$76)*CI387), N($AQ$72:$AQ$76&gt;$AO387)),
SUMPRODUCT(INDEX($AR$67:$AT$76,,$AI387), INDEX($AU$67:$BA$76,,$AH387), 1 / ($BC$67:$BC$76*CM387 + (1-$BC$67:$BC$76)*CI387), N($AQ$67:$AQ$76&gt;$AO387))
) / 1000</f>
        <v>0</v>
      </c>
      <c r="CO387" s="232">
        <f t="shared" si="495"/>
        <v>25</v>
      </c>
      <c r="CP387" s="230">
        <f t="shared" si="518"/>
        <v>38</v>
      </c>
      <c r="CQ387" s="235">
        <f t="shared" si="519"/>
        <v>4.0666935483870965</v>
      </c>
      <c r="CR387" s="235" cm="1">
        <f t="array" ref="CR387">$BI387 * IF($AH387&lt;=2,
SUMPRODUCT(INDEX($AR$67:$AT$71,,$AI387), INDEX($AU$67:$BA$71,,$AH387), 1 / ($BB$67:$BB$71*CQ387 + (1-$BB$67:$BB$71)*CM387), N($AQ$67:$AQ$71&gt;$AO387)),
SUMPRODUCT(INDEX($AR$57:$AT$66,,$AI387), INDEX($AU$57:$BA$66,,$AH387), 1 / ($BC$57:$BC$66*CQ387 + (1-$BC$57:$BC$66)*CM387), N($AQ$57:$AQ$66&gt;$AO387))
) / 1000</f>
        <v>0</v>
      </c>
      <c r="CS387" s="232">
        <f t="shared" si="496"/>
        <v>20</v>
      </c>
      <c r="CT387" s="230">
        <f t="shared" si="520"/>
        <v>33</v>
      </c>
      <c r="CU387" s="235">
        <f t="shared" si="521"/>
        <v>4.8487499999999999</v>
      </c>
      <c r="CV387" s="235" cm="1">
        <f t="array" ref="CV387">$BI387 * IF($AH387&lt;=2,
SUMPRODUCT(INDEX($AR$62:$AT$66,,$AI387), INDEX($AU$62:$BA$66,,$AH387), 1 / ($BB$62:$BB$66*CU387 + (1-$BB$62:$BB$66)*CQ387), N($AQ$62:$AQ$66&gt;$AO387)),
SUMPRODUCT(INDEX($AR$47:$AT$56,,$AI387), INDEX($AU$47:$BA$56,,$AH387), 1 / ($BC$47:$BC$56*CU387 + (1-$BC$47:$BC$56)*CQ387), N($AQ$47:$AQ$56&gt;$AO387))
) / 1000</f>
        <v>0</v>
      </c>
      <c r="CW387" s="235" cm="1">
        <f t="array" ref="CW387">$BI387 * IF($AH387&lt;=2,
SUMPRODUCT(INDEX($AR$23:$AT$61,,$AI387), INDEX($AU$23:$BA$61,,$AH387), 1 / ($BB$23:$BB$61*CU387), N($AQ$23:$AQ$61&gt;$AO387)),
SUMPRODUCT(INDEX($AR$23:$AT$46,,$AI387), INDEX($AU$23:$BA$46,,$AH387), 1 / ($BC$23:$BC$46*CU387), N($AQ$23:$AQ$46&gt;$AO387))
) / 1000</f>
        <v>0</v>
      </c>
      <c r="CX387" s="230">
        <f t="shared" si="522"/>
        <v>0</v>
      </c>
      <c r="CY387" s="238"/>
    </row>
    <row r="388" spans="1:103" s="76" customFormat="1" ht="14.25" customHeight="1" x14ac:dyDescent="0.2">
      <c r="A388" s="231" t="b">
        <f t="shared" si="488"/>
        <v>0</v>
      </c>
      <c r="B388" s="245">
        <v>366</v>
      </c>
      <c r="C388" s="258"/>
      <c r="D388" s="258"/>
      <c r="E388" s="246"/>
      <c r="F388" s="247" t="str">
        <f>IF(ISBLANK(E388), "", VLOOKUP(E388, Z!$A$2:$C$4127, 3, FALSE))</f>
        <v/>
      </c>
      <c r="G388" s="248"/>
      <c r="H388" s="248"/>
      <c r="I388" s="249"/>
      <c r="J388" s="250"/>
      <c r="K388" s="259"/>
      <c r="L388" s="260"/>
      <c r="M388" s="252" t="str" cm="1">
        <f t="array" ref="M388">INDEX(Trad, 53, $A$20)</f>
        <v>Verschmutzt</v>
      </c>
      <c r="N388" s="253"/>
      <c r="O388" s="253"/>
      <c r="P388" s="254"/>
      <c r="Q388" s="251"/>
      <c r="R388" s="251"/>
      <c r="S388" s="264">
        <f t="shared" si="497"/>
        <v>0</v>
      </c>
      <c r="T388" s="252" t="str" cm="1">
        <f t="array" ref="T388">INDEX(Trad, 52, $A$20)</f>
        <v>Sauber</v>
      </c>
      <c r="U388" s="253"/>
      <c r="V388" s="253"/>
      <c r="W388" s="254"/>
      <c r="X388" s="251"/>
      <c r="Y388" s="251"/>
      <c r="Z388" s="264">
        <f t="shared" si="498"/>
        <v>0</v>
      </c>
      <c r="AA388" s="261"/>
      <c r="AB388" s="258"/>
      <c r="AC388" s="246"/>
      <c r="AD388" s="247" t="str">
        <f>IF(ISBLANK(AC388), "", VLOOKUP(AC388, Z!$A$2:$C$4127, 3, FALSE))</f>
        <v/>
      </c>
      <c r="AE388" s="262"/>
      <c r="AF388" s="263">
        <f t="shared" si="499"/>
        <v>0</v>
      </c>
      <c r="AG388" s="238"/>
      <c r="AH388" s="229">
        <f t="shared" si="523"/>
        <v>1</v>
      </c>
      <c r="AI388" s="229">
        <f t="shared" si="524"/>
        <v>1</v>
      </c>
      <c r="AJ388" s="229">
        <f t="shared" si="525"/>
        <v>0</v>
      </c>
      <c r="AK388" s="229">
        <v>0</v>
      </c>
      <c r="AL388" s="229">
        <v>0</v>
      </c>
      <c r="AM388" s="229">
        <v>1</v>
      </c>
      <c r="AN388" s="229">
        <v>0</v>
      </c>
      <c r="AO388" s="229">
        <f t="shared" si="500"/>
        <v>-100</v>
      </c>
      <c r="AP388" s="238"/>
      <c r="AQ388" s="255"/>
      <c r="AR388" s="255"/>
      <c r="AS388" s="256"/>
      <c r="AT388" s="256"/>
      <c r="AU388" s="256"/>
      <c r="AV388" s="256"/>
      <c r="AW388" s="256"/>
      <c r="AX388" s="256"/>
      <c r="AY388" s="256"/>
      <c r="AZ388" s="256"/>
      <c r="BA388" s="256"/>
      <c r="BB388" s="256"/>
      <c r="BC388" s="256"/>
      <c r="BD388" s="238"/>
      <c r="BE388" s="229" cm="1">
        <f t="array" ref="BE388">IF(ISBLANK(R388), INDEX(Use, $AH388, 4) - AM388*INDEX(Use, $AH388, 6), R388)</f>
        <v>5</v>
      </c>
      <c r="BF388" s="229">
        <f t="shared" si="501"/>
        <v>30</v>
      </c>
      <c r="BG388" s="229">
        <f t="shared" si="489"/>
        <v>13</v>
      </c>
      <c r="BH388" s="229">
        <f t="shared" si="490"/>
        <v>0</v>
      </c>
      <c r="BI388" s="234" cm="1">
        <f t="array" ref="BI388">K388/IF($L388&gt;0, INDEX($AU$23:$BA$77, $L388+20, $AH388), 1)</f>
        <v>0</v>
      </c>
      <c r="BJ388" s="230">
        <f t="shared" si="502"/>
        <v>0</v>
      </c>
      <c r="BK388" s="229">
        <v>35</v>
      </c>
      <c r="BL388" s="230">
        <f t="shared" si="503"/>
        <v>48</v>
      </c>
      <c r="BM388" s="235">
        <f t="shared" si="504"/>
        <v>2.9108720930232557</v>
      </c>
      <c r="BN388" s="235" cm="1">
        <f t="array" ref="BN388">$BI388 * SUMPRODUCT(INDEX($AR$77:$AT$82,,$AI388),INDEX($AU$77:$BA$82,,$AH388), N($AQ$77:$AQ$82&gt;$AO388)) / BM388 / 1000</f>
        <v>0</v>
      </c>
      <c r="BO388" s="232">
        <f t="shared" si="491"/>
        <v>30</v>
      </c>
      <c r="BP388" s="230">
        <f t="shared" si="505"/>
        <v>43</v>
      </c>
      <c r="BQ388" s="235">
        <f t="shared" si="506"/>
        <v>3.2938815789473681</v>
      </c>
      <c r="BR388" s="235" cm="1">
        <f t="array" ref="BR388">$BI388 * IF($AH388&lt;=2,
SUMPRODUCT(INDEX($AR$72:$AT$76,,$AI388), INDEX($AU$72:$BA$76,,$AH388), 1 / ($BB$72:$BB$76*BQ388 + (1-$BB$72:$BB$76)*BM388), N($AQ$72:$AQ$76&gt;$AO388)),
SUMPRODUCT(INDEX($AR$67:$AT$76,,$AI388), INDEX($AU$67:$BA$76,,$AH388), 1 / ($BC$67:$BC$76*BQ388 + (1-$BC$67:$BC$76)*BM388), N($AQ$67:$AQ$76&gt;$AO388))
) / 1000</f>
        <v>0</v>
      </c>
      <c r="BS388" s="232">
        <f t="shared" si="492"/>
        <v>25</v>
      </c>
      <c r="BT388" s="230">
        <f t="shared" si="507"/>
        <v>38</v>
      </c>
      <c r="BU388" s="235">
        <f t="shared" si="508"/>
        <v>3.792954545454545</v>
      </c>
      <c r="BV388" s="235" cm="1">
        <f t="array" ref="BV388">$BI388 * IF($AH388&lt;=2,
SUMPRODUCT(INDEX($AR$67:$AT$71,,$AI388), INDEX($AU$67:$BA$71,,$AH388), 1 / ($BB$67:$BB$71*BU388 + (1-$BB$67:$BB$71)*BQ388), N($AQ$67:$AQ$71&gt;$AO388)),
SUMPRODUCT(INDEX($AR$57:$AT$66,,$AI388), INDEX($AU$57:$BA$66,,$AH388), 1 / ($BC$57:$BC$66*BU388 + (1-$BC$57:$BC$66)*BQ388), N($AQ$57:$AQ$66&gt;$AO388))
) / 1000</f>
        <v>0</v>
      </c>
      <c r="BW388" s="232">
        <f t="shared" si="493"/>
        <v>20</v>
      </c>
      <c r="BX388" s="230">
        <f t="shared" si="509"/>
        <v>33</v>
      </c>
      <c r="BY388" s="235">
        <f t="shared" si="510"/>
        <v>4.4702678571428569</v>
      </c>
      <c r="BZ388" s="235" cm="1">
        <f t="array" ref="BZ388">$BI388 * IF($AH388&lt;=2,
SUMPRODUCT(INDEX($AR$62:$AT$66,,$AI388), INDEX($AU$62:$BA$66,,$AH388), 1 / ($BB$62:$BB$66*BY388 + (1-$BB$62:$BB$66)*BU388), N($AQ$62:$AQ$66&gt;$AO388)),
SUMPRODUCT(INDEX($AR$47:$AT$56,,$AI388), INDEX($AU$47:$BA$56,,$AH388), 1 / ($BC$47:$BC$56*BY388 + (1-$BC$47:$BC$56)*BU388), N($AQ$47:$AQ$56&gt;$AO388))
) / 1000</f>
        <v>0</v>
      </c>
      <c r="CA388" s="235" cm="1">
        <f t="array" ref="CA388">$BI388 * IF($AH388&lt;=2,
SUMPRODUCT(INDEX($AR$23:$AT$61,,$AI388), INDEX($AU$23:$BA$61,,$AH388), 1 / ($BB$23:$BB$61*BY388), N($AQ$23:$AQ$61&gt;$AO388)),
SUMPRODUCT(INDEX($AR$23:$AT$46,,$AI388), INDEX($AU$23:$BA$46,,$AH388), 1 / ($BC$23:$BC$46*BY388), N($AQ$23:$AQ$46&gt;$AO388))
) / 1000</f>
        <v>0</v>
      </c>
      <c r="CB388" s="230">
        <f t="shared" si="511"/>
        <v>0</v>
      </c>
      <c r="CC388" s="238"/>
      <c r="CD388" s="229" cm="1">
        <f t="array" ref="CD388">IF(ISBLANK(Y388), INDEX(Use, $AH388, 4) - AN388*INDEX(Use, $AH388, 6) - (Q388-X388), Y388)</f>
        <v>7</v>
      </c>
      <c r="CE388" s="229">
        <f t="shared" si="512"/>
        <v>32</v>
      </c>
      <c r="CF388" s="230">
        <f t="shared" si="513"/>
        <v>0</v>
      </c>
      <c r="CG388" s="229">
        <v>35</v>
      </c>
      <c r="CH388" s="230">
        <f t="shared" si="514"/>
        <v>48</v>
      </c>
      <c r="CI388" s="235">
        <f t="shared" si="515"/>
        <v>3.0748170731707316</v>
      </c>
      <c r="CJ388" s="235" cm="1">
        <f t="array" ref="CJ388">$BI388 * SUMPRODUCT(INDEX($AR$77:$AT$82,,$AI388),INDEX($AU$77:$BA$82,,$AH388), N($AQ$77:$AQ$82&gt;$AO388)) / CI388 / 1000</f>
        <v>0</v>
      </c>
      <c r="CK388" s="232">
        <f t="shared" si="494"/>
        <v>30</v>
      </c>
      <c r="CL388" s="230">
        <f t="shared" si="516"/>
        <v>43</v>
      </c>
      <c r="CM388" s="235">
        <f t="shared" si="517"/>
        <v>3.5018750000000001</v>
      </c>
      <c r="CN388" s="235" cm="1">
        <f t="array" ref="CN388">$BI388 * IF($AH388&lt;=2,
SUMPRODUCT(INDEX($AR$72:$AT$76,,$AI388), INDEX($AU$72:$BA$76,,$AH388), 1 / ($BB$72:$BB$76*CM388 + (1-$BB$72:$BB$76)*CI388), N($AQ$72:$AQ$76&gt;$AO388)),
SUMPRODUCT(INDEX($AR$67:$AT$76,,$AI388), INDEX($AU$67:$BA$76,,$AH388), 1 / ($BC$67:$BC$76*CM388 + (1-$BC$67:$BC$76)*CI388), N($AQ$67:$AQ$76&gt;$AO388))
) / 1000</f>
        <v>0</v>
      </c>
      <c r="CO388" s="232">
        <f t="shared" si="495"/>
        <v>25</v>
      </c>
      <c r="CP388" s="230">
        <f t="shared" si="518"/>
        <v>38</v>
      </c>
      <c r="CQ388" s="235">
        <f t="shared" si="519"/>
        <v>4.0666935483870965</v>
      </c>
      <c r="CR388" s="235" cm="1">
        <f t="array" ref="CR388">$BI388 * IF($AH388&lt;=2,
SUMPRODUCT(INDEX($AR$67:$AT$71,,$AI388), INDEX($AU$67:$BA$71,,$AH388), 1 / ($BB$67:$BB$71*CQ388 + (1-$BB$67:$BB$71)*CM388), N($AQ$67:$AQ$71&gt;$AO388)),
SUMPRODUCT(INDEX($AR$57:$AT$66,,$AI388), INDEX($AU$57:$BA$66,,$AH388), 1 / ($BC$57:$BC$66*CQ388 + (1-$BC$57:$BC$66)*CM388), N($AQ$57:$AQ$66&gt;$AO388))
) / 1000</f>
        <v>0</v>
      </c>
      <c r="CS388" s="232">
        <f t="shared" si="496"/>
        <v>20</v>
      </c>
      <c r="CT388" s="230">
        <f t="shared" si="520"/>
        <v>33</v>
      </c>
      <c r="CU388" s="235">
        <f t="shared" si="521"/>
        <v>4.8487499999999999</v>
      </c>
      <c r="CV388" s="235" cm="1">
        <f t="array" ref="CV388">$BI388 * IF($AH388&lt;=2,
SUMPRODUCT(INDEX($AR$62:$AT$66,,$AI388), INDEX($AU$62:$BA$66,,$AH388), 1 / ($BB$62:$BB$66*CU388 + (1-$BB$62:$BB$66)*CQ388), N($AQ$62:$AQ$66&gt;$AO388)),
SUMPRODUCT(INDEX($AR$47:$AT$56,,$AI388), INDEX($AU$47:$BA$56,,$AH388), 1 / ($BC$47:$BC$56*CU388 + (1-$BC$47:$BC$56)*CQ388), N($AQ$47:$AQ$56&gt;$AO388))
) / 1000</f>
        <v>0</v>
      </c>
      <c r="CW388" s="235" cm="1">
        <f t="array" ref="CW388">$BI388 * IF($AH388&lt;=2,
SUMPRODUCT(INDEX($AR$23:$AT$61,,$AI388), INDEX($AU$23:$BA$61,,$AH388), 1 / ($BB$23:$BB$61*CU388), N($AQ$23:$AQ$61&gt;$AO388)),
SUMPRODUCT(INDEX($AR$23:$AT$46,,$AI388), INDEX($AU$23:$BA$46,,$AH388), 1 / ($BC$23:$BC$46*CU388), N($AQ$23:$AQ$46&gt;$AO388))
) / 1000</f>
        <v>0</v>
      </c>
      <c r="CX388" s="230">
        <f t="shared" si="522"/>
        <v>0</v>
      </c>
      <c r="CY388" s="238"/>
    </row>
    <row r="389" spans="1:103" s="76" customFormat="1" ht="14.25" customHeight="1" x14ac:dyDescent="0.2">
      <c r="A389" s="231" t="b">
        <f t="shared" si="488"/>
        <v>0</v>
      </c>
      <c r="B389" s="245">
        <v>367</v>
      </c>
      <c r="C389" s="258"/>
      <c r="D389" s="258"/>
      <c r="E389" s="246"/>
      <c r="F389" s="247" t="str">
        <f>IF(ISBLANK(E389), "", VLOOKUP(E389, Z!$A$2:$C$4127, 3, FALSE))</f>
        <v/>
      </c>
      <c r="G389" s="248"/>
      <c r="H389" s="248"/>
      <c r="I389" s="249"/>
      <c r="J389" s="250"/>
      <c r="K389" s="259"/>
      <c r="L389" s="260"/>
      <c r="M389" s="252" t="str" cm="1">
        <f t="array" ref="M389">INDEX(Trad, 53, $A$20)</f>
        <v>Verschmutzt</v>
      </c>
      <c r="N389" s="253"/>
      <c r="O389" s="253"/>
      <c r="P389" s="254"/>
      <c r="Q389" s="251"/>
      <c r="R389" s="251"/>
      <c r="S389" s="264">
        <f t="shared" si="497"/>
        <v>0</v>
      </c>
      <c r="T389" s="252" t="str" cm="1">
        <f t="array" ref="T389">INDEX(Trad, 52, $A$20)</f>
        <v>Sauber</v>
      </c>
      <c r="U389" s="253"/>
      <c r="V389" s="253"/>
      <c r="W389" s="254"/>
      <c r="X389" s="251"/>
      <c r="Y389" s="251"/>
      <c r="Z389" s="264">
        <f t="shared" si="498"/>
        <v>0</v>
      </c>
      <c r="AA389" s="261"/>
      <c r="AB389" s="258"/>
      <c r="AC389" s="246"/>
      <c r="AD389" s="247" t="str">
        <f>IF(ISBLANK(AC389), "", VLOOKUP(AC389, Z!$A$2:$C$4127, 3, FALSE))</f>
        <v/>
      </c>
      <c r="AE389" s="262"/>
      <c r="AF389" s="263">
        <f t="shared" si="499"/>
        <v>0</v>
      </c>
      <c r="AG389" s="238"/>
      <c r="AH389" s="229">
        <f t="shared" si="523"/>
        <v>1</v>
      </c>
      <c r="AI389" s="229">
        <f t="shared" si="524"/>
        <v>1</v>
      </c>
      <c r="AJ389" s="229">
        <f t="shared" si="525"/>
        <v>0</v>
      </c>
      <c r="AK389" s="229">
        <v>0</v>
      </c>
      <c r="AL389" s="229">
        <v>0</v>
      </c>
      <c r="AM389" s="229">
        <v>1</v>
      </c>
      <c r="AN389" s="229">
        <v>0</v>
      </c>
      <c r="AO389" s="229">
        <f t="shared" si="500"/>
        <v>-100</v>
      </c>
      <c r="AP389" s="238"/>
      <c r="AQ389" s="255"/>
      <c r="AR389" s="255"/>
      <c r="AS389" s="256"/>
      <c r="AT389" s="256"/>
      <c r="AU389" s="256"/>
      <c r="AV389" s="256"/>
      <c r="AW389" s="256"/>
      <c r="AX389" s="256"/>
      <c r="AY389" s="256"/>
      <c r="AZ389" s="256"/>
      <c r="BA389" s="256"/>
      <c r="BB389" s="256"/>
      <c r="BC389" s="256"/>
      <c r="BD389" s="238"/>
      <c r="BE389" s="229" cm="1">
        <f t="array" ref="BE389">IF(ISBLANK(R389), INDEX(Use, $AH389, 4) - AM389*INDEX(Use, $AH389, 6), R389)</f>
        <v>5</v>
      </c>
      <c r="BF389" s="229">
        <f t="shared" si="501"/>
        <v>30</v>
      </c>
      <c r="BG389" s="229">
        <f t="shared" si="489"/>
        <v>13</v>
      </c>
      <c r="BH389" s="229">
        <f t="shared" si="490"/>
        <v>0</v>
      </c>
      <c r="BI389" s="234" cm="1">
        <f t="array" ref="BI389">K389/IF($L389&gt;0, INDEX($AU$23:$BA$77, $L389+20, $AH389), 1)</f>
        <v>0</v>
      </c>
      <c r="BJ389" s="230">
        <f t="shared" si="502"/>
        <v>0</v>
      </c>
      <c r="BK389" s="229">
        <v>35</v>
      </c>
      <c r="BL389" s="230">
        <f t="shared" si="503"/>
        <v>48</v>
      </c>
      <c r="BM389" s="235">
        <f t="shared" si="504"/>
        <v>2.9108720930232557</v>
      </c>
      <c r="BN389" s="235" cm="1">
        <f t="array" ref="BN389">$BI389 * SUMPRODUCT(INDEX($AR$77:$AT$82,,$AI389),INDEX($AU$77:$BA$82,,$AH389), N($AQ$77:$AQ$82&gt;$AO389)) / BM389 / 1000</f>
        <v>0</v>
      </c>
      <c r="BO389" s="232">
        <f t="shared" si="491"/>
        <v>30</v>
      </c>
      <c r="BP389" s="230">
        <f t="shared" si="505"/>
        <v>43</v>
      </c>
      <c r="BQ389" s="235">
        <f t="shared" si="506"/>
        <v>3.2938815789473681</v>
      </c>
      <c r="BR389" s="235" cm="1">
        <f t="array" ref="BR389">$BI389 * IF($AH389&lt;=2,
SUMPRODUCT(INDEX($AR$72:$AT$76,,$AI389), INDEX($AU$72:$BA$76,,$AH389), 1 / ($BB$72:$BB$76*BQ389 + (1-$BB$72:$BB$76)*BM389), N($AQ$72:$AQ$76&gt;$AO389)),
SUMPRODUCT(INDEX($AR$67:$AT$76,,$AI389), INDEX($AU$67:$BA$76,,$AH389), 1 / ($BC$67:$BC$76*BQ389 + (1-$BC$67:$BC$76)*BM389), N($AQ$67:$AQ$76&gt;$AO389))
) / 1000</f>
        <v>0</v>
      </c>
      <c r="BS389" s="232">
        <f t="shared" si="492"/>
        <v>25</v>
      </c>
      <c r="BT389" s="230">
        <f t="shared" si="507"/>
        <v>38</v>
      </c>
      <c r="BU389" s="235">
        <f t="shared" si="508"/>
        <v>3.792954545454545</v>
      </c>
      <c r="BV389" s="235" cm="1">
        <f t="array" ref="BV389">$BI389 * IF($AH389&lt;=2,
SUMPRODUCT(INDEX($AR$67:$AT$71,,$AI389), INDEX($AU$67:$BA$71,,$AH389), 1 / ($BB$67:$BB$71*BU389 + (1-$BB$67:$BB$71)*BQ389), N($AQ$67:$AQ$71&gt;$AO389)),
SUMPRODUCT(INDEX($AR$57:$AT$66,,$AI389), INDEX($AU$57:$BA$66,,$AH389), 1 / ($BC$57:$BC$66*BU389 + (1-$BC$57:$BC$66)*BQ389), N($AQ$57:$AQ$66&gt;$AO389))
) / 1000</f>
        <v>0</v>
      </c>
      <c r="BW389" s="232">
        <f t="shared" si="493"/>
        <v>20</v>
      </c>
      <c r="BX389" s="230">
        <f t="shared" si="509"/>
        <v>33</v>
      </c>
      <c r="BY389" s="235">
        <f t="shared" si="510"/>
        <v>4.4702678571428569</v>
      </c>
      <c r="BZ389" s="235" cm="1">
        <f t="array" ref="BZ389">$BI389 * IF($AH389&lt;=2,
SUMPRODUCT(INDEX($AR$62:$AT$66,,$AI389), INDEX($AU$62:$BA$66,,$AH389), 1 / ($BB$62:$BB$66*BY389 + (1-$BB$62:$BB$66)*BU389), N($AQ$62:$AQ$66&gt;$AO389)),
SUMPRODUCT(INDEX($AR$47:$AT$56,,$AI389), INDEX($AU$47:$BA$56,,$AH389), 1 / ($BC$47:$BC$56*BY389 + (1-$BC$47:$BC$56)*BU389), N($AQ$47:$AQ$56&gt;$AO389))
) / 1000</f>
        <v>0</v>
      </c>
      <c r="CA389" s="235" cm="1">
        <f t="array" ref="CA389">$BI389 * IF($AH389&lt;=2,
SUMPRODUCT(INDEX($AR$23:$AT$61,,$AI389), INDEX($AU$23:$BA$61,,$AH389), 1 / ($BB$23:$BB$61*BY389), N($AQ$23:$AQ$61&gt;$AO389)),
SUMPRODUCT(INDEX($AR$23:$AT$46,,$AI389), INDEX($AU$23:$BA$46,,$AH389), 1 / ($BC$23:$BC$46*BY389), N($AQ$23:$AQ$46&gt;$AO389))
) / 1000</f>
        <v>0</v>
      </c>
      <c r="CB389" s="230">
        <f t="shared" si="511"/>
        <v>0</v>
      </c>
      <c r="CC389" s="238"/>
      <c r="CD389" s="229" cm="1">
        <f t="array" ref="CD389">IF(ISBLANK(Y389), INDEX(Use, $AH389, 4) - AN389*INDEX(Use, $AH389, 6) - (Q389-X389), Y389)</f>
        <v>7</v>
      </c>
      <c r="CE389" s="229">
        <f t="shared" si="512"/>
        <v>32</v>
      </c>
      <c r="CF389" s="230">
        <f t="shared" si="513"/>
        <v>0</v>
      </c>
      <c r="CG389" s="229">
        <v>35</v>
      </c>
      <c r="CH389" s="230">
        <f t="shared" si="514"/>
        <v>48</v>
      </c>
      <c r="CI389" s="235">
        <f t="shared" si="515"/>
        <v>3.0748170731707316</v>
      </c>
      <c r="CJ389" s="235" cm="1">
        <f t="array" ref="CJ389">$BI389 * SUMPRODUCT(INDEX($AR$77:$AT$82,,$AI389),INDEX($AU$77:$BA$82,,$AH389), N($AQ$77:$AQ$82&gt;$AO389)) / CI389 / 1000</f>
        <v>0</v>
      </c>
      <c r="CK389" s="232">
        <f t="shared" si="494"/>
        <v>30</v>
      </c>
      <c r="CL389" s="230">
        <f t="shared" si="516"/>
        <v>43</v>
      </c>
      <c r="CM389" s="235">
        <f t="shared" si="517"/>
        <v>3.5018750000000001</v>
      </c>
      <c r="CN389" s="235" cm="1">
        <f t="array" ref="CN389">$BI389 * IF($AH389&lt;=2,
SUMPRODUCT(INDEX($AR$72:$AT$76,,$AI389), INDEX($AU$72:$BA$76,,$AH389), 1 / ($BB$72:$BB$76*CM389 + (1-$BB$72:$BB$76)*CI389), N($AQ$72:$AQ$76&gt;$AO389)),
SUMPRODUCT(INDEX($AR$67:$AT$76,,$AI389), INDEX($AU$67:$BA$76,,$AH389), 1 / ($BC$67:$BC$76*CM389 + (1-$BC$67:$BC$76)*CI389), N($AQ$67:$AQ$76&gt;$AO389))
) / 1000</f>
        <v>0</v>
      </c>
      <c r="CO389" s="232">
        <f t="shared" si="495"/>
        <v>25</v>
      </c>
      <c r="CP389" s="230">
        <f t="shared" si="518"/>
        <v>38</v>
      </c>
      <c r="CQ389" s="235">
        <f t="shared" si="519"/>
        <v>4.0666935483870965</v>
      </c>
      <c r="CR389" s="235" cm="1">
        <f t="array" ref="CR389">$BI389 * IF($AH389&lt;=2,
SUMPRODUCT(INDEX($AR$67:$AT$71,,$AI389), INDEX($AU$67:$BA$71,,$AH389), 1 / ($BB$67:$BB$71*CQ389 + (1-$BB$67:$BB$71)*CM389), N($AQ$67:$AQ$71&gt;$AO389)),
SUMPRODUCT(INDEX($AR$57:$AT$66,,$AI389), INDEX($AU$57:$BA$66,,$AH389), 1 / ($BC$57:$BC$66*CQ389 + (1-$BC$57:$BC$66)*CM389), N($AQ$57:$AQ$66&gt;$AO389))
) / 1000</f>
        <v>0</v>
      </c>
      <c r="CS389" s="232">
        <f t="shared" si="496"/>
        <v>20</v>
      </c>
      <c r="CT389" s="230">
        <f t="shared" si="520"/>
        <v>33</v>
      </c>
      <c r="CU389" s="235">
        <f t="shared" si="521"/>
        <v>4.8487499999999999</v>
      </c>
      <c r="CV389" s="235" cm="1">
        <f t="array" ref="CV389">$BI389 * IF($AH389&lt;=2,
SUMPRODUCT(INDEX($AR$62:$AT$66,,$AI389), INDEX($AU$62:$BA$66,,$AH389), 1 / ($BB$62:$BB$66*CU389 + (1-$BB$62:$BB$66)*CQ389), N($AQ$62:$AQ$66&gt;$AO389)),
SUMPRODUCT(INDEX($AR$47:$AT$56,,$AI389), INDEX($AU$47:$BA$56,,$AH389), 1 / ($BC$47:$BC$56*CU389 + (1-$BC$47:$BC$56)*CQ389), N($AQ$47:$AQ$56&gt;$AO389))
) / 1000</f>
        <v>0</v>
      </c>
      <c r="CW389" s="235" cm="1">
        <f t="array" ref="CW389">$BI389 * IF($AH389&lt;=2,
SUMPRODUCT(INDEX($AR$23:$AT$61,,$AI389), INDEX($AU$23:$BA$61,,$AH389), 1 / ($BB$23:$BB$61*CU389), N($AQ$23:$AQ$61&gt;$AO389)),
SUMPRODUCT(INDEX($AR$23:$AT$46,,$AI389), INDEX($AU$23:$BA$46,,$AH389), 1 / ($BC$23:$BC$46*CU389), N($AQ$23:$AQ$46&gt;$AO389))
) / 1000</f>
        <v>0</v>
      </c>
      <c r="CX389" s="230">
        <f t="shared" si="522"/>
        <v>0</v>
      </c>
      <c r="CY389" s="238"/>
    </row>
    <row r="390" spans="1:103" s="76" customFormat="1" ht="14.25" customHeight="1" x14ac:dyDescent="0.2">
      <c r="A390" s="231" t="b">
        <f t="shared" si="488"/>
        <v>0</v>
      </c>
      <c r="B390" s="245">
        <v>368</v>
      </c>
      <c r="C390" s="258"/>
      <c r="D390" s="258"/>
      <c r="E390" s="246"/>
      <c r="F390" s="247" t="str">
        <f>IF(ISBLANK(E390), "", VLOOKUP(E390, Z!$A$2:$C$4127, 3, FALSE))</f>
        <v/>
      </c>
      <c r="G390" s="248"/>
      <c r="H390" s="248"/>
      <c r="I390" s="249"/>
      <c r="J390" s="250"/>
      <c r="K390" s="259"/>
      <c r="L390" s="260"/>
      <c r="M390" s="252" t="str" cm="1">
        <f t="array" ref="M390">INDEX(Trad, 53, $A$20)</f>
        <v>Verschmutzt</v>
      </c>
      <c r="N390" s="253"/>
      <c r="O390" s="253"/>
      <c r="P390" s="254"/>
      <c r="Q390" s="251"/>
      <c r="R390" s="251"/>
      <c r="S390" s="264">
        <f t="shared" si="497"/>
        <v>0</v>
      </c>
      <c r="T390" s="252" t="str" cm="1">
        <f t="array" ref="T390">INDEX(Trad, 52, $A$20)</f>
        <v>Sauber</v>
      </c>
      <c r="U390" s="253"/>
      <c r="V390" s="253"/>
      <c r="W390" s="254"/>
      <c r="X390" s="251"/>
      <c r="Y390" s="251"/>
      <c r="Z390" s="264">
        <f t="shared" si="498"/>
        <v>0</v>
      </c>
      <c r="AA390" s="261"/>
      <c r="AB390" s="258"/>
      <c r="AC390" s="246"/>
      <c r="AD390" s="247" t="str">
        <f>IF(ISBLANK(AC390), "", VLOOKUP(AC390, Z!$A$2:$C$4127, 3, FALSE))</f>
        <v/>
      </c>
      <c r="AE390" s="262"/>
      <c r="AF390" s="263">
        <f t="shared" si="499"/>
        <v>0</v>
      </c>
      <c r="AG390" s="238"/>
      <c r="AH390" s="229">
        <f t="shared" si="523"/>
        <v>1</v>
      </c>
      <c r="AI390" s="229">
        <f t="shared" si="524"/>
        <v>1</v>
      </c>
      <c r="AJ390" s="229">
        <f t="shared" si="525"/>
        <v>0</v>
      </c>
      <c r="AK390" s="229">
        <v>0</v>
      </c>
      <c r="AL390" s="229">
        <v>0</v>
      </c>
      <c r="AM390" s="229">
        <v>1</v>
      </c>
      <c r="AN390" s="229">
        <v>0</v>
      </c>
      <c r="AO390" s="229">
        <f t="shared" si="500"/>
        <v>-100</v>
      </c>
      <c r="AP390" s="238"/>
      <c r="AQ390" s="255"/>
      <c r="AR390" s="255"/>
      <c r="AS390" s="256"/>
      <c r="AT390" s="256"/>
      <c r="AU390" s="256"/>
      <c r="AV390" s="256"/>
      <c r="AW390" s="256"/>
      <c r="AX390" s="256"/>
      <c r="AY390" s="256"/>
      <c r="AZ390" s="256"/>
      <c r="BA390" s="256"/>
      <c r="BB390" s="256"/>
      <c r="BC390" s="256"/>
      <c r="BD390" s="238"/>
      <c r="BE390" s="229" cm="1">
        <f t="array" ref="BE390">IF(ISBLANK(R390), INDEX(Use, $AH390, 4) - AM390*INDEX(Use, $AH390, 6), R390)</f>
        <v>5</v>
      </c>
      <c r="BF390" s="229">
        <f t="shared" si="501"/>
        <v>30</v>
      </c>
      <c r="BG390" s="229">
        <f t="shared" si="489"/>
        <v>13</v>
      </c>
      <c r="BH390" s="229">
        <f t="shared" si="490"/>
        <v>0</v>
      </c>
      <c r="BI390" s="234" cm="1">
        <f t="array" ref="BI390">K390/IF($L390&gt;0, INDEX($AU$23:$BA$77, $L390+20, $AH390), 1)</f>
        <v>0</v>
      </c>
      <c r="BJ390" s="230">
        <f t="shared" si="502"/>
        <v>0</v>
      </c>
      <c r="BK390" s="229">
        <v>35</v>
      </c>
      <c r="BL390" s="230">
        <f t="shared" si="503"/>
        <v>48</v>
      </c>
      <c r="BM390" s="235">
        <f t="shared" si="504"/>
        <v>2.9108720930232557</v>
      </c>
      <c r="BN390" s="235" cm="1">
        <f t="array" ref="BN390">$BI390 * SUMPRODUCT(INDEX($AR$77:$AT$82,,$AI390),INDEX($AU$77:$BA$82,,$AH390), N($AQ$77:$AQ$82&gt;$AO390)) / BM390 / 1000</f>
        <v>0</v>
      </c>
      <c r="BO390" s="232">
        <f t="shared" si="491"/>
        <v>30</v>
      </c>
      <c r="BP390" s="230">
        <f t="shared" si="505"/>
        <v>43</v>
      </c>
      <c r="BQ390" s="235">
        <f t="shared" si="506"/>
        <v>3.2938815789473681</v>
      </c>
      <c r="BR390" s="235" cm="1">
        <f t="array" ref="BR390">$BI390 * IF($AH390&lt;=2,
SUMPRODUCT(INDEX($AR$72:$AT$76,,$AI390), INDEX($AU$72:$BA$76,,$AH390), 1 / ($BB$72:$BB$76*BQ390 + (1-$BB$72:$BB$76)*BM390), N($AQ$72:$AQ$76&gt;$AO390)),
SUMPRODUCT(INDEX($AR$67:$AT$76,,$AI390), INDEX($AU$67:$BA$76,,$AH390), 1 / ($BC$67:$BC$76*BQ390 + (1-$BC$67:$BC$76)*BM390), N($AQ$67:$AQ$76&gt;$AO390))
) / 1000</f>
        <v>0</v>
      </c>
      <c r="BS390" s="232">
        <f t="shared" si="492"/>
        <v>25</v>
      </c>
      <c r="BT390" s="230">
        <f t="shared" si="507"/>
        <v>38</v>
      </c>
      <c r="BU390" s="235">
        <f t="shared" si="508"/>
        <v>3.792954545454545</v>
      </c>
      <c r="BV390" s="235" cm="1">
        <f t="array" ref="BV390">$BI390 * IF($AH390&lt;=2,
SUMPRODUCT(INDEX($AR$67:$AT$71,,$AI390), INDEX($AU$67:$BA$71,,$AH390), 1 / ($BB$67:$BB$71*BU390 + (1-$BB$67:$BB$71)*BQ390), N($AQ$67:$AQ$71&gt;$AO390)),
SUMPRODUCT(INDEX($AR$57:$AT$66,,$AI390), INDEX($AU$57:$BA$66,,$AH390), 1 / ($BC$57:$BC$66*BU390 + (1-$BC$57:$BC$66)*BQ390), N($AQ$57:$AQ$66&gt;$AO390))
) / 1000</f>
        <v>0</v>
      </c>
      <c r="BW390" s="232">
        <f t="shared" si="493"/>
        <v>20</v>
      </c>
      <c r="BX390" s="230">
        <f t="shared" si="509"/>
        <v>33</v>
      </c>
      <c r="BY390" s="235">
        <f t="shared" si="510"/>
        <v>4.4702678571428569</v>
      </c>
      <c r="BZ390" s="235" cm="1">
        <f t="array" ref="BZ390">$BI390 * IF($AH390&lt;=2,
SUMPRODUCT(INDEX($AR$62:$AT$66,,$AI390), INDEX($AU$62:$BA$66,,$AH390), 1 / ($BB$62:$BB$66*BY390 + (1-$BB$62:$BB$66)*BU390), N($AQ$62:$AQ$66&gt;$AO390)),
SUMPRODUCT(INDEX($AR$47:$AT$56,,$AI390), INDEX($AU$47:$BA$56,,$AH390), 1 / ($BC$47:$BC$56*BY390 + (1-$BC$47:$BC$56)*BU390), N($AQ$47:$AQ$56&gt;$AO390))
) / 1000</f>
        <v>0</v>
      </c>
      <c r="CA390" s="235" cm="1">
        <f t="array" ref="CA390">$BI390 * IF($AH390&lt;=2,
SUMPRODUCT(INDEX($AR$23:$AT$61,,$AI390), INDEX($AU$23:$BA$61,,$AH390), 1 / ($BB$23:$BB$61*BY390), N($AQ$23:$AQ$61&gt;$AO390)),
SUMPRODUCT(INDEX($AR$23:$AT$46,,$AI390), INDEX($AU$23:$BA$46,,$AH390), 1 / ($BC$23:$BC$46*BY390), N($AQ$23:$AQ$46&gt;$AO390))
) / 1000</f>
        <v>0</v>
      </c>
      <c r="CB390" s="230">
        <f t="shared" si="511"/>
        <v>0</v>
      </c>
      <c r="CC390" s="238"/>
      <c r="CD390" s="229" cm="1">
        <f t="array" ref="CD390">IF(ISBLANK(Y390), INDEX(Use, $AH390, 4) - AN390*INDEX(Use, $AH390, 6) - (Q390-X390), Y390)</f>
        <v>7</v>
      </c>
      <c r="CE390" s="229">
        <f t="shared" si="512"/>
        <v>32</v>
      </c>
      <c r="CF390" s="230">
        <f t="shared" si="513"/>
        <v>0</v>
      </c>
      <c r="CG390" s="229">
        <v>35</v>
      </c>
      <c r="CH390" s="230">
        <f t="shared" si="514"/>
        <v>48</v>
      </c>
      <c r="CI390" s="235">
        <f t="shared" si="515"/>
        <v>3.0748170731707316</v>
      </c>
      <c r="CJ390" s="235" cm="1">
        <f t="array" ref="CJ390">$BI390 * SUMPRODUCT(INDEX($AR$77:$AT$82,,$AI390),INDEX($AU$77:$BA$82,,$AH390), N($AQ$77:$AQ$82&gt;$AO390)) / CI390 / 1000</f>
        <v>0</v>
      </c>
      <c r="CK390" s="232">
        <f t="shared" si="494"/>
        <v>30</v>
      </c>
      <c r="CL390" s="230">
        <f t="shared" si="516"/>
        <v>43</v>
      </c>
      <c r="CM390" s="235">
        <f t="shared" si="517"/>
        <v>3.5018750000000001</v>
      </c>
      <c r="CN390" s="235" cm="1">
        <f t="array" ref="CN390">$BI390 * IF($AH390&lt;=2,
SUMPRODUCT(INDEX($AR$72:$AT$76,,$AI390), INDEX($AU$72:$BA$76,,$AH390), 1 / ($BB$72:$BB$76*CM390 + (1-$BB$72:$BB$76)*CI390), N($AQ$72:$AQ$76&gt;$AO390)),
SUMPRODUCT(INDEX($AR$67:$AT$76,,$AI390), INDEX($AU$67:$BA$76,,$AH390), 1 / ($BC$67:$BC$76*CM390 + (1-$BC$67:$BC$76)*CI390), N($AQ$67:$AQ$76&gt;$AO390))
) / 1000</f>
        <v>0</v>
      </c>
      <c r="CO390" s="232">
        <f t="shared" si="495"/>
        <v>25</v>
      </c>
      <c r="CP390" s="230">
        <f t="shared" si="518"/>
        <v>38</v>
      </c>
      <c r="CQ390" s="235">
        <f t="shared" si="519"/>
        <v>4.0666935483870965</v>
      </c>
      <c r="CR390" s="235" cm="1">
        <f t="array" ref="CR390">$BI390 * IF($AH390&lt;=2,
SUMPRODUCT(INDEX($AR$67:$AT$71,,$AI390), INDEX($AU$67:$BA$71,,$AH390), 1 / ($BB$67:$BB$71*CQ390 + (1-$BB$67:$BB$71)*CM390), N($AQ$67:$AQ$71&gt;$AO390)),
SUMPRODUCT(INDEX($AR$57:$AT$66,,$AI390), INDEX($AU$57:$BA$66,,$AH390), 1 / ($BC$57:$BC$66*CQ390 + (1-$BC$57:$BC$66)*CM390), N($AQ$57:$AQ$66&gt;$AO390))
) / 1000</f>
        <v>0</v>
      </c>
      <c r="CS390" s="232">
        <f t="shared" si="496"/>
        <v>20</v>
      </c>
      <c r="CT390" s="230">
        <f t="shared" si="520"/>
        <v>33</v>
      </c>
      <c r="CU390" s="235">
        <f t="shared" si="521"/>
        <v>4.8487499999999999</v>
      </c>
      <c r="CV390" s="235" cm="1">
        <f t="array" ref="CV390">$BI390 * IF($AH390&lt;=2,
SUMPRODUCT(INDEX($AR$62:$AT$66,,$AI390), INDEX($AU$62:$BA$66,,$AH390), 1 / ($BB$62:$BB$66*CU390 + (1-$BB$62:$BB$66)*CQ390), N($AQ$62:$AQ$66&gt;$AO390)),
SUMPRODUCT(INDEX($AR$47:$AT$56,,$AI390), INDEX($AU$47:$BA$56,,$AH390), 1 / ($BC$47:$BC$56*CU390 + (1-$BC$47:$BC$56)*CQ390), N($AQ$47:$AQ$56&gt;$AO390))
) / 1000</f>
        <v>0</v>
      </c>
      <c r="CW390" s="235" cm="1">
        <f t="array" ref="CW390">$BI390 * IF($AH390&lt;=2,
SUMPRODUCT(INDEX($AR$23:$AT$61,,$AI390), INDEX($AU$23:$BA$61,,$AH390), 1 / ($BB$23:$BB$61*CU390), N($AQ$23:$AQ$61&gt;$AO390)),
SUMPRODUCT(INDEX($AR$23:$AT$46,,$AI390), INDEX($AU$23:$BA$46,,$AH390), 1 / ($BC$23:$BC$46*CU390), N($AQ$23:$AQ$46&gt;$AO390))
) / 1000</f>
        <v>0</v>
      </c>
      <c r="CX390" s="230">
        <f t="shared" si="522"/>
        <v>0</v>
      </c>
      <c r="CY390" s="238"/>
    </row>
    <row r="391" spans="1:103" s="76" customFormat="1" ht="14.25" customHeight="1" x14ac:dyDescent="0.2">
      <c r="A391" s="231" t="b">
        <f t="shared" si="488"/>
        <v>0</v>
      </c>
      <c r="B391" s="245">
        <v>369</v>
      </c>
      <c r="C391" s="258"/>
      <c r="D391" s="258"/>
      <c r="E391" s="246"/>
      <c r="F391" s="247" t="str">
        <f>IF(ISBLANK(E391), "", VLOOKUP(E391, Z!$A$2:$C$4127, 3, FALSE))</f>
        <v/>
      </c>
      <c r="G391" s="248"/>
      <c r="H391" s="248"/>
      <c r="I391" s="249"/>
      <c r="J391" s="250"/>
      <c r="K391" s="259"/>
      <c r="L391" s="260"/>
      <c r="M391" s="252" t="str" cm="1">
        <f t="array" ref="M391">INDEX(Trad, 53, $A$20)</f>
        <v>Verschmutzt</v>
      </c>
      <c r="N391" s="253"/>
      <c r="O391" s="253"/>
      <c r="P391" s="254"/>
      <c r="Q391" s="251"/>
      <c r="R391" s="251"/>
      <c r="S391" s="264">
        <f t="shared" si="497"/>
        <v>0</v>
      </c>
      <c r="T391" s="252" t="str" cm="1">
        <f t="array" ref="T391">INDEX(Trad, 52, $A$20)</f>
        <v>Sauber</v>
      </c>
      <c r="U391" s="253"/>
      <c r="V391" s="253"/>
      <c r="W391" s="254"/>
      <c r="X391" s="251"/>
      <c r="Y391" s="251"/>
      <c r="Z391" s="264">
        <f t="shared" si="498"/>
        <v>0</v>
      </c>
      <c r="AA391" s="261"/>
      <c r="AB391" s="258"/>
      <c r="AC391" s="246"/>
      <c r="AD391" s="247" t="str">
        <f>IF(ISBLANK(AC391), "", VLOOKUP(AC391, Z!$A$2:$C$4127, 3, FALSE))</f>
        <v/>
      </c>
      <c r="AE391" s="262"/>
      <c r="AF391" s="263">
        <f t="shared" si="499"/>
        <v>0</v>
      </c>
      <c r="AG391" s="238"/>
      <c r="AH391" s="229">
        <f t="shared" si="523"/>
        <v>1</v>
      </c>
      <c r="AI391" s="229">
        <f t="shared" si="524"/>
        <v>1</v>
      </c>
      <c r="AJ391" s="229">
        <f t="shared" si="525"/>
        <v>0</v>
      </c>
      <c r="AK391" s="229">
        <v>0</v>
      </c>
      <c r="AL391" s="229">
        <v>0</v>
      </c>
      <c r="AM391" s="229">
        <v>1</v>
      </c>
      <c r="AN391" s="229">
        <v>0</v>
      </c>
      <c r="AO391" s="229">
        <f t="shared" si="500"/>
        <v>-100</v>
      </c>
      <c r="AP391" s="238"/>
      <c r="AQ391" s="255"/>
      <c r="AR391" s="255"/>
      <c r="AS391" s="256"/>
      <c r="AT391" s="256"/>
      <c r="AU391" s="256"/>
      <c r="AV391" s="256"/>
      <c r="AW391" s="256"/>
      <c r="AX391" s="256"/>
      <c r="AY391" s="256"/>
      <c r="AZ391" s="256"/>
      <c r="BA391" s="256"/>
      <c r="BB391" s="256"/>
      <c r="BC391" s="256"/>
      <c r="BD391" s="238"/>
      <c r="BE391" s="229" cm="1">
        <f t="array" ref="BE391">IF(ISBLANK(R391), INDEX(Use, $AH391, 4) - AM391*INDEX(Use, $AH391, 6), R391)</f>
        <v>5</v>
      </c>
      <c r="BF391" s="229">
        <f t="shared" si="501"/>
        <v>30</v>
      </c>
      <c r="BG391" s="229">
        <f t="shared" si="489"/>
        <v>13</v>
      </c>
      <c r="BH391" s="229">
        <f t="shared" si="490"/>
        <v>0</v>
      </c>
      <c r="BI391" s="234" cm="1">
        <f t="array" ref="BI391">K391/IF($L391&gt;0, INDEX($AU$23:$BA$77, $L391+20, $AH391), 1)</f>
        <v>0</v>
      </c>
      <c r="BJ391" s="230">
        <f t="shared" si="502"/>
        <v>0</v>
      </c>
      <c r="BK391" s="229">
        <v>35</v>
      </c>
      <c r="BL391" s="230">
        <f t="shared" si="503"/>
        <v>48</v>
      </c>
      <c r="BM391" s="235">
        <f t="shared" si="504"/>
        <v>2.9108720930232557</v>
      </c>
      <c r="BN391" s="235" cm="1">
        <f t="array" ref="BN391">$BI391 * SUMPRODUCT(INDEX($AR$77:$AT$82,,$AI391),INDEX($AU$77:$BA$82,,$AH391), N($AQ$77:$AQ$82&gt;$AO391)) / BM391 / 1000</f>
        <v>0</v>
      </c>
      <c r="BO391" s="232">
        <f t="shared" si="491"/>
        <v>30</v>
      </c>
      <c r="BP391" s="230">
        <f t="shared" si="505"/>
        <v>43</v>
      </c>
      <c r="BQ391" s="235">
        <f t="shared" si="506"/>
        <v>3.2938815789473681</v>
      </c>
      <c r="BR391" s="235" cm="1">
        <f t="array" ref="BR391">$BI391 * IF($AH391&lt;=2,
SUMPRODUCT(INDEX($AR$72:$AT$76,,$AI391), INDEX($AU$72:$BA$76,,$AH391), 1 / ($BB$72:$BB$76*BQ391 + (1-$BB$72:$BB$76)*BM391), N($AQ$72:$AQ$76&gt;$AO391)),
SUMPRODUCT(INDEX($AR$67:$AT$76,,$AI391), INDEX($AU$67:$BA$76,,$AH391), 1 / ($BC$67:$BC$76*BQ391 + (1-$BC$67:$BC$76)*BM391), N($AQ$67:$AQ$76&gt;$AO391))
) / 1000</f>
        <v>0</v>
      </c>
      <c r="BS391" s="232">
        <f t="shared" si="492"/>
        <v>25</v>
      </c>
      <c r="BT391" s="230">
        <f t="shared" si="507"/>
        <v>38</v>
      </c>
      <c r="BU391" s="235">
        <f t="shared" si="508"/>
        <v>3.792954545454545</v>
      </c>
      <c r="BV391" s="235" cm="1">
        <f t="array" ref="BV391">$BI391 * IF($AH391&lt;=2,
SUMPRODUCT(INDEX($AR$67:$AT$71,,$AI391), INDEX($AU$67:$BA$71,,$AH391), 1 / ($BB$67:$BB$71*BU391 + (1-$BB$67:$BB$71)*BQ391), N($AQ$67:$AQ$71&gt;$AO391)),
SUMPRODUCT(INDEX($AR$57:$AT$66,,$AI391), INDEX($AU$57:$BA$66,,$AH391), 1 / ($BC$57:$BC$66*BU391 + (1-$BC$57:$BC$66)*BQ391), N($AQ$57:$AQ$66&gt;$AO391))
) / 1000</f>
        <v>0</v>
      </c>
      <c r="BW391" s="232">
        <f t="shared" si="493"/>
        <v>20</v>
      </c>
      <c r="BX391" s="230">
        <f t="shared" si="509"/>
        <v>33</v>
      </c>
      <c r="BY391" s="235">
        <f t="shared" si="510"/>
        <v>4.4702678571428569</v>
      </c>
      <c r="BZ391" s="235" cm="1">
        <f t="array" ref="BZ391">$BI391 * IF($AH391&lt;=2,
SUMPRODUCT(INDEX($AR$62:$AT$66,,$AI391), INDEX($AU$62:$BA$66,,$AH391), 1 / ($BB$62:$BB$66*BY391 + (1-$BB$62:$BB$66)*BU391), N($AQ$62:$AQ$66&gt;$AO391)),
SUMPRODUCT(INDEX($AR$47:$AT$56,,$AI391), INDEX($AU$47:$BA$56,,$AH391), 1 / ($BC$47:$BC$56*BY391 + (1-$BC$47:$BC$56)*BU391), N($AQ$47:$AQ$56&gt;$AO391))
) / 1000</f>
        <v>0</v>
      </c>
      <c r="CA391" s="235" cm="1">
        <f t="array" ref="CA391">$BI391 * IF($AH391&lt;=2,
SUMPRODUCT(INDEX($AR$23:$AT$61,,$AI391), INDEX($AU$23:$BA$61,,$AH391), 1 / ($BB$23:$BB$61*BY391), N($AQ$23:$AQ$61&gt;$AO391)),
SUMPRODUCT(INDEX($AR$23:$AT$46,,$AI391), INDEX($AU$23:$BA$46,,$AH391), 1 / ($BC$23:$BC$46*BY391), N($AQ$23:$AQ$46&gt;$AO391))
) / 1000</f>
        <v>0</v>
      </c>
      <c r="CB391" s="230">
        <f t="shared" si="511"/>
        <v>0</v>
      </c>
      <c r="CC391" s="238"/>
      <c r="CD391" s="229" cm="1">
        <f t="array" ref="CD391">IF(ISBLANK(Y391), INDEX(Use, $AH391, 4) - AN391*INDEX(Use, $AH391, 6) - (Q391-X391), Y391)</f>
        <v>7</v>
      </c>
      <c r="CE391" s="229">
        <f t="shared" si="512"/>
        <v>32</v>
      </c>
      <c r="CF391" s="230">
        <f t="shared" si="513"/>
        <v>0</v>
      </c>
      <c r="CG391" s="229">
        <v>35</v>
      </c>
      <c r="CH391" s="230">
        <f t="shared" si="514"/>
        <v>48</v>
      </c>
      <c r="CI391" s="235">
        <f t="shared" si="515"/>
        <v>3.0748170731707316</v>
      </c>
      <c r="CJ391" s="235" cm="1">
        <f t="array" ref="CJ391">$BI391 * SUMPRODUCT(INDEX($AR$77:$AT$82,,$AI391),INDEX($AU$77:$BA$82,,$AH391), N($AQ$77:$AQ$82&gt;$AO391)) / CI391 / 1000</f>
        <v>0</v>
      </c>
      <c r="CK391" s="232">
        <f t="shared" si="494"/>
        <v>30</v>
      </c>
      <c r="CL391" s="230">
        <f t="shared" si="516"/>
        <v>43</v>
      </c>
      <c r="CM391" s="235">
        <f t="shared" si="517"/>
        <v>3.5018750000000001</v>
      </c>
      <c r="CN391" s="235" cm="1">
        <f t="array" ref="CN391">$BI391 * IF($AH391&lt;=2,
SUMPRODUCT(INDEX($AR$72:$AT$76,,$AI391), INDEX($AU$72:$BA$76,,$AH391), 1 / ($BB$72:$BB$76*CM391 + (1-$BB$72:$BB$76)*CI391), N($AQ$72:$AQ$76&gt;$AO391)),
SUMPRODUCT(INDEX($AR$67:$AT$76,,$AI391), INDEX($AU$67:$BA$76,,$AH391), 1 / ($BC$67:$BC$76*CM391 + (1-$BC$67:$BC$76)*CI391), N($AQ$67:$AQ$76&gt;$AO391))
) / 1000</f>
        <v>0</v>
      </c>
      <c r="CO391" s="232">
        <f t="shared" si="495"/>
        <v>25</v>
      </c>
      <c r="CP391" s="230">
        <f t="shared" si="518"/>
        <v>38</v>
      </c>
      <c r="CQ391" s="235">
        <f t="shared" si="519"/>
        <v>4.0666935483870965</v>
      </c>
      <c r="CR391" s="235" cm="1">
        <f t="array" ref="CR391">$BI391 * IF($AH391&lt;=2,
SUMPRODUCT(INDEX($AR$67:$AT$71,,$AI391), INDEX($AU$67:$BA$71,,$AH391), 1 / ($BB$67:$BB$71*CQ391 + (1-$BB$67:$BB$71)*CM391), N($AQ$67:$AQ$71&gt;$AO391)),
SUMPRODUCT(INDEX($AR$57:$AT$66,,$AI391), INDEX($AU$57:$BA$66,,$AH391), 1 / ($BC$57:$BC$66*CQ391 + (1-$BC$57:$BC$66)*CM391), N($AQ$57:$AQ$66&gt;$AO391))
) / 1000</f>
        <v>0</v>
      </c>
      <c r="CS391" s="232">
        <f t="shared" si="496"/>
        <v>20</v>
      </c>
      <c r="CT391" s="230">
        <f t="shared" si="520"/>
        <v>33</v>
      </c>
      <c r="CU391" s="235">
        <f t="shared" si="521"/>
        <v>4.8487499999999999</v>
      </c>
      <c r="CV391" s="235" cm="1">
        <f t="array" ref="CV391">$BI391 * IF($AH391&lt;=2,
SUMPRODUCT(INDEX($AR$62:$AT$66,,$AI391), INDEX($AU$62:$BA$66,,$AH391), 1 / ($BB$62:$BB$66*CU391 + (1-$BB$62:$BB$66)*CQ391), N($AQ$62:$AQ$66&gt;$AO391)),
SUMPRODUCT(INDEX($AR$47:$AT$56,,$AI391), INDEX($AU$47:$BA$56,,$AH391), 1 / ($BC$47:$BC$56*CU391 + (1-$BC$47:$BC$56)*CQ391), N($AQ$47:$AQ$56&gt;$AO391))
) / 1000</f>
        <v>0</v>
      </c>
      <c r="CW391" s="235" cm="1">
        <f t="array" ref="CW391">$BI391 * IF($AH391&lt;=2,
SUMPRODUCT(INDEX($AR$23:$AT$61,,$AI391), INDEX($AU$23:$BA$61,,$AH391), 1 / ($BB$23:$BB$61*CU391), N($AQ$23:$AQ$61&gt;$AO391)),
SUMPRODUCT(INDEX($AR$23:$AT$46,,$AI391), INDEX($AU$23:$BA$46,,$AH391), 1 / ($BC$23:$BC$46*CU391), N($AQ$23:$AQ$46&gt;$AO391))
) / 1000</f>
        <v>0</v>
      </c>
      <c r="CX391" s="230">
        <f t="shared" si="522"/>
        <v>0</v>
      </c>
      <c r="CY391" s="238"/>
    </row>
    <row r="392" spans="1:103" s="76" customFormat="1" ht="14.25" customHeight="1" x14ac:dyDescent="0.2">
      <c r="A392" s="231" t="b">
        <f t="shared" si="488"/>
        <v>0</v>
      </c>
      <c r="B392" s="245">
        <v>370</v>
      </c>
      <c r="C392" s="258"/>
      <c r="D392" s="258"/>
      <c r="E392" s="246"/>
      <c r="F392" s="247" t="str">
        <f>IF(ISBLANK(E392), "", VLOOKUP(E392, Z!$A$2:$C$4127, 3, FALSE))</f>
        <v/>
      </c>
      <c r="G392" s="248"/>
      <c r="H392" s="248"/>
      <c r="I392" s="249"/>
      <c r="J392" s="250"/>
      <c r="K392" s="259"/>
      <c r="L392" s="260"/>
      <c r="M392" s="252" t="str" cm="1">
        <f t="array" ref="M392">INDEX(Trad, 53, $A$20)</f>
        <v>Verschmutzt</v>
      </c>
      <c r="N392" s="253"/>
      <c r="O392" s="253"/>
      <c r="P392" s="254"/>
      <c r="Q392" s="251"/>
      <c r="R392" s="251"/>
      <c r="S392" s="264">
        <f t="shared" si="497"/>
        <v>0</v>
      </c>
      <c r="T392" s="252" t="str" cm="1">
        <f t="array" ref="T392">INDEX(Trad, 52, $A$20)</f>
        <v>Sauber</v>
      </c>
      <c r="U392" s="253"/>
      <c r="V392" s="253"/>
      <c r="W392" s="254"/>
      <c r="X392" s="251"/>
      <c r="Y392" s="251"/>
      <c r="Z392" s="264">
        <f t="shared" si="498"/>
        <v>0</v>
      </c>
      <c r="AA392" s="261"/>
      <c r="AB392" s="258"/>
      <c r="AC392" s="246"/>
      <c r="AD392" s="247" t="str">
        <f>IF(ISBLANK(AC392), "", VLOOKUP(AC392, Z!$A$2:$C$4127, 3, FALSE))</f>
        <v/>
      </c>
      <c r="AE392" s="262"/>
      <c r="AF392" s="263">
        <f t="shared" si="499"/>
        <v>0</v>
      </c>
      <c r="AG392" s="238"/>
      <c r="AH392" s="229">
        <f t="shared" si="523"/>
        <v>1</v>
      </c>
      <c r="AI392" s="229">
        <f t="shared" si="524"/>
        <v>1</v>
      </c>
      <c r="AJ392" s="229">
        <f t="shared" si="525"/>
        <v>0</v>
      </c>
      <c r="AK392" s="229">
        <v>0</v>
      </c>
      <c r="AL392" s="229">
        <v>0</v>
      </c>
      <c r="AM392" s="229">
        <v>1</v>
      </c>
      <c r="AN392" s="229">
        <v>0</v>
      </c>
      <c r="AO392" s="229">
        <f t="shared" si="500"/>
        <v>-100</v>
      </c>
      <c r="AP392" s="238"/>
      <c r="AQ392" s="255"/>
      <c r="AR392" s="255"/>
      <c r="AS392" s="256"/>
      <c r="AT392" s="256"/>
      <c r="AU392" s="256"/>
      <c r="AV392" s="256"/>
      <c r="AW392" s="256"/>
      <c r="AX392" s="256"/>
      <c r="AY392" s="256"/>
      <c r="AZ392" s="256"/>
      <c r="BA392" s="256"/>
      <c r="BB392" s="256"/>
      <c r="BC392" s="256"/>
      <c r="BD392" s="238"/>
      <c r="BE392" s="229" cm="1">
        <f t="array" ref="BE392">IF(ISBLANK(R392), INDEX(Use, $AH392, 4) - AM392*INDEX(Use, $AH392, 6), R392)</f>
        <v>5</v>
      </c>
      <c r="BF392" s="229">
        <f t="shared" si="501"/>
        <v>30</v>
      </c>
      <c r="BG392" s="229">
        <f t="shared" si="489"/>
        <v>13</v>
      </c>
      <c r="BH392" s="229">
        <f t="shared" si="490"/>
        <v>0</v>
      </c>
      <c r="BI392" s="234" cm="1">
        <f t="array" ref="BI392">K392/IF($L392&gt;0, INDEX($AU$23:$BA$77, $L392+20, $AH392), 1)</f>
        <v>0</v>
      </c>
      <c r="BJ392" s="230">
        <f t="shared" si="502"/>
        <v>0</v>
      </c>
      <c r="BK392" s="229">
        <v>35</v>
      </c>
      <c r="BL392" s="230">
        <f t="shared" si="503"/>
        <v>48</v>
      </c>
      <c r="BM392" s="235">
        <f t="shared" si="504"/>
        <v>2.9108720930232557</v>
      </c>
      <c r="BN392" s="235" cm="1">
        <f t="array" ref="BN392">$BI392 * SUMPRODUCT(INDEX($AR$77:$AT$82,,$AI392),INDEX($AU$77:$BA$82,,$AH392), N($AQ$77:$AQ$82&gt;$AO392)) / BM392 / 1000</f>
        <v>0</v>
      </c>
      <c r="BO392" s="232">
        <f t="shared" si="491"/>
        <v>30</v>
      </c>
      <c r="BP392" s="230">
        <f t="shared" si="505"/>
        <v>43</v>
      </c>
      <c r="BQ392" s="235">
        <f t="shared" si="506"/>
        <v>3.2938815789473681</v>
      </c>
      <c r="BR392" s="235" cm="1">
        <f t="array" ref="BR392">$BI392 * IF($AH392&lt;=2,
SUMPRODUCT(INDEX($AR$72:$AT$76,,$AI392), INDEX($AU$72:$BA$76,,$AH392), 1 / ($BB$72:$BB$76*BQ392 + (1-$BB$72:$BB$76)*BM392), N($AQ$72:$AQ$76&gt;$AO392)),
SUMPRODUCT(INDEX($AR$67:$AT$76,,$AI392), INDEX($AU$67:$BA$76,,$AH392), 1 / ($BC$67:$BC$76*BQ392 + (1-$BC$67:$BC$76)*BM392), N($AQ$67:$AQ$76&gt;$AO392))
) / 1000</f>
        <v>0</v>
      </c>
      <c r="BS392" s="232">
        <f t="shared" si="492"/>
        <v>25</v>
      </c>
      <c r="BT392" s="230">
        <f t="shared" si="507"/>
        <v>38</v>
      </c>
      <c r="BU392" s="235">
        <f t="shared" si="508"/>
        <v>3.792954545454545</v>
      </c>
      <c r="BV392" s="235" cm="1">
        <f t="array" ref="BV392">$BI392 * IF($AH392&lt;=2,
SUMPRODUCT(INDEX($AR$67:$AT$71,,$AI392), INDEX($AU$67:$BA$71,,$AH392), 1 / ($BB$67:$BB$71*BU392 + (1-$BB$67:$BB$71)*BQ392), N($AQ$67:$AQ$71&gt;$AO392)),
SUMPRODUCT(INDEX($AR$57:$AT$66,,$AI392), INDEX($AU$57:$BA$66,,$AH392), 1 / ($BC$57:$BC$66*BU392 + (1-$BC$57:$BC$66)*BQ392), N($AQ$57:$AQ$66&gt;$AO392))
) / 1000</f>
        <v>0</v>
      </c>
      <c r="BW392" s="232">
        <f t="shared" si="493"/>
        <v>20</v>
      </c>
      <c r="BX392" s="230">
        <f t="shared" si="509"/>
        <v>33</v>
      </c>
      <c r="BY392" s="235">
        <f t="shared" si="510"/>
        <v>4.4702678571428569</v>
      </c>
      <c r="BZ392" s="235" cm="1">
        <f t="array" ref="BZ392">$BI392 * IF($AH392&lt;=2,
SUMPRODUCT(INDEX($AR$62:$AT$66,,$AI392), INDEX($AU$62:$BA$66,,$AH392), 1 / ($BB$62:$BB$66*BY392 + (1-$BB$62:$BB$66)*BU392), N($AQ$62:$AQ$66&gt;$AO392)),
SUMPRODUCT(INDEX($AR$47:$AT$56,,$AI392), INDEX($AU$47:$BA$56,,$AH392), 1 / ($BC$47:$BC$56*BY392 + (1-$BC$47:$BC$56)*BU392), N($AQ$47:$AQ$56&gt;$AO392))
) / 1000</f>
        <v>0</v>
      </c>
      <c r="CA392" s="235" cm="1">
        <f t="array" ref="CA392">$BI392 * IF($AH392&lt;=2,
SUMPRODUCT(INDEX($AR$23:$AT$61,,$AI392), INDEX($AU$23:$BA$61,,$AH392), 1 / ($BB$23:$BB$61*BY392), N($AQ$23:$AQ$61&gt;$AO392)),
SUMPRODUCT(INDEX($AR$23:$AT$46,,$AI392), INDEX($AU$23:$BA$46,,$AH392), 1 / ($BC$23:$BC$46*BY392), N($AQ$23:$AQ$46&gt;$AO392))
) / 1000</f>
        <v>0</v>
      </c>
      <c r="CB392" s="230">
        <f t="shared" si="511"/>
        <v>0</v>
      </c>
      <c r="CC392" s="238"/>
      <c r="CD392" s="229" cm="1">
        <f t="array" ref="CD392">IF(ISBLANK(Y392), INDEX(Use, $AH392, 4) - AN392*INDEX(Use, $AH392, 6) - (Q392-X392), Y392)</f>
        <v>7</v>
      </c>
      <c r="CE392" s="229">
        <f t="shared" si="512"/>
        <v>32</v>
      </c>
      <c r="CF392" s="230">
        <f t="shared" si="513"/>
        <v>0</v>
      </c>
      <c r="CG392" s="229">
        <v>35</v>
      </c>
      <c r="CH392" s="230">
        <f t="shared" si="514"/>
        <v>48</v>
      </c>
      <c r="CI392" s="235">
        <f t="shared" si="515"/>
        <v>3.0748170731707316</v>
      </c>
      <c r="CJ392" s="235" cm="1">
        <f t="array" ref="CJ392">$BI392 * SUMPRODUCT(INDEX($AR$77:$AT$82,,$AI392),INDEX($AU$77:$BA$82,,$AH392), N($AQ$77:$AQ$82&gt;$AO392)) / CI392 / 1000</f>
        <v>0</v>
      </c>
      <c r="CK392" s="232">
        <f t="shared" si="494"/>
        <v>30</v>
      </c>
      <c r="CL392" s="230">
        <f t="shared" si="516"/>
        <v>43</v>
      </c>
      <c r="CM392" s="235">
        <f t="shared" si="517"/>
        <v>3.5018750000000001</v>
      </c>
      <c r="CN392" s="235" cm="1">
        <f t="array" ref="CN392">$BI392 * IF($AH392&lt;=2,
SUMPRODUCT(INDEX($AR$72:$AT$76,,$AI392), INDEX($AU$72:$BA$76,,$AH392), 1 / ($BB$72:$BB$76*CM392 + (1-$BB$72:$BB$76)*CI392), N($AQ$72:$AQ$76&gt;$AO392)),
SUMPRODUCT(INDEX($AR$67:$AT$76,,$AI392), INDEX($AU$67:$BA$76,,$AH392), 1 / ($BC$67:$BC$76*CM392 + (1-$BC$67:$BC$76)*CI392), N($AQ$67:$AQ$76&gt;$AO392))
) / 1000</f>
        <v>0</v>
      </c>
      <c r="CO392" s="232">
        <f t="shared" si="495"/>
        <v>25</v>
      </c>
      <c r="CP392" s="230">
        <f t="shared" si="518"/>
        <v>38</v>
      </c>
      <c r="CQ392" s="235">
        <f t="shared" si="519"/>
        <v>4.0666935483870965</v>
      </c>
      <c r="CR392" s="235" cm="1">
        <f t="array" ref="CR392">$BI392 * IF($AH392&lt;=2,
SUMPRODUCT(INDEX($AR$67:$AT$71,,$AI392), INDEX($AU$67:$BA$71,,$AH392), 1 / ($BB$67:$BB$71*CQ392 + (1-$BB$67:$BB$71)*CM392), N($AQ$67:$AQ$71&gt;$AO392)),
SUMPRODUCT(INDEX($AR$57:$AT$66,,$AI392), INDEX($AU$57:$BA$66,,$AH392), 1 / ($BC$57:$BC$66*CQ392 + (1-$BC$57:$BC$66)*CM392), N($AQ$57:$AQ$66&gt;$AO392))
) / 1000</f>
        <v>0</v>
      </c>
      <c r="CS392" s="232">
        <f t="shared" si="496"/>
        <v>20</v>
      </c>
      <c r="CT392" s="230">
        <f t="shared" si="520"/>
        <v>33</v>
      </c>
      <c r="CU392" s="235">
        <f t="shared" si="521"/>
        <v>4.8487499999999999</v>
      </c>
      <c r="CV392" s="235" cm="1">
        <f t="array" ref="CV392">$BI392 * IF($AH392&lt;=2,
SUMPRODUCT(INDEX($AR$62:$AT$66,,$AI392), INDEX($AU$62:$BA$66,,$AH392), 1 / ($BB$62:$BB$66*CU392 + (1-$BB$62:$BB$66)*CQ392), N($AQ$62:$AQ$66&gt;$AO392)),
SUMPRODUCT(INDEX($AR$47:$AT$56,,$AI392), INDEX($AU$47:$BA$56,,$AH392), 1 / ($BC$47:$BC$56*CU392 + (1-$BC$47:$BC$56)*CQ392), N($AQ$47:$AQ$56&gt;$AO392))
) / 1000</f>
        <v>0</v>
      </c>
      <c r="CW392" s="235" cm="1">
        <f t="array" ref="CW392">$BI392 * IF($AH392&lt;=2,
SUMPRODUCT(INDEX($AR$23:$AT$61,,$AI392), INDEX($AU$23:$BA$61,,$AH392), 1 / ($BB$23:$BB$61*CU392), N($AQ$23:$AQ$61&gt;$AO392)),
SUMPRODUCT(INDEX($AR$23:$AT$46,,$AI392), INDEX($AU$23:$BA$46,,$AH392), 1 / ($BC$23:$BC$46*CU392), N($AQ$23:$AQ$46&gt;$AO392))
) / 1000</f>
        <v>0</v>
      </c>
      <c r="CX392" s="230">
        <f t="shared" si="522"/>
        <v>0</v>
      </c>
      <c r="CY392" s="238"/>
    </row>
    <row r="393" spans="1:103" s="76" customFormat="1" ht="14.25" customHeight="1" x14ac:dyDescent="0.2">
      <c r="A393" s="231" t="b">
        <f t="shared" si="488"/>
        <v>0</v>
      </c>
      <c r="B393" s="245">
        <v>371</v>
      </c>
      <c r="C393" s="258"/>
      <c r="D393" s="258"/>
      <c r="E393" s="246"/>
      <c r="F393" s="247" t="str">
        <f>IF(ISBLANK(E393), "", VLOOKUP(E393, Z!$A$2:$C$4127, 3, FALSE))</f>
        <v/>
      </c>
      <c r="G393" s="248"/>
      <c r="H393" s="248"/>
      <c r="I393" s="249"/>
      <c r="J393" s="250"/>
      <c r="K393" s="259"/>
      <c r="L393" s="260"/>
      <c r="M393" s="252" t="str" cm="1">
        <f t="array" ref="M393">INDEX(Trad, 53, $A$20)</f>
        <v>Verschmutzt</v>
      </c>
      <c r="N393" s="253"/>
      <c r="O393" s="253"/>
      <c r="P393" s="254"/>
      <c r="Q393" s="251"/>
      <c r="R393" s="251"/>
      <c r="S393" s="264">
        <f t="shared" si="497"/>
        <v>0</v>
      </c>
      <c r="T393" s="252" t="str" cm="1">
        <f t="array" ref="T393">INDEX(Trad, 52, $A$20)</f>
        <v>Sauber</v>
      </c>
      <c r="U393" s="253"/>
      <c r="V393" s="253"/>
      <c r="W393" s="254"/>
      <c r="X393" s="251"/>
      <c r="Y393" s="251"/>
      <c r="Z393" s="264">
        <f t="shared" si="498"/>
        <v>0</v>
      </c>
      <c r="AA393" s="261"/>
      <c r="AB393" s="258"/>
      <c r="AC393" s="246"/>
      <c r="AD393" s="247" t="str">
        <f>IF(ISBLANK(AC393), "", VLOOKUP(AC393, Z!$A$2:$C$4127, 3, FALSE))</f>
        <v/>
      </c>
      <c r="AE393" s="262"/>
      <c r="AF393" s="263">
        <f t="shared" si="499"/>
        <v>0</v>
      </c>
      <c r="AG393" s="238"/>
      <c r="AH393" s="229">
        <f t="shared" si="523"/>
        <v>1</v>
      </c>
      <c r="AI393" s="229">
        <f t="shared" si="524"/>
        <v>1</v>
      </c>
      <c r="AJ393" s="229">
        <f t="shared" si="525"/>
        <v>0</v>
      </c>
      <c r="AK393" s="229">
        <v>0</v>
      </c>
      <c r="AL393" s="229">
        <v>0</v>
      </c>
      <c r="AM393" s="229">
        <v>1</v>
      </c>
      <c r="AN393" s="229">
        <v>0</v>
      </c>
      <c r="AO393" s="229">
        <f t="shared" si="500"/>
        <v>-100</v>
      </c>
      <c r="AP393" s="238"/>
      <c r="AQ393" s="255"/>
      <c r="AR393" s="255"/>
      <c r="AS393" s="256"/>
      <c r="AT393" s="256"/>
      <c r="AU393" s="256"/>
      <c r="AV393" s="256"/>
      <c r="AW393" s="256"/>
      <c r="AX393" s="256"/>
      <c r="AY393" s="256"/>
      <c r="AZ393" s="256"/>
      <c r="BA393" s="256"/>
      <c r="BB393" s="256"/>
      <c r="BC393" s="256"/>
      <c r="BD393" s="238"/>
      <c r="BE393" s="229" cm="1">
        <f t="array" ref="BE393">IF(ISBLANK(R393), INDEX(Use, $AH393, 4) - AM393*INDEX(Use, $AH393, 6), R393)</f>
        <v>5</v>
      </c>
      <c r="BF393" s="229">
        <f t="shared" si="501"/>
        <v>30</v>
      </c>
      <c r="BG393" s="229">
        <f t="shared" si="489"/>
        <v>13</v>
      </c>
      <c r="BH393" s="229">
        <f t="shared" si="490"/>
        <v>0</v>
      </c>
      <c r="BI393" s="234" cm="1">
        <f t="array" ref="BI393">K393/IF($L393&gt;0, INDEX($AU$23:$BA$77, $L393+20, $AH393), 1)</f>
        <v>0</v>
      </c>
      <c r="BJ393" s="230">
        <f t="shared" si="502"/>
        <v>0</v>
      </c>
      <c r="BK393" s="229">
        <v>35</v>
      </c>
      <c r="BL393" s="230">
        <f t="shared" si="503"/>
        <v>48</v>
      </c>
      <c r="BM393" s="235">
        <f t="shared" si="504"/>
        <v>2.9108720930232557</v>
      </c>
      <c r="BN393" s="235" cm="1">
        <f t="array" ref="BN393">$BI393 * SUMPRODUCT(INDEX($AR$77:$AT$82,,$AI393),INDEX($AU$77:$BA$82,,$AH393), N($AQ$77:$AQ$82&gt;$AO393)) / BM393 / 1000</f>
        <v>0</v>
      </c>
      <c r="BO393" s="232">
        <f t="shared" si="491"/>
        <v>30</v>
      </c>
      <c r="BP393" s="230">
        <f t="shared" si="505"/>
        <v>43</v>
      </c>
      <c r="BQ393" s="235">
        <f t="shared" si="506"/>
        <v>3.2938815789473681</v>
      </c>
      <c r="BR393" s="235" cm="1">
        <f t="array" ref="BR393">$BI393 * IF($AH393&lt;=2,
SUMPRODUCT(INDEX($AR$72:$AT$76,,$AI393), INDEX($AU$72:$BA$76,,$AH393), 1 / ($BB$72:$BB$76*BQ393 + (1-$BB$72:$BB$76)*BM393), N($AQ$72:$AQ$76&gt;$AO393)),
SUMPRODUCT(INDEX($AR$67:$AT$76,,$AI393), INDEX($AU$67:$BA$76,,$AH393), 1 / ($BC$67:$BC$76*BQ393 + (1-$BC$67:$BC$76)*BM393), N($AQ$67:$AQ$76&gt;$AO393))
) / 1000</f>
        <v>0</v>
      </c>
      <c r="BS393" s="232">
        <f t="shared" si="492"/>
        <v>25</v>
      </c>
      <c r="BT393" s="230">
        <f t="shared" si="507"/>
        <v>38</v>
      </c>
      <c r="BU393" s="235">
        <f t="shared" si="508"/>
        <v>3.792954545454545</v>
      </c>
      <c r="BV393" s="235" cm="1">
        <f t="array" ref="BV393">$BI393 * IF($AH393&lt;=2,
SUMPRODUCT(INDEX($AR$67:$AT$71,,$AI393), INDEX($AU$67:$BA$71,,$AH393), 1 / ($BB$67:$BB$71*BU393 + (1-$BB$67:$BB$71)*BQ393), N($AQ$67:$AQ$71&gt;$AO393)),
SUMPRODUCT(INDEX($AR$57:$AT$66,,$AI393), INDEX($AU$57:$BA$66,,$AH393), 1 / ($BC$57:$BC$66*BU393 + (1-$BC$57:$BC$66)*BQ393), N($AQ$57:$AQ$66&gt;$AO393))
) / 1000</f>
        <v>0</v>
      </c>
      <c r="BW393" s="232">
        <f t="shared" si="493"/>
        <v>20</v>
      </c>
      <c r="BX393" s="230">
        <f t="shared" si="509"/>
        <v>33</v>
      </c>
      <c r="BY393" s="235">
        <f t="shared" si="510"/>
        <v>4.4702678571428569</v>
      </c>
      <c r="BZ393" s="235" cm="1">
        <f t="array" ref="BZ393">$BI393 * IF($AH393&lt;=2,
SUMPRODUCT(INDEX($AR$62:$AT$66,,$AI393), INDEX($AU$62:$BA$66,,$AH393), 1 / ($BB$62:$BB$66*BY393 + (1-$BB$62:$BB$66)*BU393), N($AQ$62:$AQ$66&gt;$AO393)),
SUMPRODUCT(INDEX($AR$47:$AT$56,,$AI393), INDEX($AU$47:$BA$56,,$AH393), 1 / ($BC$47:$BC$56*BY393 + (1-$BC$47:$BC$56)*BU393), N($AQ$47:$AQ$56&gt;$AO393))
) / 1000</f>
        <v>0</v>
      </c>
      <c r="CA393" s="235" cm="1">
        <f t="array" ref="CA393">$BI393 * IF($AH393&lt;=2,
SUMPRODUCT(INDEX($AR$23:$AT$61,,$AI393), INDEX($AU$23:$BA$61,,$AH393), 1 / ($BB$23:$BB$61*BY393), N($AQ$23:$AQ$61&gt;$AO393)),
SUMPRODUCT(INDEX($AR$23:$AT$46,,$AI393), INDEX($AU$23:$BA$46,,$AH393), 1 / ($BC$23:$BC$46*BY393), N($AQ$23:$AQ$46&gt;$AO393))
) / 1000</f>
        <v>0</v>
      </c>
      <c r="CB393" s="230">
        <f t="shared" si="511"/>
        <v>0</v>
      </c>
      <c r="CC393" s="238"/>
      <c r="CD393" s="229" cm="1">
        <f t="array" ref="CD393">IF(ISBLANK(Y393), INDEX(Use, $AH393, 4) - AN393*INDEX(Use, $AH393, 6) - (Q393-X393), Y393)</f>
        <v>7</v>
      </c>
      <c r="CE393" s="229">
        <f t="shared" si="512"/>
        <v>32</v>
      </c>
      <c r="CF393" s="230">
        <f t="shared" si="513"/>
        <v>0</v>
      </c>
      <c r="CG393" s="229">
        <v>35</v>
      </c>
      <c r="CH393" s="230">
        <f t="shared" si="514"/>
        <v>48</v>
      </c>
      <c r="CI393" s="235">
        <f t="shared" si="515"/>
        <v>3.0748170731707316</v>
      </c>
      <c r="CJ393" s="235" cm="1">
        <f t="array" ref="CJ393">$BI393 * SUMPRODUCT(INDEX($AR$77:$AT$82,,$AI393),INDEX($AU$77:$BA$82,,$AH393), N($AQ$77:$AQ$82&gt;$AO393)) / CI393 / 1000</f>
        <v>0</v>
      </c>
      <c r="CK393" s="232">
        <f t="shared" si="494"/>
        <v>30</v>
      </c>
      <c r="CL393" s="230">
        <f t="shared" si="516"/>
        <v>43</v>
      </c>
      <c r="CM393" s="235">
        <f t="shared" si="517"/>
        <v>3.5018750000000001</v>
      </c>
      <c r="CN393" s="235" cm="1">
        <f t="array" ref="CN393">$BI393 * IF($AH393&lt;=2,
SUMPRODUCT(INDEX($AR$72:$AT$76,,$AI393), INDEX($AU$72:$BA$76,,$AH393), 1 / ($BB$72:$BB$76*CM393 + (1-$BB$72:$BB$76)*CI393), N($AQ$72:$AQ$76&gt;$AO393)),
SUMPRODUCT(INDEX($AR$67:$AT$76,,$AI393), INDEX($AU$67:$BA$76,,$AH393), 1 / ($BC$67:$BC$76*CM393 + (1-$BC$67:$BC$76)*CI393), N($AQ$67:$AQ$76&gt;$AO393))
) / 1000</f>
        <v>0</v>
      </c>
      <c r="CO393" s="232">
        <f t="shared" si="495"/>
        <v>25</v>
      </c>
      <c r="CP393" s="230">
        <f t="shared" si="518"/>
        <v>38</v>
      </c>
      <c r="CQ393" s="235">
        <f t="shared" si="519"/>
        <v>4.0666935483870965</v>
      </c>
      <c r="CR393" s="235" cm="1">
        <f t="array" ref="CR393">$BI393 * IF($AH393&lt;=2,
SUMPRODUCT(INDEX($AR$67:$AT$71,,$AI393), INDEX($AU$67:$BA$71,,$AH393), 1 / ($BB$67:$BB$71*CQ393 + (1-$BB$67:$BB$71)*CM393), N($AQ$67:$AQ$71&gt;$AO393)),
SUMPRODUCT(INDEX($AR$57:$AT$66,,$AI393), INDEX($AU$57:$BA$66,,$AH393), 1 / ($BC$57:$BC$66*CQ393 + (1-$BC$57:$BC$66)*CM393), N($AQ$57:$AQ$66&gt;$AO393))
) / 1000</f>
        <v>0</v>
      </c>
      <c r="CS393" s="232">
        <f t="shared" si="496"/>
        <v>20</v>
      </c>
      <c r="CT393" s="230">
        <f t="shared" si="520"/>
        <v>33</v>
      </c>
      <c r="CU393" s="235">
        <f t="shared" si="521"/>
        <v>4.8487499999999999</v>
      </c>
      <c r="CV393" s="235" cm="1">
        <f t="array" ref="CV393">$BI393 * IF($AH393&lt;=2,
SUMPRODUCT(INDEX($AR$62:$AT$66,,$AI393), INDEX($AU$62:$BA$66,,$AH393), 1 / ($BB$62:$BB$66*CU393 + (1-$BB$62:$BB$66)*CQ393), N($AQ$62:$AQ$66&gt;$AO393)),
SUMPRODUCT(INDEX($AR$47:$AT$56,,$AI393), INDEX($AU$47:$BA$56,,$AH393), 1 / ($BC$47:$BC$56*CU393 + (1-$BC$47:$BC$56)*CQ393), N($AQ$47:$AQ$56&gt;$AO393))
) / 1000</f>
        <v>0</v>
      </c>
      <c r="CW393" s="235" cm="1">
        <f t="array" ref="CW393">$BI393 * IF($AH393&lt;=2,
SUMPRODUCT(INDEX($AR$23:$AT$61,,$AI393), INDEX($AU$23:$BA$61,,$AH393), 1 / ($BB$23:$BB$61*CU393), N($AQ$23:$AQ$61&gt;$AO393)),
SUMPRODUCT(INDEX($AR$23:$AT$46,,$AI393), INDEX($AU$23:$BA$46,,$AH393), 1 / ($BC$23:$BC$46*CU393), N($AQ$23:$AQ$46&gt;$AO393))
) / 1000</f>
        <v>0</v>
      </c>
      <c r="CX393" s="230">
        <f t="shared" si="522"/>
        <v>0</v>
      </c>
      <c r="CY393" s="238"/>
    </row>
    <row r="394" spans="1:103" s="76" customFormat="1" ht="14.25" customHeight="1" x14ac:dyDescent="0.2">
      <c r="A394" s="231" t="b">
        <f t="shared" si="488"/>
        <v>0</v>
      </c>
      <c r="B394" s="245">
        <v>372</v>
      </c>
      <c r="C394" s="258"/>
      <c r="D394" s="258"/>
      <c r="E394" s="246"/>
      <c r="F394" s="247" t="str">
        <f>IF(ISBLANK(E394), "", VLOOKUP(E394, Z!$A$2:$C$4127, 3, FALSE))</f>
        <v/>
      </c>
      <c r="G394" s="248"/>
      <c r="H394" s="248"/>
      <c r="I394" s="249"/>
      <c r="J394" s="250"/>
      <c r="K394" s="259"/>
      <c r="L394" s="260"/>
      <c r="M394" s="252" t="str" cm="1">
        <f t="array" ref="M394">INDEX(Trad, 53, $A$20)</f>
        <v>Verschmutzt</v>
      </c>
      <c r="N394" s="253"/>
      <c r="O394" s="253"/>
      <c r="P394" s="254"/>
      <c r="Q394" s="251"/>
      <c r="R394" s="251"/>
      <c r="S394" s="264">
        <f t="shared" si="497"/>
        <v>0</v>
      </c>
      <c r="T394" s="252" t="str" cm="1">
        <f t="array" ref="T394">INDEX(Trad, 52, $A$20)</f>
        <v>Sauber</v>
      </c>
      <c r="U394" s="253"/>
      <c r="V394" s="253"/>
      <c r="W394" s="254"/>
      <c r="X394" s="251"/>
      <c r="Y394" s="251"/>
      <c r="Z394" s="264">
        <f t="shared" si="498"/>
        <v>0</v>
      </c>
      <c r="AA394" s="261"/>
      <c r="AB394" s="258"/>
      <c r="AC394" s="246"/>
      <c r="AD394" s="247" t="str">
        <f>IF(ISBLANK(AC394), "", VLOOKUP(AC394, Z!$A$2:$C$4127, 3, FALSE))</f>
        <v/>
      </c>
      <c r="AE394" s="262"/>
      <c r="AF394" s="263">
        <f t="shared" si="499"/>
        <v>0</v>
      </c>
      <c r="AG394" s="238"/>
      <c r="AH394" s="229">
        <f t="shared" si="523"/>
        <v>1</v>
      </c>
      <c r="AI394" s="229">
        <f t="shared" si="524"/>
        <v>1</v>
      </c>
      <c r="AJ394" s="229">
        <f t="shared" si="525"/>
        <v>0</v>
      </c>
      <c r="AK394" s="229">
        <v>0</v>
      </c>
      <c r="AL394" s="229">
        <v>0</v>
      </c>
      <c r="AM394" s="229">
        <v>1</v>
      </c>
      <c r="AN394" s="229">
        <v>0</v>
      </c>
      <c r="AO394" s="229">
        <f t="shared" si="500"/>
        <v>-100</v>
      </c>
      <c r="AP394" s="238"/>
      <c r="AQ394" s="255"/>
      <c r="AR394" s="255"/>
      <c r="AS394" s="256"/>
      <c r="AT394" s="256"/>
      <c r="AU394" s="256"/>
      <c r="AV394" s="256"/>
      <c r="AW394" s="256"/>
      <c r="AX394" s="256"/>
      <c r="AY394" s="256"/>
      <c r="AZ394" s="256"/>
      <c r="BA394" s="256"/>
      <c r="BB394" s="256"/>
      <c r="BC394" s="256"/>
      <c r="BD394" s="238"/>
      <c r="BE394" s="229" cm="1">
        <f t="array" ref="BE394">IF(ISBLANK(R394), INDEX(Use, $AH394, 4) - AM394*INDEX(Use, $AH394, 6), R394)</f>
        <v>5</v>
      </c>
      <c r="BF394" s="229">
        <f t="shared" si="501"/>
        <v>30</v>
      </c>
      <c r="BG394" s="229">
        <f t="shared" si="489"/>
        <v>13</v>
      </c>
      <c r="BH394" s="229">
        <f t="shared" si="490"/>
        <v>0</v>
      </c>
      <c r="BI394" s="234" cm="1">
        <f t="array" ref="BI394">K394/IF($L394&gt;0, INDEX($AU$23:$BA$77, $L394+20, $AH394), 1)</f>
        <v>0</v>
      </c>
      <c r="BJ394" s="230">
        <f t="shared" si="502"/>
        <v>0</v>
      </c>
      <c r="BK394" s="229">
        <v>35</v>
      </c>
      <c r="BL394" s="230">
        <f t="shared" si="503"/>
        <v>48</v>
      </c>
      <c r="BM394" s="235">
        <f t="shared" si="504"/>
        <v>2.9108720930232557</v>
      </c>
      <c r="BN394" s="235" cm="1">
        <f t="array" ref="BN394">$BI394 * SUMPRODUCT(INDEX($AR$77:$AT$82,,$AI394),INDEX($AU$77:$BA$82,,$AH394), N($AQ$77:$AQ$82&gt;$AO394)) / BM394 / 1000</f>
        <v>0</v>
      </c>
      <c r="BO394" s="232">
        <f t="shared" si="491"/>
        <v>30</v>
      </c>
      <c r="BP394" s="230">
        <f t="shared" si="505"/>
        <v>43</v>
      </c>
      <c r="BQ394" s="235">
        <f t="shared" si="506"/>
        <v>3.2938815789473681</v>
      </c>
      <c r="BR394" s="235" cm="1">
        <f t="array" ref="BR394">$BI394 * IF($AH394&lt;=2,
SUMPRODUCT(INDEX($AR$72:$AT$76,,$AI394), INDEX($AU$72:$BA$76,,$AH394), 1 / ($BB$72:$BB$76*BQ394 + (1-$BB$72:$BB$76)*BM394), N($AQ$72:$AQ$76&gt;$AO394)),
SUMPRODUCT(INDEX($AR$67:$AT$76,,$AI394), INDEX($AU$67:$BA$76,,$AH394), 1 / ($BC$67:$BC$76*BQ394 + (1-$BC$67:$BC$76)*BM394), N($AQ$67:$AQ$76&gt;$AO394))
) / 1000</f>
        <v>0</v>
      </c>
      <c r="BS394" s="232">
        <f t="shared" si="492"/>
        <v>25</v>
      </c>
      <c r="BT394" s="230">
        <f t="shared" si="507"/>
        <v>38</v>
      </c>
      <c r="BU394" s="235">
        <f t="shared" si="508"/>
        <v>3.792954545454545</v>
      </c>
      <c r="BV394" s="235" cm="1">
        <f t="array" ref="BV394">$BI394 * IF($AH394&lt;=2,
SUMPRODUCT(INDEX($AR$67:$AT$71,,$AI394), INDEX($AU$67:$BA$71,,$AH394), 1 / ($BB$67:$BB$71*BU394 + (1-$BB$67:$BB$71)*BQ394), N($AQ$67:$AQ$71&gt;$AO394)),
SUMPRODUCT(INDEX($AR$57:$AT$66,,$AI394), INDEX($AU$57:$BA$66,,$AH394), 1 / ($BC$57:$BC$66*BU394 + (1-$BC$57:$BC$66)*BQ394), N($AQ$57:$AQ$66&gt;$AO394))
) / 1000</f>
        <v>0</v>
      </c>
      <c r="BW394" s="232">
        <f t="shared" si="493"/>
        <v>20</v>
      </c>
      <c r="BX394" s="230">
        <f t="shared" si="509"/>
        <v>33</v>
      </c>
      <c r="BY394" s="235">
        <f t="shared" si="510"/>
        <v>4.4702678571428569</v>
      </c>
      <c r="BZ394" s="235" cm="1">
        <f t="array" ref="BZ394">$BI394 * IF($AH394&lt;=2,
SUMPRODUCT(INDEX($AR$62:$AT$66,,$AI394), INDEX($AU$62:$BA$66,,$AH394), 1 / ($BB$62:$BB$66*BY394 + (1-$BB$62:$BB$66)*BU394), N($AQ$62:$AQ$66&gt;$AO394)),
SUMPRODUCT(INDEX($AR$47:$AT$56,,$AI394), INDEX($AU$47:$BA$56,,$AH394), 1 / ($BC$47:$BC$56*BY394 + (1-$BC$47:$BC$56)*BU394), N($AQ$47:$AQ$56&gt;$AO394))
) / 1000</f>
        <v>0</v>
      </c>
      <c r="CA394" s="235" cm="1">
        <f t="array" ref="CA394">$BI394 * IF($AH394&lt;=2,
SUMPRODUCT(INDEX($AR$23:$AT$61,,$AI394), INDEX($AU$23:$BA$61,,$AH394), 1 / ($BB$23:$BB$61*BY394), N($AQ$23:$AQ$61&gt;$AO394)),
SUMPRODUCT(INDEX($AR$23:$AT$46,,$AI394), INDEX($AU$23:$BA$46,,$AH394), 1 / ($BC$23:$BC$46*BY394), N($AQ$23:$AQ$46&gt;$AO394))
) / 1000</f>
        <v>0</v>
      </c>
      <c r="CB394" s="230">
        <f t="shared" si="511"/>
        <v>0</v>
      </c>
      <c r="CC394" s="238"/>
      <c r="CD394" s="229" cm="1">
        <f t="array" ref="CD394">IF(ISBLANK(Y394), INDEX(Use, $AH394, 4) - AN394*INDEX(Use, $AH394, 6) - (Q394-X394), Y394)</f>
        <v>7</v>
      </c>
      <c r="CE394" s="229">
        <f t="shared" si="512"/>
        <v>32</v>
      </c>
      <c r="CF394" s="230">
        <f t="shared" si="513"/>
        <v>0</v>
      </c>
      <c r="CG394" s="229">
        <v>35</v>
      </c>
      <c r="CH394" s="230">
        <f t="shared" si="514"/>
        <v>48</v>
      </c>
      <c r="CI394" s="235">
        <f t="shared" si="515"/>
        <v>3.0748170731707316</v>
      </c>
      <c r="CJ394" s="235" cm="1">
        <f t="array" ref="CJ394">$BI394 * SUMPRODUCT(INDEX($AR$77:$AT$82,,$AI394),INDEX($AU$77:$BA$82,,$AH394), N($AQ$77:$AQ$82&gt;$AO394)) / CI394 / 1000</f>
        <v>0</v>
      </c>
      <c r="CK394" s="232">
        <f t="shared" si="494"/>
        <v>30</v>
      </c>
      <c r="CL394" s="230">
        <f t="shared" si="516"/>
        <v>43</v>
      </c>
      <c r="CM394" s="235">
        <f t="shared" si="517"/>
        <v>3.5018750000000001</v>
      </c>
      <c r="CN394" s="235" cm="1">
        <f t="array" ref="CN394">$BI394 * IF($AH394&lt;=2,
SUMPRODUCT(INDEX($AR$72:$AT$76,,$AI394), INDEX($AU$72:$BA$76,,$AH394), 1 / ($BB$72:$BB$76*CM394 + (1-$BB$72:$BB$76)*CI394), N($AQ$72:$AQ$76&gt;$AO394)),
SUMPRODUCT(INDEX($AR$67:$AT$76,,$AI394), INDEX($AU$67:$BA$76,,$AH394), 1 / ($BC$67:$BC$76*CM394 + (1-$BC$67:$BC$76)*CI394), N($AQ$67:$AQ$76&gt;$AO394))
) / 1000</f>
        <v>0</v>
      </c>
      <c r="CO394" s="232">
        <f t="shared" si="495"/>
        <v>25</v>
      </c>
      <c r="CP394" s="230">
        <f t="shared" si="518"/>
        <v>38</v>
      </c>
      <c r="CQ394" s="235">
        <f t="shared" si="519"/>
        <v>4.0666935483870965</v>
      </c>
      <c r="CR394" s="235" cm="1">
        <f t="array" ref="CR394">$BI394 * IF($AH394&lt;=2,
SUMPRODUCT(INDEX($AR$67:$AT$71,,$AI394), INDEX($AU$67:$BA$71,,$AH394), 1 / ($BB$67:$BB$71*CQ394 + (1-$BB$67:$BB$71)*CM394), N($AQ$67:$AQ$71&gt;$AO394)),
SUMPRODUCT(INDEX($AR$57:$AT$66,,$AI394), INDEX($AU$57:$BA$66,,$AH394), 1 / ($BC$57:$BC$66*CQ394 + (1-$BC$57:$BC$66)*CM394), N($AQ$57:$AQ$66&gt;$AO394))
) / 1000</f>
        <v>0</v>
      </c>
      <c r="CS394" s="232">
        <f t="shared" si="496"/>
        <v>20</v>
      </c>
      <c r="CT394" s="230">
        <f t="shared" si="520"/>
        <v>33</v>
      </c>
      <c r="CU394" s="235">
        <f t="shared" si="521"/>
        <v>4.8487499999999999</v>
      </c>
      <c r="CV394" s="235" cm="1">
        <f t="array" ref="CV394">$BI394 * IF($AH394&lt;=2,
SUMPRODUCT(INDEX($AR$62:$AT$66,,$AI394), INDEX($AU$62:$BA$66,,$AH394), 1 / ($BB$62:$BB$66*CU394 + (1-$BB$62:$BB$66)*CQ394), N($AQ$62:$AQ$66&gt;$AO394)),
SUMPRODUCT(INDEX($AR$47:$AT$56,,$AI394), INDEX($AU$47:$BA$56,,$AH394), 1 / ($BC$47:$BC$56*CU394 + (1-$BC$47:$BC$56)*CQ394), N($AQ$47:$AQ$56&gt;$AO394))
) / 1000</f>
        <v>0</v>
      </c>
      <c r="CW394" s="235" cm="1">
        <f t="array" ref="CW394">$BI394 * IF($AH394&lt;=2,
SUMPRODUCT(INDEX($AR$23:$AT$61,,$AI394), INDEX($AU$23:$BA$61,,$AH394), 1 / ($BB$23:$BB$61*CU394), N($AQ$23:$AQ$61&gt;$AO394)),
SUMPRODUCT(INDEX($AR$23:$AT$46,,$AI394), INDEX($AU$23:$BA$46,,$AH394), 1 / ($BC$23:$BC$46*CU394), N($AQ$23:$AQ$46&gt;$AO394))
) / 1000</f>
        <v>0</v>
      </c>
      <c r="CX394" s="230">
        <f t="shared" si="522"/>
        <v>0</v>
      </c>
      <c r="CY394" s="238"/>
    </row>
    <row r="395" spans="1:103" s="76" customFormat="1" ht="14.25" customHeight="1" x14ac:dyDescent="0.2">
      <c r="A395" s="231" t="b">
        <f t="shared" si="488"/>
        <v>0</v>
      </c>
      <c r="B395" s="245">
        <v>373</v>
      </c>
      <c r="C395" s="258"/>
      <c r="D395" s="258"/>
      <c r="E395" s="246"/>
      <c r="F395" s="247" t="str">
        <f>IF(ISBLANK(E395), "", VLOOKUP(E395, Z!$A$2:$C$4127, 3, FALSE))</f>
        <v/>
      </c>
      <c r="G395" s="248"/>
      <c r="H395" s="248"/>
      <c r="I395" s="249"/>
      <c r="J395" s="250"/>
      <c r="K395" s="259"/>
      <c r="L395" s="260"/>
      <c r="M395" s="252" t="str" cm="1">
        <f t="array" ref="M395">INDEX(Trad, 53, $A$20)</f>
        <v>Verschmutzt</v>
      </c>
      <c r="N395" s="253"/>
      <c r="O395" s="253"/>
      <c r="P395" s="254"/>
      <c r="Q395" s="251"/>
      <c r="R395" s="251"/>
      <c r="S395" s="264">
        <f t="shared" si="497"/>
        <v>0</v>
      </c>
      <c r="T395" s="252" t="str" cm="1">
        <f t="array" ref="T395">INDEX(Trad, 52, $A$20)</f>
        <v>Sauber</v>
      </c>
      <c r="U395" s="253"/>
      <c r="V395" s="253"/>
      <c r="W395" s="254"/>
      <c r="X395" s="251"/>
      <c r="Y395" s="251"/>
      <c r="Z395" s="264">
        <f t="shared" si="498"/>
        <v>0</v>
      </c>
      <c r="AA395" s="261"/>
      <c r="AB395" s="258"/>
      <c r="AC395" s="246"/>
      <c r="AD395" s="247" t="str">
        <f>IF(ISBLANK(AC395), "", VLOOKUP(AC395, Z!$A$2:$C$4127, 3, FALSE))</f>
        <v/>
      </c>
      <c r="AE395" s="262"/>
      <c r="AF395" s="263">
        <f t="shared" si="499"/>
        <v>0</v>
      </c>
      <c r="AG395" s="238"/>
      <c r="AH395" s="229">
        <f t="shared" si="523"/>
        <v>1</v>
      </c>
      <c r="AI395" s="229">
        <f t="shared" si="524"/>
        <v>1</v>
      </c>
      <c r="AJ395" s="229">
        <f t="shared" si="525"/>
        <v>0</v>
      </c>
      <c r="AK395" s="229">
        <v>0</v>
      </c>
      <c r="AL395" s="229">
        <v>0</v>
      </c>
      <c r="AM395" s="229">
        <v>1</v>
      </c>
      <c r="AN395" s="229">
        <v>0</v>
      </c>
      <c r="AO395" s="229">
        <f t="shared" si="500"/>
        <v>-100</v>
      </c>
      <c r="AP395" s="238"/>
      <c r="AQ395" s="255"/>
      <c r="AR395" s="255"/>
      <c r="AS395" s="256"/>
      <c r="AT395" s="256"/>
      <c r="AU395" s="256"/>
      <c r="AV395" s="256"/>
      <c r="AW395" s="256"/>
      <c r="AX395" s="256"/>
      <c r="AY395" s="256"/>
      <c r="AZ395" s="256"/>
      <c r="BA395" s="256"/>
      <c r="BB395" s="256"/>
      <c r="BC395" s="256"/>
      <c r="BD395" s="238"/>
      <c r="BE395" s="229" cm="1">
        <f t="array" ref="BE395">IF(ISBLANK(R395), INDEX(Use, $AH395, 4) - AM395*INDEX(Use, $AH395, 6), R395)</f>
        <v>5</v>
      </c>
      <c r="BF395" s="229">
        <f t="shared" si="501"/>
        <v>30</v>
      </c>
      <c r="BG395" s="229">
        <f t="shared" si="489"/>
        <v>13</v>
      </c>
      <c r="BH395" s="229">
        <f t="shared" si="490"/>
        <v>0</v>
      </c>
      <c r="BI395" s="234" cm="1">
        <f t="array" ref="BI395">K395/IF($L395&gt;0, INDEX($AU$23:$BA$77, $L395+20, $AH395), 1)</f>
        <v>0</v>
      </c>
      <c r="BJ395" s="230">
        <f t="shared" si="502"/>
        <v>0</v>
      </c>
      <c r="BK395" s="229">
        <v>35</v>
      </c>
      <c r="BL395" s="230">
        <f t="shared" si="503"/>
        <v>48</v>
      </c>
      <c r="BM395" s="235">
        <f t="shared" si="504"/>
        <v>2.9108720930232557</v>
      </c>
      <c r="BN395" s="235" cm="1">
        <f t="array" ref="BN395">$BI395 * SUMPRODUCT(INDEX($AR$77:$AT$82,,$AI395),INDEX($AU$77:$BA$82,,$AH395), N($AQ$77:$AQ$82&gt;$AO395)) / BM395 / 1000</f>
        <v>0</v>
      </c>
      <c r="BO395" s="232">
        <f t="shared" si="491"/>
        <v>30</v>
      </c>
      <c r="BP395" s="230">
        <f t="shared" si="505"/>
        <v>43</v>
      </c>
      <c r="BQ395" s="235">
        <f t="shared" si="506"/>
        <v>3.2938815789473681</v>
      </c>
      <c r="BR395" s="235" cm="1">
        <f t="array" ref="BR395">$BI395 * IF($AH395&lt;=2,
SUMPRODUCT(INDEX($AR$72:$AT$76,,$AI395), INDEX($AU$72:$BA$76,,$AH395), 1 / ($BB$72:$BB$76*BQ395 + (1-$BB$72:$BB$76)*BM395), N($AQ$72:$AQ$76&gt;$AO395)),
SUMPRODUCT(INDEX($AR$67:$AT$76,,$AI395), INDEX($AU$67:$BA$76,,$AH395), 1 / ($BC$67:$BC$76*BQ395 + (1-$BC$67:$BC$76)*BM395), N($AQ$67:$AQ$76&gt;$AO395))
) / 1000</f>
        <v>0</v>
      </c>
      <c r="BS395" s="232">
        <f t="shared" si="492"/>
        <v>25</v>
      </c>
      <c r="BT395" s="230">
        <f t="shared" si="507"/>
        <v>38</v>
      </c>
      <c r="BU395" s="235">
        <f t="shared" si="508"/>
        <v>3.792954545454545</v>
      </c>
      <c r="BV395" s="235" cm="1">
        <f t="array" ref="BV395">$BI395 * IF($AH395&lt;=2,
SUMPRODUCT(INDEX($AR$67:$AT$71,,$AI395), INDEX($AU$67:$BA$71,,$AH395), 1 / ($BB$67:$BB$71*BU395 + (1-$BB$67:$BB$71)*BQ395), N($AQ$67:$AQ$71&gt;$AO395)),
SUMPRODUCT(INDEX($AR$57:$AT$66,,$AI395), INDEX($AU$57:$BA$66,,$AH395), 1 / ($BC$57:$BC$66*BU395 + (1-$BC$57:$BC$66)*BQ395), N($AQ$57:$AQ$66&gt;$AO395))
) / 1000</f>
        <v>0</v>
      </c>
      <c r="BW395" s="232">
        <f t="shared" si="493"/>
        <v>20</v>
      </c>
      <c r="BX395" s="230">
        <f t="shared" si="509"/>
        <v>33</v>
      </c>
      <c r="BY395" s="235">
        <f t="shared" si="510"/>
        <v>4.4702678571428569</v>
      </c>
      <c r="BZ395" s="235" cm="1">
        <f t="array" ref="BZ395">$BI395 * IF($AH395&lt;=2,
SUMPRODUCT(INDEX($AR$62:$AT$66,,$AI395), INDEX($AU$62:$BA$66,,$AH395), 1 / ($BB$62:$BB$66*BY395 + (1-$BB$62:$BB$66)*BU395), N($AQ$62:$AQ$66&gt;$AO395)),
SUMPRODUCT(INDEX($AR$47:$AT$56,,$AI395), INDEX($AU$47:$BA$56,,$AH395), 1 / ($BC$47:$BC$56*BY395 + (1-$BC$47:$BC$56)*BU395), N($AQ$47:$AQ$56&gt;$AO395))
) / 1000</f>
        <v>0</v>
      </c>
      <c r="CA395" s="235" cm="1">
        <f t="array" ref="CA395">$BI395 * IF($AH395&lt;=2,
SUMPRODUCT(INDEX($AR$23:$AT$61,,$AI395), INDEX($AU$23:$BA$61,,$AH395), 1 / ($BB$23:$BB$61*BY395), N($AQ$23:$AQ$61&gt;$AO395)),
SUMPRODUCT(INDEX($AR$23:$AT$46,,$AI395), INDEX($AU$23:$BA$46,,$AH395), 1 / ($BC$23:$BC$46*BY395), N($AQ$23:$AQ$46&gt;$AO395))
) / 1000</f>
        <v>0</v>
      </c>
      <c r="CB395" s="230">
        <f t="shared" si="511"/>
        <v>0</v>
      </c>
      <c r="CC395" s="238"/>
      <c r="CD395" s="229" cm="1">
        <f t="array" ref="CD395">IF(ISBLANK(Y395), INDEX(Use, $AH395, 4) - AN395*INDEX(Use, $AH395, 6) - (Q395-X395), Y395)</f>
        <v>7</v>
      </c>
      <c r="CE395" s="229">
        <f t="shared" si="512"/>
        <v>32</v>
      </c>
      <c r="CF395" s="230">
        <f t="shared" si="513"/>
        <v>0</v>
      </c>
      <c r="CG395" s="229">
        <v>35</v>
      </c>
      <c r="CH395" s="230">
        <f t="shared" si="514"/>
        <v>48</v>
      </c>
      <c r="CI395" s="235">
        <f t="shared" si="515"/>
        <v>3.0748170731707316</v>
      </c>
      <c r="CJ395" s="235" cm="1">
        <f t="array" ref="CJ395">$BI395 * SUMPRODUCT(INDEX($AR$77:$AT$82,,$AI395),INDEX($AU$77:$BA$82,,$AH395), N($AQ$77:$AQ$82&gt;$AO395)) / CI395 / 1000</f>
        <v>0</v>
      </c>
      <c r="CK395" s="232">
        <f t="shared" si="494"/>
        <v>30</v>
      </c>
      <c r="CL395" s="230">
        <f t="shared" si="516"/>
        <v>43</v>
      </c>
      <c r="CM395" s="235">
        <f t="shared" si="517"/>
        <v>3.5018750000000001</v>
      </c>
      <c r="CN395" s="235" cm="1">
        <f t="array" ref="CN395">$BI395 * IF($AH395&lt;=2,
SUMPRODUCT(INDEX($AR$72:$AT$76,,$AI395), INDEX($AU$72:$BA$76,,$AH395), 1 / ($BB$72:$BB$76*CM395 + (1-$BB$72:$BB$76)*CI395), N($AQ$72:$AQ$76&gt;$AO395)),
SUMPRODUCT(INDEX($AR$67:$AT$76,,$AI395), INDEX($AU$67:$BA$76,,$AH395), 1 / ($BC$67:$BC$76*CM395 + (1-$BC$67:$BC$76)*CI395), N($AQ$67:$AQ$76&gt;$AO395))
) / 1000</f>
        <v>0</v>
      </c>
      <c r="CO395" s="232">
        <f t="shared" si="495"/>
        <v>25</v>
      </c>
      <c r="CP395" s="230">
        <f t="shared" si="518"/>
        <v>38</v>
      </c>
      <c r="CQ395" s="235">
        <f t="shared" si="519"/>
        <v>4.0666935483870965</v>
      </c>
      <c r="CR395" s="235" cm="1">
        <f t="array" ref="CR395">$BI395 * IF($AH395&lt;=2,
SUMPRODUCT(INDEX($AR$67:$AT$71,,$AI395), INDEX($AU$67:$BA$71,,$AH395), 1 / ($BB$67:$BB$71*CQ395 + (1-$BB$67:$BB$71)*CM395), N($AQ$67:$AQ$71&gt;$AO395)),
SUMPRODUCT(INDEX($AR$57:$AT$66,,$AI395), INDEX($AU$57:$BA$66,,$AH395), 1 / ($BC$57:$BC$66*CQ395 + (1-$BC$57:$BC$66)*CM395), N($AQ$57:$AQ$66&gt;$AO395))
) / 1000</f>
        <v>0</v>
      </c>
      <c r="CS395" s="232">
        <f t="shared" si="496"/>
        <v>20</v>
      </c>
      <c r="CT395" s="230">
        <f t="shared" si="520"/>
        <v>33</v>
      </c>
      <c r="CU395" s="235">
        <f t="shared" si="521"/>
        <v>4.8487499999999999</v>
      </c>
      <c r="CV395" s="235" cm="1">
        <f t="array" ref="CV395">$BI395 * IF($AH395&lt;=2,
SUMPRODUCT(INDEX($AR$62:$AT$66,,$AI395), INDEX($AU$62:$BA$66,,$AH395), 1 / ($BB$62:$BB$66*CU395 + (1-$BB$62:$BB$66)*CQ395), N($AQ$62:$AQ$66&gt;$AO395)),
SUMPRODUCT(INDEX($AR$47:$AT$56,,$AI395), INDEX($AU$47:$BA$56,,$AH395), 1 / ($BC$47:$BC$56*CU395 + (1-$BC$47:$BC$56)*CQ395), N($AQ$47:$AQ$56&gt;$AO395))
) / 1000</f>
        <v>0</v>
      </c>
      <c r="CW395" s="235" cm="1">
        <f t="array" ref="CW395">$BI395 * IF($AH395&lt;=2,
SUMPRODUCT(INDEX($AR$23:$AT$61,,$AI395), INDEX($AU$23:$BA$61,,$AH395), 1 / ($BB$23:$BB$61*CU395), N($AQ$23:$AQ$61&gt;$AO395)),
SUMPRODUCT(INDEX($AR$23:$AT$46,,$AI395), INDEX($AU$23:$BA$46,,$AH395), 1 / ($BC$23:$BC$46*CU395), N($AQ$23:$AQ$46&gt;$AO395))
) / 1000</f>
        <v>0</v>
      </c>
      <c r="CX395" s="230">
        <f t="shared" si="522"/>
        <v>0</v>
      </c>
      <c r="CY395" s="238"/>
    </row>
    <row r="396" spans="1:103" s="76" customFormat="1" ht="14.25" customHeight="1" x14ac:dyDescent="0.2">
      <c r="A396" s="231" t="b">
        <f t="shared" si="488"/>
        <v>0</v>
      </c>
      <c r="B396" s="245">
        <v>374</v>
      </c>
      <c r="C396" s="258"/>
      <c r="D396" s="258"/>
      <c r="E396" s="246"/>
      <c r="F396" s="247" t="str">
        <f>IF(ISBLANK(E396), "", VLOOKUP(E396, Z!$A$2:$C$4127, 3, FALSE))</f>
        <v/>
      </c>
      <c r="G396" s="248"/>
      <c r="H396" s="248"/>
      <c r="I396" s="249"/>
      <c r="J396" s="250"/>
      <c r="K396" s="259"/>
      <c r="L396" s="260"/>
      <c r="M396" s="252" t="str" cm="1">
        <f t="array" ref="M396">INDEX(Trad, 53, $A$20)</f>
        <v>Verschmutzt</v>
      </c>
      <c r="N396" s="253"/>
      <c r="O396" s="253"/>
      <c r="P396" s="254"/>
      <c r="Q396" s="251"/>
      <c r="R396" s="251"/>
      <c r="S396" s="264">
        <f t="shared" si="497"/>
        <v>0</v>
      </c>
      <c r="T396" s="252" t="str" cm="1">
        <f t="array" ref="T396">INDEX(Trad, 52, $A$20)</f>
        <v>Sauber</v>
      </c>
      <c r="U396" s="253"/>
      <c r="V396" s="253"/>
      <c r="W396" s="254"/>
      <c r="X396" s="251"/>
      <c r="Y396" s="251"/>
      <c r="Z396" s="264">
        <f t="shared" si="498"/>
        <v>0</v>
      </c>
      <c r="AA396" s="261"/>
      <c r="AB396" s="258"/>
      <c r="AC396" s="246"/>
      <c r="AD396" s="247" t="str">
        <f>IF(ISBLANK(AC396), "", VLOOKUP(AC396, Z!$A$2:$C$4127, 3, FALSE))</f>
        <v/>
      </c>
      <c r="AE396" s="262"/>
      <c r="AF396" s="263">
        <f t="shared" si="499"/>
        <v>0</v>
      </c>
      <c r="AG396" s="238"/>
      <c r="AH396" s="229">
        <f t="shared" si="523"/>
        <v>1</v>
      </c>
      <c r="AI396" s="229">
        <f t="shared" si="524"/>
        <v>1</v>
      </c>
      <c r="AJ396" s="229">
        <f t="shared" si="525"/>
        <v>0</v>
      </c>
      <c r="AK396" s="229">
        <v>0</v>
      </c>
      <c r="AL396" s="229">
        <v>0</v>
      </c>
      <c r="AM396" s="229">
        <v>1</v>
      </c>
      <c r="AN396" s="229">
        <v>0</v>
      </c>
      <c r="AO396" s="229">
        <f t="shared" si="500"/>
        <v>-100</v>
      </c>
      <c r="AP396" s="238"/>
      <c r="AQ396" s="255"/>
      <c r="AR396" s="255"/>
      <c r="AS396" s="256"/>
      <c r="AT396" s="256"/>
      <c r="AU396" s="256"/>
      <c r="AV396" s="256"/>
      <c r="AW396" s="256"/>
      <c r="AX396" s="256"/>
      <c r="AY396" s="256"/>
      <c r="AZ396" s="256"/>
      <c r="BA396" s="256"/>
      <c r="BB396" s="256"/>
      <c r="BC396" s="256"/>
      <c r="BD396" s="238"/>
      <c r="BE396" s="229" cm="1">
        <f t="array" ref="BE396">IF(ISBLANK(R396), INDEX(Use, $AH396, 4) - AM396*INDEX(Use, $AH396, 6), R396)</f>
        <v>5</v>
      </c>
      <c r="BF396" s="229">
        <f t="shared" si="501"/>
        <v>30</v>
      </c>
      <c r="BG396" s="229">
        <f t="shared" si="489"/>
        <v>13</v>
      </c>
      <c r="BH396" s="229">
        <f t="shared" si="490"/>
        <v>0</v>
      </c>
      <c r="BI396" s="234" cm="1">
        <f t="array" ref="BI396">K396/IF($L396&gt;0, INDEX($AU$23:$BA$77, $L396+20, $AH396), 1)</f>
        <v>0</v>
      </c>
      <c r="BJ396" s="230">
        <f t="shared" si="502"/>
        <v>0</v>
      </c>
      <c r="BK396" s="229">
        <v>35</v>
      </c>
      <c r="BL396" s="230">
        <f t="shared" si="503"/>
        <v>48</v>
      </c>
      <c r="BM396" s="235">
        <f t="shared" si="504"/>
        <v>2.9108720930232557</v>
      </c>
      <c r="BN396" s="235" cm="1">
        <f t="array" ref="BN396">$BI396 * SUMPRODUCT(INDEX($AR$77:$AT$82,,$AI396),INDEX($AU$77:$BA$82,,$AH396), N($AQ$77:$AQ$82&gt;$AO396)) / BM396 / 1000</f>
        <v>0</v>
      </c>
      <c r="BO396" s="232">
        <f t="shared" si="491"/>
        <v>30</v>
      </c>
      <c r="BP396" s="230">
        <f t="shared" si="505"/>
        <v>43</v>
      </c>
      <c r="BQ396" s="235">
        <f t="shared" si="506"/>
        <v>3.2938815789473681</v>
      </c>
      <c r="BR396" s="235" cm="1">
        <f t="array" ref="BR396">$BI396 * IF($AH396&lt;=2,
SUMPRODUCT(INDEX($AR$72:$AT$76,,$AI396), INDEX($AU$72:$BA$76,,$AH396), 1 / ($BB$72:$BB$76*BQ396 + (1-$BB$72:$BB$76)*BM396), N($AQ$72:$AQ$76&gt;$AO396)),
SUMPRODUCT(INDEX($AR$67:$AT$76,,$AI396), INDEX($AU$67:$BA$76,,$AH396), 1 / ($BC$67:$BC$76*BQ396 + (1-$BC$67:$BC$76)*BM396), N($AQ$67:$AQ$76&gt;$AO396))
) / 1000</f>
        <v>0</v>
      </c>
      <c r="BS396" s="232">
        <f t="shared" si="492"/>
        <v>25</v>
      </c>
      <c r="BT396" s="230">
        <f t="shared" si="507"/>
        <v>38</v>
      </c>
      <c r="BU396" s="235">
        <f t="shared" si="508"/>
        <v>3.792954545454545</v>
      </c>
      <c r="BV396" s="235" cm="1">
        <f t="array" ref="BV396">$BI396 * IF($AH396&lt;=2,
SUMPRODUCT(INDEX($AR$67:$AT$71,,$AI396), INDEX($AU$67:$BA$71,,$AH396), 1 / ($BB$67:$BB$71*BU396 + (1-$BB$67:$BB$71)*BQ396), N($AQ$67:$AQ$71&gt;$AO396)),
SUMPRODUCT(INDEX($AR$57:$AT$66,,$AI396), INDEX($AU$57:$BA$66,,$AH396), 1 / ($BC$57:$BC$66*BU396 + (1-$BC$57:$BC$66)*BQ396), N($AQ$57:$AQ$66&gt;$AO396))
) / 1000</f>
        <v>0</v>
      </c>
      <c r="BW396" s="232">
        <f t="shared" si="493"/>
        <v>20</v>
      </c>
      <c r="BX396" s="230">
        <f t="shared" si="509"/>
        <v>33</v>
      </c>
      <c r="BY396" s="235">
        <f t="shared" si="510"/>
        <v>4.4702678571428569</v>
      </c>
      <c r="BZ396" s="235" cm="1">
        <f t="array" ref="BZ396">$BI396 * IF($AH396&lt;=2,
SUMPRODUCT(INDEX($AR$62:$AT$66,,$AI396), INDEX($AU$62:$BA$66,,$AH396), 1 / ($BB$62:$BB$66*BY396 + (1-$BB$62:$BB$66)*BU396), N($AQ$62:$AQ$66&gt;$AO396)),
SUMPRODUCT(INDEX($AR$47:$AT$56,,$AI396), INDEX($AU$47:$BA$56,,$AH396), 1 / ($BC$47:$BC$56*BY396 + (1-$BC$47:$BC$56)*BU396), N($AQ$47:$AQ$56&gt;$AO396))
) / 1000</f>
        <v>0</v>
      </c>
      <c r="CA396" s="235" cm="1">
        <f t="array" ref="CA396">$BI396 * IF($AH396&lt;=2,
SUMPRODUCT(INDEX($AR$23:$AT$61,,$AI396), INDEX($AU$23:$BA$61,,$AH396), 1 / ($BB$23:$BB$61*BY396), N($AQ$23:$AQ$61&gt;$AO396)),
SUMPRODUCT(INDEX($AR$23:$AT$46,,$AI396), INDEX($AU$23:$BA$46,,$AH396), 1 / ($BC$23:$BC$46*BY396), N($AQ$23:$AQ$46&gt;$AO396))
) / 1000</f>
        <v>0</v>
      </c>
      <c r="CB396" s="230">
        <f t="shared" si="511"/>
        <v>0</v>
      </c>
      <c r="CC396" s="238"/>
      <c r="CD396" s="229" cm="1">
        <f t="array" ref="CD396">IF(ISBLANK(Y396), INDEX(Use, $AH396, 4) - AN396*INDEX(Use, $AH396, 6) - (Q396-X396), Y396)</f>
        <v>7</v>
      </c>
      <c r="CE396" s="229">
        <f t="shared" si="512"/>
        <v>32</v>
      </c>
      <c r="CF396" s="230">
        <f t="shared" si="513"/>
        <v>0</v>
      </c>
      <c r="CG396" s="229">
        <v>35</v>
      </c>
      <c r="CH396" s="230">
        <f t="shared" si="514"/>
        <v>48</v>
      </c>
      <c r="CI396" s="235">
        <f t="shared" si="515"/>
        <v>3.0748170731707316</v>
      </c>
      <c r="CJ396" s="235" cm="1">
        <f t="array" ref="CJ396">$BI396 * SUMPRODUCT(INDEX($AR$77:$AT$82,,$AI396),INDEX($AU$77:$BA$82,,$AH396), N($AQ$77:$AQ$82&gt;$AO396)) / CI396 / 1000</f>
        <v>0</v>
      </c>
      <c r="CK396" s="232">
        <f t="shared" si="494"/>
        <v>30</v>
      </c>
      <c r="CL396" s="230">
        <f t="shared" si="516"/>
        <v>43</v>
      </c>
      <c r="CM396" s="235">
        <f t="shared" si="517"/>
        <v>3.5018750000000001</v>
      </c>
      <c r="CN396" s="235" cm="1">
        <f t="array" ref="CN396">$BI396 * IF($AH396&lt;=2,
SUMPRODUCT(INDEX($AR$72:$AT$76,,$AI396), INDEX($AU$72:$BA$76,,$AH396), 1 / ($BB$72:$BB$76*CM396 + (1-$BB$72:$BB$76)*CI396), N($AQ$72:$AQ$76&gt;$AO396)),
SUMPRODUCT(INDEX($AR$67:$AT$76,,$AI396), INDEX($AU$67:$BA$76,,$AH396), 1 / ($BC$67:$BC$76*CM396 + (1-$BC$67:$BC$76)*CI396), N($AQ$67:$AQ$76&gt;$AO396))
) / 1000</f>
        <v>0</v>
      </c>
      <c r="CO396" s="232">
        <f t="shared" si="495"/>
        <v>25</v>
      </c>
      <c r="CP396" s="230">
        <f t="shared" si="518"/>
        <v>38</v>
      </c>
      <c r="CQ396" s="235">
        <f t="shared" si="519"/>
        <v>4.0666935483870965</v>
      </c>
      <c r="CR396" s="235" cm="1">
        <f t="array" ref="CR396">$BI396 * IF($AH396&lt;=2,
SUMPRODUCT(INDEX($AR$67:$AT$71,,$AI396), INDEX($AU$67:$BA$71,,$AH396), 1 / ($BB$67:$BB$71*CQ396 + (1-$BB$67:$BB$71)*CM396), N($AQ$67:$AQ$71&gt;$AO396)),
SUMPRODUCT(INDEX($AR$57:$AT$66,,$AI396), INDEX($AU$57:$BA$66,,$AH396), 1 / ($BC$57:$BC$66*CQ396 + (1-$BC$57:$BC$66)*CM396), N($AQ$57:$AQ$66&gt;$AO396))
) / 1000</f>
        <v>0</v>
      </c>
      <c r="CS396" s="232">
        <f t="shared" si="496"/>
        <v>20</v>
      </c>
      <c r="CT396" s="230">
        <f t="shared" si="520"/>
        <v>33</v>
      </c>
      <c r="CU396" s="235">
        <f t="shared" si="521"/>
        <v>4.8487499999999999</v>
      </c>
      <c r="CV396" s="235" cm="1">
        <f t="array" ref="CV396">$BI396 * IF($AH396&lt;=2,
SUMPRODUCT(INDEX($AR$62:$AT$66,,$AI396), INDEX($AU$62:$BA$66,,$AH396), 1 / ($BB$62:$BB$66*CU396 + (1-$BB$62:$BB$66)*CQ396), N($AQ$62:$AQ$66&gt;$AO396)),
SUMPRODUCT(INDEX($AR$47:$AT$56,,$AI396), INDEX($AU$47:$BA$56,,$AH396), 1 / ($BC$47:$BC$56*CU396 + (1-$BC$47:$BC$56)*CQ396), N($AQ$47:$AQ$56&gt;$AO396))
) / 1000</f>
        <v>0</v>
      </c>
      <c r="CW396" s="235" cm="1">
        <f t="array" ref="CW396">$BI396 * IF($AH396&lt;=2,
SUMPRODUCT(INDEX($AR$23:$AT$61,,$AI396), INDEX($AU$23:$BA$61,,$AH396), 1 / ($BB$23:$BB$61*CU396), N($AQ$23:$AQ$61&gt;$AO396)),
SUMPRODUCT(INDEX($AR$23:$AT$46,,$AI396), INDEX($AU$23:$BA$46,,$AH396), 1 / ($BC$23:$BC$46*CU396), N($AQ$23:$AQ$46&gt;$AO396))
) / 1000</f>
        <v>0</v>
      </c>
      <c r="CX396" s="230">
        <f t="shared" si="522"/>
        <v>0</v>
      </c>
      <c r="CY396" s="238"/>
    </row>
    <row r="397" spans="1:103" s="76" customFormat="1" ht="14.25" customHeight="1" x14ac:dyDescent="0.2">
      <c r="A397" s="231" t="b">
        <f t="shared" si="488"/>
        <v>0</v>
      </c>
      <c r="B397" s="245">
        <v>375</v>
      </c>
      <c r="C397" s="258"/>
      <c r="D397" s="258"/>
      <c r="E397" s="246"/>
      <c r="F397" s="247" t="str">
        <f>IF(ISBLANK(E397), "", VLOOKUP(E397, Z!$A$2:$C$4127, 3, FALSE))</f>
        <v/>
      </c>
      <c r="G397" s="248"/>
      <c r="H397" s="248"/>
      <c r="I397" s="249"/>
      <c r="J397" s="250"/>
      <c r="K397" s="259"/>
      <c r="L397" s="260"/>
      <c r="M397" s="252" t="str" cm="1">
        <f t="array" ref="M397">INDEX(Trad, 53, $A$20)</f>
        <v>Verschmutzt</v>
      </c>
      <c r="N397" s="253"/>
      <c r="O397" s="253"/>
      <c r="P397" s="254"/>
      <c r="Q397" s="251"/>
      <c r="R397" s="251"/>
      <c r="S397" s="264">
        <f t="shared" si="497"/>
        <v>0</v>
      </c>
      <c r="T397" s="252" t="str" cm="1">
        <f t="array" ref="T397">INDEX(Trad, 52, $A$20)</f>
        <v>Sauber</v>
      </c>
      <c r="U397" s="253"/>
      <c r="V397" s="253"/>
      <c r="W397" s="254"/>
      <c r="X397" s="251"/>
      <c r="Y397" s="251"/>
      <c r="Z397" s="264">
        <f t="shared" si="498"/>
        <v>0</v>
      </c>
      <c r="AA397" s="261"/>
      <c r="AB397" s="258"/>
      <c r="AC397" s="246"/>
      <c r="AD397" s="247" t="str">
        <f>IF(ISBLANK(AC397), "", VLOOKUP(AC397, Z!$A$2:$C$4127, 3, FALSE))</f>
        <v/>
      </c>
      <c r="AE397" s="262"/>
      <c r="AF397" s="263">
        <f t="shared" si="499"/>
        <v>0</v>
      </c>
      <c r="AG397" s="238"/>
      <c r="AH397" s="229">
        <f t="shared" si="523"/>
        <v>1</v>
      </c>
      <c r="AI397" s="229">
        <f t="shared" si="524"/>
        <v>1</v>
      </c>
      <c r="AJ397" s="229">
        <f t="shared" si="525"/>
        <v>0</v>
      </c>
      <c r="AK397" s="229">
        <v>0</v>
      </c>
      <c r="AL397" s="229">
        <v>0</v>
      </c>
      <c r="AM397" s="229">
        <v>1</v>
      </c>
      <c r="AN397" s="229">
        <v>0</v>
      </c>
      <c r="AO397" s="229">
        <f t="shared" si="500"/>
        <v>-100</v>
      </c>
      <c r="AP397" s="238"/>
      <c r="AQ397" s="255"/>
      <c r="AR397" s="255"/>
      <c r="AS397" s="256"/>
      <c r="AT397" s="256"/>
      <c r="AU397" s="256"/>
      <c r="AV397" s="256"/>
      <c r="AW397" s="256"/>
      <c r="AX397" s="256"/>
      <c r="AY397" s="256"/>
      <c r="AZ397" s="256"/>
      <c r="BA397" s="256"/>
      <c r="BB397" s="256"/>
      <c r="BC397" s="256"/>
      <c r="BD397" s="238"/>
      <c r="BE397" s="229" cm="1">
        <f t="array" ref="BE397">IF(ISBLANK(R397), INDEX(Use, $AH397, 4) - AM397*INDEX(Use, $AH397, 6), R397)</f>
        <v>5</v>
      </c>
      <c r="BF397" s="229">
        <f t="shared" si="501"/>
        <v>30</v>
      </c>
      <c r="BG397" s="229">
        <f t="shared" si="489"/>
        <v>13</v>
      </c>
      <c r="BH397" s="229">
        <f t="shared" si="490"/>
        <v>0</v>
      </c>
      <c r="BI397" s="234" cm="1">
        <f t="array" ref="BI397">K397/IF($L397&gt;0, INDEX($AU$23:$BA$77, $L397+20, $AH397), 1)</f>
        <v>0</v>
      </c>
      <c r="BJ397" s="230">
        <f t="shared" si="502"/>
        <v>0</v>
      </c>
      <c r="BK397" s="229">
        <v>35</v>
      </c>
      <c r="BL397" s="230">
        <f t="shared" si="503"/>
        <v>48</v>
      </c>
      <c r="BM397" s="235">
        <f t="shared" si="504"/>
        <v>2.9108720930232557</v>
      </c>
      <c r="BN397" s="235" cm="1">
        <f t="array" ref="BN397">$BI397 * SUMPRODUCT(INDEX($AR$77:$AT$82,,$AI397),INDEX($AU$77:$BA$82,,$AH397), N($AQ$77:$AQ$82&gt;$AO397)) / BM397 / 1000</f>
        <v>0</v>
      </c>
      <c r="BO397" s="232">
        <f t="shared" si="491"/>
        <v>30</v>
      </c>
      <c r="BP397" s="230">
        <f t="shared" si="505"/>
        <v>43</v>
      </c>
      <c r="BQ397" s="235">
        <f t="shared" si="506"/>
        <v>3.2938815789473681</v>
      </c>
      <c r="BR397" s="235" cm="1">
        <f t="array" ref="BR397">$BI397 * IF($AH397&lt;=2,
SUMPRODUCT(INDEX($AR$72:$AT$76,,$AI397), INDEX($AU$72:$BA$76,,$AH397), 1 / ($BB$72:$BB$76*BQ397 + (1-$BB$72:$BB$76)*BM397), N($AQ$72:$AQ$76&gt;$AO397)),
SUMPRODUCT(INDEX($AR$67:$AT$76,,$AI397), INDEX($AU$67:$BA$76,,$AH397), 1 / ($BC$67:$BC$76*BQ397 + (1-$BC$67:$BC$76)*BM397), N($AQ$67:$AQ$76&gt;$AO397))
) / 1000</f>
        <v>0</v>
      </c>
      <c r="BS397" s="232">
        <f t="shared" si="492"/>
        <v>25</v>
      </c>
      <c r="BT397" s="230">
        <f t="shared" si="507"/>
        <v>38</v>
      </c>
      <c r="BU397" s="235">
        <f t="shared" si="508"/>
        <v>3.792954545454545</v>
      </c>
      <c r="BV397" s="235" cm="1">
        <f t="array" ref="BV397">$BI397 * IF($AH397&lt;=2,
SUMPRODUCT(INDEX($AR$67:$AT$71,,$AI397), INDEX($AU$67:$BA$71,,$AH397), 1 / ($BB$67:$BB$71*BU397 + (1-$BB$67:$BB$71)*BQ397), N($AQ$67:$AQ$71&gt;$AO397)),
SUMPRODUCT(INDEX($AR$57:$AT$66,,$AI397), INDEX($AU$57:$BA$66,,$AH397), 1 / ($BC$57:$BC$66*BU397 + (1-$BC$57:$BC$66)*BQ397), N($AQ$57:$AQ$66&gt;$AO397))
) / 1000</f>
        <v>0</v>
      </c>
      <c r="BW397" s="232">
        <f t="shared" si="493"/>
        <v>20</v>
      </c>
      <c r="BX397" s="230">
        <f t="shared" si="509"/>
        <v>33</v>
      </c>
      <c r="BY397" s="235">
        <f t="shared" si="510"/>
        <v>4.4702678571428569</v>
      </c>
      <c r="BZ397" s="235" cm="1">
        <f t="array" ref="BZ397">$BI397 * IF($AH397&lt;=2,
SUMPRODUCT(INDEX($AR$62:$AT$66,,$AI397), INDEX($AU$62:$BA$66,,$AH397), 1 / ($BB$62:$BB$66*BY397 + (1-$BB$62:$BB$66)*BU397), N($AQ$62:$AQ$66&gt;$AO397)),
SUMPRODUCT(INDEX($AR$47:$AT$56,,$AI397), INDEX($AU$47:$BA$56,,$AH397), 1 / ($BC$47:$BC$56*BY397 + (1-$BC$47:$BC$56)*BU397), N($AQ$47:$AQ$56&gt;$AO397))
) / 1000</f>
        <v>0</v>
      </c>
      <c r="CA397" s="235" cm="1">
        <f t="array" ref="CA397">$BI397 * IF($AH397&lt;=2,
SUMPRODUCT(INDEX($AR$23:$AT$61,,$AI397), INDEX($AU$23:$BA$61,,$AH397), 1 / ($BB$23:$BB$61*BY397), N($AQ$23:$AQ$61&gt;$AO397)),
SUMPRODUCT(INDEX($AR$23:$AT$46,,$AI397), INDEX($AU$23:$BA$46,,$AH397), 1 / ($BC$23:$BC$46*BY397), N($AQ$23:$AQ$46&gt;$AO397))
) / 1000</f>
        <v>0</v>
      </c>
      <c r="CB397" s="230">
        <f t="shared" si="511"/>
        <v>0</v>
      </c>
      <c r="CC397" s="238"/>
      <c r="CD397" s="229" cm="1">
        <f t="array" ref="CD397">IF(ISBLANK(Y397), INDEX(Use, $AH397, 4) - AN397*INDEX(Use, $AH397, 6) - (Q397-X397), Y397)</f>
        <v>7</v>
      </c>
      <c r="CE397" s="229">
        <f t="shared" si="512"/>
        <v>32</v>
      </c>
      <c r="CF397" s="230">
        <f t="shared" si="513"/>
        <v>0</v>
      </c>
      <c r="CG397" s="229">
        <v>35</v>
      </c>
      <c r="CH397" s="230">
        <f t="shared" si="514"/>
        <v>48</v>
      </c>
      <c r="CI397" s="235">
        <f t="shared" si="515"/>
        <v>3.0748170731707316</v>
      </c>
      <c r="CJ397" s="235" cm="1">
        <f t="array" ref="CJ397">$BI397 * SUMPRODUCT(INDEX($AR$77:$AT$82,,$AI397),INDEX($AU$77:$BA$82,,$AH397), N($AQ$77:$AQ$82&gt;$AO397)) / CI397 / 1000</f>
        <v>0</v>
      </c>
      <c r="CK397" s="232">
        <f t="shared" si="494"/>
        <v>30</v>
      </c>
      <c r="CL397" s="230">
        <f t="shared" si="516"/>
        <v>43</v>
      </c>
      <c r="CM397" s="235">
        <f t="shared" si="517"/>
        <v>3.5018750000000001</v>
      </c>
      <c r="CN397" s="235" cm="1">
        <f t="array" ref="CN397">$BI397 * IF($AH397&lt;=2,
SUMPRODUCT(INDEX($AR$72:$AT$76,,$AI397), INDEX($AU$72:$BA$76,,$AH397), 1 / ($BB$72:$BB$76*CM397 + (1-$BB$72:$BB$76)*CI397), N($AQ$72:$AQ$76&gt;$AO397)),
SUMPRODUCT(INDEX($AR$67:$AT$76,,$AI397), INDEX($AU$67:$BA$76,,$AH397), 1 / ($BC$67:$BC$76*CM397 + (1-$BC$67:$BC$76)*CI397), N($AQ$67:$AQ$76&gt;$AO397))
) / 1000</f>
        <v>0</v>
      </c>
      <c r="CO397" s="232">
        <f t="shared" si="495"/>
        <v>25</v>
      </c>
      <c r="CP397" s="230">
        <f t="shared" si="518"/>
        <v>38</v>
      </c>
      <c r="CQ397" s="235">
        <f t="shared" si="519"/>
        <v>4.0666935483870965</v>
      </c>
      <c r="CR397" s="235" cm="1">
        <f t="array" ref="CR397">$BI397 * IF($AH397&lt;=2,
SUMPRODUCT(INDEX($AR$67:$AT$71,,$AI397), INDEX($AU$67:$BA$71,,$AH397), 1 / ($BB$67:$BB$71*CQ397 + (1-$BB$67:$BB$71)*CM397), N($AQ$67:$AQ$71&gt;$AO397)),
SUMPRODUCT(INDEX($AR$57:$AT$66,,$AI397), INDEX($AU$57:$BA$66,,$AH397), 1 / ($BC$57:$BC$66*CQ397 + (1-$BC$57:$BC$66)*CM397), N($AQ$57:$AQ$66&gt;$AO397))
) / 1000</f>
        <v>0</v>
      </c>
      <c r="CS397" s="232">
        <f t="shared" si="496"/>
        <v>20</v>
      </c>
      <c r="CT397" s="230">
        <f t="shared" si="520"/>
        <v>33</v>
      </c>
      <c r="CU397" s="235">
        <f t="shared" si="521"/>
        <v>4.8487499999999999</v>
      </c>
      <c r="CV397" s="235" cm="1">
        <f t="array" ref="CV397">$BI397 * IF($AH397&lt;=2,
SUMPRODUCT(INDEX($AR$62:$AT$66,,$AI397), INDEX($AU$62:$BA$66,,$AH397), 1 / ($BB$62:$BB$66*CU397 + (1-$BB$62:$BB$66)*CQ397), N($AQ$62:$AQ$66&gt;$AO397)),
SUMPRODUCT(INDEX($AR$47:$AT$56,,$AI397), INDEX($AU$47:$BA$56,,$AH397), 1 / ($BC$47:$BC$56*CU397 + (1-$BC$47:$BC$56)*CQ397), N($AQ$47:$AQ$56&gt;$AO397))
) / 1000</f>
        <v>0</v>
      </c>
      <c r="CW397" s="235" cm="1">
        <f t="array" ref="CW397">$BI397 * IF($AH397&lt;=2,
SUMPRODUCT(INDEX($AR$23:$AT$61,,$AI397), INDEX($AU$23:$BA$61,,$AH397), 1 / ($BB$23:$BB$61*CU397), N($AQ$23:$AQ$61&gt;$AO397)),
SUMPRODUCT(INDEX($AR$23:$AT$46,,$AI397), INDEX($AU$23:$BA$46,,$AH397), 1 / ($BC$23:$BC$46*CU397), N($AQ$23:$AQ$46&gt;$AO397))
) / 1000</f>
        <v>0</v>
      </c>
      <c r="CX397" s="230">
        <f t="shared" si="522"/>
        <v>0</v>
      </c>
      <c r="CY397" s="238"/>
    </row>
    <row r="398" spans="1:103" s="76" customFormat="1" ht="14.25" customHeight="1" x14ac:dyDescent="0.2">
      <c r="A398" s="231" t="b">
        <f t="shared" si="488"/>
        <v>0</v>
      </c>
      <c r="B398" s="245">
        <v>376</v>
      </c>
      <c r="C398" s="258"/>
      <c r="D398" s="258"/>
      <c r="E398" s="246"/>
      <c r="F398" s="247" t="str">
        <f>IF(ISBLANK(E398), "", VLOOKUP(E398, Z!$A$2:$C$4127, 3, FALSE))</f>
        <v/>
      </c>
      <c r="G398" s="248"/>
      <c r="H398" s="248"/>
      <c r="I398" s="249"/>
      <c r="J398" s="250"/>
      <c r="K398" s="259"/>
      <c r="L398" s="260"/>
      <c r="M398" s="252" t="str" cm="1">
        <f t="array" ref="M398">INDEX(Trad, 53, $A$20)</f>
        <v>Verschmutzt</v>
      </c>
      <c r="N398" s="253"/>
      <c r="O398" s="253"/>
      <c r="P398" s="254"/>
      <c r="Q398" s="251"/>
      <c r="R398" s="251"/>
      <c r="S398" s="264">
        <f t="shared" si="497"/>
        <v>0</v>
      </c>
      <c r="T398" s="252" t="str" cm="1">
        <f t="array" ref="T398">INDEX(Trad, 52, $A$20)</f>
        <v>Sauber</v>
      </c>
      <c r="U398" s="253"/>
      <c r="V398" s="253"/>
      <c r="W398" s="254"/>
      <c r="X398" s="251"/>
      <c r="Y398" s="251"/>
      <c r="Z398" s="264">
        <f t="shared" si="498"/>
        <v>0</v>
      </c>
      <c r="AA398" s="261"/>
      <c r="AB398" s="258"/>
      <c r="AC398" s="246"/>
      <c r="AD398" s="247" t="str">
        <f>IF(ISBLANK(AC398), "", VLOOKUP(AC398, Z!$A$2:$C$4127, 3, FALSE))</f>
        <v/>
      </c>
      <c r="AE398" s="262"/>
      <c r="AF398" s="263">
        <f t="shared" si="499"/>
        <v>0</v>
      </c>
      <c r="AG398" s="238"/>
      <c r="AH398" s="229">
        <f t="shared" si="523"/>
        <v>1</v>
      </c>
      <c r="AI398" s="229">
        <f t="shared" si="524"/>
        <v>1</v>
      </c>
      <c r="AJ398" s="229">
        <f t="shared" si="525"/>
        <v>0</v>
      </c>
      <c r="AK398" s="229">
        <v>0</v>
      </c>
      <c r="AL398" s="229">
        <v>0</v>
      </c>
      <c r="AM398" s="229">
        <v>1</v>
      </c>
      <c r="AN398" s="229">
        <v>0</v>
      </c>
      <c r="AO398" s="229">
        <f t="shared" si="500"/>
        <v>-100</v>
      </c>
      <c r="AP398" s="238"/>
      <c r="AQ398" s="255"/>
      <c r="AR398" s="255"/>
      <c r="AS398" s="256"/>
      <c r="AT398" s="256"/>
      <c r="AU398" s="256"/>
      <c r="AV398" s="256"/>
      <c r="AW398" s="256"/>
      <c r="AX398" s="256"/>
      <c r="AY398" s="256"/>
      <c r="AZ398" s="256"/>
      <c r="BA398" s="256"/>
      <c r="BB398" s="256"/>
      <c r="BC398" s="256"/>
      <c r="BD398" s="238"/>
      <c r="BE398" s="229" cm="1">
        <f t="array" ref="BE398">IF(ISBLANK(R398), INDEX(Use, $AH398, 4) - AM398*INDEX(Use, $AH398, 6), R398)</f>
        <v>5</v>
      </c>
      <c r="BF398" s="229">
        <f t="shared" si="501"/>
        <v>30</v>
      </c>
      <c r="BG398" s="229">
        <f t="shared" si="489"/>
        <v>13</v>
      </c>
      <c r="BH398" s="229">
        <f t="shared" si="490"/>
        <v>0</v>
      </c>
      <c r="BI398" s="234" cm="1">
        <f t="array" ref="BI398">K398/IF($L398&gt;0, INDEX($AU$23:$BA$77, $L398+20, $AH398), 1)</f>
        <v>0</v>
      </c>
      <c r="BJ398" s="230">
        <f t="shared" si="502"/>
        <v>0</v>
      </c>
      <c r="BK398" s="229">
        <v>35</v>
      </c>
      <c r="BL398" s="230">
        <f t="shared" si="503"/>
        <v>48</v>
      </c>
      <c r="BM398" s="235">
        <f t="shared" si="504"/>
        <v>2.9108720930232557</v>
      </c>
      <c r="BN398" s="235" cm="1">
        <f t="array" ref="BN398">$BI398 * SUMPRODUCT(INDEX($AR$77:$AT$82,,$AI398),INDEX($AU$77:$BA$82,,$AH398), N($AQ$77:$AQ$82&gt;$AO398)) / BM398 / 1000</f>
        <v>0</v>
      </c>
      <c r="BO398" s="232">
        <f t="shared" si="491"/>
        <v>30</v>
      </c>
      <c r="BP398" s="230">
        <f t="shared" si="505"/>
        <v>43</v>
      </c>
      <c r="BQ398" s="235">
        <f t="shared" si="506"/>
        <v>3.2938815789473681</v>
      </c>
      <c r="BR398" s="235" cm="1">
        <f t="array" ref="BR398">$BI398 * IF($AH398&lt;=2,
SUMPRODUCT(INDEX($AR$72:$AT$76,,$AI398), INDEX($AU$72:$BA$76,,$AH398), 1 / ($BB$72:$BB$76*BQ398 + (1-$BB$72:$BB$76)*BM398), N($AQ$72:$AQ$76&gt;$AO398)),
SUMPRODUCT(INDEX($AR$67:$AT$76,,$AI398), INDEX($AU$67:$BA$76,,$AH398), 1 / ($BC$67:$BC$76*BQ398 + (1-$BC$67:$BC$76)*BM398), N($AQ$67:$AQ$76&gt;$AO398))
) / 1000</f>
        <v>0</v>
      </c>
      <c r="BS398" s="232">
        <f t="shared" si="492"/>
        <v>25</v>
      </c>
      <c r="BT398" s="230">
        <f t="shared" si="507"/>
        <v>38</v>
      </c>
      <c r="BU398" s="235">
        <f t="shared" si="508"/>
        <v>3.792954545454545</v>
      </c>
      <c r="BV398" s="235" cm="1">
        <f t="array" ref="BV398">$BI398 * IF($AH398&lt;=2,
SUMPRODUCT(INDEX($AR$67:$AT$71,,$AI398), INDEX($AU$67:$BA$71,,$AH398), 1 / ($BB$67:$BB$71*BU398 + (1-$BB$67:$BB$71)*BQ398), N($AQ$67:$AQ$71&gt;$AO398)),
SUMPRODUCT(INDEX($AR$57:$AT$66,,$AI398), INDEX($AU$57:$BA$66,,$AH398), 1 / ($BC$57:$BC$66*BU398 + (1-$BC$57:$BC$66)*BQ398), N($AQ$57:$AQ$66&gt;$AO398))
) / 1000</f>
        <v>0</v>
      </c>
      <c r="BW398" s="232">
        <f t="shared" si="493"/>
        <v>20</v>
      </c>
      <c r="BX398" s="230">
        <f t="shared" si="509"/>
        <v>33</v>
      </c>
      <c r="BY398" s="235">
        <f t="shared" si="510"/>
        <v>4.4702678571428569</v>
      </c>
      <c r="BZ398" s="235" cm="1">
        <f t="array" ref="BZ398">$BI398 * IF($AH398&lt;=2,
SUMPRODUCT(INDEX($AR$62:$AT$66,,$AI398), INDEX($AU$62:$BA$66,,$AH398), 1 / ($BB$62:$BB$66*BY398 + (1-$BB$62:$BB$66)*BU398), N($AQ$62:$AQ$66&gt;$AO398)),
SUMPRODUCT(INDEX($AR$47:$AT$56,,$AI398), INDEX($AU$47:$BA$56,,$AH398), 1 / ($BC$47:$BC$56*BY398 + (1-$BC$47:$BC$56)*BU398), N($AQ$47:$AQ$56&gt;$AO398))
) / 1000</f>
        <v>0</v>
      </c>
      <c r="CA398" s="235" cm="1">
        <f t="array" ref="CA398">$BI398 * IF($AH398&lt;=2,
SUMPRODUCT(INDEX($AR$23:$AT$61,,$AI398), INDEX($AU$23:$BA$61,,$AH398), 1 / ($BB$23:$BB$61*BY398), N($AQ$23:$AQ$61&gt;$AO398)),
SUMPRODUCT(INDEX($AR$23:$AT$46,,$AI398), INDEX($AU$23:$BA$46,,$AH398), 1 / ($BC$23:$BC$46*BY398), N($AQ$23:$AQ$46&gt;$AO398))
) / 1000</f>
        <v>0</v>
      </c>
      <c r="CB398" s="230">
        <f t="shared" si="511"/>
        <v>0</v>
      </c>
      <c r="CC398" s="238"/>
      <c r="CD398" s="229" cm="1">
        <f t="array" ref="CD398">IF(ISBLANK(Y398), INDEX(Use, $AH398, 4) - AN398*INDEX(Use, $AH398, 6) - (Q398-X398), Y398)</f>
        <v>7</v>
      </c>
      <c r="CE398" s="229">
        <f t="shared" si="512"/>
        <v>32</v>
      </c>
      <c r="CF398" s="230">
        <f t="shared" si="513"/>
        <v>0</v>
      </c>
      <c r="CG398" s="229">
        <v>35</v>
      </c>
      <c r="CH398" s="230">
        <f t="shared" si="514"/>
        <v>48</v>
      </c>
      <c r="CI398" s="235">
        <f t="shared" si="515"/>
        <v>3.0748170731707316</v>
      </c>
      <c r="CJ398" s="235" cm="1">
        <f t="array" ref="CJ398">$BI398 * SUMPRODUCT(INDEX($AR$77:$AT$82,,$AI398),INDEX($AU$77:$BA$82,,$AH398), N($AQ$77:$AQ$82&gt;$AO398)) / CI398 / 1000</f>
        <v>0</v>
      </c>
      <c r="CK398" s="232">
        <f t="shared" si="494"/>
        <v>30</v>
      </c>
      <c r="CL398" s="230">
        <f t="shared" si="516"/>
        <v>43</v>
      </c>
      <c r="CM398" s="235">
        <f t="shared" si="517"/>
        <v>3.5018750000000001</v>
      </c>
      <c r="CN398" s="235" cm="1">
        <f t="array" ref="CN398">$BI398 * IF($AH398&lt;=2,
SUMPRODUCT(INDEX($AR$72:$AT$76,,$AI398), INDEX($AU$72:$BA$76,,$AH398), 1 / ($BB$72:$BB$76*CM398 + (1-$BB$72:$BB$76)*CI398), N($AQ$72:$AQ$76&gt;$AO398)),
SUMPRODUCT(INDEX($AR$67:$AT$76,,$AI398), INDEX($AU$67:$BA$76,,$AH398), 1 / ($BC$67:$BC$76*CM398 + (1-$BC$67:$BC$76)*CI398), N($AQ$67:$AQ$76&gt;$AO398))
) / 1000</f>
        <v>0</v>
      </c>
      <c r="CO398" s="232">
        <f t="shared" si="495"/>
        <v>25</v>
      </c>
      <c r="CP398" s="230">
        <f t="shared" si="518"/>
        <v>38</v>
      </c>
      <c r="CQ398" s="235">
        <f t="shared" si="519"/>
        <v>4.0666935483870965</v>
      </c>
      <c r="CR398" s="235" cm="1">
        <f t="array" ref="CR398">$BI398 * IF($AH398&lt;=2,
SUMPRODUCT(INDEX($AR$67:$AT$71,,$AI398), INDEX($AU$67:$BA$71,,$AH398), 1 / ($BB$67:$BB$71*CQ398 + (1-$BB$67:$BB$71)*CM398), N($AQ$67:$AQ$71&gt;$AO398)),
SUMPRODUCT(INDEX($AR$57:$AT$66,,$AI398), INDEX($AU$57:$BA$66,,$AH398), 1 / ($BC$57:$BC$66*CQ398 + (1-$BC$57:$BC$66)*CM398), N($AQ$57:$AQ$66&gt;$AO398))
) / 1000</f>
        <v>0</v>
      </c>
      <c r="CS398" s="232">
        <f t="shared" si="496"/>
        <v>20</v>
      </c>
      <c r="CT398" s="230">
        <f t="shared" si="520"/>
        <v>33</v>
      </c>
      <c r="CU398" s="235">
        <f t="shared" si="521"/>
        <v>4.8487499999999999</v>
      </c>
      <c r="CV398" s="235" cm="1">
        <f t="array" ref="CV398">$BI398 * IF($AH398&lt;=2,
SUMPRODUCT(INDEX($AR$62:$AT$66,,$AI398), INDEX($AU$62:$BA$66,,$AH398), 1 / ($BB$62:$BB$66*CU398 + (1-$BB$62:$BB$66)*CQ398), N($AQ$62:$AQ$66&gt;$AO398)),
SUMPRODUCT(INDEX($AR$47:$AT$56,,$AI398), INDEX($AU$47:$BA$56,,$AH398), 1 / ($BC$47:$BC$56*CU398 + (1-$BC$47:$BC$56)*CQ398), N($AQ$47:$AQ$56&gt;$AO398))
) / 1000</f>
        <v>0</v>
      </c>
      <c r="CW398" s="235" cm="1">
        <f t="array" ref="CW398">$BI398 * IF($AH398&lt;=2,
SUMPRODUCT(INDEX($AR$23:$AT$61,,$AI398), INDEX($AU$23:$BA$61,,$AH398), 1 / ($BB$23:$BB$61*CU398), N($AQ$23:$AQ$61&gt;$AO398)),
SUMPRODUCT(INDEX($AR$23:$AT$46,,$AI398), INDEX($AU$23:$BA$46,,$AH398), 1 / ($BC$23:$BC$46*CU398), N($AQ$23:$AQ$46&gt;$AO398))
) / 1000</f>
        <v>0</v>
      </c>
      <c r="CX398" s="230">
        <f t="shared" si="522"/>
        <v>0</v>
      </c>
      <c r="CY398" s="238"/>
    </row>
    <row r="399" spans="1:103" s="76" customFormat="1" ht="14.25" customHeight="1" x14ac:dyDescent="0.2">
      <c r="A399" s="231" t="b">
        <f t="shared" si="488"/>
        <v>0</v>
      </c>
      <c r="B399" s="245">
        <v>377</v>
      </c>
      <c r="C399" s="258"/>
      <c r="D399" s="258"/>
      <c r="E399" s="246"/>
      <c r="F399" s="247" t="str">
        <f>IF(ISBLANK(E399), "", VLOOKUP(E399, Z!$A$2:$C$4127, 3, FALSE))</f>
        <v/>
      </c>
      <c r="G399" s="248"/>
      <c r="H399" s="248"/>
      <c r="I399" s="249"/>
      <c r="J399" s="250"/>
      <c r="K399" s="259"/>
      <c r="L399" s="260"/>
      <c r="M399" s="252" t="str" cm="1">
        <f t="array" ref="M399">INDEX(Trad, 53, $A$20)</f>
        <v>Verschmutzt</v>
      </c>
      <c r="N399" s="253"/>
      <c r="O399" s="253"/>
      <c r="P399" s="254"/>
      <c r="Q399" s="251"/>
      <c r="R399" s="251"/>
      <c r="S399" s="264">
        <f t="shared" si="497"/>
        <v>0</v>
      </c>
      <c r="T399" s="252" t="str" cm="1">
        <f t="array" ref="T399">INDEX(Trad, 52, $A$20)</f>
        <v>Sauber</v>
      </c>
      <c r="U399" s="253"/>
      <c r="V399" s="253"/>
      <c r="W399" s="254"/>
      <c r="X399" s="251"/>
      <c r="Y399" s="251"/>
      <c r="Z399" s="264">
        <f t="shared" si="498"/>
        <v>0</v>
      </c>
      <c r="AA399" s="261"/>
      <c r="AB399" s="258"/>
      <c r="AC399" s="246"/>
      <c r="AD399" s="247" t="str">
        <f>IF(ISBLANK(AC399), "", VLOOKUP(AC399, Z!$A$2:$C$4127, 3, FALSE))</f>
        <v/>
      </c>
      <c r="AE399" s="262"/>
      <c r="AF399" s="263">
        <f t="shared" si="499"/>
        <v>0</v>
      </c>
      <c r="AG399" s="238"/>
      <c r="AH399" s="229">
        <f t="shared" si="523"/>
        <v>1</v>
      </c>
      <c r="AI399" s="229">
        <f t="shared" si="524"/>
        <v>1</v>
      </c>
      <c r="AJ399" s="229">
        <f t="shared" si="525"/>
        <v>0</v>
      </c>
      <c r="AK399" s="229">
        <v>0</v>
      </c>
      <c r="AL399" s="229">
        <v>0</v>
      </c>
      <c r="AM399" s="229">
        <v>1</v>
      </c>
      <c r="AN399" s="229">
        <v>0</v>
      </c>
      <c r="AO399" s="229">
        <f t="shared" si="500"/>
        <v>-100</v>
      </c>
      <c r="AP399" s="238"/>
      <c r="AQ399" s="255"/>
      <c r="AR399" s="255"/>
      <c r="AS399" s="256"/>
      <c r="AT399" s="256"/>
      <c r="AU399" s="256"/>
      <c r="AV399" s="256"/>
      <c r="AW399" s="256"/>
      <c r="AX399" s="256"/>
      <c r="AY399" s="256"/>
      <c r="AZ399" s="256"/>
      <c r="BA399" s="256"/>
      <c r="BB399" s="256"/>
      <c r="BC399" s="256"/>
      <c r="BD399" s="238"/>
      <c r="BE399" s="229" cm="1">
        <f t="array" ref="BE399">IF(ISBLANK(R399), INDEX(Use, $AH399, 4) - AM399*INDEX(Use, $AH399, 6), R399)</f>
        <v>5</v>
      </c>
      <c r="BF399" s="229">
        <f t="shared" si="501"/>
        <v>30</v>
      </c>
      <c r="BG399" s="229">
        <f t="shared" si="489"/>
        <v>13</v>
      </c>
      <c r="BH399" s="229">
        <f t="shared" si="490"/>
        <v>0</v>
      </c>
      <c r="BI399" s="234" cm="1">
        <f t="array" ref="BI399">K399/IF($L399&gt;0, INDEX($AU$23:$BA$77, $L399+20, $AH399), 1)</f>
        <v>0</v>
      </c>
      <c r="BJ399" s="230">
        <f t="shared" si="502"/>
        <v>0</v>
      </c>
      <c r="BK399" s="229">
        <v>35</v>
      </c>
      <c r="BL399" s="230">
        <f t="shared" si="503"/>
        <v>48</v>
      </c>
      <c r="BM399" s="235">
        <f t="shared" si="504"/>
        <v>2.9108720930232557</v>
      </c>
      <c r="BN399" s="235" cm="1">
        <f t="array" ref="BN399">$BI399 * SUMPRODUCT(INDEX($AR$77:$AT$82,,$AI399),INDEX($AU$77:$BA$82,,$AH399), N($AQ$77:$AQ$82&gt;$AO399)) / BM399 / 1000</f>
        <v>0</v>
      </c>
      <c r="BO399" s="232">
        <f t="shared" si="491"/>
        <v>30</v>
      </c>
      <c r="BP399" s="230">
        <f t="shared" si="505"/>
        <v>43</v>
      </c>
      <c r="BQ399" s="235">
        <f t="shared" si="506"/>
        <v>3.2938815789473681</v>
      </c>
      <c r="BR399" s="235" cm="1">
        <f t="array" ref="BR399">$BI399 * IF($AH399&lt;=2,
SUMPRODUCT(INDEX($AR$72:$AT$76,,$AI399), INDEX($AU$72:$BA$76,,$AH399), 1 / ($BB$72:$BB$76*BQ399 + (1-$BB$72:$BB$76)*BM399), N($AQ$72:$AQ$76&gt;$AO399)),
SUMPRODUCT(INDEX($AR$67:$AT$76,,$AI399), INDEX($AU$67:$BA$76,,$AH399), 1 / ($BC$67:$BC$76*BQ399 + (1-$BC$67:$BC$76)*BM399), N($AQ$67:$AQ$76&gt;$AO399))
) / 1000</f>
        <v>0</v>
      </c>
      <c r="BS399" s="232">
        <f t="shared" si="492"/>
        <v>25</v>
      </c>
      <c r="BT399" s="230">
        <f t="shared" si="507"/>
        <v>38</v>
      </c>
      <c r="BU399" s="235">
        <f t="shared" si="508"/>
        <v>3.792954545454545</v>
      </c>
      <c r="BV399" s="235" cm="1">
        <f t="array" ref="BV399">$BI399 * IF($AH399&lt;=2,
SUMPRODUCT(INDEX($AR$67:$AT$71,,$AI399), INDEX($AU$67:$BA$71,,$AH399), 1 / ($BB$67:$BB$71*BU399 + (1-$BB$67:$BB$71)*BQ399), N($AQ$67:$AQ$71&gt;$AO399)),
SUMPRODUCT(INDEX($AR$57:$AT$66,,$AI399), INDEX($AU$57:$BA$66,,$AH399), 1 / ($BC$57:$BC$66*BU399 + (1-$BC$57:$BC$66)*BQ399), N($AQ$57:$AQ$66&gt;$AO399))
) / 1000</f>
        <v>0</v>
      </c>
      <c r="BW399" s="232">
        <f t="shared" si="493"/>
        <v>20</v>
      </c>
      <c r="BX399" s="230">
        <f t="shared" si="509"/>
        <v>33</v>
      </c>
      <c r="BY399" s="235">
        <f t="shared" si="510"/>
        <v>4.4702678571428569</v>
      </c>
      <c r="BZ399" s="235" cm="1">
        <f t="array" ref="BZ399">$BI399 * IF($AH399&lt;=2,
SUMPRODUCT(INDEX($AR$62:$AT$66,,$AI399), INDEX($AU$62:$BA$66,,$AH399), 1 / ($BB$62:$BB$66*BY399 + (1-$BB$62:$BB$66)*BU399), N($AQ$62:$AQ$66&gt;$AO399)),
SUMPRODUCT(INDEX($AR$47:$AT$56,,$AI399), INDEX($AU$47:$BA$56,,$AH399), 1 / ($BC$47:$BC$56*BY399 + (1-$BC$47:$BC$56)*BU399), N($AQ$47:$AQ$56&gt;$AO399))
) / 1000</f>
        <v>0</v>
      </c>
      <c r="CA399" s="235" cm="1">
        <f t="array" ref="CA399">$BI399 * IF($AH399&lt;=2,
SUMPRODUCT(INDEX($AR$23:$AT$61,,$AI399), INDEX($AU$23:$BA$61,,$AH399), 1 / ($BB$23:$BB$61*BY399), N($AQ$23:$AQ$61&gt;$AO399)),
SUMPRODUCT(INDEX($AR$23:$AT$46,,$AI399), INDEX($AU$23:$BA$46,,$AH399), 1 / ($BC$23:$BC$46*BY399), N($AQ$23:$AQ$46&gt;$AO399))
) / 1000</f>
        <v>0</v>
      </c>
      <c r="CB399" s="230">
        <f t="shared" si="511"/>
        <v>0</v>
      </c>
      <c r="CC399" s="238"/>
      <c r="CD399" s="229" cm="1">
        <f t="array" ref="CD399">IF(ISBLANK(Y399), INDEX(Use, $AH399, 4) - AN399*INDEX(Use, $AH399, 6) - (Q399-X399), Y399)</f>
        <v>7</v>
      </c>
      <c r="CE399" s="229">
        <f t="shared" si="512"/>
        <v>32</v>
      </c>
      <c r="CF399" s="230">
        <f t="shared" si="513"/>
        <v>0</v>
      </c>
      <c r="CG399" s="229">
        <v>35</v>
      </c>
      <c r="CH399" s="230">
        <f t="shared" si="514"/>
        <v>48</v>
      </c>
      <c r="CI399" s="235">
        <f t="shared" si="515"/>
        <v>3.0748170731707316</v>
      </c>
      <c r="CJ399" s="235" cm="1">
        <f t="array" ref="CJ399">$BI399 * SUMPRODUCT(INDEX($AR$77:$AT$82,,$AI399),INDEX($AU$77:$BA$82,,$AH399), N($AQ$77:$AQ$82&gt;$AO399)) / CI399 / 1000</f>
        <v>0</v>
      </c>
      <c r="CK399" s="232">
        <f t="shared" si="494"/>
        <v>30</v>
      </c>
      <c r="CL399" s="230">
        <f t="shared" si="516"/>
        <v>43</v>
      </c>
      <c r="CM399" s="235">
        <f t="shared" si="517"/>
        <v>3.5018750000000001</v>
      </c>
      <c r="CN399" s="235" cm="1">
        <f t="array" ref="CN399">$BI399 * IF($AH399&lt;=2,
SUMPRODUCT(INDEX($AR$72:$AT$76,,$AI399), INDEX($AU$72:$BA$76,,$AH399), 1 / ($BB$72:$BB$76*CM399 + (1-$BB$72:$BB$76)*CI399), N($AQ$72:$AQ$76&gt;$AO399)),
SUMPRODUCT(INDEX($AR$67:$AT$76,,$AI399), INDEX($AU$67:$BA$76,,$AH399), 1 / ($BC$67:$BC$76*CM399 + (1-$BC$67:$BC$76)*CI399), N($AQ$67:$AQ$76&gt;$AO399))
) / 1000</f>
        <v>0</v>
      </c>
      <c r="CO399" s="232">
        <f t="shared" si="495"/>
        <v>25</v>
      </c>
      <c r="CP399" s="230">
        <f t="shared" si="518"/>
        <v>38</v>
      </c>
      <c r="CQ399" s="235">
        <f t="shared" si="519"/>
        <v>4.0666935483870965</v>
      </c>
      <c r="CR399" s="235" cm="1">
        <f t="array" ref="CR399">$BI399 * IF($AH399&lt;=2,
SUMPRODUCT(INDEX($AR$67:$AT$71,,$AI399), INDEX($AU$67:$BA$71,,$AH399), 1 / ($BB$67:$BB$71*CQ399 + (1-$BB$67:$BB$71)*CM399), N($AQ$67:$AQ$71&gt;$AO399)),
SUMPRODUCT(INDEX($AR$57:$AT$66,,$AI399), INDEX($AU$57:$BA$66,,$AH399), 1 / ($BC$57:$BC$66*CQ399 + (1-$BC$57:$BC$66)*CM399), N($AQ$57:$AQ$66&gt;$AO399))
) / 1000</f>
        <v>0</v>
      </c>
      <c r="CS399" s="232">
        <f t="shared" si="496"/>
        <v>20</v>
      </c>
      <c r="CT399" s="230">
        <f t="shared" si="520"/>
        <v>33</v>
      </c>
      <c r="CU399" s="235">
        <f t="shared" si="521"/>
        <v>4.8487499999999999</v>
      </c>
      <c r="CV399" s="235" cm="1">
        <f t="array" ref="CV399">$BI399 * IF($AH399&lt;=2,
SUMPRODUCT(INDEX($AR$62:$AT$66,,$AI399), INDEX($AU$62:$BA$66,,$AH399), 1 / ($BB$62:$BB$66*CU399 + (1-$BB$62:$BB$66)*CQ399), N($AQ$62:$AQ$66&gt;$AO399)),
SUMPRODUCT(INDEX($AR$47:$AT$56,,$AI399), INDEX($AU$47:$BA$56,,$AH399), 1 / ($BC$47:$BC$56*CU399 + (1-$BC$47:$BC$56)*CQ399), N($AQ$47:$AQ$56&gt;$AO399))
) / 1000</f>
        <v>0</v>
      </c>
      <c r="CW399" s="235" cm="1">
        <f t="array" ref="CW399">$BI399 * IF($AH399&lt;=2,
SUMPRODUCT(INDEX($AR$23:$AT$61,,$AI399), INDEX($AU$23:$BA$61,,$AH399), 1 / ($BB$23:$BB$61*CU399), N($AQ$23:$AQ$61&gt;$AO399)),
SUMPRODUCT(INDEX($AR$23:$AT$46,,$AI399), INDEX($AU$23:$BA$46,,$AH399), 1 / ($BC$23:$BC$46*CU399), N($AQ$23:$AQ$46&gt;$AO399))
) / 1000</f>
        <v>0</v>
      </c>
      <c r="CX399" s="230">
        <f t="shared" si="522"/>
        <v>0</v>
      </c>
      <c r="CY399" s="238"/>
    </row>
    <row r="400" spans="1:103" s="76" customFormat="1" ht="14.25" customHeight="1" x14ac:dyDescent="0.2">
      <c r="A400" s="231" t="b">
        <f t="shared" si="488"/>
        <v>0</v>
      </c>
      <c r="B400" s="245">
        <v>378</v>
      </c>
      <c r="C400" s="258"/>
      <c r="D400" s="258"/>
      <c r="E400" s="246"/>
      <c r="F400" s="247" t="str">
        <f>IF(ISBLANK(E400), "", VLOOKUP(E400, Z!$A$2:$C$4127, 3, FALSE))</f>
        <v/>
      </c>
      <c r="G400" s="248"/>
      <c r="H400" s="248"/>
      <c r="I400" s="249"/>
      <c r="J400" s="250"/>
      <c r="K400" s="259"/>
      <c r="L400" s="260"/>
      <c r="M400" s="252" t="str" cm="1">
        <f t="array" ref="M400">INDEX(Trad, 53, $A$20)</f>
        <v>Verschmutzt</v>
      </c>
      <c r="N400" s="253"/>
      <c r="O400" s="253"/>
      <c r="P400" s="254"/>
      <c r="Q400" s="251"/>
      <c r="R400" s="251"/>
      <c r="S400" s="264">
        <f t="shared" si="497"/>
        <v>0</v>
      </c>
      <c r="T400" s="252" t="str" cm="1">
        <f t="array" ref="T400">INDEX(Trad, 52, $A$20)</f>
        <v>Sauber</v>
      </c>
      <c r="U400" s="253"/>
      <c r="V400" s="253"/>
      <c r="W400" s="254"/>
      <c r="X400" s="251"/>
      <c r="Y400" s="251"/>
      <c r="Z400" s="264">
        <f t="shared" si="498"/>
        <v>0</v>
      </c>
      <c r="AA400" s="261"/>
      <c r="AB400" s="258"/>
      <c r="AC400" s="246"/>
      <c r="AD400" s="247" t="str">
        <f>IF(ISBLANK(AC400), "", VLOOKUP(AC400, Z!$A$2:$C$4127, 3, FALSE))</f>
        <v/>
      </c>
      <c r="AE400" s="262"/>
      <c r="AF400" s="263">
        <f t="shared" si="499"/>
        <v>0</v>
      </c>
      <c r="AG400" s="238"/>
      <c r="AH400" s="229">
        <f t="shared" si="523"/>
        <v>1</v>
      </c>
      <c r="AI400" s="229">
        <f t="shared" si="524"/>
        <v>1</v>
      </c>
      <c r="AJ400" s="229">
        <f t="shared" si="525"/>
        <v>0</v>
      </c>
      <c r="AK400" s="229">
        <v>0</v>
      </c>
      <c r="AL400" s="229">
        <v>0</v>
      </c>
      <c r="AM400" s="229">
        <v>1</v>
      </c>
      <c r="AN400" s="229">
        <v>0</v>
      </c>
      <c r="AO400" s="229">
        <f t="shared" si="500"/>
        <v>-100</v>
      </c>
      <c r="AP400" s="238"/>
      <c r="AQ400" s="255"/>
      <c r="AR400" s="255"/>
      <c r="AS400" s="256"/>
      <c r="AT400" s="256"/>
      <c r="AU400" s="256"/>
      <c r="AV400" s="256"/>
      <c r="AW400" s="256"/>
      <c r="AX400" s="256"/>
      <c r="AY400" s="256"/>
      <c r="AZ400" s="256"/>
      <c r="BA400" s="256"/>
      <c r="BB400" s="256"/>
      <c r="BC400" s="256"/>
      <c r="BD400" s="238"/>
      <c r="BE400" s="229" cm="1">
        <f t="array" ref="BE400">IF(ISBLANK(R400), INDEX(Use, $AH400, 4) - AM400*INDEX(Use, $AH400, 6), R400)</f>
        <v>5</v>
      </c>
      <c r="BF400" s="229">
        <f t="shared" si="501"/>
        <v>30</v>
      </c>
      <c r="BG400" s="229">
        <f t="shared" si="489"/>
        <v>13</v>
      </c>
      <c r="BH400" s="229">
        <f t="shared" si="490"/>
        <v>0</v>
      </c>
      <c r="BI400" s="234" cm="1">
        <f t="array" ref="BI400">K400/IF($L400&gt;0, INDEX($AU$23:$BA$77, $L400+20, $AH400), 1)</f>
        <v>0</v>
      </c>
      <c r="BJ400" s="230">
        <f t="shared" si="502"/>
        <v>0</v>
      </c>
      <c r="BK400" s="229">
        <v>35</v>
      </c>
      <c r="BL400" s="230">
        <f t="shared" si="503"/>
        <v>48</v>
      </c>
      <c r="BM400" s="235">
        <f t="shared" si="504"/>
        <v>2.9108720930232557</v>
      </c>
      <c r="BN400" s="235" cm="1">
        <f t="array" ref="BN400">$BI400 * SUMPRODUCT(INDEX($AR$77:$AT$82,,$AI400),INDEX($AU$77:$BA$82,,$AH400), N($AQ$77:$AQ$82&gt;$AO400)) / BM400 / 1000</f>
        <v>0</v>
      </c>
      <c r="BO400" s="232">
        <f t="shared" si="491"/>
        <v>30</v>
      </c>
      <c r="BP400" s="230">
        <f t="shared" si="505"/>
        <v>43</v>
      </c>
      <c r="BQ400" s="235">
        <f t="shared" si="506"/>
        <v>3.2938815789473681</v>
      </c>
      <c r="BR400" s="235" cm="1">
        <f t="array" ref="BR400">$BI400 * IF($AH400&lt;=2,
SUMPRODUCT(INDEX($AR$72:$AT$76,,$AI400), INDEX($AU$72:$BA$76,,$AH400), 1 / ($BB$72:$BB$76*BQ400 + (1-$BB$72:$BB$76)*BM400), N($AQ$72:$AQ$76&gt;$AO400)),
SUMPRODUCT(INDEX($AR$67:$AT$76,,$AI400), INDEX($AU$67:$BA$76,,$AH400), 1 / ($BC$67:$BC$76*BQ400 + (1-$BC$67:$BC$76)*BM400), N($AQ$67:$AQ$76&gt;$AO400))
) / 1000</f>
        <v>0</v>
      </c>
      <c r="BS400" s="232">
        <f t="shared" si="492"/>
        <v>25</v>
      </c>
      <c r="BT400" s="230">
        <f t="shared" si="507"/>
        <v>38</v>
      </c>
      <c r="BU400" s="235">
        <f t="shared" si="508"/>
        <v>3.792954545454545</v>
      </c>
      <c r="BV400" s="235" cm="1">
        <f t="array" ref="BV400">$BI400 * IF($AH400&lt;=2,
SUMPRODUCT(INDEX($AR$67:$AT$71,,$AI400), INDEX($AU$67:$BA$71,,$AH400), 1 / ($BB$67:$BB$71*BU400 + (1-$BB$67:$BB$71)*BQ400), N($AQ$67:$AQ$71&gt;$AO400)),
SUMPRODUCT(INDEX($AR$57:$AT$66,,$AI400), INDEX($AU$57:$BA$66,,$AH400), 1 / ($BC$57:$BC$66*BU400 + (1-$BC$57:$BC$66)*BQ400), N($AQ$57:$AQ$66&gt;$AO400))
) / 1000</f>
        <v>0</v>
      </c>
      <c r="BW400" s="232">
        <f t="shared" si="493"/>
        <v>20</v>
      </c>
      <c r="BX400" s="230">
        <f t="shared" si="509"/>
        <v>33</v>
      </c>
      <c r="BY400" s="235">
        <f t="shared" si="510"/>
        <v>4.4702678571428569</v>
      </c>
      <c r="BZ400" s="235" cm="1">
        <f t="array" ref="BZ400">$BI400 * IF($AH400&lt;=2,
SUMPRODUCT(INDEX($AR$62:$AT$66,,$AI400), INDEX($AU$62:$BA$66,,$AH400), 1 / ($BB$62:$BB$66*BY400 + (1-$BB$62:$BB$66)*BU400), N($AQ$62:$AQ$66&gt;$AO400)),
SUMPRODUCT(INDEX($AR$47:$AT$56,,$AI400), INDEX($AU$47:$BA$56,,$AH400), 1 / ($BC$47:$BC$56*BY400 + (1-$BC$47:$BC$56)*BU400), N($AQ$47:$AQ$56&gt;$AO400))
) / 1000</f>
        <v>0</v>
      </c>
      <c r="CA400" s="235" cm="1">
        <f t="array" ref="CA400">$BI400 * IF($AH400&lt;=2,
SUMPRODUCT(INDEX($AR$23:$AT$61,,$AI400), INDEX($AU$23:$BA$61,,$AH400), 1 / ($BB$23:$BB$61*BY400), N($AQ$23:$AQ$61&gt;$AO400)),
SUMPRODUCT(INDEX($AR$23:$AT$46,,$AI400), INDEX($AU$23:$BA$46,,$AH400), 1 / ($BC$23:$BC$46*BY400), N($AQ$23:$AQ$46&gt;$AO400))
) / 1000</f>
        <v>0</v>
      </c>
      <c r="CB400" s="230">
        <f t="shared" si="511"/>
        <v>0</v>
      </c>
      <c r="CC400" s="238"/>
      <c r="CD400" s="229" cm="1">
        <f t="array" ref="CD400">IF(ISBLANK(Y400), INDEX(Use, $AH400, 4) - AN400*INDEX(Use, $AH400, 6) - (Q400-X400), Y400)</f>
        <v>7</v>
      </c>
      <c r="CE400" s="229">
        <f t="shared" si="512"/>
        <v>32</v>
      </c>
      <c r="CF400" s="230">
        <f t="shared" si="513"/>
        <v>0</v>
      </c>
      <c r="CG400" s="229">
        <v>35</v>
      </c>
      <c r="CH400" s="230">
        <f t="shared" si="514"/>
        <v>48</v>
      </c>
      <c r="CI400" s="235">
        <f t="shared" si="515"/>
        <v>3.0748170731707316</v>
      </c>
      <c r="CJ400" s="235" cm="1">
        <f t="array" ref="CJ400">$BI400 * SUMPRODUCT(INDEX($AR$77:$AT$82,,$AI400),INDEX($AU$77:$BA$82,,$AH400), N($AQ$77:$AQ$82&gt;$AO400)) / CI400 / 1000</f>
        <v>0</v>
      </c>
      <c r="CK400" s="232">
        <f t="shared" si="494"/>
        <v>30</v>
      </c>
      <c r="CL400" s="230">
        <f t="shared" si="516"/>
        <v>43</v>
      </c>
      <c r="CM400" s="235">
        <f t="shared" si="517"/>
        <v>3.5018750000000001</v>
      </c>
      <c r="CN400" s="235" cm="1">
        <f t="array" ref="CN400">$BI400 * IF($AH400&lt;=2,
SUMPRODUCT(INDEX($AR$72:$AT$76,,$AI400), INDEX($AU$72:$BA$76,,$AH400), 1 / ($BB$72:$BB$76*CM400 + (1-$BB$72:$BB$76)*CI400), N($AQ$72:$AQ$76&gt;$AO400)),
SUMPRODUCT(INDEX($AR$67:$AT$76,,$AI400), INDEX($AU$67:$BA$76,,$AH400), 1 / ($BC$67:$BC$76*CM400 + (1-$BC$67:$BC$76)*CI400), N($AQ$67:$AQ$76&gt;$AO400))
) / 1000</f>
        <v>0</v>
      </c>
      <c r="CO400" s="232">
        <f t="shared" si="495"/>
        <v>25</v>
      </c>
      <c r="CP400" s="230">
        <f t="shared" si="518"/>
        <v>38</v>
      </c>
      <c r="CQ400" s="235">
        <f t="shared" si="519"/>
        <v>4.0666935483870965</v>
      </c>
      <c r="CR400" s="235" cm="1">
        <f t="array" ref="CR400">$BI400 * IF($AH400&lt;=2,
SUMPRODUCT(INDEX($AR$67:$AT$71,,$AI400), INDEX($AU$67:$BA$71,,$AH400), 1 / ($BB$67:$BB$71*CQ400 + (1-$BB$67:$BB$71)*CM400), N($AQ$67:$AQ$71&gt;$AO400)),
SUMPRODUCT(INDEX($AR$57:$AT$66,,$AI400), INDEX($AU$57:$BA$66,,$AH400), 1 / ($BC$57:$BC$66*CQ400 + (1-$BC$57:$BC$66)*CM400), N($AQ$57:$AQ$66&gt;$AO400))
) / 1000</f>
        <v>0</v>
      </c>
      <c r="CS400" s="232">
        <f t="shared" si="496"/>
        <v>20</v>
      </c>
      <c r="CT400" s="230">
        <f t="shared" si="520"/>
        <v>33</v>
      </c>
      <c r="CU400" s="235">
        <f t="shared" si="521"/>
        <v>4.8487499999999999</v>
      </c>
      <c r="CV400" s="235" cm="1">
        <f t="array" ref="CV400">$BI400 * IF($AH400&lt;=2,
SUMPRODUCT(INDEX($AR$62:$AT$66,,$AI400), INDEX($AU$62:$BA$66,,$AH400), 1 / ($BB$62:$BB$66*CU400 + (1-$BB$62:$BB$66)*CQ400), N($AQ$62:$AQ$66&gt;$AO400)),
SUMPRODUCT(INDEX($AR$47:$AT$56,,$AI400), INDEX($AU$47:$BA$56,,$AH400), 1 / ($BC$47:$BC$56*CU400 + (1-$BC$47:$BC$56)*CQ400), N($AQ$47:$AQ$56&gt;$AO400))
) / 1000</f>
        <v>0</v>
      </c>
      <c r="CW400" s="235" cm="1">
        <f t="array" ref="CW400">$BI400 * IF($AH400&lt;=2,
SUMPRODUCT(INDEX($AR$23:$AT$61,,$AI400), INDEX($AU$23:$BA$61,,$AH400), 1 / ($BB$23:$BB$61*CU400), N($AQ$23:$AQ$61&gt;$AO400)),
SUMPRODUCT(INDEX($AR$23:$AT$46,,$AI400), INDEX($AU$23:$BA$46,,$AH400), 1 / ($BC$23:$BC$46*CU400), N($AQ$23:$AQ$46&gt;$AO400))
) / 1000</f>
        <v>0</v>
      </c>
      <c r="CX400" s="230">
        <f t="shared" si="522"/>
        <v>0</v>
      </c>
      <c r="CY400" s="238"/>
    </row>
    <row r="401" spans="1:103" s="76" customFormat="1" ht="14.25" customHeight="1" x14ac:dyDescent="0.2">
      <c r="A401" s="231" t="b">
        <f t="shared" si="488"/>
        <v>0</v>
      </c>
      <c r="B401" s="245">
        <v>379</v>
      </c>
      <c r="C401" s="258"/>
      <c r="D401" s="258"/>
      <c r="E401" s="246"/>
      <c r="F401" s="247" t="str">
        <f>IF(ISBLANK(E401), "", VLOOKUP(E401, Z!$A$2:$C$4127, 3, FALSE))</f>
        <v/>
      </c>
      <c r="G401" s="248"/>
      <c r="H401" s="248"/>
      <c r="I401" s="249"/>
      <c r="J401" s="250"/>
      <c r="K401" s="259"/>
      <c r="L401" s="260"/>
      <c r="M401" s="252" t="str" cm="1">
        <f t="array" ref="M401">INDEX(Trad, 53, $A$20)</f>
        <v>Verschmutzt</v>
      </c>
      <c r="N401" s="253"/>
      <c r="O401" s="253"/>
      <c r="P401" s="254"/>
      <c r="Q401" s="251"/>
      <c r="R401" s="251"/>
      <c r="S401" s="264">
        <f t="shared" si="497"/>
        <v>0</v>
      </c>
      <c r="T401" s="252" t="str" cm="1">
        <f t="array" ref="T401">INDEX(Trad, 52, $A$20)</f>
        <v>Sauber</v>
      </c>
      <c r="U401" s="253"/>
      <c r="V401" s="253"/>
      <c r="W401" s="254"/>
      <c r="X401" s="251"/>
      <c r="Y401" s="251"/>
      <c r="Z401" s="264">
        <f t="shared" si="498"/>
        <v>0</v>
      </c>
      <c r="AA401" s="261"/>
      <c r="AB401" s="258"/>
      <c r="AC401" s="246"/>
      <c r="AD401" s="247" t="str">
        <f>IF(ISBLANK(AC401), "", VLOOKUP(AC401, Z!$A$2:$C$4127, 3, FALSE))</f>
        <v/>
      </c>
      <c r="AE401" s="262"/>
      <c r="AF401" s="263">
        <f t="shared" si="499"/>
        <v>0</v>
      </c>
      <c r="AG401" s="238"/>
      <c r="AH401" s="229">
        <f t="shared" si="523"/>
        <v>1</v>
      </c>
      <c r="AI401" s="229">
        <f t="shared" si="524"/>
        <v>1</v>
      </c>
      <c r="AJ401" s="229">
        <f t="shared" si="525"/>
        <v>0</v>
      </c>
      <c r="AK401" s="229">
        <v>0</v>
      </c>
      <c r="AL401" s="229">
        <v>0</v>
      </c>
      <c r="AM401" s="229">
        <v>1</v>
      </c>
      <c r="AN401" s="229">
        <v>0</v>
      </c>
      <c r="AO401" s="229">
        <f t="shared" si="500"/>
        <v>-100</v>
      </c>
      <c r="AP401" s="238"/>
      <c r="AQ401" s="255"/>
      <c r="AR401" s="255"/>
      <c r="AS401" s="256"/>
      <c r="AT401" s="256"/>
      <c r="AU401" s="256"/>
      <c r="AV401" s="256"/>
      <c r="AW401" s="256"/>
      <c r="AX401" s="256"/>
      <c r="AY401" s="256"/>
      <c r="AZ401" s="256"/>
      <c r="BA401" s="256"/>
      <c r="BB401" s="256"/>
      <c r="BC401" s="256"/>
      <c r="BD401" s="238"/>
      <c r="BE401" s="229" cm="1">
        <f t="array" ref="BE401">IF(ISBLANK(R401), INDEX(Use, $AH401, 4) - AM401*INDEX(Use, $AH401, 6), R401)</f>
        <v>5</v>
      </c>
      <c r="BF401" s="229">
        <f t="shared" si="501"/>
        <v>30</v>
      </c>
      <c r="BG401" s="229">
        <f t="shared" si="489"/>
        <v>13</v>
      </c>
      <c r="BH401" s="229">
        <f t="shared" si="490"/>
        <v>0</v>
      </c>
      <c r="BI401" s="234" cm="1">
        <f t="array" ref="BI401">K401/IF($L401&gt;0, INDEX($AU$23:$BA$77, $L401+20, $AH401), 1)</f>
        <v>0</v>
      </c>
      <c r="BJ401" s="230">
        <f t="shared" si="502"/>
        <v>0</v>
      </c>
      <c r="BK401" s="229">
        <v>35</v>
      </c>
      <c r="BL401" s="230">
        <f t="shared" si="503"/>
        <v>48</v>
      </c>
      <c r="BM401" s="235">
        <f t="shared" si="504"/>
        <v>2.9108720930232557</v>
      </c>
      <c r="BN401" s="235" cm="1">
        <f t="array" ref="BN401">$BI401 * SUMPRODUCT(INDEX($AR$77:$AT$82,,$AI401),INDEX($AU$77:$BA$82,,$AH401), N($AQ$77:$AQ$82&gt;$AO401)) / BM401 / 1000</f>
        <v>0</v>
      </c>
      <c r="BO401" s="232">
        <f t="shared" si="491"/>
        <v>30</v>
      </c>
      <c r="BP401" s="230">
        <f t="shared" si="505"/>
        <v>43</v>
      </c>
      <c r="BQ401" s="235">
        <f t="shared" si="506"/>
        <v>3.2938815789473681</v>
      </c>
      <c r="BR401" s="235" cm="1">
        <f t="array" ref="BR401">$BI401 * IF($AH401&lt;=2,
SUMPRODUCT(INDEX($AR$72:$AT$76,,$AI401), INDEX($AU$72:$BA$76,,$AH401), 1 / ($BB$72:$BB$76*BQ401 + (1-$BB$72:$BB$76)*BM401), N($AQ$72:$AQ$76&gt;$AO401)),
SUMPRODUCT(INDEX($AR$67:$AT$76,,$AI401), INDEX($AU$67:$BA$76,,$AH401), 1 / ($BC$67:$BC$76*BQ401 + (1-$BC$67:$BC$76)*BM401), N($AQ$67:$AQ$76&gt;$AO401))
) / 1000</f>
        <v>0</v>
      </c>
      <c r="BS401" s="232">
        <f t="shared" si="492"/>
        <v>25</v>
      </c>
      <c r="BT401" s="230">
        <f t="shared" si="507"/>
        <v>38</v>
      </c>
      <c r="BU401" s="235">
        <f t="shared" si="508"/>
        <v>3.792954545454545</v>
      </c>
      <c r="BV401" s="235" cm="1">
        <f t="array" ref="BV401">$BI401 * IF($AH401&lt;=2,
SUMPRODUCT(INDEX($AR$67:$AT$71,,$AI401), INDEX($AU$67:$BA$71,,$AH401), 1 / ($BB$67:$BB$71*BU401 + (1-$BB$67:$BB$71)*BQ401), N($AQ$67:$AQ$71&gt;$AO401)),
SUMPRODUCT(INDEX($AR$57:$AT$66,,$AI401), INDEX($AU$57:$BA$66,,$AH401), 1 / ($BC$57:$BC$66*BU401 + (1-$BC$57:$BC$66)*BQ401), N($AQ$57:$AQ$66&gt;$AO401))
) / 1000</f>
        <v>0</v>
      </c>
      <c r="BW401" s="232">
        <f t="shared" si="493"/>
        <v>20</v>
      </c>
      <c r="BX401" s="230">
        <f t="shared" si="509"/>
        <v>33</v>
      </c>
      <c r="BY401" s="235">
        <f t="shared" si="510"/>
        <v>4.4702678571428569</v>
      </c>
      <c r="BZ401" s="235" cm="1">
        <f t="array" ref="BZ401">$BI401 * IF($AH401&lt;=2,
SUMPRODUCT(INDEX($AR$62:$AT$66,,$AI401), INDEX($AU$62:$BA$66,,$AH401), 1 / ($BB$62:$BB$66*BY401 + (1-$BB$62:$BB$66)*BU401), N($AQ$62:$AQ$66&gt;$AO401)),
SUMPRODUCT(INDEX($AR$47:$AT$56,,$AI401), INDEX($AU$47:$BA$56,,$AH401), 1 / ($BC$47:$BC$56*BY401 + (1-$BC$47:$BC$56)*BU401), N($AQ$47:$AQ$56&gt;$AO401))
) / 1000</f>
        <v>0</v>
      </c>
      <c r="CA401" s="235" cm="1">
        <f t="array" ref="CA401">$BI401 * IF($AH401&lt;=2,
SUMPRODUCT(INDEX($AR$23:$AT$61,,$AI401), INDEX($AU$23:$BA$61,,$AH401), 1 / ($BB$23:$BB$61*BY401), N($AQ$23:$AQ$61&gt;$AO401)),
SUMPRODUCT(INDEX($AR$23:$AT$46,,$AI401), INDEX($AU$23:$BA$46,,$AH401), 1 / ($BC$23:$BC$46*BY401), N($AQ$23:$AQ$46&gt;$AO401))
) / 1000</f>
        <v>0</v>
      </c>
      <c r="CB401" s="230">
        <f t="shared" si="511"/>
        <v>0</v>
      </c>
      <c r="CC401" s="238"/>
      <c r="CD401" s="229" cm="1">
        <f t="array" ref="CD401">IF(ISBLANK(Y401), INDEX(Use, $AH401, 4) - AN401*INDEX(Use, $AH401, 6) - (Q401-X401), Y401)</f>
        <v>7</v>
      </c>
      <c r="CE401" s="229">
        <f t="shared" si="512"/>
        <v>32</v>
      </c>
      <c r="CF401" s="230">
        <f t="shared" si="513"/>
        <v>0</v>
      </c>
      <c r="CG401" s="229">
        <v>35</v>
      </c>
      <c r="CH401" s="230">
        <f t="shared" si="514"/>
        <v>48</v>
      </c>
      <c r="CI401" s="235">
        <f t="shared" si="515"/>
        <v>3.0748170731707316</v>
      </c>
      <c r="CJ401" s="235" cm="1">
        <f t="array" ref="CJ401">$BI401 * SUMPRODUCT(INDEX($AR$77:$AT$82,,$AI401),INDEX($AU$77:$BA$82,,$AH401), N($AQ$77:$AQ$82&gt;$AO401)) / CI401 / 1000</f>
        <v>0</v>
      </c>
      <c r="CK401" s="232">
        <f t="shared" si="494"/>
        <v>30</v>
      </c>
      <c r="CL401" s="230">
        <f t="shared" si="516"/>
        <v>43</v>
      </c>
      <c r="CM401" s="235">
        <f t="shared" si="517"/>
        <v>3.5018750000000001</v>
      </c>
      <c r="CN401" s="235" cm="1">
        <f t="array" ref="CN401">$BI401 * IF($AH401&lt;=2,
SUMPRODUCT(INDEX($AR$72:$AT$76,,$AI401), INDEX($AU$72:$BA$76,,$AH401), 1 / ($BB$72:$BB$76*CM401 + (1-$BB$72:$BB$76)*CI401), N($AQ$72:$AQ$76&gt;$AO401)),
SUMPRODUCT(INDEX($AR$67:$AT$76,,$AI401), INDEX($AU$67:$BA$76,,$AH401), 1 / ($BC$67:$BC$76*CM401 + (1-$BC$67:$BC$76)*CI401), N($AQ$67:$AQ$76&gt;$AO401))
) / 1000</f>
        <v>0</v>
      </c>
      <c r="CO401" s="232">
        <f t="shared" si="495"/>
        <v>25</v>
      </c>
      <c r="CP401" s="230">
        <f t="shared" si="518"/>
        <v>38</v>
      </c>
      <c r="CQ401" s="235">
        <f t="shared" si="519"/>
        <v>4.0666935483870965</v>
      </c>
      <c r="CR401" s="235" cm="1">
        <f t="array" ref="CR401">$BI401 * IF($AH401&lt;=2,
SUMPRODUCT(INDEX($AR$67:$AT$71,,$AI401), INDEX($AU$67:$BA$71,,$AH401), 1 / ($BB$67:$BB$71*CQ401 + (1-$BB$67:$BB$71)*CM401), N($AQ$67:$AQ$71&gt;$AO401)),
SUMPRODUCT(INDEX($AR$57:$AT$66,,$AI401), INDEX($AU$57:$BA$66,,$AH401), 1 / ($BC$57:$BC$66*CQ401 + (1-$BC$57:$BC$66)*CM401), N($AQ$57:$AQ$66&gt;$AO401))
) / 1000</f>
        <v>0</v>
      </c>
      <c r="CS401" s="232">
        <f t="shared" si="496"/>
        <v>20</v>
      </c>
      <c r="CT401" s="230">
        <f t="shared" si="520"/>
        <v>33</v>
      </c>
      <c r="CU401" s="235">
        <f t="shared" si="521"/>
        <v>4.8487499999999999</v>
      </c>
      <c r="CV401" s="235" cm="1">
        <f t="array" ref="CV401">$BI401 * IF($AH401&lt;=2,
SUMPRODUCT(INDEX($AR$62:$AT$66,,$AI401), INDEX($AU$62:$BA$66,,$AH401), 1 / ($BB$62:$BB$66*CU401 + (1-$BB$62:$BB$66)*CQ401), N($AQ$62:$AQ$66&gt;$AO401)),
SUMPRODUCT(INDEX($AR$47:$AT$56,,$AI401), INDEX($AU$47:$BA$56,,$AH401), 1 / ($BC$47:$BC$56*CU401 + (1-$BC$47:$BC$56)*CQ401), N($AQ$47:$AQ$56&gt;$AO401))
) / 1000</f>
        <v>0</v>
      </c>
      <c r="CW401" s="235" cm="1">
        <f t="array" ref="CW401">$BI401 * IF($AH401&lt;=2,
SUMPRODUCT(INDEX($AR$23:$AT$61,,$AI401), INDEX($AU$23:$BA$61,,$AH401), 1 / ($BB$23:$BB$61*CU401), N($AQ$23:$AQ$61&gt;$AO401)),
SUMPRODUCT(INDEX($AR$23:$AT$46,,$AI401), INDEX($AU$23:$BA$46,,$AH401), 1 / ($BC$23:$BC$46*CU401), N($AQ$23:$AQ$46&gt;$AO401))
) / 1000</f>
        <v>0</v>
      </c>
      <c r="CX401" s="230">
        <f t="shared" si="522"/>
        <v>0</v>
      </c>
      <c r="CY401" s="238"/>
    </row>
    <row r="402" spans="1:103" s="76" customFormat="1" ht="14.25" customHeight="1" x14ac:dyDescent="0.2">
      <c r="A402" s="231" t="b">
        <f t="shared" si="488"/>
        <v>0</v>
      </c>
      <c r="B402" s="245">
        <v>380</v>
      </c>
      <c r="C402" s="258"/>
      <c r="D402" s="258"/>
      <c r="E402" s="246"/>
      <c r="F402" s="247" t="str">
        <f>IF(ISBLANK(E402), "", VLOOKUP(E402, Z!$A$2:$C$4127, 3, FALSE))</f>
        <v/>
      </c>
      <c r="G402" s="248"/>
      <c r="H402" s="248"/>
      <c r="I402" s="249"/>
      <c r="J402" s="250"/>
      <c r="K402" s="259"/>
      <c r="L402" s="260"/>
      <c r="M402" s="252" t="str" cm="1">
        <f t="array" ref="M402">INDEX(Trad, 53, $A$20)</f>
        <v>Verschmutzt</v>
      </c>
      <c r="N402" s="253"/>
      <c r="O402" s="253"/>
      <c r="P402" s="254"/>
      <c r="Q402" s="251"/>
      <c r="R402" s="251"/>
      <c r="S402" s="264">
        <f t="shared" si="497"/>
        <v>0</v>
      </c>
      <c r="T402" s="252" t="str" cm="1">
        <f t="array" ref="T402">INDEX(Trad, 52, $A$20)</f>
        <v>Sauber</v>
      </c>
      <c r="U402" s="253"/>
      <c r="V402" s="253"/>
      <c r="W402" s="254"/>
      <c r="X402" s="251"/>
      <c r="Y402" s="251"/>
      <c r="Z402" s="264">
        <f t="shared" si="498"/>
        <v>0</v>
      </c>
      <c r="AA402" s="261"/>
      <c r="AB402" s="258"/>
      <c r="AC402" s="246"/>
      <c r="AD402" s="247" t="str">
        <f>IF(ISBLANK(AC402), "", VLOOKUP(AC402, Z!$A$2:$C$4127, 3, FALSE))</f>
        <v/>
      </c>
      <c r="AE402" s="262"/>
      <c r="AF402" s="263">
        <f t="shared" si="499"/>
        <v>0</v>
      </c>
      <c r="AG402" s="238"/>
      <c r="AH402" s="229">
        <f t="shared" si="523"/>
        <v>1</v>
      </c>
      <c r="AI402" s="229">
        <f t="shared" si="524"/>
        <v>1</v>
      </c>
      <c r="AJ402" s="229">
        <f t="shared" si="525"/>
        <v>0</v>
      </c>
      <c r="AK402" s="229">
        <v>0</v>
      </c>
      <c r="AL402" s="229">
        <v>0</v>
      </c>
      <c r="AM402" s="229">
        <v>1</v>
      </c>
      <c r="AN402" s="229">
        <v>0</v>
      </c>
      <c r="AO402" s="229">
        <f t="shared" si="500"/>
        <v>-100</v>
      </c>
      <c r="AP402" s="238"/>
      <c r="AQ402" s="255"/>
      <c r="AR402" s="255"/>
      <c r="AS402" s="256"/>
      <c r="AT402" s="256"/>
      <c r="AU402" s="256"/>
      <c r="AV402" s="256"/>
      <c r="AW402" s="256"/>
      <c r="AX402" s="256"/>
      <c r="AY402" s="256"/>
      <c r="AZ402" s="256"/>
      <c r="BA402" s="256"/>
      <c r="BB402" s="256"/>
      <c r="BC402" s="256"/>
      <c r="BD402" s="238"/>
      <c r="BE402" s="229" cm="1">
        <f t="array" ref="BE402">IF(ISBLANK(R402), INDEX(Use, $AH402, 4) - AM402*INDEX(Use, $AH402, 6), R402)</f>
        <v>5</v>
      </c>
      <c r="BF402" s="229">
        <f t="shared" si="501"/>
        <v>30</v>
      </c>
      <c r="BG402" s="229">
        <f t="shared" si="489"/>
        <v>13</v>
      </c>
      <c r="BH402" s="229">
        <f t="shared" si="490"/>
        <v>0</v>
      </c>
      <c r="BI402" s="234" cm="1">
        <f t="array" ref="BI402">K402/IF($L402&gt;0, INDEX($AU$23:$BA$77, $L402+20, $AH402), 1)</f>
        <v>0</v>
      </c>
      <c r="BJ402" s="230">
        <f t="shared" si="502"/>
        <v>0</v>
      </c>
      <c r="BK402" s="229">
        <v>35</v>
      </c>
      <c r="BL402" s="230">
        <f t="shared" si="503"/>
        <v>48</v>
      </c>
      <c r="BM402" s="235">
        <f t="shared" si="504"/>
        <v>2.9108720930232557</v>
      </c>
      <c r="BN402" s="235" cm="1">
        <f t="array" ref="BN402">$BI402 * SUMPRODUCT(INDEX($AR$77:$AT$82,,$AI402),INDEX($AU$77:$BA$82,,$AH402), N($AQ$77:$AQ$82&gt;$AO402)) / BM402 / 1000</f>
        <v>0</v>
      </c>
      <c r="BO402" s="232">
        <f t="shared" si="491"/>
        <v>30</v>
      </c>
      <c r="BP402" s="230">
        <f t="shared" si="505"/>
        <v>43</v>
      </c>
      <c r="BQ402" s="235">
        <f t="shared" si="506"/>
        <v>3.2938815789473681</v>
      </c>
      <c r="BR402" s="235" cm="1">
        <f t="array" ref="BR402">$BI402 * IF($AH402&lt;=2,
SUMPRODUCT(INDEX($AR$72:$AT$76,,$AI402), INDEX($AU$72:$BA$76,,$AH402), 1 / ($BB$72:$BB$76*BQ402 + (1-$BB$72:$BB$76)*BM402), N($AQ$72:$AQ$76&gt;$AO402)),
SUMPRODUCT(INDEX($AR$67:$AT$76,,$AI402), INDEX($AU$67:$BA$76,,$AH402), 1 / ($BC$67:$BC$76*BQ402 + (1-$BC$67:$BC$76)*BM402), N($AQ$67:$AQ$76&gt;$AO402))
) / 1000</f>
        <v>0</v>
      </c>
      <c r="BS402" s="232">
        <f t="shared" si="492"/>
        <v>25</v>
      </c>
      <c r="BT402" s="230">
        <f t="shared" si="507"/>
        <v>38</v>
      </c>
      <c r="BU402" s="235">
        <f t="shared" si="508"/>
        <v>3.792954545454545</v>
      </c>
      <c r="BV402" s="235" cm="1">
        <f t="array" ref="BV402">$BI402 * IF($AH402&lt;=2,
SUMPRODUCT(INDEX($AR$67:$AT$71,,$AI402), INDEX($AU$67:$BA$71,,$AH402), 1 / ($BB$67:$BB$71*BU402 + (1-$BB$67:$BB$71)*BQ402), N($AQ$67:$AQ$71&gt;$AO402)),
SUMPRODUCT(INDEX($AR$57:$AT$66,,$AI402), INDEX($AU$57:$BA$66,,$AH402), 1 / ($BC$57:$BC$66*BU402 + (1-$BC$57:$BC$66)*BQ402), N($AQ$57:$AQ$66&gt;$AO402))
) / 1000</f>
        <v>0</v>
      </c>
      <c r="BW402" s="232">
        <f t="shared" si="493"/>
        <v>20</v>
      </c>
      <c r="BX402" s="230">
        <f t="shared" si="509"/>
        <v>33</v>
      </c>
      <c r="BY402" s="235">
        <f t="shared" si="510"/>
        <v>4.4702678571428569</v>
      </c>
      <c r="BZ402" s="235" cm="1">
        <f t="array" ref="BZ402">$BI402 * IF($AH402&lt;=2,
SUMPRODUCT(INDEX($AR$62:$AT$66,,$AI402), INDEX($AU$62:$BA$66,,$AH402), 1 / ($BB$62:$BB$66*BY402 + (1-$BB$62:$BB$66)*BU402), N($AQ$62:$AQ$66&gt;$AO402)),
SUMPRODUCT(INDEX($AR$47:$AT$56,,$AI402), INDEX($AU$47:$BA$56,,$AH402), 1 / ($BC$47:$BC$56*BY402 + (1-$BC$47:$BC$56)*BU402), N($AQ$47:$AQ$56&gt;$AO402))
) / 1000</f>
        <v>0</v>
      </c>
      <c r="CA402" s="235" cm="1">
        <f t="array" ref="CA402">$BI402 * IF($AH402&lt;=2,
SUMPRODUCT(INDEX($AR$23:$AT$61,,$AI402), INDEX($AU$23:$BA$61,,$AH402), 1 / ($BB$23:$BB$61*BY402), N($AQ$23:$AQ$61&gt;$AO402)),
SUMPRODUCT(INDEX($AR$23:$AT$46,,$AI402), INDEX($AU$23:$BA$46,,$AH402), 1 / ($BC$23:$BC$46*BY402), N($AQ$23:$AQ$46&gt;$AO402))
) / 1000</f>
        <v>0</v>
      </c>
      <c r="CB402" s="230">
        <f t="shared" si="511"/>
        <v>0</v>
      </c>
      <c r="CC402" s="238"/>
      <c r="CD402" s="229" cm="1">
        <f t="array" ref="CD402">IF(ISBLANK(Y402), INDEX(Use, $AH402, 4) - AN402*INDEX(Use, $AH402, 6) - (Q402-X402), Y402)</f>
        <v>7</v>
      </c>
      <c r="CE402" s="229">
        <f t="shared" si="512"/>
        <v>32</v>
      </c>
      <c r="CF402" s="230">
        <f t="shared" si="513"/>
        <v>0</v>
      </c>
      <c r="CG402" s="229">
        <v>35</v>
      </c>
      <c r="CH402" s="230">
        <f t="shared" si="514"/>
        <v>48</v>
      </c>
      <c r="CI402" s="235">
        <f t="shared" si="515"/>
        <v>3.0748170731707316</v>
      </c>
      <c r="CJ402" s="235" cm="1">
        <f t="array" ref="CJ402">$BI402 * SUMPRODUCT(INDEX($AR$77:$AT$82,,$AI402),INDEX($AU$77:$BA$82,,$AH402), N($AQ$77:$AQ$82&gt;$AO402)) / CI402 / 1000</f>
        <v>0</v>
      </c>
      <c r="CK402" s="232">
        <f t="shared" si="494"/>
        <v>30</v>
      </c>
      <c r="CL402" s="230">
        <f t="shared" si="516"/>
        <v>43</v>
      </c>
      <c r="CM402" s="235">
        <f t="shared" si="517"/>
        <v>3.5018750000000001</v>
      </c>
      <c r="CN402" s="235" cm="1">
        <f t="array" ref="CN402">$BI402 * IF($AH402&lt;=2,
SUMPRODUCT(INDEX($AR$72:$AT$76,,$AI402), INDEX($AU$72:$BA$76,,$AH402), 1 / ($BB$72:$BB$76*CM402 + (1-$BB$72:$BB$76)*CI402), N($AQ$72:$AQ$76&gt;$AO402)),
SUMPRODUCT(INDEX($AR$67:$AT$76,,$AI402), INDEX($AU$67:$BA$76,,$AH402), 1 / ($BC$67:$BC$76*CM402 + (1-$BC$67:$BC$76)*CI402), N($AQ$67:$AQ$76&gt;$AO402))
) / 1000</f>
        <v>0</v>
      </c>
      <c r="CO402" s="232">
        <f t="shared" si="495"/>
        <v>25</v>
      </c>
      <c r="CP402" s="230">
        <f t="shared" si="518"/>
        <v>38</v>
      </c>
      <c r="CQ402" s="235">
        <f t="shared" si="519"/>
        <v>4.0666935483870965</v>
      </c>
      <c r="CR402" s="235" cm="1">
        <f t="array" ref="CR402">$BI402 * IF($AH402&lt;=2,
SUMPRODUCT(INDEX($AR$67:$AT$71,,$AI402), INDEX($AU$67:$BA$71,,$AH402), 1 / ($BB$67:$BB$71*CQ402 + (1-$BB$67:$BB$71)*CM402), N($AQ$67:$AQ$71&gt;$AO402)),
SUMPRODUCT(INDEX($AR$57:$AT$66,,$AI402), INDEX($AU$57:$BA$66,,$AH402), 1 / ($BC$57:$BC$66*CQ402 + (1-$BC$57:$BC$66)*CM402), N($AQ$57:$AQ$66&gt;$AO402))
) / 1000</f>
        <v>0</v>
      </c>
      <c r="CS402" s="232">
        <f t="shared" si="496"/>
        <v>20</v>
      </c>
      <c r="CT402" s="230">
        <f t="shared" si="520"/>
        <v>33</v>
      </c>
      <c r="CU402" s="235">
        <f t="shared" si="521"/>
        <v>4.8487499999999999</v>
      </c>
      <c r="CV402" s="235" cm="1">
        <f t="array" ref="CV402">$BI402 * IF($AH402&lt;=2,
SUMPRODUCT(INDEX($AR$62:$AT$66,,$AI402), INDEX($AU$62:$BA$66,,$AH402), 1 / ($BB$62:$BB$66*CU402 + (1-$BB$62:$BB$66)*CQ402), N($AQ$62:$AQ$66&gt;$AO402)),
SUMPRODUCT(INDEX($AR$47:$AT$56,,$AI402), INDEX($AU$47:$BA$56,,$AH402), 1 / ($BC$47:$BC$56*CU402 + (1-$BC$47:$BC$56)*CQ402), N($AQ$47:$AQ$56&gt;$AO402))
) / 1000</f>
        <v>0</v>
      </c>
      <c r="CW402" s="235" cm="1">
        <f t="array" ref="CW402">$BI402 * IF($AH402&lt;=2,
SUMPRODUCT(INDEX($AR$23:$AT$61,,$AI402), INDEX($AU$23:$BA$61,,$AH402), 1 / ($BB$23:$BB$61*CU402), N($AQ$23:$AQ$61&gt;$AO402)),
SUMPRODUCT(INDEX($AR$23:$AT$46,,$AI402), INDEX($AU$23:$BA$46,,$AH402), 1 / ($BC$23:$BC$46*CU402), N($AQ$23:$AQ$46&gt;$AO402))
) / 1000</f>
        <v>0</v>
      </c>
      <c r="CX402" s="230">
        <f t="shared" si="522"/>
        <v>0</v>
      </c>
      <c r="CY402" s="238"/>
    </row>
    <row r="403" spans="1:103" s="76" customFormat="1" ht="14.25" customHeight="1" x14ac:dyDescent="0.2">
      <c r="A403" s="231" t="b">
        <f t="shared" si="488"/>
        <v>0</v>
      </c>
      <c r="B403" s="245">
        <v>381</v>
      </c>
      <c r="C403" s="258"/>
      <c r="D403" s="258"/>
      <c r="E403" s="246"/>
      <c r="F403" s="247" t="str">
        <f>IF(ISBLANK(E403), "", VLOOKUP(E403, Z!$A$2:$C$4127, 3, FALSE))</f>
        <v/>
      </c>
      <c r="G403" s="248"/>
      <c r="H403" s="248"/>
      <c r="I403" s="249"/>
      <c r="J403" s="250"/>
      <c r="K403" s="259"/>
      <c r="L403" s="260"/>
      <c r="M403" s="252" t="str" cm="1">
        <f t="array" ref="M403">INDEX(Trad, 53, $A$20)</f>
        <v>Verschmutzt</v>
      </c>
      <c r="N403" s="253"/>
      <c r="O403" s="253"/>
      <c r="P403" s="254"/>
      <c r="Q403" s="251"/>
      <c r="R403" s="251"/>
      <c r="S403" s="264">
        <f t="shared" si="497"/>
        <v>0</v>
      </c>
      <c r="T403" s="252" t="str" cm="1">
        <f t="array" ref="T403">INDEX(Trad, 52, $A$20)</f>
        <v>Sauber</v>
      </c>
      <c r="U403" s="253"/>
      <c r="V403" s="253"/>
      <c r="W403" s="254"/>
      <c r="X403" s="251"/>
      <c r="Y403" s="251"/>
      <c r="Z403" s="264">
        <f t="shared" si="498"/>
        <v>0</v>
      </c>
      <c r="AA403" s="261"/>
      <c r="AB403" s="258"/>
      <c r="AC403" s="246"/>
      <c r="AD403" s="247" t="str">
        <f>IF(ISBLANK(AC403), "", VLOOKUP(AC403, Z!$A$2:$C$4127, 3, FALSE))</f>
        <v/>
      </c>
      <c r="AE403" s="262"/>
      <c r="AF403" s="263">
        <f t="shared" si="499"/>
        <v>0</v>
      </c>
      <c r="AG403" s="238"/>
      <c r="AH403" s="229">
        <f t="shared" si="523"/>
        <v>1</v>
      </c>
      <c r="AI403" s="229">
        <f t="shared" si="524"/>
        <v>1</v>
      </c>
      <c r="AJ403" s="229">
        <f t="shared" si="525"/>
        <v>0</v>
      </c>
      <c r="AK403" s="229">
        <v>0</v>
      </c>
      <c r="AL403" s="229">
        <v>0</v>
      </c>
      <c r="AM403" s="229">
        <v>1</v>
      </c>
      <c r="AN403" s="229">
        <v>0</v>
      </c>
      <c r="AO403" s="229">
        <f t="shared" si="500"/>
        <v>-100</v>
      </c>
      <c r="AP403" s="238"/>
      <c r="AQ403" s="255"/>
      <c r="AR403" s="255"/>
      <c r="AS403" s="256"/>
      <c r="AT403" s="256"/>
      <c r="AU403" s="256"/>
      <c r="AV403" s="256"/>
      <c r="AW403" s="256"/>
      <c r="AX403" s="256"/>
      <c r="AY403" s="256"/>
      <c r="AZ403" s="256"/>
      <c r="BA403" s="256"/>
      <c r="BB403" s="256"/>
      <c r="BC403" s="256"/>
      <c r="BD403" s="238"/>
      <c r="BE403" s="229" cm="1">
        <f t="array" ref="BE403">IF(ISBLANK(R403), INDEX(Use, $AH403, 4) - AM403*INDEX(Use, $AH403, 6), R403)</f>
        <v>5</v>
      </c>
      <c r="BF403" s="229">
        <f t="shared" si="501"/>
        <v>30</v>
      </c>
      <c r="BG403" s="229">
        <f t="shared" si="489"/>
        <v>13</v>
      </c>
      <c r="BH403" s="229">
        <f t="shared" si="490"/>
        <v>0</v>
      </c>
      <c r="BI403" s="234" cm="1">
        <f t="array" ref="BI403">K403/IF($L403&gt;0, INDEX($AU$23:$BA$77, $L403+20, $AH403), 1)</f>
        <v>0</v>
      </c>
      <c r="BJ403" s="230">
        <f t="shared" si="502"/>
        <v>0</v>
      </c>
      <c r="BK403" s="229">
        <v>35</v>
      </c>
      <c r="BL403" s="230">
        <f t="shared" si="503"/>
        <v>48</v>
      </c>
      <c r="BM403" s="235">
        <f t="shared" si="504"/>
        <v>2.9108720930232557</v>
      </c>
      <c r="BN403" s="235" cm="1">
        <f t="array" ref="BN403">$BI403 * SUMPRODUCT(INDEX($AR$77:$AT$82,,$AI403),INDEX($AU$77:$BA$82,,$AH403), N($AQ$77:$AQ$82&gt;$AO403)) / BM403 / 1000</f>
        <v>0</v>
      </c>
      <c r="BO403" s="232">
        <f t="shared" si="491"/>
        <v>30</v>
      </c>
      <c r="BP403" s="230">
        <f t="shared" si="505"/>
        <v>43</v>
      </c>
      <c r="BQ403" s="235">
        <f t="shared" si="506"/>
        <v>3.2938815789473681</v>
      </c>
      <c r="BR403" s="235" cm="1">
        <f t="array" ref="BR403">$BI403 * IF($AH403&lt;=2,
SUMPRODUCT(INDEX($AR$72:$AT$76,,$AI403), INDEX($AU$72:$BA$76,,$AH403), 1 / ($BB$72:$BB$76*BQ403 + (1-$BB$72:$BB$76)*BM403), N($AQ$72:$AQ$76&gt;$AO403)),
SUMPRODUCT(INDEX($AR$67:$AT$76,,$AI403), INDEX($AU$67:$BA$76,,$AH403), 1 / ($BC$67:$BC$76*BQ403 + (1-$BC$67:$BC$76)*BM403), N($AQ$67:$AQ$76&gt;$AO403))
) / 1000</f>
        <v>0</v>
      </c>
      <c r="BS403" s="232">
        <f t="shared" si="492"/>
        <v>25</v>
      </c>
      <c r="BT403" s="230">
        <f t="shared" si="507"/>
        <v>38</v>
      </c>
      <c r="BU403" s="235">
        <f t="shared" si="508"/>
        <v>3.792954545454545</v>
      </c>
      <c r="BV403" s="235" cm="1">
        <f t="array" ref="BV403">$BI403 * IF($AH403&lt;=2,
SUMPRODUCT(INDEX($AR$67:$AT$71,,$AI403), INDEX($AU$67:$BA$71,,$AH403), 1 / ($BB$67:$BB$71*BU403 + (1-$BB$67:$BB$71)*BQ403), N($AQ$67:$AQ$71&gt;$AO403)),
SUMPRODUCT(INDEX($AR$57:$AT$66,,$AI403), INDEX($AU$57:$BA$66,,$AH403), 1 / ($BC$57:$BC$66*BU403 + (1-$BC$57:$BC$66)*BQ403), N($AQ$57:$AQ$66&gt;$AO403))
) / 1000</f>
        <v>0</v>
      </c>
      <c r="BW403" s="232">
        <f t="shared" si="493"/>
        <v>20</v>
      </c>
      <c r="BX403" s="230">
        <f t="shared" si="509"/>
        <v>33</v>
      </c>
      <c r="BY403" s="235">
        <f t="shared" si="510"/>
        <v>4.4702678571428569</v>
      </c>
      <c r="BZ403" s="235" cm="1">
        <f t="array" ref="BZ403">$BI403 * IF($AH403&lt;=2,
SUMPRODUCT(INDEX($AR$62:$AT$66,,$AI403), INDEX($AU$62:$BA$66,,$AH403), 1 / ($BB$62:$BB$66*BY403 + (1-$BB$62:$BB$66)*BU403), N($AQ$62:$AQ$66&gt;$AO403)),
SUMPRODUCT(INDEX($AR$47:$AT$56,,$AI403), INDEX($AU$47:$BA$56,,$AH403), 1 / ($BC$47:$BC$56*BY403 + (1-$BC$47:$BC$56)*BU403), N($AQ$47:$AQ$56&gt;$AO403))
) / 1000</f>
        <v>0</v>
      </c>
      <c r="CA403" s="235" cm="1">
        <f t="array" ref="CA403">$BI403 * IF($AH403&lt;=2,
SUMPRODUCT(INDEX($AR$23:$AT$61,,$AI403), INDEX($AU$23:$BA$61,,$AH403), 1 / ($BB$23:$BB$61*BY403), N($AQ$23:$AQ$61&gt;$AO403)),
SUMPRODUCT(INDEX($AR$23:$AT$46,,$AI403), INDEX($AU$23:$BA$46,,$AH403), 1 / ($BC$23:$BC$46*BY403), N($AQ$23:$AQ$46&gt;$AO403))
) / 1000</f>
        <v>0</v>
      </c>
      <c r="CB403" s="230">
        <f t="shared" si="511"/>
        <v>0</v>
      </c>
      <c r="CC403" s="238"/>
      <c r="CD403" s="229" cm="1">
        <f t="array" ref="CD403">IF(ISBLANK(Y403), INDEX(Use, $AH403, 4) - AN403*INDEX(Use, $AH403, 6) - (Q403-X403), Y403)</f>
        <v>7</v>
      </c>
      <c r="CE403" s="229">
        <f t="shared" si="512"/>
        <v>32</v>
      </c>
      <c r="CF403" s="230">
        <f t="shared" si="513"/>
        <v>0</v>
      </c>
      <c r="CG403" s="229">
        <v>35</v>
      </c>
      <c r="CH403" s="230">
        <f t="shared" si="514"/>
        <v>48</v>
      </c>
      <c r="CI403" s="235">
        <f t="shared" si="515"/>
        <v>3.0748170731707316</v>
      </c>
      <c r="CJ403" s="235" cm="1">
        <f t="array" ref="CJ403">$BI403 * SUMPRODUCT(INDEX($AR$77:$AT$82,,$AI403),INDEX($AU$77:$BA$82,,$AH403), N($AQ$77:$AQ$82&gt;$AO403)) / CI403 / 1000</f>
        <v>0</v>
      </c>
      <c r="CK403" s="232">
        <f t="shared" si="494"/>
        <v>30</v>
      </c>
      <c r="CL403" s="230">
        <f t="shared" si="516"/>
        <v>43</v>
      </c>
      <c r="CM403" s="235">
        <f t="shared" si="517"/>
        <v>3.5018750000000001</v>
      </c>
      <c r="CN403" s="235" cm="1">
        <f t="array" ref="CN403">$BI403 * IF($AH403&lt;=2,
SUMPRODUCT(INDEX($AR$72:$AT$76,,$AI403), INDEX($AU$72:$BA$76,,$AH403), 1 / ($BB$72:$BB$76*CM403 + (1-$BB$72:$BB$76)*CI403), N($AQ$72:$AQ$76&gt;$AO403)),
SUMPRODUCT(INDEX($AR$67:$AT$76,,$AI403), INDEX($AU$67:$BA$76,,$AH403), 1 / ($BC$67:$BC$76*CM403 + (1-$BC$67:$BC$76)*CI403), N($AQ$67:$AQ$76&gt;$AO403))
) / 1000</f>
        <v>0</v>
      </c>
      <c r="CO403" s="232">
        <f t="shared" si="495"/>
        <v>25</v>
      </c>
      <c r="CP403" s="230">
        <f t="shared" si="518"/>
        <v>38</v>
      </c>
      <c r="CQ403" s="235">
        <f t="shared" si="519"/>
        <v>4.0666935483870965</v>
      </c>
      <c r="CR403" s="235" cm="1">
        <f t="array" ref="CR403">$BI403 * IF($AH403&lt;=2,
SUMPRODUCT(INDEX($AR$67:$AT$71,,$AI403), INDEX($AU$67:$BA$71,,$AH403), 1 / ($BB$67:$BB$71*CQ403 + (1-$BB$67:$BB$71)*CM403), N($AQ$67:$AQ$71&gt;$AO403)),
SUMPRODUCT(INDEX($AR$57:$AT$66,,$AI403), INDEX($AU$57:$BA$66,,$AH403), 1 / ($BC$57:$BC$66*CQ403 + (1-$BC$57:$BC$66)*CM403), N($AQ$57:$AQ$66&gt;$AO403))
) / 1000</f>
        <v>0</v>
      </c>
      <c r="CS403" s="232">
        <f t="shared" si="496"/>
        <v>20</v>
      </c>
      <c r="CT403" s="230">
        <f t="shared" si="520"/>
        <v>33</v>
      </c>
      <c r="CU403" s="235">
        <f t="shared" si="521"/>
        <v>4.8487499999999999</v>
      </c>
      <c r="CV403" s="235" cm="1">
        <f t="array" ref="CV403">$BI403 * IF($AH403&lt;=2,
SUMPRODUCT(INDEX($AR$62:$AT$66,,$AI403), INDEX($AU$62:$BA$66,,$AH403), 1 / ($BB$62:$BB$66*CU403 + (1-$BB$62:$BB$66)*CQ403), N($AQ$62:$AQ$66&gt;$AO403)),
SUMPRODUCT(INDEX($AR$47:$AT$56,,$AI403), INDEX($AU$47:$BA$56,,$AH403), 1 / ($BC$47:$BC$56*CU403 + (1-$BC$47:$BC$56)*CQ403), N($AQ$47:$AQ$56&gt;$AO403))
) / 1000</f>
        <v>0</v>
      </c>
      <c r="CW403" s="235" cm="1">
        <f t="array" ref="CW403">$BI403 * IF($AH403&lt;=2,
SUMPRODUCT(INDEX($AR$23:$AT$61,,$AI403), INDEX($AU$23:$BA$61,,$AH403), 1 / ($BB$23:$BB$61*CU403), N($AQ$23:$AQ$61&gt;$AO403)),
SUMPRODUCT(INDEX($AR$23:$AT$46,,$AI403), INDEX($AU$23:$BA$46,,$AH403), 1 / ($BC$23:$BC$46*CU403), N($AQ$23:$AQ$46&gt;$AO403))
) / 1000</f>
        <v>0</v>
      </c>
      <c r="CX403" s="230">
        <f t="shared" si="522"/>
        <v>0</v>
      </c>
      <c r="CY403" s="238"/>
    </row>
    <row r="404" spans="1:103" s="76" customFormat="1" ht="14.25" customHeight="1" x14ac:dyDescent="0.2">
      <c r="A404" s="231" t="b">
        <f t="shared" si="488"/>
        <v>0</v>
      </c>
      <c r="B404" s="245">
        <v>382</v>
      </c>
      <c r="C404" s="258"/>
      <c r="D404" s="258"/>
      <c r="E404" s="246"/>
      <c r="F404" s="247" t="str">
        <f>IF(ISBLANK(E404), "", VLOOKUP(E404, Z!$A$2:$C$4127, 3, FALSE))</f>
        <v/>
      </c>
      <c r="G404" s="248"/>
      <c r="H404" s="248"/>
      <c r="I404" s="249"/>
      <c r="J404" s="250"/>
      <c r="K404" s="259"/>
      <c r="L404" s="260"/>
      <c r="M404" s="252" t="str" cm="1">
        <f t="array" ref="M404">INDEX(Trad, 53, $A$20)</f>
        <v>Verschmutzt</v>
      </c>
      <c r="N404" s="253"/>
      <c r="O404" s="253"/>
      <c r="P404" s="254"/>
      <c r="Q404" s="251"/>
      <c r="R404" s="251"/>
      <c r="S404" s="264">
        <f t="shared" si="497"/>
        <v>0</v>
      </c>
      <c r="T404" s="252" t="str" cm="1">
        <f t="array" ref="T404">INDEX(Trad, 52, $A$20)</f>
        <v>Sauber</v>
      </c>
      <c r="U404" s="253"/>
      <c r="V404" s="253"/>
      <c r="W404" s="254"/>
      <c r="X404" s="251"/>
      <c r="Y404" s="251"/>
      <c r="Z404" s="264">
        <f t="shared" si="498"/>
        <v>0</v>
      </c>
      <c r="AA404" s="261"/>
      <c r="AB404" s="258"/>
      <c r="AC404" s="246"/>
      <c r="AD404" s="247" t="str">
        <f>IF(ISBLANK(AC404), "", VLOOKUP(AC404, Z!$A$2:$C$4127, 3, FALSE))</f>
        <v/>
      </c>
      <c r="AE404" s="262"/>
      <c r="AF404" s="263">
        <f t="shared" si="499"/>
        <v>0</v>
      </c>
      <c r="AG404" s="238"/>
      <c r="AH404" s="229">
        <f t="shared" si="523"/>
        <v>1</v>
      </c>
      <c r="AI404" s="229">
        <f t="shared" si="524"/>
        <v>1</v>
      </c>
      <c r="AJ404" s="229">
        <f t="shared" si="525"/>
        <v>0</v>
      </c>
      <c r="AK404" s="229">
        <v>0</v>
      </c>
      <c r="AL404" s="229">
        <v>0</v>
      </c>
      <c r="AM404" s="229">
        <v>1</v>
      </c>
      <c r="AN404" s="229">
        <v>0</v>
      </c>
      <c r="AO404" s="229">
        <f t="shared" si="500"/>
        <v>-100</v>
      </c>
      <c r="AP404" s="238"/>
      <c r="AQ404" s="255"/>
      <c r="AR404" s="255"/>
      <c r="AS404" s="256"/>
      <c r="AT404" s="256"/>
      <c r="AU404" s="256"/>
      <c r="AV404" s="256"/>
      <c r="AW404" s="256"/>
      <c r="AX404" s="256"/>
      <c r="AY404" s="256"/>
      <c r="AZ404" s="256"/>
      <c r="BA404" s="256"/>
      <c r="BB404" s="256"/>
      <c r="BC404" s="256"/>
      <c r="BD404" s="238"/>
      <c r="BE404" s="229" cm="1">
        <f t="array" ref="BE404">IF(ISBLANK(R404), INDEX(Use, $AH404, 4) - AM404*INDEX(Use, $AH404, 6), R404)</f>
        <v>5</v>
      </c>
      <c r="BF404" s="229">
        <f t="shared" si="501"/>
        <v>30</v>
      </c>
      <c r="BG404" s="229">
        <f t="shared" si="489"/>
        <v>13</v>
      </c>
      <c r="BH404" s="229">
        <f t="shared" si="490"/>
        <v>0</v>
      </c>
      <c r="BI404" s="234" cm="1">
        <f t="array" ref="BI404">K404/IF($L404&gt;0, INDEX($AU$23:$BA$77, $L404+20, $AH404), 1)</f>
        <v>0</v>
      </c>
      <c r="BJ404" s="230">
        <f t="shared" si="502"/>
        <v>0</v>
      </c>
      <c r="BK404" s="229">
        <v>35</v>
      </c>
      <c r="BL404" s="230">
        <f t="shared" si="503"/>
        <v>48</v>
      </c>
      <c r="BM404" s="235">
        <f t="shared" si="504"/>
        <v>2.9108720930232557</v>
      </c>
      <c r="BN404" s="235" cm="1">
        <f t="array" ref="BN404">$BI404 * SUMPRODUCT(INDEX($AR$77:$AT$82,,$AI404),INDEX($AU$77:$BA$82,,$AH404), N($AQ$77:$AQ$82&gt;$AO404)) / BM404 / 1000</f>
        <v>0</v>
      </c>
      <c r="BO404" s="232">
        <f t="shared" si="491"/>
        <v>30</v>
      </c>
      <c r="BP404" s="230">
        <f t="shared" si="505"/>
        <v>43</v>
      </c>
      <c r="BQ404" s="235">
        <f t="shared" si="506"/>
        <v>3.2938815789473681</v>
      </c>
      <c r="BR404" s="235" cm="1">
        <f t="array" ref="BR404">$BI404 * IF($AH404&lt;=2,
SUMPRODUCT(INDEX($AR$72:$AT$76,,$AI404), INDEX($AU$72:$BA$76,,$AH404), 1 / ($BB$72:$BB$76*BQ404 + (1-$BB$72:$BB$76)*BM404), N($AQ$72:$AQ$76&gt;$AO404)),
SUMPRODUCT(INDEX($AR$67:$AT$76,,$AI404), INDEX($AU$67:$BA$76,,$AH404), 1 / ($BC$67:$BC$76*BQ404 + (1-$BC$67:$BC$76)*BM404), N($AQ$67:$AQ$76&gt;$AO404))
) / 1000</f>
        <v>0</v>
      </c>
      <c r="BS404" s="232">
        <f t="shared" si="492"/>
        <v>25</v>
      </c>
      <c r="BT404" s="230">
        <f t="shared" si="507"/>
        <v>38</v>
      </c>
      <c r="BU404" s="235">
        <f t="shared" si="508"/>
        <v>3.792954545454545</v>
      </c>
      <c r="BV404" s="235" cm="1">
        <f t="array" ref="BV404">$BI404 * IF($AH404&lt;=2,
SUMPRODUCT(INDEX($AR$67:$AT$71,,$AI404), INDEX($AU$67:$BA$71,,$AH404), 1 / ($BB$67:$BB$71*BU404 + (1-$BB$67:$BB$71)*BQ404), N($AQ$67:$AQ$71&gt;$AO404)),
SUMPRODUCT(INDEX($AR$57:$AT$66,,$AI404), INDEX($AU$57:$BA$66,,$AH404), 1 / ($BC$57:$BC$66*BU404 + (1-$BC$57:$BC$66)*BQ404), N($AQ$57:$AQ$66&gt;$AO404))
) / 1000</f>
        <v>0</v>
      </c>
      <c r="BW404" s="232">
        <f t="shared" si="493"/>
        <v>20</v>
      </c>
      <c r="BX404" s="230">
        <f t="shared" si="509"/>
        <v>33</v>
      </c>
      <c r="BY404" s="235">
        <f t="shared" si="510"/>
        <v>4.4702678571428569</v>
      </c>
      <c r="BZ404" s="235" cm="1">
        <f t="array" ref="BZ404">$BI404 * IF($AH404&lt;=2,
SUMPRODUCT(INDEX($AR$62:$AT$66,,$AI404), INDEX($AU$62:$BA$66,,$AH404), 1 / ($BB$62:$BB$66*BY404 + (1-$BB$62:$BB$66)*BU404), N($AQ$62:$AQ$66&gt;$AO404)),
SUMPRODUCT(INDEX($AR$47:$AT$56,,$AI404), INDEX($AU$47:$BA$56,,$AH404), 1 / ($BC$47:$BC$56*BY404 + (1-$BC$47:$BC$56)*BU404), N($AQ$47:$AQ$56&gt;$AO404))
) / 1000</f>
        <v>0</v>
      </c>
      <c r="CA404" s="235" cm="1">
        <f t="array" ref="CA404">$BI404 * IF($AH404&lt;=2,
SUMPRODUCT(INDEX($AR$23:$AT$61,,$AI404), INDEX($AU$23:$BA$61,,$AH404), 1 / ($BB$23:$BB$61*BY404), N($AQ$23:$AQ$61&gt;$AO404)),
SUMPRODUCT(INDEX($AR$23:$AT$46,,$AI404), INDEX($AU$23:$BA$46,,$AH404), 1 / ($BC$23:$BC$46*BY404), N($AQ$23:$AQ$46&gt;$AO404))
) / 1000</f>
        <v>0</v>
      </c>
      <c r="CB404" s="230">
        <f t="shared" si="511"/>
        <v>0</v>
      </c>
      <c r="CC404" s="238"/>
      <c r="CD404" s="229" cm="1">
        <f t="array" ref="CD404">IF(ISBLANK(Y404), INDEX(Use, $AH404, 4) - AN404*INDEX(Use, $AH404, 6) - (Q404-X404), Y404)</f>
        <v>7</v>
      </c>
      <c r="CE404" s="229">
        <f t="shared" si="512"/>
        <v>32</v>
      </c>
      <c r="CF404" s="230">
        <f t="shared" si="513"/>
        <v>0</v>
      </c>
      <c r="CG404" s="229">
        <v>35</v>
      </c>
      <c r="CH404" s="230">
        <f t="shared" si="514"/>
        <v>48</v>
      </c>
      <c r="CI404" s="235">
        <f t="shared" si="515"/>
        <v>3.0748170731707316</v>
      </c>
      <c r="CJ404" s="235" cm="1">
        <f t="array" ref="CJ404">$BI404 * SUMPRODUCT(INDEX($AR$77:$AT$82,,$AI404),INDEX($AU$77:$BA$82,,$AH404), N($AQ$77:$AQ$82&gt;$AO404)) / CI404 / 1000</f>
        <v>0</v>
      </c>
      <c r="CK404" s="232">
        <f t="shared" si="494"/>
        <v>30</v>
      </c>
      <c r="CL404" s="230">
        <f t="shared" si="516"/>
        <v>43</v>
      </c>
      <c r="CM404" s="235">
        <f t="shared" si="517"/>
        <v>3.5018750000000001</v>
      </c>
      <c r="CN404" s="235" cm="1">
        <f t="array" ref="CN404">$BI404 * IF($AH404&lt;=2,
SUMPRODUCT(INDEX($AR$72:$AT$76,,$AI404), INDEX($AU$72:$BA$76,,$AH404), 1 / ($BB$72:$BB$76*CM404 + (1-$BB$72:$BB$76)*CI404), N($AQ$72:$AQ$76&gt;$AO404)),
SUMPRODUCT(INDEX($AR$67:$AT$76,,$AI404), INDEX($AU$67:$BA$76,,$AH404), 1 / ($BC$67:$BC$76*CM404 + (1-$BC$67:$BC$76)*CI404), N($AQ$67:$AQ$76&gt;$AO404))
) / 1000</f>
        <v>0</v>
      </c>
      <c r="CO404" s="232">
        <f t="shared" si="495"/>
        <v>25</v>
      </c>
      <c r="CP404" s="230">
        <f t="shared" si="518"/>
        <v>38</v>
      </c>
      <c r="CQ404" s="235">
        <f t="shared" si="519"/>
        <v>4.0666935483870965</v>
      </c>
      <c r="CR404" s="235" cm="1">
        <f t="array" ref="CR404">$BI404 * IF($AH404&lt;=2,
SUMPRODUCT(INDEX($AR$67:$AT$71,,$AI404), INDEX($AU$67:$BA$71,,$AH404), 1 / ($BB$67:$BB$71*CQ404 + (1-$BB$67:$BB$71)*CM404), N($AQ$67:$AQ$71&gt;$AO404)),
SUMPRODUCT(INDEX($AR$57:$AT$66,,$AI404), INDEX($AU$57:$BA$66,,$AH404), 1 / ($BC$57:$BC$66*CQ404 + (1-$BC$57:$BC$66)*CM404), N($AQ$57:$AQ$66&gt;$AO404))
) / 1000</f>
        <v>0</v>
      </c>
      <c r="CS404" s="232">
        <f t="shared" si="496"/>
        <v>20</v>
      </c>
      <c r="CT404" s="230">
        <f t="shared" si="520"/>
        <v>33</v>
      </c>
      <c r="CU404" s="235">
        <f t="shared" si="521"/>
        <v>4.8487499999999999</v>
      </c>
      <c r="CV404" s="235" cm="1">
        <f t="array" ref="CV404">$BI404 * IF($AH404&lt;=2,
SUMPRODUCT(INDEX($AR$62:$AT$66,,$AI404), INDEX($AU$62:$BA$66,,$AH404), 1 / ($BB$62:$BB$66*CU404 + (1-$BB$62:$BB$66)*CQ404), N($AQ$62:$AQ$66&gt;$AO404)),
SUMPRODUCT(INDEX($AR$47:$AT$56,,$AI404), INDEX($AU$47:$BA$56,,$AH404), 1 / ($BC$47:$BC$56*CU404 + (1-$BC$47:$BC$56)*CQ404), N($AQ$47:$AQ$56&gt;$AO404))
) / 1000</f>
        <v>0</v>
      </c>
      <c r="CW404" s="235" cm="1">
        <f t="array" ref="CW404">$BI404 * IF($AH404&lt;=2,
SUMPRODUCT(INDEX($AR$23:$AT$61,,$AI404), INDEX($AU$23:$BA$61,,$AH404), 1 / ($BB$23:$BB$61*CU404), N($AQ$23:$AQ$61&gt;$AO404)),
SUMPRODUCT(INDEX($AR$23:$AT$46,,$AI404), INDEX($AU$23:$BA$46,,$AH404), 1 / ($BC$23:$BC$46*CU404), N($AQ$23:$AQ$46&gt;$AO404))
) / 1000</f>
        <v>0</v>
      </c>
      <c r="CX404" s="230">
        <f t="shared" si="522"/>
        <v>0</v>
      </c>
      <c r="CY404" s="238"/>
    </row>
    <row r="405" spans="1:103" s="76" customFormat="1" ht="14.25" customHeight="1" x14ac:dyDescent="0.2">
      <c r="A405" s="231" t="b">
        <f t="shared" si="488"/>
        <v>0</v>
      </c>
      <c r="B405" s="245">
        <v>383</v>
      </c>
      <c r="C405" s="258"/>
      <c r="D405" s="258"/>
      <c r="E405" s="246"/>
      <c r="F405" s="247" t="str">
        <f>IF(ISBLANK(E405), "", VLOOKUP(E405, Z!$A$2:$C$4127, 3, FALSE))</f>
        <v/>
      </c>
      <c r="G405" s="248"/>
      <c r="H405" s="248"/>
      <c r="I405" s="249"/>
      <c r="J405" s="250"/>
      <c r="K405" s="259"/>
      <c r="L405" s="260"/>
      <c r="M405" s="252" t="str" cm="1">
        <f t="array" ref="M405">INDEX(Trad, 53, $A$20)</f>
        <v>Verschmutzt</v>
      </c>
      <c r="N405" s="253"/>
      <c r="O405" s="253"/>
      <c r="P405" s="254"/>
      <c r="Q405" s="251"/>
      <c r="R405" s="251"/>
      <c r="S405" s="264">
        <f t="shared" si="497"/>
        <v>0</v>
      </c>
      <c r="T405" s="252" t="str" cm="1">
        <f t="array" ref="T405">INDEX(Trad, 52, $A$20)</f>
        <v>Sauber</v>
      </c>
      <c r="U405" s="253"/>
      <c r="V405" s="253"/>
      <c r="W405" s="254"/>
      <c r="X405" s="251"/>
      <c r="Y405" s="251"/>
      <c r="Z405" s="264">
        <f t="shared" si="498"/>
        <v>0</v>
      </c>
      <c r="AA405" s="261"/>
      <c r="AB405" s="258"/>
      <c r="AC405" s="246"/>
      <c r="AD405" s="247" t="str">
        <f>IF(ISBLANK(AC405), "", VLOOKUP(AC405, Z!$A$2:$C$4127, 3, FALSE))</f>
        <v/>
      </c>
      <c r="AE405" s="262"/>
      <c r="AF405" s="263">
        <f t="shared" si="499"/>
        <v>0</v>
      </c>
      <c r="AG405" s="238"/>
      <c r="AH405" s="229">
        <f t="shared" si="523"/>
        <v>1</v>
      </c>
      <c r="AI405" s="229">
        <f t="shared" si="524"/>
        <v>1</v>
      </c>
      <c r="AJ405" s="229">
        <f t="shared" si="525"/>
        <v>0</v>
      </c>
      <c r="AK405" s="229">
        <v>0</v>
      </c>
      <c r="AL405" s="229">
        <v>0</v>
      </c>
      <c r="AM405" s="229">
        <v>1</v>
      </c>
      <c r="AN405" s="229">
        <v>0</v>
      </c>
      <c r="AO405" s="229">
        <f t="shared" si="500"/>
        <v>-100</v>
      </c>
      <c r="AP405" s="238"/>
      <c r="AQ405" s="255"/>
      <c r="AR405" s="255"/>
      <c r="AS405" s="256"/>
      <c r="AT405" s="256"/>
      <c r="AU405" s="256"/>
      <c r="AV405" s="256"/>
      <c r="AW405" s="256"/>
      <c r="AX405" s="256"/>
      <c r="AY405" s="256"/>
      <c r="AZ405" s="256"/>
      <c r="BA405" s="256"/>
      <c r="BB405" s="256"/>
      <c r="BC405" s="256"/>
      <c r="BD405" s="238"/>
      <c r="BE405" s="229" cm="1">
        <f t="array" ref="BE405">IF(ISBLANK(R405), INDEX(Use, $AH405, 4) - AM405*INDEX(Use, $AH405, 6), R405)</f>
        <v>5</v>
      </c>
      <c r="BF405" s="229">
        <f t="shared" si="501"/>
        <v>30</v>
      </c>
      <c r="BG405" s="229">
        <f t="shared" si="489"/>
        <v>13</v>
      </c>
      <c r="BH405" s="229">
        <f t="shared" si="490"/>
        <v>0</v>
      </c>
      <c r="BI405" s="234" cm="1">
        <f t="array" ref="BI405">K405/IF($L405&gt;0, INDEX($AU$23:$BA$77, $L405+20, $AH405), 1)</f>
        <v>0</v>
      </c>
      <c r="BJ405" s="230">
        <f t="shared" si="502"/>
        <v>0</v>
      </c>
      <c r="BK405" s="229">
        <v>35</v>
      </c>
      <c r="BL405" s="230">
        <f t="shared" si="503"/>
        <v>48</v>
      </c>
      <c r="BM405" s="235">
        <f t="shared" si="504"/>
        <v>2.9108720930232557</v>
      </c>
      <c r="BN405" s="235" cm="1">
        <f t="array" ref="BN405">$BI405 * SUMPRODUCT(INDEX($AR$77:$AT$82,,$AI405),INDEX($AU$77:$BA$82,,$AH405), N($AQ$77:$AQ$82&gt;$AO405)) / BM405 / 1000</f>
        <v>0</v>
      </c>
      <c r="BO405" s="232">
        <f t="shared" si="491"/>
        <v>30</v>
      </c>
      <c r="BP405" s="230">
        <f t="shared" si="505"/>
        <v>43</v>
      </c>
      <c r="BQ405" s="235">
        <f t="shared" si="506"/>
        <v>3.2938815789473681</v>
      </c>
      <c r="BR405" s="235" cm="1">
        <f t="array" ref="BR405">$BI405 * IF($AH405&lt;=2,
SUMPRODUCT(INDEX($AR$72:$AT$76,,$AI405), INDEX($AU$72:$BA$76,,$AH405), 1 / ($BB$72:$BB$76*BQ405 + (1-$BB$72:$BB$76)*BM405), N($AQ$72:$AQ$76&gt;$AO405)),
SUMPRODUCT(INDEX($AR$67:$AT$76,,$AI405), INDEX($AU$67:$BA$76,,$AH405), 1 / ($BC$67:$BC$76*BQ405 + (1-$BC$67:$BC$76)*BM405), N($AQ$67:$AQ$76&gt;$AO405))
) / 1000</f>
        <v>0</v>
      </c>
      <c r="BS405" s="232">
        <f t="shared" si="492"/>
        <v>25</v>
      </c>
      <c r="BT405" s="230">
        <f t="shared" si="507"/>
        <v>38</v>
      </c>
      <c r="BU405" s="235">
        <f t="shared" si="508"/>
        <v>3.792954545454545</v>
      </c>
      <c r="BV405" s="235" cm="1">
        <f t="array" ref="BV405">$BI405 * IF($AH405&lt;=2,
SUMPRODUCT(INDEX($AR$67:$AT$71,,$AI405), INDEX($AU$67:$BA$71,,$AH405), 1 / ($BB$67:$BB$71*BU405 + (1-$BB$67:$BB$71)*BQ405), N($AQ$67:$AQ$71&gt;$AO405)),
SUMPRODUCT(INDEX($AR$57:$AT$66,,$AI405), INDEX($AU$57:$BA$66,,$AH405), 1 / ($BC$57:$BC$66*BU405 + (1-$BC$57:$BC$66)*BQ405), N($AQ$57:$AQ$66&gt;$AO405))
) / 1000</f>
        <v>0</v>
      </c>
      <c r="BW405" s="232">
        <f t="shared" si="493"/>
        <v>20</v>
      </c>
      <c r="BX405" s="230">
        <f t="shared" si="509"/>
        <v>33</v>
      </c>
      <c r="BY405" s="235">
        <f t="shared" si="510"/>
        <v>4.4702678571428569</v>
      </c>
      <c r="BZ405" s="235" cm="1">
        <f t="array" ref="BZ405">$BI405 * IF($AH405&lt;=2,
SUMPRODUCT(INDEX($AR$62:$AT$66,,$AI405), INDEX($AU$62:$BA$66,,$AH405), 1 / ($BB$62:$BB$66*BY405 + (1-$BB$62:$BB$66)*BU405), N($AQ$62:$AQ$66&gt;$AO405)),
SUMPRODUCT(INDEX($AR$47:$AT$56,,$AI405), INDEX($AU$47:$BA$56,,$AH405), 1 / ($BC$47:$BC$56*BY405 + (1-$BC$47:$BC$56)*BU405), N($AQ$47:$AQ$56&gt;$AO405))
) / 1000</f>
        <v>0</v>
      </c>
      <c r="CA405" s="235" cm="1">
        <f t="array" ref="CA405">$BI405 * IF($AH405&lt;=2,
SUMPRODUCT(INDEX($AR$23:$AT$61,,$AI405), INDEX($AU$23:$BA$61,,$AH405), 1 / ($BB$23:$BB$61*BY405), N($AQ$23:$AQ$61&gt;$AO405)),
SUMPRODUCT(INDEX($AR$23:$AT$46,,$AI405), INDEX($AU$23:$BA$46,,$AH405), 1 / ($BC$23:$BC$46*BY405), N($AQ$23:$AQ$46&gt;$AO405))
) / 1000</f>
        <v>0</v>
      </c>
      <c r="CB405" s="230">
        <f t="shared" si="511"/>
        <v>0</v>
      </c>
      <c r="CC405" s="238"/>
      <c r="CD405" s="229" cm="1">
        <f t="array" ref="CD405">IF(ISBLANK(Y405), INDEX(Use, $AH405, 4) - AN405*INDEX(Use, $AH405, 6) - (Q405-X405), Y405)</f>
        <v>7</v>
      </c>
      <c r="CE405" s="229">
        <f t="shared" si="512"/>
        <v>32</v>
      </c>
      <c r="CF405" s="230">
        <f t="shared" si="513"/>
        <v>0</v>
      </c>
      <c r="CG405" s="229">
        <v>35</v>
      </c>
      <c r="CH405" s="230">
        <f t="shared" si="514"/>
        <v>48</v>
      </c>
      <c r="CI405" s="235">
        <f t="shared" si="515"/>
        <v>3.0748170731707316</v>
      </c>
      <c r="CJ405" s="235" cm="1">
        <f t="array" ref="CJ405">$BI405 * SUMPRODUCT(INDEX($AR$77:$AT$82,,$AI405),INDEX($AU$77:$BA$82,,$AH405), N($AQ$77:$AQ$82&gt;$AO405)) / CI405 / 1000</f>
        <v>0</v>
      </c>
      <c r="CK405" s="232">
        <f t="shared" si="494"/>
        <v>30</v>
      </c>
      <c r="CL405" s="230">
        <f t="shared" si="516"/>
        <v>43</v>
      </c>
      <c r="CM405" s="235">
        <f t="shared" si="517"/>
        <v>3.5018750000000001</v>
      </c>
      <c r="CN405" s="235" cm="1">
        <f t="array" ref="CN405">$BI405 * IF($AH405&lt;=2,
SUMPRODUCT(INDEX($AR$72:$AT$76,,$AI405), INDEX($AU$72:$BA$76,,$AH405), 1 / ($BB$72:$BB$76*CM405 + (1-$BB$72:$BB$76)*CI405), N($AQ$72:$AQ$76&gt;$AO405)),
SUMPRODUCT(INDEX($AR$67:$AT$76,,$AI405), INDEX($AU$67:$BA$76,,$AH405), 1 / ($BC$67:$BC$76*CM405 + (1-$BC$67:$BC$76)*CI405), N($AQ$67:$AQ$76&gt;$AO405))
) / 1000</f>
        <v>0</v>
      </c>
      <c r="CO405" s="232">
        <f t="shared" si="495"/>
        <v>25</v>
      </c>
      <c r="CP405" s="230">
        <f t="shared" si="518"/>
        <v>38</v>
      </c>
      <c r="CQ405" s="235">
        <f t="shared" si="519"/>
        <v>4.0666935483870965</v>
      </c>
      <c r="CR405" s="235" cm="1">
        <f t="array" ref="CR405">$BI405 * IF($AH405&lt;=2,
SUMPRODUCT(INDEX($AR$67:$AT$71,,$AI405), INDEX($AU$67:$BA$71,,$AH405), 1 / ($BB$67:$BB$71*CQ405 + (1-$BB$67:$BB$71)*CM405), N($AQ$67:$AQ$71&gt;$AO405)),
SUMPRODUCT(INDEX($AR$57:$AT$66,,$AI405), INDEX($AU$57:$BA$66,,$AH405), 1 / ($BC$57:$BC$66*CQ405 + (1-$BC$57:$BC$66)*CM405), N($AQ$57:$AQ$66&gt;$AO405))
) / 1000</f>
        <v>0</v>
      </c>
      <c r="CS405" s="232">
        <f t="shared" si="496"/>
        <v>20</v>
      </c>
      <c r="CT405" s="230">
        <f t="shared" si="520"/>
        <v>33</v>
      </c>
      <c r="CU405" s="235">
        <f t="shared" si="521"/>
        <v>4.8487499999999999</v>
      </c>
      <c r="CV405" s="235" cm="1">
        <f t="array" ref="CV405">$BI405 * IF($AH405&lt;=2,
SUMPRODUCT(INDEX($AR$62:$AT$66,,$AI405), INDEX($AU$62:$BA$66,,$AH405), 1 / ($BB$62:$BB$66*CU405 + (1-$BB$62:$BB$66)*CQ405), N($AQ$62:$AQ$66&gt;$AO405)),
SUMPRODUCT(INDEX($AR$47:$AT$56,,$AI405), INDEX($AU$47:$BA$56,,$AH405), 1 / ($BC$47:$BC$56*CU405 + (1-$BC$47:$BC$56)*CQ405), N($AQ$47:$AQ$56&gt;$AO405))
) / 1000</f>
        <v>0</v>
      </c>
      <c r="CW405" s="235" cm="1">
        <f t="array" ref="CW405">$BI405 * IF($AH405&lt;=2,
SUMPRODUCT(INDEX($AR$23:$AT$61,,$AI405), INDEX($AU$23:$BA$61,,$AH405), 1 / ($BB$23:$BB$61*CU405), N($AQ$23:$AQ$61&gt;$AO405)),
SUMPRODUCT(INDEX($AR$23:$AT$46,,$AI405), INDEX($AU$23:$BA$46,,$AH405), 1 / ($BC$23:$BC$46*CU405), N($AQ$23:$AQ$46&gt;$AO405))
) / 1000</f>
        <v>0</v>
      </c>
      <c r="CX405" s="230">
        <f t="shared" si="522"/>
        <v>0</v>
      </c>
      <c r="CY405" s="238"/>
    </row>
    <row r="406" spans="1:103" s="76" customFormat="1" ht="14.25" customHeight="1" x14ac:dyDescent="0.2">
      <c r="A406" s="231" t="b">
        <f t="shared" ref="A406:A469" si="526">IF(OR(AND($K406&gt;80, $AH406=1), AND($K406&gt;40, $AH406=3), AND($K406&gt;30, $AH406=4),), TRUE, FALSE)</f>
        <v>0</v>
      </c>
      <c r="B406" s="245">
        <v>384</v>
      </c>
      <c r="C406" s="258"/>
      <c r="D406" s="258"/>
      <c r="E406" s="246"/>
      <c r="F406" s="247" t="str">
        <f>IF(ISBLANK(E406), "", VLOOKUP(E406, Z!$A$2:$C$4127, 3, FALSE))</f>
        <v/>
      </c>
      <c r="G406" s="248"/>
      <c r="H406" s="248"/>
      <c r="I406" s="249"/>
      <c r="J406" s="250"/>
      <c r="K406" s="259"/>
      <c r="L406" s="260"/>
      <c r="M406" s="252" t="str" cm="1">
        <f t="array" ref="M406">INDEX(Trad, 53, $A$20)</f>
        <v>Verschmutzt</v>
      </c>
      <c r="N406" s="253"/>
      <c r="O406" s="253"/>
      <c r="P406" s="254"/>
      <c r="Q406" s="251"/>
      <c r="R406" s="251"/>
      <c r="S406" s="264">
        <f t="shared" si="497"/>
        <v>0</v>
      </c>
      <c r="T406" s="252" t="str" cm="1">
        <f t="array" ref="T406">INDEX(Trad, 52, $A$20)</f>
        <v>Sauber</v>
      </c>
      <c r="U406" s="253"/>
      <c r="V406" s="253"/>
      <c r="W406" s="254"/>
      <c r="X406" s="251"/>
      <c r="Y406" s="251"/>
      <c r="Z406" s="264">
        <f t="shared" si="498"/>
        <v>0</v>
      </c>
      <c r="AA406" s="261"/>
      <c r="AB406" s="258"/>
      <c r="AC406" s="246"/>
      <c r="AD406" s="247" t="str">
        <f>IF(ISBLANK(AC406), "", VLOOKUP(AC406, Z!$A$2:$C$4127, 3, FALSE))</f>
        <v/>
      </c>
      <c r="AE406" s="262"/>
      <c r="AF406" s="263">
        <f t="shared" si="499"/>
        <v>0</v>
      </c>
      <c r="AG406" s="238"/>
      <c r="AH406" s="229">
        <f t="shared" si="523"/>
        <v>1</v>
      </c>
      <c r="AI406" s="229">
        <f t="shared" si="524"/>
        <v>1</v>
      </c>
      <c r="AJ406" s="229">
        <f t="shared" si="525"/>
        <v>0</v>
      </c>
      <c r="AK406" s="229">
        <v>0</v>
      </c>
      <c r="AL406" s="229">
        <v>0</v>
      </c>
      <c r="AM406" s="229">
        <v>1</v>
      </c>
      <c r="AN406" s="229">
        <v>0</v>
      </c>
      <c r="AO406" s="229">
        <f t="shared" si="500"/>
        <v>-100</v>
      </c>
      <c r="AP406" s="238"/>
      <c r="AQ406" s="255"/>
      <c r="AR406" s="255"/>
      <c r="AS406" s="256"/>
      <c r="AT406" s="256"/>
      <c r="AU406" s="256"/>
      <c r="AV406" s="256"/>
      <c r="AW406" s="256"/>
      <c r="AX406" s="256"/>
      <c r="AY406" s="256"/>
      <c r="AZ406" s="256"/>
      <c r="BA406" s="256"/>
      <c r="BB406" s="256"/>
      <c r="BC406" s="256"/>
      <c r="BD406" s="238"/>
      <c r="BE406" s="229" cm="1">
        <f t="array" ref="BE406">IF(ISBLANK(R406), INDEX(Use, $AH406, 4) - AM406*INDEX(Use, $AH406, 6), R406)</f>
        <v>5</v>
      </c>
      <c r="BF406" s="229">
        <f t="shared" si="501"/>
        <v>30</v>
      </c>
      <c r="BG406" s="229">
        <f t="shared" si="489"/>
        <v>13</v>
      </c>
      <c r="BH406" s="229">
        <f t="shared" si="490"/>
        <v>0</v>
      </c>
      <c r="BI406" s="234" cm="1">
        <f t="array" ref="BI406">K406/IF($L406&gt;0, INDEX($AU$23:$BA$77, $L406+20, $AH406), 1)</f>
        <v>0</v>
      </c>
      <c r="BJ406" s="230">
        <f t="shared" si="502"/>
        <v>0</v>
      </c>
      <c r="BK406" s="229">
        <v>35</v>
      </c>
      <c r="BL406" s="230">
        <f t="shared" si="503"/>
        <v>48</v>
      </c>
      <c r="BM406" s="235">
        <f t="shared" si="504"/>
        <v>2.9108720930232557</v>
      </c>
      <c r="BN406" s="235" cm="1">
        <f t="array" ref="BN406">$BI406 * SUMPRODUCT(INDEX($AR$77:$AT$82,,$AI406),INDEX($AU$77:$BA$82,,$AH406), N($AQ$77:$AQ$82&gt;$AO406)) / BM406 / 1000</f>
        <v>0</v>
      </c>
      <c r="BO406" s="232">
        <f t="shared" si="491"/>
        <v>30</v>
      </c>
      <c r="BP406" s="230">
        <f t="shared" si="505"/>
        <v>43</v>
      </c>
      <c r="BQ406" s="235">
        <f t="shared" si="506"/>
        <v>3.2938815789473681</v>
      </c>
      <c r="BR406" s="235" cm="1">
        <f t="array" ref="BR406">$BI406 * IF($AH406&lt;=2,
SUMPRODUCT(INDEX($AR$72:$AT$76,,$AI406), INDEX($AU$72:$BA$76,,$AH406), 1 / ($BB$72:$BB$76*BQ406 + (1-$BB$72:$BB$76)*BM406), N($AQ$72:$AQ$76&gt;$AO406)),
SUMPRODUCT(INDEX($AR$67:$AT$76,,$AI406), INDEX($AU$67:$BA$76,,$AH406), 1 / ($BC$67:$BC$76*BQ406 + (1-$BC$67:$BC$76)*BM406), N($AQ$67:$AQ$76&gt;$AO406))
) / 1000</f>
        <v>0</v>
      </c>
      <c r="BS406" s="232">
        <f t="shared" si="492"/>
        <v>25</v>
      </c>
      <c r="BT406" s="230">
        <f t="shared" si="507"/>
        <v>38</v>
      </c>
      <c r="BU406" s="235">
        <f t="shared" si="508"/>
        <v>3.792954545454545</v>
      </c>
      <c r="BV406" s="235" cm="1">
        <f t="array" ref="BV406">$BI406 * IF($AH406&lt;=2,
SUMPRODUCT(INDEX($AR$67:$AT$71,,$AI406), INDEX($AU$67:$BA$71,,$AH406), 1 / ($BB$67:$BB$71*BU406 + (1-$BB$67:$BB$71)*BQ406), N($AQ$67:$AQ$71&gt;$AO406)),
SUMPRODUCT(INDEX($AR$57:$AT$66,,$AI406), INDEX($AU$57:$BA$66,,$AH406), 1 / ($BC$57:$BC$66*BU406 + (1-$BC$57:$BC$66)*BQ406), N($AQ$57:$AQ$66&gt;$AO406))
) / 1000</f>
        <v>0</v>
      </c>
      <c r="BW406" s="232">
        <f t="shared" si="493"/>
        <v>20</v>
      </c>
      <c r="BX406" s="230">
        <f t="shared" si="509"/>
        <v>33</v>
      </c>
      <c r="BY406" s="235">
        <f t="shared" si="510"/>
        <v>4.4702678571428569</v>
      </c>
      <c r="BZ406" s="235" cm="1">
        <f t="array" ref="BZ406">$BI406 * IF($AH406&lt;=2,
SUMPRODUCT(INDEX($AR$62:$AT$66,,$AI406), INDEX($AU$62:$BA$66,,$AH406), 1 / ($BB$62:$BB$66*BY406 + (1-$BB$62:$BB$66)*BU406), N($AQ$62:$AQ$66&gt;$AO406)),
SUMPRODUCT(INDEX($AR$47:$AT$56,,$AI406), INDEX($AU$47:$BA$56,,$AH406), 1 / ($BC$47:$BC$56*BY406 + (1-$BC$47:$BC$56)*BU406), N($AQ$47:$AQ$56&gt;$AO406))
) / 1000</f>
        <v>0</v>
      </c>
      <c r="CA406" s="235" cm="1">
        <f t="array" ref="CA406">$BI406 * IF($AH406&lt;=2,
SUMPRODUCT(INDEX($AR$23:$AT$61,,$AI406), INDEX($AU$23:$BA$61,,$AH406), 1 / ($BB$23:$BB$61*BY406), N($AQ$23:$AQ$61&gt;$AO406)),
SUMPRODUCT(INDEX($AR$23:$AT$46,,$AI406), INDEX($AU$23:$BA$46,,$AH406), 1 / ($BC$23:$BC$46*BY406), N($AQ$23:$AQ$46&gt;$AO406))
) / 1000</f>
        <v>0</v>
      </c>
      <c r="CB406" s="230">
        <f t="shared" si="511"/>
        <v>0</v>
      </c>
      <c r="CC406" s="238"/>
      <c r="CD406" s="229" cm="1">
        <f t="array" ref="CD406">IF(ISBLANK(Y406), INDEX(Use, $AH406, 4) - AN406*INDEX(Use, $AH406, 6) - (Q406-X406), Y406)</f>
        <v>7</v>
      </c>
      <c r="CE406" s="229">
        <f t="shared" si="512"/>
        <v>32</v>
      </c>
      <c r="CF406" s="230">
        <f t="shared" si="513"/>
        <v>0</v>
      </c>
      <c r="CG406" s="229">
        <v>35</v>
      </c>
      <c r="CH406" s="230">
        <f t="shared" si="514"/>
        <v>48</v>
      </c>
      <c r="CI406" s="235">
        <f t="shared" si="515"/>
        <v>3.0748170731707316</v>
      </c>
      <c r="CJ406" s="235" cm="1">
        <f t="array" ref="CJ406">$BI406 * SUMPRODUCT(INDEX($AR$77:$AT$82,,$AI406),INDEX($AU$77:$BA$82,,$AH406), N($AQ$77:$AQ$82&gt;$AO406)) / CI406 / 1000</f>
        <v>0</v>
      </c>
      <c r="CK406" s="232">
        <f t="shared" si="494"/>
        <v>30</v>
      </c>
      <c r="CL406" s="230">
        <f t="shared" si="516"/>
        <v>43</v>
      </c>
      <c r="CM406" s="235">
        <f t="shared" si="517"/>
        <v>3.5018750000000001</v>
      </c>
      <c r="CN406" s="235" cm="1">
        <f t="array" ref="CN406">$BI406 * IF($AH406&lt;=2,
SUMPRODUCT(INDEX($AR$72:$AT$76,,$AI406), INDEX($AU$72:$BA$76,,$AH406), 1 / ($BB$72:$BB$76*CM406 + (1-$BB$72:$BB$76)*CI406), N($AQ$72:$AQ$76&gt;$AO406)),
SUMPRODUCT(INDEX($AR$67:$AT$76,,$AI406), INDEX($AU$67:$BA$76,,$AH406), 1 / ($BC$67:$BC$76*CM406 + (1-$BC$67:$BC$76)*CI406), N($AQ$67:$AQ$76&gt;$AO406))
) / 1000</f>
        <v>0</v>
      </c>
      <c r="CO406" s="232">
        <f t="shared" si="495"/>
        <v>25</v>
      </c>
      <c r="CP406" s="230">
        <f t="shared" si="518"/>
        <v>38</v>
      </c>
      <c r="CQ406" s="235">
        <f t="shared" si="519"/>
        <v>4.0666935483870965</v>
      </c>
      <c r="CR406" s="235" cm="1">
        <f t="array" ref="CR406">$BI406 * IF($AH406&lt;=2,
SUMPRODUCT(INDEX($AR$67:$AT$71,,$AI406), INDEX($AU$67:$BA$71,,$AH406), 1 / ($BB$67:$BB$71*CQ406 + (1-$BB$67:$BB$71)*CM406), N($AQ$67:$AQ$71&gt;$AO406)),
SUMPRODUCT(INDEX($AR$57:$AT$66,,$AI406), INDEX($AU$57:$BA$66,,$AH406), 1 / ($BC$57:$BC$66*CQ406 + (1-$BC$57:$BC$66)*CM406), N($AQ$57:$AQ$66&gt;$AO406))
) / 1000</f>
        <v>0</v>
      </c>
      <c r="CS406" s="232">
        <f t="shared" si="496"/>
        <v>20</v>
      </c>
      <c r="CT406" s="230">
        <f t="shared" si="520"/>
        <v>33</v>
      </c>
      <c r="CU406" s="235">
        <f t="shared" si="521"/>
        <v>4.8487499999999999</v>
      </c>
      <c r="CV406" s="235" cm="1">
        <f t="array" ref="CV406">$BI406 * IF($AH406&lt;=2,
SUMPRODUCT(INDEX($AR$62:$AT$66,,$AI406), INDEX($AU$62:$BA$66,,$AH406), 1 / ($BB$62:$BB$66*CU406 + (1-$BB$62:$BB$66)*CQ406), N($AQ$62:$AQ$66&gt;$AO406)),
SUMPRODUCT(INDEX($AR$47:$AT$56,,$AI406), INDEX($AU$47:$BA$56,,$AH406), 1 / ($BC$47:$BC$56*CU406 + (1-$BC$47:$BC$56)*CQ406), N($AQ$47:$AQ$56&gt;$AO406))
) / 1000</f>
        <v>0</v>
      </c>
      <c r="CW406" s="235" cm="1">
        <f t="array" ref="CW406">$BI406 * IF($AH406&lt;=2,
SUMPRODUCT(INDEX($AR$23:$AT$61,,$AI406), INDEX($AU$23:$BA$61,,$AH406), 1 / ($BB$23:$BB$61*CU406), N($AQ$23:$AQ$61&gt;$AO406)),
SUMPRODUCT(INDEX($AR$23:$AT$46,,$AI406), INDEX($AU$23:$BA$46,,$AH406), 1 / ($BC$23:$BC$46*CU406), N($AQ$23:$AQ$46&gt;$AO406))
) / 1000</f>
        <v>0</v>
      </c>
      <c r="CX406" s="230">
        <f t="shared" si="522"/>
        <v>0</v>
      </c>
      <c r="CY406" s="238"/>
    </row>
    <row r="407" spans="1:103" s="76" customFormat="1" ht="14.25" customHeight="1" x14ac:dyDescent="0.2">
      <c r="A407" s="231" t="b">
        <f t="shared" si="526"/>
        <v>0</v>
      </c>
      <c r="B407" s="245">
        <v>385</v>
      </c>
      <c r="C407" s="258"/>
      <c r="D407" s="258"/>
      <c r="E407" s="246"/>
      <c r="F407" s="247" t="str">
        <f>IF(ISBLANK(E407), "", VLOOKUP(E407, Z!$A$2:$C$4127, 3, FALSE))</f>
        <v/>
      </c>
      <c r="G407" s="248"/>
      <c r="H407" s="248"/>
      <c r="I407" s="249"/>
      <c r="J407" s="250"/>
      <c r="K407" s="259"/>
      <c r="L407" s="260"/>
      <c r="M407" s="252" t="str" cm="1">
        <f t="array" ref="M407">INDEX(Trad, 53, $A$20)</f>
        <v>Verschmutzt</v>
      </c>
      <c r="N407" s="253"/>
      <c r="O407" s="253"/>
      <c r="P407" s="254"/>
      <c r="Q407" s="251"/>
      <c r="R407" s="251"/>
      <c r="S407" s="264">
        <f t="shared" si="497"/>
        <v>0</v>
      </c>
      <c r="T407" s="252" t="str" cm="1">
        <f t="array" ref="T407">INDEX(Trad, 52, $A$20)</f>
        <v>Sauber</v>
      </c>
      <c r="U407" s="253"/>
      <c r="V407" s="253"/>
      <c r="W407" s="254"/>
      <c r="X407" s="251"/>
      <c r="Y407" s="251"/>
      <c r="Z407" s="264">
        <f t="shared" si="498"/>
        <v>0</v>
      </c>
      <c r="AA407" s="261"/>
      <c r="AB407" s="258"/>
      <c r="AC407" s="246"/>
      <c r="AD407" s="247" t="str">
        <f>IF(ISBLANK(AC407), "", VLOOKUP(AC407, Z!$A$2:$C$4127, 3, FALSE))</f>
        <v/>
      </c>
      <c r="AE407" s="262"/>
      <c r="AF407" s="263">
        <f t="shared" si="499"/>
        <v>0</v>
      </c>
      <c r="AG407" s="238"/>
      <c r="AH407" s="229">
        <f t="shared" si="523"/>
        <v>1</v>
      </c>
      <c r="AI407" s="229">
        <f t="shared" si="524"/>
        <v>1</v>
      </c>
      <c r="AJ407" s="229">
        <f t="shared" si="525"/>
        <v>0</v>
      </c>
      <c r="AK407" s="229">
        <v>0</v>
      </c>
      <c r="AL407" s="229">
        <v>0</v>
      </c>
      <c r="AM407" s="229">
        <v>1</v>
      </c>
      <c r="AN407" s="229">
        <v>0</v>
      </c>
      <c r="AO407" s="229">
        <f t="shared" si="500"/>
        <v>-100</v>
      </c>
      <c r="AP407" s="238"/>
      <c r="AQ407" s="255"/>
      <c r="AR407" s="255"/>
      <c r="AS407" s="256"/>
      <c r="AT407" s="256"/>
      <c r="AU407" s="256"/>
      <c r="AV407" s="256"/>
      <c r="AW407" s="256"/>
      <c r="AX407" s="256"/>
      <c r="AY407" s="256"/>
      <c r="AZ407" s="256"/>
      <c r="BA407" s="256"/>
      <c r="BB407" s="256"/>
      <c r="BC407" s="256"/>
      <c r="BD407" s="238"/>
      <c r="BE407" s="229" cm="1">
        <f t="array" ref="BE407">IF(ISBLANK(R407), INDEX(Use, $AH407, 4) - AM407*INDEX(Use, $AH407, 6), R407)</f>
        <v>5</v>
      </c>
      <c r="BF407" s="229">
        <f t="shared" si="501"/>
        <v>30</v>
      </c>
      <c r="BG407" s="229">
        <f t="shared" ref="BG407:BG470" si="527">IF($AJ407=1, 6, IF($AH407=4, 10, 13))</f>
        <v>13</v>
      </c>
      <c r="BH407" s="229">
        <f t="shared" ref="BH407:BH470" si="528">IF($AJ407=1, 9, 0)</f>
        <v>0</v>
      </c>
      <c r="BI407" s="234" cm="1">
        <f t="array" ref="BI407">K407/IF($L407&gt;0, INDEX($AU$23:$BA$77, $L407+20, $AH407), 1)</f>
        <v>0</v>
      </c>
      <c r="BJ407" s="230">
        <f t="shared" si="502"/>
        <v>0</v>
      </c>
      <c r="BK407" s="229">
        <v>35</v>
      </c>
      <c r="BL407" s="230">
        <f t="shared" si="503"/>
        <v>48</v>
      </c>
      <c r="BM407" s="235">
        <f t="shared" si="504"/>
        <v>2.9108720930232557</v>
      </c>
      <c r="BN407" s="235" cm="1">
        <f t="array" ref="BN407">$BI407 * SUMPRODUCT(INDEX($AR$77:$AT$82,,$AI407),INDEX($AU$77:$BA$82,,$AH407), N($AQ$77:$AQ$82&gt;$AO407)) / BM407 / 1000</f>
        <v>0</v>
      </c>
      <c r="BO407" s="232">
        <f t="shared" ref="BO407:BO470" si="529">IF($AH407&lt;=2, 30, 25)</f>
        <v>30</v>
      </c>
      <c r="BP407" s="230">
        <f t="shared" si="505"/>
        <v>43</v>
      </c>
      <c r="BQ407" s="235">
        <f t="shared" si="506"/>
        <v>3.2938815789473681</v>
      </c>
      <c r="BR407" s="235" cm="1">
        <f t="array" ref="BR407">$BI407 * IF($AH407&lt;=2,
SUMPRODUCT(INDEX($AR$72:$AT$76,,$AI407), INDEX($AU$72:$BA$76,,$AH407), 1 / ($BB$72:$BB$76*BQ407 + (1-$BB$72:$BB$76)*BM407), N($AQ$72:$AQ$76&gt;$AO407)),
SUMPRODUCT(INDEX($AR$67:$AT$76,,$AI407), INDEX($AU$67:$BA$76,,$AH407), 1 / ($BC$67:$BC$76*BQ407 + (1-$BC$67:$BC$76)*BM407), N($AQ$67:$AQ$76&gt;$AO407))
) / 1000</f>
        <v>0</v>
      </c>
      <c r="BS407" s="232">
        <f t="shared" ref="BS407:BS470" si="530">IF($AH407&lt;=2, 25, 15)</f>
        <v>25</v>
      </c>
      <c r="BT407" s="230">
        <f t="shared" si="507"/>
        <v>38</v>
      </c>
      <c r="BU407" s="235">
        <f t="shared" si="508"/>
        <v>3.792954545454545</v>
      </c>
      <c r="BV407" s="235" cm="1">
        <f t="array" ref="BV407">$BI407 * IF($AH407&lt;=2,
SUMPRODUCT(INDEX($AR$67:$AT$71,,$AI407), INDEX($AU$67:$BA$71,,$AH407), 1 / ($BB$67:$BB$71*BU407 + (1-$BB$67:$BB$71)*BQ407), N($AQ$67:$AQ$71&gt;$AO407)),
SUMPRODUCT(INDEX($AR$57:$AT$66,,$AI407), INDEX($AU$57:$BA$66,,$AH407), 1 / ($BC$57:$BC$66*BU407 + (1-$BC$57:$BC$66)*BQ407), N($AQ$57:$AQ$66&gt;$AO407))
) / 1000</f>
        <v>0</v>
      </c>
      <c r="BW407" s="232">
        <f t="shared" ref="BW407:BW470" si="531">IF($AH407&lt;=2, 20, 5)</f>
        <v>20</v>
      </c>
      <c r="BX407" s="230">
        <f t="shared" si="509"/>
        <v>33</v>
      </c>
      <c r="BY407" s="235">
        <f t="shared" si="510"/>
        <v>4.4702678571428569</v>
      </c>
      <c r="BZ407" s="235" cm="1">
        <f t="array" ref="BZ407">$BI407 * IF($AH407&lt;=2,
SUMPRODUCT(INDEX($AR$62:$AT$66,,$AI407), INDEX($AU$62:$BA$66,,$AH407), 1 / ($BB$62:$BB$66*BY407 + (1-$BB$62:$BB$66)*BU407), N($AQ$62:$AQ$66&gt;$AO407)),
SUMPRODUCT(INDEX($AR$47:$AT$56,,$AI407), INDEX($AU$47:$BA$56,,$AH407), 1 / ($BC$47:$BC$56*BY407 + (1-$BC$47:$BC$56)*BU407), N($AQ$47:$AQ$56&gt;$AO407))
) / 1000</f>
        <v>0</v>
      </c>
      <c r="CA407" s="235" cm="1">
        <f t="array" ref="CA407">$BI407 * IF($AH407&lt;=2,
SUMPRODUCT(INDEX($AR$23:$AT$61,,$AI407), INDEX($AU$23:$BA$61,,$AH407), 1 / ($BB$23:$BB$61*BY407), N($AQ$23:$AQ$61&gt;$AO407)),
SUMPRODUCT(INDEX($AR$23:$AT$46,,$AI407), INDEX($AU$23:$BA$46,,$AH407), 1 / ($BC$23:$BC$46*BY407), N($AQ$23:$AQ$46&gt;$AO407))
) / 1000</f>
        <v>0</v>
      </c>
      <c r="CB407" s="230">
        <f t="shared" si="511"/>
        <v>0</v>
      </c>
      <c r="CC407" s="238"/>
      <c r="CD407" s="229" cm="1">
        <f t="array" ref="CD407">IF(ISBLANK(Y407), INDEX(Use, $AH407, 4) - AN407*INDEX(Use, $AH407, 6) - (Q407-X407), Y407)</f>
        <v>7</v>
      </c>
      <c r="CE407" s="229">
        <f t="shared" si="512"/>
        <v>32</v>
      </c>
      <c r="CF407" s="230">
        <f t="shared" si="513"/>
        <v>0</v>
      </c>
      <c r="CG407" s="229">
        <v>35</v>
      </c>
      <c r="CH407" s="230">
        <f t="shared" si="514"/>
        <v>48</v>
      </c>
      <c r="CI407" s="235">
        <f t="shared" si="515"/>
        <v>3.0748170731707316</v>
      </c>
      <c r="CJ407" s="235" cm="1">
        <f t="array" ref="CJ407">$BI407 * SUMPRODUCT(INDEX($AR$77:$AT$82,,$AI407),INDEX($AU$77:$BA$82,,$AH407), N($AQ$77:$AQ$82&gt;$AO407)) / CI407 / 1000</f>
        <v>0</v>
      </c>
      <c r="CK407" s="232">
        <f t="shared" ref="CK407:CK470" si="532">IF($AH407&lt;=2, 30, 25)</f>
        <v>30</v>
      </c>
      <c r="CL407" s="230">
        <f t="shared" si="516"/>
        <v>43</v>
      </c>
      <c r="CM407" s="235">
        <f t="shared" si="517"/>
        <v>3.5018750000000001</v>
      </c>
      <c r="CN407" s="235" cm="1">
        <f t="array" ref="CN407">$BI407 * IF($AH407&lt;=2,
SUMPRODUCT(INDEX($AR$72:$AT$76,,$AI407), INDEX($AU$72:$BA$76,,$AH407), 1 / ($BB$72:$BB$76*CM407 + (1-$BB$72:$BB$76)*CI407), N($AQ$72:$AQ$76&gt;$AO407)),
SUMPRODUCT(INDEX($AR$67:$AT$76,,$AI407), INDEX($AU$67:$BA$76,,$AH407), 1 / ($BC$67:$BC$76*CM407 + (1-$BC$67:$BC$76)*CI407), N($AQ$67:$AQ$76&gt;$AO407))
) / 1000</f>
        <v>0</v>
      </c>
      <c r="CO407" s="232">
        <f t="shared" ref="CO407:CO470" si="533">IF($AH407&lt;=2, 25, 15)</f>
        <v>25</v>
      </c>
      <c r="CP407" s="230">
        <f t="shared" si="518"/>
        <v>38</v>
      </c>
      <c r="CQ407" s="235">
        <f t="shared" si="519"/>
        <v>4.0666935483870965</v>
      </c>
      <c r="CR407" s="235" cm="1">
        <f t="array" ref="CR407">$BI407 * IF($AH407&lt;=2,
SUMPRODUCT(INDEX($AR$67:$AT$71,,$AI407), INDEX($AU$67:$BA$71,,$AH407), 1 / ($BB$67:$BB$71*CQ407 + (1-$BB$67:$BB$71)*CM407), N($AQ$67:$AQ$71&gt;$AO407)),
SUMPRODUCT(INDEX($AR$57:$AT$66,,$AI407), INDEX($AU$57:$BA$66,,$AH407), 1 / ($BC$57:$BC$66*CQ407 + (1-$BC$57:$BC$66)*CM407), N($AQ$57:$AQ$66&gt;$AO407))
) / 1000</f>
        <v>0</v>
      </c>
      <c r="CS407" s="232">
        <f t="shared" ref="CS407:CS470" si="534">IF($AH407&lt;=2, 20, 5)</f>
        <v>20</v>
      </c>
      <c r="CT407" s="230">
        <f t="shared" si="520"/>
        <v>33</v>
      </c>
      <c r="CU407" s="235">
        <f t="shared" si="521"/>
        <v>4.8487499999999999</v>
      </c>
      <c r="CV407" s="235" cm="1">
        <f t="array" ref="CV407">$BI407 * IF($AH407&lt;=2,
SUMPRODUCT(INDEX($AR$62:$AT$66,,$AI407), INDEX($AU$62:$BA$66,,$AH407), 1 / ($BB$62:$BB$66*CU407 + (1-$BB$62:$BB$66)*CQ407), N($AQ$62:$AQ$66&gt;$AO407)),
SUMPRODUCT(INDEX($AR$47:$AT$56,,$AI407), INDEX($AU$47:$BA$56,,$AH407), 1 / ($BC$47:$BC$56*CU407 + (1-$BC$47:$BC$56)*CQ407), N($AQ$47:$AQ$56&gt;$AO407))
) / 1000</f>
        <v>0</v>
      </c>
      <c r="CW407" s="235" cm="1">
        <f t="array" ref="CW407">$BI407 * IF($AH407&lt;=2,
SUMPRODUCT(INDEX($AR$23:$AT$61,,$AI407), INDEX($AU$23:$BA$61,,$AH407), 1 / ($BB$23:$BB$61*CU407), N($AQ$23:$AQ$61&gt;$AO407)),
SUMPRODUCT(INDEX($AR$23:$AT$46,,$AI407), INDEX($AU$23:$BA$46,,$AH407), 1 / ($BC$23:$BC$46*CU407), N($AQ$23:$AQ$46&gt;$AO407))
) / 1000</f>
        <v>0</v>
      </c>
      <c r="CX407" s="230">
        <f t="shared" si="522"/>
        <v>0</v>
      </c>
      <c r="CY407" s="238"/>
    </row>
    <row r="408" spans="1:103" s="76" customFormat="1" ht="14.25" customHeight="1" x14ac:dyDescent="0.2">
      <c r="A408" s="231" t="b">
        <f t="shared" si="526"/>
        <v>0</v>
      </c>
      <c r="B408" s="245">
        <v>386</v>
      </c>
      <c r="C408" s="258"/>
      <c r="D408" s="258"/>
      <c r="E408" s="246"/>
      <c r="F408" s="247" t="str">
        <f>IF(ISBLANK(E408), "", VLOOKUP(E408, Z!$A$2:$C$4127, 3, FALSE))</f>
        <v/>
      </c>
      <c r="G408" s="248"/>
      <c r="H408" s="248"/>
      <c r="I408" s="249"/>
      <c r="J408" s="250"/>
      <c r="K408" s="259"/>
      <c r="L408" s="260"/>
      <c r="M408" s="252" t="str" cm="1">
        <f t="array" ref="M408">INDEX(Trad, 53, $A$20)</f>
        <v>Verschmutzt</v>
      </c>
      <c r="N408" s="253"/>
      <c r="O408" s="253"/>
      <c r="P408" s="254"/>
      <c r="Q408" s="251"/>
      <c r="R408" s="251"/>
      <c r="S408" s="264">
        <f t="shared" si="497"/>
        <v>0</v>
      </c>
      <c r="T408" s="252" t="str" cm="1">
        <f t="array" ref="T408">INDEX(Trad, 52, $A$20)</f>
        <v>Sauber</v>
      </c>
      <c r="U408" s="253"/>
      <c r="V408" s="253"/>
      <c r="W408" s="254"/>
      <c r="X408" s="251"/>
      <c r="Y408" s="251"/>
      <c r="Z408" s="264">
        <f t="shared" si="498"/>
        <v>0</v>
      </c>
      <c r="AA408" s="261"/>
      <c r="AB408" s="258"/>
      <c r="AC408" s="246"/>
      <c r="AD408" s="247" t="str">
        <f>IF(ISBLANK(AC408), "", VLOOKUP(AC408, Z!$A$2:$C$4127, 3, FALSE))</f>
        <v/>
      </c>
      <c r="AE408" s="262"/>
      <c r="AF408" s="263">
        <f t="shared" si="499"/>
        <v>0</v>
      </c>
      <c r="AG408" s="238"/>
      <c r="AH408" s="229">
        <f t="shared" si="523"/>
        <v>1</v>
      </c>
      <c r="AI408" s="229">
        <f t="shared" si="524"/>
        <v>1</v>
      </c>
      <c r="AJ408" s="229">
        <f t="shared" si="525"/>
        <v>0</v>
      </c>
      <c r="AK408" s="229">
        <v>0</v>
      </c>
      <c r="AL408" s="229">
        <v>0</v>
      </c>
      <c r="AM408" s="229">
        <v>1</v>
      </c>
      <c r="AN408" s="229">
        <v>0</v>
      </c>
      <c r="AO408" s="229">
        <f t="shared" si="500"/>
        <v>-100</v>
      </c>
      <c r="AP408" s="238"/>
      <c r="AQ408" s="255"/>
      <c r="AR408" s="255"/>
      <c r="AS408" s="256"/>
      <c r="AT408" s="256"/>
      <c r="AU408" s="256"/>
      <c r="AV408" s="256"/>
      <c r="AW408" s="256"/>
      <c r="AX408" s="256"/>
      <c r="AY408" s="256"/>
      <c r="AZ408" s="256"/>
      <c r="BA408" s="256"/>
      <c r="BB408" s="256"/>
      <c r="BC408" s="256"/>
      <c r="BD408" s="238"/>
      <c r="BE408" s="229" cm="1">
        <f t="array" ref="BE408">IF(ISBLANK(R408), INDEX(Use, $AH408, 4) - AM408*INDEX(Use, $AH408, 6), R408)</f>
        <v>5</v>
      </c>
      <c r="BF408" s="229">
        <f t="shared" si="501"/>
        <v>30</v>
      </c>
      <c r="BG408" s="229">
        <f t="shared" si="527"/>
        <v>13</v>
      </c>
      <c r="BH408" s="229">
        <f t="shared" si="528"/>
        <v>0</v>
      </c>
      <c r="BI408" s="234" cm="1">
        <f t="array" ref="BI408">K408/IF($L408&gt;0, INDEX($AU$23:$BA$77, $L408+20, $AH408), 1)</f>
        <v>0</v>
      </c>
      <c r="BJ408" s="230">
        <f t="shared" si="502"/>
        <v>0</v>
      </c>
      <c r="BK408" s="229">
        <v>35</v>
      </c>
      <c r="BL408" s="230">
        <f t="shared" si="503"/>
        <v>48</v>
      </c>
      <c r="BM408" s="235">
        <f t="shared" si="504"/>
        <v>2.9108720930232557</v>
      </c>
      <c r="BN408" s="235" cm="1">
        <f t="array" ref="BN408">$BI408 * SUMPRODUCT(INDEX($AR$77:$AT$82,,$AI408),INDEX($AU$77:$BA$82,,$AH408), N($AQ$77:$AQ$82&gt;$AO408)) / BM408 / 1000</f>
        <v>0</v>
      </c>
      <c r="BO408" s="232">
        <f t="shared" si="529"/>
        <v>30</v>
      </c>
      <c r="BP408" s="230">
        <f t="shared" si="505"/>
        <v>43</v>
      </c>
      <c r="BQ408" s="235">
        <f t="shared" si="506"/>
        <v>3.2938815789473681</v>
      </c>
      <c r="BR408" s="235" cm="1">
        <f t="array" ref="BR408">$BI408 * IF($AH408&lt;=2,
SUMPRODUCT(INDEX($AR$72:$AT$76,,$AI408), INDEX($AU$72:$BA$76,,$AH408), 1 / ($BB$72:$BB$76*BQ408 + (1-$BB$72:$BB$76)*BM408), N($AQ$72:$AQ$76&gt;$AO408)),
SUMPRODUCT(INDEX($AR$67:$AT$76,,$AI408), INDEX($AU$67:$BA$76,,$AH408), 1 / ($BC$67:$BC$76*BQ408 + (1-$BC$67:$BC$76)*BM408), N($AQ$67:$AQ$76&gt;$AO408))
) / 1000</f>
        <v>0</v>
      </c>
      <c r="BS408" s="232">
        <f t="shared" si="530"/>
        <v>25</v>
      </c>
      <c r="BT408" s="230">
        <f t="shared" si="507"/>
        <v>38</v>
      </c>
      <c r="BU408" s="235">
        <f t="shared" si="508"/>
        <v>3.792954545454545</v>
      </c>
      <c r="BV408" s="235" cm="1">
        <f t="array" ref="BV408">$BI408 * IF($AH408&lt;=2,
SUMPRODUCT(INDEX($AR$67:$AT$71,,$AI408), INDEX($AU$67:$BA$71,,$AH408), 1 / ($BB$67:$BB$71*BU408 + (1-$BB$67:$BB$71)*BQ408), N($AQ$67:$AQ$71&gt;$AO408)),
SUMPRODUCT(INDEX($AR$57:$AT$66,,$AI408), INDEX($AU$57:$BA$66,,$AH408), 1 / ($BC$57:$BC$66*BU408 + (1-$BC$57:$BC$66)*BQ408), N($AQ$57:$AQ$66&gt;$AO408))
) / 1000</f>
        <v>0</v>
      </c>
      <c r="BW408" s="232">
        <f t="shared" si="531"/>
        <v>20</v>
      </c>
      <c r="BX408" s="230">
        <f t="shared" si="509"/>
        <v>33</v>
      </c>
      <c r="BY408" s="235">
        <f t="shared" si="510"/>
        <v>4.4702678571428569</v>
      </c>
      <c r="BZ408" s="235" cm="1">
        <f t="array" ref="BZ408">$BI408 * IF($AH408&lt;=2,
SUMPRODUCT(INDEX($AR$62:$AT$66,,$AI408), INDEX($AU$62:$BA$66,,$AH408), 1 / ($BB$62:$BB$66*BY408 + (1-$BB$62:$BB$66)*BU408), N($AQ$62:$AQ$66&gt;$AO408)),
SUMPRODUCT(INDEX($AR$47:$AT$56,,$AI408), INDEX($AU$47:$BA$56,,$AH408), 1 / ($BC$47:$BC$56*BY408 + (1-$BC$47:$BC$56)*BU408), N($AQ$47:$AQ$56&gt;$AO408))
) / 1000</f>
        <v>0</v>
      </c>
      <c r="CA408" s="235" cm="1">
        <f t="array" ref="CA408">$BI408 * IF($AH408&lt;=2,
SUMPRODUCT(INDEX($AR$23:$AT$61,,$AI408), INDEX($AU$23:$BA$61,,$AH408), 1 / ($BB$23:$BB$61*BY408), N($AQ$23:$AQ$61&gt;$AO408)),
SUMPRODUCT(INDEX($AR$23:$AT$46,,$AI408), INDEX($AU$23:$BA$46,,$AH408), 1 / ($BC$23:$BC$46*BY408), N($AQ$23:$AQ$46&gt;$AO408))
) / 1000</f>
        <v>0</v>
      </c>
      <c r="CB408" s="230">
        <f t="shared" si="511"/>
        <v>0</v>
      </c>
      <c r="CC408" s="238"/>
      <c r="CD408" s="229" cm="1">
        <f t="array" ref="CD408">IF(ISBLANK(Y408), INDEX(Use, $AH408, 4) - AN408*INDEX(Use, $AH408, 6) - (Q408-X408), Y408)</f>
        <v>7</v>
      </c>
      <c r="CE408" s="229">
        <f t="shared" si="512"/>
        <v>32</v>
      </c>
      <c r="CF408" s="230">
        <f t="shared" si="513"/>
        <v>0</v>
      </c>
      <c r="CG408" s="229">
        <v>35</v>
      </c>
      <c r="CH408" s="230">
        <f t="shared" si="514"/>
        <v>48</v>
      </c>
      <c r="CI408" s="235">
        <f t="shared" si="515"/>
        <v>3.0748170731707316</v>
      </c>
      <c r="CJ408" s="235" cm="1">
        <f t="array" ref="CJ408">$BI408 * SUMPRODUCT(INDEX($AR$77:$AT$82,,$AI408),INDEX($AU$77:$BA$82,,$AH408), N($AQ$77:$AQ$82&gt;$AO408)) / CI408 / 1000</f>
        <v>0</v>
      </c>
      <c r="CK408" s="232">
        <f t="shared" si="532"/>
        <v>30</v>
      </c>
      <c r="CL408" s="230">
        <f t="shared" si="516"/>
        <v>43</v>
      </c>
      <c r="CM408" s="235">
        <f t="shared" si="517"/>
        <v>3.5018750000000001</v>
      </c>
      <c r="CN408" s="235" cm="1">
        <f t="array" ref="CN408">$BI408 * IF($AH408&lt;=2,
SUMPRODUCT(INDEX($AR$72:$AT$76,,$AI408), INDEX($AU$72:$BA$76,,$AH408), 1 / ($BB$72:$BB$76*CM408 + (1-$BB$72:$BB$76)*CI408), N($AQ$72:$AQ$76&gt;$AO408)),
SUMPRODUCT(INDEX($AR$67:$AT$76,,$AI408), INDEX($AU$67:$BA$76,,$AH408), 1 / ($BC$67:$BC$76*CM408 + (1-$BC$67:$BC$76)*CI408), N($AQ$67:$AQ$76&gt;$AO408))
) / 1000</f>
        <v>0</v>
      </c>
      <c r="CO408" s="232">
        <f t="shared" si="533"/>
        <v>25</v>
      </c>
      <c r="CP408" s="230">
        <f t="shared" si="518"/>
        <v>38</v>
      </c>
      <c r="CQ408" s="235">
        <f t="shared" si="519"/>
        <v>4.0666935483870965</v>
      </c>
      <c r="CR408" s="235" cm="1">
        <f t="array" ref="CR408">$BI408 * IF($AH408&lt;=2,
SUMPRODUCT(INDEX($AR$67:$AT$71,,$AI408), INDEX($AU$67:$BA$71,,$AH408), 1 / ($BB$67:$BB$71*CQ408 + (1-$BB$67:$BB$71)*CM408), N($AQ$67:$AQ$71&gt;$AO408)),
SUMPRODUCT(INDEX($AR$57:$AT$66,,$AI408), INDEX($AU$57:$BA$66,,$AH408), 1 / ($BC$57:$BC$66*CQ408 + (1-$BC$57:$BC$66)*CM408), N($AQ$57:$AQ$66&gt;$AO408))
) / 1000</f>
        <v>0</v>
      </c>
      <c r="CS408" s="232">
        <f t="shared" si="534"/>
        <v>20</v>
      </c>
      <c r="CT408" s="230">
        <f t="shared" si="520"/>
        <v>33</v>
      </c>
      <c r="CU408" s="235">
        <f t="shared" si="521"/>
        <v>4.8487499999999999</v>
      </c>
      <c r="CV408" s="235" cm="1">
        <f t="array" ref="CV408">$BI408 * IF($AH408&lt;=2,
SUMPRODUCT(INDEX($AR$62:$AT$66,,$AI408), INDEX($AU$62:$BA$66,,$AH408), 1 / ($BB$62:$BB$66*CU408 + (1-$BB$62:$BB$66)*CQ408), N($AQ$62:$AQ$66&gt;$AO408)),
SUMPRODUCT(INDEX($AR$47:$AT$56,,$AI408), INDEX($AU$47:$BA$56,,$AH408), 1 / ($BC$47:$BC$56*CU408 + (1-$BC$47:$BC$56)*CQ408), N($AQ$47:$AQ$56&gt;$AO408))
) / 1000</f>
        <v>0</v>
      </c>
      <c r="CW408" s="235" cm="1">
        <f t="array" ref="CW408">$BI408 * IF($AH408&lt;=2,
SUMPRODUCT(INDEX($AR$23:$AT$61,,$AI408), INDEX($AU$23:$BA$61,,$AH408), 1 / ($BB$23:$BB$61*CU408), N($AQ$23:$AQ$61&gt;$AO408)),
SUMPRODUCT(INDEX($AR$23:$AT$46,,$AI408), INDEX($AU$23:$BA$46,,$AH408), 1 / ($BC$23:$BC$46*CU408), N($AQ$23:$AQ$46&gt;$AO408))
) / 1000</f>
        <v>0</v>
      </c>
      <c r="CX408" s="230">
        <f t="shared" si="522"/>
        <v>0</v>
      </c>
      <c r="CY408" s="238"/>
    </row>
    <row r="409" spans="1:103" s="76" customFormat="1" ht="14.25" customHeight="1" x14ac:dyDescent="0.2">
      <c r="A409" s="231" t="b">
        <f t="shared" si="526"/>
        <v>0</v>
      </c>
      <c r="B409" s="245">
        <v>387</v>
      </c>
      <c r="C409" s="258"/>
      <c r="D409" s="258"/>
      <c r="E409" s="246"/>
      <c r="F409" s="247" t="str">
        <f>IF(ISBLANK(E409), "", VLOOKUP(E409, Z!$A$2:$C$4127, 3, FALSE))</f>
        <v/>
      </c>
      <c r="G409" s="248"/>
      <c r="H409" s="248"/>
      <c r="I409" s="249"/>
      <c r="J409" s="250"/>
      <c r="K409" s="259"/>
      <c r="L409" s="260"/>
      <c r="M409" s="252" t="str" cm="1">
        <f t="array" ref="M409">INDEX(Trad, 53, $A$20)</f>
        <v>Verschmutzt</v>
      </c>
      <c r="N409" s="253"/>
      <c r="O409" s="253"/>
      <c r="P409" s="254"/>
      <c r="Q409" s="251"/>
      <c r="R409" s="251"/>
      <c r="S409" s="264">
        <f t="shared" si="497"/>
        <v>0</v>
      </c>
      <c r="T409" s="252" t="str" cm="1">
        <f t="array" ref="T409">INDEX(Trad, 52, $A$20)</f>
        <v>Sauber</v>
      </c>
      <c r="U409" s="253"/>
      <c r="V409" s="253"/>
      <c r="W409" s="254"/>
      <c r="X409" s="251"/>
      <c r="Y409" s="251"/>
      <c r="Z409" s="264">
        <f t="shared" si="498"/>
        <v>0</v>
      </c>
      <c r="AA409" s="261"/>
      <c r="AB409" s="258"/>
      <c r="AC409" s="246"/>
      <c r="AD409" s="247" t="str">
        <f>IF(ISBLANK(AC409), "", VLOOKUP(AC409, Z!$A$2:$C$4127, 3, FALSE))</f>
        <v/>
      </c>
      <c r="AE409" s="262"/>
      <c r="AF409" s="263">
        <f t="shared" si="499"/>
        <v>0</v>
      </c>
      <c r="AG409" s="238"/>
      <c r="AH409" s="229">
        <f t="shared" si="523"/>
        <v>1</v>
      </c>
      <c r="AI409" s="229">
        <f t="shared" si="524"/>
        <v>1</v>
      </c>
      <c r="AJ409" s="229">
        <f t="shared" si="525"/>
        <v>0</v>
      </c>
      <c r="AK409" s="229">
        <v>0</v>
      </c>
      <c r="AL409" s="229">
        <v>0</v>
      </c>
      <c r="AM409" s="229">
        <v>1</v>
      </c>
      <c r="AN409" s="229">
        <v>0</v>
      </c>
      <c r="AO409" s="229">
        <f t="shared" si="500"/>
        <v>-100</v>
      </c>
      <c r="AP409" s="238"/>
      <c r="AQ409" s="255"/>
      <c r="AR409" s="255"/>
      <c r="AS409" s="256"/>
      <c r="AT409" s="256"/>
      <c r="AU409" s="256"/>
      <c r="AV409" s="256"/>
      <c r="AW409" s="256"/>
      <c r="AX409" s="256"/>
      <c r="AY409" s="256"/>
      <c r="AZ409" s="256"/>
      <c r="BA409" s="256"/>
      <c r="BB409" s="256"/>
      <c r="BC409" s="256"/>
      <c r="BD409" s="238"/>
      <c r="BE409" s="229" cm="1">
        <f t="array" ref="BE409">IF(ISBLANK(R409), INDEX(Use, $AH409, 4) - AM409*INDEX(Use, $AH409, 6), R409)</f>
        <v>5</v>
      </c>
      <c r="BF409" s="229">
        <f t="shared" si="501"/>
        <v>30</v>
      </c>
      <c r="BG409" s="229">
        <f t="shared" si="527"/>
        <v>13</v>
      </c>
      <c r="BH409" s="229">
        <f t="shared" si="528"/>
        <v>0</v>
      </c>
      <c r="BI409" s="234" cm="1">
        <f t="array" ref="BI409">K409/IF($L409&gt;0, INDEX($AU$23:$BA$77, $L409+20, $AH409), 1)</f>
        <v>0</v>
      </c>
      <c r="BJ409" s="230">
        <f t="shared" si="502"/>
        <v>0</v>
      </c>
      <c r="BK409" s="229">
        <v>35</v>
      </c>
      <c r="BL409" s="230">
        <f t="shared" si="503"/>
        <v>48</v>
      </c>
      <c r="BM409" s="235">
        <f t="shared" si="504"/>
        <v>2.9108720930232557</v>
      </c>
      <c r="BN409" s="235" cm="1">
        <f t="array" ref="BN409">$BI409 * SUMPRODUCT(INDEX($AR$77:$AT$82,,$AI409),INDEX($AU$77:$BA$82,,$AH409), N($AQ$77:$AQ$82&gt;$AO409)) / BM409 / 1000</f>
        <v>0</v>
      </c>
      <c r="BO409" s="232">
        <f t="shared" si="529"/>
        <v>30</v>
      </c>
      <c r="BP409" s="230">
        <f t="shared" si="505"/>
        <v>43</v>
      </c>
      <c r="BQ409" s="235">
        <f t="shared" si="506"/>
        <v>3.2938815789473681</v>
      </c>
      <c r="BR409" s="235" cm="1">
        <f t="array" ref="BR409">$BI409 * IF($AH409&lt;=2,
SUMPRODUCT(INDEX($AR$72:$AT$76,,$AI409), INDEX($AU$72:$BA$76,,$AH409), 1 / ($BB$72:$BB$76*BQ409 + (1-$BB$72:$BB$76)*BM409), N($AQ$72:$AQ$76&gt;$AO409)),
SUMPRODUCT(INDEX($AR$67:$AT$76,,$AI409), INDEX($AU$67:$BA$76,,$AH409), 1 / ($BC$67:$BC$76*BQ409 + (1-$BC$67:$BC$76)*BM409), N($AQ$67:$AQ$76&gt;$AO409))
) / 1000</f>
        <v>0</v>
      </c>
      <c r="BS409" s="232">
        <f t="shared" si="530"/>
        <v>25</v>
      </c>
      <c r="BT409" s="230">
        <f t="shared" si="507"/>
        <v>38</v>
      </c>
      <c r="BU409" s="235">
        <f t="shared" si="508"/>
        <v>3.792954545454545</v>
      </c>
      <c r="BV409" s="235" cm="1">
        <f t="array" ref="BV409">$BI409 * IF($AH409&lt;=2,
SUMPRODUCT(INDEX($AR$67:$AT$71,,$AI409), INDEX($AU$67:$BA$71,,$AH409), 1 / ($BB$67:$BB$71*BU409 + (1-$BB$67:$BB$71)*BQ409), N($AQ$67:$AQ$71&gt;$AO409)),
SUMPRODUCT(INDEX($AR$57:$AT$66,,$AI409), INDEX($AU$57:$BA$66,,$AH409), 1 / ($BC$57:$BC$66*BU409 + (1-$BC$57:$BC$66)*BQ409), N($AQ$57:$AQ$66&gt;$AO409))
) / 1000</f>
        <v>0</v>
      </c>
      <c r="BW409" s="232">
        <f t="shared" si="531"/>
        <v>20</v>
      </c>
      <c r="BX409" s="230">
        <f t="shared" si="509"/>
        <v>33</v>
      </c>
      <c r="BY409" s="235">
        <f t="shared" si="510"/>
        <v>4.4702678571428569</v>
      </c>
      <c r="BZ409" s="235" cm="1">
        <f t="array" ref="BZ409">$BI409 * IF($AH409&lt;=2,
SUMPRODUCT(INDEX($AR$62:$AT$66,,$AI409), INDEX($AU$62:$BA$66,,$AH409), 1 / ($BB$62:$BB$66*BY409 + (1-$BB$62:$BB$66)*BU409), N($AQ$62:$AQ$66&gt;$AO409)),
SUMPRODUCT(INDEX($AR$47:$AT$56,,$AI409), INDEX($AU$47:$BA$56,,$AH409), 1 / ($BC$47:$BC$56*BY409 + (1-$BC$47:$BC$56)*BU409), N($AQ$47:$AQ$56&gt;$AO409))
) / 1000</f>
        <v>0</v>
      </c>
      <c r="CA409" s="235" cm="1">
        <f t="array" ref="CA409">$BI409 * IF($AH409&lt;=2,
SUMPRODUCT(INDEX($AR$23:$AT$61,,$AI409), INDEX($AU$23:$BA$61,,$AH409), 1 / ($BB$23:$BB$61*BY409), N($AQ$23:$AQ$61&gt;$AO409)),
SUMPRODUCT(INDEX($AR$23:$AT$46,,$AI409), INDEX($AU$23:$BA$46,,$AH409), 1 / ($BC$23:$BC$46*BY409), N($AQ$23:$AQ$46&gt;$AO409))
) / 1000</f>
        <v>0</v>
      </c>
      <c r="CB409" s="230">
        <f t="shared" si="511"/>
        <v>0</v>
      </c>
      <c r="CC409" s="238"/>
      <c r="CD409" s="229" cm="1">
        <f t="array" ref="CD409">IF(ISBLANK(Y409), INDEX(Use, $AH409, 4) - AN409*INDEX(Use, $AH409, 6) - (Q409-X409), Y409)</f>
        <v>7</v>
      </c>
      <c r="CE409" s="229">
        <f t="shared" si="512"/>
        <v>32</v>
      </c>
      <c r="CF409" s="230">
        <f t="shared" si="513"/>
        <v>0</v>
      </c>
      <c r="CG409" s="229">
        <v>35</v>
      </c>
      <c r="CH409" s="230">
        <f t="shared" si="514"/>
        <v>48</v>
      </c>
      <c r="CI409" s="235">
        <f t="shared" si="515"/>
        <v>3.0748170731707316</v>
      </c>
      <c r="CJ409" s="235" cm="1">
        <f t="array" ref="CJ409">$BI409 * SUMPRODUCT(INDEX($AR$77:$AT$82,,$AI409),INDEX($AU$77:$BA$82,,$AH409), N($AQ$77:$AQ$82&gt;$AO409)) / CI409 / 1000</f>
        <v>0</v>
      </c>
      <c r="CK409" s="232">
        <f t="shared" si="532"/>
        <v>30</v>
      </c>
      <c r="CL409" s="230">
        <f t="shared" si="516"/>
        <v>43</v>
      </c>
      <c r="CM409" s="235">
        <f t="shared" si="517"/>
        <v>3.5018750000000001</v>
      </c>
      <c r="CN409" s="235" cm="1">
        <f t="array" ref="CN409">$BI409 * IF($AH409&lt;=2,
SUMPRODUCT(INDEX($AR$72:$AT$76,,$AI409), INDEX($AU$72:$BA$76,,$AH409), 1 / ($BB$72:$BB$76*CM409 + (1-$BB$72:$BB$76)*CI409), N($AQ$72:$AQ$76&gt;$AO409)),
SUMPRODUCT(INDEX($AR$67:$AT$76,,$AI409), INDEX($AU$67:$BA$76,,$AH409), 1 / ($BC$67:$BC$76*CM409 + (1-$BC$67:$BC$76)*CI409), N($AQ$67:$AQ$76&gt;$AO409))
) / 1000</f>
        <v>0</v>
      </c>
      <c r="CO409" s="232">
        <f t="shared" si="533"/>
        <v>25</v>
      </c>
      <c r="CP409" s="230">
        <f t="shared" si="518"/>
        <v>38</v>
      </c>
      <c r="CQ409" s="235">
        <f t="shared" si="519"/>
        <v>4.0666935483870965</v>
      </c>
      <c r="CR409" s="235" cm="1">
        <f t="array" ref="CR409">$BI409 * IF($AH409&lt;=2,
SUMPRODUCT(INDEX($AR$67:$AT$71,,$AI409), INDEX($AU$67:$BA$71,,$AH409), 1 / ($BB$67:$BB$71*CQ409 + (1-$BB$67:$BB$71)*CM409), N($AQ$67:$AQ$71&gt;$AO409)),
SUMPRODUCT(INDEX($AR$57:$AT$66,,$AI409), INDEX($AU$57:$BA$66,,$AH409), 1 / ($BC$57:$BC$66*CQ409 + (1-$BC$57:$BC$66)*CM409), N($AQ$57:$AQ$66&gt;$AO409))
) / 1000</f>
        <v>0</v>
      </c>
      <c r="CS409" s="232">
        <f t="shared" si="534"/>
        <v>20</v>
      </c>
      <c r="CT409" s="230">
        <f t="shared" si="520"/>
        <v>33</v>
      </c>
      <c r="CU409" s="235">
        <f t="shared" si="521"/>
        <v>4.8487499999999999</v>
      </c>
      <c r="CV409" s="235" cm="1">
        <f t="array" ref="CV409">$BI409 * IF($AH409&lt;=2,
SUMPRODUCT(INDEX($AR$62:$AT$66,,$AI409), INDEX($AU$62:$BA$66,,$AH409), 1 / ($BB$62:$BB$66*CU409 + (1-$BB$62:$BB$66)*CQ409), N($AQ$62:$AQ$66&gt;$AO409)),
SUMPRODUCT(INDEX($AR$47:$AT$56,,$AI409), INDEX($AU$47:$BA$56,,$AH409), 1 / ($BC$47:$BC$56*CU409 + (1-$BC$47:$BC$56)*CQ409), N($AQ$47:$AQ$56&gt;$AO409))
) / 1000</f>
        <v>0</v>
      </c>
      <c r="CW409" s="235" cm="1">
        <f t="array" ref="CW409">$BI409 * IF($AH409&lt;=2,
SUMPRODUCT(INDEX($AR$23:$AT$61,,$AI409), INDEX($AU$23:$BA$61,,$AH409), 1 / ($BB$23:$BB$61*CU409), N($AQ$23:$AQ$61&gt;$AO409)),
SUMPRODUCT(INDEX($AR$23:$AT$46,,$AI409), INDEX($AU$23:$BA$46,,$AH409), 1 / ($BC$23:$BC$46*CU409), N($AQ$23:$AQ$46&gt;$AO409))
) / 1000</f>
        <v>0</v>
      </c>
      <c r="CX409" s="230">
        <f t="shared" si="522"/>
        <v>0</v>
      </c>
      <c r="CY409" s="238"/>
    </row>
    <row r="410" spans="1:103" s="76" customFormat="1" ht="14.25" customHeight="1" x14ac:dyDescent="0.2">
      <c r="A410" s="231" t="b">
        <f t="shared" si="526"/>
        <v>0</v>
      </c>
      <c r="B410" s="245">
        <v>388</v>
      </c>
      <c r="C410" s="258"/>
      <c r="D410" s="258"/>
      <c r="E410" s="246"/>
      <c r="F410" s="247" t="str">
        <f>IF(ISBLANK(E410), "", VLOOKUP(E410, Z!$A$2:$C$4127, 3, FALSE))</f>
        <v/>
      </c>
      <c r="G410" s="248"/>
      <c r="H410" s="248"/>
      <c r="I410" s="249"/>
      <c r="J410" s="250"/>
      <c r="K410" s="259"/>
      <c r="L410" s="260"/>
      <c r="M410" s="252" t="str" cm="1">
        <f t="array" ref="M410">INDEX(Trad, 53, $A$20)</f>
        <v>Verschmutzt</v>
      </c>
      <c r="N410" s="253"/>
      <c r="O410" s="253"/>
      <c r="P410" s="254"/>
      <c r="Q410" s="251"/>
      <c r="R410" s="251"/>
      <c r="S410" s="264">
        <f t="shared" si="497"/>
        <v>0</v>
      </c>
      <c r="T410" s="252" t="str" cm="1">
        <f t="array" ref="T410">INDEX(Trad, 52, $A$20)</f>
        <v>Sauber</v>
      </c>
      <c r="U410" s="253"/>
      <c r="V410" s="253"/>
      <c r="W410" s="254"/>
      <c r="X410" s="251"/>
      <c r="Y410" s="251"/>
      <c r="Z410" s="264">
        <f t="shared" si="498"/>
        <v>0</v>
      </c>
      <c r="AA410" s="261"/>
      <c r="AB410" s="258"/>
      <c r="AC410" s="246"/>
      <c r="AD410" s="247" t="str">
        <f>IF(ISBLANK(AC410), "", VLOOKUP(AC410, Z!$A$2:$C$4127, 3, FALSE))</f>
        <v/>
      </c>
      <c r="AE410" s="262"/>
      <c r="AF410" s="263">
        <f t="shared" si="499"/>
        <v>0</v>
      </c>
      <c r="AG410" s="238"/>
      <c r="AH410" s="229">
        <f t="shared" si="523"/>
        <v>1</v>
      </c>
      <c r="AI410" s="229">
        <f t="shared" si="524"/>
        <v>1</v>
      </c>
      <c r="AJ410" s="229">
        <f t="shared" si="525"/>
        <v>0</v>
      </c>
      <c r="AK410" s="229">
        <v>0</v>
      </c>
      <c r="AL410" s="229">
        <v>0</v>
      </c>
      <c r="AM410" s="229">
        <v>1</v>
      </c>
      <c r="AN410" s="229">
        <v>0</v>
      </c>
      <c r="AO410" s="229">
        <f t="shared" si="500"/>
        <v>-100</v>
      </c>
      <c r="AP410" s="238"/>
      <c r="AQ410" s="255"/>
      <c r="AR410" s="255"/>
      <c r="AS410" s="256"/>
      <c r="AT410" s="256"/>
      <c r="AU410" s="256"/>
      <c r="AV410" s="256"/>
      <c r="AW410" s="256"/>
      <c r="AX410" s="256"/>
      <c r="AY410" s="256"/>
      <c r="AZ410" s="256"/>
      <c r="BA410" s="256"/>
      <c r="BB410" s="256"/>
      <c r="BC410" s="256"/>
      <c r="BD410" s="238"/>
      <c r="BE410" s="229" cm="1">
        <f t="array" ref="BE410">IF(ISBLANK(R410), INDEX(Use, $AH410, 4) - AM410*INDEX(Use, $AH410, 6), R410)</f>
        <v>5</v>
      </c>
      <c r="BF410" s="229">
        <f t="shared" si="501"/>
        <v>30</v>
      </c>
      <c r="BG410" s="229">
        <f t="shared" si="527"/>
        <v>13</v>
      </c>
      <c r="BH410" s="229">
        <f t="shared" si="528"/>
        <v>0</v>
      </c>
      <c r="BI410" s="234" cm="1">
        <f t="array" ref="BI410">K410/IF($L410&gt;0, INDEX($AU$23:$BA$77, $L410+20, $AH410), 1)</f>
        <v>0</v>
      </c>
      <c r="BJ410" s="230">
        <f t="shared" si="502"/>
        <v>0</v>
      </c>
      <c r="BK410" s="229">
        <v>35</v>
      </c>
      <c r="BL410" s="230">
        <f t="shared" si="503"/>
        <v>48</v>
      </c>
      <c r="BM410" s="235">
        <f t="shared" si="504"/>
        <v>2.9108720930232557</v>
      </c>
      <c r="BN410" s="235" cm="1">
        <f t="array" ref="BN410">$BI410 * SUMPRODUCT(INDEX($AR$77:$AT$82,,$AI410),INDEX($AU$77:$BA$82,,$AH410), N($AQ$77:$AQ$82&gt;$AO410)) / BM410 / 1000</f>
        <v>0</v>
      </c>
      <c r="BO410" s="232">
        <f t="shared" si="529"/>
        <v>30</v>
      </c>
      <c r="BP410" s="230">
        <f t="shared" si="505"/>
        <v>43</v>
      </c>
      <c r="BQ410" s="235">
        <f t="shared" si="506"/>
        <v>3.2938815789473681</v>
      </c>
      <c r="BR410" s="235" cm="1">
        <f t="array" ref="BR410">$BI410 * IF($AH410&lt;=2,
SUMPRODUCT(INDEX($AR$72:$AT$76,,$AI410), INDEX($AU$72:$BA$76,,$AH410), 1 / ($BB$72:$BB$76*BQ410 + (1-$BB$72:$BB$76)*BM410), N($AQ$72:$AQ$76&gt;$AO410)),
SUMPRODUCT(INDEX($AR$67:$AT$76,,$AI410), INDEX($AU$67:$BA$76,,$AH410), 1 / ($BC$67:$BC$76*BQ410 + (1-$BC$67:$BC$76)*BM410), N($AQ$67:$AQ$76&gt;$AO410))
) / 1000</f>
        <v>0</v>
      </c>
      <c r="BS410" s="232">
        <f t="shared" si="530"/>
        <v>25</v>
      </c>
      <c r="BT410" s="230">
        <f t="shared" si="507"/>
        <v>38</v>
      </c>
      <c r="BU410" s="235">
        <f t="shared" si="508"/>
        <v>3.792954545454545</v>
      </c>
      <c r="BV410" s="235" cm="1">
        <f t="array" ref="BV410">$BI410 * IF($AH410&lt;=2,
SUMPRODUCT(INDEX($AR$67:$AT$71,,$AI410), INDEX($AU$67:$BA$71,,$AH410), 1 / ($BB$67:$BB$71*BU410 + (1-$BB$67:$BB$71)*BQ410), N($AQ$67:$AQ$71&gt;$AO410)),
SUMPRODUCT(INDEX($AR$57:$AT$66,,$AI410), INDEX($AU$57:$BA$66,,$AH410), 1 / ($BC$57:$BC$66*BU410 + (1-$BC$57:$BC$66)*BQ410), N($AQ$57:$AQ$66&gt;$AO410))
) / 1000</f>
        <v>0</v>
      </c>
      <c r="BW410" s="232">
        <f t="shared" si="531"/>
        <v>20</v>
      </c>
      <c r="BX410" s="230">
        <f t="shared" si="509"/>
        <v>33</v>
      </c>
      <c r="BY410" s="235">
        <f t="shared" si="510"/>
        <v>4.4702678571428569</v>
      </c>
      <c r="BZ410" s="235" cm="1">
        <f t="array" ref="BZ410">$BI410 * IF($AH410&lt;=2,
SUMPRODUCT(INDEX($AR$62:$AT$66,,$AI410), INDEX($AU$62:$BA$66,,$AH410), 1 / ($BB$62:$BB$66*BY410 + (1-$BB$62:$BB$66)*BU410), N($AQ$62:$AQ$66&gt;$AO410)),
SUMPRODUCT(INDEX($AR$47:$AT$56,,$AI410), INDEX($AU$47:$BA$56,,$AH410), 1 / ($BC$47:$BC$56*BY410 + (1-$BC$47:$BC$56)*BU410), N($AQ$47:$AQ$56&gt;$AO410))
) / 1000</f>
        <v>0</v>
      </c>
      <c r="CA410" s="235" cm="1">
        <f t="array" ref="CA410">$BI410 * IF($AH410&lt;=2,
SUMPRODUCT(INDEX($AR$23:$AT$61,,$AI410), INDEX($AU$23:$BA$61,,$AH410), 1 / ($BB$23:$BB$61*BY410), N($AQ$23:$AQ$61&gt;$AO410)),
SUMPRODUCT(INDEX($AR$23:$AT$46,,$AI410), INDEX($AU$23:$BA$46,,$AH410), 1 / ($BC$23:$BC$46*BY410), N($AQ$23:$AQ$46&gt;$AO410))
) / 1000</f>
        <v>0</v>
      </c>
      <c r="CB410" s="230">
        <f t="shared" si="511"/>
        <v>0</v>
      </c>
      <c r="CC410" s="238"/>
      <c r="CD410" s="229" cm="1">
        <f t="array" ref="CD410">IF(ISBLANK(Y410), INDEX(Use, $AH410, 4) - AN410*INDEX(Use, $AH410, 6) - (Q410-X410), Y410)</f>
        <v>7</v>
      </c>
      <c r="CE410" s="229">
        <f t="shared" si="512"/>
        <v>32</v>
      </c>
      <c r="CF410" s="230">
        <f t="shared" si="513"/>
        <v>0</v>
      </c>
      <c r="CG410" s="229">
        <v>35</v>
      </c>
      <c r="CH410" s="230">
        <f t="shared" si="514"/>
        <v>48</v>
      </c>
      <c r="CI410" s="235">
        <f t="shared" si="515"/>
        <v>3.0748170731707316</v>
      </c>
      <c r="CJ410" s="235" cm="1">
        <f t="array" ref="CJ410">$BI410 * SUMPRODUCT(INDEX($AR$77:$AT$82,,$AI410),INDEX($AU$77:$BA$82,,$AH410), N($AQ$77:$AQ$82&gt;$AO410)) / CI410 / 1000</f>
        <v>0</v>
      </c>
      <c r="CK410" s="232">
        <f t="shared" si="532"/>
        <v>30</v>
      </c>
      <c r="CL410" s="230">
        <f t="shared" si="516"/>
        <v>43</v>
      </c>
      <c r="CM410" s="235">
        <f t="shared" si="517"/>
        <v>3.5018750000000001</v>
      </c>
      <c r="CN410" s="235" cm="1">
        <f t="array" ref="CN410">$BI410 * IF($AH410&lt;=2,
SUMPRODUCT(INDEX($AR$72:$AT$76,,$AI410), INDEX($AU$72:$BA$76,,$AH410), 1 / ($BB$72:$BB$76*CM410 + (1-$BB$72:$BB$76)*CI410), N($AQ$72:$AQ$76&gt;$AO410)),
SUMPRODUCT(INDEX($AR$67:$AT$76,,$AI410), INDEX($AU$67:$BA$76,,$AH410), 1 / ($BC$67:$BC$76*CM410 + (1-$BC$67:$BC$76)*CI410), N($AQ$67:$AQ$76&gt;$AO410))
) / 1000</f>
        <v>0</v>
      </c>
      <c r="CO410" s="232">
        <f t="shared" si="533"/>
        <v>25</v>
      </c>
      <c r="CP410" s="230">
        <f t="shared" si="518"/>
        <v>38</v>
      </c>
      <c r="CQ410" s="235">
        <f t="shared" si="519"/>
        <v>4.0666935483870965</v>
      </c>
      <c r="CR410" s="235" cm="1">
        <f t="array" ref="CR410">$BI410 * IF($AH410&lt;=2,
SUMPRODUCT(INDEX($AR$67:$AT$71,,$AI410), INDEX($AU$67:$BA$71,,$AH410), 1 / ($BB$67:$BB$71*CQ410 + (1-$BB$67:$BB$71)*CM410), N($AQ$67:$AQ$71&gt;$AO410)),
SUMPRODUCT(INDEX($AR$57:$AT$66,,$AI410), INDEX($AU$57:$BA$66,,$AH410), 1 / ($BC$57:$BC$66*CQ410 + (1-$BC$57:$BC$66)*CM410), N($AQ$57:$AQ$66&gt;$AO410))
) / 1000</f>
        <v>0</v>
      </c>
      <c r="CS410" s="232">
        <f t="shared" si="534"/>
        <v>20</v>
      </c>
      <c r="CT410" s="230">
        <f t="shared" si="520"/>
        <v>33</v>
      </c>
      <c r="CU410" s="235">
        <f t="shared" si="521"/>
        <v>4.8487499999999999</v>
      </c>
      <c r="CV410" s="235" cm="1">
        <f t="array" ref="CV410">$BI410 * IF($AH410&lt;=2,
SUMPRODUCT(INDEX($AR$62:$AT$66,,$AI410), INDEX($AU$62:$BA$66,,$AH410), 1 / ($BB$62:$BB$66*CU410 + (1-$BB$62:$BB$66)*CQ410), N($AQ$62:$AQ$66&gt;$AO410)),
SUMPRODUCT(INDEX($AR$47:$AT$56,,$AI410), INDEX($AU$47:$BA$56,,$AH410), 1 / ($BC$47:$BC$56*CU410 + (1-$BC$47:$BC$56)*CQ410), N($AQ$47:$AQ$56&gt;$AO410))
) / 1000</f>
        <v>0</v>
      </c>
      <c r="CW410" s="235" cm="1">
        <f t="array" ref="CW410">$BI410 * IF($AH410&lt;=2,
SUMPRODUCT(INDEX($AR$23:$AT$61,,$AI410), INDEX($AU$23:$BA$61,,$AH410), 1 / ($BB$23:$BB$61*CU410), N($AQ$23:$AQ$61&gt;$AO410)),
SUMPRODUCT(INDEX($AR$23:$AT$46,,$AI410), INDEX($AU$23:$BA$46,,$AH410), 1 / ($BC$23:$BC$46*CU410), N($AQ$23:$AQ$46&gt;$AO410))
) / 1000</f>
        <v>0</v>
      </c>
      <c r="CX410" s="230">
        <f t="shared" si="522"/>
        <v>0</v>
      </c>
      <c r="CY410" s="238"/>
    </row>
    <row r="411" spans="1:103" s="76" customFormat="1" ht="14.25" customHeight="1" x14ac:dyDescent="0.2">
      <c r="A411" s="231" t="b">
        <f t="shared" si="526"/>
        <v>0</v>
      </c>
      <c r="B411" s="245">
        <v>389</v>
      </c>
      <c r="C411" s="258"/>
      <c r="D411" s="258"/>
      <c r="E411" s="246"/>
      <c r="F411" s="247" t="str">
        <f>IF(ISBLANK(E411), "", VLOOKUP(E411, Z!$A$2:$C$4127, 3, FALSE))</f>
        <v/>
      </c>
      <c r="G411" s="248"/>
      <c r="H411" s="248"/>
      <c r="I411" s="249"/>
      <c r="J411" s="250"/>
      <c r="K411" s="259"/>
      <c r="L411" s="260"/>
      <c r="M411" s="252" t="str" cm="1">
        <f t="array" ref="M411">INDEX(Trad, 53, $A$20)</f>
        <v>Verschmutzt</v>
      </c>
      <c r="N411" s="253"/>
      <c r="O411" s="253"/>
      <c r="P411" s="254"/>
      <c r="Q411" s="251"/>
      <c r="R411" s="251"/>
      <c r="S411" s="264">
        <f t="shared" si="497"/>
        <v>0</v>
      </c>
      <c r="T411" s="252" t="str" cm="1">
        <f t="array" ref="T411">INDEX(Trad, 52, $A$20)</f>
        <v>Sauber</v>
      </c>
      <c r="U411" s="253"/>
      <c r="V411" s="253"/>
      <c r="W411" s="254"/>
      <c r="X411" s="251"/>
      <c r="Y411" s="251"/>
      <c r="Z411" s="264">
        <f t="shared" si="498"/>
        <v>0</v>
      </c>
      <c r="AA411" s="261"/>
      <c r="AB411" s="258"/>
      <c r="AC411" s="246"/>
      <c r="AD411" s="247" t="str">
        <f>IF(ISBLANK(AC411), "", VLOOKUP(AC411, Z!$A$2:$C$4127, 3, FALSE))</f>
        <v/>
      </c>
      <c r="AE411" s="262"/>
      <c r="AF411" s="263">
        <f t="shared" si="499"/>
        <v>0</v>
      </c>
      <c r="AG411" s="238"/>
      <c r="AH411" s="229">
        <f t="shared" si="523"/>
        <v>1</v>
      </c>
      <c r="AI411" s="229">
        <f t="shared" si="524"/>
        <v>1</v>
      </c>
      <c r="AJ411" s="229">
        <f t="shared" si="525"/>
        <v>0</v>
      </c>
      <c r="AK411" s="229">
        <v>0</v>
      </c>
      <c r="AL411" s="229">
        <v>0</v>
      </c>
      <c r="AM411" s="229">
        <v>1</v>
      </c>
      <c r="AN411" s="229">
        <v>0</v>
      </c>
      <c r="AO411" s="229">
        <f t="shared" si="500"/>
        <v>-100</v>
      </c>
      <c r="AP411" s="238"/>
      <c r="AQ411" s="255"/>
      <c r="AR411" s="255"/>
      <c r="AS411" s="256"/>
      <c r="AT411" s="256"/>
      <c r="AU411" s="256"/>
      <c r="AV411" s="256"/>
      <c r="AW411" s="256"/>
      <c r="AX411" s="256"/>
      <c r="AY411" s="256"/>
      <c r="AZ411" s="256"/>
      <c r="BA411" s="256"/>
      <c r="BB411" s="256"/>
      <c r="BC411" s="256"/>
      <c r="BD411" s="238"/>
      <c r="BE411" s="229" cm="1">
        <f t="array" ref="BE411">IF(ISBLANK(R411), INDEX(Use, $AH411, 4) - AM411*INDEX(Use, $AH411, 6), R411)</f>
        <v>5</v>
      </c>
      <c r="BF411" s="229">
        <f t="shared" si="501"/>
        <v>30</v>
      </c>
      <c r="BG411" s="229">
        <f t="shared" si="527"/>
        <v>13</v>
      </c>
      <c r="BH411" s="229">
        <f t="shared" si="528"/>
        <v>0</v>
      </c>
      <c r="BI411" s="234" cm="1">
        <f t="array" ref="BI411">K411/IF($L411&gt;0, INDEX($AU$23:$BA$77, $L411+20, $AH411), 1)</f>
        <v>0</v>
      </c>
      <c r="BJ411" s="230">
        <f t="shared" si="502"/>
        <v>0</v>
      </c>
      <c r="BK411" s="229">
        <v>35</v>
      </c>
      <c r="BL411" s="230">
        <f t="shared" si="503"/>
        <v>48</v>
      </c>
      <c r="BM411" s="235">
        <f t="shared" si="504"/>
        <v>2.9108720930232557</v>
      </c>
      <c r="BN411" s="235" cm="1">
        <f t="array" ref="BN411">$BI411 * SUMPRODUCT(INDEX($AR$77:$AT$82,,$AI411),INDEX($AU$77:$BA$82,,$AH411), N($AQ$77:$AQ$82&gt;$AO411)) / BM411 / 1000</f>
        <v>0</v>
      </c>
      <c r="BO411" s="232">
        <f t="shared" si="529"/>
        <v>30</v>
      </c>
      <c r="BP411" s="230">
        <f t="shared" si="505"/>
        <v>43</v>
      </c>
      <c r="BQ411" s="235">
        <f t="shared" si="506"/>
        <v>3.2938815789473681</v>
      </c>
      <c r="BR411" s="235" cm="1">
        <f t="array" ref="BR411">$BI411 * IF($AH411&lt;=2,
SUMPRODUCT(INDEX($AR$72:$AT$76,,$AI411), INDEX($AU$72:$BA$76,,$AH411), 1 / ($BB$72:$BB$76*BQ411 + (1-$BB$72:$BB$76)*BM411), N($AQ$72:$AQ$76&gt;$AO411)),
SUMPRODUCT(INDEX($AR$67:$AT$76,,$AI411), INDEX($AU$67:$BA$76,,$AH411), 1 / ($BC$67:$BC$76*BQ411 + (1-$BC$67:$BC$76)*BM411), N($AQ$67:$AQ$76&gt;$AO411))
) / 1000</f>
        <v>0</v>
      </c>
      <c r="BS411" s="232">
        <f t="shared" si="530"/>
        <v>25</v>
      </c>
      <c r="BT411" s="230">
        <f t="shared" si="507"/>
        <v>38</v>
      </c>
      <c r="BU411" s="235">
        <f t="shared" si="508"/>
        <v>3.792954545454545</v>
      </c>
      <c r="BV411" s="235" cm="1">
        <f t="array" ref="BV411">$BI411 * IF($AH411&lt;=2,
SUMPRODUCT(INDEX($AR$67:$AT$71,,$AI411), INDEX($AU$67:$BA$71,,$AH411), 1 / ($BB$67:$BB$71*BU411 + (1-$BB$67:$BB$71)*BQ411), N($AQ$67:$AQ$71&gt;$AO411)),
SUMPRODUCT(INDEX($AR$57:$AT$66,,$AI411), INDEX($AU$57:$BA$66,,$AH411), 1 / ($BC$57:$BC$66*BU411 + (1-$BC$57:$BC$66)*BQ411), N($AQ$57:$AQ$66&gt;$AO411))
) / 1000</f>
        <v>0</v>
      </c>
      <c r="BW411" s="232">
        <f t="shared" si="531"/>
        <v>20</v>
      </c>
      <c r="BX411" s="230">
        <f t="shared" si="509"/>
        <v>33</v>
      </c>
      <c r="BY411" s="235">
        <f t="shared" si="510"/>
        <v>4.4702678571428569</v>
      </c>
      <c r="BZ411" s="235" cm="1">
        <f t="array" ref="BZ411">$BI411 * IF($AH411&lt;=2,
SUMPRODUCT(INDEX($AR$62:$AT$66,,$AI411), INDEX($AU$62:$BA$66,,$AH411), 1 / ($BB$62:$BB$66*BY411 + (1-$BB$62:$BB$66)*BU411), N($AQ$62:$AQ$66&gt;$AO411)),
SUMPRODUCT(INDEX($AR$47:$AT$56,,$AI411), INDEX($AU$47:$BA$56,,$AH411), 1 / ($BC$47:$BC$56*BY411 + (1-$BC$47:$BC$56)*BU411), N($AQ$47:$AQ$56&gt;$AO411))
) / 1000</f>
        <v>0</v>
      </c>
      <c r="CA411" s="235" cm="1">
        <f t="array" ref="CA411">$BI411 * IF($AH411&lt;=2,
SUMPRODUCT(INDEX($AR$23:$AT$61,,$AI411), INDEX($AU$23:$BA$61,,$AH411), 1 / ($BB$23:$BB$61*BY411), N($AQ$23:$AQ$61&gt;$AO411)),
SUMPRODUCT(INDEX($AR$23:$AT$46,,$AI411), INDEX($AU$23:$BA$46,,$AH411), 1 / ($BC$23:$BC$46*BY411), N($AQ$23:$AQ$46&gt;$AO411))
) / 1000</f>
        <v>0</v>
      </c>
      <c r="CB411" s="230">
        <f t="shared" si="511"/>
        <v>0</v>
      </c>
      <c r="CC411" s="238"/>
      <c r="CD411" s="229" cm="1">
        <f t="array" ref="CD411">IF(ISBLANK(Y411), INDEX(Use, $AH411, 4) - AN411*INDEX(Use, $AH411, 6) - (Q411-X411), Y411)</f>
        <v>7</v>
      </c>
      <c r="CE411" s="229">
        <f t="shared" si="512"/>
        <v>32</v>
      </c>
      <c r="CF411" s="230">
        <f t="shared" si="513"/>
        <v>0</v>
      </c>
      <c r="CG411" s="229">
        <v>35</v>
      </c>
      <c r="CH411" s="230">
        <f t="shared" si="514"/>
        <v>48</v>
      </c>
      <c r="CI411" s="235">
        <f t="shared" si="515"/>
        <v>3.0748170731707316</v>
      </c>
      <c r="CJ411" s="235" cm="1">
        <f t="array" ref="CJ411">$BI411 * SUMPRODUCT(INDEX($AR$77:$AT$82,,$AI411),INDEX($AU$77:$BA$82,,$AH411), N($AQ$77:$AQ$82&gt;$AO411)) / CI411 / 1000</f>
        <v>0</v>
      </c>
      <c r="CK411" s="232">
        <f t="shared" si="532"/>
        <v>30</v>
      </c>
      <c r="CL411" s="230">
        <f t="shared" si="516"/>
        <v>43</v>
      </c>
      <c r="CM411" s="235">
        <f t="shared" si="517"/>
        <v>3.5018750000000001</v>
      </c>
      <c r="CN411" s="235" cm="1">
        <f t="array" ref="CN411">$BI411 * IF($AH411&lt;=2,
SUMPRODUCT(INDEX($AR$72:$AT$76,,$AI411), INDEX($AU$72:$BA$76,,$AH411), 1 / ($BB$72:$BB$76*CM411 + (1-$BB$72:$BB$76)*CI411), N($AQ$72:$AQ$76&gt;$AO411)),
SUMPRODUCT(INDEX($AR$67:$AT$76,,$AI411), INDEX($AU$67:$BA$76,,$AH411), 1 / ($BC$67:$BC$76*CM411 + (1-$BC$67:$BC$76)*CI411), N($AQ$67:$AQ$76&gt;$AO411))
) / 1000</f>
        <v>0</v>
      </c>
      <c r="CO411" s="232">
        <f t="shared" si="533"/>
        <v>25</v>
      </c>
      <c r="CP411" s="230">
        <f t="shared" si="518"/>
        <v>38</v>
      </c>
      <c r="CQ411" s="235">
        <f t="shared" si="519"/>
        <v>4.0666935483870965</v>
      </c>
      <c r="CR411" s="235" cm="1">
        <f t="array" ref="CR411">$BI411 * IF($AH411&lt;=2,
SUMPRODUCT(INDEX($AR$67:$AT$71,,$AI411), INDEX($AU$67:$BA$71,,$AH411), 1 / ($BB$67:$BB$71*CQ411 + (1-$BB$67:$BB$71)*CM411), N($AQ$67:$AQ$71&gt;$AO411)),
SUMPRODUCT(INDEX($AR$57:$AT$66,,$AI411), INDEX($AU$57:$BA$66,,$AH411), 1 / ($BC$57:$BC$66*CQ411 + (1-$BC$57:$BC$66)*CM411), N($AQ$57:$AQ$66&gt;$AO411))
) / 1000</f>
        <v>0</v>
      </c>
      <c r="CS411" s="232">
        <f t="shared" si="534"/>
        <v>20</v>
      </c>
      <c r="CT411" s="230">
        <f t="shared" si="520"/>
        <v>33</v>
      </c>
      <c r="CU411" s="235">
        <f t="shared" si="521"/>
        <v>4.8487499999999999</v>
      </c>
      <c r="CV411" s="235" cm="1">
        <f t="array" ref="CV411">$BI411 * IF($AH411&lt;=2,
SUMPRODUCT(INDEX($AR$62:$AT$66,,$AI411), INDEX($AU$62:$BA$66,,$AH411), 1 / ($BB$62:$BB$66*CU411 + (1-$BB$62:$BB$66)*CQ411), N($AQ$62:$AQ$66&gt;$AO411)),
SUMPRODUCT(INDEX($AR$47:$AT$56,,$AI411), INDEX($AU$47:$BA$56,,$AH411), 1 / ($BC$47:$BC$56*CU411 + (1-$BC$47:$BC$56)*CQ411), N($AQ$47:$AQ$56&gt;$AO411))
) / 1000</f>
        <v>0</v>
      </c>
      <c r="CW411" s="235" cm="1">
        <f t="array" ref="CW411">$BI411 * IF($AH411&lt;=2,
SUMPRODUCT(INDEX($AR$23:$AT$61,,$AI411), INDEX($AU$23:$BA$61,,$AH411), 1 / ($BB$23:$BB$61*CU411), N($AQ$23:$AQ$61&gt;$AO411)),
SUMPRODUCT(INDEX($AR$23:$AT$46,,$AI411), INDEX($AU$23:$BA$46,,$AH411), 1 / ($BC$23:$BC$46*CU411), N($AQ$23:$AQ$46&gt;$AO411))
) / 1000</f>
        <v>0</v>
      </c>
      <c r="CX411" s="230">
        <f t="shared" si="522"/>
        <v>0</v>
      </c>
      <c r="CY411" s="238"/>
    </row>
    <row r="412" spans="1:103" s="76" customFormat="1" ht="14.25" customHeight="1" x14ac:dyDescent="0.2">
      <c r="A412" s="231" t="b">
        <f t="shared" si="526"/>
        <v>0</v>
      </c>
      <c r="B412" s="245">
        <v>390</v>
      </c>
      <c r="C412" s="258"/>
      <c r="D412" s="258"/>
      <c r="E412" s="246"/>
      <c r="F412" s="247" t="str">
        <f>IF(ISBLANK(E412), "", VLOOKUP(E412, Z!$A$2:$C$4127, 3, FALSE))</f>
        <v/>
      </c>
      <c r="G412" s="248"/>
      <c r="H412" s="248"/>
      <c r="I412" s="249"/>
      <c r="J412" s="250"/>
      <c r="K412" s="259"/>
      <c r="L412" s="260"/>
      <c r="M412" s="252" t="str" cm="1">
        <f t="array" ref="M412">INDEX(Trad, 53, $A$20)</f>
        <v>Verschmutzt</v>
      </c>
      <c r="N412" s="253"/>
      <c r="O412" s="253"/>
      <c r="P412" s="254"/>
      <c r="Q412" s="251"/>
      <c r="R412" s="251"/>
      <c r="S412" s="264">
        <f t="shared" si="497"/>
        <v>0</v>
      </c>
      <c r="T412" s="252" t="str" cm="1">
        <f t="array" ref="T412">INDEX(Trad, 52, $A$20)</f>
        <v>Sauber</v>
      </c>
      <c r="U412" s="253"/>
      <c r="V412" s="253"/>
      <c r="W412" s="254"/>
      <c r="X412" s="251"/>
      <c r="Y412" s="251"/>
      <c r="Z412" s="264">
        <f t="shared" si="498"/>
        <v>0</v>
      </c>
      <c r="AA412" s="261"/>
      <c r="AB412" s="258"/>
      <c r="AC412" s="246"/>
      <c r="AD412" s="247" t="str">
        <f>IF(ISBLANK(AC412), "", VLOOKUP(AC412, Z!$A$2:$C$4127, 3, FALSE))</f>
        <v/>
      </c>
      <c r="AE412" s="262"/>
      <c r="AF412" s="263">
        <f t="shared" si="499"/>
        <v>0</v>
      </c>
      <c r="AG412" s="238"/>
      <c r="AH412" s="229">
        <f t="shared" si="523"/>
        <v>1</v>
      </c>
      <c r="AI412" s="229">
        <f t="shared" si="524"/>
        <v>1</v>
      </c>
      <c r="AJ412" s="229">
        <f t="shared" si="525"/>
        <v>0</v>
      </c>
      <c r="AK412" s="229">
        <v>0</v>
      </c>
      <c r="AL412" s="229">
        <v>0</v>
      </c>
      <c r="AM412" s="229">
        <v>1</v>
      </c>
      <c r="AN412" s="229">
        <v>0</v>
      </c>
      <c r="AO412" s="229">
        <f t="shared" si="500"/>
        <v>-100</v>
      </c>
      <c r="AP412" s="238"/>
      <c r="AQ412" s="255"/>
      <c r="AR412" s="255"/>
      <c r="AS412" s="256"/>
      <c r="AT412" s="256"/>
      <c r="AU412" s="256"/>
      <c r="AV412" s="256"/>
      <c r="AW412" s="256"/>
      <c r="AX412" s="256"/>
      <c r="AY412" s="256"/>
      <c r="AZ412" s="256"/>
      <c r="BA412" s="256"/>
      <c r="BB412" s="256"/>
      <c r="BC412" s="256"/>
      <c r="BD412" s="238"/>
      <c r="BE412" s="229" cm="1">
        <f t="array" ref="BE412">IF(ISBLANK(R412), INDEX(Use, $AH412, 4) - AM412*INDEX(Use, $AH412, 6), R412)</f>
        <v>5</v>
      </c>
      <c r="BF412" s="229">
        <f t="shared" si="501"/>
        <v>30</v>
      </c>
      <c r="BG412" s="229">
        <f t="shared" si="527"/>
        <v>13</v>
      </c>
      <c r="BH412" s="229">
        <f t="shared" si="528"/>
        <v>0</v>
      </c>
      <c r="BI412" s="234" cm="1">
        <f t="array" ref="BI412">K412/IF($L412&gt;0, INDEX($AU$23:$BA$77, $L412+20, $AH412), 1)</f>
        <v>0</v>
      </c>
      <c r="BJ412" s="230">
        <f t="shared" si="502"/>
        <v>0</v>
      </c>
      <c r="BK412" s="229">
        <v>35</v>
      </c>
      <c r="BL412" s="230">
        <f t="shared" si="503"/>
        <v>48</v>
      </c>
      <c r="BM412" s="235">
        <f t="shared" si="504"/>
        <v>2.9108720930232557</v>
      </c>
      <c r="BN412" s="235" cm="1">
        <f t="array" ref="BN412">$BI412 * SUMPRODUCT(INDEX($AR$77:$AT$82,,$AI412),INDEX($AU$77:$BA$82,,$AH412), N($AQ$77:$AQ$82&gt;$AO412)) / BM412 / 1000</f>
        <v>0</v>
      </c>
      <c r="BO412" s="232">
        <f t="shared" si="529"/>
        <v>30</v>
      </c>
      <c r="BP412" s="230">
        <f t="shared" si="505"/>
        <v>43</v>
      </c>
      <c r="BQ412" s="235">
        <f t="shared" si="506"/>
        <v>3.2938815789473681</v>
      </c>
      <c r="BR412" s="235" cm="1">
        <f t="array" ref="BR412">$BI412 * IF($AH412&lt;=2,
SUMPRODUCT(INDEX($AR$72:$AT$76,,$AI412), INDEX($AU$72:$BA$76,,$AH412), 1 / ($BB$72:$BB$76*BQ412 + (1-$BB$72:$BB$76)*BM412), N($AQ$72:$AQ$76&gt;$AO412)),
SUMPRODUCT(INDEX($AR$67:$AT$76,,$AI412), INDEX($AU$67:$BA$76,,$AH412), 1 / ($BC$67:$BC$76*BQ412 + (1-$BC$67:$BC$76)*BM412), N($AQ$67:$AQ$76&gt;$AO412))
) / 1000</f>
        <v>0</v>
      </c>
      <c r="BS412" s="232">
        <f t="shared" si="530"/>
        <v>25</v>
      </c>
      <c r="BT412" s="230">
        <f t="shared" si="507"/>
        <v>38</v>
      </c>
      <c r="BU412" s="235">
        <f t="shared" si="508"/>
        <v>3.792954545454545</v>
      </c>
      <c r="BV412" s="235" cm="1">
        <f t="array" ref="BV412">$BI412 * IF($AH412&lt;=2,
SUMPRODUCT(INDEX($AR$67:$AT$71,,$AI412), INDEX($AU$67:$BA$71,,$AH412), 1 / ($BB$67:$BB$71*BU412 + (1-$BB$67:$BB$71)*BQ412), N($AQ$67:$AQ$71&gt;$AO412)),
SUMPRODUCT(INDEX($AR$57:$AT$66,,$AI412), INDEX($AU$57:$BA$66,,$AH412), 1 / ($BC$57:$BC$66*BU412 + (1-$BC$57:$BC$66)*BQ412), N($AQ$57:$AQ$66&gt;$AO412))
) / 1000</f>
        <v>0</v>
      </c>
      <c r="BW412" s="232">
        <f t="shared" si="531"/>
        <v>20</v>
      </c>
      <c r="BX412" s="230">
        <f t="shared" si="509"/>
        <v>33</v>
      </c>
      <c r="BY412" s="235">
        <f t="shared" si="510"/>
        <v>4.4702678571428569</v>
      </c>
      <c r="BZ412" s="235" cm="1">
        <f t="array" ref="BZ412">$BI412 * IF($AH412&lt;=2,
SUMPRODUCT(INDEX($AR$62:$AT$66,,$AI412), INDEX($AU$62:$BA$66,,$AH412), 1 / ($BB$62:$BB$66*BY412 + (1-$BB$62:$BB$66)*BU412), N($AQ$62:$AQ$66&gt;$AO412)),
SUMPRODUCT(INDEX($AR$47:$AT$56,,$AI412), INDEX($AU$47:$BA$56,,$AH412), 1 / ($BC$47:$BC$56*BY412 + (1-$BC$47:$BC$56)*BU412), N($AQ$47:$AQ$56&gt;$AO412))
) / 1000</f>
        <v>0</v>
      </c>
      <c r="CA412" s="235" cm="1">
        <f t="array" ref="CA412">$BI412 * IF($AH412&lt;=2,
SUMPRODUCT(INDEX($AR$23:$AT$61,,$AI412), INDEX($AU$23:$BA$61,,$AH412), 1 / ($BB$23:$BB$61*BY412), N($AQ$23:$AQ$61&gt;$AO412)),
SUMPRODUCT(INDEX($AR$23:$AT$46,,$AI412), INDEX($AU$23:$BA$46,,$AH412), 1 / ($BC$23:$BC$46*BY412), N($AQ$23:$AQ$46&gt;$AO412))
) / 1000</f>
        <v>0</v>
      </c>
      <c r="CB412" s="230">
        <f t="shared" si="511"/>
        <v>0</v>
      </c>
      <c r="CC412" s="238"/>
      <c r="CD412" s="229" cm="1">
        <f t="array" ref="CD412">IF(ISBLANK(Y412), INDEX(Use, $AH412, 4) - AN412*INDEX(Use, $AH412, 6) - (Q412-X412), Y412)</f>
        <v>7</v>
      </c>
      <c r="CE412" s="229">
        <f t="shared" si="512"/>
        <v>32</v>
      </c>
      <c r="CF412" s="230">
        <f t="shared" si="513"/>
        <v>0</v>
      </c>
      <c r="CG412" s="229">
        <v>35</v>
      </c>
      <c r="CH412" s="230">
        <f t="shared" si="514"/>
        <v>48</v>
      </c>
      <c r="CI412" s="235">
        <f t="shared" si="515"/>
        <v>3.0748170731707316</v>
      </c>
      <c r="CJ412" s="235" cm="1">
        <f t="array" ref="CJ412">$BI412 * SUMPRODUCT(INDEX($AR$77:$AT$82,,$AI412),INDEX($AU$77:$BA$82,,$AH412), N($AQ$77:$AQ$82&gt;$AO412)) / CI412 / 1000</f>
        <v>0</v>
      </c>
      <c r="CK412" s="232">
        <f t="shared" si="532"/>
        <v>30</v>
      </c>
      <c r="CL412" s="230">
        <f t="shared" si="516"/>
        <v>43</v>
      </c>
      <c r="CM412" s="235">
        <f t="shared" si="517"/>
        <v>3.5018750000000001</v>
      </c>
      <c r="CN412" s="235" cm="1">
        <f t="array" ref="CN412">$BI412 * IF($AH412&lt;=2,
SUMPRODUCT(INDEX($AR$72:$AT$76,,$AI412), INDEX($AU$72:$BA$76,,$AH412), 1 / ($BB$72:$BB$76*CM412 + (1-$BB$72:$BB$76)*CI412), N($AQ$72:$AQ$76&gt;$AO412)),
SUMPRODUCT(INDEX($AR$67:$AT$76,,$AI412), INDEX($AU$67:$BA$76,,$AH412), 1 / ($BC$67:$BC$76*CM412 + (1-$BC$67:$BC$76)*CI412), N($AQ$67:$AQ$76&gt;$AO412))
) / 1000</f>
        <v>0</v>
      </c>
      <c r="CO412" s="232">
        <f t="shared" si="533"/>
        <v>25</v>
      </c>
      <c r="CP412" s="230">
        <f t="shared" si="518"/>
        <v>38</v>
      </c>
      <c r="CQ412" s="235">
        <f t="shared" si="519"/>
        <v>4.0666935483870965</v>
      </c>
      <c r="CR412" s="235" cm="1">
        <f t="array" ref="CR412">$BI412 * IF($AH412&lt;=2,
SUMPRODUCT(INDEX($AR$67:$AT$71,,$AI412), INDEX($AU$67:$BA$71,,$AH412), 1 / ($BB$67:$BB$71*CQ412 + (1-$BB$67:$BB$71)*CM412), N($AQ$67:$AQ$71&gt;$AO412)),
SUMPRODUCT(INDEX($AR$57:$AT$66,,$AI412), INDEX($AU$57:$BA$66,,$AH412), 1 / ($BC$57:$BC$66*CQ412 + (1-$BC$57:$BC$66)*CM412), N($AQ$57:$AQ$66&gt;$AO412))
) / 1000</f>
        <v>0</v>
      </c>
      <c r="CS412" s="232">
        <f t="shared" si="534"/>
        <v>20</v>
      </c>
      <c r="CT412" s="230">
        <f t="shared" si="520"/>
        <v>33</v>
      </c>
      <c r="CU412" s="235">
        <f t="shared" si="521"/>
        <v>4.8487499999999999</v>
      </c>
      <c r="CV412" s="235" cm="1">
        <f t="array" ref="CV412">$BI412 * IF($AH412&lt;=2,
SUMPRODUCT(INDEX($AR$62:$AT$66,,$AI412), INDEX($AU$62:$BA$66,,$AH412), 1 / ($BB$62:$BB$66*CU412 + (1-$BB$62:$BB$66)*CQ412), N($AQ$62:$AQ$66&gt;$AO412)),
SUMPRODUCT(INDEX($AR$47:$AT$56,,$AI412), INDEX($AU$47:$BA$56,,$AH412), 1 / ($BC$47:$BC$56*CU412 + (1-$BC$47:$BC$56)*CQ412), N($AQ$47:$AQ$56&gt;$AO412))
) / 1000</f>
        <v>0</v>
      </c>
      <c r="CW412" s="235" cm="1">
        <f t="array" ref="CW412">$BI412 * IF($AH412&lt;=2,
SUMPRODUCT(INDEX($AR$23:$AT$61,,$AI412), INDEX($AU$23:$BA$61,,$AH412), 1 / ($BB$23:$BB$61*CU412), N($AQ$23:$AQ$61&gt;$AO412)),
SUMPRODUCT(INDEX($AR$23:$AT$46,,$AI412), INDEX($AU$23:$BA$46,,$AH412), 1 / ($BC$23:$BC$46*CU412), N($AQ$23:$AQ$46&gt;$AO412))
) / 1000</f>
        <v>0</v>
      </c>
      <c r="CX412" s="230">
        <f t="shared" si="522"/>
        <v>0</v>
      </c>
      <c r="CY412" s="238"/>
    </row>
    <row r="413" spans="1:103" s="76" customFormat="1" ht="14.25" customHeight="1" x14ac:dyDescent="0.2">
      <c r="A413" s="231" t="b">
        <f t="shared" si="526"/>
        <v>0</v>
      </c>
      <c r="B413" s="245">
        <v>391</v>
      </c>
      <c r="C413" s="258"/>
      <c r="D413" s="258"/>
      <c r="E413" s="246"/>
      <c r="F413" s="247" t="str">
        <f>IF(ISBLANK(E413), "", VLOOKUP(E413, Z!$A$2:$C$4127, 3, FALSE))</f>
        <v/>
      </c>
      <c r="G413" s="248"/>
      <c r="H413" s="248"/>
      <c r="I413" s="249"/>
      <c r="J413" s="250"/>
      <c r="K413" s="259"/>
      <c r="L413" s="260"/>
      <c r="M413" s="252" t="str" cm="1">
        <f t="array" ref="M413">INDEX(Trad, 53, $A$20)</f>
        <v>Verschmutzt</v>
      </c>
      <c r="N413" s="253"/>
      <c r="O413" s="253"/>
      <c r="P413" s="254"/>
      <c r="Q413" s="251"/>
      <c r="R413" s="251"/>
      <c r="S413" s="264">
        <f t="shared" si="497"/>
        <v>0</v>
      </c>
      <c r="T413" s="252" t="str" cm="1">
        <f t="array" ref="T413">INDEX(Trad, 52, $A$20)</f>
        <v>Sauber</v>
      </c>
      <c r="U413" s="253"/>
      <c r="V413" s="253"/>
      <c r="W413" s="254"/>
      <c r="X413" s="251"/>
      <c r="Y413" s="251"/>
      <c r="Z413" s="264">
        <f t="shared" si="498"/>
        <v>0</v>
      </c>
      <c r="AA413" s="261"/>
      <c r="AB413" s="258"/>
      <c r="AC413" s="246"/>
      <c r="AD413" s="247" t="str">
        <f>IF(ISBLANK(AC413), "", VLOOKUP(AC413, Z!$A$2:$C$4127, 3, FALSE))</f>
        <v/>
      </c>
      <c r="AE413" s="262"/>
      <c r="AF413" s="263">
        <f t="shared" si="499"/>
        <v>0</v>
      </c>
      <c r="AG413" s="238"/>
      <c r="AH413" s="229">
        <f t="shared" si="523"/>
        <v>1</v>
      </c>
      <c r="AI413" s="229">
        <f t="shared" si="524"/>
        <v>1</v>
      </c>
      <c r="AJ413" s="229">
        <f t="shared" si="525"/>
        <v>0</v>
      </c>
      <c r="AK413" s="229">
        <v>0</v>
      </c>
      <c r="AL413" s="229">
        <v>0</v>
      </c>
      <c r="AM413" s="229">
        <v>1</v>
      </c>
      <c r="AN413" s="229">
        <v>0</v>
      </c>
      <c r="AO413" s="229">
        <f t="shared" si="500"/>
        <v>-100</v>
      </c>
      <c r="AP413" s="238"/>
      <c r="AQ413" s="255"/>
      <c r="AR413" s="255"/>
      <c r="AS413" s="256"/>
      <c r="AT413" s="256"/>
      <c r="AU413" s="256"/>
      <c r="AV413" s="256"/>
      <c r="AW413" s="256"/>
      <c r="AX413" s="256"/>
      <c r="AY413" s="256"/>
      <c r="AZ413" s="256"/>
      <c r="BA413" s="256"/>
      <c r="BB413" s="256"/>
      <c r="BC413" s="256"/>
      <c r="BD413" s="238"/>
      <c r="BE413" s="229" cm="1">
        <f t="array" ref="BE413">IF(ISBLANK(R413), INDEX(Use, $AH413, 4) - AM413*INDEX(Use, $AH413, 6), R413)</f>
        <v>5</v>
      </c>
      <c r="BF413" s="229">
        <f t="shared" si="501"/>
        <v>30</v>
      </c>
      <c r="BG413" s="229">
        <f t="shared" si="527"/>
        <v>13</v>
      </c>
      <c r="BH413" s="229">
        <f t="shared" si="528"/>
        <v>0</v>
      </c>
      <c r="BI413" s="234" cm="1">
        <f t="array" ref="BI413">K413/IF($L413&gt;0, INDEX($AU$23:$BA$77, $L413+20, $AH413), 1)</f>
        <v>0</v>
      </c>
      <c r="BJ413" s="230">
        <f t="shared" si="502"/>
        <v>0</v>
      </c>
      <c r="BK413" s="229">
        <v>35</v>
      </c>
      <c r="BL413" s="230">
        <f t="shared" si="503"/>
        <v>48</v>
      </c>
      <c r="BM413" s="235">
        <f t="shared" si="504"/>
        <v>2.9108720930232557</v>
      </c>
      <c r="BN413" s="235" cm="1">
        <f t="array" ref="BN413">$BI413 * SUMPRODUCT(INDEX($AR$77:$AT$82,,$AI413),INDEX($AU$77:$BA$82,,$AH413), N($AQ$77:$AQ$82&gt;$AO413)) / BM413 / 1000</f>
        <v>0</v>
      </c>
      <c r="BO413" s="232">
        <f t="shared" si="529"/>
        <v>30</v>
      </c>
      <c r="BP413" s="230">
        <f t="shared" si="505"/>
        <v>43</v>
      </c>
      <c r="BQ413" s="235">
        <f t="shared" si="506"/>
        <v>3.2938815789473681</v>
      </c>
      <c r="BR413" s="235" cm="1">
        <f t="array" ref="BR413">$BI413 * IF($AH413&lt;=2,
SUMPRODUCT(INDEX($AR$72:$AT$76,,$AI413), INDEX($AU$72:$BA$76,,$AH413), 1 / ($BB$72:$BB$76*BQ413 + (1-$BB$72:$BB$76)*BM413), N($AQ$72:$AQ$76&gt;$AO413)),
SUMPRODUCT(INDEX($AR$67:$AT$76,,$AI413), INDEX($AU$67:$BA$76,,$AH413), 1 / ($BC$67:$BC$76*BQ413 + (1-$BC$67:$BC$76)*BM413), N($AQ$67:$AQ$76&gt;$AO413))
) / 1000</f>
        <v>0</v>
      </c>
      <c r="BS413" s="232">
        <f t="shared" si="530"/>
        <v>25</v>
      </c>
      <c r="BT413" s="230">
        <f t="shared" si="507"/>
        <v>38</v>
      </c>
      <c r="BU413" s="235">
        <f t="shared" si="508"/>
        <v>3.792954545454545</v>
      </c>
      <c r="BV413" s="235" cm="1">
        <f t="array" ref="BV413">$BI413 * IF($AH413&lt;=2,
SUMPRODUCT(INDEX($AR$67:$AT$71,,$AI413), INDEX($AU$67:$BA$71,,$AH413), 1 / ($BB$67:$BB$71*BU413 + (1-$BB$67:$BB$71)*BQ413), N($AQ$67:$AQ$71&gt;$AO413)),
SUMPRODUCT(INDEX($AR$57:$AT$66,,$AI413), INDEX($AU$57:$BA$66,,$AH413), 1 / ($BC$57:$BC$66*BU413 + (1-$BC$57:$BC$66)*BQ413), N($AQ$57:$AQ$66&gt;$AO413))
) / 1000</f>
        <v>0</v>
      </c>
      <c r="BW413" s="232">
        <f t="shared" si="531"/>
        <v>20</v>
      </c>
      <c r="BX413" s="230">
        <f t="shared" si="509"/>
        <v>33</v>
      </c>
      <c r="BY413" s="235">
        <f t="shared" si="510"/>
        <v>4.4702678571428569</v>
      </c>
      <c r="BZ413" s="235" cm="1">
        <f t="array" ref="BZ413">$BI413 * IF($AH413&lt;=2,
SUMPRODUCT(INDEX($AR$62:$AT$66,,$AI413), INDEX($AU$62:$BA$66,,$AH413), 1 / ($BB$62:$BB$66*BY413 + (1-$BB$62:$BB$66)*BU413), N($AQ$62:$AQ$66&gt;$AO413)),
SUMPRODUCT(INDEX($AR$47:$AT$56,,$AI413), INDEX($AU$47:$BA$56,,$AH413), 1 / ($BC$47:$BC$56*BY413 + (1-$BC$47:$BC$56)*BU413), N($AQ$47:$AQ$56&gt;$AO413))
) / 1000</f>
        <v>0</v>
      </c>
      <c r="CA413" s="235" cm="1">
        <f t="array" ref="CA413">$BI413 * IF($AH413&lt;=2,
SUMPRODUCT(INDEX($AR$23:$AT$61,,$AI413), INDEX($AU$23:$BA$61,,$AH413), 1 / ($BB$23:$BB$61*BY413), N($AQ$23:$AQ$61&gt;$AO413)),
SUMPRODUCT(INDEX($AR$23:$AT$46,,$AI413), INDEX($AU$23:$BA$46,,$AH413), 1 / ($BC$23:$BC$46*BY413), N($AQ$23:$AQ$46&gt;$AO413))
) / 1000</f>
        <v>0</v>
      </c>
      <c r="CB413" s="230">
        <f t="shared" si="511"/>
        <v>0</v>
      </c>
      <c r="CC413" s="238"/>
      <c r="CD413" s="229" cm="1">
        <f t="array" ref="CD413">IF(ISBLANK(Y413), INDEX(Use, $AH413, 4) - AN413*INDEX(Use, $AH413, 6) - (Q413-X413), Y413)</f>
        <v>7</v>
      </c>
      <c r="CE413" s="229">
        <f t="shared" si="512"/>
        <v>32</v>
      </c>
      <c r="CF413" s="230">
        <f t="shared" si="513"/>
        <v>0</v>
      </c>
      <c r="CG413" s="229">
        <v>35</v>
      </c>
      <c r="CH413" s="230">
        <f t="shared" si="514"/>
        <v>48</v>
      </c>
      <c r="CI413" s="235">
        <f t="shared" si="515"/>
        <v>3.0748170731707316</v>
      </c>
      <c r="CJ413" s="235" cm="1">
        <f t="array" ref="CJ413">$BI413 * SUMPRODUCT(INDEX($AR$77:$AT$82,,$AI413),INDEX($AU$77:$BA$82,,$AH413), N($AQ$77:$AQ$82&gt;$AO413)) / CI413 / 1000</f>
        <v>0</v>
      </c>
      <c r="CK413" s="232">
        <f t="shared" si="532"/>
        <v>30</v>
      </c>
      <c r="CL413" s="230">
        <f t="shared" si="516"/>
        <v>43</v>
      </c>
      <c r="CM413" s="235">
        <f t="shared" si="517"/>
        <v>3.5018750000000001</v>
      </c>
      <c r="CN413" s="235" cm="1">
        <f t="array" ref="CN413">$BI413 * IF($AH413&lt;=2,
SUMPRODUCT(INDEX($AR$72:$AT$76,,$AI413), INDEX($AU$72:$BA$76,,$AH413), 1 / ($BB$72:$BB$76*CM413 + (1-$BB$72:$BB$76)*CI413), N($AQ$72:$AQ$76&gt;$AO413)),
SUMPRODUCT(INDEX($AR$67:$AT$76,,$AI413), INDEX($AU$67:$BA$76,,$AH413), 1 / ($BC$67:$BC$76*CM413 + (1-$BC$67:$BC$76)*CI413), N($AQ$67:$AQ$76&gt;$AO413))
) / 1000</f>
        <v>0</v>
      </c>
      <c r="CO413" s="232">
        <f t="shared" si="533"/>
        <v>25</v>
      </c>
      <c r="CP413" s="230">
        <f t="shared" si="518"/>
        <v>38</v>
      </c>
      <c r="CQ413" s="235">
        <f t="shared" si="519"/>
        <v>4.0666935483870965</v>
      </c>
      <c r="CR413" s="235" cm="1">
        <f t="array" ref="CR413">$BI413 * IF($AH413&lt;=2,
SUMPRODUCT(INDEX($AR$67:$AT$71,,$AI413), INDEX($AU$67:$BA$71,,$AH413), 1 / ($BB$67:$BB$71*CQ413 + (1-$BB$67:$BB$71)*CM413), N($AQ$67:$AQ$71&gt;$AO413)),
SUMPRODUCT(INDEX($AR$57:$AT$66,,$AI413), INDEX($AU$57:$BA$66,,$AH413), 1 / ($BC$57:$BC$66*CQ413 + (1-$BC$57:$BC$66)*CM413), N($AQ$57:$AQ$66&gt;$AO413))
) / 1000</f>
        <v>0</v>
      </c>
      <c r="CS413" s="232">
        <f t="shared" si="534"/>
        <v>20</v>
      </c>
      <c r="CT413" s="230">
        <f t="shared" si="520"/>
        <v>33</v>
      </c>
      <c r="CU413" s="235">
        <f t="shared" si="521"/>
        <v>4.8487499999999999</v>
      </c>
      <c r="CV413" s="235" cm="1">
        <f t="array" ref="CV413">$BI413 * IF($AH413&lt;=2,
SUMPRODUCT(INDEX($AR$62:$AT$66,,$AI413), INDEX($AU$62:$BA$66,,$AH413), 1 / ($BB$62:$BB$66*CU413 + (1-$BB$62:$BB$66)*CQ413), N($AQ$62:$AQ$66&gt;$AO413)),
SUMPRODUCT(INDEX($AR$47:$AT$56,,$AI413), INDEX($AU$47:$BA$56,,$AH413), 1 / ($BC$47:$BC$56*CU413 + (1-$BC$47:$BC$56)*CQ413), N($AQ$47:$AQ$56&gt;$AO413))
) / 1000</f>
        <v>0</v>
      </c>
      <c r="CW413" s="235" cm="1">
        <f t="array" ref="CW413">$BI413 * IF($AH413&lt;=2,
SUMPRODUCT(INDEX($AR$23:$AT$61,,$AI413), INDEX($AU$23:$BA$61,,$AH413), 1 / ($BB$23:$BB$61*CU413), N($AQ$23:$AQ$61&gt;$AO413)),
SUMPRODUCT(INDEX($AR$23:$AT$46,,$AI413), INDEX($AU$23:$BA$46,,$AH413), 1 / ($BC$23:$BC$46*CU413), N($AQ$23:$AQ$46&gt;$AO413))
) / 1000</f>
        <v>0</v>
      </c>
      <c r="CX413" s="230">
        <f t="shared" si="522"/>
        <v>0</v>
      </c>
      <c r="CY413" s="238"/>
    </row>
    <row r="414" spans="1:103" s="76" customFormat="1" ht="14.25" customHeight="1" x14ac:dyDescent="0.2">
      <c r="A414" s="231" t="b">
        <f t="shared" si="526"/>
        <v>0</v>
      </c>
      <c r="B414" s="245">
        <v>392</v>
      </c>
      <c r="C414" s="258"/>
      <c r="D414" s="258"/>
      <c r="E414" s="246"/>
      <c r="F414" s="247" t="str">
        <f>IF(ISBLANK(E414), "", VLOOKUP(E414, Z!$A$2:$C$4127, 3, FALSE))</f>
        <v/>
      </c>
      <c r="G414" s="248"/>
      <c r="H414" s="248"/>
      <c r="I414" s="249"/>
      <c r="J414" s="250"/>
      <c r="K414" s="259"/>
      <c r="L414" s="260"/>
      <c r="M414" s="252" t="str" cm="1">
        <f t="array" ref="M414">INDEX(Trad, 53, $A$20)</f>
        <v>Verschmutzt</v>
      </c>
      <c r="N414" s="253"/>
      <c r="O414" s="253"/>
      <c r="P414" s="254"/>
      <c r="Q414" s="251"/>
      <c r="R414" s="251"/>
      <c r="S414" s="264">
        <f t="shared" si="497"/>
        <v>0</v>
      </c>
      <c r="T414" s="252" t="str" cm="1">
        <f t="array" ref="T414">INDEX(Trad, 52, $A$20)</f>
        <v>Sauber</v>
      </c>
      <c r="U414" s="253"/>
      <c r="V414" s="253"/>
      <c r="W414" s="254"/>
      <c r="X414" s="251"/>
      <c r="Y414" s="251"/>
      <c r="Z414" s="264">
        <f t="shared" si="498"/>
        <v>0</v>
      </c>
      <c r="AA414" s="261"/>
      <c r="AB414" s="258"/>
      <c r="AC414" s="246"/>
      <c r="AD414" s="247" t="str">
        <f>IF(ISBLANK(AC414), "", VLOOKUP(AC414, Z!$A$2:$C$4127, 3, FALSE))</f>
        <v/>
      </c>
      <c r="AE414" s="262"/>
      <c r="AF414" s="263">
        <f t="shared" si="499"/>
        <v>0</v>
      </c>
      <c r="AG414" s="238"/>
      <c r="AH414" s="229">
        <f t="shared" si="523"/>
        <v>1</v>
      </c>
      <c r="AI414" s="229">
        <f t="shared" si="524"/>
        <v>1</v>
      </c>
      <c r="AJ414" s="229">
        <f t="shared" si="525"/>
        <v>0</v>
      </c>
      <c r="AK414" s="229">
        <v>0</v>
      </c>
      <c r="AL414" s="229">
        <v>0</v>
      </c>
      <c r="AM414" s="229">
        <v>1</v>
      </c>
      <c r="AN414" s="229">
        <v>0</v>
      </c>
      <c r="AO414" s="229">
        <f t="shared" si="500"/>
        <v>-100</v>
      </c>
      <c r="AP414" s="238"/>
      <c r="AQ414" s="255"/>
      <c r="AR414" s="255"/>
      <c r="AS414" s="256"/>
      <c r="AT414" s="256"/>
      <c r="AU414" s="256"/>
      <c r="AV414" s="256"/>
      <c r="AW414" s="256"/>
      <c r="AX414" s="256"/>
      <c r="AY414" s="256"/>
      <c r="AZ414" s="256"/>
      <c r="BA414" s="256"/>
      <c r="BB414" s="256"/>
      <c r="BC414" s="256"/>
      <c r="BD414" s="238"/>
      <c r="BE414" s="229" cm="1">
        <f t="array" ref="BE414">IF(ISBLANK(R414), INDEX(Use, $AH414, 4) - AM414*INDEX(Use, $AH414, 6), R414)</f>
        <v>5</v>
      </c>
      <c r="BF414" s="229">
        <f t="shared" si="501"/>
        <v>30</v>
      </c>
      <c r="BG414" s="229">
        <f t="shared" si="527"/>
        <v>13</v>
      </c>
      <c r="BH414" s="229">
        <f t="shared" si="528"/>
        <v>0</v>
      </c>
      <c r="BI414" s="234" cm="1">
        <f t="array" ref="BI414">K414/IF($L414&gt;0, INDEX($AU$23:$BA$77, $L414+20, $AH414), 1)</f>
        <v>0</v>
      </c>
      <c r="BJ414" s="230">
        <f t="shared" si="502"/>
        <v>0</v>
      </c>
      <c r="BK414" s="229">
        <v>35</v>
      </c>
      <c r="BL414" s="230">
        <f t="shared" si="503"/>
        <v>48</v>
      </c>
      <c r="BM414" s="235">
        <f t="shared" si="504"/>
        <v>2.9108720930232557</v>
      </c>
      <c r="BN414" s="235" cm="1">
        <f t="array" ref="BN414">$BI414 * SUMPRODUCT(INDEX($AR$77:$AT$82,,$AI414),INDEX($AU$77:$BA$82,,$AH414), N($AQ$77:$AQ$82&gt;$AO414)) / BM414 / 1000</f>
        <v>0</v>
      </c>
      <c r="BO414" s="232">
        <f t="shared" si="529"/>
        <v>30</v>
      </c>
      <c r="BP414" s="230">
        <f t="shared" si="505"/>
        <v>43</v>
      </c>
      <c r="BQ414" s="235">
        <f t="shared" si="506"/>
        <v>3.2938815789473681</v>
      </c>
      <c r="BR414" s="235" cm="1">
        <f t="array" ref="BR414">$BI414 * IF($AH414&lt;=2,
SUMPRODUCT(INDEX($AR$72:$AT$76,,$AI414), INDEX($AU$72:$BA$76,,$AH414), 1 / ($BB$72:$BB$76*BQ414 + (1-$BB$72:$BB$76)*BM414), N($AQ$72:$AQ$76&gt;$AO414)),
SUMPRODUCT(INDEX($AR$67:$AT$76,,$AI414), INDEX($AU$67:$BA$76,,$AH414), 1 / ($BC$67:$BC$76*BQ414 + (1-$BC$67:$BC$76)*BM414), N($AQ$67:$AQ$76&gt;$AO414))
) / 1000</f>
        <v>0</v>
      </c>
      <c r="BS414" s="232">
        <f t="shared" si="530"/>
        <v>25</v>
      </c>
      <c r="BT414" s="230">
        <f t="shared" si="507"/>
        <v>38</v>
      </c>
      <c r="BU414" s="235">
        <f t="shared" si="508"/>
        <v>3.792954545454545</v>
      </c>
      <c r="BV414" s="235" cm="1">
        <f t="array" ref="BV414">$BI414 * IF($AH414&lt;=2,
SUMPRODUCT(INDEX($AR$67:$AT$71,,$AI414), INDEX($AU$67:$BA$71,,$AH414), 1 / ($BB$67:$BB$71*BU414 + (1-$BB$67:$BB$71)*BQ414), N($AQ$67:$AQ$71&gt;$AO414)),
SUMPRODUCT(INDEX($AR$57:$AT$66,,$AI414), INDEX($AU$57:$BA$66,,$AH414), 1 / ($BC$57:$BC$66*BU414 + (1-$BC$57:$BC$66)*BQ414), N($AQ$57:$AQ$66&gt;$AO414))
) / 1000</f>
        <v>0</v>
      </c>
      <c r="BW414" s="232">
        <f t="shared" si="531"/>
        <v>20</v>
      </c>
      <c r="BX414" s="230">
        <f t="shared" si="509"/>
        <v>33</v>
      </c>
      <c r="BY414" s="235">
        <f t="shared" si="510"/>
        <v>4.4702678571428569</v>
      </c>
      <c r="BZ414" s="235" cm="1">
        <f t="array" ref="BZ414">$BI414 * IF($AH414&lt;=2,
SUMPRODUCT(INDEX($AR$62:$AT$66,,$AI414), INDEX($AU$62:$BA$66,,$AH414), 1 / ($BB$62:$BB$66*BY414 + (1-$BB$62:$BB$66)*BU414), N($AQ$62:$AQ$66&gt;$AO414)),
SUMPRODUCT(INDEX($AR$47:$AT$56,,$AI414), INDEX($AU$47:$BA$56,,$AH414), 1 / ($BC$47:$BC$56*BY414 + (1-$BC$47:$BC$56)*BU414), N($AQ$47:$AQ$56&gt;$AO414))
) / 1000</f>
        <v>0</v>
      </c>
      <c r="CA414" s="235" cm="1">
        <f t="array" ref="CA414">$BI414 * IF($AH414&lt;=2,
SUMPRODUCT(INDEX($AR$23:$AT$61,,$AI414), INDEX($AU$23:$BA$61,,$AH414), 1 / ($BB$23:$BB$61*BY414), N($AQ$23:$AQ$61&gt;$AO414)),
SUMPRODUCT(INDEX($AR$23:$AT$46,,$AI414), INDEX($AU$23:$BA$46,,$AH414), 1 / ($BC$23:$BC$46*BY414), N($AQ$23:$AQ$46&gt;$AO414))
) / 1000</f>
        <v>0</v>
      </c>
      <c r="CB414" s="230">
        <f t="shared" si="511"/>
        <v>0</v>
      </c>
      <c r="CC414" s="238"/>
      <c r="CD414" s="229" cm="1">
        <f t="array" ref="CD414">IF(ISBLANK(Y414), INDEX(Use, $AH414, 4) - AN414*INDEX(Use, $AH414, 6) - (Q414-X414), Y414)</f>
        <v>7</v>
      </c>
      <c r="CE414" s="229">
        <f t="shared" si="512"/>
        <v>32</v>
      </c>
      <c r="CF414" s="230">
        <f t="shared" si="513"/>
        <v>0</v>
      </c>
      <c r="CG414" s="229">
        <v>35</v>
      </c>
      <c r="CH414" s="230">
        <f t="shared" si="514"/>
        <v>48</v>
      </c>
      <c r="CI414" s="235">
        <f t="shared" si="515"/>
        <v>3.0748170731707316</v>
      </c>
      <c r="CJ414" s="235" cm="1">
        <f t="array" ref="CJ414">$BI414 * SUMPRODUCT(INDEX($AR$77:$AT$82,,$AI414),INDEX($AU$77:$BA$82,,$AH414), N($AQ$77:$AQ$82&gt;$AO414)) / CI414 / 1000</f>
        <v>0</v>
      </c>
      <c r="CK414" s="232">
        <f t="shared" si="532"/>
        <v>30</v>
      </c>
      <c r="CL414" s="230">
        <f t="shared" si="516"/>
        <v>43</v>
      </c>
      <c r="CM414" s="235">
        <f t="shared" si="517"/>
        <v>3.5018750000000001</v>
      </c>
      <c r="CN414" s="235" cm="1">
        <f t="array" ref="CN414">$BI414 * IF($AH414&lt;=2,
SUMPRODUCT(INDEX($AR$72:$AT$76,,$AI414), INDEX($AU$72:$BA$76,,$AH414), 1 / ($BB$72:$BB$76*CM414 + (1-$BB$72:$BB$76)*CI414), N($AQ$72:$AQ$76&gt;$AO414)),
SUMPRODUCT(INDEX($AR$67:$AT$76,,$AI414), INDEX($AU$67:$BA$76,,$AH414), 1 / ($BC$67:$BC$76*CM414 + (1-$BC$67:$BC$76)*CI414), N($AQ$67:$AQ$76&gt;$AO414))
) / 1000</f>
        <v>0</v>
      </c>
      <c r="CO414" s="232">
        <f t="shared" si="533"/>
        <v>25</v>
      </c>
      <c r="CP414" s="230">
        <f t="shared" si="518"/>
        <v>38</v>
      </c>
      <c r="CQ414" s="235">
        <f t="shared" si="519"/>
        <v>4.0666935483870965</v>
      </c>
      <c r="CR414" s="235" cm="1">
        <f t="array" ref="CR414">$BI414 * IF($AH414&lt;=2,
SUMPRODUCT(INDEX($AR$67:$AT$71,,$AI414), INDEX($AU$67:$BA$71,,$AH414), 1 / ($BB$67:$BB$71*CQ414 + (1-$BB$67:$BB$71)*CM414), N($AQ$67:$AQ$71&gt;$AO414)),
SUMPRODUCT(INDEX($AR$57:$AT$66,,$AI414), INDEX($AU$57:$BA$66,,$AH414), 1 / ($BC$57:$BC$66*CQ414 + (1-$BC$57:$BC$66)*CM414), N($AQ$57:$AQ$66&gt;$AO414))
) / 1000</f>
        <v>0</v>
      </c>
      <c r="CS414" s="232">
        <f t="shared" si="534"/>
        <v>20</v>
      </c>
      <c r="CT414" s="230">
        <f t="shared" si="520"/>
        <v>33</v>
      </c>
      <c r="CU414" s="235">
        <f t="shared" si="521"/>
        <v>4.8487499999999999</v>
      </c>
      <c r="CV414" s="235" cm="1">
        <f t="array" ref="CV414">$BI414 * IF($AH414&lt;=2,
SUMPRODUCT(INDEX($AR$62:$AT$66,,$AI414), INDEX($AU$62:$BA$66,,$AH414), 1 / ($BB$62:$BB$66*CU414 + (1-$BB$62:$BB$66)*CQ414), N($AQ$62:$AQ$66&gt;$AO414)),
SUMPRODUCT(INDEX($AR$47:$AT$56,,$AI414), INDEX($AU$47:$BA$56,,$AH414), 1 / ($BC$47:$BC$56*CU414 + (1-$BC$47:$BC$56)*CQ414), N($AQ$47:$AQ$56&gt;$AO414))
) / 1000</f>
        <v>0</v>
      </c>
      <c r="CW414" s="235" cm="1">
        <f t="array" ref="CW414">$BI414 * IF($AH414&lt;=2,
SUMPRODUCT(INDEX($AR$23:$AT$61,,$AI414), INDEX($AU$23:$BA$61,,$AH414), 1 / ($BB$23:$BB$61*CU414), N($AQ$23:$AQ$61&gt;$AO414)),
SUMPRODUCT(INDEX($AR$23:$AT$46,,$AI414), INDEX($AU$23:$BA$46,,$AH414), 1 / ($BC$23:$BC$46*CU414), N($AQ$23:$AQ$46&gt;$AO414))
) / 1000</f>
        <v>0</v>
      </c>
      <c r="CX414" s="230">
        <f t="shared" si="522"/>
        <v>0</v>
      </c>
      <c r="CY414" s="238"/>
    </row>
    <row r="415" spans="1:103" s="76" customFormat="1" ht="14.25" customHeight="1" x14ac:dyDescent="0.2">
      <c r="A415" s="231" t="b">
        <f t="shared" si="526"/>
        <v>0</v>
      </c>
      <c r="B415" s="245">
        <v>393</v>
      </c>
      <c r="C415" s="258"/>
      <c r="D415" s="258"/>
      <c r="E415" s="246"/>
      <c r="F415" s="247" t="str">
        <f>IF(ISBLANK(E415), "", VLOOKUP(E415, Z!$A$2:$C$4127, 3, FALSE))</f>
        <v/>
      </c>
      <c r="G415" s="248"/>
      <c r="H415" s="248"/>
      <c r="I415" s="249"/>
      <c r="J415" s="250"/>
      <c r="K415" s="259"/>
      <c r="L415" s="260"/>
      <c r="M415" s="252" t="str" cm="1">
        <f t="array" ref="M415">INDEX(Trad, 53, $A$20)</f>
        <v>Verschmutzt</v>
      </c>
      <c r="N415" s="253"/>
      <c r="O415" s="253"/>
      <c r="P415" s="254"/>
      <c r="Q415" s="251"/>
      <c r="R415" s="251"/>
      <c r="S415" s="264">
        <f t="shared" si="497"/>
        <v>0</v>
      </c>
      <c r="T415" s="252" t="str" cm="1">
        <f t="array" ref="T415">INDEX(Trad, 52, $A$20)</f>
        <v>Sauber</v>
      </c>
      <c r="U415" s="253"/>
      <c r="V415" s="253"/>
      <c r="W415" s="254"/>
      <c r="X415" s="251"/>
      <c r="Y415" s="251"/>
      <c r="Z415" s="264">
        <f t="shared" si="498"/>
        <v>0</v>
      </c>
      <c r="AA415" s="261"/>
      <c r="AB415" s="258"/>
      <c r="AC415" s="246"/>
      <c r="AD415" s="247" t="str">
        <f>IF(ISBLANK(AC415), "", VLOOKUP(AC415, Z!$A$2:$C$4127, 3, FALSE))</f>
        <v/>
      </c>
      <c r="AE415" s="262"/>
      <c r="AF415" s="263">
        <f t="shared" si="499"/>
        <v>0</v>
      </c>
      <c r="AG415" s="238"/>
      <c r="AH415" s="229">
        <f t="shared" si="523"/>
        <v>1</v>
      </c>
      <c r="AI415" s="229">
        <f t="shared" si="524"/>
        <v>1</v>
      </c>
      <c r="AJ415" s="229">
        <f t="shared" si="525"/>
        <v>0</v>
      </c>
      <c r="AK415" s="229">
        <v>0</v>
      </c>
      <c r="AL415" s="229">
        <v>0</v>
      </c>
      <c r="AM415" s="229">
        <v>1</v>
      </c>
      <c r="AN415" s="229">
        <v>0</v>
      </c>
      <c r="AO415" s="229">
        <f t="shared" si="500"/>
        <v>-100</v>
      </c>
      <c r="AP415" s="238"/>
      <c r="AQ415" s="255"/>
      <c r="AR415" s="255"/>
      <c r="AS415" s="256"/>
      <c r="AT415" s="256"/>
      <c r="AU415" s="256"/>
      <c r="AV415" s="256"/>
      <c r="AW415" s="256"/>
      <c r="AX415" s="256"/>
      <c r="AY415" s="256"/>
      <c r="AZ415" s="256"/>
      <c r="BA415" s="256"/>
      <c r="BB415" s="256"/>
      <c r="BC415" s="256"/>
      <c r="BD415" s="238"/>
      <c r="BE415" s="229" cm="1">
        <f t="array" ref="BE415">IF(ISBLANK(R415), INDEX(Use, $AH415, 4) - AM415*INDEX(Use, $AH415, 6), R415)</f>
        <v>5</v>
      </c>
      <c r="BF415" s="229">
        <f t="shared" si="501"/>
        <v>30</v>
      </c>
      <c r="BG415" s="229">
        <f t="shared" si="527"/>
        <v>13</v>
      </c>
      <c r="BH415" s="229">
        <f t="shared" si="528"/>
        <v>0</v>
      </c>
      <c r="BI415" s="234" cm="1">
        <f t="array" ref="BI415">K415/IF($L415&gt;0, INDEX($AU$23:$BA$77, $L415+20, $AH415), 1)</f>
        <v>0</v>
      </c>
      <c r="BJ415" s="230">
        <f t="shared" si="502"/>
        <v>0</v>
      </c>
      <c r="BK415" s="229">
        <v>35</v>
      </c>
      <c r="BL415" s="230">
        <f t="shared" si="503"/>
        <v>48</v>
      </c>
      <c r="BM415" s="235">
        <f t="shared" si="504"/>
        <v>2.9108720930232557</v>
      </c>
      <c r="BN415" s="235" cm="1">
        <f t="array" ref="BN415">$BI415 * SUMPRODUCT(INDEX($AR$77:$AT$82,,$AI415),INDEX($AU$77:$BA$82,,$AH415), N($AQ$77:$AQ$82&gt;$AO415)) / BM415 / 1000</f>
        <v>0</v>
      </c>
      <c r="BO415" s="232">
        <f t="shared" si="529"/>
        <v>30</v>
      </c>
      <c r="BP415" s="230">
        <f t="shared" si="505"/>
        <v>43</v>
      </c>
      <c r="BQ415" s="235">
        <f t="shared" si="506"/>
        <v>3.2938815789473681</v>
      </c>
      <c r="BR415" s="235" cm="1">
        <f t="array" ref="BR415">$BI415 * IF($AH415&lt;=2,
SUMPRODUCT(INDEX($AR$72:$AT$76,,$AI415), INDEX($AU$72:$BA$76,,$AH415), 1 / ($BB$72:$BB$76*BQ415 + (1-$BB$72:$BB$76)*BM415), N($AQ$72:$AQ$76&gt;$AO415)),
SUMPRODUCT(INDEX($AR$67:$AT$76,,$AI415), INDEX($AU$67:$BA$76,,$AH415), 1 / ($BC$67:$BC$76*BQ415 + (1-$BC$67:$BC$76)*BM415), N($AQ$67:$AQ$76&gt;$AO415))
) / 1000</f>
        <v>0</v>
      </c>
      <c r="BS415" s="232">
        <f t="shared" si="530"/>
        <v>25</v>
      </c>
      <c r="BT415" s="230">
        <f t="shared" si="507"/>
        <v>38</v>
      </c>
      <c r="BU415" s="235">
        <f t="shared" si="508"/>
        <v>3.792954545454545</v>
      </c>
      <c r="BV415" s="235" cm="1">
        <f t="array" ref="BV415">$BI415 * IF($AH415&lt;=2,
SUMPRODUCT(INDEX($AR$67:$AT$71,,$AI415), INDEX($AU$67:$BA$71,,$AH415), 1 / ($BB$67:$BB$71*BU415 + (1-$BB$67:$BB$71)*BQ415), N($AQ$67:$AQ$71&gt;$AO415)),
SUMPRODUCT(INDEX($AR$57:$AT$66,,$AI415), INDEX($AU$57:$BA$66,,$AH415), 1 / ($BC$57:$BC$66*BU415 + (1-$BC$57:$BC$66)*BQ415), N($AQ$57:$AQ$66&gt;$AO415))
) / 1000</f>
        <v>0</v>
      </c>
      <c r="BW415" s="232">
        <f t="shared" si="531"/>
        <v>20</v>
      </c>
      <c r="BX415" s="230">
        <f t="shared" si="509"/>
        <v>33</v>
      </c>
      <c r="BY415" s="235">
        <f t="shared" si="510"/>
        <v>4.4702678571428569</v>
      </c>
      <c r="BZ415" s="235" cm="1">
        <f t="array" ref="BZ415">$BI415 * IF($AH415&lt;=2,
SUMPRODUCT(INDEX($AR$62:$AT$66,,$AI415), INDEX($AU$62:$BA$66,,$AH415), 1 / ($BB$62:$BB$66*BY415 + (1-$BB$62:$BB$66)*BU415), N($AQ$62:$AQ$66&gt;$AO415)),
SUMPRODUCT(INDEX($AR$47:$AT$56,,$AI415), INDEX($AU$47:$BA$56,,$AH415), 1 / ($BC$47:$BC$56*BY415 + (1-$BC$47:$BC$56)*BU415), N($AQ$47:$AQ$56&gt;$AO415))
) / 1000</f>
        <v>0</v>
      </c>
      <c r="CA415" s="235" cm="1">
        <f t="array" ref="CA415">$BI415 * IF($AH415&lt;=2,
SUMPRODUCT(INDEX($AR$23:$AT$61,,$AI415), INDEX($AU$23:$BA$61,,$AH415), 1 / ($BB$23:$BB$61*BY415), N($AQ$23:$AQ$61&gt;$AO415)),
SUMPRODUCT(INDEX($AR$23:$AT$46,,$AI415), INDEX($AU$23:$BA$46,,$AH415), 1 / ($BC$23:$BC$46*BY415), N($AQ$23:$AQ$46&gt;$AO415))
) / 1000</f>
        <v>0</v>
      </c>
      <c r="CB415" s="230">
        <f t="shared" si="511"/>
        <v>0</v>
      </c>
      <c r="CC415" s="238"/>
      <c r="CD415" s="229" cm="1">
        <f t="array" ref="CD415">IF(ISBLANK(Y415), INDEX(Use, $AH415, 4) - AN415*INDEX(Use, $AH415, 6) - (Q415-X415), Y415)</f>
        <v>7</v>
      </c>
      <c r="CE415" s="229">
        <f t="shared" si="512"/>
        <v>32</v>
      </c>
      <c r="CF415" s="230">
        <f t="shared" si="513"/>
        <v>0</v>
      </c>
      <c r="CG415" s="229">
        <v>35</v>
      </c>
      <c r="CH415" s="230">
        <f t="shared" si="514"/>
        <v>48</v>
      </c>
      <c r="CI415" s="235">
        <f t="shared" si="515"/>
        <v>3.0748170731707316</v>
      </c>
      <c r="CJ415" s="235" cm="1">
        <f t="array" ref="CJ415">$BI415 * SUMPRODUCT(INDEX($AR$77:$AT$82,,$AI415),INDEX($AU$77:$BA$82,,$AH415), N($AQ$77:$AQ$82&gt;$AO415)) / CI415 / 1000</f>
        <v>0</v>
      </c>
      <c r="CK415" s="232">
        <f t="shared" si="532"/>
        <v>30</v>
      </c>
      <c r="CL415" s="230">
        <f t="shared" si="516"/>
        <v>43</v>
      </c>
      <c r="CM415" s="235">
        <f t="shared" si="517"/>
        <v>3.5018750000000001</v>
      </c>
      <c r="CN415" s="235" cm="1">
        <f t="array" ref="CN415">$BI415 * IF($AH415&lt;=2,
SUMPRODUCT(INDEX($AR$72:$AT$76,,$AI415), INDEX($AU$72:$BA$76,,$AH415), 1 / ($BB$72:$BB$76*CM415 + (1-$BB$72:$BB$76)*CI415), N($AQ$72:$AQ$76&gt;$AO415)),
SUMPRODUCT(INDEX($AR$67:$AT$76,,$AI415), INDEX($AU$67:$BA$76,,$AH415), 1 / ($BC$67:$BC$76*CM415 + (1-$BC$67:$BC$76)*CI415), N($AQ$67:$AQ$76&gt;$AO415))
) / 1000</f>
        <v>0</v>
      </c>
      <c r="CO415" s="232">
        <f t="shared" si="533"/>
        <v>25</v>
      </c>
      <c r="CP415" s="230">
        <f t="shared" si="518"/>
        <v>38</v>
      </c>
      <c r="CQ415" s="235">
        <f t="shared" si="519"/>
        <v>4.0666935483870965</v>
      </c>
      <c r="CR415" s="235" cm="1">
        <f t="array" ref="CR415">$BI415 * IF($AH415&lt;=2,
SUMPRODUCT(INDEX($AR$67:$AT$71,,$AI415), INDEX($AU$67:$BA$71,,$AH415), 1 / ($BB$67:$BB$71*CQ415 + (1-$BB$67:$BB$71)*CM415), N($AQ$67:$AQ$71&gt;$AO415)),
SUMPRODUCT(INDEX($AR$57:$AT$66,,$AI415), INDEX($AU$57:$BA$66,,$AH415), 1 / ($BC$57:$BC$66*CQ415 + (1-$BC$57:$BC$66)*CM415), N($AQ$57:$AQ$66&gt;$AO415))
) / 1000</f>
        <v>0</v>
      </c>
      <c r="CS415" s="232">
        <f t="shared" si="534"/>
        <v>20</v>
      </c>
      <c r="CT415" s="230">
        <f t="shared" si="520"/>
        <v>33</v>
      </c>
      <c r="CU415" s="235">
        <f t="shared" si="521"/>
        <v>4.8487499999999999</v>
      </c>
      <c r="CV415" s="235" cm="1">
        <f t="array" ref="CV415">$BI415 * IF($AH415&lt;=2,
SUMPRODUCT(INDEX($AR$62:$AT$66,,$AI415), INDEX($AU$62:$BA$66,,$AH415), 1 / ($BB$62:$BB$66*CU415 + (1-$BB$62:$BB$66)*CQ415), N($AQ$62:$AQ$66&gt;$AO415)),
SUMPRODUCT(INDEX($AR$47:$AT$56,,$AI415), INDEX($AU$47:$BA$56,,$AH415), 1 / ($BC$47:$BC$56*CU415 + (1-$BC$47:$BC$56)*CQ415), N($AQ$47:$AQ$56&gt;$AO415))
) / 1000</f>
        <v>0</v>
      </c>
      <c r="CW415" s="235" cm="1">
        <f t="array" ref="CW415">$BI415 * IF($AH415&lt;=2,
SUMPRODUCT(INDEX($AR$23:$AT$61,,$AI415), INDEX($AU$23:$BA$61,,$AH415), 1 / ($BB$23:$BB$61*CU415), N($AQ$23:$AQ$61&gt;$AO415)),
SUMPRODUCT(INDEX($AR$23:$AT$46,,$AI415), INDEX($AU$23:$BA$46,,$AH415), 1 / ($BC$23:$BC$46*CU415), N($AQ$23:$AQ$46&gt;$AO415))
) / 1000</f>
        <v>0</v>
      </c>
      <c r="CX415" s="230">
        <f t="shared" si="522"/>
        <v>0</v>
      </c>
      <c r="CY415" s="238"/>
    </row>
    <row r="416" spans="1:103" s="76" customFormat="1" ht="14.25" customHeight="1" x14ac:dyDescent="0.2">
      <c r="A416" s="231" t="b">
        <f t="shared" si="526"/>
        <v>0</v>
      </c>
      <c r="B416" s="245">
        <v>394</v>
      </c>
      <c r="C416" s="258"/>
      <c r="D416" s="258"/>
      <c r="E416" s="246"/>
      <c r="F416" s="247" t="str">
        <f>IF(ISBLANK(E416), "", VLOOKUP(E416, Z!$A$2:$C$4127, 3, FALSE))</f>
        <v/>
      </c>
      <c r="G416" s="248"/>
      <c r="H416" s="248"/>
      <c r="I416" s="249"/>
      <c r="J416" s="250"/>
      <c r="K416" s="259"/>
      <c r="L416" s="260"/>
      <c r="M416" s="252" t="str" cm="1">
        <f t="array" ref="M416">INDEX(Trad, 53, $A$20)</f>
        <v>Verschmutzt</v>
      </c>
      <c r="N416" s="253"/>
      <c r="O416" s="253"/>
      <c r="P416" s="254"/>
      <c r="Q416" s="251"/>
      <c r="R416" s="251"/>
      <c r="S416" s="264">
        <f t="shared" si="497"/>
        <v>0</v>
      </c>
      <c r="T416" s="252" t="str" cm="1">
        <f t="array" ref="T416">INDEX(Trad, 52, $A$20)</f>
        <v>Sauber</v>
      </c>
      <c r="U416" s="253"/>
      <c r="V416" s="253"/>
      <c r="W416" s="254"/>
      <c r="X416" s="251"/>
      <c r="Y416" s="251"/>
      <c r="Z416" s="264">
        <f t="shared" si="498"/>
        <v>0</v>
      </c>
      <c r="AA416" s="261"/>
      <c r="AB416" s="258"/>
      <c r="AC416" s="246"/>
      <c r="AD416" s="247" t="str">
        <f>IF(ISBLANK(AC416), "", VLOOKUP(AC416, Z!$A$2:$C$4127, 3, FALSE))</f>
        <v/>
      </c>
      <c r="AE416" s="262"/>
      <c r="AF416" s="263">
        <f t="shared" si="499"/>
        <v>0</v>
      </c>
      <c r="AG416" s="238"/>
      <c r="AH416" s="229">
        <f t="shared" si="523"/>
        <v>1</v>
      </c>
      <c r="AI416" s="229">
        <f t="shared" si="524"/>
        <v>1</v>
      </c>
      <c r="AJ416" s="229">
        <f t="shared" si="525"/>
        <v>0</v>
      </c>
      <c r="AK416" s="229">
        <v>0</v>
      </c>
      <c r="AL416" s="229">
        <v>0</v>
      </c>
      <c r="AM416" s="229">
        <v>1</v>
      </c>
      <c r="AN416" s="229">
        <v>0</v>
      </c>
      <c r="AO416" s="229">
        <f t="shared" si="500"/>
        <v>-100</v>
      </c>
      <c r="AP416" s="238"/>
      <c r="AQ416" s="255"/>
      <c r="AR416" s="255"/>
      <c r="AS416" s="256"/>
      <c r="AT416" s="256"/>
      <c r="AU416" s="256"/>
      <c r="AV416" s="256"/>
      <c r="AW416" s="256"/>
      <c r="AX416" s="256"/>
      <c r="AY416" s="256"/>
      <c r="AZ416" s="256"/>
      <c r="BA416" s="256"/>
      <c r="BB416" s="256"/>
      <c r="BC416" s="256"/>
      <c r="BD416" s="238"/>
      <c r="BE416" s="229" cm="1">
        <f t="array" ref="BE416">IF(ISBLANK(R416), INDEX(Use, $AH416, 4) - AM416*INDEX(Use, $AH416, 6), R416)</f>
        <v>5</v>
      </c>
      <c r="BF416" s="229">
        <f t="shared" si="501"/>
        <v>30</v>
      </c>
      <c r="BG416" s="229">
        <f t="shared" si="527"/>
        <v>13</v>
      </c>
      <c r="BH416" s="229">
        <f t="shared" si="528"/>
        <v>0</v>
      </c>
      <c r="BI416" s="234" cm="1">
        <f t="array" ref="BI416">K416/IF($L416&gt;0, INDEX($AU$23:$BA$77, $L416+20, $AH416), 1)</f>
        <v>0</v>
      </c>
      <c r="BJ416" s="230">
        <f t="shared" si="502"/>
        <v>0</v>
      </c>
      <c r="BK416" s="229">
        <v>35</v>
      </c>
      <c r="BL416" s="230">
        <f t="shared" si="503"/>
        <v>48</v>
      </c>
      <c r="BM416" s="235">
        <f t="shared" si="504"/>
        <v>2.9108720930232557</v>
      </c>
      <c r="BN416" s="235" cm="1">
        <f t="array" ref="BN416">$BI416 * SUMPRODUCT(INDEX($AR$77:$AT$82,,$AI416),INDEX($AU$77:$BA$82,,$AH416), N($AQ$77:$AQ$82&gt;$AO416)) / BM416 / 1000</f>
        <v>0</v>
      </c>
      <c r="BO416" s="232">
        <f t="shared" si="529"/>
        <v>30</v>
      </c>
      <c r="BP416" s="230">
        <f t="shared" si="505"/>
        <v>43</v>
      </c>
      <c r="BQ416" s="235">
        <f t="shared" si="506"/>
        <v>3.2938815789473681</v>
      </c>
      <c r="BR416" s="235" cm="1">
        <f t="array" ref="BR416">$BI416 * IF($AH416&lt;=2,
SUMPRODUCT(INDEX($AR$72:$AT$76,,$AI416), INDEX($AU$72:$BA$76,,$AH416), 1 / ($BB$72:$BB$76*BQ416 + (1-$BB$72:$BB$76)*BM416), N($AQ$72:$AQ$76&gt;$AO416)),
SUMPRODUCT(INDEX($AR$67:$AT$76,,$AI416), INDEX($AU$67:$BA$76,,$AH416), 1 / ($BC$67:$BC$76*BQ416 + (1-$BC$67:$BC$76)*BM416), N($AQ$67:$AQ$76&gt;$AO416))
) / 1000</f>
        <v>0</v>
      </c>
      <c r="BS416" s="232">
        <f t="shared" si="530"/>
        <v>25</v>
      </c>
      <c r="BT416" s="230">
        <f t="shared" si="507"/>
        <v>38</v>
      </c>
      <c r="BU416" s="235">
        <f t="shared" si="508"/>
        <v>3.792954545454545</v>
      </c>
      <c r="BV416" s="235" cm="1">
        <f t="array" ref="BV416">$BI416 * IF($AH416&lt;=2,
SUMPRODUCT(INDEX($AR$67:$AT$71,,$AI416), INDEX($AU$67:$BA$71,,$AH416), 1 / ($BB$67:$BB$71*BU416 + (1-$BB$67:$BB$71)*BQ416), N($AQ$67:$AQ$71&gt;$AO416)),
SUMPRODUCT(INDEX($AR$57:$AT$66,,$AI416), INDEX($AU$57:$BA$66,,$AH416), 1 / ($BC$57:$BC$66*BU416 + (1-$BC$57:$BC$66)*BQ416), N($AQ$57:$AQ$66&gt;$AO416))
) / 1000</f>
        <v>0</v>
      </c>
      <c r="BW416" s="232">
        <f t="shared" si="531"/>
        <v>20</v>
      </c>
      <c r="BX416" s="230">
        <f t="shared" si="509"/>
        <v>33</v>
      </c>
      <c r="BY416" s="235">
        <f t="shared" si="510"/>
        <v>4.4702678571428569</v>
      </c>
      <c r="BZ416" s="235" cm="1">
        <f t="array" ref="BZ416">$BI416 * IF($AH416&lt;=2,
SUMPRODUCT(INDEX($AR$62:$AT$66,,$AI416), INDEX($AU$62:$BA$66,,$AH416), 1 / ($BB$62:$BB$66*BY416 + (1-$BB$62:$BB$66)*BU416), N($AQ$62:$AQ$66&gt;$AO416)),
SUMPRODUCT(INDEX($AR$47:$AT$56,,$AI416), INDEX($AU$47:$BA$56,,$AH416), 1 / ($BC$47:$BC$56*BY416 + (1-$BC$47:$BC$56)*BU416), N($AQ$47:$AQ$56&gt;$AO416))
) / 1000</f>
        <v>0</v>
      </c>
      <c r="CA416" s="235" cm="1">
        <f t="array" ref="CA416">$BI416 * IF($AH416&lt;=2,
SUMPRODUCT(INDEX($AR$23:$AT$61,,$AI416), INDEX($AU$23:$BA$61,,$AH416), 1 / ($BB$23:$BB$61*BY416), N($AQ$23:$AQ$61&gt;$AO416)),
SUMPRODUCT(INDEX($AR$23:$AT$46,,$AI416), INDEX($AU$23:$BA$46,,$AH416), 1 / ($BC$23:$BC$46*BY416), N($AQ$23:$AQ$46&gt;$AO416))
) / 1000</f>
        <v>0</v>
      </c>
      <c r="CB416" s="230">
        <f t="shared" si="511"/>
        <v>0</v>
      </c>
      <c r="CC416" s="238"/>
      <c r="CD416" s="229" cm="1">
        <f t="array" ref="CD416">IF(ISBLANK(Y416), INDEX(Use, $AH416, 4) - AN416*INDEX(Use, $AH416, 6) - (Q416-X416), Y416)</f>
        <v>7</v>
      </c>
      <c r="CE416" s="229">
        <f t="shared" si="512"/>
        <v>32</v>
      </c>
      <c r="CF416" s="230">
        <f t="shared" si="513"/>
        <v>0</v>
      </c>
      <c r="CG416" s="229">
        <v>35</v>
      </c>
      <c r="CH416" s="230">
        <f t="shared" si="514"/>
        <v>48</v>
      </c>
      <c r="CI416" s="235">
        <f t="shared" si="515"/>
        <v>3.0748170731707316</v>
      </c>
      <c r="CJ416" s="235" cm="1">
        <f t="array" ref="CJ416">$BI416 * SUMPRODUCT(INDEX($AR$77:$AT$82,,$AI416),INDEX($AU$77:$BA$82,,$AH416), N($AQ$77:$AQ$82&gt;$AO416)) / CI416 / 1000</f>
        <v>0</v>
      </c>
      <c r="CK416" s="232">
        <f t="shared" si="532"/>
        <v>30</v>
      </c>
      <c r="CL416" s="230">
        <f t="shared" si="516"/>
        <v>43</v>
      </c>
      <c r="CM416" s="235">
        <f t="shared" si="517"/>
        <v>3.5018750000000001</v>
      </c>
      <c r="CN416" s="235" cm="1">
        <f t="array" ref="CN416">$BI416 * IF($AH416&lt;=2,
SUMPRODUCT(INDEX($AR$72:$AT$76,,$AI416), INDEX($AU$72:$BA$76,,$AH416), 1 / ($BB$72:$BB$76*CM416 + (1-$BB$72:$BB$76)*CI416), N($AQ$72:$AQ$76&gt;$AO416)),
SUMPRODUCT(INDEX($AR$67:$AT$76,,$AI416), INDEX($AU$67:$BA$76,,$AH416), 1 / ($BC$67:$BC$76*CM416 + (1-$BC$67:$BC$76)*CI416), N($AQ$67:$AQ$76&gt;$AO416))
) / 1000</f>
        <v>0</v>
      </c>
      <c r="CO416" s="232">
        <f t="shared" si="533"/>
        <v>25</v>
      </c>
      <c r="CP416" s="230">
        <f t="shared" si="518"/>
        <v>38</v>
      </c>
      <c r="CQ416" s="235">
        <f t="shared" si="519"/>
        <v>4.0666935483870965</v>
      </c>
      <c r="CR416" s="235" cm="1">
        <f t="array" ref="CR416">$BI416 * IF($AH416&lt;=2,
SUMPRODUCT(INDEX($AR$67:$AT$71,,$AI416), INDEX($AU$67:$BA$71,,$AH416), 1 / ($BB$67:$BB$71*CQ416 + (1-$BB$67:$BB$71)*CM416), N($AQ$67:$AQ$71&gt;$AO416)),
SUMPRODUCT(INDEX($AR$57:$AT$66,,$AI416), INDEX($AU$57:$BA$66,,$AH416), 1 / ($BC$57:$BC$66*CQ416 + (1-$BC$57:$BC$66)*CM416), N($AQ$57:$AQ$66&gt;$AO416))
) / 1000</f>
        <v>0</v>
      </c>
      <c r="CS416" s="232">
        <f t="shared" si="534"/>
        <v>20</v>
      </c>
      <c r="CT416" s="230">
        <f t="shared" si="520"/>
        <v>33</v>
      </c>
      <c r="CU416" s="235">
        <f t="shared" si="521"/>
        <v>4.8487499999999999</v>
      </c>
      <c r="CV416" s="235" cm="1">
        <f t="array" ref="CV416">$BI416 * IF($AH416&lt;=2,
SUMPRODUCT(INDEX($AR$62:$AT$66,,$AI416), INDEX($AU$62:$BA$66,,$AH416), 1 / ($BB$62:$BB$66*CU416 + (1-$BB$62:$BB$66)*CQ416), N($AQ$62:$AQ$66&gt;$AO416)),
SUMPRODUCT(INDEX($AR$47:$AT$56,,$AI416), INDEX($AU$47:$BA$56,,$AH416), 1 / ($BC$47:$BC$56*CU416 + (1-$BC$47:$BC$56)*CQ416), N($AQ$47:$AQ$56&gt;$AO416))
) / 1000</f>
        <v>0</v>
      </c>
      <c r="CW416" s="235" cm="1">
        <f t="array" ref="CW416">$BI416 * IF($AH416&lt;=2,
SUMPRODUCT(INDEX($AR$23:$AT$61,,$AI416), INDEX($AU$23:$BA$61,,$AH416), 1 / ($BB$23:$BB$61*CU416), N($AQ$23:$AQ$61&gt;$AO416)),
SUMPRODUCT(INDEX($AR$23:$AT$46,,$AI416), INDEX($AU$23:$BA$46,,$AH416), 1 / ($BC$23:$BC$46*CU416), N($AQ$23:$AQ$46&gt;$AO416))
) / 1000</f>
        <v>0</v>
      </c>
      <c r="CX416" s="230">
        <f t="shared" si="522"/>
        <v>0</v>
      </c>
      <c r="CY416" s="238"/>
    </row>
    <row r="417" spans="1:103" s="76" customFormat="1" ht="14.25" customHeight="1" x14ac:dyDescent="0.2">
      <c r="A417" s="231" t="b">
        <f t="shared" si="526"/>
        <v>0</v>
      </c>
      <c r="B417" s="245">
        <v>395</v>
      </c>
      <c r="C417" s="258"/>
      <c r="D417" s="258"/>
      <c r="E417" s="246"/>
      <c r="F417" s="247" t="str">
        <f>IF(ISBLANK(E417), "", VLOOKUP(E417, Z!$A$2:$C$4127, 3, FALSE))</f>
        <v/>
      </c>
      <c r="G417" s="248"/>
      <c r="H417" s="248"/>
      <c r="I417" s="249"/>
      <c r="J417" s="250"/>
      <c r="K417" s="259"/>
      <c r="L417" s="260"/>
      <c r="M417" s="252" t="str" cm="1">
        <f t="array" ref="M417">INDEX(Trad, 53, $A$20)</f>
        <v>Verschmutzt</v>
      </c>
      <c r="N417" s="253"/>
      <c r="O417" s="253"/>
      <c r="P417" s="254"/>
      <c r="Q417" s="251"/>
      <c r="R417" s="251"/>
      <c r="S417" s="264">
        <f t="shared" si="497"/>
        <v>0</v>
      </c>
      <c r="T417" s="252" t="str" cm="1">
        <f t="array" ref="T417">INDEX(Trad, 52, $A$20)</f>
        <v>Sauber</v>
      </c>
      <c r="U417" s="253"/>
      <c r="V417" s="253"/>
      <c r="W417" s="254"/>
      <c r="X417" s="251"/>
      <c r="Y417" s="251"/>
      <c r="Z417" s="264">
        <f t="shared" si="498"/>
        <v>0</v>
      </c>
      <c r="AA417" s="261"/>
      <c r="AB417" s="258"/>
      <c r="AC417" s="246"/>
      <c r="AD417" s="247" t="str">
        <f>IF(ISBLANK(AC417), "", VLOOKUP(AC417, Z!$A$2:$C$4127, 3, FALSE))</f>
        <v/>
      </c>
      <c r="AE417" s="262"/>
      <c r="AF417" s="263">
        <f t="shared" si="499"/>
        <v>0</v>
      </c>
      <c r="AG417" s="238"/>
      <c r="AH417" s="229">
        <f t="shared" si="523"/>
        <v>1</v>
      </c>
      <c r="AI417" s="229">
        <f t="shared" si="524"/>
        <v>1</v>
      </c>
      <c r="AJ417" s="229">
        <f t="shared" si="525"/>
        <v>0</v>
      </c>
      <c r="AK417" s="229">
        <v>0</v>
      </c>
      <c r="AL417" s="229">
        <v>0</v>
      </c>
      <c r="AM417" s="229">
        <v>1</v>
      </c>
      <c r="AN417" s="229">
        <v>0</v>
      </c>
      <c r="AO417" s="229">
        <f t="shared" si="500"/>
        <v>-100</v>
      </c>
      <c r="AP417" s="238"/>
      <c r="AQ417" s="255"/>
      <c r="AR417" s="255"/>
      <c r="AS417" s="256"/>
      <c r="AT417" s="256"/>
      <c r="AU417" s="256"/>
      <c r="AV417" s="256"/>
      <c r="AW417" s="256"/>
      <c r="AX417" s="256"/>
      <c r="AY417" s="256"/>
      <c r="AZ417" s="256"/>
      <c r="BA417" s="256"/>
      <c r="BB417" s="256"/>
      <c r="BC417" s="256"/>
      <c r="BD417" s="238"/>
      <c r="BE417" s="229" cm="1">
        <f t="array" ref="BE417">IF(ISBLANK(R417), INDEX(Use, $AH417, 4) - AM417*INDEX(Use, $AH417, 6), R417)</f>
        <v>5</v>
      </c>
      <c r="BF417" s="229">
        <f t="shared" si="501"/>
        <v>30</v>
      </c>
      <c r="BG417" s="229">
        <f t="shared" si="527"/>
        <v>13</v>
      </c>
      <c r="BH417" s="229">
        <f t="shared" si="528"/>
        <v>0</v>
      </c>
      <c r="BI417" s="234" cm="1">
        <f t="array" ref="BI417">K417/IF($L417&gt;0, INDEX($AU$23:$BA$77, $L417+20, $AH417), 1)</f>
        <v>0</v>
      </c>
      <c r="BJ417" s="230">
        <f t="shared" si="502"/>
        <v>0</v>
      </c>
      <c r="BK417" s="229">
        <v>35</v>
      </c>
      <c r="BL417" s="230">
        <f t="shared" si="503"/>
        <v>48</v>
      </c>
      <c r="BM417" s="235">
        <f t="shared" si="504"/>
        <v>2.9108720930232557</v>
      </c>
      <c r="BN417" s="235" cm="1">
        <f t="array" ref="BN417">$BI417 * SUMPRODUCT(INDEX($AR$77:$AT$82,,$AI417),INDEX($AU$77:$BA$82,,$AH417), N($AQ$77:$AQ$82&gt;$AO417)) / BM417 / 1000</f>
        <v>0</v>
      </c>
      <c r="BO417" s="232">
        <f t="shared" si="529"/>
        <v>30</v>
      </c>
      <c r="BP417" s="230">
        <f t="shared" si="505"/>
        <v>43</v>
      </c>
      <c r="BQ417" s="235">
        <f t="shared" si="506"/>
        <v>3.2938815789473681</v>
      </c>
      <c r="BR417" s="235" cm="1">
        <f t="array" ref="BR417">$BI417 * IF($AH417&lt;=2,
SUMPRODUCT(INDEX($AR$72:$AT$76,,$AI417), INDEX($AU$72:$BA$76,,$AH417), 1 / ($BB$72:$BB$76*BQ417 + (1-$BB$72:$BB$76)*BM417), N($AQ$72:$AQ$76&gt;$AO417)),
SUMPRODUCT(INDEX($AR$67:$AT$76,,$AI417), INDEX($AU$67:$BA$76,,$AH417), 1 / ($BC$67:$BC$76*BQ417 + (1-$BC$67:$BC$76)*BM417), N($AQ$67:$AQ$76&gt;$AO417))
) / 1000</f>
        <v>0</v>
      </c>
      <c r="BS417" s="232">
        <f t="shared" si="530"/>
        <v>25</v>
      </c>
      <c r="BT417" s="230">
        <f t="shared" si="507"/>
        <v>38</v>
      </c>
      <c r="BU417" s="235">
        <f t="shared" si="508"/>
        <v>3.792954545454545</v>
      </c>
      <c r="BV417" s="235" cm="1">
        <f t="array" ref="BV417">$BI417 * IF($AH417&lt;=2,
SUMPRODUCT(INDEX($AR$67:$AT$71,,$AI417), INDEX($AU$67:$BA$71,,$AH417), 1 / ($BB$67:$BB$71*BU417 + (1-$BB$67:$BB$71)*BQ417), N($AQ$67:$AQ$71&gt;$AO417)),
SUMPRODUCT(INDEX($AR$57:$AT$66,,$AI417), INDEX($AU$57:$BA$66,,$AH417), 1 / ($BC$57:$BC$66*BU417 + (1-$BC$57:$BC$66)*BQ417), N($AQ$57:$AQ$66&gt;$AO417))
) / 1000</f>
        <v>0</v>
      </c>
      <c r="BW417" s="232">
        <f t="shared" si="531"/>
        <v>20</v>
      </c>
      <c r="BX417" s="230">
        <f t="shared" si="509"/>
        <v>33</v>
      </c>
      <c r="BY417" s="235">
        <f t="shared" si="510"/>
        <v>4.4702678571428569</v>
      </c>
      <c r="BZ417" s="235" cm="1">
        <f t="array" ref="BZ417">$BI417 * IF($AH417&lt;=2,
SUMPRODUCT(INDEX($AR$62:$AT$66,,$AI417), INDEX($AU$62:$BA$66,,$AH417), 1 / ($BB$62:$BB$66*BY417 + (1-$BB$62:$BB$66)*BU417), N($AQ$62:$AQ$66&gt;$AO417)),
SUMPRODUCT(INDEX($AR$47:$AT$56,,$AI417), INDEX($AU$47:$BA$56,,$AH417), 1 / ($BC$47:$BC$56*BY417 + (1-$BC$47:$BC$56)*BU417), N($AQ$47:$AQ$56&gt;$AO417))
) / 1000</f>
        <v>0</v>
      </c>
      <c r="CA417" s="235" cm="1">
        <f t="array" ref="CA417">$BI417 * IF($AH417&lt;=2,
SUMPRODUCT(INDEX($AR$23:$AT$61,,$AI417), INDEX($AU$23:$BA$61,,$AH417), 1 / ($BB$23:$BB$61*BY417), N($AQ$23:$AQ$61&gt;$AO417)),
SUMPRODUCT(INDEX($AR$23:$AT$46,,$AI417), INDEX($AU$23:$BA$46,,$AH417), 1 / ($BC$23:$BC$46*BY417), N($AQ$23:$AQ$46&gt;$AO417))
) / 1000</f>
        <v>0</v>
      </c>
      <c r="CB417" s="230">
        <f t="shared" si="511"/>
        <v>0</v>
      </c>
      <c r="CC417" s="238"/>
      <c r="CD417" s="229" cm="1">
        <f t="array" ref="CD417">IF(ISBLANK(Y417), INDEX(Use, $AH417, 4) - AN417*INDEX(Use, $AH417, 6) - (Q417-X417), Y417)</f>
        <v>7</v>
      </c>
      <c r="CE417" s="229">
        <f t="shared" si="512"/>
        <v>32</v>
      </c>
      <c r="CF417" s="230">
        <f t="shared" si="513"/>
        <v>0</v>
      </c>
      <c r="CG417" s="229">
        <v>35</v>
      </c>
      <c r="CH417" s="230">
        <f t="shared" si="514"/>
        <v>48</v>
      </c>
      <c r="CI417" s="235">
        <f t="shared" si="515"/>
        <v>3.0748170731707316</v>
      </c>
      <c r="CJ417" s="235" cm="1">
        <f t="array" ref="CJ417">$BI417 * SUMPRODUCT(INDEX($AR$77:$AT$82,,$AI417),INDEX($AU$77:$BA$82,,$AH417), N($AQ$77:$AQ$82&gt;$AO417)) / CI417 / 1000</f>
        <v>0</v>
      </c>
      <c r="CK417" s="232">
        <f t="shared" si="532"/>
        <v>30</v>
      </c>
      <c r="CL417" s="230">
        <f t="shared" si="516"/>
        <v>43</v>
      </c>
      <c r="CM417" s="235">
        <f t="shared" si="517"/>
        <v>3.5018750000000001</v>
      </c>
      <c r="CN417" s="235" cm="1">
        <f t="array" ref="CN417">$BI417 * IF($AH417&lt;=2,
SUMPRODUCT(INDEX($AR$72:$AT$76,,$AI417), INDEX($AU$72:$BA$76,,$AH417), 1 / ($BB$72:$BB$76*CM417 + (1-$BB$72:$BB$76)*CI417), N($AQ$72:$AQ$76&gt;$AO417)),
SUMPRODUCT(INDEX($AR$67:$AT$76,,$AI417), INDEX($AU$67:$BA$76,,$AH417), 1 / ($BC$67:$BC$76*CM417 + (1-$BC$67:$BC$76)*CI417), N($AQ$67:$AQ$76&gt;$AO417))
) / 1000</f>
        <v>0</v>
      </c>
      <c r="CO417" s="232">
        <f t="shared" si="533"/>
        <v>25</v>
      </c>
      <c r="CP417" s="230">
        <f t="shared" si="518"/>
        <v>38</v>
      </c>
      <c r="CQ417" s="235">
        <f t="shared" si="519"/>
        <v>4.0666935483870965</v>
      </c>
      <c r="CR417" s="235" cm="1">
        <f t="array" ref="CR417">$BI417 * IF($AH417&lt;=2,
SUMPRODUCT(INDEX($AR$67:$AT$71,,$AI417), INDEX($AU$67:$BA$71,,$AH417), 1 / ($BB$67:$BB$71*CQ417 + (1-$BB$67:$BB$71)*CM417), N($AQ$67:$AQ$71&gt;$AO417)),
SUMPRODUCT(INDEX($AR$57:$AT$66,,$AI417), INDEX($AU$57:$BA$66,,$AH417), 1 / ($BC$57:$BC$66*CQ417 + (1-$BC$57:$BC$66)*CM417), N($AQ$57:$AQ$66&gt;$AO417))
) / 1000</f>
        <v>0</v>
      </c>
      <c r="CS417" s="232">
        <f t="shared" si="534"/>
        <v>20</v>
      </c>
      <c r="CT417" s="230">
        <f t="shared" si="520"/>
        <v>33</v>
      </c>
      <c r="CU417" s="235">
        <f t="shared" si="521"/>
        <v>4.8487499999999999</v>
      </c>
      <c r="CV417" s="235" cm="1">
        <f t="array" ref="CV417">$BI417 * IF($AH417&lt;=2,
SUMPRODUCT(INDEX($AR$62:$AT$66,,$AI417), INDEX($AU$62:$BA$66,,$AH417), 1 / ($BB$62:$BB$66*CU417 + (1-$BB$62:$BB$66)*CQ417), N($AQ$62:$AQ$66&gt;$AO417)),
SUMPRODUCT(INDEX($AR$47:$AT$56,,$AI417), INDEX($AU$47:$BA$56,,$AH417), 1 / ($BC$47:$BC$56*CU417 + (1-$BC$47:$BC$56)*CQ417), N($AQ$47:$AQ$56&gt;$AO417))
) / 1000</f>
        <v>0</v>
      </c>
      <c r="CW417" s="235" cm="1">
        <f t="array" ref="CW417">$BI417 * IF($AH417&lt;=2,
SUMPRODUCT(INDEX($AR$23:$AT$61,,$AI417), INDEX($AU$23:$BA$61,,$AH417), 1 / ($BB$23:$BB$61*CU417), N($AQ$23:$AQ$61&gt;$AO417)),
SUMPRODUCT(INDEX($AR$23:$AT$46,,$AI417), INDEX($AU$23:$BA$46,,$AH417), 1 / ($BC$23:$BC$46*CU417), N($AQ$23:$AQ$46&gt;$AO417))
) / 1000</f>
        <v>0</v>
      </c>
      <c r="CX417" s="230">
        <f t="shared" si="522"/>
        <v>0</v>
      </c>
      <c r="CY417" s="238"/>
    </row>
    <row r="418" spans="1:103" s="76" customFormat="1" ht="14.25" customHeight="1" x14ac:dyDescent="0.2">
      <c r="A418" s="231" t="b">
        <f t="shared" si="526"/>
        <v>0</v>
      </c>
      <c r="B418" s="245">
        <v>396</v>
      </c>
      <c r="C418" s="258"/>
      <c r="D418" s="258"/>
      <c r="E418" s="246"/>
      <c r="F418" s="247" t="str">
        <f>IF(ISBLANK(E418), "", VLOOKUP(E418, Z!$A$2:$C$4127, 3, FALSE))</f>
        <v/>
      </c>
      <c r="G418" s="248"/>
      <c r="H418" s="248"/>
      <c r="I418" s="249"/>
      <c r="J418" s="250"/>
      <c r="K418" s="259"/>
      <c r="L418" s="260"/>
      <c r="M418" s="252" t="str" cm="1">
        <f t="array" ref="M418">INDEX(Trad, 53, $A$20)</f>
        <v>Verschmutzt</v>
      </c>
      <c r="N418" s="253"/>
      <c r="O418" s="253"/>
      <c r="P418" s="254"/>
      <c r="Q418" s="251"/>
      <c r="R418" s="251"/>
      <c r="S418" s="264">
        <f t="shared" si="497"/>
        <v>0</v>
      </c>
      <c r="T418" s="252" t="str" cm="1">
        <f t="array" ref="T418">INDEX(Trad, 52, $A$20)</f>
        <v>Sauber</v>
      </c>
      <c r="U418" s="253"/>
      <c r="V418" s="253"/>
      <c r="W418" s="254"/>
      <c r="X418" s="251"/>
      <c r="Y418" s="251"/>
      <c r="Z418" s="264">
        <f t="shared" si="498"/>
        <v>0</v>
      </c>
      <c r="AA418" s="261"/>
      <c r="AB418" s="258"/>
      <c r="AC418" s="246"/>
      <c r="AD418" s="247" t="str">
        <f>IF(ISBLANK(AC418), "", VLOOKUP(AC418, Z!$A$2:$C$4127, 3, FALSE))</f>
        <v/>
      </c>
      <c r="AE418" s="262"/>
      <c r="AF418" s="263">
        <f t="shared" si="499"/>
        <v>0</v>
      </c>
      <c r="AG418" s="238"/>
      <c r="AH418" s="229">
        <f t="shared" si="523"/>
        <v>1</v>
      </c>
      <c r="AI418" s="229">
        <f t="shared" si="524"/>
        <v>1</v>
      </c>
      <c r="AJ418" s="229">
        <f t="shared" si="525"/>
        <v>0</v>
      </c>
      <c r="AK418" s="229">
        <v>0</v>
      </c>
      <c r="AL418" s="229">
        <v>0</v>
      </c>
      <c r="AM418" s="229">
        <v>1</v>
      </c>
      <c r="AN418" s="229">
        <v>0</v>
      </c>
      <c r="AO418" s="229">
        <f t="shared" si="500"/>
        <v>-100</v>
      </c>
      <c r="AP418" s="238"/>
      <c r="AQ418" s="255"/>
      <c r="AR418" s="255"/>
      <c r="AS418" s="256"/>
      <c r="AT418" s="256"/>
      <c r="AU418" s="256"/>
      <c r="AV418" s="256"/>
      <c r="AW418" s="256"/>
      <c r="AX418" s="256"/>
      <c r="AY418" s="256"/>
      <c r="AZ418" s="256"/>
      <c r="BA418" s="256"/>
      <c r="BB418" s="256"/>
      <c r="BC418" s="256"/>
      <c r="BD418" s="238"/>
      <c r="BE418" s="229" cm="1">
        <f t="array" ref="BE418">IF(ISBLANK(R418), INDEX(Use, $AH418, 4) - AM418*INDEX(Use, $AH418, 6), R418)</f>
        <v>5</v>
      </c>
      <c r="BF418" s="229">
        <f t="shared" si="501"/>
        <v>30</v>
      </c>
      <c r="BG418" s="229">
        <f t="shared" si="527"/>
        <v>13</v>
      </c>
      <c r="BH418" s="229">
        <f t="shared" si="528"/>
        <v>0</v>
      </c>
      <c r="BI418" s="234" cm="1">
        <f t="array" ref="BI418">K418/IF($L418&gt;0, INDEX($AU$23:$BA$77, $L418+20, $AH418), 1)</f>
        <v>0</v>
      </c>
      <c r="BJ418" s="230">
        <f t="shared" si="502"/>
        <v>0</v>
      </c>
      <c r="BK418" s="229">
        <v>35</v>
      </c>
      <c r="BL418" s="230">
        <f t="shared" si="503"/>
        <v>48</v>
      </c>
      <c r="BM418" s="235">
        <f t="shared" si="504"/>
        <v>2.9108720930232557</v>
      </c>
      <c r="BN418" s="235" cm="1">
        <f t="array" ref="BN418">$BI418 * SUMPRODUCT(INDEX($AR$77:$AT$82,,$AI418),INDEX($AU$77:$BA$82,,$AH418), N($AQ$77:$AQ$82&gt;$AO418)) / BM418 / 1000</f>
        <v>0</v>
      </c>
      <c r="BO418" s="232">
        <f t="shared" si="529"/>
        <v>30</v>
      </c>
      <c r="BP418" s="230">
        <f t="shared" si="505"/>
        <v>43</v>
      </c>
      <c r="BQ418" s="235">
        <f t="shared" si="506"/>
        <v>3.2938815789473681</v>
      </c>
      <c r="BR418" s="235" cm="1">
        <f t="array" ref="BR418">$BI418 * IF($AH418&lt;=2,
SUMPRODUCT(INDEX($AR$72:$AT$76,,$AI418), INDEX($AU$72:$BA$76,,$AH418), 1 / ($BB$72:$BB$76*BQ418 + (1-$BB$72:$BB$76)*BM418), N($AQ$72:$AQ$76&gt;$AO418)),
SUMPRODUCT(INDEX($AR$67:$AT$76,,$AI418), INDEX($AU$67:$BA$76,,$AH418), 1 / ($BC$67:$BC$76*BQ418 + (1-$BC$67:$BC$76)*BM418), N($AQ$67:$AQ$76&gt;$AO418))
) / 1000</f>
        <v>0</v>
      </c>
      <c r="BS418" s="232">
        <f t="shared" si="530"/>
        <v>25</v>
      </c>
      <c r="BT418" s="230">
        <f t="shared" si="507"/>
        <v>38</v>
      </c>
      <c r="BU418" s="235">
        <f t="shared" si="508"/>
        <v>3.792954545454545</v>
      </c>
      <c r="BV418" s="235" cm="1">
        <f t="array" ref="BV418">$BI418 * IF($AH418&lt;=2,
SUMPRODUCT(INDEX($AR$67:$AT$71,,$AI418), INDEX($AU$67:$BA$71,,$AH418), 1 / ($BB$67:$BB$71*BU418 + (1-$BB$67:$BB$71)*BQ418), N($AQ$67:$AQ$71&gt;$AO418)),
SUMPRODUCT(INDEX($AR$57:$AT$66,,$AI418), INDEX($AU$57:$BA$66,,$AH418), 1 / ($BC$57:$BC$66*BU418 + (1-$BC$57:$BC$66)*BQ418), N($AQ$57:$AQ$66&gt;$AO418))
) / 1000</f>
        <v>0</v>
      </c>
      <c r="BW418" s="232">
        <f t="shared" si="531"/>
        <v>20</v>
      </c>
      <c r="BX418" s="230">
        <f t="shared" si="509"/>
        <v>33</v>
      </c>
      <c r="BY418" s="235">
        <f t="shared" si="510"/>
        <v>4.4702678571428569</v>
      </c>
      <c r="BZ418" s="235" cm="1">
        <f t="array" ref="BZ418">$BI418 * IF($AH418&lt;=2,
SUMPRODUCT(INDEX($AR$62:$AT$66,,$AI418), INDEX($AU$62:$BA$66,,$AH418), 1 / ($BB$62:$BB$66*BY418 + (1-$BB$62:$BB$66)*BU418), N($AQ$62:$AQ$66&gt;$AO418)),
SUMPRODUCT(INDEX($AR$47:$AT$56,,$AI418), INDEX($AU$47:$BA$56,,$AH418), 1 / ($BC$47:$BC$56*BY418 + (1-$BC$47:$BC$56)*BU418), N($AQ$47:$AQ$56&gt;$AO418))
) / 1000</f>
        <v>0</v>
      </c>
      <c r="CA418" s="235" cm="1">
        <f t="array" ref="CA418">$BI418 * IF($AH418&lt;=2,
SUMPRODUCT(INDEX($AR$23:$AT$61,,$AI418), INDEX($AU$23:$BA$61,,$AH418), 1 / ($BB$23:$BB$61*BY418), N($AQ$23:$AQ$61&gt;$AO418)),
SUMPRODUCT(INDEX($AR$23:$AT$46,,$AI418), INDEX($AU$23:$BA$46,,$AH418), 1 / ($BC$23:$BC$46*BY418), N($AQ$23:$AQ$46&gt;$AO418))
) / 1000</f>
        <v>0</v>
      </c>
      <c r="CB418" s="230">
        <f t="shared" si="511"/>
        <v>0</v>
      </c>
      <c r="CC418" s="238"/>
      <c r="CD418" s="229" cm="1">
        <f t="array" ref="CD418">IF(ISBLANK(Y418), INDEX(Use, $AH418, 4) - AN418*INDEX(Use, $AH418, 6) - (Q418-X418), Y418)</f>
        <v>7</v>
      </c>
      <c r="CE418" s="229">
        <f t="shared" si="512"/>
        <v>32</v>
      </c>
      <c r="CF418" s="230">
        <f t="shared" si="513"/>
        <v>0</v>
      </c>
      <c r="CG418" s="229">
        <v>35</v>
      </c>
      <c r="CH418" s="230">
        <f t="shared" si="514"/>
        <v>48</v>
      </c>
      <c r="CI418" s="235">
        <f t="shared" si="515"/>
        <v>3.0748170731707316</v>
      </c>
      <c r="CJ418" s="235" cm="1">
        <f t="array" ref="CJ418">$BI418 * SUMPRODUCT(INDEX($AR$77:$AT$82,,$AI418),INDEX($AU$77:$BA$82,,$AH418), N($AQ$77:$AQ$82&gt;$AO418)) / CI418 / 1000</f>
        <v>0</v>
      </c>
      <c r="CK418" s="232">
        <f t="shared" si="532"/>
        <v>30</v>
      </c>
      <c r="CL418" s="230">
        <f t="shared" si="516"/>
        <v>43</v>
      </c>
      <c r="CM418" s="235">
        <f t="shared" si="517"/>
        <v>3.5018750000000001</v>
      </c>
      <c r="CN418" s="235" cm="1">
        <f t="array" ref="CN418">$BI418 * IF($AH418&lt;=2,
SUMPRODUCT(INDEX($AR$72:$AT$76,,$AI418), INDEX($AU$72:$BA$76,,$AH418), 1 / ($BB$72:$BB$76*CM418 + (1-$BB$72:$BB$76)*CI418), N($AQ$72:$AQ$76&gt;$AO418)),
SUMPRODUCT(INDEX($AR$67:$AT$76,,$AI418), INDEX($AU$67:$BA$76,,$AH418), 1 / ($BC$67:$BC$76*CM418 + (1-$BC$67:$BC$76)*CI418), N($AQ$67:$AQ$76&gt;$AO418))
) / 1000</f>
        <v>0</v>
      </c>
      <c r="CO418" s="232">
        <f t="shared" si="533"/>
        <v>25</v>
      </c>
      <c r="CP418" s="230">
        <f t="shared" si="518"/>
        <v>38</v>
      </c>
      <c r="CQ418" s="235">
        <f t="shared" si="519"/>
        <v>4.0666935483870965</v>
      </c>
      <c r="CR418" s="235" cm="1">
        <f t="array" ref="CR418">$BI418 * IF($AH418&lt;=2,
SUMPRODUCT(INDEX($AR$67:$AT$71,,$AI418), INDEX($AU$67:$BA$71,,$AH418), 1 / ($BB$67:$BB$71*CQ418 + (1-$BB$67:$BB$71)*CM418), N($AQ$67:$AQ$71&gt;$AO418)),
SUMPRODUCT(INDEX($AR$57:$AT$66,,$AI418), INDEX($AU$57:$BA$66,,$AH418), 1 / ($BC$57:$BC$66*CQ418 + (1-$BC$57:$BC$66)*CM418), N($AQ$57:$AQ$66&gt;$AO418))
) / 1000</f>
        <v>0</v>
      </c>
      <c r="CS418" s="232">
        <f t="shared" si="534"/>
        <v>20</v>
      </c>
      <c r="CT418" s="230">
        <f t="shared" si="520"/>
        <v>33</v>
      </c>
      <c r="CU418" s="235">
        <f t="shared" si="521"/>
        <v>4.8487499999999999</v>
      </c>
      <c r="CV418" s="235" cm="1">
        <f t="array" ref="CV418">$BI418 * IF($AH418&lt;=2,
SUMPRODUCT(INDEX($AR$62:$AT$66,,$AI418), INDEX($AU$62:$BA$66,,$AH418), 1 / ($BB$62:$BB$66*CU418 + (1-$BB$62:$BB$66)*CQ418), N($AQ$62:$AQ$66&gt;$AO418)),
SUMPRODUCT(INDEX($AR$47:$AT$56,,$AI418), INDEX($AU$47:$BA$56,,$AH418), 1 / ($BC$47:$BC$56*CU418 + (1-$BC$47:$BC$56)*CQ418), N($AQ$47:$AQ$56&gt;$AO418))
) / 1000</f>
        <v>0</v>
      </c>
      <c r="CW418" s="235" cm="1">
        <f t="array" ref="CW418">$BI418 * IF($AH418&lt;=2,
SUMPRODUCT(INDEX($AR$23:$AT$61,,$AI418), INDEX($AU$23:$BA$61,,$AH418), 1 / ($BB$23:$BB$61*CU418), N($AQ$23:$AQ$61&gt;$AO418)),
SUMPRODUCT(INDEX($AR$23:$AT$46,,$AI418), INDEX($AU$23:$BA$46,,$AH418), 1 / ($BC$23:$BC$46*CU418), N($AQ$23:$AQ$46&gt;$AO418))
) / 1000</f>
        <v>0</v>
      </c>
      <c r="CX418" s="230">
        <f t="shared" si="522"/>
        <v>0</v>
      </c>
      <c r="CY418" s="238"/>
    </row>
    <row r="419" spans="1:103" s="76" customFormat="1" ht="14.25" customHeight="1" x14ac:dyDescent="0.2">
      <c r="A419" s="231" t="b">
        <f t="shared" si="526"/>
        <v>0</v>
      </c>
      <c r="B419" s="245">
        <v>397</v>
      </c>
      <c r="C419" s="258"/>
      <c r="D419" s="258"/>
      <c r="E419" s="246"/>
      <c r="F419" s="247" t="str">
        <f>IF(ISBLANK(E419), "", VLOOKUP(E419, Z!$A$2:$C$4127, 3, FALSE))</f>
        <v/>
      </c>
      <c r="G419" s="248"/>
      <c r="H419" s="248"/>
      <c r="I419" s="249"/>
      <c r="J419" s="250"/>
      <c r="K419" s="259"/>
      <c r="L419" s="260"/>
      <c r="M419" s="252" t="str" cm="1">
        <f t="array" ref="M419">INDEX(Trad, 53, $A$20)</f>
        <v>Verschmutzt</v>
      </c>
      <c r="N419" s="253"/>
      <c r="O419" s="253"/>
      <c r="P419" s="254"/>
      <c r="Q419" s="251"/>
      <c r="R419" s="251"/>
      <c r="S419" s="264">
        <f t="shared" si="497"/>
        <v>0</v>
      </c>
      <c r="T419" s="252" t="str" cm="1">
        <f t="array" ref="T419">INDEX(Trad, 52, $A$20)</f>
        <v>Sauber</v>
      </c>
      <c r="U419" s="253"/>
      <c r="V419" s="253"/>
      <c r="W419" s="254"/>
      <c r="X419" s="251"/>
      <c r="Y419" s="251"/>
      <c r="Z419" s="264">
        <f t="shared" si="498"/>
        <v>0</v>
      </c>
      <c r="AA419" s="261"/>
      <c r="AB419" s="258"/>
      <c r="AC419" s="246"/>
      <c r="AD419" s="247" t="str">
        <f>IF(ISBLANK(AC419), "", VLOOKUP(AC419, Z!$A$2:$C$4127, 3, FALSE))</f>
        <v/>
      </c>
      <c r="AE419" s="262"/>
      <c r="AF419" s="263">
        <f t="shared" si="499"/>
        <v>0</v>
      </c>
      <c r="AG419" s="238"/>
      <c r="AH419" s="229">
        <f t="shared" si="523"/>
        <v>1</v>
      </c>
      <c r="AI419" s="229">
        <f t="shared" si="524"/>
        <v>1</v>
      </c>
      <c r="AJ419" s="229">
        <f t="shared" si="525"/>
        <v>0</v>
      </c>
      <c r="AK419" s="229">
        <v>0</v>
      </c>
      <c r="AL419" s="229">
        <v>0</v>
      </c>
      <c r="AM419" s="229">
        <v>1</v>
      </c>
      <c r="AN419" s="229">
        <v>0</v>
      </c>
      <c r="AO419" s="229">
        <f t="shared" si="500"/>
        <v>-100</v>
      </c>
      <c r="AP419" s="238"/>
      <c r="AQ419" s="255"/>
      <c r="AR419" s="255"/>
      <c r="AS419" s="256"/>
      <c r="AT419" s="256"/>
      <c r="AU419" s="256"/>
      <c r="AV419" s="256"/>
      <c r="AW419" s="256"/>
      <c r="AX419" s="256"/>
      <c r="AY419" s="256"/>
      <c r="AZ419" s="256"/>
      <c r="BA419" s="256"/>
      <c r="BB419" s="256"/>
      <c r="BC419" s="256"/>
      <c r="BD419" s="238"/>
      <c r="BE419" s="229" cm="1">
        <f t="array" ref="BE419">IF(ISBLANK(R419), INDEX(Use, $AH419, 4) - AM419*INDEX(Use, $AH419, 6), R419)</f>
        <v>5</v>
      </c>
      <c r="BF419" s="229">
        <f t="shared" si="501"/>
        <v>30</v>
      </c>
      <c r="BG419" s="229">
        <f t="shared" si="527"/>
        <v>13</v>
      </c>
      <c r="BH419" s="229">
        <f t="shared" si="528"/>
        <v>0</v>
      </c>
      <c r="BI419" s="234" cm="1">
        <f t="array" ref="BI419">K419/IF($L419&gt;0, INDEX($AU$23:$BA$77, $L419+20, $AH419), 1)</f>
        <v>0</v>
      </c>
      <c r="BJ419" s="230">
        <f t="shared" si="502"/>
        <v>0</v>
      </c>
      <c r="BK419" s="229">
        <v>35</v>
      </c>
      <c r="BL419" s="230">
        <f t="shared" si="503"/>
        <v>48</v>
      </c>
      <c r="BM419" s="235">
        <f t="shared" si="504"/>
        <v>2.9108720930232557</v>
      </c>
      <c r="BN419" s="235" cm="1">
        <f t="array" ref="BN419">$BI419 * SUMPRODUCT(INDEX($AR$77:$AT$82,,$AI419),INDEX($AU$77:$BA$82,,$AH419), N($AQ$77:$AQ$82&gt;$AO419)) / BM419 / 1000</f>
        <v>0</v>
      </c>
      <c r="BO419" s="232">
        <f t="shared" si="529"/>
        <v>30</v>
      </c>
      <c r="BP419" s="230">
        <f t="shared" si="505"/>
        <v>43</v>
      </c>
      <c r="BQ419" s="235">
        <f t="shared" si="506"/>
        <v>3.2938815789473681</v>
      </c>
      <c r="BR419" s="235" cm="1">
        <f t="array" ref="BR419">$BI419 * IF($AH419&lt;=2,
SUMPRODUCT(INDEX($AR$72:$AT$76,,$AI419), INDEX($AU$72:$BA$76,,$AH419), 1 / ($BB$72:$BB$76*BQ419 + (1-$BB$72:$BB$76)*BM419), N($AQ$72:$AQ$76&gt;$AO419)),
SUMPRODUCT(INDEX($AR$67:$AT$76,,$AI419), INDEX($AU$67:$BA$76,,$AH419), 1 / ($BC$67:$BC$76*BQ419 + (1-$BC$67:$BC$76)*BM419), N($AQ$67:$AQ$76&gt;$AO419))
) / 1000</f>
        <v>0</v>
      </c>
      <c r="BS419" s="232">
        <f t="shared" si="530"/>
        <v>25</v>
      </c>
      <c r="BT419" s="230">
        <f t="shared" si="507"/>
        <v>38</v>
      </c>
      <c r="BU419" s="235">
        <f t="shared" si="508"/>
        <v>3.792954545454545</v>
      </c>
      <c r="BV419" s="235" cm="1">
        <f t="array" ref="BV419">$BI419 * IF($AH419&lt;=2,
SUMPRODUCT(INDEX($AR$67:$AT$71,,$AI419), INDEX($AU$67:$BA$71,,$AH419), 1 / ($BB$67:$BB$71*BU419 + (1-$BB$67:$BB$71)*BQ419), N($AQ$67:$AQ$71&gt;$AO419)),
SUMPRODUCT(INDEX($AR$57:$AT$66,,$AI419), INDEX($AU$57:$BA$66,,$AH419), 1 / ($BC$57:$BC$66*BU419 + (1-$BC$57:$BC$66)*BQ419), N($AQ$57:$AQ$66&gt;$AO419))
) / 1000</f>
        <v>0</v>
      </c>
      <c r="BW419" s="232">
        <f t="shared" si="531"/>
        <v>20</v>
      </c>
      <c r="BX419" s="230">
        <f t="shared" si="509"/>
        <v>33</v>
      </c>
      <c r="BY419" s="235">
        <f t="shared" si="510"/>
        <v>4.4702678571428569</v>
      </c>
      <c r="BZ419" s="235" cm="1">
        <f t="array" ref="BZ419">$BI419 * IF($AH419&lt;=2,
SUMPRODUCT(INDEX($AR$62:$AT$66,,$AI419), INDEX($AU$62:$BA$66,,$AH419), 1 / ($BB$62:$BB$66*BY419 + (1-$BB$62:$BB$66)*BU419), N($AQ$62:$AQ$66&gt;$AO419)),
SUMPRODUCT(INDEX($AR$47:$AT$56,,$AI419), INDEX($AU$47:$BA$56,,$AH419), 1 / ($BC$47:$BC$56*BY419 + (1-$BC$47:$BC$56)*BU419), N($AQ$47:$AQ$56&gt;$AO419))
) / 1000</f>
        <v>0</v>
      </c>
      <c r="CA419" s="235" cm="1">
        <f t="array" ref="CA419">$BI419 * IF($AH419&lt;=2,
SUMPRODUCT(INDEX($AR$23:$AT$61,,$AI419), INDEX($AU$23:$BA$61,,$AH419), 1 / ($BB$23:$BB$61*BY419), N($AQ$23:$AQ$61&gt;$AO419)),
SUMPRODUCT(INDEX($AR$23:$AT$46,,$AI419), INDEX($AU$23:$BA$46,,$AH419), 1 / ($BC$23:$BC$46*BY419), N($AQ$23:$AQ$46&gt;$AO419))
) / 1000</f>
        <v>0</v>
      </c>
      <c r="CB419" s="230">
        <f t="shared" si="511"/>
        <v>0</v>
      </c>
      <c r="CC419" s="238"/>
      <c r="CD419" s="229" cm="1">
        <f t="array" ref="CD419">IF(ISBLANK(Y419), INDEX(Use, $AH419, 4) - AN419*INDEX(Use, $AH419, 6) - (Q419-X419), Y419)</f>
        <v>7</v>
      </c>
      <c r="CE419" s="229">
        <f t="shared" si="512"/>
        <v>32</v>
      </c>
      <c r="CF419" s="230">
        <f t="shared" si="513"/>
        <v>0</v>
      </c>
      <c r="CG419" s="229">
        <v>35</v>
      </c>
      <c r="CH419" s="230">
        <f t="shared" si="514"/>
        <v>48</v>
      </c>
      <c r="CI419" s="235">
        <f t="shared" si="515"/>
        <v>3.0748170731707316</v>
      </c>
      <c r="CJ419" s="235" cm="1">
        <f t="array" ref="CJ419">$BI419 * SUMPRODUCT(INDEX($AR$77:$AT$82,,$AI419),INDEX($AU$77:$BA$82,,$AH419), N($AQ$77:$AQ$82&gt;$AO419)) / CI419 / 1000</f>
        <v>0</v>
      </c>
      <c r="CK419" s="232">
        <f t="shared" si="532"/>
        <v>30</v>
      </c>
      <c r="CL419" s="230">
        <f t="shared" si="516"/>
        <v>43</v>
      </c>
      <c r="CM419" s="235">
        <f t="shared" si="517"/>
        <v>3.5018750000000001</v>
      </c>
      <c r="CN419" s="235" cm="1">
        <f t="array" ref="CN419">$BI419 * IF($AH419&lt;=2,
SUMPRODUCT(INDEX($AR$72:$AT$76,,$AI419), INDEX($AU$72:$BA$76,,$AH419), 1 / ($BB$72:$BB$76*CM419 + (1-$BB$72:$BB$76)*CI419), N($AQ$72:$AQ$76&gt;$AO419)),
SUMPRODUCT(INDEX($AR$67:$AT$76,,$AI419), INDEX($AU$67:$BA$76,,$AH419), 1 / ($BC$67:$BC$76*CM419 + (1-$BC$67:$BC$76)*CI419), N($AQ$67:$AQ$76&gt;$AO419))
) / 1000</f>
        <v>0</v>
      </c>
      <c r="CO419" s="232">
        <f t="shared" si="533"/>
        <v>25</v>
      </c>
      <c r="CP419" s="230">
        <f t="shared" si="518"/>
        <v>38</v>
      </c>
      <c r="CQ419" s="235">
        <f t="shared" si="519"/>
        <v>4.0666935483870965</v>
      </c>
      <c r="CR419" s="235" cm="1">
        <f t="array" ref="CR419">$BI419 * IF($AH419&lt;=2,
SUMPRODUCT(INDEX($AR$67:$AT$71,,$AI419), INDEX($AU$67:$BA$71,,$AH419), 1 / ($BB$67:$BB$71*CQ419 + (1-$BB$67:$BB$71)*CM419), N($AQ$67:$AQ$71&gt;$AO419)),
SUMPRODUCT(INDEX($AR$57:$AT$66,,$AI419), INDEX($AU$57:$BA$66,,$AH419), 1 / ($BC$57:$BC$66*CQ419 + (1-$BC$57:$BC$66)*CM419), N($AQ$57:$AQ$66&gt;$AO419))
) / 1000</f>
        <v>0</v>
      </c>
      <c r="CS419" s="232">
        <f t="shared" si="534"/>
        <v>20</v>
      </c>
      <c r="CT419" s="230">
        <f t="shared" si="520"/>
        <v>33</v>
      </c>
      <c r="CU419" s="235">
        <f t="shared" si="521"/>
        <v>4.8487499999999999</v>
      </c>
      <c r="CV419" s="235" cm="1">
        <f t="array" ref="CV419">$BI419 * IF($AH419&lt;=2,
SUMPRODUCT(INDEX($AR$62:$AT$66,,$AI419), INDEX($AU$62:$BA$66,,$AH419), 1 / ($BB$62:$BB$66*CU419 + (1-$BB$62:$BB$66)*CQ419), N($AQ$62:$AQ$66&gt;$AO419)),
SUMPRODUCT(INDEX($AR$47:$AT$56,,$AI419), INDEX($AU$47:$BA$56,,$AH419), 1 / ($BC$47:$BC$56*CU419 + (1-$BC$47:$BC$56)*CQ419), N($AQ$47:$AQ$56&gt;$AO419))
) / 1000</f>
        <v>0</v>
      </c>
      <c r="CW419" s="235" cm="1">
        <f t="array" ref="CW419">$BI419 * IF($AH419&lt;=2,
SUMPRODUCT(INDEX($AR$23:$AT$61,,$AI419), INDEX($AU$23:$BA$61,,$AH419), 1 / ($BB$23:$BB$61*CU419), N($AQ$23:$AQ$61&gt;$AO419)),
SUMPRODUCT(INDEX($AR$23:$AT$46,,$AI419), INDEX($AU$23:$BA$46,,$AH419), 1 / ($BC$23:$BC$46*CU419), N($AQ$23:$AQ$46&gt;$AO419))
) / 1000</f>
        <v>0</v>
      </c>
      <c r="CX419" s="230">
        <f t="shared" si="522"/>
        <v>0</v>
      </c>
      <c r="CY419" s="238"/>
    </row>
    <row r="420" spans="1:103" s="76" customFormat="1" ht="14.25" customHeight="1" x14ac:dyDescent="0.2">
      <c r="A420" s="231" t="b">
        <f t="shared" si="526"/>
        <v>0</v>
      </c>
      <c r="B420" s="245">
        <v>398</v>
      </c>
      <c r="C420" s="258"/>
      <c r="D420" s="258"/>
      <c r="E420" s="246"/>
      <c r="F420" s="247" t="str">
        <f>IF(ISBLANK(E420), "", VLOOKUP(E420, Z!$A$2:$C$4127, 3, FALSE))</f>
        <v/>
      </c>
      <c r="G420" s="248"/>
      <c r="H420" s="248"/>
      <c r="I420" s="249"/>
      <c r="J420" s="250"/>
      <c r="K420" s="259"/>
      <c r="L420" s="260"/>
      <c r="M420" s="252" t="str" cm="1">
        <f t="array" ref="M420">INDEX(Trad, 53, $A$20)</f>
        <v>Verschmutzt</v>
      </c>
      <c r="N420" s="253"/>
      <c r="O420" s="253"/>
      <c r="P420" s="254"/>
      <c r="Q420" s="251"/>
      <c r="R420" s="251"/>
      <c r="S420" s="264">
        <f t="shared" si="497"/>
        <v>0</v>
      </c>
      <c r="T420" s="252" t="str" cm="1">
        <f t="array" ref="T420">INDEX(Trad, 52, $A$20)</f>
        <v>Sauber</v>
      </c>
      <c r="U420" s="253"/>
      <c r="V420" s="253"/>
      <c r="W420" s="254"/>
      <c r="X420" s="251"/>
      <c r="Y420" s="251"/>
      <c r="Z420" s="264">
        <f t="shared" si="498"/>
        <v>0</v>
      </c>
      <c r="AA420" s="261"/>
      <c r="AB420" s="258"/>
      <c r="AC420" s="246"/>
      <c r="AD420" s="247" t="str">
        <f>IF(ISBLANK(AC420), "", VLOOKUP(AC420, Z!$A$2:$C$4127, 3, FALSE))</f>
        <v/>
      </c>
      <c r="AE420" s="262"/>
      <c r="AF420" s="263">
        <f t="shared" si="499"/>
        <v>0</v>
      </c>
      <c r="AG420" s="238"/>
      <c r="AH420" s="229">
        <f t="shared" si="523"/>
        <v>1</v>
      </c>
      <c r="AI420" s="229">
        <f t="shared" si="524"/>
        <v>1</v>
      </c>
      <c r="AJ420" s="229">
        <f t="shared" si="525"/>
        <v>0</v>
      </c>
      <c r="AK420" s="229">
        <v>0</v>
      </c>
      <c r="AL420" s="229">
        <v>0</v>
      </c>
      <c r="AM420" s="229">
        <v>1</v>
      </c>
      <c r="AN420" s="229">
        <v>0</v>
      </c>
      <c r="AO420" s="229">
        <f t="shared" si="500"/>
        <v>-100</v>
      </c>
      <c r="AP420" s="238"/>
      <c r="AQ420" s="255"/>
      <c r="AR420" s="255"/>
      <c r="AS420" s="256"/>
      <c r="AT420" s="256"/>
      <c r="AU420" s="256"/>
      <c r="AV420" s="256"/>
      <c r="AW420" s="256"/>
      <c r="AX420" s="256"/>
      <c r="AY420" s="256"/>
      <c r="AZ420" s="256"/>
      <c r="BA420" s="256"/>
      <c r="BB420" s="256"/>
      <c r="BC420" s="256"/>
      <c r="BD420" s="238"/>
      <c r="BE420" s="229" cm="1">
        <f t="array" ref="BE420">IF(ISBLANK(R420), INDEX(Use, $AH420, 4) - AM420*INDEX(Use, $AH420, 6), R420)</f>
        <v>5</v>
      </c>
      <c r="BF420" s="229">
        <f t="shared" si="501"/>
        <v>30</v>
      </c>
      <c r="BG420" s="229">
        <f t="shared" si="527"/>
        <v>13</v>
      </c>
      <c r="BH420" s="229">
        <f t="shared" si="528"/>
        <v>0</v>
      </c>
      <c r="BI420" s="234" cm="1">
        <f t="array" ref="BI420">K420/IF($L420&gt;0, INDEX($AU$23:$BA$77, $L420+20, $AH420), 1)</f>
        <v>0</v>
      </c>
      <c r="BJ420" s="230">
        <f t="shared" si="502"/>
        <v>0</v>
      </c>
      <c r="BK420" s="229">
        <v>35</v>
      </c>
      <c r="BL420" s="230">
        <f t="shared" si="503"/>
        <v>48</v>
      </c>
      <c r="BM420" s="235">
        <f t="shared" si="504"/>
        <v>2.9108720930232557</v>
      </c>
      <c r="BN420" s="235" cm="1">
        <f t="array" ref="BN420">$BI420 * SUMPRODUCT(INDEX($AR$77:$AT$82,,$AI420),INDEX($AU$77:$BA$82,,$AH420), N($AQ$77:$AQ$82&gt;$AO420)) / BM420 / 1000</f>
        <v>0</v>
      </c>
      <c r="BO420" s="232">
        <f t="shared" si="529"/>
        <v>30</v>
      </c>
      <c r="BP420" s="230">
        <f t="shared" si="505"/>
        <v>43</v>
      </c>
      <c r="BQ420" s="235">
        <f t="shared" si="506"/>
        <v>3.2938815789473681</v>
      </c>
      <c r="BR420" s="235" cm="1">
        <f t="array" ref="BR420">$BI420 * IF($AH420&lt;=2,
SUMPRODUCT(INDEX($AR$72:$AT$76,,$AI420), INDEX($AU$72:$BA$76,,$AH420), 1 / ($BB$72:$BB$76*BQ420 + (1-$BB$72:$BB$76)*BM420), N($AQ$72:$AQ$76&gt;$AO420)),
SUMPRODUCT(INDEX($AR$67:$AT$76,,$AI420), INDEX($AU$67:$BA$76,,$AH420), 1 / ($BC$67:$BC$76*BQ420 + (1-$BC$67:$BC$76)*BM420), N($AQ$67:$AQ$76&gt;$AO420))
) / 1000</f>
        <v>0</v>
      </c>
      <c r="BS420" s="232">
        <f t="shared" si="530"/>
        <v>25</v>
      </c>
      <c r="BT420" s="230">
        <f t="shared" si="507"/>
        <v>38</v>
      </c>
      <c r="BU420" s="235">
        <f t="shared" si="508"/>
        <v>3.792954545454545</v>
      </c>
      <c r="BV420" s="235" cm="1">
        <f t="array" ref="BV420">$BI420 * IF($AH420&lt;=2,
SUMPRODUCT(INDEX($AR$67:$AT$71,,$AI420), INDEX($AU$67:$BA$71,,$AH420), 1 / ($BB$67:$BB$71*BU420 + (1-$BB$67:$BB$71)*BQ420), N($AQ$67:$AQ$71&gt;$AO420)),
SUMPRODUCT(INDEX($AR$57:$AT$66,,$AI420), INDEX($AU$57:$BA$66,,$AH420), 1 / ($BC$57:$BC$66*BU420 + (1-$BC$57:$BC$66)*BQ420), N($AQ$57:$AQ$66&gt;$AO420))
) / 1000</f>
        <v>0</v>
      </c>
      <c r="BW420" s="232">
        <f t="shared" si="531"/>
        <v>20</v>
      </c>
      <c r="BX420" s="230">
        <f t="shared" si="509"/>
        <v>33</v>
      </c>
      <c r="BY420" s="235">
        <f t="shared" si="510"/>
        <v>4.4702678571428569</v>
      </c>
      <c r="BZ420" s="235" cm="1">
        <f t="array" ref="BZ420">$BI420 * IF($AH420&lt;=2,
SUMPRODUCT(INDEX($AR$62:$AT$66,,$AI420), INDEX($AU$62:$BA$66,,$AH420), 1 / ($BB$62:$BB$66*BY420 + (1-$BB$62:$BB$66)*BU420), N($AQ$62:$AQ$66&gt;$AO420)),
SUMPRODUCT(INDEX($AR$47:$AT$56,,$AI420), INDEX($AU$47:$BA$56,,$AH420), 1 / ($BC$47:$BC$56*BY420 + (1-$BC$47:$BC$56)*BU420), N($AQ$47:$AQ$56&gt;$AO420))
) / 1000</f>
        <v>0</v>
      </c>
      <c r="CA420" s="235" cm="1">
        <f t="array" ref="CA420">$BI420 * IF($AH420&lt;=2,
SUMPRODUCT(INDEX($AR$23:$AT$61,,$AI420), INDEX($AU$23:$BA$61,,$AH420), 1 / ($BB$23:$BB$61*BY420), N($AQ$23:$AQ$61&gt;$AO420)),
SUMPRODUCT(INDEX($AR$23:$AT$46,,$AI420), INDEX($AU$23:$BA$46,,$AH420), 1 / ($BC$23:$BC$46*BY420), N($AQ$23:$AQ$46&gt;$AO420))
) / 1000</f>
        <v>0</v>
      </c>
      <c r="CB420" s="230">
        <f t="shared" si="511"/>
        <v>0</v>
      </c>
      <c r="CC420" s="238"/>
      <c r="CD420" s="229" cm="1">
        <f t="array" ref="CD420">IF(ISBLANK(Y420), INDEX(Use, $AH420, 4) - AN420*INDEX(Use, $AH420, 6) - (Q420-X420), Y420)</f>
        <v>7</v>
      </c>
      <c r="CE420" s="229">
        <f t="shared" si="512"/>
        <v>32</v>
      </c>
      <c r="CF420" s="230">
        <f t="shared" si="513"/>
        <v>0</v>
      </c>
      <c r="CG420" s="229">
        <v>35</v>
      </c>
      <c r="CH420" s="230">
        <f t="shared" si="514"/>
        <v>48</v>
      </c>
      <c r="CI420" s="235">
        <f t="shared" si="515"/>
        <v>3.0748170731707316</v>
      </c>
      <c r="CJ420" s="235" cm="1">
        <f t="array" ref="CJ420">$BI420 * SUMPRODUCT(INDEX($AR$77:$AT$82,,$AI420),INDEX($AU$77:$BA$82,,$AH420), N($AQ$77:$AQ$82&gt;$AO420)) / CI420 / 1000</f>
        <v>0</v>
      </c>
      <c r="CK420" s="232">
        <f t="shared" si="532"/>
        <v>30</v>
      </c>
      <c r="CL420" s="230">
        <f t="shared" si="516"/>
        <v>43</v>
      </c>
      <c r="CM420" s="235">
        <f t="shared" si="517"/>
        <v>3.5018750000000001</v>
      </c>
      <c r="CN420" s="235" cm="1">
        <f t="array" ref="CN420">$BI420 * IF($AH420&lt;=2,
SUMPRODUCT(INDEX($AR$72:$AT$76,,$AI420), INDEX($AU$72:$BA$76,,$AH420), 1 / ($BB$72:$BB$76*CM420 + (1-$BB$72:$BB$76)*CI420), N($AQ$72:$AQ$76&gt;$AO420)),
SUMPRODUCT(INDEX($AR$67:$AT$76,,$AI420), INDEX($AU$67:$BA$76,,$AH420), 1 / ($BC$67:$BC$76*CM420 + (1-$BC$67:$BC$76)*CI420), N($AQ$67:$AQ$76&gt;$AO420))
) / 1000</f>
        <v>0</v>
      </c>
      <c r="CO420" s="232">
        <f t="shared" si="533"/>
        <v>25</v>
      </c>
      <c r="CP420" s="230">
        <f t="shared" si="518"/>
        <v>38</v>
      </c>
      <c r="CQ420" s="235">
        <f t="shared" si="519"/>
        <v>4.0666935483870965</v>
      </c>
      <c r="CR420" s="235" cm="1">
        <f t="array" ref="CR420">$BI420 * IF($AH420&lt;=2,
SUMPRODUCT(INDEX($AR$67:$AT$71,,$AI420), INDEX($AU$67:$BA$71,,$AH420), 1 / ($BB$67:$BB$71*CQ420 + (1-$BB$67:$BB$71)*CM420), N($AQ$67:$AQ$71&gt;$AO420)),
SUMPRODUCT(INDEX($AR$57:$AT$66,,$AI420), INDEX($AU$57:$BA$66,,$AH420), 1 / ($BC$57:$BC$66*CQ420 + (1-$BC$57:$BC$66)*CM420), N($AQ$57:$AQ$66&gt;$AO420))
) / 1000</f>
        <v>0</v>
      </c>
      <c r="CS420" s="232">
        <f t="shared" si="534"/>
        <v>20</v>
      </c>
      <c r="CT420" s="230">
        <f t="shared" si="520"/>
        <v>33</v>
      </c>
      <c r="CU420" s="235">
        <f t="shared" si="521"/>
        <v>4.8487499999999999</v>
      </c>
      <c r="CV420" s="235" cm="1">
        <f t="array" ref="CV420">$BI420 * IF($AH420&lt;=2,
SUMPRODUCT(INDEX($AR$62:$AT$66,,$AI420), INDEX($AU$62:$BA$66,,$AH420), 1 / ($BB$62:$BB$66*CU420 + (1-$BB$62:$BB$66)*CQ420), N($AQ$62:$AQ$66&gt;$AO420)),
SUMPRODUCT(INDEX($AR$47:$AT$56,,$AI420), INDEX($AU$47:$BA$56,,$AH420), 1 / ($BC$47:$BC$56*CU420 + (1-$BC$47:$BC$56)*CQ420), N($AQ$47:$AQ$56&gt;$AO420))
) / 1000</f>
        <v>0</v>
      </c>
      <c r="CW420" s="235" cm="1">
        <f t="array" ref="CW420">$BI420 * IF($AH420&lt;=2,
SUMPRODUCT(INDEX($AR$23:$AT$61,,$AI420), INDEX($AU$23:$BA$61,,$AH420), 1 / ($BB$23:$BB$61*CU420), N($AQ$23:$AQ$61&gt;$AO420)),
SUMPRODUCT(INDEX($AR$23:$AT$46,,$AI420), INDEX($AU$23:$BA$46,,$AH420), 1 / ($BC$23:$BC$46*CU420), N($AQ$23:$AQ$46&gt;$AO420))
) / 1000</f>
        <v>0</v>
      </c>
      <c r="CX420" s="230">
        <f t="shared" si="522"/>
        <v>0</v>
      </c>
      <c r="CY420" s="238"/>
    </row>
    <row r="421" spans="1:103" s="76" customFormat="1" ht="14.25" customHeight="1" x14ac:dyDescent="0.2">
      <c r="A421" s="231" t="b">
        <f t="shared" si="526"/>
        <v>0</v>
      </c>
      <c r="B421" s="245">
        <v>399</v>
      </c>
      <c r="C421" s="258"/>
      <c r="D421" s="258"/>
      <c r="E421" s="246"/>
      <c r="F421" s="247" t="str">
        <f>IF(ISBLANK(E421), "", VLOOKUP(E421, Z!$A$2:$C$4127, 3, FALSE))</f>
        <v/>
      </c>
      <c r="G421" s="248"/>
      <c r="H421" s="248"/>
      <c r="I421" s="249"/>
      <c r="J421" s="250"/>
      <c r="K421" s="259"/>
      <c r="L421" s="260"/>
      <c r="M421" s="252" t="str" cm="1">
        <f t="array" ref="M421">INDEX(Trad, 53, $A$20)</f>
        <v>Verschmutzt</v>
      </c>
      <c r="N421" s="253"/>
      <c r="O421" s="253"/>
      <c r="P421" s="254"/>
      <c r="Q421" s="251"/>
      <c r="R421" s="251"/>
      <c r="S421" s="264">
        <f t="shared" si="497"/>
        <v>0</v>
      </c>
      <c r="T421" s="252" t="str" cm="1">
        <f t="array" ref="T421">INDEX(Trad, 52, $A$20)</f>
        <v>Sauber</v>
      </c>
      <c r="U421" s="253"/>
      <c r="V421" s="253"/>
      <c r="W421" s="254"/>
      <c r="X421" s="251"/>
      <c r="Y421" s="251"/>
      <c r="Z421" s="264">
        <f t="shared" si="498"/>
        <v>0</v>
      </c>
      <c r="AA421" s="261"/>
      <c r="AB421" s="258"/>
      <c r="AC421" s="246"/>
      <c r="AD421" s="247" t="str">
        <f>IF(ISBLANK(AC421), "", VLOOKUP(AC421, Z!$A$2:$C$4127, 3, FALSE))</f>
        <v/>
      </c>
      <c r="AE421" s="262"/>
      <c r="AF421" s="263">
        <f t="shared" si="499"/>
        <v>0</v>
      </c>
      <c r="AG421" s="238"/>
      <c r="AH421" s="229">
        <f t="shared" si="523"/>
        <v>1</v>
      </c>
      <c r="AI421" s="229">
        <f t="shared" si="524"/>
        <v>1</v>
      </c>
      <c r="AJ421" s="229">
        <f t="shared" si="525"/>
        <v>0</v>
      </c>
      <c r="AK421" s="229">
        <v>0</v>
      </c>
      <c r="AL421" s="229">
        <v>0</v>
      </c>
      <c r="AM421" s="229">
        <v>1</v>
      </c>
      <c r="AN421" s="229">
        <v>0</v>
      </c>
      <c r="AO421" s="229">
        <f t="shared" si="500"/>
        <v>-100</v>
      </c>
      <c r="AP421" s="238"/>
      <c r="AQ421" s="255"/>
      <c r="AR421" s="255"/>
      <c r="AS421" s="256"/>
      <c r="AT421" s="256"/>
      <c r="AU421" s="256"/>
      <c r="AV421" s="256"/>
      <c r="AW421" s="256"/>
      <c r="AX421" s="256"/>
      <c r="AY421" s="256"/>
      <c r="AZ421" s="256"/>
      <c r="BA421" s="256"/>
      <c r="BB421" s="256"/>
      <c r="BC421" s="256"/>
      <c r="BD421" s="238"/>
      <c r="BE421" s="229" cm="1">
        <f t="array" ref="BE421">IF(ISBLANK(R421), INDEX(Use, $AH421, 4) - AM421*INDEX(Use, $AH421, 6), R421)</f>
        <v>5</v>
      </c>
      <c r="BF421" s="229">
        <f t="shared" si="501"/>
        <v>30</v>
      </c>
      <c r="BG421" s="229">
        <f t="shared" si="527"/>
        <v>13</v>
      </c>
      <c r="BH421" s="229">
        <f t="shared" si="528"/>
        <v>0</v>
      </c>
      <c r="BI421" s="234" cm="1">
        <f t="array" ref="BI421">K421/IF($L421&gt;0, INDEX($AU$23:$BA$77, $L421+20, $AH421), 1)</f>
        <v>0</v>
      </c>
      <c r="BJ421" s="230">
        <f t="shared" si="502"/>
        <v>0</v>
      </c>
      <c r="BK421" s="229">
        <v>35</v>
      </c>
      <c r="BL421" s="230">
        <f t="shared" si="503"/>
        <v>48</v>
      </c>
      <c r="BM421" s="235">
        <f t="shared" si="504"/>
        <v>2.9108720930232557</v>
      </c>
      <c r="BN421" s="235" cm="1">
        <f t="array" ref="BN421">$BI421 * SUMPRODUCT(INDEX($AR$77:$AT$82,,$AI421),INDEX($AU$77:$BA$82,,$AH421), N($AQ$77:$AQ$82&gt;$AO421)) / BM421 / 1000</f>
        <v>0</v>
      </c>
      <c r="BO421" s="232">
        <f t="shared" si="529"/>
        <v>30</v>
      </c>
      <c r="BP421" s="230">
        <f t="shared" si="505"/>
        <v>43</v>
      </c>
      <c r="BQ421" s="235">
        <f t="shared" si="506"/>
        <v>3.2938815789473681</v>
      </c>
      <c r="BR421" s="235" cm="1">
        <f t="array" ref="BR421">$BI421 * IF($AH421&lt;=2,
SUMPRODUCT(INDEX($AR$72:$AT$76,,$AI421), INDEX($AU$72:$BA$76,,$AH421), 1 / ($BB$72:$BB$76*BQ421 + (1-$BB$72:$BB$76)*BM421), N($AQ$72:$AQ$76&gt;$AO421)),
SUMPRODUCT(INDEX($AR$67:$AT$76,,$AI421), INDEX($AU$67:$BA$76,,$AH421), 1 / ($BC$67:$BC$76*BQ421 + (1-$BC$67:$BC$76)*BM421), N($AQ$67:$AQ$76&gt;$AO421))
) / 1000</f>
        <v>0</v>
      </c>
      <c r="BS421" s="232">
        <f t="shared" si="530"/>
        <v>25</v>
      </c>
      <c r="BT421" s="230">
        <f t="shared" si="507"/>
        <v>38</v>
      </c>
      <c r="BU421" s="235">
        <f t="shared" si="508"/>
        <v>3.792954545454545</v>
      </c>
      <c r="BV421" s="235" cm="1">
        <f t="array" ref="BV421">$BI421 * IF($AH421&lt;=2,
SUMPRODUCT(INDEX($AR$67:$AT$71,,$AI421), INDEX($AU$67:$BA$71,,$AH421), 1 / ($BB$67:$BB$71*BU421 + (1-$BB$67:$BB$71)*BQ421), N($AQ$67:$AQ$71&gt;$AO421)),
SUMPRODUCT(INDEX($AR$57:$AT$66,,$AI421), INDEX($AU$57:$BA$66,,$AH421), 1 / ($BC$57:$BC$66*BU421 + (1-$BC$57:$BC$66)*BQ421), N($AQ$57:$AQ$66&gt;$AO421))
) / 1000</f>
        <v>0</v>
      </c>
      <c r="BW421" s="232">
        <f t="shared" si="531"/>
        <v>20</v>
      </c>
      <c r="BX421" s="230">
        <f t="shared" si="509"/>
        <v>33</v>
      </c>
      <c r="BY421" s="235">
        <f t="shared" si="510"/>
        <v>4.4702678571428569</v>
      </c>
      <c r="BZ421" s="235" cm="1">
        <f t="array" ref="BZ421">$BI421 * IF($AH421&lt;=2,
SUMPRODUCT(INDEX($AR$62:$AT$66,,$AI421), INDEX($AU$62:$BA$66,,$AH421), 1 / ($BB$62:$BB$66*BY421 + (1-$BB$62:$BB$66)*BU421), N($AQ$62:$AQ$66&gt;$AO421)),
SUMPRODUCT(INDEX($AR$47:$AT$56,,$AI421), INDEX($AU$47:$BA$56,,$AH421), 1 / ($BC$47:$BC$56*BY421 + (1-$BC$47:$BC$56)*BU421), N($AQ$47:$AQ$56&gt;$AO421))
) / 1000</f>
        <v>0</v>
      </c>
      <c r="CA421" s="235" cm="1">
        <f t="array" ref="CA421">$BI421 * IF($AH421&lt;=2,
SUMPRODUCT(INDEX($AR$23:$AT$61,,$AI421), INDEX($AU$23:$BA$61,,$AH421), 1 / ($BB$23:$BB$61*BY421), N($AQ$23:$AQ$61&gt;$AO421)),
SUMPRODUCT(INDEX($AR$23:$AT$46,,$AI421), INDEX($AU$23:$BA$46,,$AH421), 1 / ($BC$23:$BC$46*BY421), N($AQ$23:$AQ$46&gt;$AO421))
) / 1000</f>
        <v>0</v>
      </c>
      <c r="CB421" s="230">
        <f t="shared" si="511"/>
        <v>0</v>
      </c>
      <c r="CC421" s="238"/>
      <c r="CD421" s="229" cm="1">
        <f t="array" ref="CD421">IF(ISBLANK(Y421), INDEX(Use, $AH421, 4) - AN421*INDEX(Use, $AH421, 6) - (Q421-X421), Y421)</f>
        <v>7</v>
      </c>
      <c r="CE421" s="229">
        <f t="shared" si="512"/>
        <v>32</v>
      </c>
      <c r="CF421" s="230">
        <f t="shared" si="513"/>
        <v>0</v>
      </c>
      <c r="CG421" s="229">
        <v>35</v>
      </c>
      <c r="CH421" s="230">
        <f t="shared" si="514"/>
        <v>48</v>
      </c>
      <c r="CI421" s="235">
        <f t="shared" si="515"/>
        <v>3.0748170731707316</v>
      </c>
      <c r="CJ421" s="235" cm="1">
        <f t="array" ref="CJ421">$BI421 * SUMPRODUCT(INDEX($AR$77:$AT$82,,$AI421),INDEX($AU$77:$BA$82,,$AH421), N($AQ$77:$AQ$82&gt;$AO421)) / CI421 / 1000</f>
        <v>0</v>
      </c>
      <c r="CK421" s="232">
        <f t="shared" si="532"/>
        <v>30</v>
      </c>
      <c r="CL421" s="230">
        <f t="shared" si="516"/>
        <v>43</v>
      </c>
      <c r="CM421" s="235">
        <f t="shared" si="517"/>
        <v>3.5018750000000001</v>
      </c>
      <c r="CN421" s="235" cm="1">
        <f t="array" ref="CN421">$BI421 * IF($AH421&lt;=2,
SUMPRODUCT(INDEX($AR$72:$AT$76,,$AI421), INDEX($AU$72:$BA$76,,$AH421), 1 / ($BB$72:$BB$76*CM421 + (1-$BB$72:$BB$76)*CI421), N($AQ$72:$AQ$76&gt;$AO421)),
SUMPRODUCT(INDEX($AR$67:$AT$76,,$AI421), INDEX($AU$67:$BA$76,,$AH421), 1 / ($BC$67:$BC$76*CM421 + (1-$BC$67:$BC$76)*CI421), N($AQ$67:$AQ$76&gt;$AO421))
) / 1000</f>
        <v>0</v>
      </c>
      <c r="CO421" s="232">
        <f t="shared" si="533"/>
        <v>25</v>
      </c>
      <c r="CP421" s="230">
        <f t="shared" si="518"/>
        <v>38</v>
      </c>
      <c r="CQ421" s="235">
        <f t="shared" si="519"/>
        <v>4.0666935483870965</v>
      </c>
      <c r="CR421" s="235" cm="1">
        <f t="array" ref="CR421">$BI421 * IF($AH421&lt;=2,
SUMPRODUCT(INDEX($AR$67:$AT$71,,$AI421), INDEX($AU$67:$BA$71,,$AH421), 1 / ($BB$67:$BB$71*CQ421 + (1-$BB$67:$BB$71)*CM421), N($AQ$67:$AQ$71&gt;$AO421)),
SUMPRODUCT(INDEX($AR$57:$AT$66,,$AI421), INDEX($AU$57:$BA$66,,$AH421), 1 / ($BC$57:$BC$66*CQ421 + (1-$BC$57:$BC$66)*CM421), N($AQ$57:$AQ$66&gt;$AO421))
) / 1000</f>
        <v>0</v>
      </c>
      <c r="CS421" s="232">
        <f t="shared" si="534"/>
        <v>20</v>
      </c>
      <c r="CT421" s="230">
        <f t="shared" si="520"/>
        <v>33</v>
      </c>
      <c r="CU421" s="235">
        <f t="shared" si="521"/>
        <v>4.8487499999999999</v>
      </c>
      <c r="CV421" s="235" cm="1">
        <f t="array" ref="CV421">$BI421 * IF($AH421&lt;=2,
SUMPRODUCT(INDEX($AR$62:$AT$66,,$AI421), INDEX($AU$62:$BA$66,,$AH421), 1 / ($BB$62:$BB$66*CU421 + (1-$BB$62:$BB$66)*CQ421), N($AQ$62:$AQ$66&gt;$AO421)),
SUMPRODUCT(INDEX($AR$47:$AT$56,,$AI421), INDEX($AU$47:$BA$56,,$AH421), 1 / ($BC$47:$BC$56*CU421 + (1-$BC$47:$BC$56)*CQ421), N($AQ$47:$AQ$56&gt;$AO421))
) / 1000</f>
        <v>0</v>
      </c>
      <c r="CW421" s="235" cm="1">
        <f t="array" ref="CW421">$BI421 * IF($AH421&lt;=2,
SUMPRODUCT(INDEX($AR$23:$AT$61,,$AI421), INDEX($AU$23:$BA$61,,$AH421), 1 / ($BB$23:$BB$61*CU421), N($AQ$23:$AQ$61&gt;$AO421)),
SUMPRODUCT(INDEX($AR$23:$AT$46,,$AI421), INDEX($AU$23:$BA$46,,$AH421), 1 / ($BC$23:$BC$46*CU421), N($AQ$23:$AQ$46&gt;$AO421))
) / 1000</f>
        <v>0</v>
      </c>
      <c r="CX421" s="230">
        <f t="shared" si="522"/>
        <v>0</v>
      </c>
      <c r="CY421" s="238"/>
    </row>
    <row r="422" spans="1:103" s="76" customFormat="1" ht="14.25" customHeight="1" x14ac:dyDescent="0.2">
      <c r="A422" s="231" t="b">
        <f t="shared" si="526"/>
        <v>0</v>
      </c>
      <c r="B422" s="245">
        <v>400</v>
      </c>
      <c r="C422" s="258"/>
      <c r="D422" s="258"/>
      <c r="E422" s="246"/>
      <c r="F422" s="247" t="str">
        <f>IF(ISBLANK(E422), "", VLOOKUP(E422, Z!$A$2:$C$4127, 3, FALSE))</f>
        <v/>
      </c>
      <c r="G422" s="248"/>
      <c r="H422" s="248"/>
      <c r="I422" s="249"/>
      <c r="J422" s="250"/>
      <c r="K422" s="259"/>
      <c r="L422" s="260"/>
      <c r="M422" s="252" t="str" cm="1">
        <f t="array" ref="M422">INDEX(Trad, 53, $A$20)</f>
        <v>Verschmutzt</v>
      </c>
      <c r="N422" s="253"/>
      <c r="O422" s="253"/>
      <c r="P422" s="254"/>
      <c r="Q422" s="251"/>
      <c r="R422" s="251"/>
      <c r="S422" s="264">
        <f t="shared" si="497"/>
        <v>0</v>
      </c>
      <c r="T422" s="252" t="str" cm="1">
        <f t="array" ref="T422">INDEX(Trad, 52, $A$20)</f>
        <v>Sauber</v>
      </c>
      <c r="U422" s="253"/>
      <c r="V422" s="253"/>
      <c r="W422" s="254"/>
      <c r="X422" s="251"/>
      <c r="Y422" s="251"/>
      <c r="Z422" s="264">
        <f t="shared" si="498"/>
        <v>0</v>
      </c>
      <c r="AA422" s="261"/>
      <c r="AB422" s="258"/>
      <c r="AC422" s="246"/>
      <c r="AD422" s="247" t="str">
        <f>IF(ISBLANK(AC422), "", VLOOKUP(AC422, Z!$A$2:$C$4127, 3, FALSE))</f>
        <v/>
      </c>
      <c r="AE422" s="262"/>
      <c r="AF422" s="263">
        <f t="shared" si="499"/>
        <v>0</v>
      </c>
      <c r="AG422" s="238"/>
      <c r="AH422" s="229">
        <f t="shared" si="523"/>
        <v>1</v>
      </c>
      <c r="AI422" s="229">
        <f t="shared" si="524"/>
        <v>1</v>
      </c>
      <c r="AJ422" s="229">
        <f t="shared" si="525"/>
        <v>0</v>
      </c>
      <c r="AK422" s="229">
        <v>0</v>
      </c>
      <c r="AL422" s="229">
        <v>0</v>
      </c>
      <c r="AM422" s="229">
        <v>1</v>
      </c>
      <c r="AN422" s="229">
        <v>0</v>
      </c>
      <c r="AO422" s="229">
        <f t="shared" si="500"/>
        <v>-100</v>
      </c>
      <c r="AP422" s="238"/>
      <c r="AQ422" s="255"/>
      <c r="AR422" s="255"/>
      <c r="AS422" s="256"/>
      <c r="AT422" s="256"/>
      <c r="AU422" s="256"/>
      <c r="AV422" s="256"/>
      <c r="AW422" s="256"/>
      <c r="AX422" s="256"/>
      <c r="AY422" s="256"/>
      <c r="AZ422" s="256"/>
      <c r="BA422" s="256"/>
      <c r="BB422" s="256"/>
      <c r="BC422" s="256"/>
      <c r="BD422" s="238"/>
      <c r="BE422" s="229" cm="1">
        <f t="array" ref="BE422">IF(ISBLANK(R422), INDEX(Use, $AH422, 4) - AM422*INDEX(Use, $AH422, 6), R422)</f>
        <v>5</v>
      </c>
      <c r="BF422" s="229">
        <f t="shared" si="501"/>
        <v>30</v>
      </c>
      <c r="BG422" s="229">
        <f t="shared" si="527"/>
        <v>13</v>
      </c>
      <c r="BH422" s="229">
        <f t="shared" si="528"/>
        <v>0</v>
      </c>
      <c r="BI422" s="234" cm="1">
        <f t="array" ref="BI422">K422/IF($L422&gt;0, INDEX($AU$23:$BA$77, $L422+20, $AH422), 1)</f>
        <v>0</v>
      </c>
      <c r="BJ422" s="230">
        <f t="shared" si="502"/>
        <v>0</v>
      </c>
      <c r="BK422" s="229">
        <v>35</v>
      </c>
      <c r="BL422" s="230">
        <f t="shared" si="503"/>
        <v>48</v>
      </c>
      <c r="BM422" s="235">
        <f t="shared" si="504"/>
        <v>2.9108720930232557</v>
      </c>
      <c r="BN422" s="235" cm="1">
        <f t="array" ref="BN422">$BI422 * SUMPRODUCT(INDEX($AR$77:$AT$82,,$AI422),INDEX($AU$77:$BA$82,,$AH422), N($AQ$77:$AQ$82&gt;$AO422)) / BM422 / 1000</f>
        <v>0</v>
      </c>
      <c r="BO422" s="232">
        <f t="shared" si="529"/>
        <v>30</v>
      </c>
      <c r="BP422" s="230">
        <f t="shared" si="505"/>
        <v>43</v>
      </c>
      <c r="BQ422" s="235">
        <f t="shared" si="506"/>
        <v>3.2938815789473681</v>
      </c>
      <c r="BR422" s="235" cm="1">
        <f t="array" ref="BR422">$BI422 * IF($AH422&lt;=2,
SUMPRODUCT(INDEX($AR$72:$AT$76,,$AI422), INDEX($AU$72:$BA$76,,$AH422), 1 / ($BB$72:$BB$76*BQ422 + (1-$BB$72:$BB$76)*BM422), N($AQ$72:$AQ$76&gt;$AO422)),
SUMPRODUCT(INDEX($AR$67:$AT$76,,$AI422), INDEX($AU$67:$BA$76,,$AH422), 1 / ($BC$67:$BC$76*BQ422 + (1-$BC$67:$BC$76)*BM422), N($AQ$67:$AQ$76&gt;$AO422))
) / 1000</f>
        <v>0</v>
      </c>
      <c r="BS422" s="232">
        <f t="shared" si="530"/>
        <v>25</v>
      </c>
      <c r="BT422" s="230">
        <f t="shared" si="507"/>
        <v>38</v>
      </c>
      <c r="BU422" s="235">
        <f t="shared" si="508"/>
        <v>3.792954545454545</v>
      </c>
      <c r="BV422" s="235" cm="1">
        <f t="array" ref="BV422">$BI422 * IF($AH422&lt;=2,
SUMPRODUCT(INDEX($AR$67:$AT$71,,$AI422), INDEX($AU$67:$BA$71,,$AH422), 1 / ($BB$67:$BB$71*BU422 + (1-$BB$67:$BB$71)*BQ422), N($AQ$67:$AQ$71&gt;$AO422)),
SUMPRODUCT(INDEX($AR$57:$AT$66,,$AI422), INDEX($AU$57:$BA$66,,$AH422), 1 / ($BC$57:$BC$66*BU422 + (1-$BC$57:$BC$66)*BQ422), N($AQ$57:$AQ$66&gt;$AO422))
) / 1000</f>
        <v>0</v>
      </c>
      <c r="BW422" s="232">
        <f t="shared" si="531"/>
        <v>20</v>
      </c>
      <c r="BX422" s="230">
        <f t="shared" si="509"/>
        <v>33</v>
      </c>
      <c r="BY422" s="235">
        <f t="shared" si="510"/>
        <v>4.4702678571428569</v>
      </c>
      <c r="BZ422" s="235" cm="1">
        <f t="array" ref="BZ422">$BI422 * IF($AH422&lt;=2,
SUMPRODUCT(INDEX($AR$62:$AT$66,,$AI422), INDEX($AU$62:$BA$66,,$AH422), 1 / ($BB$62:$BB$66*BY422 + (1-$BB$62:$BB$66)*BU422), N($AQ$62:$AQ$66&gt;$AO422)),
SUMPRODUCT(INDEX($AR$47:$AT$56,,$AI422), INDEX($AU$47:$BA$56,,$AH422), 1 / ($BC$47:$BC$56*BY422 + (1-$BC$47:$BC$56)*BU422), N($AQ$47:$AQ$56&gt;$AO422))
) / 1000</f>
        <v>0</v>
      </c>
      <c r="CA422" s="235" cm="1">
        <f t="array" ref="CA422">$BI422 * IF($AH422&lt;=2,
SUMPRODUCT(INDEX($AR$23:$AT$61,,$AI422), INDEX($AU$23:$BA$61,,$AH422), 1 / ($BB$23:$BB$61*BY422), N($AQ$23:$AQ$61&gt;$AO422)),
SUMPRODUCT(INDEX($AR$23:$AT$46,,$AI422), INDEX($AU$23:$BA$46,,$AH422), 1 / ($BC$23:$BC$46*BY422), N($AQ$23:$AQ$46&gt;$AO422))
) / 1000</f>
        <v>0</v>
      </c>
      <c r="CB422" s="230">
        <f t="shared" si="511"/>
        <v>0</v>
      </c>
      <c r="CC422" s="238"/>
      <c r="CD422" s="229" cm="1">
        <f t="array" ref="CD422">IF(ISBLANK(Y422), INDEX(Use, $AH422, 4) - AN422*INDEX(Use, $AH422, 6) - (Q422-X422), Y422)</f>
        <v>7</v>
      </c>
      <c r="CE422" s="229">
        <f t="shared" si="512"/>
        <v>32</v>
      </c>
      <c r="CF422" s="230">
        <f t="shared" si="513"/>
        <v>0</v>
      </c>
      <c r="CG422" s="229">
        <v>35</v>
      </c>
      <c r="CH422" s="230">
        <f t="shared" si="514"/>
        <v>48</v>
      </c>
      <c r="CI422" s="235">
        <f t="shared" si="515"/>
        <v>3.0748170731707316</v>
      </c>
      <c r="CJ422" s="235" cm="1">
        <f t="array" ref="CJ422">$BI422 * SUMPRODUCT(INDEX($AR$77:$AT$82,,$AI422),INDEX($AU$77:$BA$82,,$AH422), N($AQ$77:$AQ$82&gt;$AO422)) / CI422 / 1000</f>
        <v>0</v>
      </c>
      <c r="CK422" s="232">
        <f t="shared" si="532"/>
        <v>30</v>
      </c>
      <c r="CL422" s="230">
        <f t="shared" si="516"/>
        <v>43</v>
      </c>
      <c r="CM422" s="235">
        <f t="shared" si="517"/>
        <v>3.5018750000000001</v>
      </c>
      <c r="CN422" s="235" cm="1">
        <f t="array" ref="CN422">$BI422 * IF($AH422&lt;=2,
SUMPRODUCT(INDEX($AR$72:$AT$76,,$AI422), INDEX($AU$72:$BA$76,,$AH422), 1 / ($BB$72:$BB$76*CM422 + (1-$BB$72:$BB$76)*CI422), N($AQ$72:$AQ$76&gt;$AO422)),
SUMPRODUCT(INDEX($AR$67:$AT$76,,$AI422), INDEX($AU$67:$BA$76,,$AH422), 1 / ($BC$67:$BC$76*CM422 + (1-$BC$67:$BC$76)*CI422), N($AQ$67:$AQ$76&gt;$AO422))
) / 1000</f>
        <v>0</v>
      </c>
      <c r="CO422" s="232">
        <f t="shared" si="533"/>
        <v>25</v>
      </c>
      <c r="CP422" s="230">
        <f t="shared" si="518"/>
        <v>38</v>
      </c>
      <c r="CQ422" s="235">
        <f t="shared" si="519"/>
        <v>4.0666935483870965</v>
      </c>
      <c r="CR422" s="235" cm="1">
        <f t="array" ref="CR422">$BI422 * IF($AH422&lt;=2,
SUMPRODUCT(INDEX($AR$67:$AT$71,,$AI422), INDEX($AU$67:$BA$71,,$AH422), 1 / ($BB$67:$BB$71*CQ422 + (1-$BB$67:$BB$71)*CM422), N($AQ$67:$AQ$71&gt;$AO422)),
SUMPRODUCT(INDEX($AR$57:$AT$66,,$AI422), INDEX($AU$57:$BA$66,,$AH422), 1 / ($BC$57:$BC$66*CQ422 + (1-$BC$57:$BC$66)*CM422), N($AQ$57:$AQ$66&gt;$AO422))
) / 1000</f>
        <v>0</v>
      </c>
      <c r="CS422" s="232">
        <f t="shared" si="534"/>
        <v>20</v>
      </c>
      <c r="CT422" s="230">
        <f t="shared" si="520"/>
        <v>33</v>
      </c>
      <c r="CU422" s="235">
        <f t="shared" si="521"/>
        <v>4.8487499999999999</v>
      </c>
      <c r="CV422" s="235" cm="1">
        <f t="array" ref="CV422">$BI422 * IF($AH422&lt;=2,
SUMPRODUCT(INDEX($AR$62:$AT$66,,$AI422), INDEX($AU$62:$BA$66,,$AH422), 1 / ($BB$62:$BB$66*CU422 + (1-$BB$62:$BB$66)*CQ422), N($AQ$62:$AQ$66&gt;$AO422)),
SUMPRODUCT(INDEX($AR$47:$AT$56,,$AI422), INDEX($AU$47:$BA$56,,$AH422), 1 / ($BC$47:$BC$56*CU422 + (1-$BC$47:$BC$56)*CQ422), N($AQ$47:$AQ$56&gt;$AO422))
) / 1000</f>
        <v>0</v>
      </c>
      <c r="CW422" s="235" cm="1">
        <f t="array" ref="CW422">$BI422 * IF($AH422&lt;=2,
SUMPRODUCT(INDEX($AR$23:$AT$61,,$AI422), INDEX($AU$23:$BA$61,,$AH422), 1 / ($BB$23:$BB$61*CU422), N($AQ$23:$AQ$61&gt;$AO422)),
SUMPRODUCT(INDEX($AR$23:$AT$46,,$AI422), INDEX($AU$23:$BA$46,,$AH422), 1 / ($BC$23:$BC$46*CU422), N($AQ$23:$AQ$46&gt;$AO422))
) / 1000</f>
        <v>0</v>
      </c>
      <c r="CX422" s="230">
        <f t="shared" si="522"/>
        <v>0</v>
      </c>
      <c r="CY422" s="238"/>
    </row>
    <row r="423" spans="1:103" s="76" customFormat="1" ht="14.25" customHeight="1" x14ac:dyDescent="0.2">
      <c r="A423" s="231" t="b">
        <f t="shared" si="526"/>
        <v>0</v>
      </c>
      <c r="B423" s="245">
        <v>401</v>
      </c>
      <c r="C423" s="258"/>
      <c r="D423" s="258"/>
      <c r="E423" s="246"/>
      <c r="F423" s="247" t="str">
        <f>IF(ISBLANK(E423), "", VLOOKUP(E423, Z!$A$2:$C$4127, 3, FALSE))</f>
        <v/>
      </c>
      <c r="G423" s="248"/>
      <c r="H423" s="248"/>
      <c r="I423" s="249"/>
      <c r="J423" s="250"/>
      <c r="K423" s="259"/>
      <c r="L423" s="260"/>
      <c r="M423" s="252" t="str" cm="1">
        <f t="array" ref="M423">INDEX(Trad, 53, $A$20)</f>
        <v>Verschmutzt</v>
      </c>
      <c r="N423" s="253"/>
      <c r="O423" s="253"/>
      <c r="P423" s="254"/>
      <c r="Q423" s="251"/>
      <c r="R423" s="251"/>
      <c r="S423" s="264">
        <f t="shared" si="497"/>
        <v>0</v>
      </c>
      <c r="T423" s="252" t="str" cm="1">
        <f t="array" ref="T423">INDEX(Trad, 52, $A$20)</f>
        <v>Sauber</v>
      </c>
      <c r="U423" s="253"/>
      <c r="V423" s="253"/>
      <c r="W423" s="254"/>
      <c r="X423" s="251"/>
      <c r="Y423" s="251"/>
      <c r="Z423" s="264">
        <f t="shared" si="498"/>
        <v>0</v>
      </c>
      <c r="AA423" s="261"/>
      <c r="AB423" s="258"/>
      <c r="AC423" s="246"/>
      <c r="AD423" s="247" t="str">
        <f>IF(ISBLANK(AC423), "", VLOOKUP(AC423, Z!$A$2:$C$4127, 3, FALSE))</f>
        <v/>
      </c>
      <c r="AE423" s="262"/>
      <c r="AF423" s="263">
        <f t="shared" si="499"/>
        <v>0</v>
      </c>
      <c r="AG423" s="238"/>
      <c r="AH423" s="229">
        <f t="shared" si="523"/>
        <v>1</v>
      </c>
      <c r="AI423" s="229">
        <f t="shared" si="524"/>
        <v>1</v>
      </c>
      <c r="AJ423" s="229">
        <f t="shared" si="525"/>
        <v>0</v>
      </c>
      <c r="AK423" s="229">
        <v>0</v>
      </c>
      <c r="AL423" s="229">
        <v>0</v>
      </c>
      <c r="AM423" s="229">
        <v>1</v>
      </c>
      <c r="AN423" s="229">
        <v>0</v>
      </c>
      <c r="AO423" s="229">
        <f t="shared" si="500"/>
        <v>-100</v>
      </c>
      <c r="AP423" s="238"/>
      <c r="AQ423" s="255"/>
      <c r="AR423" s="255"/>
      <c r="AS423" s="256"/>
      <c r="AT423" s="256"/>
      <c r="AU423" s="256"/>
      <c r="AV423" s="256"/>
      <c r="AW423" s="256"/>
      <c r="AX423" s="256"/>
      <c r="AY423" s="256"/>
      <c r="AZ423" s="256"/>
      <c r="BA423" s="256"/>
      <c r="BB423" s="256"/>
      <c r="BC423" s="256"/>
      <c r="BD423" s="238"/>
      <c r="BE423" s="229" cm="1">
        <f t="array" ref="BE423">IF(ISBLANK(R423), INDEX(Use, $AH423, 4) - AM423*INDEX(Use, $AH423, 6), R423)</f>
        <v>5</v>
      </c>
      <c r="BF423" s="229">
        <f t="shared" si="501"/>
        <v>30</v>
      </c>
      <c r="BG423" s="229">
        <f t="shared" si="527"/>
        <v>13</v>
      </c>
      <c r="BH423" s="229">
        <f t="shared" si="528"/>
        <v>0</v>
      </c>
      <c r="BI423" s="234" cm="1">
        <f t="array" ref="BI423">K423/IF($L423&gt;0, INDEX($AU$23:$BA$77, $L423+20, $AH423), 1)</f>
        <v>0</v>
      </c>
      <c r="BJ423" s="230">
        <f t="shared" si="502"/>
        <v>0</v>
      </c>
      <c r="BK423" s="229">
        <v>35</v>
      </c>
      <c r="BL423" s="230">
        <f t="shared" si="503"/>
        <v>48</v>
      </c>
      <c r="BM423" s="235">
        <f t="shared" si="504"/>
        <v>2.9108720930232557</v>
      </c>
      <c r="BN423" s="235" cm="1">
        <f t="array" ref="BN423">$BI423 * SUMPRODUCT(INDEX($AR$77:$AT$82,,$AI423),INDEX($AU$77:$BA$82,,$AH423), N($AQ$77:$AQ$82&gt;$AO423)) / BM423 / 1000</f>
        <v>0</v>
      </c>
      <c r="BO423" s="232">
        <f t="shared" si="529"/>
        <v>30</v>
      </c>
      <c r="BP423" s="230">
        <f t="shared" si="505"/>
        <v>43</v>
      </c>
      <c r="BQ423" s="235">
        <f t="shared" si="506"/>
        <v>3.2938815789473681</v>
      </c>
      <c r="BR423" s="235" cm="1">
        <f t="array" ref="BR423">$BI423 * IF($AH423&lt;=2,
SUMPRODUCT(INDEX($AR$72:$AT$76,,$AI423), INDEX($AU$72:$BA$76,,$AH423), 1 / ($BB$72:$BB$76*BQ423 + (1-$BB$72:$BB$76)*BM423), N($AQ$72:$AQ$76&gt;$AO423)),
SUMPRODUCT(INDEX($AR$67:$AT$76,,$AI423), INDEX($AU$67:$BA$76,,$AH423), 1 / ($BC$67:$BC$76*BQ423 + (1-$BC$67:$BC$76)*BM423), N($AQ$67:$AQ$76&gt;$AO423))
) / 1000</f>
        <v>0</v>
      </c>
      <c r="BS423" s="232">
        <f t="shared" si="530"/>
        <v>25</v>
      </c>
      <c r="BT423" s="230">
        <f t="shared" si="507"/>
        <v>38</v>
      </c>
      <c r="BU423" s="235">
        <f t="shared" si="508"/>
        <v>3.792954545454545</v>
      </c>
      <c r="BV423" s="235" cm="1">
        <f t="array" ref="BV423">$BI423 * IF($AH423&lt;=2,
SUMPRODUCT(INDEX($AR$67:$AT$71,,$AI423), INDEX($AU$67:$BA$71,,$AH423), 1 / ($BB$67:$BB$71*BU423 + (1-$BB$67:$BB$71)*BQ423), N($AQ$67:$AQ$71&gt;$AO423)),
SUMPRODUCT(INDEX($AR$57:$AT$66,,$AI423), INDEX($AU$57:$BA$66,,$AH423), 1 / ($BC$57:$BC$66*BU423 + (1-$BC$57:$BC$66)*BQ423), N($AQ$57:$AQ$66&gt;$AO423))
) / 1000</f>
        <v>0</v>
      </c>
      <c r="BW423" s="232">
        <f t="shared" si="531"/>
        <v>20</v>
      </c>
      <c r="BX423" s="230">
        <f t="shared" si="509"/>
        <v>33</v>
      </c>
      <c r="BY423" s="235">
        <f t="shared" si="510"/>
        <v>4.4702678571428569</v>
      </c>
      <c r="BZ423" s="235" cm="1">
        <f t="array" ref="BZ423">$BI423 * IF($AH423&lt;=2,
SUMPRODUCT(INDEX($AR$62:$AT$66,,$AI423), INDEX($AU$62:$BA$66,,$AH423), 1 / ($BB$62:$BB$66*BY423 + (1-$BB$62:$BB$66)*BU423), N($AQ$62:$AQ$66&gt;$AO423)),
SUMPRODUCT(INDEX($AR$47:$AT$56,,$AI423), INDEX($AU$47:$BA$56,,$AH423), 1 / ($BC$47:$BC$56*BY423 + (1-$BC$47:$BC$56)*BU423), N($AQ$47:$AQ$56&gt;$AO423))
) / 1000</f>
        <v>0</v>
      </c>
      <c r="CA423" s="235" cm="1">
        <f t="array" ref="CA423">$BI423 * IF($AH423&lt;=2,
SUMPRODUCT(INDEX($AR$23:$AT$61,,$AI423), INDEX($AU$23:$BA$61,,$AH423), 1 / ($BB$23:$BB$61*BY423), N($AQ$23:$AQ$61&gt;$AO423)),
SUMPRODUCT(INDEX($AR$23:$AT$46,,$AI423), INDEX($AU$23:$BA$46,,$AH423), 1 / ($BC$23:$BC$46*BY423), N($AQ$23:$AQ$46&gt;$AO423))
) / 1000</f>
        <v>0</v>
      </c>
      <c r="CB423" s="230">
        <f t="shared" si="511"/>
        <v>0</v>
      </c>
      <c r="CC423" s="238"/>
      <c r="CD423" s="229" cm="1">
        <f t="array" ref="CD423">IF(ISBLANK(Y423), INDEX(Use, $AH423, 4) - AN423*INDEX(Use, $AH423, 6) - (Q423-X423), Y423)</f>
        <v>7</v>
      </c>
      <c r="CE423" s="229">
        <f t="shared" si="512"/>
        <v>32</v>
      </c>
      <c r="CF423" s="230">
        <f t="shared" si="513"/>
        <v>0</v>
      </c>
      <c r="CG423" s="229">
        <v>35</v>
      </c>
      <c r="CH423" s="230">
        <f t="shared" si="514"/>
        <v>48</v>
      </c>
      <c r="CI423" s="235">
        <f t="shared" si="515"/>
        <v>3.0748170731707316</v>
      </c>
      <c r="CJ423" s="235" cm="1">
        <f t="array" ref="CJ423">$BI423 * SUMPRODUCT(INDEX($AR$77:$AT$82,,$AI423),INDEX($AU$77:$BA$82,,$AH423), N($AQ$77:$AQ$82&gt;$AO423)) / CI423 / 1000</f>
        <v>0</v>
      </c>
      <c r="CK423" s="232">
        <f t="shared" si="532"/>
        <v>30</v>
      </c>
      <c r="CL423" s="230">
        <f t="shared" si="516"/>
        <v>43</v>
      </c>
      <c r="CM423" s="235">
        <f t="shared" si="517"/>
        <v>3.5018750000000001</v>
      </c>
      <c r="CN423" s="235" cm="1">
        <f t="array" ref="CN423">$BI423 * IF($AH423&lt;=2,
SUMPRODUCT(INDEX($AR$72:$AT$76,,$AI423), INDEX($AU$72:$BA$76,,$AH423), 1 / ($BB$72:$BB$76*CM423 + (1-$BB$72:$BB$76)*CI423), N($AQ$72:$AQ$76&gt;$AO423)),
SUMPRODUCT(INDEX($AR$67:$AT$76,,$AI423), INDEX($AU$67:$BA$76,,$AH423), 1 / ($BC$67:$BC$76*CM423 + (1-$BC$67:$BC$76)*CI423), N($AQ$67:$AQ$76&gt;$AO423))
) / 1000</f>
        <v>0</v>
      </c>
      <c r="CO423" s="232">
        <f t="shared" si="533"/>
        <v>25</v>
      </c>
      <c r="CP423" s="230">
        <f t="shared" si="518"/>
        <v>38</v>
      </c>
      <c r="CQ423" s="235">
        <f t="shared" si="519"/>
        <v>4.0666935483870965</v>
      </c>
      <c r="CR423" s="235" cm="1">
        <f t="array" ref="CR423">$BI423 * IF($AH423&lt;=2,
SUMPRODUCT(INDEX($AR$67:$AT$71,,$AI423), INDEX($AU$67:$BA$71,,$AH423), 1 / ($BB$67:$BB$71*CQ423 + (1-$BB$67:$BB$71)*CM423), N($AQ$67:$AQ$71&gt;$AO423)),
SUMPRODUCT(INDEX($AR$57:$AT$66,,$AI423), INDEX($AU$57:$BA$66,,$AH423), 1 / ($BC$57:$BC$66*CQ423 + (1-$BC$57:$BC$66)*CM423), N($AQ$57:$AQ$66&gt;$AO423))
) / 1000</f>
        <v>0</v>
      </c>
      <c r="CS423" s="232">
        <f t="shared" si="534"/>
        <v>20</v>
      </c>
      <c r="CT423" s="230">
        <f t="shared" si="520"/>
        <v>33</v>
      </c>
      <c r="CU423" s="235">
        <f t="shared" si="521"/>
        <v>4.8487499999999999</v>
      </c>
      <c r="CV423" s="235" cm="1">
        <f t="array" ref="CV423">$BI423 * IF($AH423&lt;=2,
SUMPRODUCT(INDEX($AR$62:$AT$66,,$AI423), INDEX($AU$62:$BA$66,,$AH423), 1 / ($BB$62:$BB$66*CU423 + (1-$BB$62:$BB$66)*CQ423), N($AQ$62:$AQ$66&gt;$AO423)),
SUMPRODUCT(INDEX($AR$47:$AT$56,,$AI423), INDEX($AU$47:$BA$56,,$AH423), 1 / ($BC$47:$BC$56*CU423 + (1-$BC$47:$BC$56)*CQ423), N($AQ$47:$AQ$56&gt;$AO423))
) / 1000</f>
        <v>0</v>
      </c>
      <c r="CW423" s="235" cm="1">
        <f t="array" ref="CW423">$BI423 * IF($AH423&lt;=2,
SUMPRODUCT(INDEX($AR$23:$AT$61,,$AI423), INDEX($AU$23:$BA$61,,$AH423), 1 / ($BB$23:$BB$61*CU423), N($AQ$23:$AQ$61&gt;$AO423)),
SUMPRODUCT(INDEX($AR$23:$AT$46,,$AI423), INDEX($AU$23:$BA$46,,$AH423), 1 / ($BC$23:$BC$46*CU423), N($AQ$23:$AQ$46&gt;$AO423))
) / 1000</f>
        <v>0</v>
      </c>
      <c r="CX423" s="230">
        <f t="shared" si="522"/>
        <v>0</v>
      </c>
      <c r="CY423" s="238"/>
    </row>
    <row r="424" spans="1:103" s="76" customFormat="1" ht="14.25" customHeight="1" x14ac:dyDescent="0.2">
      <c r="A424" s="231" t="b">
        <f t="shared" si="526"/>
        <v>0</v>
      </c>
      <c r="B424" s="245">
        <v>402</v>
      </c>
      <c r="C424" s="258"/>
      <c r="D424" s="258"/>
      <c r="E424" s="246"/>
      <c r="F424" s="247" t="str">
        <f>IF(ISBLANK(E424), "", VLOOKUP(E424, Z!$A$2:$C$4127, 3, FALSE))</f>
        <v/>
      </c>
      <c r="G424" s="248"/>
      <c r="H424" s="248"/>
      <c r="I424" s="249"/>
      <c r="J424" s="250"/>
      <c r="K424" s="259"/>
      <c r="L424" s="260"/>
      <c r="M424" s="252" t="str" cm="1">
        <f t="array" ref="M424">INDEX(Trad, 53, $A$20)</f>
        <v>Verschmutzt</v>
      </c>
      <c r="N424" s="253"/>
      <c r="O424" s="253"/>
      <c r="P424" s="254"/>
      <c r="Q424" s="251"/>
      <c r="R424" s="251"/>
      <c r="S424" s="264">
        <f t="shared" si="497"/>
        <v>0</v>
      </c>
      <c r="T424" s="252" t="str" cm="1">
        <f t="array" ref="T424">INDEX(Trad, 52, $A$20)</f>
        <v>Sauber</v>
      </c>
      <c r="U424" s="253"/>
      <c r="V424" s="253"/>
      <c r="W424" s="254"/>
      <c r="X424" s="251"/>
      <c r="Y424" s="251"/>
      <c r="Z424" s="264">
        <f t="shared" si="498"/>
        <v>0</v>
      </c>
      <c r="AA424" s="261"/>
      <c r="AB424" s="258"/>
      <c r="AC424" s="246"/>
      <c r="AD424" s="247" t="str">
        <f>IF(ISBLANK(AC424), "", VLOOKUP(AC424, Z!$A$2:$C$4127, 3, FALSE))</f>
        <v/>
      </c>
      <c r="AE424" s="262"/>
      <c r="AF424" s="263">
        <f t="shared" si="499"/>
        <v>0</v>
      </c>
      <c r="AG424" s="238"/>
      <c r="AH424" s="229">
        <f t="shared" si="523"/>
        <v>1</v>
      </c>
      <c r="AI424" s="229">
        <f t="shared" si="524"/>
        <v>1</v>
      </c>
      <c r="AJ424" s="229">
        <f t="shared" si="525"/>
        <v>0</v>
      </c>
      <c r="AK424" s="229">
        <v>0</v>
      </c>
      <c r="AL424" s="229">
        <v>0</v>
      </c>
      <c r="AM424" s="229">
        <v>1</v>
      </c>
      <c r="AN424" s="229">
        <v>0</v>
      </c>
      <c r="AO424" s="229">
        <f t="shared" si="500"/>
        <v>-100</v>
      </c>
      <c r="AP424" s="238"/>
      <c r="AQ424" s="255"/>
      <c r="AR424" s="255"/>
      <c r="AS424" s="256"/>
      <c r="AT424" s="256"/>
      <c r="AU424" s="256"/>
      <c r="AV424" s="256"/>
      <c r="AW424" s="256"/>
      <c r="AX424" s="256"/>
      <c r="AY424" s="256"/>
      <c r="AZ424" s="256"/>
      <c r="BA424" s="256"/>
      <c r="BB424" s="256"/>
      <c r="BC424" s="256"/>
      <c r="BD424" s="238"/>
      <c r="BE424" s="229" cm="1">
        <f t="array" ref="BE424">IF(ISBLANK(R424), INDEX(Use, $AH424, 4) - AM424*INDEX(Use, $AH424, 6), R424)</f>
        <v>5</v>
      </c>
      <c r="BF424" s="229">
        <f t="shared" si="501"/>
        <v>30</v>
      </c>
      <c r="BG424" s="229">
        <f t="shared" si="527"/>
        <v>13</v>
      </c>
      <c r="BH424" s="229">
        <f t="shared" si="528"/>
        <v>0</v>
      </c>
      <c r="BI424" s="234" cm="1">
        <f t="array" ref="BI424">K424/IF($L424&gt;0, INDEX($AU$23:$BA$77, $L424+20, $AH424), 1)</f>
        <v>0</v>
      </c>
      <c r="BJ424" s="230">
        <f t="shared" si="502"/>
        <v>0</v>
      </c>
      <c r="BK424" s="229">
        <v>35</v>
      </c>
      <c r="BL424" s="230">
        <f t="shared" si="503"/>
        <v>48</v>
      </c>
      <c r="BM424" s="235">
        <f t="shared" si="504"/>
        <v>2.9108720930232557</v>
      </c>
      <c r="BN424" s="235" cm="1">
        <f t="array" ref="BN424">$BI424 * SUMPRODUCT(INDEX($AR$77:$AT$82,,$AI424),INDEX($AU$77:$BA$82,,$AH424), N($AQ$77:$AQ$82&gt;$AO424)) / BM424 / 1000</f>
        <v>0</v>
      </c>
      <c r="BO424" s="232">
        <f t="shared" si="529"/>
        <v>30</v>
      </c>
      <c r="BP424" s="230">
        <f t="shared" si="505"/>
        <v>43</v>
      </c>
      <c r="BQ424" s="235">
        <f t="shared" si="506"/>
        <v>3.2938815789473681</v>
      </c>
      <c r="BR424" s="235" cm="1">
        <f t="array" ref="BR424">$BI424 * IF($AH424&lt;=2,
SUMPRODUCT(INDEX($AR$72:$AT$76,,$AI424), INDEX($AU$72:$BA$76,,$AH424), 1 / ($BB$72:$BB$76*BQ424 + (1-$BB$72:$BB$76)*BM424), N($AQ$72:$AQ$76&gt;$AO424)),
SUMPRODUCT(INDEX($AR$67:$AT$76,,$AI424), INDEX($AU$67:$BA$76,,$AH424), 1 / ($BC$67:$BC$76*BQ424 + (1-$BC$67:$BC$76)*BM424), N($AQ$67:$AQ$76&gt;$AO424))
) / 1000</f>
        <v>0</v>
      </c>
      <c r="BS424" s="232">
        <f t="shared" si="530"/>
        <v>25</v>
      </c>
      <c r="BT424" s="230">
        <f t="shared" si="507"/>
        <v>38</v>
      </c>
      <c r="BU424" s="235">
        <f t="shared" si="508"/>
        <v>3.792954545454545</v>
      </c>
      <c r="BV424" s="235" cm="1">
        <f t="array" ref="BV424">$BI424 * IF($AH424&lt;=2,
SUMPRODUCT(INDEX($AR$67:$AT$71,,$AI424), INDEX($AU$67:$BA$71,,$AH424), 1 / ($BB$67:$BB$71*BU424 + (1-$BB$67:$BB$71)*BQ424), N($AQ$67:$AQ$71&gt;$AO424)),
SUMPRODUCT(INDEX($AR$57:$AT$66,,$AI424), INDEX($AU$57:$BA$66,,$AH424), 1 / ($BC$57:$BC$66*BU424 + (1-$BC$57:$BC$66)*BQ424), N($AQ$57:$AQ$66&gt;$AO424))
) / 1000</f>
        <v>0</v>
      </c>
      <c r="BW424" s="232">
        <f t="shared" si="531"/>
        <v>20</v>
      </c>
      <c r="BX424" s="230">
        <f t="shared" si="509"/>
        <v>33</v>
      </c>
      <c r="BY424" s="235">
        <f t="shared" si="510"/>
        <v>4.4702678571428569</v>
      </c>
      <c r="BZ424" s="235" cm="1">
        <f t="array" ref="BZ424">$BI424 * IF($AH424&lt;=2,
SUMPRODUCT(INDEX($AR$62:$AT$66,,$AI424), INDEX($AU$62:$BA$66,,$AH424), 1 / ($BB$62:$BB$66*BY424 + (1-$BB$62:$BB$66)*BU424), N($AQ$62:$AQ$66&gt;$AO424)),
SUMPRODUCT(INDEX($AR$47:$AT$56,,$AI424), INDEX($AU$47:$BA$56,,$AH424), 1 / ($BC$47:$BC$56*BY424 + (1-$BC$47:$BC$56)*BU424), N($AQ$47:$AQ$56&gt;$AO424))
) / 1000</f>
        <v>0</v>
      </c>
      <c r="CA424" s="235" cm="1">
        <f t="array" ref="CA424">$BI424 * IF($AH424&lt;=2,
SUMPRODUCT(INDEX($AR$23:$AT$61,,$AI424), INDEX($AU$23:$BA$61,,$AH424), 1 / ($BB$23:$BB$61*BY424), N($AQ$23:$AQ$61&gt;$AO424)),
SUMPRODUCT(INDEX($AR$23:$AT$46,,$AI424), INDEX($AU$23:$BA$46,,$AH424), 1 / ($BC$23:$BC$46*BY424), N($AQ$23:$AQ$46&gt;$AO424))
) / 1000</f>
        <v>0</v>
      </c>
      <c r="CB424" s="230">
        <f t="shared" si="511"/>
        <v>0</v>
      </c>
      <c r="CC424" s="238"/>
      <c r="CD424" s="229" cm="1">
        <f t="array" ref="CD424">IF(ISBLANK(Y424), INDEX(Use, $AH424, 4) - AN424*INDEX(Use, $AH424, 6) - (Q424-X424), Y424)</f>
        <v>7</v>
      </c>
      <c r="CE424" s="229">
        <f t="shared" si="512"/>
        <v>32</v>
      </c>
      <c r="CF424" s="230">
        <f t="shared" si="513"/>
        <v>0</v>
      </c>
      <c r="CG424" s="229">
        <v>35</v>
      </c>
      <c r="CH424" s="230">
        <f t="shared" si="514"/>
        <v>48</v>
      </c>
      <c r="CI424" s="235">
        <f t="shared" si="515"/>
        <v>3.0748170731707316</v>
      </c>
      <c r="CJ424" s="235" cm="1">
        <f t="array" ref="CJ424">$BI424 * SUMPRODUCT(INDEX($AR$77:$AT$82,,$AI424),INDEX($AU$77:$BA$82,,$AH424), N($AQ$77:$AQ$82&gt;$AO424)) / CI424 / 1000</f>
        <v>0</v>
      </c>
      <c r="CK424" s="232">
        <f t="shared" si="532"/>
        <v>30</v>
      </c>
      <c r="CL424" s="230">
        <f t="shared" si="516"/>
        <v>43</v>
      </c>
      <c r="CM424" s="235">
        <f t="shared" si="517"/>
        <v>3.5018750000000001</v>
      </c>
      <c r="CN424" s="235" cm="1">
        <f t="array" ref="CN424">$BI424 * IF($AH424&lt;=2,
SUMPRODUCT(INDEX($AR$72:$AT$76,,$AI424), INDEX($AU$72:$BA$76,,$AH424), 1 / ($BB$72:$BB$76*CM424 + (1-$BB$72:$BB$76)*CI424), N($AQ$72:$AQ$76&gt;$AO424)),
SUMPRODUCT(INDEX($AR$67:$AT$76,,$AI424), INDEX($AU$67:$BA$76,,$AH424), 1 / ($BC$67:$BC$76*CM424 + (1-$BC$67:$BC$76)*CI424), N($AQ$67:$AQ$76&gt;$AO424))
) / 1000</f>
        <v>0</v>
      </c>
      <c r="CO424" s="232">
        <f t="shared" si="533"/>
        <v>25</v>
      </c>
      <c r="CP424" s="230">
        <f t="shared" si="518"/>
        <v>38</v>
      </c>
      <c r="CQ424" s="235">
        <f t="shared" si="519"/>
        <v>4.0666935483870965</v>
      </c>
      <c r="CR424" s="235" cm="1">
        <f t="array" ref="CR424">$BI424 * IF($AH424&lt;=2,
SUMPRODUCT(INDEX($AR$67:$AT$71,,$AI424), INDEX($AU$67:$BA$71,,$AH424), 1 / ($BB$67:$BB$71*CQ424 + (1-$BB$67:$BB$71)*CM424), N($AQ$67:$AQ$71&gt;$AO424)),
SUMPRODUCT(INDEX($AR$57:$AT$66,,$AI424), INDEX($AU$57:$BA$66,,$AH424), 1 / ($BC$57:$BC$66*CQ424 + (1-$BC$57:$BC$66)*CM424), N($AQ$57:$AQ$66&gt;$AO424))
) / 1000</f>
        <v>0</v>
      </c>
      <c r="CS424" s="232">
        <f t="shared" si="534"/>
        <v>20</v>
      </c>
      <c r="CT424" s="230">
        <f t="shared" si="520"/>
        <v>33</v>
      </c>
      <c r="CU424" s="235">
        <f t="shared" si="521"/>
        <v>4.8487499999999999</v>
      </c>
      <c r="CV424" s="235" cm="1">
        <f t="array" ref="CV424">$BI424 * IF($AH424&lt;=2,
SUMPRODUCT(INDEX($AR$62:$AT$66,,$AI424), INDEX($AU$62:$BA$66,,$AH424), 1 / ($BB$62:$BB$66*CU424 + (1-$BB$62:$BB$66)*CQ424), N($AQ$62:$AQ$66&gt;$AO424)),
SUMPRODUCT(INDEX($AR$47:$AT$56,,$AI424), INDEX($AU$47:$BA$56,,$AH424), 1 / ($BC$47:$BC$56*CU424 + (1-$BC$47:$BC$56)*CQ424), N($AQ$47:$AQ$56&gt;$AO424))
) / 1000</f>
        <v>0</v>
      </c>
      <c r="CW424" s="235" cm="1">
        <f t="array" ref="CW424">$BI424 * IF($AH424&lt;=2,
SUMPRODUCT(INDEX($AR$23:$AT$61,,$AI424), INDEX($AU$23:$BA$61,,$AH424), 1 / ($BB$23:$BB$61*CU424), N($AQ$23:$AQ$61&gt;$AO424)),
SUMPRODUCT(INDEX($AR$23:$AT$46,,$AI424), INDEX($AU$23:$BA$46,,$AH424), 1 / ($BC$23:$BC$46*CU424), N($AQ$23:$AQ$46&gt;$AO424))
) / 1000</f>
        <v>0</v>
      </c>
      <c r="CX424" s="230">
        <f t="shared" si="522"/>
        <v>0</v>
      </c>
      <c r="CY424" s="238"/>
    </row>
    <row r="425" spans="1:103" s="76" customFormat="1" ht="14.25" customHeight="1" x14ac:dyDescent="0.2">
      <c r="A425" s="231" t="b">
        <f t="shared" si="526"/>
        <v>0</v>
      </c>
      <c r="B425" s="245">
        <v>403</v>
      </c>
      <c r="C425" s="258"/>
      <c r="D425" s="258"/>
      <c r="E425" s="246"/>
      <c r="F425" s="247" t="str">
        <f>IF(ISBLANK(E425), "", VLOOKUP(E425, Z!$A$2:$C$4127, 3, FALSE))</f>
        <v/>
      </c>
      <c r="G425" s="248"/>
      <c r="H425" s="248"/>
      <c r="I425" s="249"/>
      <c r="J425" s="250"/>
      <c r="K425" s="259"/>
      <c r="L425" s="260"/>
      <c r="M425" s="252" t="str" cm="1">
        <f t="array" ref="M425">INDEX(Trad, 53, $A$20)</f>
        <v>Verschmutzt</v>
      </c>
      <c r="N425" s="253"/>
      <c r="O425" s="253"/>
      <c r="P425" s="254"/>
      <c r="Q425" s="251"/>
      <c r="R425" s="251"/>
      <c r="S425" s="264">
        <f t="shared" si="497"/>
        <v>0</v>
      </c>
      <c r="T425" s="252" t="str" cm="1">
        <f t="array" ref="T425">INDEX(Trad, 52, $A$20)</f>
        <v>Sauber</v>
      </c>
      <c r="U425" s="253"/>
      <c r="V425" s="253"/>
      <c r="W425" s="254"/>
      <c r="X425" s="251"/>
      <c r="Y425" s="251"/>
      <c r="Z425" s="264">
        <f t="shared" si="498"/>
        <v>0</v>
      </c>
      <c r="AA425" s="261"/>
      <c r="AB425" s="258"/>
      <c r="AC425" s="246"/>
      <c r="AD425" s="247" t="str">
        <f>IF(ISBLANK(AC425), "", VLOOKUP(AC425, Z!$A$2:$C$4127, 3, FALSE))</f>
        <v/>
      </c>
      <c r="AE425" s="262"/>
      <c r="AF425" s="263">
        <f t="shared" si="499"/>
        <v>0</v>
      </c>
      <c r="AG425" s="238"/>
      <c r="AH425" s="229">
        <f t="shared" si="523"/>
        <v>1</v>
      </c>
      <c r="AI425" s="229">
        <f t="shared" si="524"/>
        <v>1</v>
      </c>
      <c r="AJ425" s="229">
        <f t="shared" si="525"/>
        <v>0</v>
      </c>
      <c r="AK425" s="229">
        <v>0</v>
      </c>
      <c r="AL425" s="229">
        <v>0</v>
      </c>
      <c r="AM425" s="229">
        <v>1</v>
      </c>
      <c r="AN425" s="229">
        <v>0</v>
      </c>
      <c r="AO425" s="229">
        <f t="shared" si="500"/>
        <v>-100</v>
      </c>
      <c r="AP425" s="238"/>
      <c r="AQ425" s="255"/>
      <c r="AR425" s="255"/>
      <c r="AS425" s="256"/>
      <c r="AT425" s="256"/>
      <c r="AU425" s="256"/>
      <c r="AV425" s="256"/>
      <c r="AW425" s="256"/>
      <c r="AX425" s="256"/>
      <c r="AY425" s="256"/>
      <c r="AZ425" s="256"/>
      <c r="BA425" s="256"/>
      <c r="BB425" s="256"/>
      <c r="BC425" s="256"/>
      <c r="BD425" s="238"/>
      <c r="BE425" s="229" cm="1">
        <f t="array" ref="BE425">IF(ISBLANK(R425), INDEX(Use, $AH425, 4) - AM425*INDEX(Use, $AH425, 6), R425)</f>
        <v>5</v>
      </c>
      <c r="BF425" s="229">
        <f t="shared" si="501"/>
        <v>30</v>
      </c>
      <c r="BG425" s="229">
        <f t="shared" si="527"/>
        <v>13</v>
      </c>
      <c r="BH425" s="229">
        <f t="shared" si="528"/>
        <v>0</v>
      </c>
      <c r="BI425" s="234" cm="1">
        <f t="array" ref="BI425">K425/IF($L425&gt;0, INDEX($AU$23:$BA$77, $L425+20, $AH425), 1)</f>
        <v>0</v>
      </c>
      <c r="BJ425" s="230">
        <f t="shared" si="502"/>
        <v>0</v>
      </c>
      <c r="BK425" s="229">
        <v>35</v>
      </c>
      <c r="BL425" s="230">
        <f t="shared" si="503"/>
        <v>48</v>
      </c>
      <c r="BM425" s="235">
        <f t="shared" si="504"/>
        <v>2.9108720930232557</v>
      </c>
      <c r="BN425" s="235" cm="1">
        <f t="array" ref="BN425">$BI425 * SUMPRODUCT(INDEX($AR$77:$AT$82,,$AI425),INDEX($AU$77:$BA$82,,$AH425), N($AQ$77:$AQ$82&gt;$AO425)) / BM425 / 1000</f>
        <v>0</v>
      </c>
      <c r="BO425" s="232">
        <f t="shared" si="529"/>
        <v>30</v>
      </c>
      <c r="BP425" s="230">
        <f t="shared" si="505"/>
        <v>43</v>
      </c>
      <c r="BQ425" s="235">
        <f t="shared" si="506"/>
        <v>3.2938815789473681</v>
      </c>
      <c r="BR425" s="235" cm="1">
        <f t="array" ref="BR425">$BI425 * IF($AH425&lt;=2,
SUMPRODUCT(INDEX($AR$72:$AT$76,,$AI425), INDEX($AU$72:$BA$76,,$AH425), 1 / ($BB$72:$BB$76*BQ425 + (1-$BB$72:$BB$76)*BM425), N($AQ$72:$AQ$76&gt;$AO425)),
SUMPRODUCT(INDEX($AR$67:$AT$76,,$AI425), INDEX($AU$67:$BA$76,,$AH425), 1 / ($BC$67:$BC$76*BQ425 + (1-$BC$67:$BC$76)*BM425), N($AQ$67:$AQ$76&gt;$AO425))
) / 1000</f>
        <v>0</v>
      </c>
      <c r="BS425" s="232">
        <f t="shared" si="530"/>
        <v>25</v>
      </c>
      <c r="BT425" s="230">
        <f t="shared" si="507"/>
        <v>38</v>
      </c>
      <c r="BU425" s="235">
        <f t="shared" si="508"/>
        <v>3.792954545454545</v>
      </c>
      <c r="BV425" s="235" cm="1">
        <f t="array" ref="BV425">$BI425 * IF($AH425&lt;=2,
SUMPRODUCT(INDEX($AR$67:$AT$71,,$AI425), INDEX($AU$67:$BA$71,,$AH425), 1 / ($BB$67:$BB$71*BU425 + (1-$BB$67:$BB$71)*BQ425), N($AQ$67:$AQ$71&gt;$AO425)),
SUMPRODUCT(INDEX($AR$57:$AT$66,,$AI425), INDEX($AU$57:$BA$66,,$AH425), 1 / ($BC$57:$BC$66*BU425 + (1-$BC$57:$BC$66)*BQ425), N($AQ$57:$AQ$66&gt;$AO425))
) / 1000</f>
        <v>0</v>
      </c>
      <c r="BW425" s="232">
        <f t="shared" si="531"/>
        <v>20</v>
      </c>
      <c r="BX425" s="230">
        <f t="shared" si="509"/>
        <v>33</v>
      </c>
      <c r="BY425" s="235">
        <f t="shared" si="510"/>
        <v>4.4702678571428569</v>
      </c>
      <c r="BZ425" s="235" cm="1">
        <f t="array" ref="BZ425">$BI425 * IF($AH425&lt;=2,
SUMPRODUCT(INDEX($AR$62:$AT$66,,$AI425), INDEX($AU$62:$BA$66,,$AH425), 1 / ($BB$62:$BB$66*BY425 + (1-$BB$62:$BB$66)*BU425), N($AQ$62:$AQ$66&gt;$AO425)),
SUMPRODUCT(INDEX($AR$47:$AT$56,,$AI425), INDEX($AU$47:$BA$56,,$AH425), 1 / ($BC$47:$BC$56*BY425 + (1-$BC$47:$BC$56)*BU425), N($AQ$47:$AQ$56&gt;$AO425))
) / 1000</f>
        <v>0</v>
      </c>
      <c r="CA425" s="235" cm="1">
        <f t="array" ref="CA425">$BI425 * IF($AH425&lt;=2,
SUMPRODUCT(INDEX($AR$23:$AT$61,,$AI425), INDEX($AU$23:$BA$61,,$AH425), 1 / ($BB$23:$BB$61*BY425), N($AQ$23:$AQ$61&gt;$AO425)),
SUMPRODUCT(INDEX($AR$23:$AT$46,,$AI425), INDEX($AU$23:$BA$46,,$AH425), 1 / ($BC$23:$BC$46*BY425), N($AQ$23:$AQ$46&gt;$AO425))
) / 1000</f>
        <v>0</v>
      </c>
      <c r="CB425" s="230">
        <f t="shared" si="511"/>
        <v>0</v>
      </c>
      <c r="CC425" s="238"/>
      <c r="CD425" s="229" cm="1">
        <f t="array" ref="CD425">IF(ISBLANK(Y425), INDEX(Use, $AH425, 4) - AN425*INDEX(Use, $AH425, 6) - (Q425-X425), Y425)</f>
        <v>7</v>
      </c>
      <c r="CE425" s="229">
        <f t="shared" si="512"/>
        <v>32</v>
      </c>
      <c r="CF425" s="230">
        <f t="shared" si="513"/>
        <v>0</v>
      </c>
      <c r="CG425" s="229">
        <v>35</v>
      </c>
      <c r="CH425" s="230">
        <f t="shared" si="514"/>
        <v>48</v>
      </c>
      <c r="CI425" s="235">
        <f t="shared" si="515"/>
        <v>3.0748170731707316</v>
      </c>
      <c r="CJ425" s="235" cm="1">
        <f t="array" ref="CJ425">$BI425 * SUMPRODUCT(INDEX($AR$77:$AT$82,,$AI425),INDEX($AU$77:$BA$82,,$AH425), N($AQ$77:$AQ$82&gt;$AO425)) / CI425 / 1000</f>
        <v>0</v>
      </c>
      <c r="CK425" s="232">
        <f t="shared" si="532"/>
        <v>30</v>
      </c>
      <c r="CL425" s="230">
        <f t="shared" si="516"/>
        <v>43</v>
      </c>
      <c r="CM425" s="235">
        <f t="shared" si="517"/>
        <v>3.5018750000000001</v>
      </c>
      <c r="CN425" s="235" cm="1">
        <f t="array" ref="CN425">$BI425 * IF($AH425&lt;=2,
SUMPRODUCT(INDEX($AR$72:$AT$76,,$AI425), INDEX($AU$72:$BA$76,,$AH425), 1 / ($BB$72:$BB$76*CM425 + (1-$BB$72:$BB$76)*CI425), N($AQ$72:$AQ$76&gt;$AO425)),
SUMPRODUCT(INDEX($AR$67:$AT$76,,$AI425), INDEX($AU$67:$BA$76,,$AH425), 1 / ($BC$67:$BC$76*CM425 + (1-$BC$67:$BC$76)*CI425), N($AQ$67:$AQ$76&gt;$AO425))
) / 1000</f>
        <v>0</v>
      </c>
      <c r="CO425" s="232">
        <f t="shared" si="533"/>
        <v>25</v>
      </c>
      <c r="CP425" s="230">
        <f t="shared" si="518"/>
        <v>38</v>
      </c>
      <c r="CQ425" s="235">
        <f t="shared" si="519"/>
        <v>4.0666935483870965</v>
      </c>
      <c r="CR425" s="235" cm="1">
        <f t="array" ref="CR425">$BI425 * IF($AH425&lt;=2,
SUMPRODUCT(INDEX($AR$67:$AT$71,,$AI425), INDEX($AU$67:$BA$71,,$AH425), 1 / ($BB$67:$BB$71*CQ425 + (1-$BB$67:$BB$71)*CM425), N($AQ$67:$AQ$71&gt;$AO425)),
SUMPRODUCT(INDEX($AR$57:$AT$66,,$AI425), INDEX($AU$57:$BA$66,,$AH425), 1 / ($BC$57:$BC$66*CQ425 + (1-$BC$57:$BC$66)*CM425), N($AQ$57:$AQ$66&gt;$AO425))
) / 1000</f>
        <v>0</v>
      </c>
      <c r="CS425" s="232">
        <f t="shared" si="534"/>
        <v>20</v>
      </c>
      <c r="CT425" s="230">
        <f t="shared" si="520"/>
        <v>33</v>
      </c>
      <c r="CU425" s="235">
        <f t="shared" si="521"/>
        <v>4.8487499999999999</v>
      </c>
      <c r="CV425" s="235" cm="1">
        <f t="array" ref="CV425">$BI425 * IF($AH425&lt;=2,
SUMPRODUCT(INDEX($AR$62:$AT$66,,$AI425), INDEX($AU$62:$BA$66,,$AH425), 1 / ($BB$62:$BB$66*CU425 + (1-$BB$62:$BB$66)*CQ425), N($AQ$62:$AQ$66&gt;$AO425)),
SUMPRODUCT(INDEX($AR$47:$AT$56,,$AI425), INDEX($AU$47:$BA$56,,$AH425), 1 / ($BC$47:$BC$56*CU425 + (1-$BC$47:$BC$56)*CQ425), N($AQ$47:$AQ$56&gt;$AO425))
) / 1000</f>
        <v>0</v>
      </c>
      <c r="CW425" s="235" cm="1">
        <f t="array" ref="CW425">$BI425 * IF($AH425&lt;=2,
SUMPRODUCT(INDEX($AR$23:$AT$61,,$AI425), INDEX($AU$23:$BA$61,,$AH425), 1 / ($BB$23:$BB$61*CU425), N($AQ$23:$AQ$61&gt;$AO425)),
SUMPRODUCT(INDEX($AR$23:$AT$46,,$AI425), INDEX($AU$23:$BA$46,,$AH425), 1 / ($BC$23:$BC$46*CU425), N($AQ$23:$AQ$46&gt;$AO425))
) / 1000</f>
        <v>0</v>
      </c>
      <c r="CX425" s="230">
        <f t="shared" si="522"/>
        <v>0</v>
      </c>
      <c r="CY425" s="238"/>
    </row>
    <row r="426" spans="1:103" s="76" customFormat="1" ht="14.25" customHeight="1" x14ac:dyDescent="0.2">
      <c r="A426" s="231" t="b">
        <f t="shared" si="526"/>
        <v>0</v>
      </c>
      <c r="B426" s="245">
        <v>404</v>
      </c>
      <c r="C426" s="258"/>
      <c r="D426" s="258"/>
      <c r="E426" s="246"/>
      <c r="F426" s="247" t="str">
        <f>IF(ISBLANK(E426), "", VLOOKUP(E426, Z!$A$2:$C$4127, 3, FALSE))</f>
        <v/>
      </c>
      <c r="G426" s="248"/>
      <c r="H426" s="248"/>
      <c r="I426" s="249"/>
      <c r="J426" s="250"/>
      <c r="K426" s="259"/>
      <c r="L426" s="260"/>
      <c r="M426" s="252" t="str" cm="1">
        <f t="array" ref="M426">INDEX(Trad, 53, $A$20)</f>
        <v>Verschmutzt</v>
      </c>
      <c r="N426" s="253"/>
      <c r="O426" s="253"/>
      <c r="P426" s="254"/>
      <c r="Q426" s="251"/>
      <c r="R426" s="251"/>
      <c r="S426" s="264">
        <f t="shared" si="497"/>
        <v>0</v>
      </c>
      <c r="T426" s="252" t="str" cm="1">
        <f t="array" ref="T426">INDEX(Trad, 52, $A$20)</f>
        <v>Sauber</v>
      </c>
      <c r="U426" s="253"/>
      <c r="V426" s="253"/>
      <c r="W426" s="254"/>
      <c r="X426" s="251"/>
      <c r="Y426" s="251"/>
      <c r="Z426" s="264">
        <f t="shared" si="498"/>
        <v>0</v>
      </c>
      <c r="AA426" s="261"/>
      <c r="AB426" s="258"/>
      <c r="AC426" s="246"/>
      <c r="AD426" s="247" t="str">
        <f>IF(ISBLANK(AC426), "", VLOOKUP(AC426, Z!$A$2:$C$4127, 3, FALSE))</f>
        <v/>
      </c>
      <c r="AE426" s="262"/>
      <c r="AF426" s="263">
        <f t="shared" si="499"/>
        <v>0</v>
      </c>
      <c r="AG426" s="238"/>
      <c r="AH426" s="229">
        <f t="shared" si="523"/>
        <v>1</v>
      </c>
      <c r="AI426" s="229">
        <f t="shared" si="524"/>
        <v>1</v>
      </c>
      <c r="AJ426" s="229">
        <f t="shared" si="525"/>
        <v>0</v>
      </c>
      <c r="AK426" s="229">
        <v>0</v>
      </c>
      <c r="AL426" s="229">
        <v>0</v>
      </c>
      <c r="AM426" s="229">
        <v>1</v>
      </c>
      <c r="AN426" s="229">
        <v>0</v>
      </c>
      <c r="AO426" s="229">
        <f t="shared" si="500"/>
        <v>-100</v>
      </c>
      <c r="AP426" s="238"/>
      <c r="AQ426" s="255"/>
      <c r="AR426" s="255"/>
      <c r="AS426" s="256"/>
      <c r="AT426" s="256"/>
      <c r="AU426" s="256"/>
      <c r="AV426" s="256"/>
      <c r="AW426" s="256"/>
      <c r="AX426" s="256"/>
      <c r="AY426" s="256"/>
      <c r="AZ426" s="256"/>
      <c r="BA426" s="256"/>
      <c r="BB426" s="256"/>
      <c r="BC426" s="256"/>
      <c r="BD426" s="238"/>
      <c r="BE426" s="229" cm="1">
        <f t="array" ref="BE426">IF(ISBLANK(R426), INDEX(Use, $AH426, 4) - AM426*INDEX(Use, $AH426, 6), R426)</f>
        <v>5</v>
      </c>
      <c r="BF426" s="229">
        <f t="shared" si="501"/>
        <v>30</v>
      </c>
      <c r="BG426" s="229">
        <f t="shared" si="527"/>
        <v>13</v>
      </c>
      <c r="BH426" s="229">
        <f t="shared" si="528"/>
        <v>0</v>
      </c>
      <c r="BI426" s="234" cm="1">
        <f t="array" ref="BI426">K426/IF($L426&gt;0, INDEX($AU$23:$BA$77, $L426+20, $AH426), 1)</f>
        <v>0</v>
      </c>
      <c r="BJ426" s="230">
        <f t="shared" si="502"/>
        <v>0</v>
      </c>
      <c r="BK426" s="229">
        <v>35</v>
      </c>
      <c r="BL426" s="230">
        <f t="shared" si="503"/>
        <v>48</v>
      </c>
      <c r="BM426" s="235">
        <f t="shared" si="504"/>
        <v>2.9108720930232557</v>
      </c>
      <c r="BN426" s="235" cm="1">
        <f t="array" ref="BN426">$BI426 * SUMPRODUCT(INDEX($AR$77:$AT$82,,$AI426),INDEX($AU$77:$BA$82,,$AH426), N($AQ$77:$AQ$82&gt;$AO426)) / BM426 / 1000</f>
        <v>0</v>
      </c>
      <c r="BO426" s="232">
        <f t="shared" si="529"/>
        <v>30</v>
      </c>
      <c r="BP426" s="230">
        <f t="shared" si="505"/>
        <v>43</v>
      </c>
      <c r="BQ426" s="235">
        <f t="shared" si="506"/>
        <v>3.2938815789473681</v>
      </c>
      <c r="BR426" s="235" cm="1">
        <f t="array" ref="BR426">$BI426 * IF($AH426&lt;=2,
SUMPRODUCT(INDEX($AR$72:$AT$76,,$AI426), INDEX($AU$72:$BA$76,,$AH426), 1 / ($BB$72:$BB$76*BQ426 + (1-$BB$72:$BB$76)*BM426), N($AQ$72:$AQ$76&gt;$AO426)),
SUMPRODUCT(INDEX($AR$67:$AT$76,,$AI426), INDEX($AU$67:$BA$76,,$AH426), 1 / ($BC$67:$BC$76*BQ426 + (1-$BC$67:$BC$76)*BM426), N($AQ$67:$AQ$76&gt;$AO426))
) / 1000</f>
        <v>0</v>
      </c>
      <c r="BS426" s="232">
        <f t="shared" si="530"/>
        <v>25</v>
      </c>
      <c r="BT426" s="230">
        <f t="shared" si="507"/>
        <v>38</v>
      </c>
      <c r="BU426" s="235">
        <f t="shared" si="508"/>
        <v>3.792954545454545</v>
      </c>
      <c r="BV426" s="235" cm="1">
        <f t="array" ref="BV426">$BI426 * IF($AH426&lt;=2,
SUMPRODUCT(INDEX($AR$67:$AT$71,,$AI426), INDEX($AU$67:$BA$71,,$AH426), 1 / ($BB$67:$BB$71*BU426 + (1-$BB$67:$BB$71)*BQ426), N($AQ$67:$AQ$71&gt;$AO426)),
SUMPRODUCT(INDEX($AR$57:$AT$66,,$AI426), INDEX($AU$57:$BA$66,,$AH426), 1 / ($BC$57:$BC$66*BU426 + (1-$BC$57:$BC$66)*BQ426), N($AQ$57:$AQ$66&gt;$AO426))
) / 1000</f>
        <v>0</v>
      </c>
      <c r="BW426" s="232">
        <f t="shared" si="531"/>
        <v>20</v>
      </c>
      <c r="BX426" s="230">
        <f t="shared" si="509"/>
        <v>33</v>
      </c>
      <c r="BY426" s="235">
        <f t="shared" si="510"/>
        <v>4.4702678571428569</v>
      </c>
      <c r="BZ426" s="235" cm="1">
        <f t="array" ref="BZ426">$BI426 * IF($AH426&lt;=2,
SUMPRODUCT(INDEX($AR$62:$AT$66,,$AI426), INDEX($AU$62:$BA$66,,$AH426), 1 / ($BB$62:$BB$66*BY426 + (1-$BB$62:$BB$66)*BU426), N($AQ$62:$AQ$66&gt;$AO426)),
SUMPRODUCT(INDEX($AR$47:$AT$56,,$AI426), INDEX($AU$47:$BA$56,,$AH426), 1 / ($BC$47:$BC$56*BY426 + (1-$BC$47:$BC$56)*BU426), N($AQ$47:$AQ$56&gt;$AO426))
) / 1000</f>
        <v>0</v>
      </c>
      <c r="CA426" s="235" cm="1">
        <f t="array" ref="CA426">$BI426 * IF($AH426&lt;=2,
SUMPRODUCT(INDEX($AR$23:$AT$61,,$AI426), INDEX($AU$23:$BA$61,,$AH426), 1 / ($BB$23:$BB$61*BY426), N($AQ$23:$AQ$61&gt;$AO426)),
SUMPRODUCT(INDEX($AR$23:$AT$46,,$AI426), INDEX($AU$23:$BA$46,,$AH426), 1 / ($BC$23:$BC$46*BY426), N($AQ$23:$AQ$46&gt;$AO426))
) / 1000</f>
        <v>0</v>
      </c>
      <c r="CB426" s="230">
        <f t="shared" si="511"/>
        <v>0</v>
      </c>
      <c r="CC426" s="238"/>
      <c r="CD426" s="229" cm="1">
        <f t="array" ref="CD426">IF(ISBLANK(Y426), INDEX(Use, $AH426, 4) - AN426*INDEX(Use, $AH426, 6) - (Q426-X426), Y426)</f>
        <v>7</v>
      </c>
      <c r="CE426" s="229">
        <f t="shared" si="512"/>
        <v>32</v>
      </c>
      <c r="CF426" s="230">
        <f t="shared" si="513"/>
        <v>0</v>
      </c>
      <c r="CG426" s="229">
        <v>35</v>
      </c>
      <c r="CH426" s="230">
        <f t="shared" si="514"/>
        <v>48</v>
      </c>
      <c r="CI426" s="235">
        <f t="shared" si="515"/>
        <v>3.0748170731707316</v>
      </c>
      <c r="CJ426" s="235" cm="1">
        <f t="array" ref="CJ426">$BI426 * SUMPRODUCT(INDEX($AR$77:$AT$82,,$AI426),INDEX($AU$77:$BA$82,,$AH426), N($AQ$77:$AQ$82&gt;$AO426)) / CI426 / 1000</f>
        <v>0</v>
      </c>
      <c r="CK426" s="232">
        <f t="shared" si="532"/>
        <v>30</v>
      </c>
      <c r="CL426" s="230">
        <f t="shared" si="516"/>
        <v>43</v>
      </c>
      <c r="CM426" s="235">
        <f t="shared" si="517"/>
        <v>3.5018750000000001</v>
      </c>
      <c r="CN426" s="235" cm="1">
        <f t="array" ref="CN426">$BI426 * IF($AH426&lt;=2,
SUMPRODUCT(INDEX($AR$72:$AT$76,,$AI426), INDEX($AU$72:$BA$76,,$AH426), 1 / ($BB$72:$BB$76*CM426 + (1-$BB$72:$BB$76)*CI426), N($AQ$72:$AQ$76&gt;$AO426)),
SUMPRODUCT(INDEX($AR$67:$AT$76,,$AI426), INDEX($AU$67:$BA$76,,$AH426), 1 / ($BC$67:$BC$76*CM426 + (1-$BC$67:$BC$76)*CI426), N($AQ$67:$AQ$76&gt;$AO426))
) / 1000</f>
        <v>0</v>
      </c>
      <c r="CO426" s="232">
        <f t="shared" si="533"/>
        <v>25</v>
      </c>
      <c r="CP426" s="230">
        <f t="shared" si="518"/>
        <v>38</v>
      </c>
      <c r="CQ426" s="235">
        <f t="shared" si="519"/>
        <v>4.0666935483870965</v>
      </c>
      <c r="CR426" s="235" cm="1">
        <f t="array" ref="CR426">$BI426 * IF($AH426&lt;=2,
SUMPRODUCT(INDEX($AR$67:$AT$71,,$AI426), INDEX($AU$67:$BA$71,,$AH426), 1 / ($BB$67:$BB$71*CQ426 + (1-$BB$67:$BB$71)*CM426), N($AQ$67:$AQ$71&gt;$AO426)),
SUMPRODUCT(INDEX($AR$57:$AT$66,,$AI426), INDEX($AU$57:$BA$66,,$AH426), 1 / ($BC$57:$BC$66*CQ426 + (1-$BC$57:$BC$66)*CM426), N($AQ$57:$AQ$66&gt;$AO426))
) / 1000</f>
        <v>0</v>
      </c>
      <c r="CS426" s="232">
        <f t="shared" si="534"/>
        <v>20</v>
      </c>
      <c r="CT426" s="230">
        <f t="shared" si="520"/>
        <v>33</v>
      </c>
      <c r="CU426" s="235">
        <f t="shared" si="521"/>
        <v>4.8487499999999999</v>
      </c>
      <c r="CV426" s="235" cm="1">
        <f t="array" ref="CV426">$BI426 * IF($AH426&lt;=2,
SUMPRODUCT(INDEX($AR$62:$AT$66,,$AI426), INDEX($AU$62:$BA$66,,$AH426), 1 / ($BB$62:$BB$66*CU426 + (1-$BB$62:$BB$66)*CQ426), N($AQ$62:$AQ$66&gt;$AO426)),
SUMPRODUCT(INDEX($AR$47:$AT$56,,$AI426), INDEX($AU$47:$BA$56,,$AH426), 1 / ($BC$47:$BC$56*CU426 + (1-$BC$47:$BC$56)*CQ426), N($AQ$47:$AQ$56&gt;$AO426))
) / 1000</f>
        <v>0</v>
      </c>
      <c r="CW426" s="235" cm="1">
        <f t="array" ref="CW426">$BI426 * IF($AH426&lt;=2,
SUMPRODUCT(INDEX($AR$23:$AT$61,,$AI426), INDEX($AU$23:$BA$61,,$AH426), 1 / ($BB$23:$BB$61*CU426), N($AQ$23:$AQ$61&gt;$AO426)),
SUMPRODUCT(INDEX($AR$23:$AT$46,,$AI426), INDEX($AU$23:$BA$46,,$AH426), 1 / ($BC$23:$BC$46*CU426), N($AQ$23:$AQ$46&gt;$AO426))
) / 1000</f>
        <v>0</v>
      </c>
      <c r="CX426" s="230">
        <f t="shared" si="522"/>
        <v>0</v>
      </c>
      <c r="CY426" s="238"/>
    </row>
    <row r="427" spans="1:103" s="76" customFormat="1" ht="14.25" customHeight="1" x14ac:dyDescent="0.2">
      <c r="A427" s="231" t="b">
        <f t="shared" si="526"/>
        <v>0</v>
      </c>
      <c r="B427" s="245">
        <v>405</v>
      </c>
      <c r="C427" s="258"/>
      <c r="D427" s="258"/>
      <c r="E427" s="246"/>
      <c r="F427" s="247" t="str">
        <f>IF(ISBLANK(E427), "", VLOOKUP(E427, Z!$A$2:$C$4127, 3, FALSE))</f>
        <v/>
      </c>
      <c r="G427" s="248"/>
      <c r="H427" s="248"/>
      <c r="I427" s="249"/>
      <c r="J427" s="250"/>
      <c r="K427" s="259"/>
      <c r="L427" s="260"/>
      <c r="M427" s="252" t="str" cm="1">
        <f t="array" ref="M427">INDEX(Trad, 53, $A$20)</f>
        <v>Verschmutzt</v>
      </c>
      <c r="N427" s="253"/>
      <c r="O427" s="253"/>
      <c r="P427" s="254"/>
      <c r="Q427" s="251"/>
      <c r="R427" s="251"/>
      <c r="S427" s="264">
        <f t="shared" si="497"/>
        <v>0</v>
      </c>
      <c r="T427" s="252" t="str" cm="1">
        <f t="array" ref="T427">INDEX(Trad, 52, $A$20)</f>
        <v>Sauber</v>
      </c>
      <c r="U427" s="253"/>
      <c r="V427" s="253"/>
      <c r="W427" s="254"/>
      <c r="X427" s="251"/>
      <c r="Y427" s="251"/>
      <c r="Z427" s="264">
        <f t="shared" si="498"/>
        <v>0</v>
      </c>
      <c r="AA427" s="261"/>
      <c r="AB427" s="258"/>
      <c r="AC427" s="246"/>
      <c r="AD427" s="247" t="str">
        <f>IF(ISBLANK(AC427), "", VLOOKUP(AC427, Z!$A$2:$C$4127, 3, FALSE))</f>
        <v/>
      </c>
      <c r="AE427" s="262"/>
      <c r="AF427" s="263">
        <f t="shared" si="499"/>
        <v>0</v>
      </c>
      <c r="AG427" s="238"/>
      <c r="AH427" s="229">
        <f t="shared" si="523"/>
        <v>1</v>
      </c>
      <c r="AI427" s="229">
        <f t="shared" si="524"/>
        <v>1</v>
      </c>
      <c r="AJ427" s="229">
        <f t="shared" si="525"/>
        <v>0</v>
      </c>
      <c r="AK427" s="229">
        <v>0</v>
      </c>
      <c r="AL427" s="229">
        <v>0</v>
      </c>
      <c r="AM427" s="229">
        <v>1</v>
      </c>
      <c r="AN427" s="229">
        <v>0</v>
      </c>
      <c r="AO427" s="229">
        <f t="shared" si="500"/>
        <v>-100</v>
      </c>
      <c r="AP427" s="238"/>
      <c r="AQ427" s="255"/>
      <c r="AR427" s="255"/>
      <c r="AS427" s="256"/>
      <c r="AT427" s="256"/>
      <c r="AU427" s="256"/>
      <c r="AV427" s="256"/>
      <c r="AW427" s="256"/>
      <c r="AX427" s="256"/>
      <c r="AY427" s="256"/>
      <c r="AZ427" s="256"/>
      <c r="BA427" s="256"/>
      <c r="BB427" s="256"/>
      <c r="BC427" s="256"/>
      <c r="BD427" s="238"/>
      <c r="BE427" s="229" cm="1">
        <f t="array" ref="BE427">IF(ISBLANK(R427), INDEX(Use, $AH427, 4) - AM427*INDEX(Use, $AH427, 6), R427)</f>
        <v>5</v>
      </c>
      <c r="BF427" s="229">
        <f t="shared" si="501"/>
        <v>30</v>
      </c>
      <c r="BG427" s="229">
        <f t="shared" si="527"/>
        <v>13</v>
      </c>
      <c r="BH427" s="229">
        <f t="shared" si="528"/>
        <v>0</v>
      </c>
      <c r="BI427" s="234" cm="1">
        <f t="array" ref="BI427">K427/IF($L427&gt;0, INDEX($AU$23:$BA$77, $L427+20, $AH427), 1)</f>
        <v>0</v>
      </c>
      <c r="BJ427" s="230">
        <f t="shared" si="502"/>
        <v>0</v>
      </c>
      <c r="BK427" s="229">
        <v>35</v>
      </c>
      <c r="BL427" s="230">
        <f t="shared" si="503"/>
        <v>48</v>
      </c>
      <c r="BM427" s="235">
        <f t="shared" si="504"/>
        <v>2.9108720930232557</v>
      </c>
      <c r="BN427" s="235" cm="1">
        <f t="array" ref="BN427">$BI427 * SUMPRODUCT(INDEX($AR$77:$AT$82,,$AI427),INDEX($AU$77:$BA$82,,$AH427), N($AQ$77:$AQ$82&gt;$AO427)) / BM427 / 1000</f>
        <v>0</v>
      </c>
      <c r="BO427" s="232">
        <f t="shared" si="529"/>
        <v>30</v>
      </c>
      <c r="BP427" s="230">
        <f t="shared" si="505"/>
        <v>43</v>
      </c>
      <c r="BQ427" s="235">
        <f t="shared" si="506"/>
        <v>3.2938815789473681</v>
      </c>
      <c r="BR427" s="235" cm="1">
        <f t="array" ref="BR427">$BI427 * IF($AH427&lt;=2,
SUMPRODUCT(INDEX($AR$72:$AT$76,,$AI427), INDEX($AU$72:$BA$76,,$AH427), 1 / ($BB$72:$BB$76*BQ427 + (1-$BB$72:$BB$76)*BM427), N($AQ$72:$AQ$76&gt;$AO427)),
SUMPRODUCT(INDEX($AR$67:$AT$76,,$AI427), INDEX($AU$67:$BA$76,,$AH427), 1 / ($BC$67:$BC$76*BQ427 + (1-$BC$67:$BC$76)*BM427), N($AQ$67:$AQ$76&gt;$AO427))
) / 1000</f>
        <v>0</v>
      </c>
      <c r="BS427" s="232">
        <f t="shared" si="530"/>
        <v>25</v>
      </c>
      <c r="BT427" s="230">
        <f t="shared" si="507"/>
        <v>38</v>
      </c>
      <c r="BU427" s="235">
        <f t="shared" si="508"/>
        <v>3.792954545454545</v>
      </c>
      <c r="BV427" s="235" cm="1">
        <f t="array" ref="BV427">$BI427 * IF($AH427&lt;=2,
SUMPRODUCT(INDEX($AR$67:$AT$71,,$AI427), INDEX($AU$67:$BA$71,,$AH427), 1 / ($BB$67:$BB$71*BU427 + (1-$BB$67:$BB$71)*BQ427), N($AQ$67:$AQ$71&gt;$AO427)),
SUMPRODUCT(INDEX($AR$57:$AT$66,,$AI427), INDEX($AU$57:$BA$66,,$AH427), 1 / ($BC$57:$BC$66*BU427 + (1-$BC$57:$BC$66)*BQ427), N($AQ$57:$AQ$66&gt;$AO427))
) / 1000</f>
        <v>0</v>
      </c>
      <c r="BW427" s="232">
        <f t="shared" si="531"/>
        <v>20</v>
      </c>
      <c r="BX427" s="230">
        <f t="shared" si="509"/>
        <v>33</v>
      </c>
      <c r="BY427" s="235">
        <f t="shared" si="510"/>
        <v>4.4702678571428569</v>
      </c>
      <c r="BZ427" s="235" cm="1">
        <f t="array" ref="BZ427">$BI427 * IF($AH427&lt;=2,
SUMPRODUCT(INDEX($AR$62:$AT$66,,$AI427), INDEX($AU$62:$BA$66,,$AH427), 1 / ($BB$62:$BB$66*BY427 + (1-$BB$62:$BB$66)*BU427), N($AQ$62:$AQ$66&gt;$AO427)),
SUMPRODUCT(INDEX($AR$47:$AT$56,,$AI427), INDEX($AU$47:$BA$56,,$AH427), 1 / ($BC$47:$BC$56*BY427 + (1-$BC$47:$BC$56)*BU427), N($AQ$47:$AQ$56&gt;$AO427))
) / 1000</f>
        <v>0</v>
      </c>
      <c r="CA427" s="235" cm="1">
        <f t="array" ref="CA427">$BI427 * IF($AH427&lt;=2,
SUMPRODUCT(INDEX($AR$23:$AT$61,,$AI427), INDEX($AU$23:$BA$61,,$AH427), 1 / ($BB$23:$BB$61*BY427), N($AQ$23:$AQ$61&gt;$AO427)),
SUMPRODUCT(INDEX($AR$23:$AT$46,,$AI427), INDEX($AU$23:$BA$46,,$AH427), 1 / ($BC$23:$BC$46*BY427), N($AQ$23:$AQ$46&gt;$AO427))
) / 1000</f>
        <v>0</v>
      </c>
      <c r="CB427" s="230">
        <f t="shared" si="511"/>
        <v>0</v>
      </c>
      <c r="CC427" s="238"/>
      <c r="CD427" s="229" cm="1">
        <f t="array" ref="CD427">IF(ISBLANK(Y427), INDEX(Use, $AH427, 4) - AN427*INDEX(Use, $AH427, 6) - (Q427-X427), Y427)</f>
        <v>7</v>
      </c>
      <c r="CE427" s="229">
        <f t="shared" si="512"/>
        <v>32</v>
      </c>
      <c r="CF427" s="230">
        <f t="shared" si="513"/>
        <v>0</v>
      </c>
      <c r="CG427" s="229">
        <v>35</v>
      </c>
      <c r="CH427" s="230">
        <f t="shared" si="514"/>
        <v>48</v>
      </c>
      <c r="CI427" s="235">
        <f t="shared" si="515"/>
        <v>3.0748170731707316</v>
      </c>
      <c r="CJ427" s="235" cm="1">
        <f t="array" ref="CJ427">$BI427 * SUMPRODUCT(INDEX($AR$77:$AT$82,,$AI427),INDEX($AU$77:$BA$82,,$AH427), N($AQ$77:$AQ$82&gt;$AO427)) / CI427 / 1000</f>
        <v>0</v>
      </c>
      <c r="CK427" s="232">
        <f t="shared" si="532"/>
        <v>30</v>
      </c>
      <c r="CL427" s="230">
        <f t="shared" si="516"/>
        <v>43</v>
      </c>
      <c r="CM427" s="235">
        <f t="shared" si="517"/>
        <v>3.5018750000000001</v>
      </c>
      <c r="CN427" s="235" cm="1">
        <f t="array" ref="CN427">$BI427 * IF($AH427&lt;=2,
SUMPRODUCT(INDEX($AR$72:$AT$76,,$AI427), INDEX($AU$72:$BA$76,,$AH427), 1 / ($BB$72:$BB$76*CM427 + (1-$BB$72:$BB$76)*CI427), N($AQ$72:$AQ$76&gt;$AO427)),
SUMPRODUCT(INDEX($AR$67:$AT$76,,$AI427), INDEX($AU$67:$BA$76,,$AH427), 1 / ($BC$67:$BC$76*CM427 + (1-$BC$67:$BC$76)*CI427), N($AQ$67:$AQ$76&gt;$AO427))
) / 1000</f>
        <v>0</v>
      </c>
      <c r="CO427" s="232">
        <f t="shared" si="533"/>
        <v>25</v>
      </c>
      <c r="CP427" s="230">
        <f t="shared" si="518"/>
        <v>38</v>
      </c>
      <c r="CQ427" s="235">
        <f t="shared" si="519"/>
        <v>4.0666935483870965</v>
      </c>
      <c r="CR427" s="235" cm="1">
        <f t="array" ref="CR427">$BI427 * IF($AH427&lt;=2,
SUMPRODUCT(INDEX($AR$67:$AT$71,,$AI427), INDEX($AU$67:$BA$71,,$AH427), 1 / ($BB$67:$BB$71*CQ427 + (1-$BB$67:$BB$71)*CM427), N($AQ$67:$AQ$71&gt;$AO427)),
SUMPRODUCT(INDEX($AR$57:$AT$66,,$AI427), INDEX($AU$57:$BA$66,,$AH427), 1 / ($BC$57:$BC$66*CQ427 + (1-$BC$57:$BC$66)*CM427), N($AQ$57:$AQ$66&gt;$AO427))
) / 1000</f>
        <v>0</v>
      </c>
      <c r="CS427" s="232">
        <f t="shared" si="534"/>
        <v>20</v>
      </c>
      <c r="CT427" s="230">
        <f t="shared" si="520"/>
        <v>33</v>
      </c>
      <c r="CU427" s="235">
        <f t="shared" si="521"/>
        <v>4.8487499999999999</v>
      </c>
      <c r="CV427" s="235" cm="1">
        <f t="array" ref="CV427">$BI427 * IF($AH427&lt;=2,
SUMPRODUCT(INDEX($AR$62:$AT$66,,$AI427), INDEX($AU$62:$BA$66,,$AH427), 1 / ($BB$62:$BB$66*CU427 + (1-$BB$62:$BB$66)*CQ427), N($AQ$62:$AQ$66&gt;$AO427)),
SUMPRODUCT(INDEX($AR$47:$AT$56,,$AI427), INDEX($AU$47:$BA$56,,$AH427), 1 / ($BC$47:$BC$56*CU427 + (1-$BC$47:$BC$56)*CQ427), N($AQ$47:$AQ$56&gt;$AO427))
) / 1000</f>
        <v>0</v>
      </c>
      <c r="CW427" s="235" cm="1">
        <f t="array" ref="CW427">$BI427 * IF($AH427&lt;=2,
SUMPRODUCT(INDEX($AR$23:$AT$61,,$AI427), INDEX($AU$23:$BA$61,,$AH427), 1 / ($BB$23:$BB$61*CU427), N($AQ$23:$AQ$61&gt;$AO427)),
SUMPRODUCT(INDEX($AR$23:$AT$46,,$AI427), INDEX($AU$23:$BA$46,,$AH427), 1 / ($BC$23:$BC$46*CU427), N($AQ$23:$AQ$46&gt;$AO427))
) / 1000</f>
        <v>0</v>
      </c>
      <c r="CX427" s="230">
        <f t="shared" si="522"/>
        <v>0</v>
      </c>
      <c r="CY427" s="238"/>
    </row>
    <row r="428" spans="1:103" s="76" customFormat="1" ht="14.25" customHeight="1" x14ac:dyDescent="0.2">
      <c r="A428" s="231" t="b">
        <f t="shared" si="526"/>
        <v>0</v>
      </c>
      <c r="B428" s="245">
        <v>406</v>
      </c>
      <c r="C428" s="258"/>
      <c r="D428" s="258"/>
      <c r="E428" s="246"/>
      <c r="F428" s="247" t="str">
        <f>IF(ISBLANK(E428), "", VLOOKUP(E428, Z!$A$2:$C$4127, 3, FALSE))</f>
        <v/>
      </c>
      <c r="G428" s="248"/>
      <c r="H428" s="248"/>
      <c r="I428" s="249"/>
      <c r="J428" s="250"/>
      <c r="K428" s="259"/>
      <c r="L428" s="260"/>
      <c r="M428" s="252" t="str" cm="1">
        <f t="array" ref="M428">INDEX(Trad, 53, $A$20)</f>
        <v>Verschmutzt</v>
      </c>
      <c r="N428" s="253"/>
      <c r="O428" s="253"/>
      <c r="P428" s="254"/>
      <c r="Q428" s="251"/>
      <c r="R428" s="251"/>
      <c r="S428" s="264">
        <f t="shared" si="497"/>
        <v>0</v>
      </c>
      <c r="T428" s="252" t="str" cm="1">
        <f t="array" ref="T428">INDEX(Trad, 52, $A$20)</f>
        <v>Sauber</v>
      </c>
      <c r="U428" s="253"/>
      <c r="V428" s="253"/>
      <c r="W428" s="254"/>
      <c r="X428" s="251"/>
      <c r="Y428" s="251"/>
      <c r="Z428" s="264">
        <f t="shared" si="498"/>
        <v>0</v>
      </c>
      <c r="AA428" s="261"/>
      <c r="AB428" s="258"/>
      <c r="AC428" s="246"/>
      <c r="AD428" s="247" t="str">
        <f>IF(ISBLANK(AC428), "", VLOOKUP(AC428, Z!$A$2:$C$4127, 3, FALSE))</f>
        <v/>
      </c>
      <c r="AE428" s="262"/>
      <c r="AF428" s="263">
        <f t="shared" si="499"/>
        <v>0</v>
      </c>
      <c r="AG428" s="238"/>
      <c r="AH428" s="229">
        <f t="shared" si="523"/>
        <v>1</v>
      </c>
      <c r="AI428" s="229">
        <f t="shared" si="524"/>
        <v>1</v>
      </c>
      <c r="AJ428" s="229">
        <f t="shared" si="525"/>
        <v>0</v>
      </c>
      <c r="AK428" s="229">
        <v>0</v>
      </c>
      <c r="AL428" s="229">
        <v>0</v>
      </c>
      <c r="AM428" s="229">
        <v>1</v>
      </c>
      <c r="AN428" s="229">
        <v>0</v>
      </c>
      <c r="AO428" s="229">
        <f t="shared" si="500"/>
        <v>-100</v>
      </c>
      <c r="AP428" s="238"/>
      <c r="AQ428" s="255"/>
      <c r="AR428" s="255"/>
      <c r="AS428" s="256"/>
      <c r="AT428" s="256"/>
      <c r="AU428" s="256"/>
      <c r="AV428" s="256"/>
      <c r="AW428" s="256"/>
      <c r="AX428" s="256"/>
      <c r="AY428" s="256"/>
      <c r="AZ428" s="256"/>
      <c r="BA428" s="256"/>
      <c r="BB428" s="256"/>
      <c r="BC428" s="256"/>
      <c r="BD428" s="238"/>
      <c r="BE428" s="229" cm="1">
        <f t="array" ref="BE428">IF(ISBLANK(R428), INDEX(Use, $AH428, 4) - AM428*INDEX(Use, $AH428, 6), R428)</f>
        <v>5</v>
      </c>
      <c r="BF428" s="229">
        <f t="shared" si="501"/>
        <v>30</v>
      </c>
      <c r="BG428" s="229">
        <f t="shared" si="527"/>
        <v>13</v>
      </c>
      <c r="BH428" s="229">
        <f t="shared" si="528"/>
        <v>0</v>
      </c>
      <c r="BI428" s="234" cm="1">
        <f t="array" ref="BI428">K428/IF($L428&gt;0, INDEX($AU$23:$BA$77, $L428+20, $AH428), 1)</f>
        <v>0</v>
      </c>
      <c r="BJ428" s="230">
        <f t="shared" si="502"/>
        <v>0</v>
      </c>
      <c r="BK428" s="229">
        <v>35</v>
      </c>
      <c r="BL428" s="230">
        <f t="shared" si="503"/>
        <v>48</v>
      </c>
      <c r="BM428" s="235">
        <f t="shared" si="504"/>
        <v>2.9108720930232557</v>
      </c>
      <c r="BN428" s="235" cm="1">
        <f t="array" ref="BN428">$BI428 * SUMPRODUCT(INDEX($AR$77:$AT$82,,$AI428),INDEX($AU$77:$BA$82,,$AH428), N($AQ$77:$AQ$82&gt;$AO428)) / BM428 / 1000</f>
        <v>0</v>
      </c>
      <c r="BO428" s="232">
        <f t="shared" si="529"/>
        <v>30</v>
      </c>
      <c r="BP428" s="230">
        <f t="shared" si="505"/>
        <v>43</v>
      </c>
      <c r="BQ428" s="235">
        <f t="shared" si="506"/>
        <v>3.2938815789473681</v>
      </c>
      <c r="BR428" s="235" cm="1">
        <f t="array" ref="BR428">$BI428 * IF($AH428&lt;=2,
SUMPRODUCT(INDEX($AR$72:$AT$76,,$AI428), INDEX($AU$72:$BA$76,,$AH428), 1 / ($BB$72:$BB$76*BQ428 + (1-$BB$72:$BB$76)*BM428), N($AQ$72:$AQ$76&gt;$AO428)),
SUMPRODUCT(INDEX($AR$67:$AT$76,,$AI428), INDEX($AU$67:$BA$76,,$AH428), 1 / ($BC$67:$BC$76*BQ428 + (1-$BC$67:$BC$76)*BM428), N($AQ$67:$AQ$76&gt;$AO428))
) / 1000</f>
        <v>0</v>
      </c>
      <c r="BS428" s="232">
        <f t="shared" si="530"/>
        <v>25</v>
      </c>
      <c r="BT428" s="230">
        <f t="shared" si="507"/>
        <v>38</v>
      </c>
      <c r="BU428" s="235">
        <f t="shared" si="508"/>
        <v>3.792954545454545</v>
      </c>
      <c r="BV428" s="235" cm="1">
        <f t="array" ref="BV428">$BI428 * IF($AH428&lt;=2,
SUMPRODUCT(INDEX($AR$67:$AT$71,,$AI428), INDEX($AU$67:$BA$71,,$AH428), 1 / ($BB$67:$BB$71*BU428 + (1-$BB$67:$BB$71)*BQ428), N($AQ$67:$AQ$71&gt;$AO428)),
SUMPRODUCT(INDEX($AR$57:$AT$66,,$AI428), INDEX($AU$57:$BA$66,,$AH428), 1 / ($BC$57:$BC$66*BU428 + (1-$BC$57:$BC$66)*BQ428), N($AQ$57:$AQ$66&gt;$AO428))
) / 1000</f>
        <v>0</v>
      </c>
      <c r="BW428" s="232">
        <f t="shared" si="531"/>
        <v>20</v>
      </c>
      <c r="BX428" s="230">
        <f t="shared" si="509"/>
        <v>33</v>
      </c>
      <c r="BY428" s="235">
        <f t="shared" si="510"/>
        <v>4.4702678571428569</v>
      </c>
      <c r="BZ428" s="235" cm="1">
        <f t="array" ref="BZ428">$BI428 * IF($AH428&lt;=2,
SUMPRODUCT(INDEX($AR$62:$AT$66,,$AI428), INDEX($AU$62:$BA$66,,$AH428), 1 / ($BB$62:$BB$66*BY428 + (1-$BB$62:$BB$66)*BU428), N($AQ$62:$AQ$66&gt;$AO428)),
SUMPRODUCT(INDEX($AR$47:$AT$56,,$AI428), INDEX($AU$47:$BA$56,,$AH428), 1 / ($BC$47:$BC$56*BY428 + (1-$BC$47:$BC$56)*BU428), N($AQ$47:$AQ$56&gt;$AO428))
) / 1000</f>
        <v>0</v>
      </c>
      <c r="CA428" s="235" cm="1">
        <f t="array" ref="CA428">$BI428 * IF($AH428&lt;=2,
SUMPRODUCT(INDEX($AR$23:$AT$61,,$AI428), INDEX($AU$23:$BA$61,,$AH428), 1 / ($BB$23:$BB$61*BY428), N($AQ$23:$AQ$61&gt;$AO428)),
SUMPRODUCT(INDEX($AR$23:$AT$46,,$AI428), INDEX($AU$23:$BA$46,,$AH428), 1 / ($BC$23:$BC$46*BY428), N($AQ$23:$AQ$46&gt;$AO428))
) / 1000</f>
        <v>0</v>
      </c>
      <c r="CB428" s="230">
        <f t="shared" si="511"/>
        <v>0</v>
      </c>
      <c r="CC428" s="238"/>
      <c r="CD428" s="229" cm="1">
        <f t="array" ref="CD428">IF(ISBLANK(Y428), INDEX(Use, $AH428, 4) - AN428*INDEX(Use, $AH428, 6) - (Q428-X428), Y428)</f>
        <v>7</v>
      </c>
      <c r="CE428" s="229">
        <f t="shared" si="512"/>
        <v>32</v>
      </c>
      <c r="CF428" s="230">
        <f t="shared" si="513"/>
        <v>0</v>
      </c>
      <c r="CG428" s="229">
        <v>35</v>
      </c>
      <c r="CH428" s="230">
        <f t="shared" si="514"/>
        <v>48</v>
      </c>
      <c r="CI428" s="235">
        <f t="shared" si="515"/>
        <v>3.0748170731707316</v>
      </c>
      <c r="CJ428" s="235" cm="1">
        <f t="array" ref="CJ428">$BI428 * SUMPRODUCT(INDEX($AR$77:$AT$82,,$AI428),INDEX($AU$77:$BA$82,,$AH428), N($AQ$77:$AQ$82&gt;$AO428)) / CI428 / 1000</f>
        <v>0</v>
      </c>
      <c r="CK428" s="232">
        <f t="shared" si="532"/>
        <v>30</v>
      </c>
      <c r="CL428" s="230">
        <f t="shared" si="516"/>
        <v>43</v>
      </c>
      <c r="CM428" s="235">
        <f t="shared" si="517"/>
        <v>3.5018750000000001</v>
      </c>
      <c r="CN428" s="235" cm="1">
        <f t="array" ref="CN428">$BI428 * IF($AH428&lt;=2,
SUMPRODUCT(INDEX($AR$72:$AT$76,,$AI428), INDEX($AU$72:$BA$76,,$AH428), 1 / ($BB$72:$BB$76*CM428 + (1-$BB$72:$BB$76)*CI428), N($AQ$72:$AQ$76&gt;$AO428)),
SUMPRODUCT(INDEX($AR$67:$AT$76,,$AI428), INDEX($AU$67:$BA$76,,$AH428), 1 / ($BC$67:$BC$76*CM428 + (1-$BC$67:$BC$76)*CI428), N($AQ$67:$AQ$76&gt;$AO428))
) / 1000</f>
        <v>0</v>
      </c>
      <c r="CO428" s="232">
        <f t="shared" si="533"/>
        <v>25</v>
      </c>
      <c r="CP428" s="230">
        <f t="shared" si="518"/>
        <v>38</v>
      </c>
      <c r="CQ428" s="235">
        <f t="shared" si="519"/>
        <v>4.0666935483870965</v>
      </c>
      <c r="CR428" s="235" cm="1">
        <f t="array" ref="CR428">$BI428 * IF($AH428&lt;=2,
SUMPRODUCT(INDEX($AR$67:$AT$71,,$AI428), INDEX($AU$67:$BA$71,,$AH428), 1 / ($BB$67:$BB$71*CQ428 + (1-$BB$67:$BB$71)*CM428), N($AQ$67:$AQ$71&gt;$AO428)),
SUMPRODUCT(INDEX($AR$57:$AT$66,,$AI428), INDEX($AU$57:$BA$66,,$AH428), 1 / ($BC$57:$BC$66*CQ428 + (1-$BC$57:$BC$66)*CM428), N($AQ$57:$AQ$66&gt;$AO428))
) / 1000</f>
        <v>0</v>
      </c>
      <c r="CS428" s="232">
        <f t="shared" si="534"/>
        <v>20</v>
      </c>
      <c r="CT428" s="230">
        <f t="shared" si="520"/>
        <v>33</v>
      </c>
      <c r="CU428" s="235">
        <f t="shared" si="521"/>
        <v>4.8487499999999999</v>
      </c>
      <c r="CV428" s="235" cm="1">
        <f t="array" ref="CV428">$BI428 * IF($AH428&lt;=2,
SUMPRODUCT(INDEX($AR$62:$AT$66,,$AI428), INDEX($AU$62:$BA$66,,$AH428), 1 / ($BB$62:$BB$66*CU428 + (1-$BB$62:$BB$66)*CQ428), N($AQ$62:$AQ$66&gt;$AO428)),
SUMPRODUCT(INDEX($AR$47:$AT$56,,$AI428), INDEX($AU$47:$BA$56,,$AH428), 1 / ($BC$47:$BC$56*CU428 + (1-$BC$47:$BC$56)*CQ428), N($AQ$47:$AQ$56&gt;$AO428))
) / 1000</f>
        <v>0</v>
      </c>
      <c r="CW428" s="235" cm="1">
        <f t="array" ref="CW428">$BI428 * IF($AH428&lt;=2,
SUMPRODUCT(INDEX($AR$23:$AT$61,,$AI428), INDEX($AU$23:$BA$61,,$AH428), 1 / ($BB$23:$BB$61*CU428), N($AQ$23:$AQ$61&gt;$AO428)),
SUMPRODUCT(INDEX($AR$23:$AT$46,,$AI428), INDEX($AU$23:$BA$46,,$AH428), 1 / ($BC$23:$BC$46*CU428), N($AQ$23:$AQ$46&gt;$AO428))
) / 1000</f>
        <v>0</v>
      </c>
      <c r="CX428" s="230">
        <f t="shared" si="522"/>
        <v>0</v>
      </c>
      <c r="CY428" s="238"/>
    </row>
    <row r="429" spans="1:103" s="76" customFormat="1" ht="14.25" customHeight="1" x14ac:dyDescent="0.2">
      <c r="A429" s="231" t="b">
        <f t="shared" si="526"/>
        <v>0</v>
      </c>
      <c r="B429" s="245">
        <v>407</v>
      </c>
      <c r="C429" s="258"/>
      <c r="D429" s="258"/>
      <c r="E429" s="246"/>
      <c r="F429" s="247" t="str">
        <f>IF(ISBLANK(E429), "", VLOOKUP(E429, Z!$A$2:$C$4127, 3, FALSE))</f>
        <v/>
      </c>
      <c r="G429" s="248"/>
      <c r="H429" s="248"/>
      <c r="I429" s="249"/>
      <c r="J429" s="250"/>
      <c r="K429" s="259"/>
      <c r="L429" s="260"/>
      <c r="M429" s="252" t="str" cm="1">
        <f t="array" ref="M429">INDEX(Trad, 53, $A$20)</f>
        <v>Verschmutzt</v>
      </c>
      <c r="N429" s="253"/>
      <c r="O429" s="253"/>
      <c r="P429" s="254"/>
      <c r="Q429" s="251"/>
      <c r="R429" s="251"/>
      <c r="S429" s="264">
        <f t="shared" si="497"/>
        <v>0</v>
      </c>
      <c r="T429" s="252" t="str" cm="1">
        <f t="array" ref="T429">INDEX(Trad, 52, $A$20)</f>
        <v>Sauber</v>
      </c>
      <c r="U429" s="253"/>
      <c r="V429" s="253"/>
      <c r="W429" s="254"/>
      <c r="X429" s="251"/>
      <c r="Y429" s="251"/>
      <c r="Z429" s="264">
        <f t="shared" si="498"/>
        <v>0</v>
      </c>
      <c r="AA429" s="261"/>
      <c r="AB429" s="258"/>
      <c r="AC429" s="246"/>
      <c r="AD429" s="247" t="str">
        <f>IF(ISBLANK(AC429), "", VLOOKUP(AC429, Z!$A$2:$C$4127, 3, FALSE))</f>
        <v/>
      </c>
      <c r="AE429" s="262"/>
      <c r="AF429" s="263">
        <f t="shared" si="499"/>
        <v>0</v>
      </c>
      <c r="AG429" s="238"/>
      <c r="AH429" s="229">
        <f t="shared" si="523"/>
        <v>1</v>
      </c>
      <c r="AI429" s="229">
        <f t="shared" si="524"/>
        <v>1</v>
      </c>
      <c r="AJ429" s="229">
        <f t="shared" si="525"/>
        <v>0</v>
      </c>
      <c r="AK429" s="229">
        <v>0</v>
      </c>
      <c r="AL429" s="229">
        <v>0</v>
      </c>
      <c r="AM429" s="229">
        <v>1</v>
      </c>
      <c r="AN429" s="229">
        <v>0</v>
      </c>
      <c r="AO429" s="229">
        <f t="shared" si="500"/>
        <v>-100</v>
      </c>
      <c r="AP429" s="238"/>
      <c r="AQ429" s="255"/>
      <c r="AR429" s="255"/>
      <c r="AS429" s="256"/>
      <c r="AT429" s="256"/>
      <c r="AU429" s="256"/>
      <c r="AV429" s="256"/>
      <c r="AW429" s="256"/>
      <c r="AX429" s="256"/>
      <c r="AY429" s="256"/>
      <c r="AZ429" s="256"/>
      <c r="BA429" s="256"/>
      <c r="BB429" s="256"/>
      <c r="BC429" s="256"/>
      <c r="BD429" s="238"/>
      <c r="BE429" s="229" cm="1">
        <f t="array" ref="BE429">IF(ISBLANK(R429), INDEX(Use, $AH429, 4) - AM429*INDEX(Use, $AH429, 6), R429)</f>
        <v>5</v>
      </c>
      <c r="BF429" s="229">
        <f t="shared" si="501"/>
        <v>30</v>
      </c>
      <c r="BG429" s="229">
        <f t="shared" si="527"/>
        <v>13</v>
      </c>
      <c r="BH429" s="229">
        <f t="shared" si="528"/>
        <v>0</v>
      </c>
      <c r="BI429" s="234" cm="1">
        <f t="array" ref="BI429">K429/IF($L429&gt;0, INDEX($AU$23:$BA$77, $L429+20, $AH429), 1)</f>
        <v>0</v>
      </c>
      <c r="BJ429" s="230">
        <f t="shared" si="502"/>
        <v>0</v>
      </c>
      <c r="BK429" s="229">
        <v>35</v>
      </c>
      <c r="BL429" s="230">
        <f t="shared" si="503"/>
        <v>48</v>
      </c>
      <c r="BM429" s="235">
        <f t="shared" si="504"/>
        <v>2.9108720930232557</v>
      </c>
      <c r="BN429" s="235" cm="1">
        <f t="array" ref="BN429">$BI429 * SUMPRODUCT(INDEX($AR$77:$AT$82,,$AI429),INDEX($AU$77:$BA$82,,$AH429), N($AQ$77:$AQ$82&gt;$AO429)) / BM429 / 1000</f>
        <v>0</v>
      </c>
      <c r="BO429" s="232">
        <f t="shared" si="529"/>
        <v>30</v>
      </c>
      <c r="BP429" s="230">
        <f t="shared" si="505"/>
        <v>43</v>
      </c>
      <c r="BQ429" s="235">
        <f t="shared" si="506"/>
        <v>3.2938815789473681</v>
      </c>
      <c r="BR429" s="235" cm="1">
        <f t="array" ref="BR429">$BI429 * IF($AH429&lt;=2,
SUMPRODUCT(INDEX($AR$72:$AT$76,,$AI429), INDEX($AU$72:$BA$76,,$AH429), 1 / ($BB$72:$BB$76*BQ429 + (1-$BB$72:$BB$76)*BM429), N($AQ$72:$AQ$76&gt;$AO429)),
SUMPRODUCT(INDEX($AR$67:$AT$76,,$AI429), INDEX($AU$67:$BA$76,,$AH429), 1 / ($BC$67:$BC$76*BQ429 + (1-$BC$67:$BC$76)*BM429), N($AQ$67:$AQ$76&gt;$AO429))
) / 1000</f>
        <v>0</v>
      </c>
      <c r="BS429" s="232">
        <f t="shared" si="530"/>
        <v>25</v>
      </c>
      <c r="BT429" s="230">
        <f t="shared" si="507"/>
        <v>38</v>
      </c>
      <c r="BU429" s="235">
        <f t="shared" si="508"/>
        <v>3.792954545454545</v>
      </c>
      <c r="BV429" s="235" cm="1">
        <f t="array" ref="BV429">$BI429 * IF($AH429&lt;=2,
SUMPRODUCT(INDEX($AR$67:$AT$71,,$AI429), INDEX($AU$67:$BA$71,,$AH429), 1 / ($BB$67:$BB$71*BU429 + (1-$BB$67:$BB$71)*BQ429), N($AQ$67:$AQ$71&gt;$AO429)),
SUMPRODUCT(INDEX($AR$57:$AT$66,,$AI429), INDEX($AU$57:$BA$66,,$AH429), 1 / ($BC$57:$BC$66*BU429 + (1-$BC$57:$BC$66)*BQ429), N($AQ$57:$AQ$66&gt;$AO429))
) / 1000</f>
        <v>0</v>
      </c>
      <c r="BW429" s="232">
        <f t="shared" si="531"/>
        <v>20</v>
      </c>
      <c r="BX429" s="230">
        <f t="shared" si="509"/>
        <v>33</v>
      </c>
      <c r="BY429" s="235">
        <f t="shared" si="510"/>
        <v>4.4702678571428569</v>
      </c>
      <c r="BZ429" s="235" cm="1">
        <f t="array" ref="BZ429">$BI429 * IF($AH429&lt;=2,
SUMPRODUCT(INDEX($AR$62:$AT$66,,$AI429), INDEX($AU$62:$BA$66,,$AH429), 1 / ($BB$62:$BB$66*BY429 + (1-$BB$62:$BB$66)*BU429), N($AQ$62:$AQ$66&gt;$AO429)),
SUMPRODUCT(INDEX($AR$47:$AT$56,,$AI429), INDEX($AU$47:$BA$56,,$AH429), 1 / ($BC$47:$BC$56*BY429 + (1-$BC$47:$BC$56)*BU429), N($AQ$47:$AQ$56&gt;$AO429))
) / 1000</f>
        <v>0</v>
      </c>
      <c r="CA429" s="235" cm="1">
        <f t="array" ref="CA429">$BI429 * IF($AH429&lt;=2,
SUMPRODUCT(INDEX($AR$23:$AT$61,,$AI429), INDEX($AU$23:$BA$61,,$AH429), 1 / ($BB$23:$BB$61*BY429), N($AQ$23:$AQ$61&gt;$AO429)),
SUMPRODUCT(INDEX($AR$23:$AT$46,,$AI429), INDEX($AU$23:$BA$46,,$AH429), 1 / ($BC$23:$BC$46*BY429), N($AQ$23:$AQ$46&gt;$AO429))
) / 1000</f>
        <v>0</v>
      </c>
      <c r="CB429" s="230">
        <f t="shared" si="511"/>
        <v>0</v>
      </c>
      <c r="CC429" s="238"/>
      <c r="CD429" s="229" cm="1">
        <f t="array" ref="CD429">IF(ISBLANK(Y429), INDEX(Use, $AH429, 4) - AN429*INDEX(Use, $AH429, 6) - (Q429-X429), Y429)</f>
        <v>7</v>
      </c>
      <c r="CE429" s="229">
        <f t="shared" si="512"/>
        <v>32</v>
      </c>
      <c r="CF429" s="230">
        <f t="shared" si="513"/>
        <v>0</v>
      </c>
      <c r="CG429" s="229">
        <v>35</v>
      </c>
      <c r="CH429" s="230">
        <f t="shared" si="514"/>
        <v>48</v>
      </c>
      <c r="CI429" s="235">
        <f t="shared" si="515"/>
        <v>3.0748170731707316</v>
      </c>
      <c r="CJ429" s="235" cm="1">
        <f t="array" ref="CJ429">$BI429 * SUMPRODUCT(INDEX($AR$77:$AT$82,,$AI429),INDEX($AU$77:$BA$82,,$AH429), N($AQ$77:$AQ$82&gt;$AO429)) / CI429 / 1000</f>
        <v>0</v>
      </c>
      <c r="CK429" s="232">
        <f t="shared" si="532"/>
        <v>30</v>
      </c>
      <c r="CL429" s="230">
        <f t="shared" si="516"/>
        <v>43</v>
      </c>
      <c r="CM429" s="235">
        <f t="shared" si="517"/>
        <v>3.5018750000000001</v>
      </c>
      <c r="CN429" s="235" cm="1">
        <f t="array" ref="CN429">$BI429 * IF($AH429&lt;=2,
SUMPRODUCT(INDEX($AR$72:$AT$76,,$AI429), INDEX($AU$72:$BA$76,,$AH429), 1 / ($BB$72:$BB$76*CM429 + (1-$BB$72:$BB$76)*CI429), N($AQ$72:$AQ$76&gt;$AO429)),
SUMPRODUCT(INDEX($AR$67:$AT$76,,$AI429), INDEX($AU$67:$BA$76,,$AH429), 1 / ($BC$67:$BC$76*CM429 + (1-$BC$67:$BC$76)*CI429), N($AQ$67:$AQ$76&gt;$AO429))
) / 1000</f>
        <v>0</v>
      </c>
      <c r="CO429" s="232">
        <f t="shared" si="533"/>
        <v>25</v>
      </c>
      <c r="CP429" s="230">
        <f t="shared" si="518"/>
        <v>38</v>
      </c>
      <c r="CQ429" s="235">
        <f t="shared" si="519"/>
        <v>4.0666935483870965</v>
      </c>
      <c r="CR429" s="235" cm="1">
        <f t="array" ref="CR429">$BI429 * IF($AH429&lt;=2,
SUMPRODUCT(INDEX($AR$67:$AT$71,,$AI429), INDEX($AU$67:$BA$71,,$AH429), 1 / ($BB$67:$BB$71*CQ429 + (1-$BB$67:$BB$71)*CM429), N($AQ$67:$AQ$71&gt;$AO429)),
SUMPRODUCT(INDEX($AR$57:$AT$66,,$AI429), INDEX($AU$57:$BA$66,,$AH429), 1 / ($BC$57:$BC$66*CQ429 + (1-$BC$57:$BC$66)*CM429), N($AQ$57:$AQ$66&gt;$AO429))
) / 1000</f>
        <v>0</v>
      </c>
      <c r="CS429" s="232">
        <f t="shared" si="534"/>
        <v>20</v>
      </c>
      <c r="CT429" s="230">
        <f t="shared" si="520"/>
        <v>33</v>
      </c>
      <c r="CU429" s="235">
        <f t="shared" si="521"/>
        <v>4.8487499999999999</v>
      </c>
      <c r="CV429" s="235" cm="1">
        <f t="array" ref="CV429">$BI429 * IF($AH429&lt;=2,
SUMPRODUCT(INDEX($AR$62:$AT$66,,$AI429), INDEX($AU$62:$BA$66,,$AH429), 1 / ($BB$62:$BB$66*CU429 + (1-$BB$62:$BB$66)*CQ429), N($AQ$62:$AQ$66&gt;$AO429)),
SUMPRODUCT(INDEX($AR$47:$AT$56,,$AI429), INDEX($AU$47:$BA$56,,$AH429), 1 / ($BC$47:$BC$56*CU429 + (1-$BC$47:$BC$56)*CQ429), N($AQ$47:$AQ$56&gt;$AO429))
) / 1000</f>
        <v>0</v>
      </c>
      <c r="CW429" s="235" cm="1">
        <f t="array" ref="CW429">$BI429 * IF($AH429&lt;=2,
SUMPRODUCT(INDEX($AR$23:$AT$61,,$AI429), INDEX($AU$23:$BA$61,,$AH429), 1 / ($BB$23:$BB$61*CU429), N($AQ$23:$AQ$61&gt;$AO429)),
SUMPRODUCT(INDEX($AR$23:$AT$46,,$AI429), INDEX($AU$23:$BA$46,,$AH429), 1 / ($BC$23:$BC$46*CU429), N($AQ$23:$AQ$46&gt;$AO429))
) / 1000</f>
        <v>0</v>
      </c>
      <c r="CX429" s="230">
        <f t="shared" si="522"/>
        <v>0</v>
      </c>
      <c r="CY429" s="238"/>
    </row>
    <row r="430" spans="1:103" s="76" customFormat="1" ht="14.25" customHeight="1" x14ac:dyDescent="0.2">
      <c r="A430" s="231" t="b">
        <f t="shared" si="526"/>
        <v>0</v>
      </c>
      <c r="B430" s="245">
        <v>408</v>
      </c>
      <c r="C430" s="258"/>
      <c r="D430" s="258"/>
      <c r="E430" s="246"/>
      <c r="F430" s="247" t="str">
        <f>IF(ISBLANK(E430), "", VLOOKUP(E430, Z!$A$2:$C$4127, 3, FALSE))</f>
        <v/>
      </c>
      <c r="G430" s="248"/>
      <c r="H430" s="248"/>
      <c r="I430" s="249"/>
      <c r="J430" s="250"/>
      <c r="K430" s="259"/>
      <c r="L430" s="260"/>
      <c r="M430" s="252" t="str" cm="1">
        <f t="array" ref="M430">INDEX(Trad, 53, $A$20)</f>
        <v>Verschmutzt</v>
      </c>
      <c r="N430" s="253"/>
      <c r="O430" s="253"/>
      <c r="P430" s="254"/>
      <c r="Q430" s="251"/>
      <c r="R430" s="251"/>
      <c r="S430" s="264">
        <f t="shared" si="497"/>
        <v>0</v>
      </c>
      <c r="T430" s="252" t="str" cm="1">
        <f t="array" ref="T430">INDEX(Trad, 52, $A$20)</f>
        <v>Sauber</v>
      </c>
      <c r="U430" s="253"/>
      <c r="V430" s="253"/>
      <c r="W430" s="254"/>
      <c r="X430" s="251"/>
      <c r="Y430" s="251"/>
      <c r="Z430" s="264">
        <f t="shared" si="498"/>
        <v>0</v>
      </c>
      <c r="AA430" s="261"/>
      <c r="AB430" s="258"/>
      <c r="AC430" s="246"/>
      <c r="AD430" s="247" t="str">
        <f>IF(ISBLANK(AC430), "", VLOOKUP(AC430, Z!$A$2:$C$4127, 3, FALSE))</f>
        <v/>
      </c>
      <c r="AE430" s="262"/>
      <c r="AF430" s="263">
        <f t="shared" si="499"/>
        <v>0</v>
      </c>
      <c r="AG430" s="238"/>
      <c r="AH430" s="229">
        <f t="shared" si="523"/>
        <v>1</v>
      </c>
      <c r="AI430" s="229">
        <f t="shared" si="524"/>
        <v>1</v>
      </c>
      <c r="AJ430" s="229">
        <f t="shared" si="525"/>
        <v>0</v>
      </c>
      <c r="AK430" s="229">
        <v>0</v>
      </c>
      <c r="AL430" s="229">
        <v>0</v>
      </c>
      <c r="AM430" s="229">
        <v>1</v>
      </c>
      <c r="AN430" s="229">
        <v>0</v>
      </c>
      <c r="AO430" s="229">
        <f t="shared" si="500"/>
        <v>-100</v>
      </c>
      <c r="AP430" s="238"/>
      <c r="AQ430" s="255"/>
      <c r="AR430" s="255"/>
      <c r="AS430" s="256"/>
      <c r="AT430" s="256"/>
      <c r="AU430" s="256"/>
      <c r="AV430" s="256"/>
      <c r="AW430" s="256"/>
      <c r="AX430" s="256"/>
      <c r="AY430" s="256"/>
      <c r="AZ430" s="256"/>
      <c r="BA430" s="256"/>
      <c r="BB430" s="256"/>
      <c r="BC430" s="256"/>
      <c r="BD430" s="238"/>
      <c r="BE430" s="229" cm="1">
        <f t="array" ref="BE430">IF(ISBLANK(R430), INDEX(Use, $AH430, 4) - AM430*INDEX(Use, $AH430, 6), R430)</f>
        <v>5</v>
      </c>
      <c r="BF430" s="229">
        <f t="shared" si="501"/>
        <v>30</v>
      </c>
      <c r="BG430" s="229">
        <f t="shared" si="527"/>
        <v>13</v>
      </c>
      <c r="BH430" s="229">
        <f t="shared" si="528"/>
        <v>0</v>
      </c>
      <c r="BI430" s="234" cm="1">
        <f t="array" ref="BI430">K430/IF($L430&gt;0, INDEX($AU$23:$BA$77, $L430+20, $AH430), 1)</f>
        <v>0</v>
      </c>
      <c r="BJ430" s="230">
        <f t="shared" si="502"/>
        <v>0</v>
      </c>
      <c r="BK430" s="229">
        <v>35</v>
      </c>
      <c r="BL430" s="230">
        <f t="shared" si="503"/>
        <v>48</v>
      </c>
      <c r="BM430" s="235">
        <f t="shared" si="504"/>
        <v>2.9108720930232557</v>
      </c>
      <c r="BN430" s="235" cm="1">
        <f t="array" ref="BN430">$BI430 * SUMPRODUCT(INDEX($AR$77:$AT$82,,$AI430),INDEX($AU$77:$BA$82,,$AH430), N($AQ$77:$AQ$82&gt;$AO430)) / BM430 / 1000</f>
        <v>0</v>
      </c>
      <c r="BO430" s="232">
        <f t="shared" si="529"/>
        <v>30</v>
      </c>
      <c r="BP430" s="230">
        <f t="shared" si="505"/>
        <v>43</v>
      </c>
      <c r="BQ430" s="235">
        <f t="shared" si="506"/>
        <v>3.2938815789473681</v>
      </c>
      <c r="BR430" s="235" cm="1">
        <f t="array" ref="BR430">$BI430 * IF($AH430&lt;=2,
SUMPRODUCT(INDEX($AR$72:$AT$76,,$AI430), INDEX($AU$72:$BA$76,,$AH430), 1 / ($BB$72:$BB$76*BQ430 + (1-$BB$72:$BB$76)*BM430), N($AQ$72:$AQ$76&gt;$AO430)),
SUMPRODUCT(INDEX($AR$67:$AT$76,,$AI430), INDEX($AU$67:$BA$76,,$AH430), 1 / ($BC$67:$BC$76*BQ430 + (1-$BC$67:$BC$76)*BM430), N($AQ$67:$AQ$76&gt;$AO430))
) / 1000</f>
        <v>0</v>
      </c>
      <c r="BS430" s="232">
        <f t="shared" si="530"/>
        <v>25</v>
      </c>
      <c r="BT430" s="230">
        <f t="shared" si="507"/>
        <v>38</v>
      </c>
      <c r="BU430" s="235">
        <f t="shared" si="508"/>
        <v>3.792954545454545</v>
      </c>
      <c r="BV430" s="235" cm="1">
        <f t="array" ref="BV430">$BI430 * IF($AH430&lt;=2,
SUMPRODUCT(INDEX($AR$67:$AT$71,,$AI430), INDEX($AU$67:$BA$71,,$AH430), 1 / ($BB$67:$BB$71*BU430 + (1-$BB$67:$BB$71)*BQ430), N($AQ$67:$AQ$71&gt;$AO430)),
SUMPRODUCT(INDEX($AR$57:$AT$66,,$AI430), INDEX($AU$57:$BA$66,,$AH430), 1 / ($BC$57:$BC$66*BU430 + (1-$BC$57:$BC$66)*BQ430), N($AQ$57:$AQ$66&gt;$AO430))
) / 1000</f>
        <v>0</v>
      </c>
      <c r="BW430" s="232">
        <f t="shared" si="531"/>
        <v>20</v>
      </c>
      <c r="BX430" s="230">
        <f t="shared" si="509"/>
        <v>33</v>
      </c>
      <c r="BY430" s="235">
        <f t="shared" si="510"/>
        <v>4.4702678571428569</v>
      </c>
      <c r="BZ430" s="235" cm="1">
        <f t="array" ref="BZ430">$BI430 * IF($AH430&lt;=2,
SUMPRODUCT(INDEX($AR$62:$AT$66,,$AI430), INDEX($AU$62:$BA$66,,$AH430), 1 / ($BB$62:$BB$66*BY430 + (1-$BB$62:$BB$66)*BU430), N($AQ$62:$AQ$66&gt;$AO430)),
SUMPRODUCT(INDEX($AR$47:$AT$56,,$AI430), INDEX($AU$47:$BA$56,,$AH430), 1 / ($BC$47:$BC$56*BY430 + (1-$BC$47:$BC$56)*BU430), N($AQ$47:$AQ$56&gt;$AO430))
) / 1000</f>
        <v>0</v>
      </c>
      <c r="CA430" s="235" cm="1">
        <f t="array" ref="CA430">$BI430 * IF($AH430&lt;=2,
SUMPRODUCT(INDEX($AR$23:$AT$61,,$AI430), INDEX($AU$23:$BA$61,,$AH430), 1 / ($BB$23:$BB$61*BY430), N($AQ$23:$AQ$61&gt;$AO430)),
SUMPRODUCT(INDEX($AR$23:$AT$46,,$AI430), INDEX($AU$23:$BA$46,,$AH430), 1 / ($BC$23:$BC$46*BY430), N($AQ$23:$AQ$46&gt;$AO430))
) / 1000</f>
        <v>0</v>
      </c>
      <c r="CB430" s="230">
        <f t="shared" si="511"/>
        <v>0</v>
      </c>
      <c r="CC430" s="238"/>
      <c r="CD430" s="229" cm="1">
        <f t="array" ref="CD430">IF(ISBLANK(Y430), INDEX(Use, $AH430, 4) - AN430*INDEX(Use, $AH430, 6) - (Q430-X430), Y430)</f>
        <v>7</v>
      </c>
      <c r="CE430" s="229">
        <f t="shared" si="512"/>
        <v>32</v>
      </c>
      <c r="CF430" s="230">
        <f t="shared" si="513"/>
        <v>0</v>
      </c>
      <c r="CG430" s="229">
        <v>35</v>
      </c>
      <c r="CH430" s="230">
        <f t="shared" si="514"/>
        <v>48</v>
      </c>
      <c r="CI430" s="235">
        <f t="shared" si="515"/>
        <v>3.0748170731707316</v>
      </c>
      <c r="CJ430" s="235" cm="1">
        <f t="array" ref="CJ430">$BI430 * SUMPRODUCT(INDEX($AR$77:$AT$82,,$AI430),INDEX($AU$77:$BA$82,,$AH430), N($AQ$77:$AQ$82&gt;$AO430)) / CI430 / 1000</f>
        <v>0</v>
      </c>
      <c r="CK430" s="232">
        <f t="shared" si="532"/>
        <v>30</v>
      </c>
      <c r="CL430" s="230">
        <f t="shared" si="516"/>
        <v>43</v>
      </c>
      <c r="CM430" s="235">
        <f t="shared" si="517"/>
        <v>3.5018750000000001</v>
      </c>
      <c r="CN430" s="235" cm="1">
        <f t="array" ref="CN430">$BI430 * IF($AH430&lt;=2,
SUMPRODUCT(INDEX($AR$72:$AT$76,,$AI430), INDEX($AU$72:$BA$76,,$AH430), 1 / ($BB$72:$BB$76*CM430 + (1-$BB$72:$BB$76)*CI430), N($AQ$72:$AQ$76&gt;$AO430)),
SUMPRODUCT(INDEX($AR$67:$AT$76,,$AI430), INDEX($AU$67:$BA$76,,$AH430), 1 / ($BC$67:$BC$76*CM430 + (1-$BC$67:$BC$76)*CI430), N($AQ$67:$AQ$76&gt;$AO430))
) / 1000</f>
        <v>0</v>
      </c>
      <c r="CO430" s="232">
        <f t="shared" si="533"/>
        <v>25</v>
      </c>
      <c r="CP430" s="230">
        <f t="shared" si="518"/>
        <v>38</v>
      </c>
      <c r="CQ430" s="235">
        <f t="shared" si="519"/>
        <v>4.0666935483870965</v>
      </c>
      <c r="CR430" s="235" cm="1">
        <f t="array" ref="CR430">$BI430 * IF($AH430&lt;=2,
SUMPRODUCT(INDEX($AR$67:$AT$71,,$AI430), INDEX($AU$67:$BA$71,,$AH430), 1 / ($BB$67:$BB$71*CQ430 + (1-$BB$67:$BB$71)*CM430), N($AQ$67:$AQ$71&gt;$AO430)),
SUMPRODUCT(INDEX($AR$57:$AT$66,,$AI430), INDEX($AU$57:$BA$66,,$AH430), 1 / ($BC$57:$BC$66*CQ430 + (1-$BC$57:$BC$66)*CM430), N($AQ$57:$AQ$66&gt;$AO430))
) / 1000</f>
        <v>0</v>
      </c>
      <c r="CS430" s="232">
        <f t="shared" si="534"/>
        <v>20</v>
      </c>
      <c r="CT430" s="230">
        <f t="shared" si="520"/>
        <v>33</v>
      </c>
      <c r="CU430" s="235">
        <f t="shared" si="521"/>
        <v>4.8487499999999999</v>
      </c>
      <c r="CV430" s="235" cm="1">
        <f t="array" ref="CV430">$BI430 * IF($AH430&lt;=2,
SUMPRODUCT(INDEX($AR$62:$AT$66,,$AI430), INDEX($AU$62:$BA$66,,$AH430), 1 / ($BB$62:$BB$66*CU430 + (1-$BB$62:$BB$66)*CQ430), N($AQ$62:$AQ$66&gt;$AO430)),
SUMPRODUCT(INDEX($AR$47:$AT$56,,$AI430), INDEX($AU$47:$BA$56,,$AH430), 1 / ($BC$47:$BC$56*CU430 + (1-$BC$47:$BC$56)*CQ430), N($AQ$47:$AQ$56&gt;$AO430))
) / 1000</f>
        <v>0</v>
      </c>
      <c r="CW430" s="235" cm="1">
        <f t="array" ref="CW430">$BI430 * IF($AH430&lt;=2,
SUMPRODUCT(INDEX($AR$23:$AT$61,,$AI430), INDEX($AU$23:$BA$61,,$AH430), 1 / ($BB$23:$BB$61*CU430), N($AQ$23:$AQ$61&gt;$AO430)),
SUMPRODUCT(INDEX($AR$23:$AT$46,,$AI430), INDEX($AU$23:$BA$46,,$AH430), 1 / ($BC$23:$BC$46*CU430), N($AQ$23:$AQ$46&gt;$AO430))
) / 1000</f>
        <v>0</v>
      </c>
      <c r="CX430" s="230">
        <f t="shared" si="522"/>
        <v>0</v>
      </c>
      <c r="CY430" s="238"/>
    </row>
    <row r="431" spans="1:103" s="76" customFormat="1" ht="14.25" customHeight="1" x14ac:dyDescent="0.2">
      <c r="A431" s="231" t="b">
        <f t="shared" si="526"/>
        <v>0</v>
      </c>
      <c r="B431" s="245">
        <v>409</v>
      </c>
      <c r="C431" s="258"/>
      <c r="D431" s="258"/>
      <c r="E431" s="246"/>
      <c r="F431" s="247" t="str">
        <f>IF(ISBLANK(E431), "", VLOOKUP(E431, Z!$A$2:$C$4127, 3, FALSE))</f>
        <v/>
      </c>
      <c r="G431" s="248"/>
      <c r="H431" s="248"/>
      <c r="I431" s="249"/>
      <c r="J431" s="250"/>
      <c r="K431" s="259"/>
      <c r="L431" s="260"/>
      <c r="M431" s="252" t="str" cm="1">
        <f t="array" ref="M431">INDEX(Trad, 53, $A$20)</f>
        <v>Verschmutzt</v>
      </c>
      <c r="N431" s="253"/>
      <c r="O431" s="253"/>
      <c r="P431" s="254"/>
      <c r="Q431" s="251"/>
      <c r="R431" s="251"/>
      <c r="S431" s="264">
        <f t="shared" si="497"/>
        <v>0</v>
      </c>
      <c r="T431" s="252" t="str" cm="1">
        <f t="array" ref="T431">INDEX(Trad, 52, $A$20)</f>
        <v>Sauber</v>
      </c>
      <c r="U431" s="253"/>
      <c r="V431" s="253"/>
      <c r="W431" s="254"/>
      <c r="X431" s="251"/>
      <c r="Y431" s="251"/>
      <c r="Z431" s="264">
        <f t="shared" si="498"/>
        <v>0</v>
      </c>
      <c r="AA431" s="261"/>
      <c r="AB431" s="258"/>
      <c r="AC431" s="246"/>
      <c r="AD431" s="247" t="str">
        <f>IF(ISBLANK(AC431), "", VLOOKUP(AC431, Z!$A$2:$C$4127, 3, FALSE))</f>
        <v/>
      </c>
      <c r="AE431" s="262"/>
      <c r="AF431" s="263">
        <f t="shared" si="499"/>
        <v>0</v>
      </c>
      <c r="AG431" s="238"/>
      <c r="AH431" s="229">
        <f t="shared" si="523"/>
        <v>1</v>
      </c>
      <c r="AI431" s="229">
        <f t="shared" si="524"/>
        <v>1</v>
      </c>
      <c r="AJ431" s="229">
        <f t="shared" si="525"/>
        <v>0</v>
      </c>
      <c r="AK431" s="229">
        <v>0</v>
      </c>
      <c r="AL431" s="229">
        <v>0</v>
      </c>
      <c r="AM431" s="229">
        <v>1</v>
      </c>
      <c r="AN431" s="229">
        <v>0</v>
      </c>
      <c r="AO431" s="229">
        <f t="shared" si="500"/>
        <v>-100</v>
      </c>
      <c r="AP431" s="238"/>
      <c r="AQ431" s="255"/>
      <c r="AR431" s="255"/>
      <c r="AS431" s="256"/>
      <c r="AT431" s="256"/>
      <c r="AU431" s="256"/>
      <c r="AV431" s="256"/>
      <c r="AW431" s="256"/>
      <c r="AX431" s="256"/>
      <c r="AY431" s="256"/>
      <c r="AZ431" s="256"/>
      <c r="BA431" s="256"/>
      <c r="BB431" s="256"/>
      <c r="BC431" s="256"/>
      <c r="BD431" s="238"/>
      <c r="BE431" s="229" cm="1">
        <f t="array" ref="BE431">IF(ISBLANK(R431), INDEX(Use, $AH431, 4) - AM431*INDEX(Use, $AH431, 6), R431)</f>
        <v>5</v>
      </c>
      <c r="BF431" s="229">
        <f t="shared" si="501"/>
        <v>30</v>
      </c>
      <c r="BG431" s="229">
        <f t="shared" si="527"/>
        <v>13</v>
      </c>
      <c r="BH431" s="229">
        <f t="shared" si="528"/>
        <v>0</v>
      </c>
      <c r="BI431" s="234" cm="1">
        <f t="array" ref="BI431">K431/IF($L431&gt;0, INDEX($AU$23:$BA$77, $L431+20, $AH431), 1)</f>
        <v>0</v>
      </c>
      <c r="BJ431" s="230">
        <f t="shared" si="502"/>
        <v>0</v>
      </c>
      <c r="BK431" s="229">
        <v>35</v>
      </c>
      <c r="BL431" s="230">
        <f t="shared" si="503"/>
        <v>48</v>
      </c>
      <c r="BM431" s="235">
        <f t="shared" si="504"/>
        <v>2.9108720930232557</v>
      </c>
      <c r="BN431" s="235" cm="1">
        <f t="array" ref="BN431">$BI431 * SUMPRODUCT(INDEX($AR$77:$AT$82,,$AI431),INDEX($AU$77:$BA$82,,$AH431), N($AQ$77:$AQ$82&gt;$AO431)) / BM431 / 1000</f>
        <v>0</v>
      </c>
      <c r="BO431" s="232">
        <f t="shared" si="529"/>
        <v>30</v>
      </c>
      <c r="BP431" s="230">
        <f t="shared" si="505"/>
        <v>43</v>
      </c>
      <c r="BQ431" s="235">
        <f t="shared" si="506"/>
        <v>3.2938815789473681</v>
      </c>
      <c r="BR431" s="235" cm="1">
        <f t="array" ref="BR431">$BI431 * IF($AH431&lt;=2,
SUMPRODUCT(INDEX($AR$72:$AT$76,,$AI431), INDEX($AU$72:$BA$76,,$AH431), 1 / ($BB$72:$BB$76*BQ431 + (1-$BB$72:$BB$76)*BM431), N($AQ$72:$AQ$76&gt;$AO431)),
SUMPRODUCT(INDEX($AR$67:$AT$76,,$AI431), INDEX($AU$67:$BA$76,,$AH431), 1 / ($BC$67:$BC$76*BQ431 + (1-$BC$67:$BC$76)*BM431), N($AQ$67:$AQ$76&gt;$AO431))
) / 1000</f>
        <v>0</v>
      </c>
      <c r="BS431" s="232">
        <f t="shared" si="530"/>
        <v>25</v>
      </c>
      <c r="BT431" s="230">
        <f t="shared" si="507"/>
        <v>38</v>
      </c>
      <c r="BU431" s="235">
        <f t="shared" si="508"/>
        <v>3.792954545454545</v>
      </c>
      <c r="BV431" s="235" cm="1">
        <f t="array" ref="BV431">$BI431 * IF($AH431&lt;=2,
SUMPRODUCT(INDEX($AR$67:$AT$71,,$AI431), INDEX($AU$67:$BA$71,,$AH431), 1 / ($BB$67:$BB$71*BU431 + (1-$BB$67:$BB$71)*BQ431), N($AQ$67:$AQ$71&gt;$AO431)),
SUMPRODUCT(INDEX($AR$57:$AT$66,,$AI431), INDEX($AU$57:$BA$66,,$AH431), 1 / ($BC$57:$BC$66*BU431 + (1-$BC$57:$BC$66)*BQ431), N($AQ$57:$AQ$66&gt;$AO431))
) / 1000</f>
        <v>0</v>
      </c>
      <c r="BW431" s="232">
        <f t="shared" si="531"/>
        <v>20</v>
      </c>
      <c r="BX431" s="230">
        <f t="shared" si="509"/>
        <v>33</v>
      </c>
      <c r="BY431" s="235">
        <f t="shared" si="510"/>
        <v>4.4702678571428569</v>
      </c>
      <c r="BZ431" s="235" cm="1">
        <f t="array" ref="BZ431">$BI431 * IF($AH431&lt;=2,
SUMPRODUCT(INDEX($AR$62:$AT$66,,$AI431), INDEX($AU$62:$BA$66,,$AH431), 1 / ($BB$62:$BB$66*BY431 + (1-$BB$62:$BB$66)*BU431), N($AQ$62:$AQ$66&gt;$AO431)),
SUMPRODUCT(INDEX($AR$47:$AT$56,,$AI431), INDEX($AU$47:$BA$56,,$AH431), 1 / ($BC$47:$BC$56*BY431 + (1-$BC$47:$BC$56)*BU431), N($AQ$47:$AQ$56&gt;$AO431))
) / 1000</f>
        <v>0</v>
      </c>
      <c r="CA431" s="235" cm="1">
        <f t="array" ref="CA431">$BI431 * IF($AH431&lt;=2,
SUMPRODUCT(INDEX($AR$23:$AT$61,,$AI431), INDEX($AU$23:$BA$61,,$AH431), 1 / ($BB$23:$BB$61*BY431), N($AQ$23:$AQ$61&gt;$AO431)),
SUMPRODUCT(INDEX($AR$23:$AT$46,,$AI431), INDEX($AU$23:$BA$46,,$AH431), 1 / ($BC$23:$BC$46*BY431), N($AQ$23:$AQ$46&gt;$AO431))
) / 1000</f>
        <v>0</v>
      </c>
      <c r="CB431" s="230">
        <f t="shared" si="511"/>
        <v>0</v>
      </c>
      <c r="CC431" s="238"/>
      <c r="CD431" s="229" cm="1">
        <f t="array" ref="CD431">IF(ISBLANK(Y431), INDEX(Use, $AH431, 4) - AN431*INDEX(Use, $AH431, 6) - (Q431-X431), Y431)</f>
        <v>7</v>
      </c>
      <c r="CE431" s="229">
        <f t="shared" si="512"/>
        <v>32</v>
      </c>
      <c r="CF431" s="230">
        <f t="shared" si="513"/>
        <v>0</v>
      </c>
      <c r="CG431" s="229">
        <v>35</v>
      </c>
      <c r="CH431" s="230">
        <f t="shared" si="514"/>
        <v>48</v>
      </c>
      <c r="CI431" s="235">
        <f t="shared" si="515"/>
        <v>3.0748170731707316</v>
      </c>
      <c r="CJ431" s="235" cm="1">
        <f t="array" ref="CJ431">$BI431 * SUMPRODUCT(INDEX($AR$77:$AT$82,,$AI431),INDEX($AU$77:$BA$82,,$AH431), N($AQ$77:$AQ$82&gt;$AO431)) / CI431 / 1000</f>
        <v>0</v>
      </c>
      <c r="CK431" s="232">
        <f t="shared" si="532"/>
        <v>30</v>
      </c>
      <c r="CL431" s="230">
        <f t="shared" si="516"/>
        <v>43</v>
      </c>
      <c r="CM431" s="235">
        <f t="shared" si="517"/>
        <v>3.5018750000000001</v>
      </c>
      <c r="CN431" s="235" cm="1">
        <f t="array" ref="CN431">$BI431 * IF($AH431&lt;=2,
SUMPRODUCT(INDEX($AR$72:$AT$76,,$AI431), INDEX($AU$72:$BA$76,,$AH431), 1 / ($BB$72:$BB$76*CM431 + (1-$BB$72:$BB$76)*CI431), N($AQ$72:$AQ$76&gt;$AO431)),
SUMPRODUCT(INDEX($AR$67:$AT$76,,$AI431), INDEX($AU$67:$BA$76,,$AH431), 1 / ($BC$67:$BC$76*CM431 + (1-$BC$67:$BC$76)*CI431), N($AQ$67:$AQ$76&gt;$AO431))
) / 1000</f>
        <v>0</v>
      </c>
      <c r="CO431" s="232">
        <f t="shared" si="533"/>
        <v>25</v>
      </c>
      <c r="CP431" s="230">
        <f t="shared" si="518"/>
        <v>38</v>
      </c>
      <c r="CQ431" s="235">
        <f t="shared" si="519"/>
        <v>4.0666935483870965</v>
      </c>
      <c r="CR431" s="235" cm="1">
        <f t="array" ref="CR431">$BI431 * IF($AH431&lt;=2,
SUMPRODUCT(INDEX($AR$67:$AT$71,,$AI431), INDEX($AU$67:$BA$71,,$AH431), 1 / ($BB$67:$BB$71*CQ431 + (1-$BB$67:$BB$71)*CM431), N($AQ$67:$AQ$71&gt;$AO431)),
SUMPRODUCT(INDEX($AR$57:$AT$66,,$AI431), INDEX($AU$57:$BA$66,,$AH431), 1 / ($BC$57:$BC$66*CQ431 + (1-$BC$57:$BC$66)*CM431), N($AQ$57:$AQ$66&gt;$AO431))
) / 1000</f>
        <v>0</v>
      </c>
      <c r="CS431" s="232">
        <f t="shared" si="534"/>
        <v>20</v>
      </c>
      <c r="CT431" s="230">
        <f t="shared" si="520"/>
        <v>33</v>
      </c>
      <c r="CU431" s="235">
        <f t="shared" si="521"/>
        <v>4.8487499999999999</v>
      </c>
      <c r="CV431" s="235" cm="1">
        <f t="array" ref="CV431">$BI431 * IF($AH431&lt;=2,
SUMPRODUCT(INDEX($AR$62:$AT$66,,$AI431), INDEX($AU$62:$BA$66,,$AH431), 1 / ($BB$62:$BB$66*CU431 + (1-$BB$62:$BB$66)*CQ431), N($AQ$62:$AQ$66&gt;$AO431)),
SUMPRODUCT(INDEX($AR$47:$AT$56,,$AI431), INDEX($AU$47:$BA$56,,$AH431), 1 / ($BC$47:$BC$56*CU431 + (1-$BC$47:$BC$56)*CQ431), N($AQ$47:$AQ$56&gt;$AO431))
) / 1000</f>
        <v>0</v>
      </c>
      <c r="CW431" s="235" cm="1">
        <f t="array" ref="CW431">$BI431 * IF($AH431&lt;=2,
SUMPRODUCT(INDEX($AR$23:$AT$61,,$AI431), INDEX($AU$23:$BA$61,,$AH431), 1 / ($BB$23:$BB$61*CU431), N($AQ$23:$AQ$61&gt;$AO431)),
SUMPRODUCT(INDEX($AR$23:$AT$46,,$AI431), INDEX($AU$23:$BA$46,,$AH431), 1 / ($BC$23:$BC$46*CU431), N($AQ$23:$AQ$46&gt;$AO431))
) / 1000</f>
        <v>0</v>
      </c>
      <c r="CX431" s="230">
        <f t="shared" si="522"/>
        <v>0</v>
      </c>
      <c r="CY431" s="238"/>
    </row>
    <row r="432" spans="1:103" s="76" customFormat="1" ht="14.25" customHeight="1" x14ac:dyDescent="0.2">
      <c r="A432" s="231" t="b">
        <f t="shared" si="526"/>
        <v>0</v>
      </c>
      <c r="B432" s="245">
        <v>410</v>
      </c>
      <c r="C432" s="258"/>
      <c r="D432" s="258"/>
      <c r="E432" s="246"/>
      <c r="F432" s="247" t="str">
        <f>IF(ISBLANK(E432), "", VLOOKUP(E432, Z!$A$2:$C$4127, 3, FALSE))</f>
        <v/>
      </c>
      <c r="G432" s="248"/>
      <c r="H432" s="248"/>
      <c r="I432" s="249"/>
      <c r="J432" s="250"/>
      <c r="K432" s="259"/>
      <c r="L432" s="260"/>
      <c r="M432" s="252" t="str" cm="1">
        <f t="array" ref="M432">INDEX(Trad, 53, $A$20)</f>
        <v>Verschmutzt</v>
      </c>
      <c r="N432" s="253"/>
      <c r="O432" s="253"/>
      <c r="P432" s="254"/>
      <c r="Q432" s="251"/>
      <c r="R432" s="251"/>
      <c r="S432" s="264">
        <f t="shared" si="497"/>
        <v>0</v>
      </c>
      <c r="T432" s="252" t="str" cm="1">
        <f t="array" ref="T432">INDEX(Trad, 52, $A$20)</f>
        <v>Sauber</v>
      </c>
      <c r="U432" s="253"/>
      <c r="V432" s="253"/>
      <c r="W432" s="254"/>
      <c r="X432" s="251"/>
      <c r="Y432" s="251"/>
      <c r="Z432" s="264">
        <f t="shared" si="498"/>
        <v>0</v>
      </c>
      <c r="AA432" s="261"/>
      <c r="AB432" s="258"/>
      <c r="AC432" s="246"/>
      <c r="AD432" s="247" t="str">
        <f>IF(ISBLANK(AC432), "", VLOOKUP(AC432, Z!$A$2:$C$4127, 3, FALSE))</f>
        <v/>
      </c>
      <c r="AE432" s="262"/>
      <c r="AF432" s="263">
        <f t="shared" si="499"/>
        <v>0</v>
      </c>
      <c r="AG432" s="238"/>
      <c r="AH432" s="229">
        <f t="shared" si="523"/>
        <v>1</v>
      </c>
      <c r="AI432" s="229">
        <f t="shared" si="524"/>
        <v>1</v>
      </c>
      <c r="AJ432" s="229">
        <f t="shared" si="525"/>
        <v>0</v>
      </c>
      <c r="AK432" s="229">
        <v>0</v>
      </c>
      <c r="AL432" s="229">
        <v>0</v>
      </c>
      <c r="AM432" s="229">
        <v>1</v>
      </c>
      <c r="AN432" s="229">
        <v>0</v>
      </c>
      <c r="AO432" s="229">
        <f t="shared" si="500"/>
        <v>-100</v>
      </c>
      <c r="AP432" s="238"/>
      <c r="AQ432" s="255"/>
      <c r="AR432" s="255"/>
      <c r="AS432" s="256"/>
      <c r="AT432" s="256"/>
      <c r="AU432" s="256"/>
      <c r="AV432" s="256"/>
      <c r="AW432" s="256"/>
      <c r="AX432" s="256"/>
      <c r="AY432" s="256"/>
      <c r="AZ432" s="256"/>
      <c r="BA432" s="256"/>
      <c r="BB432" s="256"/>
      <c r="BC432" s="256"/>
      <c r="BD432" s="238"/>
      <c r="BE432" s="229" cm="1">
        <f t="array" ref="BE432">IF(ISBLANK(R432), INDEX(Use, $AH432, 4) - AM432*INDEX(Use, $AH432, 6), R432)</f>
        <v>5</v>
      </c>
      <c r="BF432" s="229">
        <f t="shared" si="501"/>
        <v>30</v>
      </c>
      <c r="BG432" s="229">
        <f t="shared" si="527"/>
        <v>13</v>
      </c>
      <c r="BH432" s="229">
        <f t="shared" si="528"/>
        <v>0</v>
      </c>
      <c r="BI432" s="234" cm="1">
        <f t="array" ref="BI432">K432/IF($L432&gt;0, INDEX($AU$23:$BA$77, $L432+20, $AH432), 1)</f>
        <v>0</v>
      </c>
      <c r="BJ432" s="230">
        <f t="shared" si="502"/>
        <v>0</v>
      </c>
      <c r="BK432" s="229">
        <v>35</v>
      </c>
      <c r="BL432" s="230">
        <f t="shared" si="503"/>
        <v>48</v>
      </c>
      <c r="BM432" s="235">
        <f t="shared" si="504"/>
        <v>2.9108720930232557</v>
      </c>
      <c r="BN432" s="235" cm="1">
        <f t="array" ref="BN432">$BI432 * SUMPRODUCT(INDEX($AR$77:$AT$82,,$AI432),INDEX($AU$77:$BA$82,,$AH432), N($AQ$77:$AQ$82&gt;$AO432)) / BM432 / 1000</f>
        <v>0</v>
      </c>
      <c r="BO432" s="232">
        <f t="shared" si="529"/>
        <v>30</v>
      </c>
      <c r="BP432" s="230">
        <f t="shared" si="505"/>
        <v>43</v>
      </c>
      <c r="BQ432" s="235">
        <f t="shared" si="506"/>
        <v>3.2938815789473681</v>
      </c>
      <c r="BR432" s="235" cm="1">
        <f t="array" ref="BR432">$BI432 * IF($AH432&lt;=2,
SUMPRODUCT(INDEX($AR$72:$AT$76,,$AI432), INDEX($AU$72:$BA$76,,$AH432), 1 / ($BB$72:$BB$76*BQ432 + (1-$BB$72:$BB$76)*BM432), N($AQ$72:$AQ$76&gt;$AO432)),
SUMPRODUCT(INDEX($AR$67:$AT$76,,$AI432), INDEX($AU$67:$BA$76,,$AH432), 1 / ($BC$67:$BC$76*BQ432 + (1-$BC$67:$BC$76)*BM432), N($AQ$67:$AQ$76&gt;$AO432))
) / 1000</f>
        <v>0</v>
      </c>
      <c r="BS432" s="232">
        <f t="shared" si="530"/>
        <v>25</v>
      </c>
      <c r="BT432" s="230">
        <f t="shared" si="507"/>
        <v>38</v>
      </c>
      <c r="BU432" s="235">
        <f t="shared" si="508"/>
        <v>3.792954545454545</v>
      </c>
      <c r="BV432" s="235" cm="1">
        <f t="array" ref="BV432">$BI432 * IF($AH432&lt;=2,
SUMPRODUCT(INDEX($AR$67:$AT$71,,$AI432), INDEX($AU$67:$BA$71,,$AH432), 1 / ($BB$67:$BB$71*BU432 + (1-$BB$67:$BB$71)*BQ432), N($AQ$67:$AQ$71&gt;$AO432)),
SUMPRODUCT(INDEX($AR$57:$AT$66,,$AI432), INDEX($AU$57:$BA$66,,$AH432), 1 / ($BC$57:$BC$66*BU432 + (1-$BC$57:$BC$66)*BQ432), N($AQ$57:$AQ$66&gt;$AO432))
) / 1000</f>
        <v>0</v>
      </c>
      <c r="BW432" s="232">
        <f t="shared" si="531"/>
        <v>20</v>
      </c>
      <c r="BX432" s="230">
        <f t="shared" si="509"/>
        <v>33</v>
      </c>
      <c r="BY432" s="235">
        <f t="shared" si="510"/>
        <v>4.4702678571428569</v>
      </c>
      <c r="BZ432" s="235" cm="1">
        <f t="array" ref="BZ432">$BI432 * IF($AH432&lt;=2,
SUMPRODUCT(INDEX($AR$62:$AT$66,,$AI432), INDEX($AU$62:$BA$66,,$AH432), 1 / ($BB$62:$BB$66*BY432 + (1-$BB$62:$BB$66)*BU432), N($AQ$62:$AQ$66&gt;$AO432)),
SUMPRODUCT(INDEX($AR$47:$AT$56,,$AI432), INDEX($AU$47:$BA$56,,$AH432), 1 / ($BC$47:$BC$56*BY432 + (1-$BC$47:$BC$56)*BU432), N($AQ$47:$AQ$56&gt;$AO432))
) / 1000</f>
        <v>0</v>
      </c>
      <c r="CA432" s="235" cm="1">
        <f t="array" ref="CA432">$BI432 * IF($AH432&lt;=2,
SUMPRODUCT(INDEX($AR$23:$AT$61,,$AI432), INDEX($AU$23:$BA$61,,$AH432), 1 / ($BB$23:$BB$61*BY432), N($AQ$23:$AQ$61&gt;$AO432)),
SUMPRODUCT(INDEX($AR$23:$AT$46,,$AI432), INDEX($AU$23:$BA$46,,$AH432), 1 / ($BC$23:$BC$46*BY432), N($AQ$23:$AQ$46&gt;$AO432))
) / 1000</f>
        <v>0</v>
      </c>
      <c r="CB432" s="230">
        <f t="shared" si="511"/>
        <v>0</v>
      </c>
      <c r="CC432" s="238"/>
      <c r="CD432" s="229" cm="1">
        <f t="array" ref="CD432">IF(ISBLANK(Y432), INDEX(Use, $AH432, 4) - AN432*INDEX(Use, $AH432, 6) - (Q432-X432), Y432)</f>
        <v>7</v>
      </c>
      <c r="CE432" s="229">
        <f t="shared" si="512"/>
        <v>32</v>
      </c>
      <c r="CF432" s="230">
        <f t="shared" si="513"/>
        <v>0</v>
      </c>
      <c r="CG432" s="229">
        <v>35</v>
      </c>
      <c r="CH432" s="230">
        <f t="shared" si="514"/>
        <v>48</v>
      </c>
      <c r="CI432" s="235">
        <f t="shared" si="515"/>
        <v>3.0748170731707316</v>
      </c>
      <c r="CJ432" s="235" cm="1">
        <f t="array" ref="CJ432">$BI432 * SUMPRODUCT(INDEX($AR$77:$AT$82,,$AI432),INDEX($AU$77:$BA$82,,$AH432), N($AQ$77:$AQ$82&gt;$AO432)) / CI432 / 1000</f>
        <v>0</v>
      </c>
      <c r="CK432" s="232">
        <f t="shared" si="532"/>
        <v>30</v>
      </c>
      <c r="CL432" s="230">
        <f t="shared" si="516"/>
        <v>43</v>
      </c>
      <c r="CM432" s="235">
        <f t="shared" si="517"/>
        <v>3.5018750000000001</v>
      </c>
      <c r="CN432" s="235" cm="1">
        <f t="array" ref="CN432">$BI432 * IF($AH432&lt;=2,
SUMPRODUCT(INDEX($AR$72:$AT$76,,$AI432), INDEX($AU$72:$BA$76,,$AH432), 1 / ($BB$72:$BB$76*CM432 + (1-$BB$72:$BB$76)*CI432), N($AQ$72:$AQ$76&gt;$AO432)),
SUMPRODUCT(INDEX($AR$67:$AT$76,,$AI432), INDEX($AU$67:$BA$76,,$AH432), 1 / ($BC$67:$BC$76*CM432 + (1-$BC$67:$BC$76)*CI432), N($AQ$67:$AQ$76&gt;$AO432))
) / 1000</f>
        <v>0</v>
      </c>
      <c r="CO432" s="232">
        <f t="shared" si="533"/>
        <v>25</v>
      </c>
      <c r="CP432" s="230">
        <f t="shared" si="518"/>
        <v>38</v>
      </c>
      <c r="CQ432" s="235">
        <f t="shared" si="519"/>
        <v>4.0666935483870965</v>
      </c>
      <c r="CR432" s="235" cm="1">
        <f t="array" ref="CR432">$BI432 * IF($AH432&lt;=2,
SUMPRODUCT(INDEX($AR$67:$AT$71,,$AI432), INDEX($AU$67:$BA$71,,$AH432), 1 / ($BB$67:$BB$71*CQ432 + (1-$BB$67:$BB$71)*CM432), N($AQ$67:$AQ$71&gt;$AO432)),
SUMPRODUCT(INDEX($AR$57:$AT$66,,$AI432), INDEX($AU$57:$BA$66,,$AH432), 1 / ($BC$57:$BC$66*CQ432 + (1-$BC$57:$BC$66)*CM432), N($AQ$57:$AQ$66&gt;$AO432))
) / 1000</f>
        <v>0</v>
      </c>
      <c r="CS432" s="232">
        <f t="shared" si="534"/>
        <v>20</v>
      </c>
      <c r="CT432" s="230">
        <f t="shared" si="520"/>
        <v>33</v>
      </c>
      <c r="CU432" s="235">
        <f t="shared" si="521"/>
        <v>4.8487499999999999</v>
      </c>
      <c r="CV432" s="235" cm="1">
        <f t="array" ref="CV432">$BI432 * IF($AH432&lt;=2,
SUMPRODUCT(INDEX($AR$62:$AT$66,,$AI432), INDEX($AU$62:$BA$66,,$AH432), 1 / ($BB$62:$BB$66*CU432 + (1-$BB$62:$BB$66)*CQ432), N($AQ$62:$AQ$66&gt;$AO432)),
SUMPRODUCT(INDEX($AR$47:$AT$56,,$AI432), INDEX($AU$47:$BA$56,,$AH432), 1 / ($BC$47:$BC$56*CU432 + (1-$BC$47:$BC$56)*CQ432), N($AQ$47:$AQ$56&gt;$AO432))
) / 1000</f>
        <v>0</v>
      </c>
      <c r="CW432" s="235" cm="1">
        <f t="array" ref="CW432">$BI432 * IF($AH432&lt;=2,
SUMPRODUCT(INDEX($AR$23:$AT$61,,$AI432), INDEX($AU$23:$BA$61,,$AH432), 1 / ($BB$23:$BB$61*CU432), N($AQ$23:$AQ$61&gt;$AO432)),
SUMPRODUCT(INDEX($AR$23:$AT$46,,$AI432), INDEX($AU$23:$BA$46,,$AH432), 1 / ($BC$23:$BC$46*CU432), N($AQ$23:$AQ$46&gt;$AO432))
) / 1000</f>
        <v>0</v>
      </c>
      <c r="CX432" s="230">
        <f t="shared" si="522"/>
        <v>0</v>
      </c>
      <c r="CY432" s="238"/>
    </row>
    <row r="433" spans="1:103" s="76" customFormat="1" ht="14.25" customHeight="1" x14ac:dyDescent="0.2">
      <c r="A433" s="231" t="b">
        <f t="shared" si="526"/>
        <v>0</v>
      </c>
      <c r="B433" s="245">
        <v>411</v>
      </c>
      <c r="C433" s="258"/>
      <c r="D433" s="258"/>
      <c r="E433" s="246"/>
      <c r="F433" s="247" t="str">
        <f>IF(ISBLANK(E433), "", VLOOKUP(E433, Z!$A$2:$C$4127, 3, FALSE))</f>
        <v/>
      </c>
      <c r="G433" s="248"/>
      <c r="H433" s="248"/>
      <c r="I433" s="249"/>
      <c r="J433" s="250"/>
      <c r="K433" s="259"/>
      <c r="L433" s="260"/>
      <c r="M433" s="252" t="str" cm="1">
        <f t="array" ref="M433">INDEX(Trad, 53, $A$20)</f>
        <v>Verschmutzt</v>
      </c>
      <c r="N433" s="253"/>
      <c r="O433" s="253"/>
      <c r="P433" s="254"/>
      <c r="Q433" s="251"/>
      <c r="R433" s="251"/>
      <c r="S433" s="264">
        <f t="shared" si="497"/>
        <v>0</v>
      </c>
      <c r="T433" s="252" t="str" cm="1">
        <f t="array" ref="T433">INDEX(Trad, 52, $A$20)</f>
        <v>Sauber</v>
      </c>
      <c r="U433" s="253"/>
      <c r="V433" s="253"/>
      <c r="W433" s="254"/>
      <c r="X433" s="251"/>
      <c r="Y433" s="251"/>
      <c r="Z433" s="264">
        <f t="shared" si="498"/>
        <v>0</v>
      </c>
      <c r="AA433" s="261"/>
      <c r="AB433" s="258"/>
      <c r="AC433" s="246"/>
      <c r="AD433" s="247" t="str">
        <f>IF(ISBLANK(AC433), "", VLOOKUP(AC433, Z!$A$2:$C$4127, 3, FALSE))</f>
        <v/>
      </c>
      <c r="AE433" s="262"/>
      <c r="AF433" s="263">
        <f t="shared" si="499"/>
        <v>0</v>
      </c>
      <c r="AG433" s="238"/>
      <c r="AH433" s="229">
        <f t="shared" si="523"/>
        <v>1</v>
      </c>
      <c r="AI433" s="229">
        <f t="shared" si="524"/>
        <v>1</v>
      </c>
      <c r="AJ433" s="229">
        <f t="shared" si="525"/>
        <v>0</v>
      </c>
      <c r="AK433" s="229">
        <v>0</v>
      </c>
      <c r="AL433" s="229">
        <v>0</v>
      </c>
      <c r="AM433" s="229">
        <v>1</v>
      </c>
      <c r="AN433" s="229">
        <v>0</v>
      </c>
      <c r="AO433" s="229">
        <f t="shared" si="500"/>
        <v>-100</v>
      </c>
      <c r="AP433" s="238"/>
      <c r="AQ433" s="255"/>
      <c r="AR433" s="255"/>
      <c r="AS433" s="256"/>
      <c r="AT433" s="256"/>
      <c r="AU433" s="256"/>
      <c r="AV433" s="256"/>
      <c r="AW433" s="256"/>
      <c r="AX433" s="256"/>
      <c r="AY433" s="256"/>
      <c r="AZ433" s="256"/>
      <c r="BA433" s="256"/>
      <c r="BB433" s="256"/>
      <c r="BC433" s="256"/>
      <c r="BD433" s="238"/>
      <c r="BE433" s="229" cm="1">
        <f t="array" ref="BE433">IF(ISBLANK(R433), INDEX(Use, $AH433, 4) - AM433*INDEX(Use, $AH433, 6), R433)</f>
        <v>5</v>
      </c>
      <c r="BF433" s="229">
        <f t="shared" si="501"/>
        <v>30</v>
      </c>
      <c r="BG433" s="229">
        <f t="shared" si="527"/>
        <v>13</v>
      </c>
      <c r="BH433" s="229">
        <f t="shared" si="528"/>
        <v>0</v>
      </c>
      <c r="BI433" s="234" cm="1">
        <f t="array" ref="BI433">K433/IF($L433&gt;0, INDEX($AU$23:$BA$77, $L433+20, $AH433), 1)</f>
        <v>0</v>
      </c>
      <c r="BJ433" s="230">
        <f t="shared" si="502"/>
        <v>0</v>
      </c>
      <c r="BK433" s="229">
        <v>35</v>
      </c>
      <c r="BL433" s="230">
        <f t="shared" si="503"/>
        <v>48</v>
      </c>
      <c r="BM433" s="235">
        <f t="shared" si="504"/>
        <v>2.9108720930232557</v>
      </c>
      <c r="BN433" s="235" cm="1">
        <f t="array" ref="BN433">$BI433 * SUMPRODUCT(INDEX($AR$77:$AT$82,,$AI433),INDEX($AU$77:$BA$82,,$AH433), N($AQ$77:$AQ$82&gt;$AO433)) / BM433 / 1000</f>
        <v>0</v>
      </c>
      <c r="BO433" s="232">
        <f t="shared" si="529"/>
        <v>30</v>
      </c>
      <c r="BP433" s="230">
        <f t="shared" si="505"/>
        <v>43</v>
      </c>
      <c r="BQ433" s="235">
        <f t="shared" si="506"/>
        <v>3.2938815789473681</v>
      </c>
      <c r="BR433" s="235" cm="1">
        <f t="array" ref="BR433">$BI433 * IF($AH433&lt;=2,
SUMPRODUCT(INDEX($AR$72:$AT$76,,$AI433), INDEX($AU$72:$BA$76,,$AH433), 1 / ($BB$72:$BB$76*BQ433 + (1-$BB$72:$BB$76)*BM433), N($AQ$72:$AQ$76&gt;$AO433)),
SUMPRODUCT(INDEX($AR$67:$AT$76,,$AI433), INDEX($AU$67:$BA$76,,$AH433), 1 / ($BC$67:$BC$76*BQ433 + (1-$BC$67:$BC$76)*BM433), N($AQ$67:$AQ$76&gt;$AO433))
) / 1000</f>
        <v>0</v>
      </c>
      <c r="BS433" s="232">
        <f t="shared" si="530"/>
        <v>25</v>
      </c>
      <c r="BT433" s="230">
        <f t="shared" si="507"/>
        <v>38</v>
      </c>
      <c r="BU433" s="235">
        <f t="shared" si="508"/>
        <v>3.792954545454545</v>
      </c>
      <c r="BV433" s="235" cm="1">
        <f t="array" ref="BV433">$BI433 * IF($AH433&lt;=2,
SUMPRODUCT(INDEX($AR$67:$AT$71,,$AI433), INDEX($AU$67:$BA$71,,$AH433), 1 / ($BB$67:$BB$71*BU433 + (1-$BB$67:$BB$71)*BQ433), N($AQ$67:$AQ$71&gt;$AO433)),
SUMPRODUCT(INDEX($AR$57:$AT$66,,$AI433), INDEX($AU$57:$BA$66,,$AH433), 1 / ($BC$57:$BC$66*BU433 + (1-$BC$57:$BC$66)*BQ433), N($AQ$57:$AQ$66&gt;$AO433))
) / 1000</f>
        <v>0</v>
      </c>
      <c r="BW433" s="232">
        <f t="shared" si="531"/>
        <v>20</v>
      </c>
      <c r="BX433" s="230">
        <f t="shared" si="509"/>
        <v>33</v>
      </c>
      <c r="BY433" s="235">
        <f t="shared" si="510"/>
        <v>4.4702678571428569</v>
      </c>
      <c r="BZ433" s="235" cm="1">
        <f t="array" ref="BZ433">$BI433 * IF($AH433&lt;=2,
SUMPRODUCT(INDEX($AR$62:$AT$66,,$AI433), INDEX($AU$62:$BA$66,,$AH433), 1 / ($BB$62:$BB$66*BY433 + (1-$BB$62:$BB$66)*BU433), N($AQ$62:$AQ$66&gt;$AO433)),
SUMPRODUCT(INDEX($AR$47:$AT$56,,$AI433), INDEX($AU$47:$BA$56,,$AH433), 1 / ($BC$47:$BC$56*BY433 + (1-$BC$47:$BC$56)*BU433), N($AQ$47:$AQ$56&gt;$AO433))
) / 1000</f>
        <v>0</v>
      </c>
      <c r="CA433" s="235" cm="1">
        <f t="array" ref="CA433">$BI433 * IF($AH433&lt;=2,
SUMPRODUCT(INDEX($AR$23:$AT$61,,$AI433), INDEX($AU$23:$BA$61,,$AH433), 1 / ($BB$23:$BB$61*BY433), N($AQ$23:$AQ$61&gt;$AO433)),
SUMPRODUCT(INDEX($AR$23:$AT$46,,$AI433), INDEX($AU$23:$BA$46,,$AH433), 1 / ($BC$23:$BC$46*BY433), N($AQ$23:$AQ$46&gt;$AO433))
) / 1000</f>
        <v>0</v>
      </c>
      <c r="CB433" s="230">
        <f t="shared" si="511"/>
        <v>0</v>
      </c>
      <c r="CC433" s="238"/>
      <c r="CD433" s="229" cm="1">
        <f t="array" ref="CD433">IF(ISBLANK(Y433), INDEX(Use, $AH433, 4) - AN433*INDEX(Use, $AH433, 6) - (Q433-X433), Y433)</f>
        <v>7</v>
      </c>
      <c r="CE433" s="229">
        <f t="shared" si="512"/>
        <v>32</v>
      </c>
      <c r="CF433" s="230">
        <f t="shared" si="513"/>
        <v>0</v>
      </c>
      <c r="CG433" s="229">
        <v>35</v>
      </c>
      <c r="CH433" s="230">
        <f t="shared" si="514"/>
        <v>48</v>
      </c>
      <c r="CI433" s="235">
        <f t="shared" si="515"/>
        <v>3.0748170731707316</v>
      </c>
      <c r="CJ433" s="235" cm="1">
        <f t="array" ref="CJ433">$BI433 * SUMPRODUCT(INDEX($AR$77:$AT$82,,$AI433),INDEX($AU$77:$BA$82,,$AH433), N($AQ$77:$AQ$82&gt;$AO433)) / CI433 / 1000</f>
        <v>0</v>
      </c>
      <c r="CK433" s="232">
        <f t="shared" si="532"/>
        <v>30</v>
      </c>
      <c r="CL433" s="230">
        <f t="shared" si="516"/>
        <v>43</v>
      </c>
      <c r="CM433" s="235">
        <f t="shared" si="517"/>
        <v>3.5018750000000001</v>
      </c>
      <c r="CN433" s="235" cm="1">
        <f t="array" ref="CN433">$BI433 * IF($AH433&lt;=2,
SUMPRODUCT(INDEX($AR$72:$AT$76,,$AI433), INDEX($AU$72:$BA$76,,$AH433), 1 / ($BB$72:$BB$76*CM433 + (1-$BB$72:$BB$76)*CI433), N($AQ$72:$AQ$76&gt;$AO433)),
SUMPRODUCT(INDEX($AR$67:$AT$76,,$AI433), INDEX($AU$67:$BA$76,,$AH433), 1 / ($BC$67:$BC$76*CM433 + (1-$BC$67:$BC$76)*CI433), N($AQ$67:$AQ$76&gt;$AO433))
) / 1000</f>
        <v>0</v>
      </c>
      <c r="CO433" s="232">
        <f t="shared" si="533"/>
        <v>25</v>
      </c>
      <c r="CP433" s="230">
        <f t="shared" si="518"/>
        <v>38</v>
      </c>
      <c r="CQ433" s="235">
        <f t="shared" si="519"/>
        <v>4.0666935483870965</v>
      </c>
      <c r="CR433" s="235" cm="1">
        <f t="array" ref="CR433">$BI433 * IF($AH433&lt;=2,
SUMPRODUCT(INDEX($AR$67:$AT$71,,$AI433), INDEX($AU$67:$BA$71,,$AH433), 1 / ($BB$67:$BB$71*CQ433 + (1-$BB$67:$BB$71)*CM433), N($AQ$67:$AQ$71&gt;$AO433)),
SUMPRODUCT(INDEX($AR$57:$AT$66,,$AI433), INDEX($AU$57:$BA$66,,$AH433), 1 / ($BC$57:$BC$66*CQ433 + (1-$BC$57:$BC$66)*CM433), N($AQ$57:$AQ$66&gt;$AO433))
) / 1000</f>
        <v>0</v>
      </c>
      <c r="CS433" s="232">
        <f t="shared" si="534"/>
        <v>20</v>
      </c>
      <c r="CT433" s="230">
        <f t="shared" si="520"/>
        <v>33</v>
      </c>
      <c r="CU433" s="235">
        <f t="shared" si="521"/>
        <v>4.8487499999999999</v>
      </c>
      <c r="CV433" s="235" cm="1">
        <f t="array" ref="CV433">$BI433 * IF($AH433&lt;=2,
SUMPRODUCT(INDEX($AR$62:$AT$66,,$AI433), INDEX($AU$62:$BA$66,,$AH433), 1 / ($BB$62:$BB$66*CU433 + (1-$BB$62:$BB$66)*CQ433), N($AQ$62:$AQ$66&gt;$AO433)),
SUMPRODUCT(INDEX($AR$47:$AT$56,,$AI433), INDEX($AU$47:$BA$56,,$AH433), 1 / ($BC$47:$BC$56*CU433 + (1-$BC$47:$BC$56)*CQ433), N($AQ$47:$AQ$56&gt;$AO433))
) / 1000</f>
        <v>0</v>
      </c>
      <c r="CW433" s="235" cm="1">
        <f t="array" ref="CW433">$BI433 * IF($AH433&lt;=2,
SUMPRODUCT(INDEX($AR$23:$AT$61,,$AI433), INDEX($AU$23:$BA$61,,$AH433), 1 / ($BB$23:$BB$61*CU433), N($AQ$23:$AQ$61&gt;$AO433)),
SUMPRODUCT(INDEX($AR$23:$AT$46,,$AI433), INDEX($AU$23:$BA$46,,$AH433), 1 / ($BC$23:$BC$46*CU433), N($AQ$23:$AQ$46&gt;$AO433))
) / 1000</f>
        <v>0</v>
      </c>
      <c r="CX433" s="230">
        <f t="shared" si="522"/>
        <v>0</v>
      </c>
      <c r="CY433" s="238"/>
    </row>
    <row r="434" spans="1:103" s="76" customFormat="1" ht="14.25" customHeight="1" x14ac:dyDescent="0.2">
      <c r="A434" s="231" t="b">
        <f t="shared" si="526"/>
        <v>0</v>
      </c>
      <c r="B434" s="245">
        <v>412</v>
      </c>
      <c r="C434" s="258"/>
      <c r="D434" s="258"/>
      <c r="E434" s="246"/>
      <c r="F434" s="247" t="str">
        <f>IF(ISBLANK(E434), "", VLOOKUP(E434, Z!$A$2:$C$4127, 3, FALSE))</f>
        <v/>
      </c>
      <c r="G434" s="248"/>
      <c r="H434" s="248"/>
      <c r="I434" s="249"/>
      <c r="J434" s="250"/>
      <c r="K434" s="259"/>
      <c r="L434" s="260"/>
      <c r="M434" s="252" t="str" cm="1">
        <f t="array" ref="M434">INDEX(Trad, 53, $A$20)</f>
        <v>Verschmutzt</v>
      </c>
      <c r="N434" s="253"/>
      <c r="O434" s="253"/>
      <c r="P434" s="254"/>
      <c r="Q434" s="251"/>
      <c r="R434" s="251"/>
      <c r="S434" s="264">
        <f t="shared" si="497"/>
        <v>0</v>
      </c>
      <c r="T434" s="252" t="str" cm="1">
        <f t="array" ref="T434">INDEX(Trad, 52, $A$20)</f>
        <v>Sauber</v>
      </c>
      <c r="U434" s="253"/>
      <c r="V434" s="253"/>
      <c r="W434" s="254"/>
      <c r="X434" s="251"/>
      <c r="Y434" s="251"/>
      <c r="Z434" s="264">
        <f t="shared" si="498"/>
        <v>0</v>
      </c>
      <c r="AA434" s="261"/>
      <c r="AB434" s="258"/>
      <c r="AC434" s="246"/>
      <c r="AD434" s="247" t="str">
        <f>IF(ISBLANK(AC434), "", VLOOKUP(AC434, Z!$A$2:$C$4127, 3, FALSE))</f>
        <v/>
      </c>
      <c r="AE434" s="262"/>
      <c r="AF434" s="263">
        <f t="shared" si="499"/>
        <v>0</v>
      </c>
      <c r="AG434" s="238"/>
      <c r="AH434" s="229">
        <f t="shared" si="523"/>
        <v>1</v>
      </c>
      <c r="AI434" s="229">
        <f t="shared" si="524"/>
        <v>1</v>
      </c>
      <c r="AJ434" s="229">
        <f t="shared" si="525"/>
        <v>0</v>
      </c>
      <c r="AK434" s="229">
        <v>0</v>
      </c>
      <c r="AL434" s="229">
        <v>0</v>
      </c>
      <c r="AM434" s="229">
        <v>1</v>
      </c>
      <c r="AN434" s="229">
        <v>0</v>
      </c>
      <c r="AO434" s="229">
        <f t="shared" si="500"/>
        <v>-100</v>
      </c>
      <c r="AP434" s="238"/>
      <c r="AQ434" s="255"/>
      <c r="AR434" s="255"/>
      <c r="AS434" s="256"/>
      <c r="AT434" s="256"/>
      <c r="AU434" s="256"/>
      <c r="AV434" s="256"/>
      <c r="AW434" s="256"/>
      <c r="AX434" s="256"/>
      <c r="AY434" s="256"/>
      <c r="AZ434" s="256"/>
      <c r="BA434" s="256"/>
      <c r="BB434" s="256"/>
      <c r="BC434" s="256"/>
      <c r="BD434" s="238"/>
      <c r="BE434" s="229" cm="1">
        <f t="array" ref="BE434">IF(ISBLANK(R434), INDEX(Use, $AH434, 4) - AM434*INDEX(Use, $AH434, 6), R434)</f>
        <v>5</v>
      </c>
      <c r="BF434" s="229">
        <f t="shared" si="501"/>
        <v>30</v>
      </c>
      <c r="BG434" s="229">
        <f t="shared" si="527"/>
        <v>13</v>
      </c>
      <c r="BH434" s="229">
        <f t="shared" si="528"/>
        <v>0</v>
      </c>
      <c r="BI434" s="234" cm="1">
        <f t="array" ref="BI434">K434/IF($L434&gt;0, INDEX($AU$23:$BA$77, $L434+20, $AH434), 1)</f>
        <v>0</v>
      </c>
      <c r="BJ434" s="230">
        <f t="shared" si="502"/>
        <v>0</v>
      </c>
      <c r="BK434" s="229">
        <v>35</v>
      </c>
      <c r="BL434" s="230">
        <f t="shared" si="503"/>
        <v>48</v>
      </c>
      <c r="BM434" s="235">
        <f t="shared" si="504"/>
        <v>2.9108720930232557</v>
      </c>
      <c r="BN434" s="235" cm="1">
        <f t="array" ref="BN434">$BI434 * SUMPRODUCT(INDEX($AR$77:$AT$82,,$AI434),INDEX($AU$77:$BA$82,,$AH434), N($AQ$77:$AQ$82&gt;$AO434)) / BM434 / 1000</f>
        <v>0</v>
      </c>
      <c r="BO434" s="232">
        <f t="shared" si="529"/>
        <v>30</v>
      </c>
      <c r="BP434" s="230">
        <f t="shared" si="505"/>
        <v>43</v>
      </c>
      <c r="BQ434" s="235">
        <f t="shared" si="506"/>
        <v>3.2938815789473681</v>
      </c>
      <c r="BR434" s="235" cm="1">
        <f t="array" ref="BR434">$BI434 * IF($AH434&lt;=2,
SUMPRODUCT(INDEX($AR$72:$AT$76,,$AI434), INDEX($AU$72:$BA$76,,$AH434), 1 / ($BB$72:$BB$76*BQ434 + (1-$BB$72:$BB$76)*BM434), N($AQ$72:$AQ$76&gt;$AO434)),
SUMPRODUCT(INDEX($AR$67:$AT$76,,$AI434), INDEX($AU$67:$BA$76,,$AH434), 1 / ($BC$67:$BC$76*BQ434 + (1-$BC$67:$BC$76)*BM434), N($AQ$67:$AQ$76&gt;$AO434))
) / 1000</f>
        <v>0</v>
      </c>
      <c r="BS434" s="232">
        <f t="shared" si="530"/>
        <v>25</v>
      </c>
      <c r="BT434" s="230">
        <f t="shared" si="507"/>
        <v>38</v>
      </c>
      <c r="BU434" s="235">
        <f t="shared" si="508"/>
        <v>3.792954545454545</v>
      </c>
      <c r="BV434" s="235" cm="1">
        <f t="array" ref="BV434">$BI434 * IF($AH434&lt;=2,
SUMPRODUCT(INDEX($AR$67:$AT$71,,$AI434), INDEX($AU$67:$BA$71,,$AH434), 1 / ($BB$67:$BB$71*BU434 + (1-$BB$67:$BB$71)*BQ434), N($AQ$67:$AQ$71&gt;$AO434)),
SUMPRODUCT(INDEX($AR$57:$AT$66,,$AI434), INDEX($AU$57:$BA$66,,$AH434), 1 / ($BC$57:$BC$66*BU434 + (1-$BC$57:$BC$66)*BQ434), N($AQ$57:$AQ$66&gt;$AO434))
) / 1000</f>
        <v>0</v>
      </c>
      <c r="BW434" s="232">
        <f t="shared" si="531"/>
        <v>20</v>
      </c>
      <c r="BX434" s="230">
        <f t="shared" si="509"/>
        <v>33</v>
      </c>
      <c r="BY434" s="235">
        <f t="shared" si="510"/>
        <v>4.4702678571428569</v>
      </c>
      <c r="BZ434" s="235" cm="1">
        <f t="array" ref="BZ434">$BI434 * IF($AH434&lt;=2,
SUMPRODUCT(INDEX($AR$62:$AT$66,,$AI434), INDEX($AU$62:$BA$66,,$AH434), 1 / ($BB$62:$BB$66*BY434 + (1-$BB$62:$BB$66)*BU434), N($AQ$62:$AQ$66&gt;$AO434)),
SUMPRODUCT(INDEX($AR$47:$AT$56,,$AI434), INDEX($AU$47:$BA$56,,$AH434), 1 / ($BC$47:$BC$56*BY434 + (1-$BC$47:$BC$56)*BU434), N($AQ$47:$AQ$56&gt;$AO434))
) / 1000</f>
        <v>0</v>
      </c>
      <c r="CA434" s="235" cm="1">
        <f t="array" ref="CA434">$BI434 * IF($AH434&lt;=2,
SUMPRODUCT(INDEX($AR$23:$AT$61,,$AI434), INDEX($AU$23:$BA$61,,$AH434), 1 / ($BB$23:$BB$61*BY434), N($AQ$23:$AQ$61&gt;$AO434)),
SUMPRODUCT(INDEX($AR$23:$AT$46,,$AI434), INDEX($AU$23:$BA$46,,$AH434), 1 / ($BC$23:$BC$46*BY434), N($AQ$23:$AQ$46&gt;$AO434))
) / 1000</f>
        <v>0</v>
      </c>
      <c r="CB434" s="230">
        <f t="shared" si="511"/>
        <v>0</v>
      </c>
      <c r="CC434" s="238"/>
      <c r="CD434" s="229" cm="1">
        <f t="array" ref="CD434">IF(ISBLANK(Y434), INDEX(Use, $AH434, 4) - AN434*INDEX(Use, $AH434, 6) - (Q434-X434), Y434)</f>
        <v>7</v>
      </c>
      <c r="CE434" s="229">
        <f t="shared" si="512"/>
        <v>32</v>
      </c>
      <c r="CF434" s="230">
        <f t="shared" si="513"/>
        <v>0</v>
      </c>
      <c r="CG434" s="229">
        <v>35</v>
      </c>
      <c r="CH434" s="230">
        <f t="shared" si="514"/>
        <v>48</v>
      </c>
      <c r="CI434" s="235">
        <f t="shared" si="515"/>
        <v>3.0748170731707316</v>
      </c>
      <c r="CJ434" s="235" cm="1">
        <f t="array" ref="CJ434">$BI434 * SUMPRODUCT(INDEX($AR$77:$AT$82,,$AI434),INDEX($AU$77:$BA$82,,$AH434), N($AQ$77:$AQ$82&gt;$AO434)) / CI434 / 1000</f>
        <v>0</v>
      </c>
      <c r="CK434" s="232">
        <f t="shared" si="532"/>
        <v>30</v>
      </c>
      <c r="CL434" s="230">
        <f t="shared" si="516"/>
        <v>43</v>
      </c>
      <c r="CM434" s="235">
        <f t="shared" si="517"/>
        <v>3.5018750000000001</v>
      </c>
      <c r="CN434" s="235" cm="1">
        <f t="array" ref="CN434">$BI434 * IF($AH434&lt;=2,
SUMPRODUCT(INDEX($AR$72:$AT$76,,$AI434), INDEX($AU$72:$BA$76,,$AH434), 1 / ($BB$72:$BB$76*CM434 + (1-$BB$72:$BB$76)*CI434), N($AQ$72:$AQ$76&gt;$AO434)),
SUMPRODUCT(INDEX($AR$67:$AT$76,,$AI434), INDEX($AU$67:$BA$76,,$AH434), 1 / ($BC$67:$BC$76*CM434 + (1-$BC$67:$BC$76)*CI434), N($AQ$67:$AQ$76&gt;$AO434))
) / 1000</f>
        <v>0</v>
      </c>
      <c r="CO434" s="232">
        <f t="shared" si="533"/>
        <v>25</v>
      </c>
      <c r="CP434" s="230">
        <f t="shared" si="518"/>
        <v>38</v>
      </c>
      <c r="CQ434" s="235">
        <f t="shared" si="519"/>
        <v>4.0666935483870965</v>
      </c>
      <c r="CR434" s="235" cm="1">
        <f t="array" ref="CR434">$BI434 * IF($AH434&lt;=2,
SUMPRODUCT(INDEX($AR$67:$AT$71,,$AI434), INDEX($AU$67:$BA$71,,$AH434), 1 / ($BB$67:$BB$71*CQ434 + (1-$BB$67:$BB$71)*CM434), N($AQ$67:$AQ$71&gt;$AO434)),
SUMPRODUCT(INDEX($AR$57:$AT$66,,$AI434), INDEX($AU$57:$BA$66,,$AH434), 1 / ($BC$57:$BC$66*CQ434 + (1-$BC$57:$BC$66)*CM434), N($AQ$57:$AQ$66&gt;$AO434))
) / 1000</f>
        <v>0</v>
      </c>
      <c r="CS434" s="232">
        <f t="shared" si="534"/>
        <v>20</v>
      </c>
      <c r="CT434" s="230">
        <f t="shared" si="520"/>
        <v>33</v>
      </c>
      <c r="CU434" s="235">
        <f t="shared" si="521"/>
        <v>4.8487499999999999</v>
      </c>
      <c r="CV434" s="235" cm="1">
        <f t="array" ref="CV434">$BI434 * IF($AH434&lt;=2,
SUMPRODUCT(INDEX($AR$62:$AT$66,,$AI434), INDEX($AU$62:$BA$66,,$AH434), 1 / ($BB$62:$BB$66*CU434 + (1-$BB$62:$BB$66)*CQ434), N($AQ$62:$AQ$66&gt;$AO434)),
SUMPRODUCT(INDEX($AR$47:$AT$56,,$AI434), INDEX($AU$47:$BA$56,,$AH434), 1 / ($BC$47:$BC$56*CU434 + (1-$BC$47:$BC$56)*CQ434), N($AQ$47:$AQ$56&gt;$AO434))
) / 1000</f>
        <v>0</v>
      </c>
      <c r="CW434" s="235" cm="1">
        <f t="array" ref="CW434">$BI434 * IF($AH434&lt;=2,
SUMPRODUCT(INDEX($AR$23:$AT$61,,$AI434), INDEX($AU$23:$BA$61,,$AH434), 1 / ($BB$23:$BB$61*CU434), N($AQ$23:$AQ$61&gt;$AO434)),
SUMPRODUCT(INDEX($AR$23:$AT$46,,$AI434), INDEX($AU$23:$BA$46,,$AH434), 1 / ($BC$23:$BC$46*CU434), N($AQ$23:$AQ$46&gt;$AO434))
) / 1000</f>
        <v>0</v>
      </c>
      <c r="CX434" s="230">
        <f t="shared" si="522"/>
        <v>0</v>
      </c>
      <c r="CY434" s="238"/>
    </row>
    <row r="435" spans="1:103" s="76" customFormat="1" ht="14.25" customHeight="1" x14ac:dyDescent="0.2">
      <c r="A435" s="231" t="b">
        <f t="shared" si="526"/>
        <v>0</v>
      </c>
      <c r="B435" s="245">
        <v>413</v>
      </c>
      <c r="C435" s="258"/>
      <c r="D435" s="258"/>
      <c r="E435" s="246"/>
      <c r="F435" s="247" t="str">
        <f>IF(ISBLANK(E435), "", VLOOKUP(E435, Z!$A$2:$C$4127, 3, FALSE))</f>
        <v/>
      </c>
      <c r="G435" s="248"/>
      <c r="H435" s="248"/>
      <c r="I435" s="249"/>
      <c r="J435" s="250"/>
      <c r="K435" s="259"/>
      <c r="L435" s="260"/>
      <c r="M435" s="252" t="str" cm="1">
        <f t="array" ref="M435">INDEX(Trad, 53, $A$20)</f>
        <v>Verschmutzt</v>
      </c>
      <c r="N435" s="253"/>
      <c r="O435" s="253"/>
      <c r="P435" s="254"/>
      <c r="Q435" s="251"/>
      <c r="R435" s="251"/>
      <c r="S435" s="264">
        <f t="shared" si="497"/>
        <v>0</v>
      </c>
      <c r="T435" s="252" t="str" cm="1">
        <f t="array" ref="T435">INDEX(Trad, 52, $A$20)</f>
        <v>Sauber</v>
      </c>
      <c r="U435" s="253"/>
      <c r="V435" s="253"/>
      <c r="W435" s="254"/>
      <c r="X435" s="251"/>
      <c r="Y435" s="251"/>
      <c r="Z435" s="264">
        <f t="shared" si="498"/>
        <v>0</v>
      </c>
      <c r="AA435" s="261"/>
      <c r="AB435" s="258"/>
      <c r="AC435" s="246"/>
      <c r="AD435" s="247" t="str">
        <f>IF(ISBLANK(AC435), "", VLOOKUP(AC435, Z!$A$2:$C$4127, 3, FALSE))</f>
        <v/>
      </c>
      <c r="AE435" s="262"/>
      <c r="AF435" s="263">
        <f t="shared" si="499"/>
        <v>0</v>
      </c>
      <c r="AG435" s="238"/>
      <c r="AH435" s="229">
        <f t="shared" si="523"/>
        <v>1</v>
      </c>
      <c r="AI435" s="229">
        <f t="shared" si="524"/>
        <v>1</v>
      </c>
      <c r="AJ435" s="229">
        <f t="shared" si="525"/>
        <v>0</v>
      </c>
      <c r="AK435" s="229">
        <v>0</v>
      </c>
      <c r="AL435" s="229">
        <v>0</v>
      </c>
      <c r="AM435" s="229">
        <v>1</v>
      </c>
      <c r="AN435" s="229">
        <v>0</v>
      </c>
      <c r="AO435" s="229">
        <f t="shared" si="500"/>
        <v>-100</v>
      </c>
      <c r="AP435" s="238"/>
      <c r="AQ435" s="255"/>
      <c r="AR435" s="255"/>
      <c r="AS435" s="256"/>
      <c r="AT435" s="256"/>
      <c r="AU435" s="256"/>
      <c r="AV435" s="256"/>
      <c r="AW435" s="256"/>
      <c r="AX435" s="256"/>
      <c r="AY435" s="256"/>
      <c r="AZ435" s="256"/>
      <c r="BA435" s="256"/>
      <c r="BB435" s="256"/>
      <c r="BC435" s="256"/>
      <c r="BD435" s="238"/>
      <c r="BE435" s="229" cm="1">
        <f t="array" ref="BE435">IF(ISBLANK(R435), INDEX(Use, $AH435, 4) - AM435*INDEX(Use, $AH435, 6), R435)</f>
        <v>5</v>
      </c>
      <c r="BF435" s="229">
        <f t="shared" si="501"/>
        <v>30</v>
      </c>
      <c r="BG435" s="229">
        <f t="shared" si="527"/>
        <v>13</v>
      </c>
      <c r="BH435" s="229">
        <f t="shared" si="528"/>
        <v>0</v>
      </c>
      <c r="BI435" s="234" cm="1">
        <f t="array" ref="BI435">K435/IF($L435&gt;0, INDEX($AU$23:$BA$77, $L435+20, $AH435), 1)</f>
        <v>0</v>
      </c>
      <c r="BJ435" s="230">
        <f t="shared" si="502"/>
        <v>0</v>
      </c>
      <c r="BK435" s="229">
        <v>35</v>
      </c>
      <c r="BL435" s="230">
        <f t="shared" si="503"/>
        <v>48</v>
      </c>
      <c r="BM435" s="235">
        <f t="shared" si="504"/>
        <v>2.9108720930232557</v>
      </c>
      <c r="BN435" s="235" cm="1">
        <f t="array" ref="BN435">$BI435 * SUMPRODUCT(INDEX($AR$77:$AT$82,,$AI435),INDEX($AU$77:$BA$82,,$AH435), N($AQ$77:$AQ$82&gt;$AO435)) / BM435 / 1000</f>
        <v>0</v>
      </c>
      <c r="BO435" s="232">
        <f t="shared" si="529"/>
        <v>30</v>
      </c>
      <c r="BP435" s="230">
        <f t="shared" si="505"/>
        <v>43</v>
      </c>
      <c r="BQ435" s="235">
        <f t="shared" si="506"/>
        <v>3.2938815789473681</v>
      </c>
      <c r="BR435" s="235" cm="1">
        <f t="array" ref="BR435">$BI435 * IF($AH435&lt;=2,
SUMPRODUCT(INDEX($AR$72:$AT$76,,$AI435), INDEX($AU$72:$BA$76,,$AH435), 1 / ($BB$72:$BB$76*BQ435 + (1-$BB$72:$BB$76)*BM435), N($AQ$72:$AQ$76&gt;$AO435)),
SUMPRODUCT(INDEX($AR$67:$AT$76,,$AI435), INDEX($AU$67:$BA$76,,$AH435), 1 / ($BC$67:$BC$76*BQ435 + (1-$BC$67:$BC$76)*BM435), N($AQ$67:$AQ$76&gt;$AO435))
) / 1000</f>
        <v>0</v>
      </c>
      <c r="BS435" s="232">
        <f t="shared" si="530"/>
        <v>25</v>
      </c>
      <c r="BT435" s="230">
        <f t="shared" si="507"/>
        <v>38</v>
      </c>
      <c r="BU435" s="235">
        <f t="shared" si="508"/>
        <v>3.792954545454545</v>
      </c>
      <c r="BV435" s="235" cm="1">
        <f t="array" ref="BV435">$BI435 * IF($AH435&lt;=2,
SUMPRODUCT(INDEX($AR$67:$AT$71,,$AI435), INDEX($AU$67:$BA$71,,$AH435), 1 / ($BB$67:$BB$71*BU435 + (1-$BB$67:$BB$71)*BQ435), N($AQ$67:$AQ$71&gt;$AO435)),
SUMPRODUCT(INDEX($AR$57:$AT$66,,$AI435), INDEX($AU$57:$BA$66,,$AH435), 1 / ($BC$57:$BC$66*BU435 + (1-$BC$57:$BC$66)*BQ435), N($AQ$57:$AQ$66&gt;$AO435))
) / 1000</f>
        <v>0</v>
      </c>
      <c r="BW435" s="232">
        <f t="shared" si="531"/>
        <v>20</v>
      </c>
      <c r="BX435" s="230">
        <f t="shared" si="509"/>
        <v>33</v>
      </c>
      <c r="BY435" s="235">
        <f t="shared" si="510"/>
        <v>4.4702678571428569</v>
      </c>
      <c r="BZ435" s="235" cm="1">
        <f t="array" ref="BZ435">$BI435 * IF($AH435&lt;=2,
SUMPRODUCT(INDEX($AR$62:$AT$66,,$AI435), INDEX($AU$62:$BA$66,,$AH435), 1 / ($BB$62:$BB$66*BY435 + (1-$BB$62:$BB$66)*BU435), N($AQ$62:$AQ$66&gt;$AO435)),
SUMPRODUCT(INDEX($AR$47:$AT$56,,$AI435), INDEX($AU$47:$BA$56,,$AH435), 1 / ($BC$47:$BC$56*BY435 + (1-$BC$47:$BC$56)*BU435), N($AQ$47:$AQ$56&gt;$AO435))
) / 1000</f>
        <v>0</v>
      </c>
      <c r="CA435" s="235" cm="1">
        <f t="array" ref="CA435">$BI435 * IF($AH435&lt;=2,
SUMPRODUCT(INDEX($AR$23:$AT$61,,$AI435), INDEX($AU$23:$BA$61,,$AH435), 1 / ($BB$23:$BB$61*BY435), N($AQ$23:$AQ$61&gt;$AO435)),
SUMPRODUCT(INDEX($AR$23:$AT$46,,$AI435), INDEX($AU$23:$BA$46,,$AH435), 1 / ($BC$23:$BC$46*BY435), N($AQ$23:$AQ$46&gt;$AO435))
) / 1000</f>
        <v>0</v>
      </c>
      <c r="CB435" s="230">
        <f t="shared" si="511"/>
        <v>0</v>
      </c>
      <c r="CC435" s="238"/>
      <c r="CD435" s="229" cm="1">
        <f t="array" ref="CD435">IF(ISBLANK(Y435), INDEX(Use, $AH435, 4) - AN435*INDEX(Use, $AH435, 6) - (Q435-X435), Y435)</f>
        <v>7</v>
      </c>
      <c r="CE435" s="229">
        <f t="shared" si="512"/>
        <v>32</v>
      </c>
      <c r="CF435" s="230">
        <f t="shared" si="513"/>
        <v>0</v>
      </c>
      <c r="CG435" s="229">
        <v>35</v>
      </c>
      <c r="CH435" s="230">
        <f t="shared" si="514"/>
        <v>48</v>
      </c>
      <c r="CI435" s="235">
        <f t="shared" si="515"/>
        <v>3.0748170731707316</v>
      </c>
      <c r="CJ435" s="235" cm="1">
        <f t="array" ref="CJ435">$BI435 * SUMPRODUCT(INDEX($AR$77:$AT$82,,$AI435),INDEX($AU$77:$BA$82,,$AH435), N($AQ$77:$AQ$82&gt;$AO435)) / CI435 / 1000</f>
        <v>0</v>
      </c>
      <c r="CK435" s="232">
        <f t="shared" si="532"/>
        <v>30</v>
      </c>
      <c r="CL435" s="230">
        <f t="shared" si="516"/>
        <v>43</v>
      </c>
      <c r="CM435" s="235">
        <f t="shared" si="517"/>
        <v>3.5018750000000001</v>
      </c>
      <c r="CN435" s="235" cm="1">
        <f t="array" ref="CN435">$BI435 * IF($AH435&lt;=2,
SUMPRODUCT(INDEX($AR$72:$AT$76,,$AI435), INDEX($AU$72:$BA$76,,$AH435), 1 / ($BB$72:$BB$76*CM435 + (1-$BB$72:$BB$76)*CI435), N($AQ$72:$AQ$76&gt;$AO435)),
SUMPRODUCT(INDEX($AR$67:$AT$76,,$AI435), INDEX($AU$67:$BA$76,,$AH435), 1 / ($BC$67:$BC$76*CM435 + (1-$BC$67:$BC$76)*CI435), N($AQ$67:$AQ$76&gt;$AO435))
) / 1000</f>
        <v>0</v>
      </c>
      <c r="CO435" s="232">
        <f t="shared" si="533"/>
        <v>25</v>
      </c>
      <c r="CP435" s="230">
        <f t="shared" si="518"/>
        <v>38</v>
      </c>
      <c r="CQ435" s="235">
        <f t="shared" si="519"/>
        <v>4.0666935483870965</v>
      </c>
      <c r="CR435" s="235" cm="1">
        <f t="array" ref="CR435">$BI435 * IF($AH435&lt;=2,
SUMPRODUCT(INDEX($AR$67:$AT$71,,$AI435), INDEX($AU$67:$BA$71,,$AH435), 1 / ($BB$67:$BB$71*CQ435 + (1-$BB$67:$BB$71)*CM435), N($AQ$67:$AQ$71&gt;$AO435)),
SUMPRODUCT(INDEX($AR$57:$AT$66,,$AI435), INDEX($AU$57:$BA$66,,$AH435), 1 / ($BC$57:$BC$66*CQ435 + (1-$BC$57:$BC$66)*CM435), N($AQ$57:$AQ$66&gt;$AO435))
) / 1000</f>
        <v>0</v>
      </c>
      <c r="CS435" s="232">
        <f t="shared" si="534"/>
        <v>20</v>
      </c>
      <c r="CT435" s="230">
        <f t="shared" si="520"/>
        <v>33</v>
      </c>
      <c r="CU435" s="235">
        <f t="shared" si="521"/>
        <v>4.8487499999999999</v>
      </c>
      <c r="CV435" s="235" cm="1">
        <f t="array" ref="CV435">$BI435 * IF($AH435&lt;=2,
SUMPRODUCT(INDEX($AR$62:$AT$66,,$AI435), INDEX($AU$62:$BA$66,,$AH435), 1 / ($BB$62:$BB$66*CU435 + (1-$BB$62:$BB$66)*CQ435), N($AQ$62:$AQ$66&gt;$AO435)),
SUMPRODUCT(INDEX($AR$47:$AT$56,,$AI435), INDEX($AU$47:$BA$56,,$AH435), 1 / ($BC$47:$BC$56*CU435 + (1-$BC$47:$BC$56)*CQ435), N($AQ$47:$AQ$56&gt;$AO435))
) / 1000</f>
        <v>0</v>
      </c>
      <c r="CW435" s="235" cm="1">
        <f t="array" ref="CW435">$BI435 * IF($AH435&lt;=2,
SUMPRODUCT(INDEX($AR$23:$AT$61,,$AI435), INDEX($AU$23:$BA$61,,$AH435), 1 / ($BB$23:$BB$61*CU435), N($AQ$23:$AQ$61&gt;$AO435)),
SUMPRODUCT(INDEX($AR$23:$AT$46,,$AI435), INDEX($AU$23:$BA$46,,$AH435), 1 / ($BC$23:$BC$46*CU435), N($AQ$23:$AQ$46&gt;$AO435))
) / 1000</f>
        <v>0</v>
      </c>
      <c r="CX435" s="230">
        <f t="shared" si="522"/>
        <v>0</v>
      </c>
      <c r="CY435" s="238"/>
    </row>
    <row r="436" spans="1:103" s="76" customFormat="1" ht="14.25" customHeight="1" x14ac:dyDescent="0.2">
      <c r="A436" s="231" t="b">
        <f t="shared" si="526"/>
        <v>0</v>
      </c>
      <c r="B436" s="245">
        <v>414</v>
      </c>
      <c r="C436" s="258"/>
      <c r="D436" s="258"/>
      <c r="E436" s="246"/>
      <c r="F436" s="247" t="str">
        <f>IF(ISBLANK(E436), "", VLOOKUP(E436, Z!$A$2:$C$4127, 3, FALSE))</f>
        <v/>
      </c>
      <c r="G436" s="248"/>
      <c r="H436" s="248"/>
      <c r="I436" s="249"/>
      <c r="J436" s="250"/>
      <c r="K436" s="259"/>
      <c r="L436" s="260"/>
      <c r="M436" s="252" t="str" cm="1">
        <f t="array" ref="M436">INDEX(Trad, 53, $A$20)</f>
        <v>Verschmutzt</v>
      </c>
      <c r="N436" s="253"/>
      <c r="O436" s="253"/>
      <c r="P436" s="254"/>
      <c r="Q436" s="251"/>
      <c r="R436" s="251"/>
      <c r="S436" s="264">
        <f t="shared" si="497"/>
        <v>0</v>
      </c>
      <c r="T436" s="252" t="str" cm="1">
        <f t="array" ref="T436">INDEX(Trad, 52, $A$20)</f>
        <v>Sauber</v>
      </c>
      <c r="U436" s="253"/>
      <c r="V436" s="253"/>
      <c r="W436" s="254"/>
      <c r="X436" s="251"/>
      <c r="Y436" s="251"/>
      <c r="Z436" s="264">
        <f t="shared" si="498"/>
        <v>0</v>
      </c>
      <c r="AA436" s="261"/>
      <c r="AB436" s="258"/>
      <c r="AC436" s="246"/>
      <c r="AD436" s="247" t="str">
        <f>IF(ISBLANK(AC436), "", VLOOKUP(AC436, Z!$A$2:$C$4127, 3, FALSE))</f>
        <v/>
      </c>
      <c r="AE436" s="262"/>
      <c r="AF436" s="263">
        <f t="shared" si="499"/>
        <v>0</v>
      </c>
      <c r="AG436" s="238"/>
      <c r="AH436" s="229">
        <f t="shared" si="523"/>
        <v>1</v>
      </c>
      <c r="AI436" s="229">
        <f t="shared" si="524"/>
        <v>1</v>
      </c>
      <c r="AJ436" s="229">
        <f t="shared" si="525"/>
        <v>0</v>
      </c>
      <c r="AK436" s="229">
        <v>0</v>
      </c>
      <c r="AL436" s="229">
        <v>0</v>
      </c>
      <c r="AM436" s="229">
        <v>1</v>
      </c>
      <c r="AN436" s="229">
        <v>0</v>
      </c>
      <c r="AO436" s="229">
        <f t="shared" si="500"/>
        <v>-100</v>
      </c>
      <c r="AP436" s="238"/>
      <c r="AQ436" s="255"/>
      <c r="AR436" s="255"/>
      <c r="AS436" s="256"/>
      <c r="AT436" s="256"/>
      <c r="AU436" s="256"/>
      <c r="AV436" s="256"/>
      <c r="AW436" s="256"/>
      <c r="AX436" s="256"/>
      <c r="AY436" s="256"/>
      <c r="AZ436" s="256"/>
      <c r="BA436" s="256"/>
      <c r="BB436" s="256"/>
      <c r="BC436" s="256"/>
      <c r="BD436" s="238"/>
      <c r="BE436" s="229" cm="1">
        <f t="array" ref="BE436">IF(ISBLANK(R436), INDEX(Use, $AH436, 4) - AM436*INDEX(Use, $AH436, 6), R436)</f>
        <v>5</v>
      </c>
      <c r="BF436" s="229">
        <f t="shared" si="501"/>
        <v>30</v>
      </c>
      <c r="BG436" s="229">
        <f t="shared" si="527"/>
        <v>13</v>
      </c>
      <c r="BH436" s="229">
        <f t="shared" si="528"/>
        <v>0</v>
      </c>
      <c r="BI436" s="234" cm="1">
        <f t="array" ref="BI436">K436/IF($L436&gt;0, INDEX($AU$23:$BA$77, $L436+20, $AH436), 1)</f>
        <v>0</v>
      </c>
      <c r="BJ436" s="230">
        <f t="shared" si="502"/>
        <v>0</v>
      </c>
      <c r="BK436" s="229">
        <v>35</v>
      </c>
      <c r="BL436" s="230">
        <f t="shared" si="503"/>
        <v>48</v>
      </c>
      <c r="BM436" s="235">
        <f t="shared" si="504"/>
        <v>2.9108720930232557</v>
      </c>
      <c r="BN436" s="235" cm="1">
        <f t="array" ref="BN436">$BI436 * SUMPRODUCT(INDEX($AR$77:$AT$82,,$AI436),INDEX($AU$77:$BA$82,,$AH436), N($AQ$77:$AQ$82&gt;$AO436)) / BM436 / 1000</f>
        <v>0</v>
      </c>
      <c r="BO436" s="232">
        <f t="shared" si="529"/>
        <v>30</v>
      </c>
      <c r="BP436" s="230">
        <f t="shared" si="505"/>
        <v>43</v>
      </c>
      <c r="BQ436" s="235">
        <f t="shared" si="506"/>
        <v>3.2938815789473681</v>
      </c>
      <c r="BR436" s="235" cm="1">
        <f t="array" ref="BR436">$BI436 * IF($AH436&lt;=2,
SUMPRODUCT(INDEX($AR$72:$AT$76,,$AI436), INDEX($AU$72:$BA$76,,$AH436), 1 / ($BB$72:$BB$76*BQ436 + (1-$BB$72:$BB$76)*BM436), N($AQ$72:$AQ$76&gt;$AO436)),
SUMPRODUCT(INDEX($AR$67:$AT$76,,$AI436), INDEX($AU$67:$BA$76,,$AH436), 1 / ($BC$67:$BC$76*BQ436 + (1-$BC$67:$BC$76)*BM436), N($AQ$67:$AQ$76&gt;$AO436))
) / 1000</f>
        <v>0</v>
      </c>
      <c r="BS436" s="232">
        <f t="shared" si="530"/>
        <v>25</v>
      </c>
      <c r="BT436" s="230">
        <f t="shared" si="507"/>
        <v>38</v>
      </c>
      <c r="BU436" s="235">
        <f t="shared" si="508"/>
        <v>3.792954545454545</v>
      </c>
      <c r="BV436" s="235" cm="1">
        <f t="array" ref="BV436">$BI436 * IF($AH436&lt;=2,
SUMPRODUCT(INDEX($AR$67:$AT$71,,$AI436), INDEX($AU$67:$BA$71,,$AH436), 1 / ($BB$67:$BB$71*BU436 + (1-$BB$67:$BB$71)*BQ436), N($AQ$67:$AQ$71&gt;$AO436)),
SUMPRODUCT(INDEX($AR$57:$AT$66,,$AI436), INDEX($AU$57:$BA$66,,$AH436), 1 / ($BC$57:$BC$66*BU436 + (1-$BC$57:$BC$66)*BQ436), N($AQ$57:$AQ$66&gt;$AO436))
) / 1000</f>
        <v>0</v>
      </c>
      <c r="BW436" s="232">
        <f t="shared" si="531"/>
        <v>20</v>
      </c>
      <c r="BX436" s="230">
        <f t="shared" si="509"/>
        <v>33</v>
      </c>
      <c r="BY436" s="235">
        <f t="shared" si="510"/>
        <v>4.4702678571428569</v>
      </c>
      <c r="BZ436" s="235" cm="1">
        <f t="array" ref="BZ436">$BI436 * IF($AH436&lt;=2,
SUMPRODUCT(INDEX($AR$62:$AT$66,,$AI436), INDEX($AU$62:$BA$66,,$AH436), 1 / ($BB$62:$BB$66*BY436 + (1-$BB$62:$BB$66)*BU436), N($AQ$62:$AQ$66&gt;$AO436)),
SUMPRODUCT(INDEX($AR$47:$AT$56,,$AI436), INDEX($AU$47:$BA$56,,$AH436), 1 / ($BC$47:$BC$56*BY436 + (1-$BC$47:$BC$56)*BU436), N($AQ$47:$AQ$56&gt;$AO436))
) / 1000</f>
        <v>0</v>
      </c>
      <c r="CA436" s="235" cm="1">
        <f t="array" ref="CA436">$BI436 * IF($AH436&lt;=2,
SUMPRODUCT(INDEX($AR$23:$AT$61,,$AI436), INDEX($AU$23:$BA$61,,$AH436), 1 / ($BB$23:$BB$61*BY436), N($AQ$23:$AQ$61&gt;$AO436)),
SUMPRODUCT(INDEX($AR$23:$AT$46,,$AI436), INDEX($AU$23:$BA$46,,$AH436), 1 / ($BC$23:$BC$46*BY436), N($AQ$23:$AQ$46&gt;$AO436))
) / 1000</f>
        <v>0</v>
      </c>
      <c r="CB436" s="230">
        <f t="shared" si="511"/>
        <v>0</v>
      </c>
      <c r="CC436" s="238"/>
      <c r="CD436" s="229" cm="1">
        <f t="array" ref="CD436">IF(ISBLANK(Y436), INDEX(Use, $AH436, 4) - AN436*INDEX(Use, $AH436, 6) - (Q436-X436), Y436)</f>
        <v>7</v>
      </c>
      <c r="CE436" s="229">
        <f t="shared" si="512"/>
        <v>32</v>
      </c>
      <c r="CF436" s="230">
        <f t="shared" si="513"/>
        <v>0</v>
      </c>
      <c r="CG436" s="229">
        <v>35</v>
      </c>
      <c r="CH436" s="230">
        <f t="shared" si="514"/>
        <v>48</v>
      </c>
      <c r="CI436" s="235">
        <f t="shared" si="515"/>
        <v>3.0748170731707316</v>
      </c>
      <c r="CJ436" s="235" cm="1">
        <f t="array" ref="CJ436">$BI436 * SUMPRODUCT(INDEX($AR$77:$AT$82,,$AI436),INDEX($AU$77:$BA$82,,$AH436), N($AQ$77:$AQ$82&gt;$AO436)) / CI436 / 1000</f>
        <v>0</v>
      </c>
      <c r="CK436" s="232">
        <f t="shared" si="532"/>
        <v>30</v>
      </c>
      <c r="CL436" s="230">
        <f t="shared" si="516"/>
        <v>43</v>
      </c>
      <c r="CM436" s="235">
        <f t="shared" si="517"/>
        <v>3.5018750000000001</v>
      </c>
      <c r="CN436" s="235" cm="1">
        <f t="array" ref="CN436">$BI436 * IF($AH436&lt;=2,
SUMPRODUCT(INDEX($AR$72:$AT$76,,$AI436), INDEX($AU$72:$BA$76,,$AH436), 1 / ($BB$72:$BB$76*CM436 + (1-$BB$72:$BB$76)*CI436), N($AQ$72:$AQ$76&gt;$AO436)),
SUMPRODUCT(INDEX($AR$67:$AT$76,,$AI436), INDEX($AU$67:$BA$76,,$AH436), 1 / ($BC$67:$BC$76*CM436 + (1-$BC$67:$BC$76)*CI436), N($AQ$67:$AQ$76&gt;$AO436))
) / 1000</f>
        <v>0</v>
      </c>
      <c r="CO436" s="232">
        <f t="shared" si="533"/>
        <v>25</v>
      </c>
      <c r="CP436" s="230">
        <f t="shared" si="518"/>
        <v>38</v>
      </c>
      <c r="CQ436" s="235">
        <f t="shared" si="519"/>
        <v>4.0666935483870965</v>
      </c>
      <c r="CR436" s="235" cm="1">
        <f t="array" ref="CR436">$BI436 * IF($AH436&lt;=2,
SUMPRODUCT(INDEX($AR$67:$AT$71,,$AI436), INDEX($AU$67:$BA$71,,$AH436), 1 / ($BB$67:$BB$71*CQ436 + (1-$BB$67:$BB$71)*CM436), N($AQ$67:$AQ$71&gt;$AO436)),
SUMPRODUCT(INDEX($AR$57:$AT$66,,$AI436), INDEX($AU$57:$BA$66,,$AH436), 1 / ($BC$57:$BC$66*CQ436 + (1-$BC$57:$BC$66)*CM436), N($AQ$57:$AQ$66&gt;$AO436))
) / 1000</f>
        <v>0</v>
      </c>
      <c r="CS436" s="232">
        <f t="shared" si="534"/>
        <v>20</v>
      </c>
      <c r="CT436" s="230">
        <f t="shared" si="520"/>
        <v>33</v>
      </c>
      <c r="CU436" s="235">
        <f t="shared" si="521"/>
        <v>4.8487499999999999</v>
      </c>
      <c r="CV436" s="235" cm="1">
        <f t="array" ref="CV436">$BI436 * IF($AH436&lt;=2,
SUMPRODUCT(INDEX($AR$62:$AT$66,,$AI436), INDEX($AU$62:$BA$66,,$AH436), 1 / ($BB$62:$BB$66*CU436 + (1-$BB$62:$BB$66)*CQ436), N($AQ$62:$AQ$66&gt;$AO436)),
SUMPRODUCT(INDEX($AR$47:$AT$56,,$AI436), INDEX($AU$47:$BA$56,,$AH436), 1 / ($BC$47:$BC$56*CU436 + (1-$BC$47:$BC$56)*CQ436), N($AQ$47:$AQ$56&gt;$AO436))
) / 1000</f>
        <v>0</v>
      </c>
      <c r="CW436" s="235" cm="1">
        <f t="array" ref="CW436">$BI436 * IF($AH436&lt;=2,
SUMPRODUCT(INDEX($AR$23:$AT$61,,$AI436), INDEX($AU$23:$BA$61,,$AH436), 1 / ($BB$23:$BB$61*CU436), N($AQ$23:$AQ$61&gt;$AO436)),
SUMPRODUCT(INDEX($AR$23:$AT$46,,$AI436), INDEX($AU$23:$BA$46,,$AH436), 1 / ($BC$23:$BC$46*CU436), N($AQ$23:$AQ$46&gt;$AO436))
) / 1000</f>
        <v>0</v>
      </c>
      <c r="CX436" s="230">
        <f t="shared" si="522"/>
        <v>0</v>
      </c>
      <c r="CY436" s="238"/>
    </row>
    <row r="437" spans="1:103" s="76" customFormat="1" ht="14.25" customHeight="1" x14ac:dyDescent="0.2">
      <c r="A437" s="231" t="b">
        <f t="shared" si="526"/>
        <v>0</v>
      </c>
      <c r="B437" s="245">
        <v>415</v>
      </c>
      <c r="C437" s="258"/>
      <c r="D437" s="258"/>
      <c r="E437" s="246"/>
      <c r="F437" s="247" t="str">
        <f>IF(ISBLANK(E437), "", VLOOKUP(E437, Z!$A$2:$C$4127, 3, FALSE))</f>
        <v/>
      </c>
      <c r="G437" s="248"/>
      <c r="H437" s="248"/>
      <c r="I437" s="249"/>
      <c r="J437" s="250"/>
      <c r="K437" s="259"/>
      <c r="L437" s="260"/>
      <c r="M437" s="252" t="str" cm="1">
        <f t="array" ref="M437">INDEX(Trad, 53, $A$20)</f>
        <v>Verschmutzt</v>
      </c>
      <c r="N437" s="253"/>
      <c r="O437" s="253"/>
      <c r="P437" s="254"/>
      <c r="Q437" s="251"/>
      <c r="R437" s="251"/>
      <c r="S437" s="264">
        <f t="shared" si="497"/>
        <v>0</v>
      </c>
      <c r="T437" s="252" t="str" cm="1">
        <f t="array" ref="T437">INDEX(Trad, 52, $A$20)</f>
        <v>Sauber</v>
      </c>
      <c r="U437" s="253"/>
      <c r="V437" s="253"/>
      <c r="W437" s="254"/>
      <c r="X437" s="251"/>
      <c r="Y437" s="251"/>
      <c r="Z437" s="264">
        <f t="shared" si="498"/>
        <v>0</v>
      </c>
      <c r="AA437" s="261"/>
      <c r="AB437" s="258"/>
      <c r="AC437" s="246"/>
      <c r="AD437" s="247" t="str">
        <f>IF(ISBLANK(AC437), "", VLOOKUP(AC437, Z!$A$2:$C$4127, 3, FALSE))</f>
        <v/>
      </c>
      <c r="AE437" s="262"/>
      <c r="AF437" s="263">
        <f t="shared" si="499"/>
        <v>0</v>
      </c>
      <c r="AG437" s="238"/>
      <c r="AH437" s="229">
        <f t="shared" si="523"/>
        <v>1</v>
      </c>
      <c r="AI437" s="229">
        <f t="shared" si="524"/>
        <v>1</v>
      </c>
      <c r="AJ437" s="229">
        <f t="shared" si="525"/>
        <v>0</v>
      </c>
      <c r="AK437" s="229">
        <v>0</v>
      </c>
      <c r="AL437" s="229">
        <v>0</v>
      </c>
      <c r="AM437" s="229">
        <v>1</v>
      </c>
      <c r="AN437" s="229">
        <v>0</v>
      </c>
      <c r="AO437" s="229">
        <f t="shared" si="500"/>
        <v>-100</v>
      </c>
      <c r="AP437" s="238"/>
      <c r="AQ437" s="255"/>
      <c r="AR437" s="255"/>
      <c r="AS437" s="256"/>
      <c r="AT437" s="256"/>
      <c r="AU437" s="256"/>
      <c r="AV437" s="256"/>
      <c r="AW437" s="256"/>
      <c r="AX437" s="256"/>
      <c r="AY437" s="256"/>
      <c r="AZ437" s="256"/>
      <c r="BA437" s="256"/>
      <c r="BB437" s="256"/>
      <c r="BC437" s="256"/>
      <c r="BD437" s="238"/>
      <c r="BE437" s="229" cm="1">
        <f t="array" ref="BE437">IF(ISBLANK(R437), INDEX(Use, $AH437, 4) - AM437*INDEX(Use, $AH437, 6), R437)</f>
        <v>5</v>
      </c>
      <c r="BF437" s="229">
        <f t="shared" si="501"/>
        <v>30</v>
      </c>
      <c r="BG437" s="229">
        <f t="shared" si="527"/>
        <v>13</v>
      </c>
      <c r="BH437" s="229">
        <f t="shared" si="528"/>
        <v>0</v>
      </c>
      <c r="BI437" s="234" cm="1">
        <f t="array" ref="BI437">K437/IF($L437&gt;0, INDEX($AU$23:$BA$77, $L437+20, $AH437), 1)</f>
        <v>0</v>
      </c>
      <c r="BJ437" s="230">
        <f t="shared" si="502"/>
        <v>0</v>
      </c>
      <c r="BK437" s="229">
        <v>35</v>
      </c>
      <c r="BL437" s="230">
        <f t="shared" si="503"/>
        <v>48</v>
      </c>
      <c r="BM437" s="235">
        <f t="shared" si="504"/>
        <v>2.9108720930232557</v>
      </c>
      <c r="BN437" s="235" cm="1">
        <f t="array" ref="BN437">$BI437 * SUMPRODUCT(INDEX($AR$77:$AT$82,,$AI437),INDEX($AU$77:$BA$82,,$AH437), N($AQ$77:$AQ$82&gt;$AO437)) / BM437 / 1000</f>
        <v>0</v>
      </c>
      <c r="BO437" s="232">
        <f t="shared" si="529"/>
        <v>30</v>
      </c>
      <c r="BP437" s="230">
        <f t="shared" si="505"/>
        <v>43</v>
      </c>
      <c r="BQ437" s="235">
        <f t="shared" si="506"/>
        <v>3.2938815789473681</v>
      </c>
      <c r="BR437" s="235" cm="1">
        <f t="array" ref="BR437">$BI437 * IF($AH437&lt;=2,
SUMPRODUCT(INDEX($AR$72:$AT$76,,$AI437), INDEX($AU$72:$BA$76,,$AH437), 1 / ($BB$72:$BB$76*BQ437 + (1-$BB$72:$BB$76)*BM437), N($AQ$72:$AQ$76&gt;$AO437)),
SUMPRODUCT(INDEX($AR$67:$AT$76,,$AI437), INDEX($AU$67:$BA$76,,$AH437), 1 / ($BC$67:$BC$76*BQ437 + (1-$BC$67:$BC$76)*BM437), N($AQ$67:$AQ$76&gt;$AO437))
) / 1000</f>
        <v>0</v>
      </c>
      <c r="BS437" s="232">
        <f t="shared" si="530"/>
        <v>25</v>
      </c>
      <c r="BT437" s="230">
        <f t="shared" si="507"/>
        <v>38</v>
      </c>
      <c r="BU437" s="235">
        <f t="shared" si="508"/>
        <v>3.792954545454545</v>
      </c>
      <c r="BV437" s="235" cm="1">
        <f t="array" ref="BV437">$BI437 * IF($AH437&lt;=2,
SUMPRODUCT(INDEX($AR$67:$AT$71,,$AI437), INDEX($AU$67:$BA$71,,$AH437), 1 / ($BB$67:$BB$71*BU437 + (1-$BB$67:$BB$71)*BQ437), N($AQ$67:$AQ$71&gt;$AO437)),
SUMPRODUCT(INDEX($AR$57:$AT$66,,$AI437), INDEX($AU$57:$BA$66,,$AH437), 1 / ($BC$57:$BC$66*BU437 + (1-$BC$57:$BC$66)*BQ437), N($AQ$57:$AQ$66&gt;$AO437))
) / 1000</f>
        <v>0</v>
      </c>
      <c r="BW437" s="232">
        <f t="shared" si="531"/>
        <v>20</v>
      </c>
      <c r="BX437" s="230">
        <f t="shared" si="509"/>
        <v>33</v>
      </c>
      <c r="BY437" s="235">
        <f t="shared" si="510"/>
        <v>4.4702678571428569</v>
      </c>
      <c r="BZ437" s="235" cm="1">
        <f t="array" ref="BZ437">$BI437 * IF($AH437&lt;=2,
SUMPRODUCT(INDEX($AR$62:$AT$66,,$AI437), INDEX($AU$62:$BA$66,,$AH437), 1 / ($BB$62:$BB$66*BY437 + (1-$BB$62:$BB$66)*BU437), N($AQ$62:$AQ$66&gt;$AO437)),
SUMPRODUCT(INDEX($AR$47:$AT$56,,$AI437), INDEX($AU$47:$BA$56,,$AH437), 1 / ($BC$47:$BC$56*BY437 + (1-$BC$47:$BC$56)*BU437), N($AQ$47:$AQ$56&gt;$AO437))
) / 1000</f>
        <v>0</v>
      </c>
      <c r="CA437" s="235" cm="1">
        <f t="array" ref="CA437">$BI437 * IF($AH437&lt;=2,
SUMPRODUCT(INDEX($AR$23:$AT$61,,$AI437), INDEX($AU$23:$BA$61,,$AH437), 1 / ($BB$23:$BB$61*BY437), N($AQ$23:$AQ$61&gt;$AO437)),
SUMPRODUCT(INDEX($AR$23:$AT$46,,$AI437), INDEX($AU$23:$BA$46,,$AH437), 1 / ($BC$23:$BC$46*BY437), N($AQ$23:$AQ$46&gt;$AO437))
) / 1000</f>
        <v>0</v>
      </c>
      <c r="CB437" s="230">
        <f t="shared" si="511"/>
        <v>0</v>
      </c>
      <c r="CC437" s="238"/>
      <c r="CD437" s="229" cm="1">
        <f t="array" ref="CD437">IF(ISBLANK(Y437), INDEX(Use, $AH437, 4) - AN437*INDEX(Use, $AH437, 6) - (Q437-X437), Y437)</f>
        <v>7</v>
      </c>
      <c r="CE437" s="229">
        <f t="shared" si="512"/>
        <v>32</v>
      </c>
      <c r="CF437" s="230">
        <f t="shared" si="513"/>
        <v>0</v>
      </c>
      <c r="CG437" s="229">
        <v>35</v>
      </c>
      <c r="CH437" s="230">
        <f t="shared" si="514"/>
        <v>48</v>
      </c>
      <c r="CI437" s="235">
        <f t="shared" si="515"/>
        <v>3.0748170731707316</v>
      </c>
      <c r="CJ437" s="235" cm="1">
        <f t="array" ref="CJ437">$BI437 * SUMPRODUCT(INDEX($AR$77:$AT$82,,$AI437),INDEX($AU$77:$BA$82,,$AH437), N($AQ$77:$AQ$82&gt;$AO437)) / CI437 / 1000</f>
        <v>0</v>
      </c>
      <c r="CK437" s="232">
        <f t="shared" si="532"/>
        <v>30</v>
      </c>
      <c r="CL437" s="230">
        <f t="shared" si="516"/>
        <v>43</v>
      </c>
      <c r="CM437" s="235">
        <f t="shared" si="517"/>
        <v>3.5018750000000001</v>
      </c>
      <c r="CN437" s="235" cm="1">
        <f t="array" ref="CN437">$BI437 * IF($AH437&lt;=2,
SUMPRODUCT(INDEX($AR$72:$AT$76,,$AI437), INDEX($AU$72:$BA$76,,$AH437), 1 / ($BB$72:$BB$76*CM437 + (1-$BB$72:$BB$76)*CI437), N($AQ$72:$AQ$76&gt;$AO437)),
SUMPRODUCT(INDEX($AR$67:$AT$76,,$AI437), INDEX($AU$67:$BA$76,,$AH437), 1 / ($BC$67:$BC$76*CM437 + (1-$BC$67:$BC$76)*CI437), N($AQ$67:$AQ$76&gt;$AO437))
) / 1000</f>
        <v>0</v>
      </c>
      <c r="CO437" s="232">
        <f t="shared" si="533"/>
        <v>25</v>
      </c>
      <c r="CP437" s="230">
        <f t="shared" si="518"/>
        <v>38</v>
      </c>
      <c r="CQ437" s="235">
        <f t="shared" si="519"/>
        <v>4.0666935483870965</v>
      </c>
      <c r="CR437" s="235" cm="1">
        <f t="array" ref="CR437">$BI437 * IF($AH437&lt;=2,
SUMPRODUCT(INDEX($AR$67:$AT$71,,$AI437), INDEX($AU$67:$BA$71,,$AH437), 1 / ($BB$67:$BB$71*CQ437 + (1-$BB$67:$BB$71)*CM437), N($AQ$67:$AQ$71&gt;$AO437)),
SUMPRODUCT(INDEX($AR$57:$AT$66,,$AI437), INDEX($AU$57:$BA$66,,$AH437), 1 / ($BC$57:$BC$66*CQ437 + (1-$BC$57:$BC$66)*CM437), N($AQ$57:$AQ$66&gt;$AO437))
) / 1000</f>
        <v>0</v>
      </c>
      <c r="CS437" s="232">
        <f t="shared" si="534"/>
        <v>20</v>
      </c>
      <c r="CT437" s="230">
        <f t="shared" si="520"/>
        <v>33</v>
      </c>
      <c r="CU437" s="235">
        <f t="shared" si="521"/>
        <v>4.8487499999999999</v>
      </c>
      <c r="CV437" s="235" cm="1">
        <f t="array" ref="CV437">$BI437 * IF($AH437&lt;=2,
SUMPRODUCT(INDEX($AR$62:$AT$66,,$AI437), INDEX($AU$62:$BA$66,,$AH437), 1 / ($BB$62:$BB$66*CU437 + (1-$BB$62:$BB$66)*CQ437), N($AQ$62:$AQ$66&gt;$AO437)),
SUMPRODUCT(INDEX($AR$47:$AT$56,,$AI437), INDEX($AU$47:$BA$56,,$AH437), 1 / ($BC$47:$BC$56*CU437 + (1-$BC$47:$BC$56)*CQ437), N($AQ$47:$AQ$56&gt;$AO437))
) / 1000</f>
        <v>0</v>
      </c>
      <c r="CW437" s="235" cm="1">
        <f t="array" ref="CW437">$BI437 * IF($AH437&lt;=2,
SUMPRODUCT(INDEX($AR$23:$AT$61,,$AI437), INDEX($AU$23:$BA$61,,$AH437), 1 / ($BB$23:$BB$61*CU437), N($AQ$23:$AQ$61&gt;$AO437)),
SUMPRODUCT(INDEX($AR$23:$AT$46,,$AI437), INDEX($AU$23:$BA$46,,$AH437), 1 / ($BC$23:$BC$46*CU437), N($AQ$23:$AQ$46&gt;$AO437))
) / 1000</f>
        <v>0</v>
      </c>
      <c r="CX437" s="230">
        <f t="shared" si="522"/>
        <v>0</v>
      </c>
      <c r="CY437" s="238"/>
    </row>
    <row r="438" spans="1:103" s="76" customFormat="1" ht="14.25" customHeight="1" x14ac:dyDescent="0.2">
      <c r="A438" s="231" t="b">
        <f t="shared" si="526"/>
        <v>0</v>
      </c>
      <c r="B438" s="245">
        <v>416</v>
      </c>
      <c r="C438" s="258"/>
      <c r="D438" s="258"/>
      <c r="E438" s="246"/>
      <c r="F438" s="247" t="str">
        <f>IF(ISBLANK(E438), "", VLOOKUP(E438, Z!$A$2:$C$4127, 3, FALSE))</f>
        <v/>
      </c>
      <c r="G438" s="248"/>
      <c r="H438" s="248"/>
      <c r="I438" s="249"/>
      <c r="J438" s="250"/>
      <c r="K438" s="259"/>
      <c r="L438" s="260"/>
      <c r="M438" s="252" t="str" cm="1">
        <f t="array" ref="M438">INDEX(Trad, 53, $A$20)</f>
        <v>Verschmutzt</v>
      </c>
      <c r="N438" s="253"/>
      <c r="O438" s="253"/>
      <c r="P438" s="254"/>
      <c r="Q438" s="251"/>
      <c r="R438" s="251"/>
      <c r="S438" s="264">
        <f t="shared" si="497"/>
        <v>0</v>
      </c>
      <c r="T438" s="252" t="str" cm="1">
        <f t="array" ref="T438">INDEX(Trad, 52, $A$20)</f>
        <v>Sauber</v>
      </c>
      <c r="U438" s="253"/>
      <c r="V438" s="253"/>
      <c r="W438" s="254"/>
      <c r="X438" s="251"/>
      <c r="Y438" s="251"/>
      <c r="Z438" s="264">
        <f t="shared" si="498"/>
        <v>0</v>
      </c>
      <c r="AA438" s="261"/>
      <c r="AB438" s="258"/>
      <c r="AC438" s="246"/>
      <c r="AD438" s="247" t="str">
        <f>IF(ISBLANK(AC438), "", VLOOKUP(AC438, Z!$A$2:$C$4127, 3, FALSE))</f>
        <v/>
      </c>
      <c r="AE438" s="262"/>
      <c r="AF438" s="263">
        <f t="shared" si="499"/>
        <v>0</v>
      </c>
      <c r="AG438" s="238"/>
      <c r="AH438" s="229">
        <f t="shared" si="523"/>
        <v>1</v>
      </c>
      <c r="AI438" s="229">
        <f t="shared" si="524"/>
        <v>1</v>
      </c>
      <c r="AJ438" s="229">
        <f t="shared" si="525"/>
        <v>0</v>
      </c>
      <c r="AK438" s="229">
        <v>0</v>
      </c>
      <c r="AL438" s="229">
        <v>0</v>
      </c>
      <c r="AM438" s="229">
        <v>1</v>
      </c>
      <c r="AN438" s="229">
        <v>0</v>
      </c>
      <c r="AO438" s="229">
        <f t="shared" si="500"/>
        <v>-100</v>
      </c>
      <c r="AP438" s="238"/>
      <c r="AQ438" s="255"/>
      <c r="AR438" s="255"/>
      <c r="AS438" s="256"/>
      <c r="AT438" s="256"/>
      <c r="AU438" s="256"/>
      <c r="AV438" s="256"/>
      <c r="AW438" s="256"/>
      <c r="AX438" s="256"/>
      <c r="AY438" s="256"/>
      <c r="AZ438" s="256"/>
      <c r="BA438" s="256"/>
      <c r="BB438" s="256"/>
      <c r="BC438" s="256"/>
      <c r="BD438" s="238"/>
      <c r="BE438" s="229" cm="1">
        <f t="array" ref="BE438">IF(ISBLANK(R438), INDEX(Use, $AH438, 4) - AM438*INDEX(Use, $AH438, 6), R438)</f>
        <v>5</v>
      </c>
      <c r="BF438" s="229">
        <f t="shared" si="501"/>
        <v>30</v>
      </c>
      <c r="BG438" s="229">
        <f t="shared" si="527"/>
        <v>13</v>
      </c>
      <c r="BH438" s="229">
        <f t="shared" si="528"/>
        <v>0</v>
      </c>
      <c r="BI438" s="234" cm="1">
        <f t="array" ref="BI438">K438/IF($L438&gt;0, INDEX($AU$23:$BA$77, $L438+20, $AH438), 1)</f>
        <v>0</v>
      </c>
      <c r="BJ438" s="230">
        <f t="shared" si="502"/>
        <v>0</v>
      </c>
      <c r="BK438" s="229">
        <v>35</v>
      </c>
      <c r="BL438" s="230">
        <f t="shared" si="503"/>
        <v>48</v>
      </c>
      <c r="BM438" s="235">
        <f t="shared" si="504"/>
        <v>2.9108720930232557</v>
      </c>
      <c r="BN438" s="235" cm="1">
        <f t="array" ref="BN438">$BI438 * SUMPRODUCT(INDEX($AR$77:$AT$82,,$AI438),INDEX($AU$77:$BA$82,,$AH438), N($AQ$77:$AQ$82&gt;$AO438)) / BM438 / 1000</f>
        <v>0</v>
      </c>
      <c r="BO438" s="232">
        <f t="shared" si="529"/>
        <v>30</v>
      </c>
      <c r="BP438" s="230">
        <f t="shared" si="505"/>
        <v>43</v>
      </c>
      <c r="BQ438" s="235">
        <f t="shared" si="506"/>
        <v>3.2938815789473681</v>
      </c>
      <c r="BR438" s="235" cm="1">
        <f t="array" ref="BR438">$BI438 * IF($AH438&lt;=2,
SUMPRODUCT(INDEX($AR$72:$AT$76,,$AI438), INDEX($AU$72:$BA$76,,$AH438), 1 / ($BB$72:$BB$76*BQ438 + (1-$BB$72:$BB$76)*BM438), N($AQ$72:$AQ$76&gt;$AO438)),
SUMPRODUCT(INDEX($AR$67:$AT$76,,$AI438), INDEX($AU$67:$BA$76,,$AH438), 1 / ($BC$67:$BC$76*BQ438 + (1-$BC$67:$BC$76)*BM438), N($AQ$67:$AQ$76&gt;$AO438))
) / 1000</f>
        <v>0</v>
      </c>
      <c r="BS438" s="232">
        <f t="shared" si="530"/>
        <v>25</v>
      </c>
      <c r="BT438" s="230">
        <f t="shared" si="507"/>
        <v>38</v>
      </c>
      <c r="BU438" s="235">
        <f t="shared" si="508"/>
        <v>3.792954545454545</v>
      </c>
      <c r="BV438" s="235" cm="1">
        <f t="array" ref="BV438">$BI438 * IF($AH438&lt;=2,
SUMPRODUCT(INDEX($AR$67:$AT$71,,$AI438), INDEX($AU$67:$BA$71,,$AH438), 1 / ($BB$67:$BB$71*BU438 + (1-$BB$67:$BB$71)*BQ438), N($AQ$67:$AQ$71&gt;$AO438)),
SUMPRODUCT(INDEX($AR$57:$AT$66,,$AI438), INDEX($AU$57:$BA$66,,$AH438), 1 / ($BC$57:$BC$66*BU438 + (1-$BC$57:$BC$66)*BQ438), N($AQ$57:$AQ$66&gt;$AO438))
) / 1000</f>
        <v>0</v>
      </c>
      <c r="BW438" s="232">
        <f t="shared" si="531"/>
        <v>20</v>
      </c>
      <c r="BX438" s="230">
        <f t="shared" si="509"/>
        <v>33</v>
      </c>
      <c r="BY438" s="235">
        <f t="shared" si="510"/>
        <v>4.4702678571428569</v>
      </c>
      <c r="BZ438" s="235" cm="1">
        <f t="array" ref="BZ438">$BI438 * IF($AH438&lt;=2,
SUMPRODUCT(INDEX($AR$62:$AT$66,,$AI438), INDEX($AU$62:$BA$66,,$AH438), 1 / ($BB$62:$BB$66*BY438 + (1-$BB$62:$BB$66)*BU438), N($AQ$62:$AQ$66&gt;$AO438)),
SUMPRODUCT(INDEX($AR$47:$AT$56,,$AI438), INDEX($AU$47:$BA$56,,$AH438), 1 / ($BC$47:$BC$56*BY438 + (1-$BC$47:$BC$56)*BU438), N($AQ$47:$AQ$56&gt;$AO438))
) / 1000</f>
        <v>0</v>
      </c>
      <c r="CA438" s="235" cm="1">
        <f t="array" ref="CA438">$BI438 * IF($AH438&lt;=2,
SUMPRODUCT(INDEX($AR$23:$AT$61,,$AI438), INDEX($AU$23:$BA$61,,$AH438), 1 / ($BB$23:$BB$61*BY438), N($AQ$23:$AQ$61&gt;$AO438)),
SUMPRODUCT(INDEX($AR$23:$AT$46,,$AI438), INDEX($AU$23:$BA$46,,$AH438), 1 / ($BC$23:$BC$46*BY438), N($AQ$23:$AQ$46&gt;$AO438))
) / 1000</f>
        <v>0</v>
      </c>
      <c r="CB438" s="230">
        <f t="shared" si="511"/>
        <v>0</v>
      </c>
      <c r="CC438" s="238"/>
      <c r="CD438" s="229" cm="1">
        <f t="array" ref="CD438">IF(ISBLANK(Y438), INDEX(Use, $AH438, 4) - AN438*INDEX(Use, $AH438, 6) - (Q438-X438), Y438)</f>
        <v>7</v>
      </c>
      <c r="CE438" s="229">
        <f t="shared" si="512"/>
        <v>32</v>
      </c>
      <c r="CF438" s="230">
        <f t="shared" si="513"/>
        <v>0</v>
      </c>
      <c r="CG438" s="229">
        <v>35</v>
      </c>
      <c r="CH438" s="230">
        <f t="shared" si="514"/>
        <v>48</v>
      </c>
      <c r="CI438" s="235">
        <f t="shared" si="515"/>
        <v>3.0748170731707316</v>
      </c>
      <c r="CJ438" s="235" cm="1">
        <f t="array" ref="CJ438">$BI438 * SUMPRODUCT(INDEX($AR$77:$AT$82,,$AI438),INDEX($AU$77:$BA$82,,$AH438), N($AQ$77:$AQ$82&gt;$AO438)) / CI438 / 1000</f>
        <v>0</v>
      </c>
      <c r="CK438" s="232">
        <f t="shared" si="532"/>
        <v>30</v>
      </c>
      <c r="CL438" s="230">
        <f t="shared" si="516"/>
        <v>43</v>
      </c>
      <c r="CM438" s="235">
        <f t="shared" si="517"/>
        <v>3.5018750000000001</v>
      </c>
      <c r="CN438" s="235" cm="1">
        <f t="array" ref="CN438">$BI438 * IF($AH438&lt;=2,
SUMPRODUCT(INDEX($AR$72:$AT$76,,$AI438), INDEX($AU$72:$BA$76,,$AH438), 1 / ($BB$72:$BB$76*CM438 + (1-$BB$72:$BB$76)*CI438), N($AQ$72:$AQ$76&gt;$AO438)),
SUMPRODUCT(INDEX($AR$67:$AT$76,,$AI438), INDEX($AU$67:$BA$76,,$AH438), 1 / ($BC$67:$BC$76*CM438 + (1-$BC$67:$BC$76)*CI438), N($AQ$67:$AQ$76&gt;$AO438))
) / 1000</f>
        <v>0</v>
      </c>
      <c r="CO438" s="232">
        <f t="shared" si="533"/>
        <v>25</v>
      </c>
      <c r="CP438" s="230">
        <f t="shared" si="518"/>
        <v>38</v>
      </c>
      <c r="CQ438" s="235">
        <f t="shared" si="519"/>
        <v>4.0666935483870965</v>
      </c>
      <c r="CR438" s="235" cm="1">
        <f t="array" ref="CR438">$BI438 * IF($AH438&lt;=2,
SUMPRODUCT(INDEX($AR$67:$AT$71,,$AI438), INDEX($AU$67:$BA$71,,$AH438), 1 / ($BB$67:$BB$71*CQ438 + (1-$BB$67:$BB$71)*CM438), N($AQ$67:$AQ$71&gt;$AO438)),
SUMPRODUCT(INDEX($AR$57:$AT$66,,$AI438), INDEX($AU$57:$BA$66,,$AH438), 1 / ($BC$57:$BC$66*CQ438 + (1-$BC$57:$BC$66)*CM438), N($AQ$57:$AQ$66&gt;$AO438))
) / 1000</f>
        <v>0</v>
      </c>
      <c r="CS438" s="232">
        <f t="shared" si="534"/>
        <v>20</v>
      </c>
      <c r="CT438" s="230">
        <f t="shared" si="520"/>
        <v>33</v>
      </c>
      <c r="CU438" s="235">
        <f t="shared" si="521"/>
        <v>4.8487499999999999</v>
      </c>
      <c r="CV438" s="235" cm="1">
        <f t="array" ref="CV438">$BI438 * IF($AH438&lt;=2,
SUMPRODUCT(INDEX($AR$62:$AT$66,,$AI438), INDEX($AU$62:$BA$66,,$AH438), 1 / ($BB$62:$BB$66*CU438 + (1-$BB$62:$BB$66)*CQ438), N($AQ$62:$AQ$66&gt;$AO438)),
SUMPRODUCT(INDEX($AR$47:$AT$56,,$AI438), INDEX($AU$47:$BA$56,,$AH438), 1 / ($BC$47:$BC$56*CU438 + (1-$BC$47:$BC$56)*CQ438), N($AQ$47:$AQ$56&gt;$AO438))
) / 1000</f>
        <v>0</v>
      </c>
      <c r="CW438" s="235" cm="1">
        <f t="array" ref="CW438">$BI438 * IF($AH438&lt;=2,
SUMPRODUCT(INDEX($AR$23:$AT$61,,$AI438), INDEX($AU$23:$BA$61,,$AH438), 1 / ($BB$23:$BB$61*CU438), N($AQ$23:$AQ$61&gt;$AO438)),
SUMPRODUCT(INDEX($AR$23:$AT$46,,$AI438), INDEX($AU$23:$BA$46,,$AH438), 1 / ($BC$23:$BC$46*CU438), N($AQ$23:$AQ$46&gt;$AO438))
) / 1000</f>
        <v>0</v>
      </c>
      <c r="CX438" s="230">
        <f t="shared" si="522"/>
        <v>0</v>
      </c>
      <c r="CY438" s="238"/>
    </row>
    <row r="439" spans="1:103" s="76" customFormat="1" ht="14.25" customHeight="1" x14ac:dyDescent="0.2">
      <c r="A439" s="231" t="b">
        <f t="shared" si="526"/>
        <v>0</v>
      </c>
      <c r="B439" s="245">
        <v>417</v>
      </c>
      <c r="C439" s="258"/>
      <c r="D439" s="258"/>
      <c r="E439" s="246"/>
      <c r="F439" s="247" t="str">
        <f>IF(ISBLANK(E439), "", VLOOKUP(E439, Z!$A$2:$C$4127, 3, FALSE))</f>
        <v/>
      </c>
      <c r="G439" s="248"/>
      <c r="H439" s="248"/>
      <c r="I439" s="249"/>
      <c r="J439" s="250"/>
      <c r="K439" s="259"/>
      <c r="L439" s="260"/>
      <c r="M439" s="252" t="str" cm="1">
        <f t="array" ref="M439">INDEX(Trad, 53, $A$20)</f>
        <v>Verschmutzt</v>
      </c>
      <c r="N439" s="253"/>
      <c r="O439" s="253"/>
      <c r="P439" s="254"/>
      <c r="Q439" s="251"/>
      <c r="R439" s="251"/>
      <c r="S439" s="264">
        <f t="shared" si="497"/>
        <v>0</v>
      </c>
      <c r="T439" s="252" t="str" cm="1">
        <f t="array" ref="T439">INDEX(Trad, 52, $A$20)</f>
        <v>Sauber</v>
      </c>
      <c r="U439" s="253"/>
      <c r="V439" s="253"/>
      <c r="W439" s="254"/>
      <c r="X439" s="251"/>
      <c r="Y439" s="251"/>
      <c r="Z439" s="264">
        <f t="shared" si="498"/>
        <v>0</v>
      </c>
      <c r="AA439" s="261"/>
      <c r="AB439" s="258"/>
      <c r="AC439" s="246"/>
      <c r="AD439" s="247" t="str">
        <f>IF(ISBLANK(AC439), "", VLOOKUP(AC439, Z!$A$2:$C$4127, 3, FALSE))</f>
        <v/>
      </c>
      <c r="AE439" s="262"/>
      <c r="AF439" s="263">
        <f t="shared" si="499"/>
        <v>0</v>
      </c>
      <c r="AG439" s="238"/>
      <c r="AH439" s="229">
        <f t="shared" si="523"/>
        <v>1</v>
      </c>
      <c r="AI439" s="229">
        <f t="shared" si="524"/>
        <v>1</v>
      </c>
      <c r="AJ439" s="229">
        <f t="shared" si="525"/>
        <v>0</v>
      </c>
      <c r="AK439" s="229">
        <v>0</v>
      </c>
      <c r="AL439" s="229">
        <v>0</v>
      </c>
      <c r="AM439" s="229">
        <v>1</v>
      </c>
      <c r="AN439" s="229">
        <v>0</v>
      </c>
      <c r="AO439" s="229">
        <f t="shared" si="500"/>
        <v>-100</v>
      </c>
      <c r="AP439" s="238"/>
      <c r="AQ439" s="255"/>
      <c r="AR439" s="255"/>
      <c r="AS439" s="256"/>
      <c r="AT439" s="256"/>
      <c r="AU439" s="256"/>
      <c r="AV439" s="256"/>
      <c r="AW439" s="256"/>
      <c r="AX439" s="256"/>
      <c r="AY439" s="256"/>
      <c r="AZ439" s="256"/>
      <c r="BA439" s="256"/>
      <c r="BB439" s="256"/>
      <c r="BC439" s="256"/>
      <c r="BD439" s="238"/>
      <c r="BE439" s="229" cm="1">
        <f t="array" ref="BE439">IF(ISBLANK(R439), INDEX(Use, $AH439, 4) - AM439*INDEX(Use, $AH439, 6), R439)</f>
        <v>5</v>
      </c>
      <c r="BF439" s="229">
        <f t="shared" si="501"/>
        <v>30</v>
      </c>
      <c r="BG439" s="229">
        <f t="shared" si="527"/>
        <v>13</v>
      </c>
      <c r="BH439" s="229">
        <f t="shared" si="528"/>
        <v>0</v>
      </c>
      <c r="BI439" s="234" cm="1">
        <f t="array" ref="BI439">K439/IF($L439&gt;0, INDEX($AU$23:$BA$77, $L439+20, $AH439), 1)</f>
        <v>0</v>
      </c>
      <c r="BJ439" s="230">
        <f t="shared" si="502"/>
        <v>0</v>
      </c>
      <c r="BK439" s="229">
        <v>35</v>
      </c>
      <c r="BL439" s="230">
        <f t="shared" si="503"/>
        <v>48</v>
      </c>
      <c r="BM439" s="235">
        <f t="shared" si="504"/>
        <v>2.9108720930232557</v>
      </c>
      <c r="BN439" s="235" cm="1">
        <f t="array" ref="BN439">$BI439 * SUMPRODUCT(INDEX($AR$77:$AT$82,,$AI439),INDEX($AU$77:$BA$82,,$AH439), N($AQ$77:$AQ$82&gt;$AO439)) / BM439 / 1000</f>
        <v>0</v>
      </c>
      <c r="BO439" s="232">
        <f t="shared" si="529"/>
        <v>30</v>
      </c>
      <c r="BP439" s="230">
        <f t="shared" si="505"/>
        <v>43</v>
      </c>
      <c r="BQ439" s="235">
        <f t="shared" si="506"/>
        <v>3.2938815789473681</v>
      </c>
      <c r="BR439" s="235" cm="1">
        <f t="array" ref="BR439">$BI439 * IF($AH439&lt;=2,
SUMPRODUCT(INDEX($AR$72:$AT$76,,$AI439), INDEX($AU$72:$BA$76,,$AH439), 1 / ($BB$72:$BB$76*BQ439 + (1-$BB$72:$BB$76)*BM439), N($AQ$72:$AQ$76&gt;$AO439)),
SUMPRODUCT(INDEX($AR$67:$AT$76,,$AI439), INDEX($AU$67:$BA$76,,$AH439), 1 / ($BC$67:$BC$76*BQ439 + (1-$BC$67:$BC$76)*BM439), N($AQ$67:$AQ$76&gt;$AO439))
) / 1000</f>
        <v>0</v>
      </c>
      <c r="BS439" s="232">
        <f t="shared" si="530"/>
        <v>25</v>
      </c>
      <c r="BT439" s="230">
        <f t="shared" si="507"/>
        <v>38</v>
      </c>
      <c r="BU439" s="235">
        <f t="shared" si="508"/>
        <v>3.792954545454545</v>
      </c>
      <c r="BV439" s="235" cm="1">
        <f t="array" ref="BV439">$BI439 * IF($AH439&lt;=2,
SUMPRODUCT(INDEX($AR$67:$AT$71,,$AI439), INDEX($AU$67:$BA$71,,$AH439), 1 / ($BB$67:$BB$71*BU439 + (1-$BB$67:$BB$71)*BQ439), N($AQ$67:$AQ$71&gt;$AO439)),
SUMPRODUCT(INDEX($AR$57:$AT$66,,$AI439), INDEX($AU$57:$BA$66,,$AH439), 1 / ($BC$57:$BC$66*BU439 + (1-$BC$57:$BC$66)*BQ439), N($AQ$57:$AQ$66&gt;$AO439))
) / 1000</f>
        <v>0</v>
      </c>
      <c r="BW439" s="232">
        <f t="shared" si="531"/>
        <v>20</v>
      </c>
      <c r="BX439" s="230">
        <f t="shared" si="509"/>
        <v>33</v>
      </c>
      <c r="BY439" s="235">
        <f t="shared" si="510"/>
        <v>4.4702678571428569</v>
      </c>
      <c r="BZ439" s="235" cm="1">
        <f t="array" ref="BZ439">$BI439 * IF($AH439&lt;=2,
SUMPRODUCT(INDEX($AR$62:$AT$66,,$AI439), INDEX($AU$62:$BA$66,,$AH439), 1 / ($BB$62:$BB$66*BY439 + (1-$BB$62:$BB$66)*BU439), N($AQ$62:$AQ$66&gt;$AO439)),
SUMPRODUCT(INDEX($AR$47:$AT$56,,$AI439), INDEX($AU$47:$BA$56,,$AH439), 1 / ($BC$47:$BC$56*BY439 + (1-$BC$47:$BC$56)*BU439), N($AQ$47:$AQ$56&gt;$AO439))
) / 1000</f>
        <v>0</v>
      </c>
      <c r="CA439" s="235" cm="1">
        <f t="array" ref="CA439">$BI439 * IF($AH439&lt;=2,
SUMPRODUCT(INDEX($AR$23:$AT$61,,$AI439), INDEX($AU$23:$BA$61,,$AH439), 1 / ($BB$23:$BB$61*BY439), N($AQ$23:$AQ$61&gt;$AO439)),
SUMPRODUCT(INDEX($AR$23:$AT$46,,$AI439), INDEX($AU$23:$BA$46,,$AH439), 1 / ($BC$23:$BC$46*BY439), N($AQ$23:$AQ$46&gt;$AO439))
) / 1000</f>
        <v>0</v>
      </c>
      <c r="CB439" s="230">
        <f t="shared" si="511"/>
        <v>0</v>
      </c>
      <c r="CC439" s="238"/>
      <c r="CD439" s="229" cm="1">
        <f t="array" ref="CD439">IF(ISBLANK(Y439), INDEX(Use, $AH439, 4) - AN439*INDEX(Use, $AH439, 6) - (Q439-X439), Y439)</f>
        <v>7</v>
      </c>
      <c r="CE439" s="229">
        <f t="shared" si="512"/>
        <v>32</v>
      </c>
      <c r="CF439" s="230">
        <f t="shared" si="513"/>
        <v>0</v>
      </c>
      <c r="CG439" s="229">
        <v>35</v>
      </c>
      <c r="CH439" s="230">
        <f t="shared" si="514"/>
        <v>48</v>
      </c>
      <c r="CI439" s="235">
        <f t="shared" si="515"/>
        <v>3.0748170731707316</v>
      </c>
      <c r="CJ439" s="235" cm="1">
        <f t="array" ref="CJ439">$BI439 * SUMPRODUCT(INDEX($AR$77:$AT$82,,$AI439),INDEX($AU$77:$BA$82,,$AH439), N($AQ$77:$AQ$82&gt;$AO439)) / CI439 / 1000</f>
        <v>0</v>
      </c>
      <c r="CK439" s="232">
        <f t="shared" si="532"/>
        <v>30</v>
      </c>
      <c r="CL439" s="230">
        <f t="shared" si="516"/>
        <v>43</v>
      </c>
      <c r="CM439" s="235">
        <f t="shared" si="517"/>
        <v>3.5018750000000001</v>
      </c>
      <c r="CN439" s="235" cm="1">
        <f t="array" ref="CN439">$BI439 * IF($AH439&lt;=2,
SUMPRODUCT(INDEX($AR$72:$AT$76,,$AI439), INDEX($AU$72:$BA$76,,$AH439), 1 / ($BB$72:$BB$76*CM439 + (1-$BB$72:$BB$76)*CI439), N($AQ$72:$AQ$76&gt;$AO439)),
SUMPRODUCT(INDEX($AR$67:$AT$76,,$AI439), INDEX($AU$67:$BA$76,,$AH439), 1 / ($BC$67:$BC$76*CM439 + (1-$BC$67:$BC$76)*CI439), N($AQ$67:$AQ$76&gt;$AO439))
) / 1000</f>
        <v>0</v>
      </c>
      <c r="CO439" s="232">
        <f t="shared" si="533"/>
        <v>25</v>
      </c>
      <c r="CP439" s="230">
        <f t="shared" si="518"/>
        <v>38</v>
      </c>
      <c r="CQ439" s="235">
        <f t="shared" si="519"/>
        <v>4.0666935483870965</v>
      </c>
      <c r="CR439" s="235" cm="1">
        <f t="array" ref="CR439">$BI439 * IF($AH439&lt;=2,
SUMPRODUCT(INDEX($AR$67:$AT$71,,$AI439), INDEX($AU$67:$BA$71,,$AH439), 1 / ($BB$67:$BB$71*CQ439 + (1-$BB$67:$BB$71)*CM439), N($AQ$67:$AQ$71&gt;$AO439)),
SUMPRODUCT(INDEX($AR$57:$AT$66,,$AI439), INDEX($AU$57:$BA$66,,$AH439), 1 / ($BC$57:$BC$66*CQ439 + (1-$BC$57:$BC$66)*CM439), N($AQ$57:$AQ$66&gt;$AO439))
) / 1000</f>
        <v>0</v>
      </c>
      <c r="CS439" s="232">
        <f t="shared" si="534"/>
        <v>20</v>
      </c>
      <c r="CT439" s="230">
        <f t="shared" si="520"/>
        <v>33</v>
      </c>
      <c r="CU439" s="235">
        <f t="shared" si="521"/>
        <v>4.8487499999999999</v>
      </c>
      <c r="CV439" s="235" cm="1">
        <f t="array" ref="CV439">$BI439 * IF($AH439&lt;=2,
SUMPRODUCT(INDEX($AR$62:$AT$66,,$AI439), INDEX($AU$62:$BA$66,,$AH439), 1 / ($BB$62:$BB$66*CU439 + (1-$BB$62:$BB$66)*CQ439), N($AQ$62:$AQ$66&gt;$AO439)),
SUMPRODUCT(INDEX($AR$47:$AT$56,,$AI439), INDEX($AU$47:$BA$56,,$AH439), 1 / ($BC$47:$BC$56*CU439 + (1-$BC$47:$BC$56)*CQ439), N($AQ$47:$AQ$56&gt;$AO439))
) / 1000</f>
        <v>0</v>
      </c>
      <c r="CW439" s="235" cm="1">
        <f t="array" ref="CW439">$BI439 * IF($AH439&lt;=2,
SUMPRODUCT(INDEX($AR$23:$AT$61,,$AI439), INDEX($AU$23:$BA$61,,$AH439), 1 / ($BB$23:$BB$61*CU439), N($AQ$23:$AQ$61&gt;$AO439)),
SUMPRODUCT(INDEX($AR$23:$AT$46,,$AI439), INDEX($AU$23:$BA$46,,$AH439), 1 / ($BC$23:$BC$46*CU439), N($AQ$23:$AQ$46&gt;$AO439))
) / 1000</f>
        <v>0</v>
      </c>
      <c r="CX439" s="230">
        <f t="shared" si="522"/>
        <v>0</v>
      </c>
      <c r="CY439" s="238"/>
    </row>
    <row r="440" spans="1:103" s="76" customFormat="1" ht="14.25" customHeight="1" x14ac:dyDescent="0.2">
      <c r="A440" s="231" t="b">
        <f t="shared" si="526"/>
        <v>0</v>
      </c>
      <c r="B440" s="245">
        <v>418</v>
      </c>
      <c r="C440" s="258"/>
      <c r="D440" s="258"/>
      <c r="E440" s="246"/>
      <c r="F440" s="247" t="str">
        <f>IF(ISBLANK(E440), "", VLOOKUP(E440, Z!$A$2:$C$4127, 3, FALSE))</f>
        <v/>
      </c>
      <c r="G440" s="248"/>
      <c r="H440" s="248"/>
      <c r="I440" s="249"/>
      <c r="J440" s="250"/>
      <c r="K440" s="259"/>
      <c r="L440" s="260"/>
      <c r="M440" s="252" t="str" cm="1">
        <f t="array" ref="M440">INDEX(Trad, 53, $A$20)</f>
        <v>Verschmutzt</v>
      </c>
      <c r="N440" s="253"/>
      <c r="O440" s="253"/>
      <c r="P440" s="254"/>
      <c r="Q440" s="251"/>
      <c r="R440" s="251"/>
      <c r="S440" s="264">
        <f t="shared" si="497"/>
        <v>0</v>
      </c>
      <c r="T440" s="252" t="str" cm="1">
        <f t="array" ref="T440">INDEX(Trad, 52, $A$20)</f>
        <v>Sauber</v>
      </c>
      <c r="U440" s="253"/>
      <c r="V440" s="253"/>
      <c r="W440" s="254"/>
      <c r="X440" s="251"/>
      <c r="Y440" s="251"/>
      <c r="Z440" s="264">
        <f t="shared" si="498"/>
        <v>0</v>
      </c>
      <c r="AA440" s="261"/>
      <c r="AB440" s="258"/>
      <c r="AC440" s="246"/>
      <c r="AD440" s="247" t="str">
        <f>IF(ISBLANK(AC440), "", VLOOKUP(AC440, Z!$A$2:$C$4127, 3, FALSE))</f>
        <v/>
      </c>
      <c r="AE440" s="262"/>
      <c r="AF440" s="263">
        <f t="shared" si="499"/>
        <v>0</v>
      </c>
      <c r="AG440" s="238"/>
      <c r="AH440" s="229">
        <f t="shared" si="523"/>
        <v>1</v>
      </c>
      <c r="AI440" s="229">
        <f t="shared" si="524"/>
        <v>1</v>
      </c>
      <c r="AJ440" s="229">
        <f t="shared" si="525"/>
        <v>0</v>
      </c>
      <c r="AK440" s="229">
        <v>0</v>
      </c>
      <c r="AL440" s="229">
        <v>0</v>
      </c>
      <c r="AM440" s="229">
        <v>1</v>
      </c>
      <c r="AN440" s="229">
        <v>0</v>
      </c>
      <c r="AO440" s="229">
        <f t="shared" si="500"/>
        <v>-100</v>
      </c>
      <c r="AP440" s="238"/>
      <c r="AQ440" s="255"/>
      <c r="AR440" s="255"/>
      <c r="AS440" s="256"/>
      <c r="AT440" s="256"/>
      <c r="AU440" s="256"/>
      <c r="AV440" s="256"/>
      <c r="AW440" s="256"/>
      <c r="AX440" s="256"/>
      <c r="AY440" s="256"/>
      <c r="AZ440" s="256"/>
      <c r="BA440" s="256"/>
      <c r="BB440" s="256"/>
      <c r="BC440" s="256"/>
      <c r="BD440" s="238"/>
      <c r="BE440" s="229" cm="1">
        <f t="array" ref="BE440">IF(ISBLANK(R440), INDEX(Use, $AH440, 4) - AM440*INDEX(Use, $AH440, 6), R440)</f>
        <v>5</v>
      </c>
      <c r="BF440" s="229">
        <f t="shared" si="501"/>
        <v>30</v>
      </c>
      <c r="BG440" s="229">
        <f t="shared" si="527"/>
        <v>13</v>
      </c>
      <c r="BH440" s="229">
        <f t="shared" si="528"/>
        <v>0</v>
      </c>
      <c r="BI440" s="234" cm="1">
        <f t="array" ref="BI440">K440/IF($L440&gt;0, INDEX($AU$23:$BA$77, $L440+20, $AH440), 1)</f>
        <v>0</v>
      </c>
      <c r="BJ440" s="230">
        <f t="shared" si="502"/>
        <v>0</v>
      </c>
      <c r="BK440" s="229">
        <v>35</v>
      </c>
      <c r="BL440" s="230">
        <f t="shared" si="503"/>
        <v>48</v>
      </c>
      <c r="BM440" s="235">
        <f t="shared" si="504"/>
        <v>2.9108720930232557</v>
      </c>
      <c r="BN440" s="235" cm="1">
        <f t="array" ref="BN440">$BI440 * SUMPRODUCT(INDEX($AR$77:$AT$82,,$AI440),INDEX($AU$77:$BA$82,,$AH440), N($AQ$77:$AQ$82&gt;$AO440)) / BM440 / 1000</f>
        <v>0</v>
      </c>
      <c r="BO440" s="232">
        <f t="shared" si="529"/>
        <v>30</v>
      </c>
      <c r="BP440" s="230">
        <f t="shared" si="505"/>
        <v>43</v>
      </c>
      <c r="BQ440" s="235">
        <f t="shared" si="506"/>
        <v>3.2938815789473681</v>
      </c>
      <c r="BR440" s="235" cm="1">
        <f t="array" ref="BR440">$BI440 * IF($AH440&lt;=2,
SUMPRODUCT(INDEX($AR$72:$AT$76,,$AI440), INDEX($AU$72:$BA$76,,$AH440), 1 / ($BB$72:$BB$76*BQ440 + (1-$BB$72:$BB$76)*BM440), N($AQ$72:$AQ$76&gt;$AO440)),
SUMPRODUCT(INDEX($AR$67:$AT$76,,$AI440), INDEX($AU$67:$BA$76,,$AH440), 1 / ($BC$67:$BC$76*BQ440 + (1-$BC$67:$BC$76)*BM440), N($AQ$67:$AQ$76&gt;$AO440))
) / 1000</f>
        <v>0</v>
      </c>
      <c r="BS440" s="232">
        <f t="shared" si="530"/>
        <v>25</v>
      </c>
      <c r="BT440" s="230">
        <f t="shared" si="507"/>
        <v>38</v>
      </c>
      <c r="BU440" s="235">
        <f t="shared" si="508"/>
        <v>3.792954545454545</v>
      </c>
      <c r="BV440" s="235" cm="1">
        <f t="array" ref="BV440">$BI440 * IF($AH440&lt;=2,
SUMPRODUCT(INDEX($AR$67:$AT$71,,$AI440), INDEX($AU$67:$BA$71,,$AH440), 1 / ($BB$67:$BB$71*BU440 + (1-$BB$67:$BB$71)*BQ440), N($AQ$67:$AQ$71&gt;$AO440)),
SUMPRODUCT(INDEX($AR$57:$AT$66,,$AI440), INDEX($AU$57:$BA$66,,$AH440), 1 / ($BC$57:$BC$66*BU440 + (1-$BC$57:$BC$66)*BQ440), N($AQ$57:$AQ$66&gt;$AO440))
) / 1000</f>
        <v>0</v>
      </c>
      <c r="BW440" s="232">
        <f t="shared" si="531"/>
        <v>20</v>
      </c>
      <c r="BX440" s="230">
        <f t="shared" si="509"/>
        <v>33</v>
      </c>
      <c r="BY440" s="235">
        <f t="shared" si="510"/>
        <v>4.4702678571428569</v>
      </c>
      <c r="BZ440" s="235" cm="1">
        <f t="array" ref="BZ440">$BI440 * IF($AH440&lt;=2,
SUMPRODUCT(INDEX($AR$62:$AT$66,,$AI440), INDEX($AU$62:$BA$66,,$AH440), 1 / ($BB$62:$BB$66*BY440 + (1-$BB$62:$BB$66)*BU440), N($AQ$62:$AQ$66&gt;$AO440)),
SUMPRODUCT(INDEX($AR$47:$AT$56,,$AI440), INDEX($AU$47:$BA$56,,$AH440), 1 / ($BC$47:$BC$56*BY440 + (1-$BC$47:$BC$56)*BU440), N($AQ$47:$AQ$56&gt;$AO440))
) / 1000</f>
        <v>0</v>
      </c>
      <c r="CA440" s="235" cm="1">
        <f t="array" ref="CA440">$BI440 * IF($AH440&lt;=2,
SUMPRODUCT(INDEX($AR$23:$AT$61,,$AI440), INDEX($AU$23:$BA$61,,$AH440), 1 / ($BB$23:$BB$61*BY440), N($AQ$23:$AQ$61&gt;$AO440)),
SUMPRODUCT(INDEX($AR$23:$AT$46,,$AI440), INDEX($AU$23:$BA$46,,$AH440), 1 / ($BC$23:$BC$46*BY440), N($AQ$23:$AQ$46&gt;$AO440))
) / 1000</f>
        <v>0</v>
      </c>
      <c r="CB440" s="230">
        <f t="shared" si="511"/>
        <v>0</v>
      </c>
      <c r="CC440" s="238"/>
      <c r="CD440" s="229" cm="1">
        <f t="array" ref="CD440">IF(ISBLANK(Y440), INDEX(Use, $AH440, 4) - AN440*INDEX(Use, $AH440, 6) - (Q440-X440), Y440)</f>
        <v>7</v>
      </c>
      <c r="CE440" s="229">
        <f t="shared" si="512"/>
        <v>32</v>
      </c>
      <c r="CF440" s="230">
        <f t="shared" si="513"/>
        <v>0</v>
      </c>
      <c r="CG440" s="229">
        <v>35</v>
      </c>
      <c r="CH440" s="230">
        <f t="shared" si="514"/>
        <v>48</v>
      </c>
      <c r="CI440" s="235">
        <f t="shared" si="515"/>
        <v>3.0748170731707316</v>
      </c>
      <c r="CJ440" s="235" cm="1">
        <f t="array" ref="CJ440">$BI440 * SUMPRODUCT(INDEX($AR$77:$AT$82,,$AI440),INDEX($AU$77:$BA$82,,$AH440), N($AQ$77:$AQ$82&gt;$AO440)) / CI440 / 1000</f>
        <v>0</v>
      </c>
      <c r="CK440" s="232">
        <f t="shared" si="532"/>
        <v>30</v>
      </c>
      <c r="CL440" s="230">
        <f t="shared" si="516"/>
        <v>43</v>
      </c>
      <c r="CM440" s="235">
        <f t="shared" si="517"/>
        <v>3.5018750000000001</v>
      </c>
      <c r="CN440" s="235" cm="1">
        <f t="array" ref="CN440">$BI440 * IF($AH440&lt;=2,
SUMPRODUCT(INDEX($AR$72:$AT$76,,$AI440), INDEX($AU$72:$BA$76,,$AH440), 1 / ($BB$72:$BB$76*CM440 + (1-$BB$72:$BB$76)*CI440), N($AQ$72:$AQ$76&gt;$AO440)),
SUMPRODUCT(INDEX($AR$67:$AT$76,,$AI440), INDEX($AU$67:$BA$76,,$AH440), 1 / ($BC$67:$BC$76*CM440 + (1-$BC$67:$BC$76)*CI440), N($AQ$67:$AQ$76&gt;$AO440))
) / 1000</f>
        <v>0</v>
      </c>
      <c r="CO440" s="232">
        <f t="shared" si="533"/>
        <v>25</v>
      </c>
      <c r="CP440" s="230">
        <f t="shared" si="518"/>
        <v>38</v>
      </c>
      <c r="CQ440" s="235">
        <f t="shared" si="519"/>
        <v>4.0666935483870965</v>
      </c>
      <c r="CR440" s="235" cm="1">
        <f t="array" ref="CR440">$BI440 * IF($AH440&lt;=2,
SUMPRODUCT(INDEX($AR$67:$AT$71,,$AI440), INDEX($AU$67:$BA$71,,$AH440), 1 / ($BB$67:$BB$71*CQ440 + (1-$BB$67:$BB$71)*CM440), N($AQ$67:$AQ$71&gt;$AO440)),
SUMPRODUCT(INDEX($AR$57:$AT$66,,$AI440), INDEX($AU$57:$BA$66,,$AH440), 1 / ($BC$57:$BC$66*CQ440 + (1-$BC$57:$BC$66)*CM440), N($AQ$57:$AQ$66&gt;$AO440))
) / 1000</f>
        <v>0</v>
      </c>
      <c r="CS440" s="232">
        <f t="shared" si="534"/>
        <v>20</v>
      </c>
      <c r="CT440" s="230">
        <f t="shared" si="520"/>
        <v>33</v>
      </c>
      <c r="CU440" s="235">
        <f t="shared" si="521"/>
        <v>4.8487499999999999</v>
      </c>
      <c r="CV440" s="235" cm="1">
        <f t="array" ref="CV440">$BI440 * IF($AH440&lt;=2,
SUMPRODUCT(INDEX($AR$62:$AT$66,,$AI440), INDEX($AU$62:$BA$66,,$AH440), 1 / ($BB$62:$BB$66*CU440 + (1-$BB$62:$BB$66)*CQ440), N($AQ$62:$AQ$66&gt;$AO440)),
SUMPRODUCT(INDEX($AR$47:$AT$56,,$AI440), INDEX($AU$47:$BA$56,,$AH440), 1 / ($BC$47:$BC$56*CU440 + (1-$BC$47:$BC$56)*CQ440), N($AQ$47:$AQ$56&gt;$AO440))
) / 1000</f>
        <v>0</v>
      </c>
      <c r="CW440" s="235" cm="1">
        <f t="array" ref="CW440">$BI440 * IF($AH440&lt;=2,
SUMPRODUCT(INDEX($AR$23:$AT$61,,$AI440), INDEX($AU$23:$BA$61,,$AH440), 1 / ($BB$23:$BB$61*CU440), N($AQ$23:$AQ$61&gt;$AO440)),
SUMPRODUCT(INDEX($AR$23:$AT$46,,$AI440), INDEX($AU$23:$BA$46,,$AH440), 1 / ($BC$23:$BC$46*CU440), N($AQ$23:$AQ$46&gt;$AO440))
) / 1000</f>
        <v>0</v>
      </c>
      <c r="CX440" s="230">
        <f t="shared" si="522"/>
        <v>0</v>
      </c>
      <c r="CY440" s="238"/>
    </row>
    <row r="441" spans="1:103" s="76" customFormat="1" ht="14.25" customHeight="1" x14ac:dyDescent="0.2">
      <c r="A441" s="231" t="b">
        <f t="shared" si="526"/>
        <v>0</v>
      </c>
      <c r="B441" s="245">
        <v>419</v>
      </c>
      <c r="C441" s="258"/>
      <c r="D441" s="258"/>
      <c r="E441" s="246"/>
      <c r="F441" s="247" t="str">
        <f>IF(ISBLANK(E441), "", VLOOKUP(E441, Z!$A$2:$C$4127, 3, FALSE))</f>
        <v/>
      </c>
      <c r="G441" s="248"/>
      <c r="H441" s="248"/>
      <c r="I441" s="249"/>
      <c r="J441" s="250"/>
      <c r="K441" s="259"/>
      <c r="L441" s="260"/>
      <c r="M441" s="252" t="str" cm="1">
        <f t="array" ref="M441">INDEX(Trad, 53, $A$20)</f>
        <v>Verschmutzt</v>
      </c>
      <c r="N441" s="253"/>
      <c r="O441" s="253"/>
      <c r="P441" s="254"/>
      <c r="Q441" s="251"/>
      <c r="R441" s="251"/>
      <c r="S441" s="264">
        <f t="shared" si="497"/>
        <v>0</v>
      </c>
      <c r="T441" s="252" t="str" cm="1">
        <f t="array" ref="T441">INDEX(Trad, 52, $A$20)</f>
        <v>Sauber</v>
      </c>
      <c r="U441" s="253"/>
      <c r="V441" s="253"/>
      <c r="W441" s="254"/>
      <c r="X441" s="251"/>
      <c r="Y441" s="251"/>
      <c r="Z441" s="264">
        <f t="shared" si="498"/>
        <v>0</v>
      </c>
      <c r="AA441" s="261"/>
      <c r="AB441" s="258"/>
      <c r="AC441" s="246"/>
      <c r="AD441" s="247" t="str">
        <f>IF(ISBLANK(AC441), "", VLOOKUP(AC441, Z!$A$2:$C$4127, 3, FALSE))</f>
        <v/>
      </c>
      <c r="AE441" s="262"/>
      <c r="AF441" s="263">
        <f t="shared" si="499"/>
        <v>0</v>
      </c>
      <c r="AG441" s="238"/>
      <c r="AH441" s="229">
        <f t="shared" si="523"/>
        <v>1</v>
      </c>
      <c r="AI441" s="229">
        <f t="shared" si="524"/>
        <v>1</v>
      </c>
      <c r="AJ441" s="229">
        <f t="shared" si="525"/>
        <v>0</v>
      </c>
      <c r="AK441" s="229">
        <v>0</v>
      </c>
      <c r="AL441" s="229">
        <v>0</v>
      </c>
      <c r="AM441" s="229">
        <v>1</v>
      </c>
      <c r="AN441" s="229">
        <v>0</v>
      </c>
      <c r="AO441" s="229">
        <f t="shared" si="500"/>
        <v>-100</v>
      </c>
      <c r="AP441" s="238"/>
      <c r="AQ441" s="255"/>
      <c r="AR441" s="255"/>
      <c r="AS441" s="256"/>
      <c r="AT441" s="256"/>
      <c r="AU441" s="256"/>
      <c r="AV441" s="256"/>
      <c r="AW441" s="256"/>
      <c r="AX441" s="256"/>
      <c r="AY441" s="256"/>
      <c r="AZ441" s="256"/>
      <c r="BA441" s="256"/>
      <c r="BB441" s="256"/>
      <c r="BC441" s="256"/>
      <c r="BD441" s="238"/>
      <c r="BE441" s="229" cm="1">
        <f t="array" ref="BE441">IF(ISBLANK(R441), INDEX(Use, $AH441, 4) - AM441*INDEX(Use, $AH441, 6), R441)</f>
        <v>5</v>
      </c>
      <c r="BF441" s="229">
        <f t="shared" si="501"/>
        <v>30</v>
      </c>
      <c r="BG441" s="229">
        <f t="shared" si="527"/>
        <v>13</v>
      </c>
      <c r="BH441" s="229">
        <f t="shared" si="528"/>
        <v>0</v>
      </c>
      <c r="BI441" s="234" cm="1">
        <f t="array" ref="BI441">K441/IF($L441&gt;0, INDEX($AU$23:$BA$77, $L441+20, $AH441), 1)</f>
        <v>0</v>
      </c>
      <c r="BJ441" s="230">
        <f t="shared" si="502"/>
        <v>0</v>
      </c>
      <c r="BK441" s="229">
        <v>35</v>
      </c>
      <c r="BL441" s="230">
        <f t="shared" si="503"/>
        <v>48</v>
      </c>
      <c r="BM441" s="235">
        <f t="shared" si="504"/>
        <v>2.9108720930232557</v>
      </c>
      <c r="BN441" s="235" cm="1">
        <f t="array" ref="BN441">$BI441 * SUMPRODUCT(INDEX($AR$77:$AT$82,,$AI441),INDEX($AU$77:$BA$82,,$AH441), N($AQ$77:$AQ$82&gt;$AO441)) / BM441 / 1000</f>
        <v>0</v>
      </c>
      <c r="BO441" s="232">
        <f t="shared" si="529"/>
        <v>30</v>
      </c>
      <c r="BP441" s="230">
        <f t="shared" si="505"/>
        <v>43</v>
      </c>
      <c r="BQ441" s="235">
        <f t="shared" si="506"/>
        <v>3.2938815789473681</v>
      </c>
      <c r="BR441" s="235" cm="1">
        <f t="array" ref="BR441">$BI441 * IF($AH441&lt;=2,
SUMPRODUCT(INDEX($AR$72:$AT$76,,$AI441), INDEX($AU$72:$BA$76,,$AH441), 1 / ($BB$72:$BB$76*BQ441 + (1-$BB$72:$BB$76)*BM441), N($AQ$72:$AQ$76&gt;$AO441)),
SUMPRODUCT(INDEX($AR$67:$AT$76,,$AI441), INDEX($AU$67:$BA$76,,$AH441), 1 / ($BC$67:$BC$76*BQ441 + (1-$BC$67:$BC$76)*BM441), N($AQ$67:$AQ$76&gt;$AO441))
) / 1000</f>
        <v>0</v>
      </c>
      <c r="BS441" s="232">
        <f t="shared" si="530"/>
        <v>25</v>
      </c>
      <c r="BT441" s="230">
        <f t="shared" si="507"/>
        <v>38</v>
      </c>
      <c r="BU441" s="235">
        <f t="shared" si="508"/>
        <v>3.792954545454545</v>
      </c>
      <c r="BV441" s="235" cm="1">
        <f t="array" ref="BV441">$BI441 * IF($AH441&lt;=2,
SUMPRODUCT(INDEX($AR$67:$AT$71,,$AI441), INDEX($AU$67:$BA$71,,$AH441), 1 / ($BB$67:$BB$71*BU441 + (1-$BB$67:$BB$71)*BQ441), N($AQ$67:$AQ$71&gt;$AO441)),
SUMPRODUCT(INDEX($AR$57:$AT$66,,$AI441), INDEX($AU$57:$BA$66,,$AH441), 1 / ($BC$57:$BC$66*BU441 + (1-$BC$57:$BC$66)*BQ441), N($AQ$57:$AQ$66&gt;$AO441))
) / 1000</f>
        <v>0</v>
      </c>
      <c r="BW441" s="232">
        <f t="shared" si="531"/>
        <v>20</v>
      </c>
      <c r="BX441" s="230">
        <f t="shared" si="509"/>
        <v>33</v>
      </c>
      <c r="BY441" s="235">
        <f t="shared" si="510"/>
        <v>4.4702678571428569</v>
      </c>
      <c r="BZ441" s="235" cm="1">
        <f t="array" ref="BZ441">$BI441 * IF($AH441&lt;=2,
SUMPRODUCT(INDEX($AR$62:$AT$66,,$AI441), INDEX($AU$62:$BA$66,,$AH441), 1 / ($BB$62:$BB$66*BY441 + (1-$BB$62:$BB$66)*BU441), N($AQ$62:$AQ$66&gt;$AO441)),
SUMPRODUCT(INDEX($AR$47:$AT$56,,$AI441), INDEX($AU$47:$BA$56,,$AH441), 1 / ($BC$47:$BC$56*BY441 + (1-$BC$47:$BC$56)*BU441), N($AQ$47:$AQ$56&gt;$AO441))
) / 1000</f>
        <v>0</v>
      </c>
      <c r="CA441" s="235" cm="1">
        <f t="array" ref="CA441">$BI441 * IF($AH441&lt;=2,
SUMPRODUCT(INDEX($AR$23:$AT$61,,$AI441), INDEX($AU$23:$BA$61,,$AH441), 1 / ($BB$23:$BB$61*BY441), N($AQ$23:$AQ$61&gt;$AO441)),
SUMPRODUCT(INDEX($AR$23:$AT$46,,$AI441), INDEX($AU$23:$BA$46,,$AH441), 1 / ($BC$23:$BC$46*BY441), N($AQ$23:$AQ$46&gt;$AO441))
) / 1000</f>
        <v>0</v>
      </c>
      <c r="CB441" s="230">
        <f t="shared" si="511"/>
        <v>0</v>
      </c>
      <c r="CC441" s="238"/>
      <c r="CD441" s="229" cm="1">
        <f t="array" ref="CD441">IF(ISBLANK(Y441), INDEX(Use, $AH441, 4) - AN441*INDEX(Use, $AH441, 6) - (Q441-X441), Y441)</f>
        <v>7</v>
      </c>
      <c r="CE441" s="229">
        <f t="shared" si="512"/>
        <v>32</v>
      </c>
      <c r="CF441" s="230">
        <f t="shared" si="513"/>
        <v>0</v>
      </c>
      <c r="CG441" s="229">
        <v>35</v>
      </c>
      <c r="CH441" s="230">
        <f t="shared" si="514"/>
        <v>48</v>
      </c>
      <c r="CI441" s="235">
        <f t="shared" si="515"/>
        <v>3.0748170731707316</v>
      </c>
      <c r="CJ441" s="235" cm="1">
        <f t="array" ref="CJ441">$BI441 * SUMPRODUCT(INDEX($AR$77:$AT$82,,$AI441),INDEX($AU$77:$BA$82,,$AH441), N($AQ$77:$AQ$82&gt;$AO441)) / CI441 / 1000</f>
        <v>0</v>
      </c>
      <c r="CK441" s="232">
        <f t="shared" si="532"/>
        <v>30</v>
      </c>
      <c r="CL441" s="230">
        <f t="shared" si="516"/>
        <v>43</v>
      </c>
      <c r="CM441" s="235">
        <f t="shared" si="517"/>
        <v>3.5018750000000001</v>
      </c>
      <c r="CN441" s="235" cm="1">
        <f t="array" ref="CN441">$BI441 * IF($AH441&lt;=2,
SUMPRODUCT(INDEX($AR$72:$AT$76,,$AI441), INDEX($AU$72:$BA$76,,$AH441), 1 / ($BB$72:$BB$76*CM441 + (1-$BB$72:$BB$76)*CI441), N($AQ$72:$AQ$76&gt;$AO441)),
SUMPRODUCT(INDEX($AR$67:$AT$76,,$AI441), INDEX($AU$67:$BA$76,,$AH441), 1 / ($BC$67:$BC$76*CM441 + (1-$BC$67:$BC$76)*CI441), N($AQ$67:$AQ$76&gt;$AO441))
) / 1000</f>
        <v>0</v>
      </c>
      <c r="CO441" s="232">
        <f t="shared" si="533"/>
        <v>25</v>
      </c>
      <c r="CP441" s="230">
        <f t="shared" si="518"/>
        <v>38</v>
      </c>
      <c r="CQ441" s="235">
        <f t="shared" si="519"/>
        <v>4.0666935483870965</v>
      </c>
      <c r="CR441" s="235" cm="1">
        <f t="array" ref="CR441">$BI441 * IF($AH441&lt;=2,
SUMPRODUCT(INDEX($AR$67:$AT$71,,$AI441), INDEX($AU$67:$BA$71,,$AH441), 1 / ($BB$67:$BB$71*CQ441 + (1-$BB$67:$BB$71)*CM441), N($AQ$67:$AQ$71&gt;$AO441)),
SUMPRODUCT(INDEX($AR$57:$AT$66,,$AI441), INDEX($AU$57:$BA$66,,$AH441), 1 / ($BC$57:$BC$66*CQ441 + (1-$BC$57:$BC$66)*CM441), N($AQ$57:$AQ$66&gt;$AO441))
) / 1000</f>
        <v>0</v>
      </c>
      <c r="CS441" s="232">
        <f t="shared" si="534"/>
        <v>20</v>
      </c>
      <c r="CT441" s="230">
        <f t="shared" si="520"/>
        <v>33</v>
      </c>
      <c r="CU441" s="235">
        <f t="shared" si="521"/>
        <v>4.8487499999999999</v>
      </c>
      <c r="CV441" s="235" cm="1">
        <f t="array" ref="CV441">$BI441 * IF($AH441&lt;=2,
SUMPRODUCT(INDEX($AR$62:$AT$66,,$AI441), INDEX($AU$62:$BA$66,,$AH441), 1 / ($BB$62:$BB$66*CU441 + (1-$BB$62:$BB$66)*CQ441), N($AQ$62:$AQ$66&gt;$AO441)),
SUMPRODUCT(INDEX($AR$47:$AT$56,,$AI441), INDEX($AU$47:$BA$56,,$AH441), 1 / ($BC$47:$BC$56*CU441 + (1-$BC$47:$BC$56)*CQ441), N($AQ$47:$AQ$56&gt;$AO441))
) / 1000</f>
        <v>0</v>
      </c>
      <c r="CW441" s="235" cm="1">
        <f t="array" ref="CW441">$BI441 * IF($AH441&lt;=2,
SUMPRODUCT(INDEX($AR$23:$AT$61,,$AI441), INDEX($AU$23:$BA$61,,$AH441), 1 / ($BB$23:$BB$61*CU441), N($AQ$23:$AQ$61&gt;$AO441)),
SUMPRODUCT(INDEX($AR$23:$AT$46,,$AI441), INDEX($AU$23:$BA$46,,$AH441), 1 / ($BC$23:$BC$46*CU441), N($AQ$23:$AQ$46&gt;$AO441))
) / 1000</f>
        <v>0</v>
      </c>
      <c r="CX441" s="230">
        <f t="shared" si="522"/>
        <v>0</v>
      </c>
      <c r="CY441" s="238"/>
    </row>
    <row r="442" spans="1:103" s="76" customFormat="1" ht="14.25" customHeight="1" x14ac:dyDescent="0.2">
      <c r="A442" s="231" t="b">
        <f t="shared" si="526"/>
        <v>0</v>
      </c>
      <c r="B442" s="245">
        <v>420</v>
      </c>
      <c r="C442" s="258"/>
      <c r="D442" s="258"/>
      <c r="E442" s="246"/>
      <c r="F442" s="247" t="str">
        <f>IF(ISBLANK(E442), "", VLOOKUP(E442, Z!$A$2:$C$4127, 3, FALSE))</f>
        <v/>
      </c>
      <c r="G442" s="248"/>
      <c r="H442" s="248"/>
      <c r="I442" s="249"/>
      <c r="J442" s="250"/>
      <c r="K442" s="259"/>
      <c r="L442" s="260"/>
      <c r="M442" s="252" t="str" cm="1">
        <f t="array" ref="M442">INDEX(Trad, 53, $A$20)</f>
        <v>Verschmutzt</v>
      </c>
      <c r="N442" s="253"/>
      <c r="O442" s="253"/>
      <c r="P442" s="254"/>
      <c r="Q442" s="251"/>
      <c r="R442" s="251"/>
      <c r="S442" s="264">
        <f t="shared" si="497"/>
        <v>0</v>
      </c>
      <c r="T442" s="252" t="str" cm="1">
        <f t="array" ref="T442">INDEX(Trad, 52, $A$20)</f>
        <v>Sauber</v>
      </c>
      <c r="U442" s="253"/>
      <c r="V442" s="253"/>
      <c r="W442" s="254"/>
      <c r="X442" s="251"/>
      <c r="Y442" s="251"/>
      <c r="Z442" s="264">
        <f t="shared" si="498"/>
        <v>0</v>
      </c>
      <c r="AA442" s="261"/>
      <c r="AB442" s="258"/>
      <c r="AC442" s="246"/>
      <c r="AD442" s="247" t="str">
        <f>IF(ISBLANK(AC442), "", VLOOKUP(AC442, Z!$A$2:$C$4127, 3, FALSE))</f>
        <v/>
      </c>
      <c r="AE442" s="262"/>
      <c r="AF442" s="263">
        <f t="shared" si="499"/>
        <v>0</v>
      </c>
      <c r="AG442" s="238"/>
      <c r="AH442" s="229">
        <f t="shared" si="523"/>
        <v>1</v>
      </c>
      <c r="AI442" s="229">
        <f t="shared" si="524"/>
        <v>1</v>
      </c>
      <c r="AJ442" s="229">
        <f t="shared" si="525"/>
        <v>0</v>
      </c>
      <c r="AK442" s="229">
        <v>0</v>
      </c>
      <c r="AL442" s="229">
        <v>0</v>
      </c>
      <c r="AM442" s="229">
        <v>1</v>
      </c>
      <c r="AN442" s="229">
        <v>0</v>
      </c>
      <c r="AO442" s="229">
        <f t="shared" si="500"/>
        <v>-100</v>
      </c>
      <c r="AP442" s="238"/>
      <c r="AQ442" s="255"/>
      <c r="AR442" s="255"/>
      <c r="AS442" s="256"/>
      <c r="AT442" s="256"/>
      <c r="AU442" s="256"/>
      <c r="AV442" s="256"/>
      <c r="AW442" s="256"/>
      <c r="AX442" s="256"/>
      <c r="AY442" s="256"/>
      <c r="AZ442" s="256"/>
      <c r="BA442" s="256"/>
      <c r="BB442" s="256"/>
      <c r="BC442" s="256"/>
      <c r="BD442" s="238"/>
      <c r="BE442" s="229" cm="1">
        <f t="array" ref="BE442">IF(ISBLANK(R442), INDEX(Use, $AH442, 4) - AM442*INDEX(Use, $AH442, 6), R442)</f>
        <v>5</v>
      </c>
      <c r="BF442" s="229">
        <f t="shared" si="501"/>
        <v>30</v>
      </c>
      <c r="BG442" s="229">
        <f t="shared" si="527"/>
        <v>13</v>
      </c>
      <c r="BH442" s="229">
        <f t="shared" si="528"/>
        <v>0</v>
      </c>
      <c r="BI442" s="234" cm="1">
        <f t="array" ref="BI442">K442/IF($L442&gt;0, INDEX($AU$23:$BA$77, $L442+20, $AH442), 1)</f>
        <v>0</v>
      </c>
      <c r="BJ442" s="230">
        <f t="shared" si="502"/>
        <v>0</v>
      </c>
      <c r="BK442" s="229">
        <v>35</v>
      </c>
      <c r="BL442" s="230">
        <f t="shared" si="503"/>
        <v>48</v>
      </c>
      <c r="BM442" s="235">
        <f t="shared" si="504"/>
        <v>2.9108720930232557</v>
      </c>
      <c r="BN442" s="235" cm="1">
        <f t="array" ref="BN442">$BI442 * SUMPRODUCT(INDEX($AR$77:$AT$82,,$AI442),INDEX($AU$77:$BA$82,,$AH442), N($AQ$77:$AQ$82&gt;$AO442)) / BM442 / 1000</f>
        <v>0</v>
      </c>
      <c r="BO442" s="232">
        <f t="shared" si="529"/>
        <v>30</v>
      </c>
      <c r="BP442" s="230">
        <f t="shared" si="505"/>
        <v>43</v>
      </c>
      <c r="BQ442" s="235">
        <f t="shared" si="506"/>
        <v>3.2938815789473681</v>
      </c>
      <c r="BR442" s="235" cm="1">
        <f t="array" ref="BR442">$BI442 * IF($AH442&lt;=2,
SUMPRODUCT(INDEX($AR$72:$AT$76,,$AI442), INDEX($AU$72:$BA$76,,$AH442), 1 / ($BB$72:$BB$76*BQ442 + (1-$BB$72:$BB$76)*BM442), N($AQ$72:$AQ$76&gt;$AO442)),
SUMPRODUCT(INDEX($AR$67:$AT$76,,$AI442), INDEX($AU$67:$BA$76,,$AH442), 1 / ($BC$67:$BC$76*BQ442 + (1-$BC$67:$BC$76)*BM442), N($AQ$67:$AQ$76&gt;$AO442))
) / 1000</f>
        <v>0</v>
      </c>
      <c r="BS442" s="232">
        <f t="shared" si="530"/>
        <v>25</v>
      </c>
      <c r="BT442" s="230">
        <f t="shared" si="507"/>
        <v>38</v>
      </c>
      <c r="BU442" s="235">
        <f t="shared" si="508"/>
        <v>3.792954545454545</v>
      </c>
      <c r="BV442" s="235" cm="1">
        <f t="array" ref="BV442">$BI442 * IF($AH442&lt;=2,
SUMPRODUCT(INDEX($AR$67:$AT$71,,$AI442), INDEX($AU$67:$BA$71,,$AH442), 1 / ($BB$67:$BB$71*BU442 + (1-$BB$67:$BB$71)*BQ442), N($AQ$67:$AQ$71&gt;$AO442)),
SUMPRODUCT(INDEX($AR$57:$AT$66,,$AI442), INDEX($AU$57:$BA$66,,$AH442), 1 / ($BC$57:$BC$66*BU442 + (1-$BC$57:$BC$66)*BQ442), N($AQ$57:$AQ$66&gt;$AO442))
) / 1000</f>
        <v>0</v>
      </c>
      <c r="BW442" s="232">
        <f t="shared" si="531"/>
        <v>20</v>
      </c>
      <c r="BX442" s="230">
        <f t="shared" si="509"/>
        <v>33</v>
      </c>
      <c r="BY442" s="235">
        <f t="shared" si="510"/>
        <v>4.4702678571428569</v>
      </c>
      <c r="BZ442" s="235" cm="1">
        <f t="array" ref="BZ442">$BI442 * IF($AH442&lt;=2,
SUMPRODUCT(INDEX($AR$62:$AT$66,,$AI442), INDEX($AU$62:$BA$66,,$AH442), 1 / ($BB$62:$BB$66*BY442 + (1-$BB$62:$BB$66)*BU442), N($AQ$62:$AQ$66&gt;$AO442)),
SUMPRODUCT(INDEX($AR$47:$AT$56,,$AI442), INDEX($AU$47:$BA$56,,$AH442), 1 / ($BC$47:$BC$56*BY442 + (1-$BC$47:$BC$56)*BU442), N($AQ$47:$AQ$56&gt;$AO442))
) / 1000</f>
        <v>0</v>
      </c>
      <c r="CA442" s="235" cm="1">
        <f t="array" ref="CA442">$BI442 * IF($AH442&lt;=2,
SUMPRODUCT(INDEX($AR$23:$AT$61,,$AI442), INDEX($AU$23:$BA$61,,$AH442), 1 / ($BB$23:$BB$61*BY442), N($AQ$23:$AQ$61&gt;$AO442)),
SUMPRODUCT(INDEX($AR$23:$AT$46,,$AI442), INDEX($AU$23:$BA$46,,$AH442), 1 / ($BC$23:$BC$46*BY442), N($AQ$23:$AQ$46&gt;$AO442))
) / 1000</f>
        <v>0</v>
      </c>
      <c r="CB442" s="230">
        <f t="shared" si="511"/>
        <v>0</v>
      </c>
      <c r="CC442" s="238"/>
      <c r="CD442" s="229" cm="1">
        <f t="array" ref="CD442">IF(ISBLANK(Y442), INDEX(Use, $AH442, 4) - AN442*INDEX(Use, $AH442, 6) - (Q442-X442), Y442)</f>
        <v>7</v>
      </c>
      <c r="CE442" s="229">
        <f t="shared" si="512"/>
        <v>32</v>
      </c>
      <c r="CF442" s="230">
        <f t="shared" si="513"/>
        <v>0</v>
      </c>
      <c r="CG442" s="229">
        <v>35</v>
      </c>
      <c r="CH442" s="230">
        <f t="shared" si="514"/>
        <v>48</v>
      </c>
      <c r="CI442" s="235">
        <f t="shared" si="515"/>
        <v>3.0748170731707316</v>
      </c>
      <c r="CJ442" s="235" cm="1">
        <f t="array" ref="CJ442">$BI442 * SUMPRODUCT(INDEX($AR$77:$AT$82,,$AI442),INDEX($AU$77:$BA$82,,$AH442), N($AQ$77:$AQ$82&gt;$AO442)) / CI442 / 1000</f>
        <v>0</v>
      </c>
      <c r="CK442" s="232">
        <f t="shared" si="532"/>
        <v>30</v>
      </c>
      <c r="CL442" s="230">
        <f t="shared" si="516"/>
        <v>43</v>
      </c>
      <c r="CM442" s="235">
        <f t="shared" si="517"/>
        <v>3.5018750000000001</v>
      </c>
      <c r="CN442" s="235" cm="1">
        <f t="array" ref="CN442">$BI442 * IF($AH442&lt;=2,
SUMPRODUCT(INDEX($AR$72:$AT$76,,$AI442), INDEX($AU$72:$BA$76,,$AH442), 1 / ($BB$72:$BB$76*CM442 + (1-$BB$72:$BB$76)*CI442), N($AQ$72:$AQ$76&gt;$AO442)),
SUMPRODUCT(INDEX($AR$67:$AT$76,,$AI442), INDEX($AU$67:$BA$76,,$AH442), 1 / ($BC$67:$BC$76*CM442 + (1-$BC$67:$BC$76)*CI442), N($AQ$67:$AQ$76&gt;$AO442))
) / 1000</f>
        <v>0</v>
      </c>
      <c r="CO442" s="232">
        <f t="shared" si="533"/>
        <v>25</v>
      </c>
      <c r="CP442" s="230">
        <f t="shared" si="518"/>
        <v>38</v>
      </c>
      <c r="CQ442" s="235">
        <f t="shared" si="519"/>
        <v>4.0666935483870965</v>
      </c>
      <c r="CR442" s="235" cm="1">
        <f t="array" ref="CR442">$BI442 * IF($AH442&lt;=2,
SUMPRODUCT(INDEX($AR$67:$AT$71,,$AI442), INDEX($AU$67:$BA$71,,$AH442), 1 / ($BB$67:$BB$71*CQ442 + (1-$BB$67:$BB$71)*CM442), N($AQ$67:$AQ$71&gt;$AO442)),
SUMPRODUCT(INDEX($AR$57:$AT$66,,$AI442), INDEX($AU$57:$BA$66,,$AH442), 1 / ($BC$57:$BC$66*CQ442 + (1-$BC$57:$BC$66)*CM442), N($AQ$57:$AQ$66&gt;$AO442))
) / 1000</f>
        <v>0</v>
      </c>
      <c r="CS442" s="232">
        <f t="shared" si="534"/>
        <v>20</v>
      </c>
      <c r="CT442" s="230">
        <f t="shared" si="520"/>
        <v>33</v>
      </c>
      <c r="CU442" s="235">
        <f t="shared" si="521"/>
        <v>4.8487499999999999</v>
      </c>
      <c r="CV442" s="235" cm="1">
        <f t="array" ref="CV442">$BI442 * IF($AH442&lt;=2,
SUMPRODUCT(INDEX($AR$62:$AT$66,,$AI442), INDEX($AU$62:$BA$66,,$AH442), 1 / ($BB$62:$BB$66*CU442 + (1-$BB$62:$BB$66)*CQ442), N($AQ$62:$AQ$66&gt;$AO442)),
SUMPRODUCT(INDEX($AR$47:$AT$56,,$AI442), INDEX($AU$47:$BA$56,,$AH442), 1 / ($BC$47:$BC$56*CU442 + (1-$BC$47:$BC$56)*CQ442), N($AQ$47:$AQ$56&gt;$AO442))
) / 1000</f>
        <v>0</v>
      </c>
      <c r="CW442" s="235" cm="1">
        <f t="array" ref="CW442">$BI442 * IF($AH442&lt;=2,
SUMPRODUCT(INDEX($AR$23:$AT$61,,$AI442), INDEX($AU$23:$BA$61,,$AH442), 1 / ($BB$23:$BB$61*CU442), N($AQ$23:$AQ$61&gt;$AO442)),
SUMPRODUCT(INDEX($AR$23:$AT$46,,$AI442), INDEX($AU$23:$BA$46,,$AH442), 1 / ($BC$23:$BC$46*CU442), N($AQ$23:$AQ$46&gt;$AO442))
) / 1000</f>
        <v>0</v>
      </c>
      <c r="CX442" s="230">
        <f t="shared" si="522"/>
        <v>0</v>
      </c>
      <c r="CY442" s="238"/>
    </row>
    <row r="443" spans="1:103" s="76" customFormat="1" ht="14.25" customHeight="1" x14ac:dyDescent="0.2">
      <c r="A443" s="231" t="b">
        <f t="shared" si="526"/>
        <v>0</v>
      </c>
      <c r="B443" s="245">
        <v>421</v>
      </c>
      <c r="C443" s="258"/>
      <c r="D443" s="258"/>
      <c r="E443" s="246"/>
      <c r="F443" s="247" t="str">
        <f>IF(ISBLANK(E443), "", VLOOKUP(E443, Z!$A$2:$C$4127, 3, FALSE))</f>
        <v/>
      </c>
      <c r="G443" s="248"/>
      <c r="H443" s="248"/>
      <c r="I443" s="249"/>
      <c r="J443" s="250"/>
      <c r="K443" s="259"/>
      <c r="L443" s="260"/>
      <c r="M443" s="252" t="str" cm="1">
        <f t="array" ref="M443">INDEX(Trad, 53, $A$20)</f>
        <v>Verschmutzt</v>
      </c>
      <c r="N443" s="253"/>
      <c r="O443" s="253"/>
      <c r="P443" s="254"/>
      <c r="Q443" s="251"/>
      <c r="R443" s="251"/>
      <c r="S443" s="264">
        <f t="shared" ref="S443:S506" si="535">CB443*1000</f>
        <v>0</v>
      </c>
      <c r="T443" s="252" t="str" cm="1">
        <f t="array" ref="T443">INDEX(Trad, 52, $A$20)</f>
        <v>Sauber</v>
      </c>
      <c r="U443" s="253"/>
      <c r="V443" s="253"/>
      <c r="W443" s="254"/>
      <c r="X443" s="251"/>
      <c r="Y443" s="251"/>
      <c r="Z443" s="264">
        <f t="shared" ref="Z443:Z506" si="536">CX443*1000</f>
        <v>0</v>
      </c>
      <c r="AA443" s="261"/>
      <c r="AB443" s="258"/>
      <c r="AC443" s="246"/>
      <c r="AD443" s="247" t="str">
        <f>IF(ISBLANK(AC443), "", VLOOKUP(AC443, Z!$A$2:$C$4127, 3, FALSE))</f>
        <v/>
      </c>
      <c r="AE443" s="262"/>
      <c r="AF443" s="263">
        <f t="shared" ref="AF443:AF506" si="537">0.75*AP$23*(S443-Z443)</f>
        <v>0</v>
      </c>
      <c r="AG443" s="238"/>
      <c r="AH443" s="229">
        <f t="shared" si="523"/>
        <v>1</v>
      </c>
      <c r="AI443" s="229">
        <f t="shared" si="524"/>
        <v>1</v>
      </c>
      <c r="AJ443" s="229">
        <f t="shared" si="525"/>
        <v>0</v>
      </c>
      <c r="AK443" s="229">
        <v>0</v>
      </c>
      <c r="AL443" s="229">
        <v>0</v>
      </c>
      <c r="AM443" s="229">
        <v>1</v>
      </c>
      <c r="AN443" s="229">
        <v>0</v>
      </c>
      <c r="AO443" s="229">
        <f t="shared" ref="AO443:AO506" si="538">IF(AND(J443="x", AH443=5), 11, IF(AND(J443="x", AH443=6), 19, -100))</f>
        <v>-100</v>
      </c>
      <c r="AP443" s="238"/>
      <c r="AQ443" s="255"/>
      <c r="AR443" s="255"/>
      <c r="AS443" s="256"/>
      <c r="AT443" s="256"/>
      <c r="AU443" s="256"/>
      <c r="AV443" s="256"/>
      <c r="AW443" s="256"/>
      <c r="AX443" s="256"/>
      <c r="AY443" s="256"/>
      <c r="AZ443" s="256"/>
      <c r="BA443" s="256"/>
      <c r="BB443" s="256"/>
      <c r="BC443" s="256"/>
      <c r="BD443" s="238"/>
      <c r="BE443" s="229" cm="1">
        <f t="array" ref="BE443">IF(ISBLANK(R443), INDEX(Use, $AH443, 4) - AM443*INDEX(Use, $AH443, 6), R443)</f>
        <v>5</v>
      </c>
      <c r="BF443" s="229">
        <f t="shared" ref="BF443:BF506" si="539">MAX(25, BE443+25)</f>
        <v>30</v>
      </c>
      <c r="BG443" s="229">
        <f t="shared" si="527"/>
        <v>13</v>
      </c>
      <c r="BH443" s="229">
        <f t="shared" si="528"/>
        <v>0</v>
      </c>
      <c r="BI443" s="234" cm="1">
        <f t="array" ref="BI443">K443/IF($L443&gt;0, INDEX($AU$23:$BA$77, $L443+20, $AH443), 1)</f>
        <v>0</v>
      </c>
      <c r="BJ443" s="230">
        <f t="shared" ref="BJ443:BJ506" si="540">P443 /  IF(AH443&lt;=2, 0.7 + 0.3 * (O443-20)/(35-20), 0.4 + 0.6 * (O443-5)/(35-5))</f>
        <v>0</v>
      </c>
      <c r="BK443" s="229">
        <v>35</v>
      </c>
      <c r="BL443" s="230">
        <f t="shared" ref="BL443:BL506" si="541">MAX($N443, MAX($BF443, $BK443 + $BG443 + $BH443 + 0.35*$AK443*$BG443 + BJ443))</f>
        <v>48</v>
      </c>
      <c r="BM443" s="235">
        <f t="shared" ref="BM443:BM506" si="542">0.45*($BE443+273.15)/(BL443-$BE443)</f>
        <v>2.9108720930232557</v>
      </c>
      <c r="BN443" s="235" cm="1">
        <f t="array" ref="BN443">$BI443 * SUMPRODUCT(INDEX($AR$77:$AT$82,,$AI443),INDEX($AU$77:$BA$82,,$AH443), N($AQ$77:$AQ$82&gt;$AO443)) / BM443 / 1000</f>
        <v>0</v>
      </c>
      <c r="BO443" s="232">
        <f t="shared" si="529"/>
        <v>30</v>
      </c>
      <c r="BP443" s="230">
        <f t="shared" ref="BP443:BP506" si="543">MAX($N443, MAX($BF443, BO443 + $BG443 + $BH443 + IF($AH443&lt;=2, (BO443-20)/(35-20), 0.6+0.4*(BO443-5)/(35-5))*0.35*$AK443*$BG443) + IF($AH443&lt;=2,0.9,0.8)*$BJ443)</f>
        <v>43</v>
      </c>
      <c r="BQ443" s="235">
        <f t="shared" ref="BQ443:BQ506" si="544">0.45*($BE443+273.15)/(BP443-$BE443)</f>
        <v>3.2938815789473681</v>
      </c>
      <c r="BR443" s="235" cm="1">
        <f t="array" ref="BR443">$BI443 * IF($AH443&lt;=2,
SUMPRODUCT(INDEX($AR$72:$AT$76,,$AI443), INDEX($AU$72:$BA$76,,$AH443), 1 / ($BB$72:$BB$76*BQ443 + (1-$BB$72:$BB$76)*BM443), N($AQ$72:$AQ$76&gt;$AO443)),
SUMPRODUCT(INDEX($AR$67:$AT$76,,$AI443), INDEX($AU$67:$BA$76,,$AH443), 1 / ($BC$67:$BC$76*BQ443 + (1-$BC$67:$BC$76)*BM443), N($AQ$67:$AQ$76&gt;$AO443))
) / 1000</f>
        <v>0</v>
      </c>
      <c r="BS443" s="232">
        <f t="shared" si="530"/>
        <v>25</v>
      </c>
      <c r="BT443" s="230">
        <f t="shared" ref="BT443:BT506" si="545">MAX($N443, MAX($BF443, BS443 + $BG443 + $BH443 + IF($AH443&lt;=2, (BS443-20)/(35-20), 0.6+0.4*(BS443-5)/(35-5))*0.35*$AK443*$BG443) + IF($AH443&lt;=2,0.8,0.6)*$BJ443)</f>
        <v>38</v>
      </c>
      <c r="BU443" s="235">
        <f t="shared" ref="BU443:BU506" si="546">0.45*($BE443+273.15)/(BT443-$BE443)</f>
        <v>3.792954545454545</v>
      </c>
      <c r="BV443" s="235" cm="1">
        <f t="array" ref="BV443">$BI443 * IF($AH443&lt;=2,
SUMPRODUCT(INDEX($AR$67:$AT$71,,$AI443), INDEX($AU$67:$BA$71,,$AH443), 1 / ($BB$67:$BB$71*BU443 + (1-$BB$67:$BB$71)*BQ443), N($AQ$67:$AQ$71&gt;$AO443)),
SUMPRODUCT(INDEX($AR$57:$AT$66,,$AI443), INDEX($AU$57:$BA$66,,$AH443), 1 / ($BC$57:$BC$66*BU443 + (1-$BC$57:$BC$66)*BQ443), N($AQ$57:$AQ$66&gt;$AO443))
) / 1000</f>
        <v>0</v>
      </c>
      <c r="BW443" s="232">
        <f t="shared" si="531"/>
        <v>20</v>
      </c>
      <c r="BX443" s="230">
        <f t="shared" ref="BX443:BX506" si="547">MAX($N443, MAX($BF443, BW443 + $BG443 + $BH443 + IF($AH443&lt;=2, (BW443-20)/(35-20), 0.6+0.4*(BW443-5)/(35-5))*0.35*$AK443*$BG443) + IF($AH443&lt;=2,0.7,0.4)*$BJ443)</f>
        <v>33</v>
      </c>
      <c r="BY443" s="235">
        <f t="shared" ref="BY443:BY506" si="548">0.45*($BE443+273.15)/(BX443-$BE443)</f>
        <v>4.4702678571428569</v>
      </c>
      <c r="BZ443" s="235" cm="1">
        <f t="array" ref="BZ443">$BI443 * IF($AH443&lt;=2,
SUMPRODUCT(INDEX($AR$62:$AT$66,,$AI443), INDEX($AU$62:$BA$66,,$AH443), 1 / ($BB$62:$BB$66*BY443 + (1-$BB$62:$BB$66)*BU443), N($AQ$62:$AQ$66&gt;$AO443)),
SUMPRODUCT(INDEX($AR$47:$AT$56,,$AI443), INDEX($AU$47:$BA$56,,$AH443), 1 / ($BC$47:$BC$56*BY443 + (1-$BC$47:$BC$56)*BU443), N($AQ$47:$AQ$56&gt;$AO443))
) / 1000</f>
        <v>0</v>
      </c>
      <c r="CA443" s="235" cm="1">
        <f t="array" ref="CA443">$BI443 * IF($AH443&lt;=2,
SUMPRODUCT(INDEX($AR$23:$AT$61,,$AI443), INDEX($AU$23:$BA$61,,$AH443), 1 / ($BB$23:$BB$61*BY443), N($AQ$23:$AQ$61&gt;$AO443)),
SUMPRODUCT(INDEX($AR$23:$AT$46,,$AI443), INDEX($AU$23:$BA$46,,$AH443), 1 / ($BC$23:$BC$46*BY443), N($AQ$23:$AQ$46&gt;$AO443))
) / 1000</f>
        <v>0</v>
      </c>
      <c r="CB443" s="230">
        <f t="shared" ref="CB443:CB506" si="549">BN443+BR443+BV443+BZ443+CA443</f>
        <v>0</v>
      </c>
      <c r="CC443" s="238"/>
      <c r="CD443" s="229" cm="1">
        <f t="array" ref="CD443">IF(ISBLANK(Y443), INDEX(Use, $AH443, 4) - AN443*INDEX(Use, $AH443, 6) - (Q443-X443), Y443)</f>
        <v>7</v>
      </c>
      <c r="CE443" s="229">
        <f t="shared" ref="CE443:CE506" si="550">MAX(25, CD443+25)</f>
        <v>32</v>
      </c>
      <c r="CF443" s="230">
        <f t="shared" ref="CF443:CF506" si="551">W443 /  IF(AH443&lt;=2, 0.7 + 0.3 * (V443-20)/(35-20), 0.4 + 0.6 * (V443-5)/(35-5))</f>
        <v>0</v>
      </c>
      <c r="CG443" s="229">
        <v>35</v>
      </c>
      <c r="CH443" s="230">
        <f t="shared" ref="CH443:CH506" si="552">MAX($U443, MAX($CE443, $BK443 + $BG443 + $BH443 + 0.35*$AL443*$BG443 + CF443))</f>
        <v>48</v>
      </c>
      <c r="CI443" s="235">
        <f t="shared" ref="CI443:CI506" si="553">0.45*($CD443+273.15)/(CH443-$CD443)</f>
        <v>3.0748170731707316</v>
      </c>
      <c r="CJ443" s="235" cm="1">
        <f t="array" ref="CJ443">$BI443 * SUMPRODUCT(INDEX($AR$77:$AT$82,,$AI443),INDEX($AU$77:$BA$82,,$AH443), N($AQ$77:$AQ$82&gt;$AO443)) / CI443 / 1000</f>
        <v>0</v>
      </c>
      <c r="CK443" s="232">
        <f t="shared" si="532"/>
        <v>30</v>
      </c>
      <c r="CL443" s="230">
        <f t="shared" ref="CL443:CL506" si="554">MAX($U443, MAX($CE443, CK443 + $BG443 + $BH443 + IF($AH443&lt;=2, (CK443-20)/(35-20), 0.6+0.4*(CK443-5)/(35-5))*0.35*$AL443*$BG443) + IF($AH443&lt;=2,0.9,0.8)*$CF443)</f>
        <v>43</v>
      </c>
      <c r="CM443" s="235">
        <f t="shared" ref="CM443:CM506" si="555">0.45*($CD443+273.15)/(CL443-$CD443)</f>
        <v>3.5018750000000001</v>
      </c>
      <c r="CN443" s="235" cm="1">
        <f t="array" ref="CN443">$BI443 * IF($AH443&lt;=2,
SUMPRODUCT(INDEX($AR$72:$AT$76,,$AI443), INDEX($AU$72:$BA$76,,$AH443), 1 / ($BB$72:$BB$76*CM443 + (1-$BB$72:$BB$76)*CI443), N($AQ$72:$AQ$76&gt;$AO443)),
SUMPRODUCT(INDEX($AR$67:$AT$76,,$AI443), INDEX($AU$67:$BA$76,,$AH443), 1 / ($BC$67:$BC$76*CM443 + (1-$BC$67:$BC$76)*CI443), N($AQ$67:$AQ$76&gt;$AO443))
) / 1000</f>
        <v>0</v>
      </c>
      <c r="CO443" s="232">
        <f t="shared" si="533"/>
        <v>25</v>
      </c>
      <c r="CP443" s="230">
        <f t="shared" ref="CP443:CP506" si="556">MAX($U443, MAX($CE443, CO443 + $BG443 + $BH443 + IF($AH443&lt;=2, (CO443-20)/(35-20), 0.6+0.4*(CO443-5)/(35-5))*0.35*$AL443*$BG443) + IF($AH443&lt;=2,0.8,0.6)*$CF443)</f>
        <v>38</v>
      </c>
      <c r="CQ443" s="235">
        <f t="shared" ref="CQ443:CQ506" si="557">0.45*($CD443+273.15)/(CP443-$CD443)</f>
        <v>4.0666935483870965</v>
      </c>
      <c r="CR443" s="235" cm="1">
        <f t="array" ref="CR443">$BI443 * IF($AH443&lt;=2,
SUMPRODUCT(INDEX($AR$67:$AT$71,,$AI443), INDEX($AU$67:$BA$71,,$AH443), 1 / ($BB$67:$BB$71*CQ443 + (1-$BB$67:$BB$71)*CM443), N($AQ$67:$AQ$71&gt;$AO443)),
SUMPRODUCT(INDEX($AR$57:$AT$66,,$AI443), INDEX($AU$57:$BA$66,,$AH443), 1 / ($BC$57:$BC$66*CQ443 + (1-$BC$57:$BC$66)*CM443), N($AQ$57:$AQ$66&gt;$AO443))
) / 1000</f>
        <v>0</v>
      </c>
      <c r="CS443" s="232">
        <f t="shared" si="534"/>
        <v>20</v>
      </c>
      <c r="CT443" s="230">
        <f t="shared" ref="CT443:CT506" si="558">MAX($U443, MAX($CE443, CS443 + $BG443 + $BH443 + IF($AH443&lt;=2, (CS443-20)/(35-20), 0.6+0.4*(CS443-5)/(35-5))*0.35*$AL443*$BG443) + IF($AH443&lt;=2,0.7,0.4)*$CF443)</f>
        <v>33</v>
      </c>
      <c r="CU443" s="235">
        <f t="shared" ref="CU443:CU506" si="559">0.45*($CD443+273.15)/(CT443-$CD443)</f>
        <v>4.8487499999999999</v>
      </c>
      <c r="CV443" s="235" cm="1">
        <f t="array" ref="CV443">$BI443 * IF($AH443&lt;=2,
SUMPRODUCT(INDEX($AR$62:$AT$66,,$AI443), INDEX($AU$62:$BA$66,,$AH443), 1 / ($BB$62:$BB$66*CU443 + (1-$BB$62:$BB$66)*CQ443), N($AQ$62:$AQ$66&gt;$AO443)),
SUMPRODUCT(INDEX($AR$47:$AT$56,,$AI443), INDEX($AU$47:$BA$56,,$AH443), 1 / ($BC$47:$BC$56*CU443 + (1-$BC$47:$BC$56)*CQ443), N($AQ$47:$AQ$56&gt;$AO443))
) / 1000</f>
        <v>0</v>
      </c>
      <c r="CW443" s="235" cm="1">
        <f t="array" ref="CW443">$BI443 * IF($AH443&lt;=2,
SUMPRODUCT(INDEX($AR$23:$AT$61,,$AI443), INDEX($AU$23:$BA$61,,$AH443), 1 / ($BB$23:$BB$61*CU443), N($AQ$23:$AQ$61&gt;$AO443)),
SUMPRODUCT(INDEX($AR$23:$AT$46,,$AI443), INDEX($AU$23:$BA$46,,$AH443), 1 / ($BC$23:$BC$46*CU443), N($AQ$23:$AQ$46&gt;$AO443))
) / 1000</f>
        <v>0</v>
      </c>
      <c r="CX443" s="230">
        <f t="shared" ref="CX443:CX506" si="560">CJ443+CN443+CR443+CV443+CW443</f>
        <v>0</v>
      </c>
      <c r="CY443" s="238"/>
    </row>
    <row r="444" spans="1:103" s="76" customFormat="1" ht="14.25" customHeight="1" x14ac:dyDescent="0.2">
      <c r="A444" s="231" t="b">
        <f t="shared" si="526"/>
        <v>0</v>
      </c>
      <c r="B444" s="245">
        <v>422</v>
      </c>
      <c r="C444" s="258"/>
      <c r="D444" s="258"/>
      <c r="E444" s="246"/>
      <c r="F444" s="247" t="str">
        <f>IF(ISBLANK(E444), "", VLOOKUP(E444, Z!$A$2:$C$4127, 3, FALSE))</f>
        <v/>
      </c>
      <c r="G444" s="248"/>
      <c r="H444" s="248"/>
      <c r="I444" s="249"/>
      <c r="J444" s="250"/>
      <c r="K444" s="259"/>
      <c r="L444" s="260"/>
      <c r="M444" s="252" t="str" cm="1">
        <f t="array" ref="M444">INDEX(Trad, 53, $A$20)</f>
        <v>Verschmutzt</v>
      </c>
      <c r="N444" s="253"/>
      <c r="O444" s="253"/>
      <c r="P444" s="254"/>
      <c r="Q444" s="251"/>
      <c r="R444" s="251"/>
      <c r="S444" s="264">
        <f t="shared" si="535"/>
        <v>0</v>
      </c>
      <c r="T444" s="252" t="str" cm="1">
        <f t="array" ref="T444">INDEX(Trad, 52, $A$20)</f>
        <v>Sauber</v>
      </c>
      <c r="U444" s="253"/>
      <c r="V444" s="253"/>
      <c r="W444" s="254"/>
      <c r="X444" s="251"/>
      <c r="Y444" s="251"/>
      <c r="Z444" s="264">
        <f t="shared" si="536"/>
        <v>0</v>
      </c>
      <c r="AA444" s="261"/>
      <c r="AB444" s="258"/>
      <c r="AC444" s="246"/>
      <c r="AD444" s="247" t="str">
        <f>IF(ISBLANK(AC444), "", VLOOKUP(AC444, Z!$A$2:$C$4127, 3, FALSE))</f>
        <v/>
      </c>
      <c r="AE444" s="262"/>
      <c r="AF444" s="263">
        <f t="shared" si="537"/>
        <v>0</v>
      </c>
      <c r="AG444" s="238"/>
      <c r="AH444" s="229">
        <f t="shared" ref="AH444:AH507" si="561">IF(ISBLANK(H444), 1, IFERROR(MATCH(H444, INDEX(Use,,1), 0), IFERROR(MATCH(H444, INDEX(Use,,2), 0), MATCH(H444, INDEX(Use,,3), 0))))</f>
        <v>1</v>
      </c>
      <c r="AI444" s="229">
        <f t="shared" ref="AI444:AI507" si="562">IF(ISBLANK(G444), 1, IFERROR(MATCH(G444, INDEX(Loc,,1), 0), IFERROR(MATCH(G444, INDEX(Loc,,2), 0), MATCH(G444, INDEX(Loc,,3), 0))))</f>
        <v>1</v>
      </c>
      <c r="AJ444" s="229">
        <f t="shared" ref="AJ444:AJ507" si="563">_xlfn.IFNA(IF(IFERROR(MATCH(I444, INDEX(Medium,,1), 0), IFERROR(MATCH(I444, INDEX(Medium,,2), 0), MATCH(I444, INDEX(Medium,,3), 0))) = 2, 1, 0), 0)</f>
        <v>0</v>
      </c>
      <c r="AK444" s="229">
        <v>0</v>
      </c>
      <c r="AL444" s="229">
        <v>0</v>
      </c>
      <c r="AM444" s="229">
        <v>1</v>
      </c>
      <c r="AN444" s="229">
        <v>0</v>
      </c>
      <c r="AO444" s="229">
        <f t="shared" si="538"/>
        <v>-100</v>
      </c>
      <c r="AP444" s="238"/>
      <c r="AQ444" s="255"/>
      <c r="AR444" s="255"/>
      <c r="AS444" s="256"/>
      <c r="AT444" s="256"/>
      <c r="AU444" s="256"/>
      <c r="AV444" s="256"/>
      <c r="AW444" s="256"/>
      <c r="AX444" s="256"/>
      <c r="AY444" s="256"/>
      <c r="AZ444" s="256"/>
      <c r="BA444" s="256"/>
      <c r="BB444" s="256"/>
      <c r="BC444" s="256"/>
      <c r="BD444" s="238"/>
      <c r="BE444" s="229" cm="1">
        <f t="array" ref="BE444">IF(ISBLANK(R444), INDEX(Use, $AH444, 4) - AM444*INDEX(Use, $AH444, 6), R444)</f>
        <v>5</v>
      </c>
      <c r="BF444" s="229">
        <f t="shared" si="539"/>
        <v>30</v>
      </c>
      <c r="BG444" s="229">
        <f t="shared" si="527"/>
        <v>13</v>
      </c>
      <c r="BH444" s="229">
        <f t="shared" si="528"/>
        <v>0</v>
      </c>
      <c r="BI444" s="234" cm="1">
        <f t="array" ref="BI444">K444/IF($L444&gt;0, INDEX($AU$23:$BA$77, $L444+20, $AH444), 1)</f>
        <v>0</v>
      </c>
      <c r="BJ444" s="230">
        <f t="shared" si="540"/>
        <v>0</v>
      </c>
      <c r="BK444" s="229">
        <v>35</v>
      </c>
      <c r="BL444" s="230">
        <f t="shared" si="541"/>
        <v>48</v>
      </c>
      <c r="BM444" s="235">
        <f t="shared" si="542"/>
        <v>2.9108720930232557</v>
      </c>
      <c r="BN444" s="235" cm="1">
        <f t="array" ref="BN444">$BI444 * SUMPRODUCT(INDEX($AR$77:$AT$82,,$AI444),INDEX($AU$77:$BA$82,,$AH444), N($AQ$77:$AQ$82&gt;$AO444)) / BM444 / 1000</f>
        <v>0</v>
      </c>
      <c r="BO444" s="232">
        <f t="shared" si="529"/>
        <v>30</v>
      </c>
      <c r="BP444" s="230">
        <f t="shared" si="543"/>
        <v>43</v>
      </c>
      <c r="BQ444" s="235">
        <f t="shared" si="544"/>
        <v>3.2938815789473681</v>
      </c>
      <c r="BR444" s="235" cm="1">
        <f t="array" ref="BR444">$BI444 * IF($AH444&lt;=2,
SUMPRODUCT(INDEX($AR$72:$AT$76,,$AI444), INDEX($AU$72:$BA$76,,$AH444), 1 / ($BB$72:$BB$76*BQ444 + (1-$BB$72:$BB$76)*BM444), N($AQ$72:$AQ$76&gt;$AO444)),
SUMPRODUCT(INDEX($AR$67:$AT$76,,$AI444), INDEX($AU$67:$BA$76,,$AH444), 1 / ($BC$67:$BC$76*BQ444 + (1-$BC$67:$BC$76)*BM444), N($AQ$67:$AQ$76&gt;$AO444))
) / 1000</f>
        <v>0</v>
      </c>
      <c r="BS444" s="232">
        <f t="shared" si="530"/>
        <v>25</v>
      </c>
      <c r="BT444" s="230">
        <f t="shared" si="545"/>
        <v>38</v>
      </c>
      <c r="BU444" s="235">
        <f t="shared" si="546"/>
        <v>3.792954545454545</v>
      </c>
      <c r="BV444" s="235" cm="1">
        <f t="array" ref="BV444">$BI444 * IF($AH444&lt;=2,
SUMPRODUCT(INDEX($AR$67:$AT$71,,$AI444), INDEX($AU$67:$BA$71,,$AH444), 1 / ($BB$67:$BB$71*BU444 + (1-$BB$67:$BB$71)*BQ444), N($AQ$67:$AQ$71&gt;$AO444)),
SUMPRODUCT(INDEX($AR$57:$AT$66,,$AI444), INDEX($AU$57:$BA$66,,$AH444), 1 / ($BC$57:$BC$66*BU444 + (1-$BC$57:$BC$66)*BQ444), N($AQ$57:$AQ$66&gt;$AO444))
) / 1000</f>
        <v>0</v>
      </c>
      <c r="BW444" s="232">
        <f t="shared" si="531"/>
        <v>20</v>
      </c>
      <c r="BX444" s="230">
        <f t="shared" si="547"/>
        <v>33</v>
      </c>
      <c r="BY444" s="235">
        <f t="shared" si="548"/>
        <v>4.4702678571428569</v>
      </c>
      <c r="BZ444" s="235" cm="1">
        <f t="array" ref="BZ444">$BI444 * IF($AH444&lt;=2,
SUMPRODUCT(INDEX($AR$62:$AT$66,,$AI444), INDEX($AU$62:$BA$66,,$AH444), 1 / ($BB$62:$BB$66*BY444 + (1-$BB$62:$BB$66)*BU444), N($AQ$62:$AQ$66&gt;$AO444)),
SUMPRODUCT(INDEX($AR$47:$AT$56,,$AI444), INDEX($AU$47:$BA$56,,$AH444), 1 / ($BC$47:$BC$56*BY444 + (1-$BC$47:$BC$56)*BU444), N($AQ$47:$AQ$56&gt;$AO444))
) / 1000</f>
        <v>0</v>
      </c>
      <c r="CA444" s="235" cm="1">
        <f t="array" ref="CA444">$BI444 * IF($AH444&lt;=2,
SUMPRODUCT(INDEX($AR$23:$AT$61,,$AI444), INDEX($AU$23:$BA$61,,$AH444), 1 / ($BB$23:$BB$61*BY444), N($AQ$23:$AQ$61&gt;$AO444)),
SUMPRODUCT(INDEX($AR$23:$AT$46,,$AI444), INDEX($AU$23:$BA$46,,$AH444), 1 / ($BC$23:$BC$46*BY444), N($AQ$23:$AQ$46&gt;$AO444))
) / 1000</f>
        <v>0</v>
      </c>
      <c r="CB444" s="230">
        <f t="shared" si="549"/>
        <v>0</v>
      </c>
      <c r="CC444" s="238"/>
      <c r="CD444" s="229" cm="1">
        <f t="array" ref="CD444">IF(ISBLANK(Y444), INDEX(Use, $AH444, 4) - AN444*INDEX(Use, $AH444, 6) - (Q444-X444), Y444)</f>
        <v>7</v>
      </c>
      <c r="CE444" s="229">
        <f t="shared" si="550"/>
        <v>32</v>
      </c>
      <c r="CF444" s="230">
        <f t="shared" si="551"/>
        <v>0</v>
      </c>
      <c r="CG444" s="229">
        <v>35</v>
      </c>
      <c r="CH444" s="230">
        <f t="shared" si="552"/>
        <v>48</v>
      </c>
      <c r="CI444" s="235">
        <f t="shared" si="553"/>
        <v>3.0748170731707316</v>
      </c>
      <c r="CJ444" s="235" cm="1">
        <f t="array" ref="CJ444">$BI444 * SUMPRODUCT(INDEX($AR$77:$AT$82,,$AI444),INDEX($AU$77:$BA$82,,$AH444), N($AQ$77:$AQ$82&gt;$AO444)) / CI444 / 1000</f>
        <v>0</v>
      </c>
      <c r="CK444" s="232">
        <f t="shared" si="532"/>
        <v>30</v>
      </c>
      <c r="CL444" s="230">
        <f t="shared" si="554"/>
        <v>43</v>
      </c>
      <c r="CM444" s="235">
        <f t="shared" si="555"/>
        <v>3.5018750000000001</v>
      </c>
      <c r="CN444" s="235" cm="1">
        <f t="array" ref="CN444">$BI444 * IF($AH444&lt;=2,
SUMPRODUCT(INDEX($AR$72:$AT$76,,$AI444), INDEX($AU$72:$BA$76,,$AH444), 1 / ($BB$72:$BB$76*CM444 + (1-$BB$72:$BB$76)*CI444), N($AQ$72:$AQ$76&gt;$AO444)),
SUMPRODUCT(INDEX($AR$67:$AT$76,,$AI444), INDEX($AU$67:$BA$76,,$AH444), 1 / ($BC$67:$BC$76*CM444 + (1-$BC$67:$BC$76)*CI444), N($AQ$67:$AQ$76&gt;$AO444))
) / 1000</f>
        <v>0</v>
      </c>
      <c r="CO444" s="232">
        <f t="shared" si="533"/>
        <v>25</v>
      </c>
      <c r="CP444" s="230">
        <f t="shared" si="556"/>
        <v>38</v>
      </c>
      <c r="CQ444" s="235">
        <f t="shared" si="557"/>
        <v>4.0666935483870965</v>
      </c>
      <c r="CR444" s="235" cm="1">
        <f t="array" ref="CR444">$BI444 * IF($AH444&lt;=2,
SUMPRODUCT(INDEX($AR$67:$AT$71,,$AI444), INDEX($AU$67:$BA$71,,$AH444), 1 / ($BB$67:$BB$71*CQ444 + (1-$BB$67:$BB$71)*CM444), N($AQ$67:$AQ$71&gt;$AO444)),
SUMPRODUCT(INDEX($AR$57:$AT$66,,$AI444), INDEX($AU$57:$BA$66,,$AH444), 1 / ($BC$57:$BC$66*CQ444 + (1-$BC$57:$BC$66)*CM444), N($AQ$57:$AQ$66&gt;$AO444))
) / 1000</f>
        <v>0</v>
      </c>
      <c r="CS444" s="232">
        <f t="shared" si="534"/>
        <v>20</v>
      </c>
      <c r="CT444" s="230">
        <f t="shared" si="558"/>
        <v>33</v>
      </c>
      <c r="CU444" s="235">
        <f t="shared" si="559"/>
        <v>4.8487499999999999</v>
      </c>
      <c r="CV444" s="235" cm="1">
        <f t="array" ref="CV444">$BI444 * IF($AH444&lt;=2,
SUMPRODUCT(INDEX($AR$62:$AT$66,,$AI444), INDEX($AU$62:$BA$66,,$AH444), 1 / ($BB$62:$BB$66*CU444 + (1-$BB$62:$BB$66)*CQ444), N($AQ$62:$AQ$66&gt;$AO444)),
SUMPRODUCT(INDEX($AR$47:$AT$56,,$AI444), INDEX($AU$47:$BA$56,,$AH444), 1 / ($BC$47:$BC$56*CU444 + (1-$BC$47:$BC$56)*CQ444), N($AQ$47:$AQ$56&gt;$AO444))
) / 1000</f>
        <v>0</v>
      </c>
      <c r="CW444" s="235" cm="1">
        <f t="array" ref="CW444">$BI444 * IF($AH444&lt;=2,
SUMPRODUCT(INDEX($AR$23:$AT$61,,$AI444), INDEX($AU$23:$BA$61,,$AH444), 1 / ($BB$23:$BB$61*CU444), N($AQ$23:$AQ$61&gt;$AO444)),
SUMPRODUCT(INDEX($AR$23:$AT$46,,$AI444), INDEX($AU$23:$BA$46,,$AH444), 1 / ($BC$23:$BC$46*CU444), N($AQ$23:$AQ$46&gt;$AO444))
) / 1000</f>
        <v>0</v>
      </c>
      <c r="CX444" s="230">
        <f t="shared" si="560"/>
        <v>0</v>
      </c>
      <c r="CY444" s="238"/>
    </row>
    <row r="445" spans="1:103" s="76" customFormat="1" ht="14.25" customHeight="1" x14ac:dyDescent="0.2">
      <c r="A445" s="231" t="b">
        <f t="shared" si="526"/>
        <v>0</v>
      </c>
      <c r="B445" s="245">
        <v>423</v>
      </c>
      <c r="C445" s="258"/>
      <c r="D445" s="258"/>
      <c r="E445" s="246"/>
      <c r="F445" s="247" t="str">
        <f>IF(ISBLANK(E445), "", VLOOKUP(E445, Z!$A$2:$C$4127, 3, FALSE))</f>
        <v/>
      </c>
      <c r="G445" s="248"/>
      <c r="H445" s="248"/>
      <c r="I445" s="249"/>
      <c r="J445" s="250"/>
      <c r="K445" s="259"/>
      <c r="L445" s="260"/>
      <c r="M445" s="252" t="str" cm="1">
        <f t="array" ref="M445">INDEX(Trad, 53, $A$20)</f>
        <v>Verschmutzt</v>
      </c>
      <c r="N445" s="253"/>
      <c r="O445" s="253"/>
      <c r="P445" s="254"/>
      <c r="Q445" s="251"/>
      <c r="R445" s="251"/>
      <c r="S445" s="264">
        <f t="shared" si="535"/>
        <v>0</v>
      </c>
      <c r="T445" s="252" t="str" cm="1">
        <f t="array" ref="T445">INDEX(Trad, 52, $A$20)</f>
        <v>Sauber</v>
      </c>
      <c r="U445" s="253"/>
      <c r="V445" s="253"/>
      <c r="W445" s="254"/>
      <c r="X445" s="251"/>
      <c r="Y445" s="251"/>
      <c r="Z445" s="264">
        <f t="shared" si="536"/>
        <v>0</v>
      </c>
      <c r="AA445" s="261"/>
      <c r="AB445" s="258"/>
      <c r="AC445" s="246"/>
      <c r="AD445" s="247" t="str">
        <f>IF(ISBLANK(AC445), "", VLOOKUP(AC445, Z!$A$2:$C$4127, 3, FALSE))</f>
        <v/>
      </c>
      <c r="AE445" s="262"/>
      <c r="AF445" s="263">
        <f t="shared" si="537"/>
        <v>0</v>
      </c>
      <c r="AG445" s="238"/>
      <c r="AH445" s="229">
        <f t="shared" si="561"/>
        <v>1</v>
      </c>
      <c r="AI445" s="229">
        <f t="shared" si="562"/>
        <v>1</v>
      </c>
      <c r="AJ445" s="229">
        <f t="shared" si="563"/>
        <v>0</v>
      </c>
      <c r="AK445" s="229">
        <v>0</v>
      </c>
      <c r="AL445" s="229">
        <v>0</v>
      </c>
      <c r="AM445" s="229">
        <v>1</v>
      </c>
      <c r="AN445" s="229">
        <v>0</v>
      </c>
      <c r="AO445" s="229">
        <f t="shared" si="538"/>
        <v>-100</v>
      </c>
      <c r="AP445" s="238"/>
      <c r="AQ445" s="255"/>
      <c r="AR445" s="255"/>
      <c r="AS445" s="256"/>
      <c r="AT445" s="256"/>
      <c r="AU445" s="256"/>
      <c r="AV445" s="256"/>
      <c r="AW445" s="256"/>
      <c r="AX445" s="256"/>
      <c r="AY445" s="256"/>
      <c r="AZ445" s="256"/>
      <c r="BA445" s="256"/>
      <c r="BB445" s="256"/>
      <c r="BC445" s="256"/>
      <c r="BD445" s="238"/>
      <c r="BE445" s="229" cm="1">
        <f t="array" ref="BE445">IF(ISBLANK(R445), INDEX(Use, $AH445, 4) - AM445*INDEX(Use, $AH445, 6), R445)</f>
        <v>5</v>
      </c>
      <c r="BF445" s="229">
        <f t="shared" si="539"/>
        <v>30</v>
      </c>
      <c r="BG445" s="229">
        <f t="shared" si="527"/>
        <v>13</v>
      </c>
      <c r="BH445" s="229">
        <f t="shared" si="528"/>
        <v>0</v>
      </c>
      <c r="BI445" s="234" cm="1">
        <f t="array" ref="BI445">K445/IF($L445&gt;0, INDEX($AU$23:$BA$77, $L445+20, $AH445), 1)</f>
        <v>0</v>
      </c>
      <c r="BJ445" s="230">
        <f t="shared" si="540"/>
        <v>0</v>
      </c>
      <c r="BK445" s="229">
        <v>35</v>
      </c>
      <c r="BL445" s="230">
        <f t="shared" si="541"/>
        <v>48</v>
      </c>
      <c r="BM445" s="235">
        <f t="shared" si="542"/>
        <v>2.9108720930232557</v>
      </c>
      <c r="BN445" s="235" cm="1">
        <f t="array" ref="BN445">$BI445 * SUMPRODUCT(INDEX($AR$77:$AT$82,,$AI445),INDEX($AU$77:$BA$82,,$AH445), N($AQ$77:$AQ$82&gt;$AO445)) / BM445 / 1000</f>
        <v>0</v>
      </c>
      <c r="BO445" s="232">
        <f t="shared" si="529"/>
        <v>30</v>
      </c>
      <c r="BP445" s="230">
        <f t="shared" si="543"/>
        <v>43</v>
      </c>
      <c r="BQ445" s="235">
        <f t="shared" si="544"/>
        <v>3.2938815789473681</v>
      </c>
      <c r="BR445" s="235" cm="1">
        <f t="array" ref="BR445">$BI445 * IF($AH445&lt;=2,
SUMPRODUCT(INDEX($AR$72:$AT$76,,$AI445), INDEX($AU$72:$BA$76,,$AH445), 1 / ($BB$72:$BB$76*BQ445 + (1-$BB$72:$BB$76)*BM445), N($AQ$72:$AQ$76&gt;$AO445)),
SUMPRODUCT(INDEX($AR$67:$AT$76,,$AI445), INDEX($AU$67:$BA$76,,$AH445), 1 / ($BC$67:$BC$76*BQ445 + (1-$BC$67:$BC$76)*BM445), N($AQ$67:$AQ$76&gt;$AO445))
) / 1000</f>
        <v>0</v>
      </c>
      <c r="BS445" s="232">
        <f t="shared" si="530"/>
        <v>25</v>
      </c>
      <c r="BT445" s="230">
        <f t="shared" si="545"/>
        <v>38</v>
      </c>
      <c r="BU445" s="235">
        <f t="shared" si="546"/>
        <v>3.792954545454545</v>
      </c>
      <c r="BV445" s="235" cm="1">
        <f t="array" ref="BV445">$BI445 * IF($AH445&lt;=2,
SUMPRODUCT(INDEX($AR$67:$AT$71,,$AI445), INDEX($AU$67:$BA$71,,$AH445), 1 / ($BB$67:$BB$71*BU445 + (1-$BB$67:$BB$71)*BQ445), N($AQ$67:$AQ$71&gt;$AO445)),
SUMPRODUCT(INDEX($AR$57:$AT$66,,$AI445), INDEX($AU$57:$BA$66,,$AH445), 1 / ($BC$57:$BC$66*BU445 + (1-$BC$57:$BC$66)*BQ445), N($AQ$57:$AQ$66&gt;$AO445))
) / 1000</f>
        <v>0</v>
      </c>
      <c r="BW445" s="232">
        <f t="shared" si="531"/>
        <v>20</v>
      </c>
      <c r="BX445" s="230">
        <f t="shared" si="547"/>
        <v>33</v>
      </c>
      <c r="BY445" s="235">
        <f t="shared" si="548"/>
        <v>4.4702678571428569</v>
      </c>
      <c r="BZ445" s="235" cm="1">
        <f t="array" ref="BZ445">$BI445 * IF($AH445&lt;=2,
SUMPRODUCT(INDEX($AR$62:$AT$66,,$AI445), INDEX($AU$62:$BA$66,,$AH445), 1 / ($BB$62:$BB$66*BY445 + (1-$BB$62:$BB$66)*BU445), N($AQ$62:$AQ$66&gt;$AO445)),
SUMPRODUCT(INDEX($AR$47:$AT$56,,$AI445), INDEX($AU$47:$BA$56,,$AH445), 1 / ($BC$47:$BC$56*BY445 + (1-$BC$47:$BC$56)*BU445), N($AQ$47:$AQ$56&gt;$AO445))
) / 1000</f>
        <v>0</v>
      </c>
      <c r="CA445" s="235" cm="1">
        <f t="array" ref="CA445">$BI445 * IF($AH445&lt;=2,
SUMPRODUCT(INDEX($AR$23:$AT$61,,$AI445), INDEX($AU$23:$BA$61,,$AH445), 1 / ($BB$23:$BB$61*BY445), N($AQ$23:$AQ$61&gt;$AO445)),
SUMPRODUCT(INDEX($AR$23:$AT$46,,$AI445), INDEX($AU$23:$BA$46,,$AH445), 1 / ($BC$23:$BC$46*BY445), N($AQ$23:$AQ$46&gt;$AO445))
) / 1000</f>
        <v>0</v>
      </c>
      <c r="CB445" s="230">
        <f t="shared" si="549"/>
        <v>0</v>
      </c>
      <c r="CC445" s="238"/>
      <c r="CD445" s="229" cm="1">
        <f t="array" ref="CD445">IF(ISBLANK(Y445), INDEX(Use, $AH445, 4) - AN445*INDEX(Use, $AH445, 6) - (Q445-X445), Y445)</f>
        <v>7</v>
      </c>
      <c r="CE445" s="229">
        <f t="shared" si="550"/>
        <v>32</v>
      </c>
      <c r="CF445" s="230">
        <f t="shared" si="551"/>
        <v>0</v>
      </c>
      <c r="CG445" s="229">
        <v>35</v>
      </c>
      <c r="CH445" s="230">
        <f t="shared" si="552"/>
        <v>48</v>
      </c>
      <c r="CI445" s="235">
        <f t="shared" si="553"/>
        <v>3.0748170731707316</v>
      </c>
      <c r="CJ445" s="235" cm="1">
        <f t="array" ref="CJ445">$BI445 * SUMPRODUCT(INDEX($AR$77:$AT$82,,$AI445),INDEX($AU$77:$BA$82,,$AH445), N($AQ$77:$AQ$82&gt;$AO445)) / CI445 / 1000</f>
        <v>0</v>
      </c>
      <c r="CK445" s="232">
        <f t="shared" si="532"/>
        <v>30</v>
      </c>
      <c r="CL445" s="230">
        <f t="shared" si="554"/>
        <v>43</v>
      </c>
      <c r="CM445" s="235">
        <f t="shared" si="555"/>
        <v>3.5018750000000001</v>
      </c>
      <c r="CN445" s="235" cm="1">
        <f t="array" ref="CN445">$BI445 * IF($AH445&lt;=2,
SUMPRODUCT(INDEX($AR$72:$AT$76,,$AI445), INDEX($AU$72:$BA$76,,$AH445), 1 / ($BB$72:$BB$76*CM445 + (1-$BB$72:$BB$76)*CI445), N($AQ$72:$AQ$76&gt;$AO445)),
SUMPRODUCT(INDEX($AR$67:$AT$76,,$AI445), INDEX($AU$67:$BA$76,,$AH445), 1 / ($BC$67:$BC$76*CM445 + (1-$BC$67:$BC$76)*CI445), N($AQ$67:$AQ$76&gt;$AO445))
) / 1000</f>
        <v>0</v>
      </c>
      <c r="CO445" s="232">
        <f t="shared" si="533"/>
        <v>25</v>
      </c>
      <c r="CP445" s="230">
        <f t="shared" si="556"/>
        <v>38</v>
      </c>
      <c r="CQ445" s="235">
        <f t="shared" si="557"/>
        <v>4.0666935483870965</v>
      </c>
      <c r="CR445" s="235" cm="1">
        <f t="array" ref="CR445">$BI445 * IF($AH445&lt;=2,
SUMPRODUCT(INDEX($AR$67:$AT$71,,$AI445), INDEX($AU$67:$BA$71,,$AH445), 1 / ($BB$67:$BB$71*CQ445 + (1-$BB$67:$BB$71)*CM445), N($AQ$67:$AQ$71&gt;$AO445)),
SUMPRODUCT(INDEX($AR$57:$AT$66,,$AI445), INDEX($AU$57:$BA$66,,$AH445), 1 / ($BC$57:$BC$66*CQ445 + (1-$BC$57:$BC$66)*CM445), N($AQ$57:$AQ$66&gt;$AO445))
) / 1000</f>
        <v>0</v>
      </c>
      <c r="CS445" s="232">
        <f t="shared" si="534"/>
        <v>20</v>
      </c>
      <c r="CT445" s="230">
        <f t="shared" si="558"/>
        <v>33</v>
      </c>
      <c r="CU445" s="235">
        <f t="shared" si="559"/>
        <v>4.8487499999999999</v>
      </c>
      <c r="CV445" s="235" cm="1">
        <f t="array" ref="CV445">$BI445 * IF($AH445&lt;=2,
SUMPRODUCT(INDEX($AR$62:$AT$66,,$AI445), INDEX($AU$62:$BA$66,,$AH445), 1 / ($BB$62:$BB$66*CU445 + (1-$BB$62:$BB$66)*CQ445), N($AQ$62:$AQ$66&gt;$AO445)),
SUMPRODUCT(INDEX($AR$47:$AT$56,,$AI445), INDEX($AU$47:$BA$56,,$AH445), 1 / ($BC$47:$BC$56*CU445 + (1-$BC$47:$BC$56)*CQ445), N($AQ$47:$AQ$56&gt;$AO445))
) / 1000</f>
        <v>0</v>
      </c>
      <c r="CW445" s="235" cm="1">
        <f t="array" ref="CW445">$BI445 * IF($AH445&lt;=2,
SUMPRODUCT(INDEX($AR$23:$AT$61,,$AI445), INDEX($AU$23:$BA$61,,$AH445), 1 / ($BB$23:$BB$61*CU445), N($AQ$23:$AQ$61&gt;$AO445)),
SUMPRODUCT(INDEX($AR$23:$AT$46,,$AI445), INDEX($AU$23:$BA$46,,$AH445), 1 / ($BC$23:$BC$46*CU445), N($AQ$23:$AQ$46&gt;$AO445))
) / 1000</f>
        <v>0</v>
      </c>
      <c r="CX445" s="230">
        <f t="shared" si="560"/>
        <v>0</v>
      </c>
      <c r="CY445" s="238"/>
    </row>
    <row r="446" spans="1:103" s="76" customFormat="1" ht="14.25" customHeight="1" x14ac:dyDescent="0.2">
      <c r="A446" s="231" t="b">
        <f t="shared" si="526"/>
        <v>0</v>
      </c>
      <c r="B446" s="245">
        <v>424</v>
      </c>
      <c r="C446" s="258"/>
      <c r="D446" s="258"/>
      <c r="E446" s="246"/>
      <c r="F446" s="247" t="str">
        <f>IF(ISBLANK(E446), "", VLOOKUP(E446, Z!$A$2:$C$4127, 3, FALSE))</f>
        <v/>
      </c>
      <c r="G446" s="248"/>
      <c r="H446" s="248"/>
      <c r="I446" s="249"/>
      <c r="J446" s="250"/>
      <c r="K446" s="259"/>
      <c r="L446" s="260"/>
      <c r="M446" s="252" t="str" cm="1">
        <f t="array" ref="M446">INDEX(Trad, 53, $A$20)</f>
        <v>Verschmutzt</v>
      </c>
      <c r="N446" s="253"/>
      <c r="O446" s="253"/>
      <c r="P446" s="254"/>
      <c r="Q446" s="251"/>
      <c r="R446" s="251"/>
      <c r="S446" s="264">
        <f t="shared" si="535"/>
        <v>0</v>
      </c>
      <c r="T446" s="252" t="str" cm="1">
        <f t="array" ref="T446">INDEX(Trad, 52, $A$20)</f>
        <v>Sauber</v>
      </c>
      <c r="U446" s="253"/>
      <c r="V446" s="253"/>
      <c r="W446" s="254"/>
      <c r="X446" s="251"/>
      <c r="Y446" s="251"/>
      <c r="Z446" s="264">
        <f t="shared" si="536"/>
        <v>0</v>
      </c>
      <c r="AA446" s="261"/>
      <c r="AB446" s="258"/>
      <c r="AC446" s="246"/>
      <c r="AD446" s="247" t="str">
        <f>IF(ISBLANK(AC446), "", VLOOKUP(AC446, Z!$A$2:$C$4127, 3, FALSE))</f>
        <v/>
      </c>
      <c r="AE446" s="262"/>
      <c r="AF446" s="263">
        <f t="shared" si="537"/>
        <v>0</v>
      </c>
      <c r="AG446" s="238"/>
      <c r="AH446" s="229">
        <f t="shared" si="561"/>
        <v>1</v>
      </c>
      <c r="AI446" s="229">
        <f t="shared" si="562"/>
        <v>1</v>
      </c>
      <c r="AJ446" s="229">
        <f t="shared" si="563"/>
        <v>0</v>
      </c>
      <c r="AK446" s="229">
        <v>0</v>
      </c>
      <c r="AL446" s="229">
        <v>0</v>
      </c>
      <c r="AM446" s="229">
        <v>1</v>
      </c>
      <c r="AN446" s="229">
        <v>0</v>
      </c>
      <c r="AO446" s="229">
        <f t="shared" si="538"/>
        <v>-100</v>
      </c>
      <c r="AP446" s="238"/>
      <c r="AQ446" s="255"/>
      <c r="AR446" s="255"/>
      <c r="AS446" s="256"/>
      <c r="AT446" s="256"/>
      <c r="AU446" s="256"/>
      <c r="AV446" s="256"/>
      <c r="AW446" s="256"/>
      <c r="AX446" s="256"/>
      <c r="AY446" s="256"/>
      <c r="AZ446" s="256"/>
      <c r="BA446" s="256"/>
      <c r="BB446" s="256"/>
      <c r="BC446" s="256"/>
      <c r="BD446" s="238"/>
      <c r="BE446" s="229" cm="1">
        <f t="array" ref="BE446">IF(ISBLANK(R446), INDEX(Use, $AH446, 4) - AM446*INDEX(Use, $AH446, 6), R446)</f>
        <v>5</v>
      </c>
      <c r="BF446" s="229">
        <f t="shared" si="539"/>
        <v>30</v>
      </c>
      <c r="BG446" s="229">
        <f t="shared" si="527"/>
        <v>13</v>
      </c>
      <c r="BH446" s="229">
        <f t="shared" si="528"/>
        <v>0</v>
      </c>
      <c r="BI446" s="234" cm="1">
        <f t="array" ref="BI446">K446/IF($L446&gt;0, INDEX($AU$23:$BA$77, $L446+20, $AH446), 1)</f>
        <v>0</v>
      </c>
      <c r="BJ446" s="230">
        <f t="shared" si="540"/>
        <v>0</v>
      </c>
      <c r="BK446" s="229">
        <v>35</v>
      </c>
      <c r="BL446" s="230">
        <f t="shared" si="541"/>
        <v>48</v>
      </c>
      <c r="BM446" s="235">
        <f t="shared" si="542"/>
        <v>2.9108720930232557</v>
      </c>
      <c r="BN446" s="235" cm="1">
        <f t="array" ref="BN446">$BI446 * SUMPRODUCT(INDEX($AR$77:$AT$82,,$AI446),INDEX($AU$77:$BA$82,,$AH446), N($AQ$77:$AQ$82&gt;$AO446)) / BM446 / 1000</f>
        <v>0</v>
      </c>
      <c r="BO446" s="232">
        <f t="shared" si="529"/>
        <v>30</v>
      </c>
      <c r="BP446" s="230">
        <f t="shared" si="543"/>
        <v>43</v>
      </c>
      <c r="BQ446" s="235">
        <f t="shared" si="544"/>
        <v>3.2938815789473681</v>
      </c>
      <c r="BR446" s="235" cm="1">
        <f t="array" ref="BR446">$BI446 * IF($AH446&lt;=2,
SUMPRODUCT(INDEX($AR$72:$AT$76,,$AI446), INDEX($AU$72:$BA$76,,$AH446), 1 / ($BB$72:$BB$76*BQ446 + (1-$BB$72:$BB$76)*BM446), N($AQ$72:$AQ$76&gt;$AO446)),
SUMPRODUCT(INDEX($AR$67:$AT$76,,$AI446), INDEX($AU$67:$BA$76,,$AH446), 1 / ($BC$67:$BC$76*BQ446 + (1-$BC$67:$BC$76)*BM446), N($AQ$67:$AQ$76&gt;$AO446))
) / 1000</f>
        <v>0</v>
      </c>
      <c r="BS446" s="232">
        <f t="shared" si="530"/>
        <v>25</v>
      </c>
      <c r="BT446" s="230">
        <f t="shared" si="545"/>
        <v>38</v>
      </c>
      <c r="BU446" s="235">
        <f t="shared" si="546"/>
        <v>3.792954545454545</v>
      </c>
      <c r="BV446" s="235" cm="1">
        <f t="array" ref="BV446">$BI446 * IF($AH446&lt;=2,
SUMPRODUCT(INDEX($AR$67:$AT$71,,$AI446), INDEX($AU$67:$BA$71,,$AH446), 1 / ($BB$67:$BB$71*BU446 + (1-$BB$67:$BB$71)*BQ446), N($AQ$67:$AQ$71&gt;$AO446)),
SUMPRODUCT(INDEX($AR$57:$AT$66,,$AI446), INDEX($AU$57:$BA$66,,$AH446), 1 / ($BC$57:$BC$66*BU446 + (1-$BC$57:$BC$66)*BQ446), N($AQ$57:$AQ$66&gt;$AO446))
) / 1000</f>
        <v>0</v>
      </c>
      <c r="BW446" s="232">
        <f t="shared" si="531"/>
        <v>20</v>
      </c>
      <c r="BX446" s="230">
        <f t="shared" si="547"/>
        <v>33</v>
      </c>
      <c r="BY446" s="235">
        <f t="shared" si="548"/>
        <v>4.4702678571428569</v>
      </c>
      <c r="BZ446" s="235" cm="1">
        <f t="array" ref="BZ446">$BI446 * IF($AH446&lt;=2,
SUMPRODUCT(INDEX($AR$62:$AT$66,,$AI446), INDEX($AU$62:$BA$66,,$AH446), 1 / ($BB$62:$BB$66*BY446 + (1-$BB$62:$BB$66)*BU446), N($AQ$62:$AQ$66&gt;$AO446)),
SUMPRODUCT(INDEX($AR$47:$AT$56,,$AI446), INDEX($AU$47:$BA$56,,$AH446), 1 / ($BC$47:$BC$56*BY446 + (1-$BC$47:$BC$56)*BU446), N($AQ$47:$AQ$56&gt;$AO446))
) / 1000</f>
        <v>0</v>
      </c>
      <c r="CA446" s="235" cm="1">
        <f t="array" ref="CA446">$BI446 * IF($AH446&lt;=2,
SUMPRODUCT(INDEX($AR$23:$AT$61,,$AI446), INDEX($AU$23:$BA$61,,$AH446), 1 / ($BB$23:$BB$61*BY446), N($AQ$23:$AQ$61&gt;$AO446)),
SUMPRODUCT(INDEX($AR$23:$AT$46,,$AI446), INDEX($AU$23:$BA$46,,$AH446), 1 / ($BC$23:$BC$46*BY446), N($AQ$23:$AQ$46&gt;$AO446))
) / 1000</f>
        <v>0</v>
      </c>
      <c r="CB446" s="230">
        <f t="shared" si="549"/>
        <v>0</v>
      </c>
      <c r="CC446" s="238"/>
      <c r="CD446" s="229" cm="1">
        <f t="array" ref="CD446">IF(ISBLANK(Y446), INDEX(Use, $AH446, 4) - AN446*INDEX(Use, $AH446, 6) - (Q446-X446), Y446)</f>
        <v>7</v>
      </c>
      <c r="CE446" s="229">
        <f t="shared" si="550"/>
        <v>32</v>
      </c>
      <c r="CF446" s="230">
        <f t="shared" si="551"/>
        <v>0</v>
      </c>
      <c r="CG446" s="229">
        <v>35</v>
      </c>
      <c r="CH446" s="230">
        <f t="shared" si="552"/>
        <v>48</v>
      </c>
      <c r="CI446" s="235">
        <f t="shared" si="553"/>
        <v>3.0748170731707316</v>
      </c>
      <c r="CJ446" s="235" cm="1">
        <f t="array" ref="CJ446">$BI446 * SUMPRODUCT(INDEX($AR$77:$AT$82,,$AI446),INDEX($AU$77:$BA$82,,$AH446), N($AQ$77:$AQ$82&gt;$AO446)) / CI446 / 1000</f>
        <v>0</v>
      </c>
      <c r="CK446" s="232">
        <f t="shared" si="532"/>
        <v>30</v>
      </c>
      <c r="CL446" s="230">
        <f t="shared" si="554"/>
        <v>43</v>
      </c>
      <c r="CM446" s="235">
        <f t="shared" si="555"/>
        <v>3.5018750000000001</v>
      </c>
      <c r="CN446" s="235" cm="1">
        <f t="array" ref="CN446">$BI446 * IF($AH446&lt;=2,
SUMPRODUCT(INDEX($AR$72:$AT$76,,$AI446), INDEX($AU$72:$BA$76,,$AH446), 1 / ($BB$72:$BB$76*CM446 + (1-$BB$72:$BB$76)*CI446), N($AQ$72:$AQ$76&gt;$AO446)),
SUMPRODUCT(INDEX($AR$67:$AT$76,,$AI446), INDEX($AU$67:$BA$76,,$AH446), 1 / ($BC$67:$BC$76*CM446 + (1-$BC$67:$BC$76)*CI446), N($AQ$67:$AQ$76&gt;$AO446))
) / 1000</f>
        <v>0</v>
      </c>
      <c r="CO446" s="232">
        <f t="shared" si="533"/>
        <v>25</v>
      </c>
      <c r="CP446" s="230">
        <f t="shared" si="556"/>
        <v>38</v>
      </c>
      <c r="CQ446" s="235">
        <f t="shared" si="557"/>
        <v>4.0666935483870965</v>
      </c>
      <c r="CR446" s="235" cm="1">
        <f t="array" ref="CR446">$BI446 * IF($AH446&lt;=2,
SUMPRODUCT(INDEX($AR$67:$AT$71,,$AI446), INDEX($AU$67:$BA$71,,$AH446), 1 / ($BB$67:$BB$71*CQ446 + (1-$BB$67:$BB$71)*CM446), N($AQ$67:$AQ$71&gt;$AO446)),
SUMPRODUCT(INDEX($AR$57:$AT$66,,$AI446), INDEX($AU$57:$BA$66,,$AH446), 1 / ($BC$57:$BC$66*CQ446 + (1-$BC$57:$BC$66)*CM446), N($AQ$57:$AQ$66&gt;$AO446))
) / 1000</f>
        <v>0</v>
      </c>
      <c r="CS446" s="232">
        <f t="shared" si="534"/>
        <v>20</v>
      </c>
      <c r="CT446" s="230">
        <f t="shared" si="558"/>
        <v>33</v>
      </c>
      <c r="CU446" s="235">
        <f t="shared" si="559"/>
        <v>4.8487499999999999</v>
      </c>
      <c r="CV446" s="235" cm="1">
        <f t="array" ref="CV446">$BI446 * IF($AH446&lt;=2,
SUMPRODUCT(INDEX($AR$62:$AT$66,,$AI446), INDEX($AU$62:$BA$66,,$AH446), 1 / ($BB$62:$BB$66*CU446 + (1-$BB$62:$BB$66)*CQ446), N($AQ$62:$AQ$66&gt;$AO446)),
SUMPRODUCT(INDEX($AR$47:$AT$56,,$AI446), INDEX($AU$47:$BA$56,,$AH446), 1 / ($BC$47:$BC$56*CU446 + (1-$BC$47:$BC$56)*CQ446), N($AQ$47:$AQ$56&gt;$AO446))
) / 1000</f>
        <v>0</v>
      </c>
      <c r="CW446" s="235" cm="1">
        <f t="array" ref="CW446">$BI446 * IF($AH446&lt;=2,
SUMPRODUCT(INDEX($AR$23:$AT$61,,$AI446), INDEX($AU$23:$BA$61,,$AH446), 1 / ($BB$23:$BB$61*CU446), N($AQ$23:$AQ$61&gt;$AO446)),
SUMPRODUCT(INDEX($AR$23:$AT$46,,$AI446), INDEX($AU$23:$BA$46,,$AH446), 1 / ($BC$23:$BC$46*CU446), N($AQ$23:$AQ$46&gt;$AO446))
) / 1000</f>
        <v>0</v>
      </c>
      <c r="CX446" s="230">
        <f t="shared" si="560"/>
        <v>0</v>
      </c>
      <c r="CY446" s="238"/>
    </row>
    <row r="447" spans="1:103" s="76" customFormat="1" ht="14.25" customHeight="1" x14ac:dyDescent="0.2">
      <c r="A447" s="231" t="b">
        <f t="shared" si="526"/>
        <v>0</v>
      </c>
      <c r="B447" s="245">
        <v>425</v>
      </c>
      <c r="C447" s="258"/>
      <c r="D447" s="258"/>
      <c r="E447" s="246"/>
      <c r="F447" s="247" t="str">
        <f>IF(ISBLANK(E447), "", VLOOKUP(E447, Z!$A$2:$C$4127, 3, FALSE))</f>
        <v/>
      </c>
      <c r="G447" s="248"/>
      <c r="H447" s="248"/>
      <c r="I447" s="249"/>
      <c r="J447" s="250"/>
      <c r="K447" s="259"/>
      <c r="L447" s="260"/>
      <c r="M447" s="252" t="str" cm="1">
        <f t="array" ref="M447">INDEX(Trad, 53, $A$20)</f>
        <v>Verschmutzt</v>
      </c>
      <c r="N447" s="253"/>
      <c r="O447" s="253"/>
      <c r="P447" s="254"/>
      <c r="Q447" s="251"/>
      <c r="R447" s="251"/>
      <c r="S447" s="264">
        <f t="shared" si="535"/>
        <v>0</v>
      </c>
      <c r="T447" s="252" t="str" cm="1">
        <f t="array" ref="T447">INDEX(Trad, 52, $A$20)</f>
        <v>Sauber</v>
      </c>
      <c r="U447" s="253"/>
      <c r="V447" s="253"/>
      <c r="W447" s="254"/>
      <c r="X447" s="251"/>
      <c r="Y447" s="251"/>
      <c r="Z447" s="264">
        <f t="shared" si="536"/>
        <v>0</v>
      </c>
      <c r="AA447" s="261"/>
      <c r="AB447" s="258"/>
      <c r="AC447" s="246"/>
      <c r="AD447" s="247" t="str">
        <f>IF(ISBLANK(AC447), "", VLOOKUP(AC447, Z!$A$2:$C$4127, 3, FALSE))</f>
        <v/>
      </c>
      <c r="AE447" s="262"/>
      <c r="AF447" s="263">
        <f t="shared" si="537"/>
        <v>0</v>
      </c>
      <c r="AG447" s="238"/>
      <c r="AH447" s="229">
        <f t="shared" si="561"/>
        <v>1</v>
      </c>
      <c r="AI447" s="229">
        <f t="shared" si="562"/>
        <v>1</v>
      </c>
      <c r="AJ447" s="229">
        <f t="shared" si="563"/>
        <v>0</v>
      </c>
      <c r="AK447" s="229">
        <v>0</v>
      </c>
      <c r="AL447" s="229">
        <v>0</v>
      </c>
      <c r="AM447" s="229">
        <v>1</v>
      </c>
      <c r="AN447" s="229">
        <v>0</v>
      </c>
      <c r="AO447" s="229">
        <f t="shared" si="538"/>
        <v>-100</v>
      </c>
      <c r="AP447" s="238"/>
      <c r="AQ447" s="255"/>
      <c r="AR447" s="255"/>
      <c r="AS447" s="256"/>
      <c r="AT447" s="256"/>
      <c r="AU447" s="256"/>
      <c r="AV447" s="256"/>
      <c r="AW447" s="256"/>
      <c r="AX447" s="256"/>
      <c r="AY447" s="256"/>
      <c r="AZ447" s="256"/>
      <c r="BA447" s="256"/>
      <c r="BB447" s="256"/>
      <c r="BC447" s="256"/>
      <c r="BD447" s="238"/>
      <c r="BE447" s="229" cm="1">
        <f t="array" ref="BE447">IF(ISBLANK(R447), INDEX(Use, $AH447, 4) - AM447*INDEX(Use, $AH447, 6), R447)</f>
        <v>5</v>
      </c>
      <c r="BF447" s="229">
        <f t="shared" si="539"/>
        <v>30</v>
      </c>
      <c r="BG447" s="229">
        <f t="shared" si="527"/>
        <v>13</v>
      </c>
      <c r="BH447" s="229">
        <f t="shared" si="528"/>
        <v>0</v>
      </c>
      <c r="BI447" s="234" cm="1">
        <f t="array" ref="BI447">K447/IF($L447&gt;0, INDEX($AU$23:$BA$77, $L447+20, $AH447), 1)</f>
        <v>0</v>
      </c>
      <c r="BJ447" s="230">
        <f t="shared" si="540"/>
        <v>0</v>
      </c>
      <c r="BK447" s="229">
        <v>35</v>
      </c>
      <c r="BL447" s="230">
        <f t="shared" si="541"/>
        <v>48</v>
      </c>
      <c r="BM447" s="235">
        <f t="shared" si="542"/>
        <v>2.9108720930232557</v>
      </c>
      <c r="BN447" s="235" cm="1">
        <f t="array" ref="BN447">$BI447 * SUMPRODUCT(INDEX($AR$77:$AT$82,,$AI447),INDEX($AU$77:$BA$82,,$AH447), N($AQ$77:$AQ$82&gt;$AO447)) / BM447 / 1000</f>
        <v>0</v>
      </c>
      <c r="BO447" s="232">
        <f t="shared" si="529"/>
        <v>30</v>
      </c>
      <c r="BP447" s="230">
        <f t="shared" si="543"/>
        <v>43</v>
      </c>
      <c r="BQ447" s="235">
        <f t="shared" si="544"/>
        <v>3.2938815789473681</v>
      </c>
      <c r="BR447" s="235" cm="1">
        <f t="array" ref="BR447">$BI447 * IF($AH447&lt;=2,
SUMPRODUCT(INDEX($AR$72:$AT$76,,$AI447), INDEX($AU$72:$BA$76,,$AH447), 1 / ($BB$72:$BB$76*BQ447 + (1-$BB$72:$BB$76)*BM447), N($AQ$72:$AQ$76&gt;$AO447)),
SUMPRODUCT(INDEX($AR$67:$AT$76,,$AI447), INDEX($AU$67:$BA$76,,$AH447), 1 / ($BC$67:$BC$76*BQ447 + (1-$BC$67:$BC$76)*BM447), N($AQ$67:$AQ$76&gt;$AO447))
) / 1000</f>
        <v>0</v>
      </c>
      <c r="BS447" s="232">
        <f t="shared" si="530"/>
        <v>25</v>
      </c>
      <c r="BT447" s="230">
        <f t="shared" si="545"/>
        <v>38</v>
      </c>
      <c r="BU447" s="235">
        <f t="shared" si="546"/>
        <v>3.792954545454545</v>
      </c>
      <c r="BV447" s="235" cm="1">
        <f t="array" ref="BV447">$BI447 * IF($AH447&lt;=2,
SUMPRODUCT(INDEX($AR$67:$AT$71,,$AI447), INDEX($AU$67:$BA$71,,$AH447), 1 / ($BB$67:$BB$71*BU447 + (1-$BB$67:$BB$71)*BQ447), N($AQ$67:$AQ$71&gt;$AO447)),
SUMPRODUCT(INDEX($AR$57:$AT$66,,$AI447), INDEX($AU$57:$BA$66,,$AH447), 1 / ($BC$57:$BC$66*BU447 + (1-$BC$57:$BC$66)*BQ447), N($AQ$57:$AQ$66&gt;$AO447))
) / 1000</f>
        <v>0</v>
      </c>
      <c r="BW447" s="232">
        <f t="shared" si="531"/>
        <v>20</v>
      </c>
      <c r="BX447" s="230">
        <f t="shared" si="547"/>
        <v>33</v>
      </c>
      <c r="BY447" s="235">
        <f t="shared" si="548"/>
        <v>4.4702678571428569</v>
      </c>
      <c r="BZ447" s="235" cm="1">
        <f t="array" ref="BZ447">$BI447 * IF($AH447&lt;=2,
SUMPRODUCT(INDEX($AR$62:$AT$66,,$AI447), INDEX($AU$62:$BA$66,,$AH447), 1 / ($BB$62:$BB$66*BY447 + (1-$BB$62:$BB$66)*BU447), N($AQ$62:$AQ$66&gt;$AO447)),
SUMPRODUCT(INDEX($AR$47:$AT$56,,$AI447), INDEX($AU$47:$BA$56,,$AH447), 1 / ($BC$47:$BC$56*BY447 + (1-$BC$47:$BC$56)*BU447), N($AQ$47:$AQ$56&gt;$AO447))
) / 1000</f>
        <v>0</v>
      </c>
      <c r="CA447" s="235" cm="1">
        <f t="array" ref="CA447">$BI447 * IF($AH447&lt;=2,
SUMPRODUCT(INDEX($AR$23:$AT$61,,$AI447), INDEX($AU$23:$BA$61,,$AH447), 1 / ($BB$23:$BB$61*BY447), N($AQ$23:$AQ$61&gt;$AO447)),
SUMPRODUCT(INDEX($AR$23:$AT$46,,$AI447), INDEX($AU$23:$BA$46,,$AH447), 1 / ($BC$23:$BC$46*BY447), N($AQ$23:$AQ$46&gt;$AO447))
) / 1000</f>
        <v>0</v>
      </c>
      <c r="CB447" s="230">
        <f t="shared" si="549"/>
        <v>0</v>
      </c>
      <c r="CC447" s="238"/>
      <c r="CD447" s="229" cm="1">
        <f t="array" ref="CD447">IF(ISBLANK(Y447), INDEX(Use, $AH447, 4) - AN447*INDEX(Use, $AH447, 6) - (Q447-X447), Y447)</f>
        <v>7</v>
      </c>
      <c r="CE447" s="229">
        <f t="shared" si="550"/>
        <v>32</v>
      </c>
      <c r="CF447" s="230">
        <f t="shared" si="551"/>
        <v>0</v>
      </c>
      <c r="CG447" s="229">
        <v>35</v>
      </c>
      <c r="CH447" s="230">
        <f t="shared" si="552"/>
        <v>48</v>
      </c>
      <c r="CI447" s="235">
        <f t="shared" si="553"/>
        <v>3.0748170731707316</v>
      </c>
      <c r="CJ447" s="235" cm="1">
        <f t="array" ref="CJ447">$BI447 * SUMPRODUCT(INDEX($AR$77:$AT$82,,$AI447),INDEX($AU$77:$BA$82,,$AH447), N($AQ$77:$AQ$82&gt;$AO447)) / CI447 / 1000</f>
        <v>0</v>
      </c>
      <c r="CK447" s="232">
        <f t="shared" si="532"/>
        <v>30</v>
      </c>
      <c r="CL447" s="230">
        <f t="shared" si="554"/>
        <v>43</v>
      </c>
      <c r="CM447" s="235">
        <f t="shared" si="555"/>
        <v>3.5018750000000001</v>
      </c>
      <c r="CN447" s="235" cm="1">
        <f t="array" ref="CN447">$BI447 * IF($AH447&lt;=2,
SUMPRODUCT(INDEX($AR$72:$AT$76,,$AI447), INDEX($AU$72:$BA$76,,$AH447), 1 / ($BB$72:$BB$76*CM447 + (1-$BB$72:$BB$76)*CI447), N($AQ$72:$AQ$76&gt;$AO447)),
SUMPRODUCT(INDEX($AR$67:$AT$76,,$AI447), INDEX($AU$67:$BA$76,,$AH447), 1 / ($BC$67:$BC$76*CM447 + (1-$BC$67:$BC$76)*CI447), N($AQ$67:$AQ$76&gt;$AO447))
) / 1000</f>
        <v>0</v>
      </c>
      <c r="CO447" s="232">
        <f t="shared" si="533"/>
        <v>25</v>
      </c>
      <c r="CP447" s="230">
        <f t="shared" si="556"/>
        <v>38</v>
      </c>
      <c r="CQ447" s="235">
        <f t="shared" si="557"/>
        <v>4.0666935483870965</v>
      </c>
      <c r="CR447" s="235" cm="1">
        <f t="array" ref="CR447">$BI447 * IF($AH447&lt;=2,
SUMPRODUCT(INDEX($AR$67:$AT$71,,$AI447), INDEX($AU$67:$BA$71,,$AH447), 1 / ($BB$67:$BB$71*CQ447 + (1-$BB$67:$BB$71)*CM447), N($AQ$67:$AQ$71&gt;$AO447)),
SUMPRODUCT(INDEX($AR$57:$AT$66,,$AI447), INDEX($AU$57:$BA$66,,$AH447), 1 / ($BC$57:$BC$66*CQ447 + (1-$BC$57:$BC$66)*CM447), N($AQ$57:$AQ$66&gt;$AO447))
) / 1000</f>
        <v>0</v>
      </c>
      <c r="CS447" s="232">
        <f t="shared" si="534"/>
        <v>20</v>
      </c>
      <c r="CT447" s="230">
        <f t="shared" si="558"/>
        <v>33</v>
      </c>
      <c r="CU447" s="235">
        <f t="shared" si="559"/>
        <v>4.8487499999999999</v>
      </c>
      <c r="CV447" s="235" cm="1">
        <f t="array" ref="CV447">$BI447 * IF($AH447&lt;=2,
SUMPRODUCT(INDEX($AR$62:$AT$66,,$AI447), INDEX($AU$62:$BA$66,,$AH447), 1 / ($BB$62:$BB$66*CU447 + (1-$BB$62:$BB$66)*CQ447), N($AQ$62:$AQ$66&gt;$AO447)),
SUMPRODUCT(INDEX($AR$47:$AT$56,,$AI447), INDEX($AU$47:$BA$56,,$AH447), 1 / ($BC$47:$BC$56*CU447 + (1-$BC$47:$BC$56)*CQ447), N($AQ$47:$AQ$56&gt;$AO447))
) / 1000</f>
        <v>0</v>
      </c>
      <c r="CW447" s="235" cm="1">
        <f t="array" ref="CW447">$BI447 * IF($AH447&lt;=2,
SUMPRODUCT(INDEX($AR$23:$AT$61,,$AI447), INDEX($AU$23:$BA$61,,$AH447), 1 / ($BB$23:$BB$61*CU447), N($AQ$23:$AQ$61&gt;$AO447)),
SUMPRODUCT(INDEX($AR$23:$AT$46,,$AI447), INDEX($AU$23:$BA$46,,$AH447), 1 / ($BC$23:$BC$46*CU447), N($AQ$23:$AQ$46&gt;$AO447))
) / 1000</f>
        <v>0</v>
      </c>
      <c r="CX447" s="230">
        <f t="shared" si="560"/>
        <v>0</v>
      </c>
      <c r="CY447" s="238"/>
    </row>
    <row r="448" spans="1:103" s="76" customFormat="1" ht="14.25" customHeight="1" x14ac:dyDescent="0.2">
      <c r="A448" s="231" t="b">
        <f t="shared" si="526"/>
        <v>0</v>
      </c>
      <c r="B448" s="245">
        <v>426</v>
      </c>
      <c r="C448" s="258"/>
      <c r="D448" s="258"/>
      <c r="E448" s="246"/>
      <c r="F448" s="247" t="str">
        <f>IF(ISBLANK(E448), "", VLOOKUP(E448, Z!$A$2:$C$4127, 3, FALSE))</f>
        <v/>
      </c>
      <c r="G448" s="248"/>
      <c r="H448" s="248"/>
      <c r="I448" s="249"/>
      <c r="J448" s="250"/>
      <c r="K448" s="259"/>
      <c r="L448" s="260"/>
      <c r="M448" s="252" t="str" cm="1">
        <f t="array" ref="M448">INDEX(Trad, 53, $A$20)</f>
        <v>Verschmutzt</v>
      </c>
      <c r="N448" s="253"/>
      <c r="O448" s="253"/>
      <c r="P448" s="254"/>
      <c r="Q448" s="251"/>
      <c r="R448" s="251"/>
      <c r="S448" s="264">
        <f t="shared" si="535"/>
        <v>0</v>
      </c>
      <c r="T448" s="252" t="str" cm="1">
        <f t="array" ref="T448">INDEX(Trad, 52, $A$20)</f>
        <v>Sauber</v>
      </c>
      <c r="U448" s="253"/>
      <c r="V448" s="253"/>
      <c r="W448" s="254"/>
      <c r="X448" s="251"/>
      <c r="Y448" s="251"/>
      <c r="Z448" s="264">
        <f t="shared" si="536"/>
        <v>0</v>
      </c>
      <c r="AA448" s="261"/>
      <c r="AB448" s="258"/>
      <c r="AC448" s="246"/>
      <c r="AD448" s="247" t="str">
        <f>IF(ISBLANK(AC448), "", VLOOKUP(AC448, Z!$A$2:$C$4127, 3, FALSE))</f>
        <v/>
      </c>
      <c r="AE448" s="262"/>
      <c r="AF448" s="263">
        <f t="shared" si="537"/>
        <v>0</v>
      </c>
      <c r="AG448" s="238"/>
      <c r="AH448" s="229">
        <f t="shared" si="561"/>
        <v>1</v>
      </c>
      <c r="AI448" s="229">
        <f t="shared" si="562"/>
        <v>1</v>
      </c>
      <c r="AJ448" s="229">
        <f t="shared" si="563"/>
        <v>0</v>
      </c>
      <c r="AK448" s="229">
        <v>0</v>
      </c>
      <c r="AL448" s="229">
        <v>0</v>
      </c>
      <c r="AM448" s="229">
        <v>1</v>
      </c>
      <c r="AN448" s="229">
        <v>0</v>
      </c>
      <c r="AO448" s="229">
        <f t="shared" si="538"/>
        <v>-100</v>
      </c>
      <c r="AP448" s="238"/>
      <c r="AQ448" s="255"/>
      <c r="AR448" s="255"/>
      <c r="AS448" s="256"/>
      <c r="AT448" s="256"/>
      <c r="AU448" s="256"/>
      <c r="AV448" s="256"/>
      <c r="AW448" s="256"/>
      <c r="AX448" s="256"/>
      <c r="AY448" s="256"/>
      <c r="AZ448" s="256"/>
      <c r="BA448" s="256"/>
      <c r="BB448" s="256"/>
      <c r="BC448" s="256"/>
      <c r="BD448" s="238"/>
      <c r="BE448" s="229" cm="1">
        <f t="array" ref="BE448">IF(ISBLANK(R448), INDEX(Use, $AH448, 4) - AM448*INDEX(Use, $AH448, 6), R448)</f>
        <v>5</v>
      </c>
      <c r="BF448" s="229">
        <f t="shared" si="539"/>
        <v>30</v>
      </c>
      <c r="BG448" s="229">
        <f t="shared" si="527"/>
        <v>13</v>
      </c>
      <c r="BH448" s="229">
        <f t="shared" si="528"/>
        <v>0</v>
      </c>
      <c r="BI448" s="234" cm="1">
        <f t="array" ref="BI448">K448/IF($L448&gt;0, INDEX($AU$23:$BA$77, $L448+20, $AH448), 1)</f>
        <v>0</v>
      </c>
      <c r="BJ448" s="230">
        <f t="shared" si="540"/>
        <v>0</v>
      </c>
      <c r="BK448" s="229">
        <v>35</v>
      </c>
      <c r="BL448" s="230">
        <f t="shared" si="541"/>
        <v>48</v>
      </c>
      <c r="BM448" s="235">
        <f t="shared" si="542"/>
        <v>2.9108720930232557</v>
      </c>
      <c r="BN448" s="235" cm="1">
        <f t="array" ref="BN448">$BI448 * SUMPRODUCT(INDEX($AR$77:$AT$82,,$AI448),INDEX($AU$77:$BA$82,,$AH448), N($AQ$77:$AQ$82&gt;$AO448)) / BM448 / 1000</f>
        <v>0</v>
      </c>
      <c r="BO448" s="232">
        <f t="shared" si="529"/>
        <v>30</v>
      </c>
      <c r="BP448" s="230">
        <f t="shared" si="543"/>
        <v>43</v>
      </c>
      <c r="BQ448" s="235">
        <f t="shared" si="544"/>
        <v>3.2938815789473681</v>
      </c>
      <c r="BR448" s="235" cm="1">
        <f t="array" ref="BR448">$BI448 * IF($AH448&lt;=2,
SUMPRODUCT(INDEX($AR$72:$AT$76,,$AI448), INDEX($AU$72:$BA$76,,$AH448), 1 / ($BB$72:$BB$76*BQ448 + (1-$BB$72:$BB$76)*BM448), N($AQ$72:$AQ$76&gt;$AO448)),
SUMPRODUCT(INDEX($AR$67:$AT$76,,$AI448), INDEX($AU$67:$BA$76,,$AH448), 1 / ($BC$67:$BC$76*BQ448 + (1-$BC$67:$BC$76)*BM448), N($AQ$67:$AQ$76&gt;$AO448))
) / 1000</f>
        <v>0</v>
      </c>
      <c r="BS448" s="232">
        <f t="shared" si="530"/>
        <v>25</v>
      </c>
      <c r="BT448" s="230">
        <f t="shared" si="545"/>
        <v>38</v>
      </c>
      <c r="BU448" s="235">
        <f t="shared" si="546"/>
        <v>3.792954545454545</v>
      </c>
      <c r="BV448" s="235" cm="1">
        <f t="array" ref="BV448">$BI448 * IF($AH448&lt;=2,
SUMPRODUCT(INDEX($AR$67:$AT$71,,$AI448), INDEX($AU$67:$BA$71,,$AH448), 1 / ($BB$67:$BB$71*BU448 + (1-$BB$67:$BB$71)*BQ448), N($AQ$67:$AQ$71&gt;$AO448)),
SUMPRODUCT(INDEX($AR$57:$AT$66,,$AI448), INDEX($AU$57:$BA$66,,$AH448), 1 / ($BC$57:$BC$66*BU448 + (1-$BC$57:$BC$66)*BQ448), N($AQ$57:$AQ$66&gt;$AO448))
) / 1000</f>
        <v>0</v>
      </c>
      <c r="BW448" s="232">
        <f t="shared" si="531"/>
        <v>20</v>
      </c>
      <c r="BX448" s="230">
        <f t="shared" si="547"/>
        <v>33</v>
      </c>
      <c r="BY448" s="235">
        <f t="shared" si="548"/>
        <v>4.4702678571428569</v>
      </c>
      <c r="BZ448" s="235" cm="1">
        <f t="array" ref="BZ448">$BI448 * IF($AH448&lt;=2,
SUMPRODUCT(INDEX($AR$62:$AT$66,,$AI448), INDEX($AU$62:$BA$66,,$AH448), 1 / ($BB$62:$BB$66*BY448 + (1-$BB$62:$BB$66)*BU448), N($AQ$62:$AQ$66&gt;$AO448)),
SUMPRODUCT(INDEX($AR$47:$AT$56,,$AI448), INDEX($AU$47:$BA$56,,$AH448), 1 / ($BC$47:$BC$56*BY448 + (1-$BC$47:$BC$56)*BU448), N($AQ$47:$AQ$56&gt;$AO448))
) / 1000</f>
        <v>0</v>
      </c>
      <c r="CA448" s="235" cm="1">
        <f t="array" ref="CA448">$BI448 * IF($AH448&lt;=2,
SUMPRODUCT(INDEX($AR$23:$AT$61,,$AI448), INDEX($AU$23:$BA$61,,$AH448), 1 / ($BB$23:$BB$61*BY448), N($AQ$23:$AQ$61&gt;$AO448)),
SUMPRODUCT(INDEX($AR$23:$AT$46,,$AI448), INDEX($AU$23:$BA$46,,$AH448), 1 / ($BC$23:$BC$46*BY448), N($AQ$23:$AQ$46&gt;$AO448))
) / 1000</f>
        <v>0</v>
      </c>
      <c r="CB448" s="230">
        <f t="shared" si="549"/>
        <v>0</v>
      </c>
      <c r="CC448" s="238"/>
      <c r="CD448" s="229" cm="1">
        <f t="array" ref="CD448">IF(ISBLANK(Y448), INDEX(Use, $AH448, 4) - AN448*INDEX(Use, $AH448, 6) - (Q448-X448), Y448)</f>
        <v>7</v>
      </c>
      <c r="CE448" s="229">
        <f t="shared" si="550"/>
        <v>32</v>
      </c>
      <c r="CF448" s="230">
        <f t="shared" si="551"/>
        <v>0</v>
      </c>
      <c r="CG448" s="229">
        <v>35</v>
      </c>
      <c r="CH448" s="230">
        <f t="shared" si="552"/>
        <v>48</v>
      </c>
      <c r="CI448" s="235">
        <f t="shared" si="553"/>
        <v>3.0748170731707316</v>
      </c>
      <c r="CJ448" s="235" cm="1">
        <f t="array" ref="CJ448">$BI448 * SUMPRODUCT(INDEX($AR$77:$AT$82,,$AI448),INDEX($AU$77:$BA$82,,$AH448), N($AQ$77:$AQ$82&gt;$AO448)) / CI448 / 1000</f>
        <v>0</v>
      </c>
      <c r="CK448" s="232">
        <f t="shared" si="532"/>
        <v>30</v>
      </c>
      <c r="CL448" s="230">
        <f t="shared" si="554"/>
        <v>43</v>
      </c>
      <c r="CM448" s="235">
        <f t="shared" si="555"/>
        <v>3.5018750000000001</v>
      </c>
      <c r="CN448" s="235" cm="1">
        <f t="array" ref="CN448">$BI448 * IF($AH448&lt;=2,
SUMPRODUCT(INDEX($AR$72:$AT$76,,$AI448), INDEX($AU$72:$BA$76,,$AH448), 1 / ($BB$72:$BB$76*CM448 + (1-$BB$72:$BB$76)*CI448), N($AQ$72:$AQ$76&gt;$AO448)),
SUMPRODUCT(INDEX($AR$67:$AT$76,,$AI448), INDEX($AU$67:$BA$76,,$AH448), 1 / ($BC$67:$BC$76*CM448 + (1-$BC$67:$BC$76)*CI448), N($AQ$67:$AQ$76&gt;$AO448))
) / 1000</f>
        <v>0</v>
      </c>
      <c r="CO448" s="232">
        <f t="shared" si="533"/>
        <v>25</v>
      </c>
      <c r="CP448" s="230">
        <f t="shared" si="556"/>
        <v>38</v>
      </c>
      <c r="CQ448" s="235">
        <f t="shared" si="557"/>
        <v>4.0666935483870965</v>
      </c>
      <c r="CR448" s="235" cm="1">
        <f t="array" ref="CR448">$BI448 * IF($AH448&lt;=2,
SUMPRODUCT(INDEX($AR$67:$AT$71,,$AI448), INDEX($AU$67:$BA$71,,$AH448), 1 / ($BB$67:$BB$71*CQ448 + (1-$BB$67:$BB$71)*CM448), N($AQ$67:$AQ$71&gt;$AO448)),
SUMPRODUCT(INDEX($AR$57:$AT$66,,$AI448), INDEX($AU$57:$BA$66,,$AH448), 1 / ($BC$57:$BC$66*CQ448 + (1-$BC$57:$BC$66)*CM448), N($AQ$57:$AQ$66&gt;$AO448))
) / 1000</f>
        <v>0</v>
      </c>
      <c r="CS448" s="232">
        <f t="shared" si="534"/>
        <v>20</v>
      </c>
      <c r="CT448" s="230">
        <f t="shared" si="558"/>
        <v>33</v>
      </c>
      <c r="CU448" s="235">
        <f t="shared" si="559"/>
        <v>4.8487499999999999</v>
      </c>
      <c r="CV448" s="235" cm="1">
        <f t="array" ref="CV448">$BI448 * IF($AH448&lt;=2,
SUMPRODUCT(INDEX($AR$62:$AT$66,,$AI448), INDEX($AU$62:$BA$66,,$AH448), 1 / ($BB$62:$BB$66*CU448 + (1-$BB$62:$BB$66)*CQ448), N($AQ$62:$AQ$66&gt;$AO448)),
SUMPRODUCT(INDEX($AR$47:$AT$56,,$AI448), INDEX($AU$47:$BA$56,,$AH448), 1 / ($BC$47:$BC$56*CU448 + (1-$BC$47:$BC$56)*CQ448), N($AQ$47:$AQ$56&gt;$AO448))
) / 1000</f>
        <v>0</v>
      </c>
      <c r="CW448" s="235" cm="1">
        <f t="array" ref="CW448">$BI448 * IF($AH448&lt;=2,
SUMPRODUCT(INDEX($AR$23:$AT$61,,$AI448), INDEX($AU$23:$BA$61,,$AH448), 1 / ($BB$23:$BB$61*CU448), N($AQ$23:$AQ$61&gt;$AO448)),
SUMPRODUCT(INDEX($AR$23:$AT$46,,$AI448), INDEX($AU$23:$BA$46,,$AH448), 1 / ($BC$23:$BC$46*CU448), N($AQ$23:$AQ$46&gt;$AO448))
) / 1000</f>
        <v>0</v>
      </c>
      <c r="CX448" s="230">
        <f t="shared" si="560"/>
        <v>0</v>
      </c>
      <c r="CY448" s="238"/>
    </row>
    <row r="449" spans="1:103" s="76" customFormat="1" ht="14.25" customHeight="1" x14ac:dyDescent="0.2">
      <c r="A449" s="231" t="b">
        <f t="shared" si="526"/>
        <v>0</v>
      </c>
      <c r="B449" s="245">
        <v>427</v>
      </c>
      <c r="C449" s="258"/>
      <c r="D449" s="258"/>
      <c r="E449" s="246"/>
      <c r="F449" s="247" t="str">
        <f>IF(ISBLANK(E449), "", VLOOKUP(E449, Z!$A$2:$C$4127, 3, FALSE))</f>
        <v/>
      </c>
      <c r="G449" s="248"/>
      <c r="H449" s="248"/>
      <c r="I449" s="249"/>
      <c r="J449" s="250"/>
      <c r="K449" s="259"/>
      <c r="L449" s="260"/>
      <c r="M449" s="252" t="str" cm="1">
        <f t="array" ref="M449">INDEX(Trad, 53, $A$20)</f>
        <v>Verschmutzt</v>
      </c>
      <c r="N449" s="253"/>
      <c r="O449" s="253"/>
      <c r="P449" s="254"/>
      <c r="Q449" s="251"/>
      <c r="R449" s="251"/>
      <c r="S449" s="264">
        <f t="shared" si="535"/>
        <v>0</v>
      </c>
      <c r="T449" s="252" t="str" cm="1">
        <f t="array" ref="T449">INDEX(Trad, 52, $A$20)</f>
        <v>Sauber</v>
      </c>
      <c r="U449" s="253"/>
      <c r="V449" s="253"/>
      <c r="W449" s="254"/>
      <c r="X449" s="251"/>
      <c r="Y449" s="251"/>
      <c r="Z449" s="264">
        <f t="shared" si="536"/>
        <v>0</v>
      </c>
      <c r="AA449" s="261"/>
      <c r="AB449" s="258"/>
      <c r="AC449" s="246"/>
      <c r="AD449" s="247" t="str">
        <f>IF(ISBLANK(AC449), "", VLOOKUP(AC449, Z!$A$2:$C$4127, 3, FALSE))</f>
        <v/>
      </c>
      <c r="AE449" s="262"/>
      <c r="AF449" s="263">
        <f t="shared" si="537"/>
        <v>0</v>
      </c>
      <c r="AG449" s="238"/>
      <c r="AH449" s="229">
        <f t="shared" si="561"/>
        <v>1</v>
      </c>
      <c r="AI449" s="229">
        <f t="shared" si="562"/>
        <v>1</v>
      </c>
      <c r="AJ449" s="229">
        <f t="shared" si="563"/>
        <v>0</v>
      </c>
      <c r="AK449" s="229">
        <v>0</v>
      </c>
      <c r="AL449" s="229">
        <v>0</v>
      </c>
      <c r="AM449" s="229">
        <v>1</v>
      </c>
      <c r="AN449" s="229">
        <v>0</v>
      </c>
      <c r="AO449" s="229">
        <f t="shared" si="538"/>
        <v>-100</v>
      </c>
      <c r="AP449" s="238"/>
      <c r="AQ449" s="255"/>
      <c r="AR449" s="255"/>
      <c r="AS449" s="256"/>
      <c r="AT449" s="256"/>
      <c r="AU449" s="256"/>
      <c r="AV449" s="256"/>
      <c r="AW449" s="256"/>
      <c r="AX449" s="256"/>
      <c r="AY449" s="256"/>
      <c r="AZ449" s="256"/>
      <c r="BA449" s="256"/>
      <c r="BB449" s="256"/>
      <c r="BC449" s="256"/>
      <c r="BD449" s="238"/>
      <c r="BE449" s="229" cm="1">
        <f t="array" ref="BE449">IF(ISBLANK(R449), INDEX(Use, $AH449, 4) - AM449*INDEX(Use, $AH449, 6), R449)</f>
        <v>5</v>
      </c>
      <c r="BF449" s="229">
        <f t="shared" si="539"/>
        <v>30</v>
      </c>
      <c r="BG449" s="229">
        <f t="shared" si="527"/>
        <v>13</v>
      </c>
      <c r="BH449" s="229">
        <f t="shared" si="528"/>
        <v>0</v>
      </c>
      <c r="BI449" s="234" cm="1">
        <f t="array" ref="BI449">K449/IF($L449&gt;0, INDEX($AU$23:$BA$77, $L449+20, $AH449), 1)</f>
        <v>0</v>
      </c>
      <c r="BJ449" s="230">
        <f t="shared" si="540"/>
        <v>0</v>
      </c>
      <c r="BK449" s="229">
        <v>35</v>
      </c>
      <c r="BL449" s="230">
        <f t="shared" si="541"/>
        <v>48</v>
      </c>
      <c r="BM449" s="235">
        <f t="shared" si="542"/>
        <v>2.9108720930232557</v>
      </c>
      <c r="BN449" s="235" cm="1">
        <f t="array" ref="BN449">$BI449 * SUMPRODUCT(INDEX($AR$77:$AT$82,,$AI449),INDEX($AU$77:$BA$82,,$AH449), N($AQ$77:$AQ$82&gt;$AO449)) / BM449 / 1000</f>
        <v>0</v>
      </c>
      <c r="BO449" s="232">
        <f t="shared" si="529"/>
        <v>30</v>
      </c>
      <c r="BP449" s="230">
        <f t="shared" si="543"/>
        <v>43</v>
      </c>
      <c r="BQ449" s="235">
        <f t="shared" si="544"/>
        <v>3.2938815789473681</v>
      </c>
      <c r="BR449" s="235" cm="1">
        <f t="array" ref="BR449">$BI449 * IF($AH449&lt;=2,
SUMPRODUCT(INDEX($AR$72:$AT$76,,$AI449), INDEX($AU$72:$BA$76,,$AH449), 1 / ($BB$72:$BB$76*BQ449 + (1-$BB$72:$BB$76)*BM449), N($AQ$72:$AQ$76&gt;$AO449)),
SUMPRODUCT(INDEX($AR$67:$AT$76,,$AI449), INDEX($AU$67:$BA$76,,$AH449), 1 / ($BC$67:$BC$76*BQ449 + (1-$BC$67:$BC$76)*BM449), N($AQ$67:$AQ$76&gt;$AO449))
) / 1000</f>
        <v>0</v>
      </c>
      <c r="BS449" s="232">
        <f t="shared" si="530"/>
        <v>25</v>
      </c>
      <c r="BT449" s="230">
        <f t="shared" si="545"/>
        <v>38</v>
      </c>
      <c r="BU449" s="235">
        <f t="shared" si="546"/>
        <v>3.792954545454545</v>
      </c>
      <c r="BV449" s="235" cm="1">
        <f t="array" ref="BV449">$BI449 * IF($AH449&lt;=2,
SUMPRODUCT(INDEX($AR$67:$AT$71,,$AI449), INDEX($AU$67:$BA$71,,$AH449), 1 / ($BB$67:$BB$71*BU449 + (1-$BB$67:$BB$71)*BQ449), N($AQ$67:$AQ$71&gt;$AO449)),
SUMPRODUCT(INDEX($AR$57:$AT$66,,$AI449), INDEX($AU$57:$BA$66,,$AH449), 1 / ($BC$57:$BC$66*BU449 + (1-$BC$57:$BC$66)*BQ449), N($AQ$57:$AQ$66&gt;$AO449))
) / 1000</f>
        <v>0</v>
      </c>
      <c r="BW449" s="232">
        <f t="shared" si="531"/>
        <v>20</v>
      </c>
      <c r="BX449" s="230">
        <f t="shared" si="547"/>
        <v>33</v>
      </c>
      <c r="BY449" s="235">
        <f t="shared" si="548"/>
        <v>4.4702678571428569</v>
      </c>
      <c r="BZ449" s="235" cm="1">
        <f t="array" ref="BZ449">$BI449 * IF($AH449&lt;=2,
SUMPRODUCT(INDEX($AR$62:$AT$66,,$AI449), INDEX($AU$62:$BA$66,,$AH449), 1 / ($BB$62:$BB$66*BY449 + (1-$BB$62:$BB$66)*BU449), N($AQ$62:$AQ$66&gt;$AO449)),
SUMPRODUCT(INDEX($AR$47:$AT$56,,$AI449), INDEX($AU$47:$BA$56,,$AH449), 1 / ($BC$47:$BC$56*BY449 + (1-$BC$47:$BC$56)*BU449), N($AQ$47:$AQ$56&gt;$AO449))
) / 1000</f>
        <v>0</v>
      </c>
      <c r="CA449" s="235" cm="1">
        <f t="array" ref="CA449">$BI449 * IF($AH449&lt;=2,
SUMPRODUCT(INDEX($AR$23:$AT$61,,$AI449), INDEX($AU$23:$BA$61,,$AH449), 1 / ($BB$23:$BB$61*BY449), N($AQ$23:$AQ$61&gt;$AO449)),
SUMPRODUCT(INDEX($AR$23:$AT$46,,$AI449), INDEX($AU$23:$BA$46,,$AH449), 1 / ($BC$23:$BC$46*BY449), N($AQ$23:$AQ$46&gt;$AO449))
) / 1000</f>
        <v>0</v>
      </c>
      <c r="CB449" s="230">
        <f t="shared" si="549"/>
        <v>0</v>
      </c>
      <c r="CC449" s="238"/>
      <c r="CD449" s="229" cm="1">
        <f t="array" ref="CD449">IF(ISBLANK(Y449), INDEX(Use, $AH449, 4) - AN449*INDEX(Use, $AH449, 6) - (Q449-X449), Y449)</f>
        <v>7</v>
      </c>
      <c r="CE449" s="229">
        <f t="shared" si="550"/>
        <v>32</v>
      </c>
      <c r="CF449" s="230">
        <f t="shared" si="551"/>
        <v>0</v>
      </c>
      <c r="CG449" s="229">
        <v>35</v>
      </c>
      <c r="CH449" s="230">
        <f t="shared" si="552"/>
        <v>48</v>
      </c>
      <c r="CI449" s="235">
        <f t="shared" si="553"/>
        <v>3.0748170731707316</v>
      </c>
      <c r="CJ449" s="235" cm="1">
        <f t="array" ref="CJ449">$BI449 * SUMPRODUCT(INDEX($AR$77:$AT$82,,$AI449),INDEX($AU$77:$BA$82,,$AH449), N($AQ$77:$AQ$82&gt;$AO449)) / CI449 / 1000</f>
        <v>0</v>
      </c>
      <c r="CK449" s="232">
        <f t="shared" si="532"/>
        <v>30</v>
      </c>
      <c r="CL449" s="230">
        <f t="shared" si="554"/>
        <v>43</v>
      </c>
      <c r="CM449" s="235">
        <f t="shared" si="555"/>
        <v>3.5018750000000001</v>
      </c>
      <c r="CN449" s="235" cm="1">
        <f t="array" ref="CN449">$BI449 * IF($AH449&lt;=2,
SUMPRODUCT(INDEX($AR$72:$AT$76,,$AI449), INDEX($AU$72:$BA$76,,$AH449), 1 / ($BB$72:$BB$76*CM449 + (1-$BB$72:$BB$76)*CI449), N($AQ$72:$AQ$76&gt;$AO449)),
SUMPRODUCT(INDEX($AR$67:$AT$76,,$AI449), INDEX($AU$67:$BA$76,,$AH449), 1 / ($BC$67:$BC$76*CM449 + (1-$BC$67:$BC$76)*CI449), N($AQ$67:$AQ$76&gt;$AO449))
) / 1000</f>
        <v>0</v>
      </c>
      <c r="CO449" s="232">
        <f t="shared" si="533"/>
        <v>25</v>
      </c>
      <c r="CP449" s="230">
        <f t="shared" si="556"/>
        <v>38</v>
      </c>
      <c r="CQ449" s="235">
        <f t="shared" si="557"/>
        <v>4.0666935483870965</v>
      </c>
      <c r="CR449" s="235" cm="1">
        <f t="array" ref="CR449">$BI449 * IF($AH449&lt;=2,
SUMPRODUCT(INDEX($AR$67:$AT$71,,$AI449), INDEX($AU$67:$BA$71,,$AH449), 1 / ($BB$67:$BB$71*CQ449 + (1-$BB$67:$BB$71)*CM449), N($AQ$67:$AQ$71&gt;$AO449)),
SUMPRODUCT(INDEX($AR$57:$AT$66,,$AI449), INDEX($AU$57:$BA$66,,$AH449), 1 / ($BC$57:$BC$66*CQ449 + (1-$BC$57:$BC$66)*CM449), N($AQ$57:$AQ$66&gt;$AO449))
) / 1000</f>
        <v>0</v>
      </c>
      <c r="CS449" s="232">
        <f t="shared" si="534"/>
        <v>20</v>
      </c>
      <c r="CT449" s="230">
        <f t="shared" si="558"/>
        <v>33</v>
      </c>
      <c r="CU449" s="235">
        <f t="shared" si="559"/>
        <v>4.8487499999999999</v>
      </c>
      <c r="CV449" s="235" cm="1">
        <f t="array" ref="CV449">$BI449 * IF($AH449&lt;=2,
SUMPRODUCT(INDEX($AR$62:$AT$66,,$AI449), INDEX($AU$62:$BA$66,,$AH449), 1 / ($BB$62:$BB$66*CU449 + (1-$BB$62:$BB$66)*CQ449), N($AQ$62:$AQ$66&gt;$AO449)),
SUMPRODUCT(INDEX($AR$47:$AT$56,,$AI449), INDEX($AU$47:$BA$56,,$AH449), 1 / ($BC$47:$BC$56*CU449 + (1-$BC$47:$BC$56)*CQ449), N($AQ$47:$AQ$56&gt;$AO449))
) / 1000</f>
        <v>0</v>
      </c>
      <c r="CW449" s="235" cm="1">
        <f t="array" ref="CW449">$BI449 * IF($AH449&lt;=2,
SUMPRODUCT(INDEX($AR$23:$AT$61,,$AI449), INDEX($AU$23:$BA$61,,$AH449), 1 / ($BB$23:$BB$61*CU449), N($AQ$23:$AQ$61&gt;$AO449)),
SUMPRODUCT(INDEX($AR$23:$AT$46,,$AI449), INDEX($AU$23:$BA$46,,$AH449), 1 / ($BC$23:$BC$46*CU449), N($AQ$23:$AQ$46&gt;$AO449))
) / 1000</f>
        <v>0</v>
      </c>
      <c r="CX449" s="230">
        <f t="shared" si="560"/>
        <v>0</v>
      </c>
      <c r="CY449" s="238"/>
    </row>
    <row r="450" spans="1:103" s="76" customFormat="1" ht="14.25" customHeight="1" x14ac:dyDescent="0.2">
      <c r="A450" s="231" t="b">
        <f t="shared" si="526"/>
        <v>0</v>
      </c>
      <c r="B450" s="245">
        <v>428</v>
      </c>
      <c r="C450" s="258"/>
      <c r="D450" s="258"/>
      <c r="E450" s="246"/>
      <c r="F450" s="247" t="str">
        <f>IF(ISBLANK(E450), "", VLOOKUP(E450, Z!$A$2:$C$4127, 3, FALSE))</f>
        <v/>
      </c>
      <c r="G450" s="248"/>
      <c r="H450" s="248"/>
      <c r="I450" s="249"/>
      <c r="J450" s="250"/>
      <c r="K450" s="259"/>
      <c r="L450" s="260"/>
      <c r="M450" s="252" t="str" cm="1">
        <f t="array" ref="M450">INDEX(Trad, 53, $A$20)</f>
        <v>Verschmutzt</v>
      </c>
      <c r="N450" s="253"/>
      <c r="O450" s="253"/>
      <c r="P450" s="254"/>
      <c r="Q450" s="251"/>
      <c r="R450" s="251"/>
      <c r="S450" s="264">
        <f t="shared" si="535"/>
        <v>0</v>
      </c>
      <c r="T450" s="252" t="str" cm="1">
        <f t="array" ref="T450">INDEX(Trad, 52, $A$20)</f>
        <v>Sauber</v>
      </c>
      <c r="U450" s="253"/>
      <c r="V450" s="253"/>
      <c r="W450" s="254"/>
      <c r="X450" s="251"/>
      <c r="Y450" s="251"/>
      <c r="Z450" s="264">
        <f t="shared" si="536"/>
        <v>0</v>
      </c>
      <c r="AA450" s="261"/>
      <c r="AB450" s="258"/>
      <c r="AC450" s="246"/>
      <c r="AD450" s="247" t="str">
        <f>IF(ISBLANK(AC450), "", VLOOKUP(AC450, Z!$A$2:$C$4127, 3, FALSE))</f>
        <v/>
      </c>
      <c r="AE450" s="262"/>
      <c r="AF450" s="263">
        <f t="shared" si="537"/>
        <v>0</v>
      </c>
      <c r="AG450" s="238"/>
      <c r="AH450" s="229">
        <f t="shared" si="561"/>
        <v>1</v>
      </c>
      <c r="AI450" s="229">
        <f t="shared" si="562"/>
        <v>1</v>
      </c>
      <c r="AJ450" s="229">
        <f t="shared" si="563"/>
        <v>0</v>
      </c>
      <c r="AK450" s="229">
        <v>0</v>
      </c>
      <c r="AL450" s="229">
        <v>0</v>
      </c>
      <c r="AM450" s="229">
        <v>1</v>
      </c>
      <c r="AN450" s="229">
        <v>0</v>
      </c>
      <c r="AO450" s="229">
        <f t="shared" si="538"/>
        <v>-100</v>
      </c>
      <c r="AP450" s="238"/>
      <c r="AQ450" s="255"/>
      <c r="AR450" s="255"/>
      <c r="AS450" s="256"/>
      <c r="AT450" s="256"/>
      <c r="AU450" s="256"/>
      <c r="AV450" s="256"/>
      <c r="AW450" s="256"/>
      <c r="AX450" s="256"/>
      <c r="AY450" s="256"/>
      <c r="AZ450" s="256"/>
      <c r="BA450" s="256"/>
      <c r="BB450" s="256"/>
      <c r="BC450" s="256"/>
      <c r="BD450" s="238"/>
      <c r="BE450" s="229" cm="1">
        <f t="array" ref="BE450">IF(ISBLANK(R450), INDEX(Use, $AH450, 4) - AM450*INDEX(Use, $AH450, 6), R450)</f>
        <v>5</v>
      </c>
      <c r="BF450" s="229">
        <f t="shared" si="539"/>
        <v>30</v>
      </c>
      <c r="BG450" s="229">
        <f t="shared" si="527"/>
        <v>13</v>
      </c>
      <c r="BH450" s="229">
        <f t="shared" si="528"/>
        <v>0</v>
      </c>
      <c r="BI450" s="234" cm="1">
        <f t="array" ref="BI450">K450/IF($L450&gt;0, INDEX($AU$23:$BA$77, $L450+20, $AH450), 1)</f>
        <v>0</v>
      </c>
      <c r="BJ450" s="230">
        <f t="shared" si="540"/>
        <v>0</v>
      </c>
      <c r="BK450" s="229">
        <v>35</v>
      </c>
      <c r="BL450" s="230">
        <f t="shared" si="541"/>
        <v>48</v>
      </c>
      <c r="BM450" s="235">
        <f t="shared" si="542"/>
        <v>2.9108720930232557</v>
      </c>
      <c r="BN450" s="235" cm="1">
        <f t="array" ref="BN450">$BI450 * SUMPRODUCT(INDEX($AR$77:$AT$82,,$AI450),INDEX($AU$77:$BA$82,,$AH450), N($AQ$77:$AQ$82&gt;$AO450)) / BM450 / 1000</f>
        <v>0</v>
      </c>
      <c r="BO450" s="232">
        <f t="shared" si="529"/>
        <v>30</v>
      </c>
      <c r="BP450" s="230">
        <f t="shared" si="543"/>
        <v>43</v>
      </c>
      <c r="BQ450" s="235">
        <f t="shared" si="544"/>
        <v>3.2938815789473681</v>
      </c>
      <c r="BR450" s="235" cm="1">
        <f t="array" ref="BR450">$BI450 * IF($AH450&lt;=2,
SUMPRODUCT(INDEX($AR$72:$AT$76,,$AI450), INDEX($AU$72:$BA$76,,$AH450), 1 / ($BB$72:$BB$76*BQ450 + (1-$BB$72:$BB$76)*BM450), N($AQ$72:$AQ$76&gt;$AO450)),
SUMPRODUCT(INDEX($AR$67:$AT$76,,$AI450), INDEX($AU$67:$BA$76,,$AH450), 1 / ($BC$67:$BC$76*BQ450 + (1-$BC$67:$BC$76)*BM450), N($AQ$67:$AQ$76&gt;$AO450))
) / 1000</f>
        <v>0</v>
      </c>
      <c r="BS450" s="232">
        <f t="shared" si="530"/>
        <v>25</v>
      </c>
      <c r="BT450" s="230">
        <f t="shared" si="545"/>
        <v>38</v>
      </c>
      <c r="BU450" s="235">
        <f t="shared" si="546"/>
        <v>3.792954545454545</v>
      </c>
      <c r="BV450" s="235" cm="1">
        <f t="array" ref="BV450">$BI450 * IF($AH450&lt;=2,
SUMPRODUCT(INDEX($AR$67:$AT$71,,$AI450), INDEX($AU$67:$BA$71,,$AH450), 1 / ($BB$67:$BB$71*BU450 + (1-$BB$67:$BB$71)*BQ450), N($AQ$67:$AQ$71&gt;$AO450)),
SUMPRODUCT(INDEX($AR$57:$AT$66,,$AI450), INDEX($AU$57:$BA$66,,$AH450), 1 / ($BC$57:$BC$66*BU450 + (1-$BC$57:$BC$66)*BQ450), N($AQ$57:$AQ$66&gt;$AO450))
) / 1000</f>
        <v>0</v>
      </c>
      <c r="BW450" s="232">
        <f t="shared" si="531"/>
        <v>20</v>
      </c>
      <c r="BX450" s="230">
        <f t="shared" si="547"/>
        <v>33</v>
      </c>
      <c r="BY450" s="235">
        <f t="shared" si="548"/>
        <v>4.4702678571428569</v>
      </c>
      <c r="BZ450" s="235" cm="1">
        <f t="array" ref="BZ450">$BI450 * IF($AH450&lt;=2,
SUMPRODUCT(INDEX($AR$62:$AT$66,,$AI450), INDEX($AU$62:$BA$66,,$AH450), 1 / ($BB$62:$BB$66*BY450 + (1-$BB$62:$BB$66)*BU450), N($AQ$62:$AQ$66&gt;$AO450)),
SUMPRODUCT(INDEX($AR$47:$AT$56,,$AI450), INDEX($AU$47:$BA$56,,$AH450), 1 / ($BC$47:$BC$56*BY450 + (1-$BC$47:$BC$56)*BU450), N($AQ$47:$AQ$56&gt;$AO450))
) / 1000</f>
        <v>0</v>
      </c>
      <c r="CA450" s="235" cm="1">
        <f t="array" ref="CA450">$BI450 * IF($AH450&lt;=2,
SUMPRODUCT(INDEX($AR$23:$AT$61,,$AI450), INDEX($AU$23:$BA$61,,$AH450), 1 / ($BB$23:$BB$61*BY450), N($AQ$23:$AQ$61&gt;$AO450)),
SUMPRODUCT(INDEX($AR$23:$AT$46,,$AI450), INDEX($AU$23:$BA$46,,$AH450), 1 / ($BC$23:$BC$46*BY450), N($AQ$23:$AQ$46&gt;$AO450))
) / 1000</f>
        <v>0</v>
      </c>
      <c r="CB450" s="230">
        <f t="shared" si="549"/>
        <v>0</v>
      </c>
      <c r="CC450" s="238"/>
      <c r="CD450" s="229" cm="1">
        <f t="array" ref="CD450">IF(ISBLANK(Y450), INDEX(Use, $AH450, 4) - AN450*INDEX(Use, $AH450, 6) - (Q450-X450), Y450)</f>
        <v>7</v>
      </c>
      <c r="CE450" s="229">
        <f t="shared" si="550"/>
        <v>32</v>
      </c>
      <c r="CF450" s="230">
        <f t="shared" si="551"/>
        <v>0</v>
      </c>
      <c r="CG450" s="229">
        <v>35</v>
      </c>
      <c r="CH450" s="230">
        <f t="shared" si="552"/>
        <v>48</v>
      </c>
      <c r="CI450" s="235">
        <f t="shared" si="553"/>
        <v>3.0748170731707316</v>
      </c>
      <c r="CJ450" s="235" cm="1">
        <f t="array" ref="CJ450">$BI450 * SUMPRODUCT(INDEX($AR$77:$AT$82,,$AI450),INDEX($AU$77:$BA$82,,$AH450), N($AQ$77:$AQ$82&gt;$AO450)) / CI450 / 1000</f>
        <v>0</v>
      </c>
      <c r="CK450" s="232">
        <f t="shared" si="532"/>
        <v>30</v>
      </c>
      <c r="CL450" s="230">
        <f t="shared" si="554"/>
        <v>43</v>
      </c>
      <c r="CM450" s="235">
        <f t="shared" si="555"/>
        <v>3.5018750000000001</v>
      </c>
      <c r="CN450" s="235" cm="1">
        <f t="array" ref="CN450">$BI450 * IF($AH450&lt;=2,
SUMPRODUCT(INDEX($AR$72:$AT$76,,$AI450), INDEX($AU$72:$BA$76,,$AH450), 1 / ($BB$72:$BB$76*CM450 + (1-$BB$72:$BB$76)*CI450), N($AQ$72:$AQ$76&gt;$AO450)),
SUMPRODUCT(INDEX($AR$67:$AT$76,,$AI450), INDEX($AU$67:$BA$76,,$AH450), 1 / ($BC$67:$BC$76*CM450 + (1-$BC$67:$BC$76)*CI450), N($AQ$67:$AQ$76&gt;$AO450))
) / 1000</f>
        <v>0</v>
      </c>
      <c r="CO450" s="232">
        <f t="shared" si="533"/>
        <v>25</v>
      </c>
      <c r="CP450" s="230">
        <f t="shared" si="556"/>
        <v>38</v>
      </c>
      <c r="CQ450" s="235">
        <f t="shared" si="557"/>
        <v>4.0666935483870965</v>
      </c>
      <c r="CR450" s="235" cm="1">
        <f t="array" ref="CR450">$BI450 * IF($AH450&lt;=2,
SUMPRODUCT(INDEX($AR$67:$AT$71,,$AI450), INDEX($AU$67:$BA$71,,$AH450), 1 / ($BB$67:$BB$71*CQ450 + (1-$BB$67:$BB$71)*CM450), N($AQ$67:$AQ$71&gt;$AO450)),
SUMPRODUCT(INDEX($AR$57:$AT$66,,$AI450), INDEX($AU$57:$BA$66,,$AH450), 1 / ($BC$57:$BC$66*CQ450 + (1-$BC$57:$BC$66)*CM450), N($AQ$57:$AQ$66&gt;$AO450))
) / 1000</f>
        <v>0</v>
      </c>
      <c r="CS450" s="232">
        <f t="shared" si="534"/>
        <v>20</v>
      </c>
      <c r="CT450" s="230">
        <f t="shared" si="558"/>
        <v>33</v>
      </c>
      <c r="CU450" s="235">
        <f t="shared" si="559"/>
        <v>4.8487499999999999</v>
      </c>
      <c r="CV450" s="235" cm="1">
        <f t="array" ref="CV450">$BI450 * IF($AH450&lt;=2,
SUMPRODUCT(INDEX($AR$62:$AT$66,,$AI450), INDEX($AU$62:$BA$66,,$AH450), 1 / ($BB$62:$BB$66*CU450 + (1-$BB$62:$BB$66)*CQ450), N($AQ$62:$AQ$66&gt;$AO450)),
SUMPRODUCT(INDEX($AR$47:$AT$56,,$AI450), INDEX($AU$47:$BA$56,,$AH450), 1 / ($BC$47:$BC$56*CU450 + (1-$BC$47:$BC$56)*CQ450), N($AQ$47:$AQ$56&gt;$AO450))
) / 1000</f>
        <v>0</v>
      </c>
      <c r="CW450" s="235" cm="1">
        <f t="array" ref="CW450">$BI450 * IF($AH450&lt;=2,
SUMPRODUCT(INDEX($AR$23:$AT$61,,$AI450), INDEX($AU$23:$BA$61,,$AH450), 1 / ($BB$23:$BB$61*CU450), N($AQ$23:$AQ$61&gt;$AO450)),
SUMPRODUCT(INDEX($AR$23:$AT$46,,$AI450), INDEX($AU$23:$BA$46,,$AH450), 1 / ($BC$23:$BC$46*CU450), N($AQ$23:$AQ$46&gt;$AO450))
) / 1000</f>
        <v>0</v>
      </c>
      <c r="CX450" s="230">
        <f t="shared" si="560"/>
        <v>0</v>
      </c>
      <c r="CY450" s="238"/>
    </row>
    <row r="451" spans="1:103" s="76" customFormat="1" ht="14.25" customHeight="1" x14ac:dyDescent="0.2">
      <c r="A451" s="231" t="b">
        <f t="shared" si="526"/>
        <v>0</v>
      </c>
      <c r="B451" s="245">
        <v>429</v>
      </c>
      <c r="C451" s="258"/>
      <c r="D451" s="258"/>
      <c r="E451" s="246"/>
      <c r="F451" s="247" t="str">
        <f>IF(ISBLANK(E451), "", VLOOKUP(E451, Z!$A$2:$C$4127, 3, FALSE))</f>
        <v/>
      </c>
      <c r="G451" s="248"/>
      <c r="H451" s="248"/>
      <c r="I451" s="249"/>
      <c r="J451" s="250"/>
      <c r="K451" s="259"/>
      <c r="L451" s="260"/>
      <c r="M451" s="252" t="str" cm="1">
        <f t="array" ref="M451">INDEX(Trad, 53, $A$20)</f>
        <v>Verschmutzt</v>
      </c>
      <c r="N451" s="253"/>
      <c r="O451" s="253"/>
      <c r="P451" s="254"/>
      <c r="Q451" s="251"/>
      <c r="R451" s="251"/>
      <c r="S451" s="264">
        <f t="shared" si="535"/>
        <v>0</v>
      </c>
      <c r="T451" s="252" t="str" cm="1">
        <f t="array" ref="T451">INDEX(Trad, 52, $A$20)</f>
        <v>Sauber</v>
      </c>
      <c r="U451" s="253"/>
      <c r="V451" s="253"/>
      <c r="W451" s="254"/>
      <c r="X451" s="251"/>
      <c r="Y451" s="251"/>
      <c r="Z451" s="264">
        <f t="shared" si="536"/>
        <v>0</v>
      </c>
      <c r="AA451" s="261"/>
      <c r="AB451" s="258"/>
      <c r="AC451" s="246"/>
      <c r="AD451" s="247" t="str">
        <f>IF(ISBLANK(AC451), "", VLOOKUP(AC451, Z!$A$2:$C$4127, 3, FALSE))</f>
        <v/>
      </c>
      <c r="AE451" s="262"/>
      <c r="AF451" s="263">
        <f t="shared" si="537"/>
        <v>0</v>
      </c>
      <c r="AG451" s="238"/>
      <c r="AH451" s="229">
        <f t="shared" si="561"/>
        <v>1</v>
      </c>
      <c r="AI451" s="229">
        <f t="shared" si="562"/>
        <v>1</v>
      </c>
      <c r="AJ451" s="229">
        <f t="shared" si="563"/>
        <v>0</v>
      </c>
      <c r="AK451" s="229">
        <v>0</v>
      </c>
      <c r="AL451" s="229">
        <v>0</v>
      </c>
      <c r="AM451" s="229">
        <v>1</v>
      </c>
      <c r="AN451" s="229">
        <v>0</v>
      </c>
      <c r="AO451" s="229">
        <f t="shared" si="538"/>
        <v>-100</v>
      </c>
      <c r="AP451" s="238"/>
      <c r="AQ451" s="255"/>
      <c r="AR451" s="255"/>
      <c r="AS451" s="256"/>
      <c r="AT451" s="256"/>
      <c r="AU451" s="256"/>
      <c r="AV451" s="256"/>
      <c r="AW451" s="256"/>
      <c r="AX451" s="256"/>
      <c r="AY451" s="256"/>
      <c r="AZ451" s="256"/>
      <c r="BA451" s="256"/>
      <c r="BB451" s="256"/>
      <c r="BC451" s="256"/>
      <c r="BD451" s="238"/>
      <c r="BE451" s="229" cm="1">
        <f t="array" ref="BE451">IF(ISBLANK(R451), INDEX(Use, $AH451, 4) - AM451*INDEX(Use, $AH451, 6), R451)</f>
        <v>5</v>
      </c>
      <c r="BF451" s="229">
        <f t="shared" si="539"/>
        <v>30</v>
      </c>
      <c r="BG451" s="229">
        <f t="shared" si="527"/>
        <v>13</v>
      </c>
      <c r="BH451" s="229">
        <f t="shared" si="528"/>
        <v>0</v>
      </c>
      <c r="BI451" s="234" cm="1">
        <f t="array" ref="BI451">K451/IF($L451&gt;0, INDEX($AU$23:$BA$77, $L451+20, $AH451), 1)</f>
        <v>0</v>
      </c>
      <c r="BJ451" s="230">
        <f t="shared" si="540"/>
        <v>0</v>
      </c>
      <c r="BK451" s="229">
        <v>35</v>
      </c>
      <c r="BL451" s="230">
        <f t="shared" si="541"/>
        <v>48</v>
      </c>
      <c r="BM451" s="235">
        <f t="shared" si="542"/>
        <v>2.9108720930232557</v>
      </c>
      <c r="BN451" s="235" cm="1">
        <f t="array" ref="BN451">$BI451 * SUMPRODUCT(INDEX($AR$77:$AT$82,,$AI451),INDEX($AU$77:$BA$82,,$AH451), N($AQ$77:$AQ$82&gt;$AO451)) / BM451 / 1000</f>
        <v>0</v>
      </c>
      <c r="BO451" s="232">
        <f t="shared" si="529"/>
        <v>30</v>
      </c>
      <c r="BP451" s="230">
        <f t="shared" si="543"/>
        <v>43</v>
      </c>
      <c r="BQ451" s="235">
        <f t="shared" si="544"/>
        <v>3.2938815789473681</v>
      </c>
      <c r="BR451" s="235" cm="1">
        <f t="array" ref="BR451">$BI451 * IF($AH451&lt;=2,
SUMPRODUCT(INDEX($AR$72:$AT$76,,$AI451), INDEX($AU$72:$BA$76,,$AH451), 1 / ($BB$72:$BB$76*BQ451 + (1-$BB$72:$BB$76)*BM451), N($AQ$72:$AQ$76&gt;$AO451)),
SUMPRODUCT(INDEX($AR$67:$AT$76,,$AI451), INDEX($AU$67:$BA$76,,$AH451), 1 / ($BC$67:$BC$76*BQ451 + (1-$BC$67:$BC$76)*BM451), N($AQ$67:$AQ$76&gt;$AO451))
) / 1000</f>
        <v>0</v>
      </c>
      <c r="BS451" s="232">
        <f t="shared" si="530"/>
        <v>25</v>
      </c>
      <c r="BT451" s="230">
        <f t="shared" si="545"/>
        <v>38</v>
      </c>
      <c r="BU451" s="235">
        <f t="shared" si="546"/>
        <v>3.792954545454545</v>
      </c>
      <c r="BV451" s="235" cm="1">
        <f t="array" ref="BV451">$BI451 * IF($AH451&lt;=2,
SUMPRODUCT(INDEX($AR$67:$AT$71,,$AI451), INDEX($AU$67:$BA$71,,$AH451), 1 / ($BB$67:$BB$71*BU451 + (1-$BB$67:$BB$71)*BQ451), N($AQ$67:$AQ$71&gt;$AO451)),
SUMPRODUCT(INDEX($AR$57:$AT$66,,$AI451), INDEX($AU$57:$BA$66,,$AH451), 1 / ($BC$57:$BC$66*BU451 + (1-$BC$57:$BC$66)*BQ451), N($AQ$57:$AQ$66&gt;$AO451))
) / 1000</f>
        <v>0</v>
      </c>
      <c r="BW451" s="232">
        <f t="shared" si="531"/>
        <v>20</v>
      </c>
      <c r="BX451" s="230">
        <f t="shared" si="547"/>
        <v>33</v>
      </c>
      <c r="BY451" s="235">
        <f t="shared" si="548"/>
        <v>4.4702678571428569</v>
      </c>
      <c r="BZ451" s="235" cm="1">
        <f t="array" ref="BZ451">$BI451 * IF($AH451&lt;=2,
SUMPRODUCT(INDEX($AR$62:$AT$66,,$AI451), INDEX($AU$62:$BA$66,,$AH451), 1 / ($BB$62:$BB$66*BY451 + (1-$BB$62:$BB$66)*BU451), N($AQ$62:$AQ$66&gt;$AO451)),
SUMPRODUCT(INDEX($AR$47:$AT$56,,$AI451), INDEX($AU$47:$BA$56,,$AH451), 1 / ($BC$47:$BC$56*BY451 + (1-$BC$47:$BC$56)*BU451), N($AQ$47:$AQ$56&gt;$AO451))
) / 1000</f>
        <v>0</v>
      </c>
      <c r="CA451" s="235" cm="1">
        <f t="array" ref="CA451">$BI451 * IF($AH451&lt;=2,
SUMPRODUCT(INDEX($AR$23:$AT$61,,$AI451), INDEX($AU$23:$BA$61,,$AH451), 1 / ($BB$23:$BB$61*BY451), N($AQ$23:$AQ$61&gt;$AO451)),
SUMPRODUCT(INDEX($AR$23:$AT$46,,$AI451), INDEX($AU$23:$BA$46,,$AH451), 1 / ($BC$23:$BC$46*BY451), N($AQ$23:$AQ$46&gt;$AO451))
) / 1000</f>
        <v>0</v>
      </c>
      <c r="CB451" s="230">
        <f t="shared" si="549"/>
        <v>0</v>
      </c>
      <c r="CC451" s="238"/>
      <c r="CD451" s="229" cm="1">
        <f t="array" ref="CD451">IF(ISBLANK(Y451), INDEX(Use, $AH451, 4) - AN451*INDEX(Use, $AH451, 6) - (Q451-X451), Y451)</f>
        <v>7</v>
      </c>
      <c r="CE451" s="229">
        <f t="shared" si="550"/>
        <v>32</v>
      </c>
      <c r="CF451" s="230">
        <f t="shared" si="551"/>
        <v>0</v>
      </c>
      <c r="CG451" s="229">
        <v>35</v>
      </c>
      <c r="CH451" s="230">
        <f t="shared" si="552"/>
        <v>48</v>
      </c>
      <c r="CI451" s="235">
        <f t="shared" si="553"/>
        <v>3.0748170731707316</v>
      </c>
      <c r="CJ451" s="235" cm="1">
        <f t="array" ref="CJ451">$BI451 * SUMPRODUCT(INDEX($AR$77:$AT$82,,$AI451),INDEX($AU$77:$BA$82,,$AH451), N($AQ$77:$AQ$82&gt;$AO451)) / CI451 / 1000</f>
        <v>0</v>
      </c>
      <c r="CK451" s="232">
        <f t="shared" si="532"/>
        <v>30</v>
      </c>
      <c r="CL451" s="230">
        <f t="shared" si="554"/>
        <v>43</v>
      </c>
      <c r="CM451" s="235">
        <f t="shared" si="555"/>
        <v>3.5018750000000001</v>
      </c>
      <c r="CN451" s="235" cm="1">
        <f t="array" ref="CN451">$BI451 * IF($AH451&lt;=2,
SUMPRODUCT(INDEX($AR$72:$AT$76,,$AI451), INDEX($AU$72:$BA$76,,$AH451), 1 / ($BB$72:$BB$76*CM451 + (1-$BB$72:$BB$76)*CI451), N($AQ$72:$AQ$76&gt;$AO451)),
SUMPRODUCT(INDEX($AR$67:$AT$76,,$AI451), INDEX($AU$67:$BA$76,,$AH451), 1 / ($BC$67:$BC$76*CM451 + (1-$BC$67:$BC$76)*CI451), N($AQ$67:$AQ$76&gt;$AO451))
) / 1000</f>
        <v>0</v>
      </c>
      <c r="CO451" s="232">
        <f t="shared" si="533"/>
        <v>25</v>
      </c>
      <c r="CP451" s="230">
        <f t="shared" si="556"/>
        <v>38</v>
      </c>
      <c r="CQ451" s="235">
        <f t="shared" si="557"/>
        <v>4.0666935483870965</v>
      </c>
      <c r="CR451" s="235" cm="1">
        <f t="array" ref="CR451">$BI451 * IF($AH451&lt;=2,
SUMPRODUCT(INDEX($AR$67:$AT$71,,$AI451), INDEX($AU$67:$BA$71,,$AH451), 1 / ($BB$67:$BB$71*CQ451 + (1-$BB$67:$BB$71)*CM451), N($AQ$67:$AQ$71&gt;$AO451)),
SUMPRODUCT(INDEX($AR$57:$AT$66,,$AI451), INDEX($AU$57:$BA$66,,$AH451), 1 / ($BC$57:$BC$66*CQ451 + (1-$BC$57:$BC$66)*CM451), N($AQ$57:$AQ$66&gt;$AO451))
) / 1000</f>
        <v>0</v>
      </c>
      <c r="CS451" s="232">
        <f t="shared" si="534"/>
        <v>20</v>
      </c>
      <c r="CT451" s="230">
        <f t="shared" si="558"/>
        <v>33</v>
      </c>
      <c r="CU451" s="235">
        <f t="shared" si="559"/>
        <v>4.8487499999999999</v>
      </c>
      <c r="CV451" s="235" cm="1">
        <f t="array" ref="CV451">$BI451 * IF($AH451&lt;=2,
SUMPRODUCT(INDEX($AR$62:$AT$66,,$AI451), INDEX($AU$62:$BA$66,,$AH451), 1 / ($BB$62:$BB$66*CU451 + (1-$BB$62:$BB$66)*CQ451), N($AQ$62:$AQ$66&gt;$AO451)),
SUMPRODUCT(INDEX($AR$47:$AT$56,,$AI451), INDEX($AU$47:$BA$56,,$AH451), 1 / ($BC$47:$BC$56*CU451 + (1-$BC$47:$BC$56)*CQ451), N($AQ$47:$AQ$56&gt;$AO451))
) / 1000</f>
        <v>0</v>
      </c>
      <c r="CW451" s="235" cm="1">
        <f t="array" ref="CW451">$BI451 * IF($AH451&lt;=2,
SUMPRODUCT(INDEX($AR$23:$AT$61,,$AI451), INDEX($AU$23:$BA$61,,$AH451), 1 / ($BB$23:$BB$61*CU451), N($AQ$23:$AQ$61&gt;$AO451)),
SUMPRODUCT(INDEX($AR$23:$AT$46,,$AI451), INDEX($AU$23:$BA$46,,$AH451), 1 / ($BC$23:$BC$46*CU451), N($AQ$23:$AQ$46&gt;$AO451))
) / 1000</f>
        <v>0</v>
      </c>
      <c r="CX451" s="230">
        <f t="shared" si="560"/>
        <v>0</v>
      </c>
      <c r="CY451" s="238"/>
    </row>
    <row r="452" spans="1:103" s="76" customFormat="1" ht="14.25" customHeight="1" x14ac:dyDescent="0.2">
      <c r="A452" s="231" t="b">
        <f t="shared" si="526"/>
        <v>0</v>
      </c>
      <c r="B452" s="245">
        <v>430</v>
      </c>
      <c r="C452" s="258"/>
      <c r="D452" s="258"/>
      <c r="E452" s="246"/>
      <c r="F452" s="247" t="str">
        <f>IF(ISBLANK(E452), "", VLOOKUP(E452, Z!$A$2:$C$4127, 3, FALSE))</f>
        <v/>
      </c>
      <c r="G452" s="248"/>
      <c r="H452" s="248"/>
      <c r="I452" s="249"/>
      <c r="J452" s="250"/>
      <c r="K452" s="259"/>
      <c r="L452" s="260"/>
      <c r="M452" s="252" t="str" cm="1">
        <f t="array" ref="M452">INDEX(Trad, 53, $A$20)</f>
        <v>Verschmutzt</v>
      </c>
      <c r="N452" s="253"/>
      <c r="O452" s="253"/>
      <c r="P452" s="254"/>
      <c r="Q452" s="251"/>
      <c r="R452" s="251"/>
      <c r="S452" s="264">
        <f t="shared" si="535"/>
        <v>0</v>
      </c>
      <c r="T452" s="252" t="str" cm="1">
        <f t="array" ref="T452">INDEX(Trad, 52, $A$20)</f>
        <v>Sauber</v>
      </c>
      <c r="U452" s="253"/>
      <c r="V452" s="253"/>
      <c r="W452" s="254"/>
      <c r="X452" s="251"/>
      <c r="Y452" s="251"/>
      <c r="Z452" s="264">
        <f t="shared" si="536"/>
        <v>0</v>
      </c>
      <c r="AA452" s="261"/>
      <c r="AB452" s="258"/>
      <c r="AC452" s="246"/>
      <c r="AD452" s="247" t="str">
        <f>IF(ISBLANK(AC452), "", VLOOKUP(AC452, Z!$A$2:$C$4127, 3, FALSE))</f>
        <v/>
      </c>
      <c r="AE452" s="262"/>
      <c r="AF452" s="263">
        <f t="shared" si="537"/>
        <v>0</v>
      </c>
      <c r="AG452" s="238"/>
      <c r="AH452" s="229">
        <f t="shared" si="561"/>
        <v>1</v>
      </c>
      <c r="AI452" s="229">
        <f t="shared" si="562"/>
        <v>1</v>
      </c>
      <c r="AJ452" s="229">
        <f t="shared" si="563"/>
        <v>0</v>
      </c>
      <c r="AK452" s="229">
        <v>0</v>
      </c>
      <c r="AL452" s="229">
        <v>0</v>
      </c>
      <c r="AM452" s="229">
        <v>1</v>
      </c>
      <c r="AN452" s="229">
        <v>0</v>
      </c>
      <c r="AO452" s="229">
        <f t="shared" si="538"/>
        <v>-100</v>
      </c>
      <c r="AP452" s="238"/>
      <c r="AQ452" s="255"/>
      <c r="AR452" s="255"/>
      <c r="AS452" s="256"/>
      <c r="AT452" s="256"/>
      <c r="AU452" s="256"/>
      <c r="AV452" s="256"/>
      <c r="AW452" s="256"/>
      <c r="AX452" s="256"/>
      <c r="AY452" s="256"/>
      <c r="AZ452" s="256"/>
      <c r="BA452" s="256"/>
      <c r="BB452" s="256"/>
      <c r="BC452" s="256"/>
      <c r="BD452" s="238"/>
      <c r="BE452" s="229" cm="1">
        <f t="array" ref="BE452">IF(ISBLANK(R452), INDEX(Use, $AH452, 4) - AM452*INDEX(Use, $AH452, 6), R452)</f>
        <v>5</v>
      </c>
      <c r="BF452" s="229">
        <f t="shared" si="539"/>
        <v>30</v>
      </c>
      <c r="BG452" s="229">
        <f t="shared" si="527"/>
        <v>13</v>
      </c>
      <c r="BH452" s="229">
        <f t="shared" si="528"/>
        <v>0</v>
      </c>
      <c r="BI452" s="234" cm="1">
        <f t="array" ref="BI452">K452/IF($L452&gt;0, INDEX($AU$23:$BA$77, $L452+20, $AH452), 1)</f>
        <v>0</v>
      </c>
      <c r="BJ452" s="230">
        <f t="shared" si="540"/>
        <v>0</v>
      </c>
      <c r="BK452" s="229">
        <v>35</v>
      </c>
      <c r="BL452" s="230">
        <f t="shared" si="541"/>
        <v>48</v>
      </c>
      <c r="BM452" s="235">
        <f t="shared" si="542"/>
        <v>2.9108720930232557</v>
      </c>
      <c r="BN452" s="235" cm="1">
        <f t="array" ref="BN452">$BI452 * SUMPRODUCT(INDEX($AR$77:$AT$82,,$AI452),INDEX($AU$77:$BA$82,,$AH452), N($AQ$77:$AQ$82&gt;$AO452)) / BM452 / 1000</f>
        <v>0</v>
      </c>
      <c r="BO452" s="232">
        <f t="shared" si="529"/>
        <v>30</v>
      </c>
      <c r="BP452" s="230">
        <f t="shared" si="543"/>
        <v>43</v>
      </c>
      <c r="BQ452" s="235">
        <f t="shared" si="544"/>
        <v>3.2938815789473681</v>
      </c>
      <c r="BR452" s="235" cm="1">
        <f t="array" ref="BR452">$BI452 * IF($AH452&lt;=2,
SUMPRODUCT(INDEX($AR$72:$AT$76,,$AI452), INDEX($AU$72:$BA$76,,$AH452), 1 / ($BB$72:$BB$76*BQ452 + (1-$BB$72:$BB$76)*BM452), N($AQ$72:$AQ$76&gt;$AO452)),
SUMPRODUCT(INDEX($AR$67:$AT$76,,$AI452), INDEX($AU$67:$BA$76,,$AH452), 1 / ($BC$67:$BC$76*BQ452 + (1-$BC$67:$BC$76)*BM452), N($AQ$67:$AQ$76&gt;$AO452))
) / 1000</f>
        <v>0</v>
      </c>
      <c r="BS452" s="232">
        <f t="shared" si="530"/>
        <v>25</v>
      </c>
      <c r="BT452" s="230">
        <f t="shared" si="545"/>
        <v>38</v>
      </c>
      <c r="BU452" s="235">
        <f t="shared" si="546"/>
        <v>3.792954545454545</v>
      </c>
      <c r="BV452" s="235" cm="1">
        <f t="array" ref="BV452">$BI452 * IF($AH452&lt;=2,
SUMPRODUCT(INDEX($AR$67:$AT$71,,$AI452), INDEX($AU$67:$BA$71,,$AH452), 1 / ($BB$67:$BB$71*BU452 + (1-$BB$67:$BB$71)*BQ452), N($AQ$67:$AQ$71&gt;$AO452)),
SUMPRODUCT(INDEX($AR$57:$AT$66,,$AI452), INDEX($AU$57:$BA$66,,$AH452), 1 / ($BC$57:$BC$66*BU452 + (1-$BC$57:$BC$66)*BQ452), N($AQ$57:$AQ$66&gt;$AO452))
) / 1000</f>
        <v>0</v>
      </c>
      <c r="BW452" s="232">
        <f t="shared" si="531"/>
        <v>20</v>
      </c>
      <c r="BX452" s="230">
        <f t="shared" si="547"/>
        <v>33</v>
      </c>
      <c r="BY452" s="235">
        <f t="shared" si="548"/>
        <v>4.4702678571428569</v>
      </c>
      <c r="BZ452" s="235" cm="1">
        <f t="array" ref="BZ452">$BI452 * IF($AH452&lt;=2,
SUMPRODUCT(INDEX($AR$62:$AT$66,,$AI452), INDEX($AU$62:$BA$66,,$AH452), 1 / ($BB$62:$BB$66*BY452 + (1-$BB$62:$BB$66)*BU452), N($AQ$62:$AQ$66&gt;$AO452)),
SUMPRODUCT(INDEX($AR$47:$AT$56,,$AI452), INDEX($AU$47:$BA$56,,$AH452), 1 / ($BC$47:$BC$56*BY452 + (1-$BC$47:$BC$56)*BU452), N($AQ$47:$AQ$56&gt;$AO452))
) / 1000</f>
        <v>0</v>
      </c>
      <c r="CA452" s="235" cm="1">
        <f t="array" ref="CA452">$BI452 * IF($AH452&lt;=2,
SUMPRODUCT(INDEX($AR$23:$AT$61,,$AI452), INDEX($AU$23:$BA$61,,$AH452), 1 / ($BB$23:$BB$61*BY452), N($AQ$23:$AQ$61&gt;$AO452)),
SUMPRODUCT(INDEX($AR$23:$AT$46,,$AI452), INDEX($AU$23:$BA$46,,$AH452), 1 / ($BC$23:$BC$46*BY452), N($AQ$23:$AQ$46&gt;$AO452))
) / 1000</f>
        <v>0</v>
      </c>
      <c r="CB452" s="230">
        <f t="shared" si="549"/>
        <v>0</v>
      </c>
      <c r="CC452" s="238"/>
      <c r="CD452" s="229" cm="1">
        <f t="array" ref="CD452">IF(ISBLANK(Y452), INDEX(Use, $AH452, 4) - AN452*INDEX(Use, $AH452, 6) - (Q452-X452), Y452)</f>
        <v>7</v>
      </c>
      <c r="CE452" s="229">
        <f t="shared" si="550"/>
        <v>32</v>
      </c>
      <c r="CF452" s="230">
        <f t="shared" si="551"/>
        <v>0</v>
      </c>
      <c r="CG452" s="229">
        <v>35</v>
      </c>
      <c r="CH452" s="230">
        <f t="shared" si="552"/>
        <v>48</v>
      </c>
      <c r="CI452" s="235">
        <f t="shared" si="553"/>
        <v>3.0748170731707316</v>
      </c>
      <c r="CJ452" s="235" cm="1">
        <f t="array" ref="CJ452">$BI452 * SUMPRODUCT(INDEX($AR$77:$AT$82,,$AI452),INDEX($AU$77:$BA$82,,$AH452), N($AQ$77:$AQ$82&gt;$AO452)) / CI452 / 1000</f>
        <v>0</v>
      </c>
      <c r="CK452" s="232">
        <f t="shared" si="532"/>
        <v>30</v>
      </c>
      <c r="CL452" s="230">
        <f t="shared" si="554"/>
        <v>43</v>
      </c>
      <c r="CM452" s="235">
        <f t="shared" si="555"/>
        <v>3.5018750000000001</v>
      </c>
      <c r="CN452" s="235" cm="1">
        <f t="array" ref="CN452">$BI452 * IF($AH452&lt;=2,
SUMPRODUCT(INDEX($AR$72:$AT$76,,$AI452), INDEX($AU$72:$BA$76,,$AH452), 1 / ($BB$72:$BB$76*CM452 + (1-$BB$72:$BB$76)*CI452), N($AQ$72:$AQ$76&gt;$AO452)),
SUMPRODUCT(INDEX($AR$67:$AT$76,,$AI452), INDEX($AU$67:$BA$76,,$AH452), 1 / ($BC$67:$BC$76*CM452 + (1-$BC$67:$BC$76)*CI452), N($AQ$67:$AQ$76&gt;$AO452))
) / 1000</f>
        <v>0</v>
      </c>
      <c r="CO452" s="232">
        <f t="shared" si="533"/>
        <v>25</v>
      </c>
      <c r="CP452" s="230">
        <f t="shared" si="556"/>
        <v>38</v>
      </c>
      <c r="CQ452" s="235">
        <f t="shared" si="557"/>
        <v>4.0666935483870965</v>
      </c>
      <c r="CR452" s="235" cm="1">
        <f t="array" ref="CR452">$BI452 * IF($AH452&lt;=2,
SUMPRODUCT(INDEX($AR$67:$AT$71,,$AI452), INDEX($AU$67:$BA$71,,$AH452), 1 / ($BB$67:$BB$71*CQ452 + (1-$BB$67:$BB$71)*CM452), N($AQ$67:$AQ$71&gt;$AO452)),
SUMPRODUCT(INDEX($AR$57:$AT$66,,$AI452), INDEX($AU$57:$BA$66,,$AH452), 1 / ($BC$57:$BC$66*CQ452 + (1-$BC$57:$BC$66)*CM452), N($AQ$57:$AQ$66&gt;$AO452))
) / 1000</f>
        <v>0</v>
      </c>
      <c r="CS452" s="232">
        <f t="shared" si="534"/>
        <v>20</v>
      </c>
      <c r="CT452" s="230">
        <f t="shared" si="558"/>
        <v>33</v>
      </c>
      <c r="CU452" s="235">
        <f t="shared" si="559"/>
        <v>4.8487499999999999</v>
      </c>
      <c r="CV452" s="235" cm="1">
        <f t="array" ref="CV452">$BI452 * IF($AH452&lt;=2,
SUMPRODUCT(INDEX($AR$62:$AT$66,,$AI452), INDEX($AU$62:$BA$66,,$AH452), 1 / ($BB$62:$BB$66*CU452 + (1-$BB$62:$BB$66)*CQ452), N($AQ$62:$AQ$66&gt;$AO452)),
SUMPRODUCT(INDEX($AR$47:$AT$56,,$AI452), INDEX($AU$47:$BA$56,,$AH452), 1 / ($BC$47:$BC$56*CU452 + (1-$BC$47:$BC$56)*CQ452), N($AQ$47:$AQ$56&gt;$AO452))
) / 1000</f>
        <v>0</v>
      </c>
      <c r="CW452" s="235" cm="1">
        <f t="array" ref="CW452">$BI452 * IF($AH452&lt;=2,
SUMPRODUCT(INDEX($AR$23:$AT$61,,$AI452), INDEX($AU$23:$BA$61,,$AH452), 1 / ($BB$23:$BB$61*CU452), N($AQ$23:$AQ$61&gt;$AO452)),
SUMPRODUCT(INDEX($AR$23:$AT$46,,$AI452), INDEX($AU$23:$BA$46,,$AH452), 1 / ($BC$23:$BC$46*CU452), N($AQ$23:$AQ$46&gt;$AO452))
) / 1000</f>
        <v>0</v>
      </c>
      <c r="CX452" s="230">
        <f t="shared" si="560"/>
        <v>0</v>
      </c>
      <c r="CY452" s="238"/>
    </row>
    <row r="453" spans="1:103" s="76" customFormat="1" ht="14.25" customHeight="1" x14ac:dyDescent="0.2">
      <c r="A453" s="231" t="b">
        <f t="shared" si="526"/>
        <v>0</v>
      </c>
      <c r="B453" s="245">
        <v>431</v>
      </c>
      <c r="C453" s="258"/>
      <c r="D453" s="258"/>
      <c r="E453" s="246"/>
      <c r="F453" s="247" t="str">
        <f>IF(ISBLANK(E453), "", VLOOKUP(E453, Z!$A$2:$C$4127, 3, FALSE))</f>
        <v/>
      </c>
      <c r="G453" s="248"/>
      <c r="H453" s="248"/>
      <c r="I453" s="249"/>
      <c r="J453" s="250"/>
      <c r="K453" s="259"/>
      <c r="L453" s="260"/>
      <c r="M453" s="252" t="str" cm="1">
        <f t="array" ref="M453">INDEX(Trad, 53, $A$20)</f>
        <v>Verschmutzt</v>
      </c>
      <c r="N453" s="253"/>
      <c r="O453" s="253"/>
      <c r="P453" s="254"/>
      <c r="Q453" s="251"/>
      <c r="R453" s="251"/>
      <c r="S453" s="264">
        <f t="shared" si="535"/>
        <v>0</v>
      </c>
      <c r="T453" s="252" t="str" cm="1">
        <f t="array" ref="T453">INDEX(Trad, 52, $A$20)</f>
        <v>Sauber</v>
      </c>
      <c r="U453" s="253"/>
      <c r="V453" s="253"/>
      <c r="W453" s="254"/>
      <c r="X453" s="251"/>
      <c r="Y453" s="251"/>
      <c r="Z453" s="264">
        <f t="shared" si="536"/>
        <v>0</v>
      </c>
      <c r="AA453" s="261"/>
      <c r="AB453" s="258"/>
      <c r="AC453" s="246"/>
      <c r="AD453" s="247" t="str">
        <f>IF(ISBLANK(AC453), "", VLOOKUP(AC453, Z!$A$2:$C$4127, 3, FALSE))</f>
        <v/>
      </c>
      <c r="AE453" s="262"/>
      <c r="AF453" s="263">
        <f t="shared" si="537"/>
        <v>0</v>
      </c>
      <c r="AG453" s="238"/>
      <c r="AH453" s="229">
        <f t="shared" si="561"/>
        <v>1</v>
      </c>
      <c r="AI453" s="229">
        <f t="shared" si="562"/>
        <v>1</v>
      </c>
      <c r="AJ453" s="229">
        <f t="shared" si="563"/>
        <v>0</v>
      </c>
      <c r="AK453" s="229">
        <v>0</v>
      </c>
      <c r="AL453" s="229">
        <v>0</v>
      </c>
      <c r="AM453" s="229">
        <v>1</v>
      </c>
      <c r="AN453" s="229">
        <v>0</v>
      </c>
      <c r="AO453" s="229">
        <f t="shared" si="538"/>
        <v>-100</v>
      </c>
      <c r="AP453" s="238"/>
      <c r="AQ453" s="255"/>
      <c r="AR453" s="255"/>
      <c r="AS453" s="256"/>
      <c r="AT453" s="256"/>
      <c r="AU453" s="256"/>
      <c r="AV453" s="256"/>
      <c r="AW453" s="256"/>
      <c r="AX453" s="256"/>
      <c r="AY453" s="256"/>
      <c r="AZ453" s="256"/>
      <c r="BA453" s="256"/>
      <c r="BB453" s="256"/>
      <c r="BC453" s="256"/>
      <c r="BD453" s="238"/>
      <c r="BE453" s="229" cm="1">
        <f t="array" ref="BE453">IF(ISBLANK(R453), INDEX(Use, $AH453, 4) - AM453*INDEX(Use, $AH453, 6), R453)</f>
        <v>5</v>
      </c>
      <c r="BF453" s="229">
        <f t="shared" si="539"/>
        <v>30</v>
      </c>
      <c r="BG453" s="229">
        <f t="shared" si="527"/>
        <v>13</v>
      </c>
      <c r="BH453" s="229">
        <f t="shared" si="528"/>
        <v>0</v>
      </c>
      <c r="BI453" s="234" cm="1">
        <f t="array" ref="BI453">K453/IF($L453&gt;0, INDEX($AU$23:$BA$77, $L453+20, $AH453), 1)</f>
        <v>0</v>
      </c>
      <c r="BJ453" s="230">
        <f t="shared" si="540"/>
        <v>0</v>
      </c>
      <c r="BK453" s="229">
        <v>35</v>
      </c>
      <c r="BL453" s="230">
        <f t="shared" si="541"/>
        <v>48</v>
      </c>
      <c r="BM453" s="235">
        <f t="shared" si="542"/>
        <v>2.9108720930232557</v>
      </c>
      <c r="BN453" s="235" cm="1">
        <f t="array" ref="BN453">$BI453 * SUMPRODUCT(INDEX($AR$77:$AT$82,,$AI453),INDEX($AU$77:$BA$82,,$AH453), N($AQ$77:$AQ$82&gt;$AO453)) / BM453 / 1000</f>
        <v>0</v>
      </c>
      <c r="BO453" s="232">
        <f t="shared" si="529"/>
        <v>30</v>
      </c>
      <c r="BP453" s="230">
        <f t="shared" si="543"/>
        <v>43</v>
      </c>
      <c r="BQ453" s="235">
        <f t="shared" si="544"/>
        <v>3.2938815789473681</v>
      </c>
      <c r="BR453" s="235" cm="1">
        <f t="array" ref="BR453">$BI453 * IF($AH453&lt;=2,
SUMPRODUCT(INDEX($AR$72:$AT$76,,$AI453), INDEX($AU$72:$BA$76,,$AH453), 1 / ($BB$72:$BB$76*BQ453 + (1-$BB$72:$BB$76)*BM453), N($AQ$72:$AQ$76&gt;$AO453)),
SUMPRODUCT(INDEX($AR$67:$AT$76,,$AI453), INDEX($AU$67:$BA$76,,$AH453), 1 / ($BC$67:$BC$76*BQ453 + (1-$BC$67:$BC$76)*BM453), N($AQ$67:$AQ$76&gt;$AO453))
) / 1000</f>
        <v>0</v>
      </c>
      <c r="BS453" s="232">
        <f t="shared" si="530"/>
        <v>25</v>
      </c>
      <c r="BT453" s="230">
        <f t="shared" si="545"/>
        <v>38</v>
      </c>
      <c r="BU453" s="235">
        <f t="shared" si="546"/>
        <v>3.792954545454545</v>
      </c>
      <c r="BV453" s="235" cm="1">
        <f t="array" ref="BV453">$BI453 * IF($AH453&lt;=2,
SUMPRODUCT(INDEX($AR$67:$AT$71,,$AI453), INDEX($AU$67:$BA$71,,$AH453), 1 / ($BB$67:$BB$71*BU453 + (1-$BB$67:$BB$71)*BQ453), N($AQ$67:$AQ$71&gt;$AO453)),
SUMPRODUCT(INDEX($AR$57:$AT$66,,$AI453), INDEX($AU$57:$BA$66,,$AH453), 1 / ($BC$57:$BC$66*BU453 + (1-$BC$57:$BC$66)*BQ453), N($AQ$57:$AQ$66&gt;$AO453))
) / 1000</f>
        <v>0</v>
      </c>
      <c r="BW453" s="232">
        <f t="shared" si="531"/>
        <v>20</v>
      </c>
      <c r="BX453" s="230">
        <f t="shared" si="547"/>
        <v>33</v>
      </c>
      <c r="BY453" s="235">
        <f t="shared" si="548"/>
        <v>4.4702678571428569</v>
      </c>
      <c r="BZ453" s="235" cm="1">
        <f t="array" ref="BZ453">$BI453 * IF($AH453&lt;=2,
SUMPRODUCT(INDEX($AR$62:$AT$66,,$AI453), INDEX($AU$62:$BA$66,,$AH453), 1 / ($BB$62:$BB$66*BY453 + (1-$BB$62:$BB$66)*BU453), N($AQ$62:$AQ$66&gt;$AO453)),
SUMPRODUCT(INDEX($AR$47:$AT$56,,$AI453), INDEX($AU$47:$BA$56,,$AH453), 1 / ($BC$47:$BC$56*BY453 + (1-$BC$47:$BC$56)*BU453), N($AQ$47:$AQ$56&gt;$AO453))
) / 1000</f>
        <v>0</v>
      </c>
      <c r="CA453" s="235" cm="1">
        <f t="array" ref="CA453">$BI453 * IF($AH453&lt;=2,
SUMPRODUCT(INDEX($AR$23:$AT$61,,$AI453), INDEX($AU$23:$BA$61,,$AH453), 1 / ($BB$23:$BB$61*BY453), N($AQ$23:$AQ$61&gt;$AO453)),
SUMPRODUCT(INDEX($AR$23:$AT$46,,$AI453), INDEX($AU$23:$BA$46,,$AH453), 1 / ($BC$23:$BC$46*BY453), N($AQ$23:$AQ$46&gt;$AO453))
) / 1000</f>
        <v>0</v>
      </c>
      <c r="CB453" s="230">
        <f t="shared" si="549"/>
        <v>0</v>
      </c>
      <c r="CC453" s="238"/>
      <c r="CD453" s="229" cm="1">
        <f t="array" ref="CD453">IF(ISBLANK(Y453), INDEX(Use, $AH453, 4) - AN453*INDEX(Use, $AH453, 6) - (Q453-X453), Y453)</f>
        <v>7</v>
      </c>
      <c r="CE453" s="229">
        <f t="shared" si="550"/>
        <v>32</v>
      </c>
      <c r="CF453" s="230">
        <f t="shared" si="551"/>
        <v>0</v>
      </c>
      <c r="CG453" s="229">
        <v>35</v>
      </c>
      <c r="CH453" s="230">
        <f t="shared" si="552"/>
        <v>48</v>
      </c>
      <c r="CI453" s="235">
        <f t="shared" si="553"/>
        <v>3.0748170731707316</v>
      </c>
      <c r="CJ453" s="235" cm="1">
        <f t="array" ref="CJ453">$BI453 * SUMPRODUCT(INDEX($AR$77:$AT$82,,$AI453),INDEX($AU$77:$BA$82,,$AH453), N($AQ$77:$AQ$82&gt;$AO453)) / CI453 / 1000</f>
        <v>0</v>
      </c>
      <c r="CK453" s="232">
        <f t="shared" si="532"/>
        <v>30</v>
      </c>
      <c r="CL453" s="230">
        <f t="shared" si="554"/>
        <v>43</v>
      </c>
      <c r="CM453" s="235">
        <f t="shared" si="555"/>
        <v>3.5018750000000001</v>
      </c>
      <c r="CN453" s="235" cm="1">
        <f t="array" ref="CN453">$BI453 * IF($AH453&lt;=2,
SUMPRODUCT(INDEX($AR$72:$AT$76,,$AI453), INDEX($AU$72:$BA$76,,$AH453), 1 / ($BB$72:$BB$76*CM453 + (1-$BB$72:$BB$76)*CI453), N($AQ$72:$AQ$76&gt;$AO453)),
SUMPRODUCT(INDEX($AR$67:$AT$76,,$AI453), INDEX($AU$67:$BA$76,,$AH453), 1 / ($BC$67:$BC$76*CM453 + (1-$BC$67:$BC$76)*CI453), N($AQ$67:$AQ$76&gt;$AO453))
) / 1000</f>
        <v>0</v>
      </c>
      <c r="CO453" s="232">
        <f t="shared" si="533"/>
        <v>25</v>
      </c>
      <c r="CP453" s="230">
        <f t="shared" si="556"/>
        <v>38</v>
      </c>
      <c r="CQ453" s="235">
        <f t="shared" si="557"/>
        <v>4.0666935483870965</v>
      </c>
      <c r="CR453" s="235" cm="1">
        <f t="array" ref="CR453">$BI453 * IF($AH453&lt;=2,
SUMPRODUCT(INDEX($AR$67:$AT$71,,$AI453), INDEX($AU$67:$BA$71,,$AH453), 1 / ($BB$67:$BB$71*CQ453 + (1-$BB$67:$BB$71)*CM453), N($AQ$67:$AQ$71&gt;$AO453)),
SUMPRODUCT(INDEX($AR$57:$AT$66,,$AI453), INDEX($AU$57:$BA$66,,$AH453), 1 / ($BC$57:$BC$66*CQ453 + (1-$BC$57:$BC$66)*CM453), N($AQ$57:$AQ$66&gt;$AO453))
) / 1000</f>
        <v>0</v>
      </c>
      <c r="CS453" s="232">
        <f t="shared" si="534"/>
        <v>20</v>
      </c>
      <c r="CT453" s="230">
        <f t="shared" si="558"/>
        <v>33</v>
      </c>
      <c r="CU453" s="235">
        <f t="shared" si="559"/>
        <v>4.8487499999999999</v>
      </c>
      <c r="CV453" s="235" cm="1">
        <f t="array" ref="CV453">$BI453 * IF($AH453&lt;=2,
SUMPRODUCT(INDEX($AR$62:$AT$66,,$AI453), INDEX($AU$62:$BA$66,,$AH453), 1 / ($BB$62:$BB$66*CU453 + (1-$BB$62:$BB$66)*CQ453), N($AQ$62:$AQ$66&gt;$AO453)),
SUMPRODUCT(INDEX($AR$47:$AT$56,,$AI453), INDEX($AU$47:$BA$56,,$AH453), 1 / ($BC$47:$BC$56*CU453 + (1-$BC$47:$BC$56)*CQ453), N($AQ$47:$AQ$56&gt;$AO453))
) / 1000</f>
        <v>0</v>
      </c>
      <c r="CW453" s="235" cm="1">
        <f t="array" ref="CW453">$BI453 * IF($AH453&lt;=2,
SUMPRODUCT(INDEX($AR$23:$AT$61,,$AI453), INDEX($AU$23:$BA$61,,$AH453), 1 / ($BB$23:$BB$61*CU453), N($AQ$23:$AQ$61&gt;$AO453)),
SUMPRODUCT(INDEX($AR$23:$AT$46,,$AI453), INDEX($AU$23:$BA$46,,$AH453), 1 / ($BC$23:$BC$46*CU453), N($AQ$23:$AQ$46&gt;$AO453))
) / 1000</f>
        <v>0</v>
      </c>
      <c r="CX453" s="230">
        <f t="shared" si="560"/>
        <v>0</v>
      </c>
      <c r="CY453" s="238"/>
    </row>
    <row r="454" spans="1:103" s="76" customFormat="1" ht="14.25" customHeight="1" x14ac:dyDescent="0.2">
      <c r="A454" s="231" t="b">
        <f t="shared" si="526"/>
        <v>0</v>
      </c>
      <c r="B454" s="245">
        <v>432</v>
      </c>
      <c r="C454" s="258"/>
      <c r="D454" s="258"/>
      <c r="E454" s="246"/>
      <c r="F454" s="247" t="str">
        <f>IF(ISBLANK(E454), "", VLOOKUP(E454, Z!$A$2:$C$4127, 3, FALSE))</f>
        <v/>
      </c>
      <c r="G454" s="248"/>
      <c r="H454" s="248"/>
      <c r="I454" s="249"/>
      <c r="J454" s="250"/>
      <c r="K454" s="259"/>
      <c r="L454" s="260"/>
      <c r="M454" s="252" t="str" cm="1">
        <f t="array" ref="M454">INDEX(Trad, 53, $A$20)</f>
        <v>Verschmutzt</v>
      </c>
      <c r="N454" s="253"/>
      <c r="O454" s="253"/>
      <c r="P454" s="254"/>
      <c r="Q454" s="251"/>
      <c r="R454" s="251"/>
      <c r="S454" s="264">
        <f t="shared" si="535"/>
        <v>0</v>
      </c>
      <c r="T454" s="252" t="str" cm="1">
        <f t="array" ref="T454">INDEX(Trad, 52, $A$20)</f>
        <v>Sauber</v>
      </c>
      <c r="U454" s="253"/>
      <c r="V454" s="253"/>
      <c r="W454" s="254"/>
      <c r="X454" s="251"/>
      <c r="Y454" s="251"/>
      <c r="Z454" s="264">
        <f t="shared" si="536"/>
        <v>0</v>
      </c>
      <c r="AA454" s="261"/>
      <c r="AB454" s="258"/>
      <c r="AC454" s="246"/>
      <c r="AD454" s="247" t="str">
        <f>IF(ISBLANK(AC454), "", VLOOKUP(AC454, Z!$A$2:$C$4127, 3, FALSE))</f>
        <v/>
      </c>
      <c r="AE454" s="262"/>
      <c r="AF454" s="263">
        <f t="shared" si="537"/>
        <v>0</v>
      </c>
      <c r="AG454" s="238"/>
      <c r="AH454" s="229">
        <f t="shared" si="561"/>
        <v>1</v>
      </c>
      <c r="AI454" s="229">
        <f t="shared" si="562"/>
        <v>1</v>
      </c>
      <c r="AJ454" s="229">
        <f t="shared" si="563"/>
        <v>0</v>
      </c>
      <c r="AK454" s="229">
        <v>0</v>
      </c>
      <c r="AL454" s="229">
        <v>0</v>
      </c>
      <c r="AM454" s="229">
        <v>1</v>
      </c>
      <c r="AN454" s="229">
        <v>0</v>
      </c>
      <c r="AO454" s="229">
        <f t="shared" si="538"/>
        <v>-100</v>
      </c>
      <c r="AP454" s="238"/>
      <c r="AQ454" s="255"/>
      <c r="AR454" s="255"/>
      <c r="AS454" s="256"/>
      <c r="AT454" s="256"/>
      <c r="AU454" s="256"/>
      <c r="AV454" s="256"/>
      <c r="AW454" s="256"/>
      <c r="AX454" s="256"/>
      <c r="AY454" s="256"/>
      <c r="AZ454" s="256"/>
      <c r="BA454" s="256"/>
      <c r="BB454" s="256"/>
      <c r="BC454" s="256"/>
      <c r="BD454" s="238"/>
      <c r="BE454" s="229" cm="1">
        <f t="array" ref="BE454">IF(ISBLANK(R454), INDEX(Use, $AH454, 4) - AM454*INDEX(Use, $AH454, 6), R454)</f>
        <v>5</v>
      </c>
      <c r="BF454" s="229">
        <f t="shared" si="539"/>
        <v>30</v>
      </c>
      <c r="BG454" s="229">
        <f t="shared" si="527"/>
        <v>13</v>
      </c>
      <c r="BH454" s="229">
        <f t="shared" si="528"/>
        <v>0</v>
      </c>
      <c r="BI454" s="234" cm="1">
        <f t="array" ref="BI454">K454/IF($L454&gt;0, INDEX($AU$23:$BA$77, $L454+20, $AH454), 1)</f>
        <v>0</v>
      </c>
      <c r="BJ454" s="230">
        <f t="shared" si="540"/>
        <v>0</v>
      </c>
      <c r="BK454" s="229">
        <v>35</v>
      </c>
      <c r="BL454" s="230">
        <f t="shared" si="541"/>
        <v>48</v>
      </c>
      <c r="BM454" s="235">
        <f t="shared" si="542"/>
        <v>2.9108720930232557</v>
      </c>
      <c r="BN454" s="235" cm="1">
        <f t="array" ref="BN454">$BI454 * SUMPRODUCT(INDEX($AR$77:$AT$82,,$AI454),INDEX($AU$77:$BA$82,,$AH454), N($AQ$77:$AQ$82&gt;$AO454)) / BM454 / 1000</f>
        <v>0</v>
      </c>
      <c r="BO454" s="232">
        <f t="shared" si="529"/>
        <v>30</v>
      </c>
      <c r="BP454" s="230">
        <f t="shared" si="543"/>
        <v>43</v>
      </c>
      <c r="BQ454" s="235">
        <f t="shared" si="544"/>
        <v>3.2938815789473681</v>
      </c>
      <c r="BR454" s="235" cm="1">
        <f t="array" ref="BR454">$BI454 * IF($AH454&lt;=2,
SUMPRODUCT(INDEX($AR$72:$AT$76,,$AI454), INDEX($AU$72:$BA$76,,$AH454), 1 / ($BB$72:$BB$76*BQ454 + (1-$BB$72:$BB$76)*BM454), N($AQ$72:$AQ$76&gt;$AO454)),
SUMPRODUCT(INDEX($AR$67:$AT$76,,$AI454), INDEX($AU$67:$BA$76,,$AH454), 1 / ($BC$67:$BC$76*BQ454 + (1-$BC$67:$BC$76)*BM454), N($AQ$67:$AQ$76&gt;$AO454))
) / 1000</f>
        <v>0</v>
      </c>
      <c r="BS454" s="232">
        <f t="shared" si="530"/>
        <v>25</v>
      </c>
      <c r="BT454" s="230">
        <f t="shared" si="545"/>
        <v>38</v>
      </c>
      <c r="BU454" s="235">
        <f t="shared" si="546"/>
        <v>3.792954545454545</v>
      </c>
      <c r="BV454" s="235" cm="1">
        <f t="array" ref="BV454">$BI454 * IF($AH454&lt;=2,
SUMPRODUCT(INDEX($AR$67:$AT$71,,$AI454), INDEX($AU$67:$BA$71,,$AH454), 1 / ($BB$67:$BB$71*BU454 + (1-$BB$67:$BB$71)*BQ454), N($AQ$67:$AQ$71&gt;$AO454)),
SUMPRODUCT(INDEX($AR$57:$AT$66,,$AI454), INDEX($AU$57:$BA$66,,$AH454), 1 / ($BC$57:$BC$66*BU454 + (1-$BC$57:$BC$66)*BQ454), N($AQ$57:$AQ$66&gt;$AO454))
) / 1000</f>
        <v>0</v>
      </c>
      <c r="BW454" s="232">
        <f t="shared" si="531"/>
        <v>20</v>
      </c>
      <c r="BX454" s="230">
        <f t="shared" si="547"/>
        <v>33</v>
      </c>
      <c r="BY454" s="235">
        <f t="shared" si="548"/>
        <v>4.4702678571428569</v>
      </c>
      <c r="BZ454" s="235" cm="1">
        <f t="array" ref="BZ454">$BI454 * IF($AH454&lt;=2,
SUMPRODUCT(INDEX($AR$62:$AT$66,,$AI454), INDEX($AU$62:$BA$66,,$AH454), 1 / ($BB$62:$BB$66*BY454 + (1-$BB$62:$BB$66)*BU454), N($AQ$62:$AQ$66&gt;$AO454)),
SUMPRODUCT(INDEX($AR$47:$AT$56,,$AI454), INDEX($AU$47:$BA$56,,$AH454), 1 / ($BC$47:$BC$56*BY454 + (1-$BC$47:$BC$56)*BU454), N($AQ$47:$AQ$56&gt;$AO454))
) / 1000</f>
        <v>0</v>
      </c>
      <c r="CA454" s="235" cm="1">
        <f t="array" ref="CA454">$BI454 * IF($AH454&lt;=2,
SUMPRODUCT(INDEX($AR$23:$AT$61,,$AI454), INDEX($AU$23:$BA$61,,$AH454), 1 / ($BB$23:$BB$61*BY454), N($AQ$23:$AQ$61&gt;$AO454)),
SUMPRODUCT(INDEX($AR$23:$AT$46,,$AI454), INDEX($AU$23:$BA$46,,$AH454), 1 / ($BC$23:$BC$46*BY454), N($AQ$23:$AQ$46&gt;$AO454))
) / 1000</f>
        <v>0</v>
      </c>
      <c r="CB454" s="230">
        <f t="shared" si="549"/>
        <v>0</v>
      </c>
      <c r="CC454" s="238"/>
      <c r="CD454" s="229" cm="1">
        <f t="array" ref="CD454">IF(ISBLANK(Y454), INDEX(Use, $AH454, 4) - AN454*INDEX(Use, $AH454, 6) - (Q454-X454), Y454)</f>
        <v>7</v>
      </c>
      <c r="CE454" s="229">
        <f t="shared" si="550"/>
        <v>32</v>
      </c>
      <c r="CF454" s="230">
        <f t="shared" si="551"/>
        <v>0</v>
      </c>
      <c r="CG454" s="229">
        <v>35</v>
      </c>
      <c r="CH454" s="230">
        <f t="shared" si="552"/>
        <v>48</v>
      </c>
      <c r="CI454" s="235">
        <f t="shared" si="553"/>
        <v>3.0748170731707316</v>
      </c>
      <c r="CJ454" s="235" cm="1">
        <f t="array" ref="CJ454">$BI454 * SUMPRODUCT(INDEX($AR$77:$AT$82,,$AI454),INDEX($AU$77:$BA$82,,$AH454), N($AQ$77:$AQ$82&gt;$AO454)) / CI454 / 1000</f>
        <v>0</v>
      </c>
      <c r="CK454" s="232">
        <f t="shared" si="532"/>
        <v>30</v>
      </c>
      <c r="CL454" s="230">
        <f t="shared" si="554"/>
        <v>43</v>
      </c>
      <c r="CM454" s="235">
        <f t="shared" si="555"/>
        <v>3.5018750000000001</v>
      </c>
      <c r="CN454" s="235" cm="1">
        <f t="array" ref="CN454">$BI454 * IF($AH454&lt;=2,
SUMPRODUCT(INDEX($AR$72:$AT$76,,$AI454), INDEX($AU$72:$BA$76,,$AH454), 1 / ($BB$72:$BB$76*CM454 + (1-$BB$72:$BB$76)*CI454), N($AQ$72:$AQ$76&gt;$AO454)),
SUMPRODUCT(INDEX($AR$67:$AT$76,,$AI454), INDEX($AU$67:$BA$76,,$AH454), 1 / ($BC$67:$BC$76*CM454 + (1-$BC$67:$BC$76)*CI454), N($AQ$67:$AQ$76&gt;$AO454))
) / 1000</f>
        <v>0</v>
      </c>
      <c r="CO454" s="232">
        <f t="shared" si="533"/>
        <v>25</v>
      </c>
      <c r="CP454" s="230">
        <f t="shared" si="556"/>
        <v>38</v>
      </c>
      <c r="CQ454" s="235">
        <f t="shared" si="557"/>
        <v>4.0666935483870965</v>
      </c>
      <c r="CR454" s="235" cm="1">
        <f t="array" ref="CR454">$BI454 * IF($AH454&lt;=2,
SUMPRODUCT(INDEX($AR$67:$AT$71,,$AI454), INDEX($AU$67:$BA$71,,$AH454), 1 / ($BB$67:$BB$71*CQ454 + (1-$BB$67:$BB$71)*CM454), N($AQ$67:$AQ$71&gt;$AO454)),
SUMPRODUCT(INDEX($AR$57:$AT$66,,$AI454), INDEX($AU$57:$BA$66,,$AH454), 1 / ($BC$57:$BC$66*CQ454 + (1-$BC$57:$BC$66)*CM454), N($AQ$57:$AQ$66&gt;$AO454))
) / 1000</f>
        <v>0</v>
      </c>
      <c r="CS454" s="232">
        <f t="shared" si="534"/>
        <v>20</v>
      </c>
      <c r="CT454" s="230">
        <f t="shared" si="558"/>
        <v>33</v>
      </c>
      <c r="CU454" s="235">
        <f t="shared" si="559"/>
        <v>4.8487499999999999</v>
      </c>
      <c r="CV454" s="235" cm="1">
        <f t="array" ref="CV454">$BI454 * IF($AH454&lt;=2,
SUMPRODUCT(INDEX($AR$62:$AT$66,,$AI454), INDEX($AU$62:$BA$66,,$AH454), 1 / ($BB$62:$BB$66*CU454 + (1-$BB$62:$BB$66)*CQ454), N($AQ$62:$AQ$66&gt;$AO454)),
SUMPRODUCT(INDEX($AR$47:$AT$56,,$AI454), INDEX($AU$47:$BA$56,,$AH454), 1 / ($BC$47:$BC$56*CU454 + (1-$BC$47:$BC$56)*CQ454), N($AQ$47:$AQ$56&gt;$AO454))
) / 1000</f>
        <v>0</v>
      </c>
      <c r="CW454" s="235" cm="1">
        <f t="array" ref="CW454">$BI454 * IF($AH454&lt;=2,
SUMPRODUCT(INDEX($AR$23:$AT$61,,$AI454), INDEX($AU$23:$BA$61,,$AH454), 1 / ($BB$23:$BB$61*CU454), N($AQ$23:$AQ$61&gt;$AO454)),
SUMPRODUCT(INDEX($AR$23:$AT$46,,$AI454), INDEX($AU$23:$BA$46,,$AH454), 1 / ($BC$23:$BC$46*CU454), N($AQ$23:$AQ$46&gt;$AO454))
) / 1000</f>
        <v>0</v>
      </c>
      <c r="CX454" s="230">
        <f t="shared" si="560"/>
        <v>0</v>
      </c>
      <c r="CY454" s="238"/>
    </row>
    <row r="455" spans="1:103" s="76" customFormat="1" ht="14.25" customHeight="1" x14ac:dyDescent="0.2">
      <c r="A455" s="231" t="b">
        <f t="shared" si="526"/>
        <v>0</v>
      </c>
      <c r="B455" s="245">
        <v>433</v>
      </c>
      <c r="C455" s="258"/>
      <c r="D455" s="258"/>
      <c r="E455" s="246"/>
      <c r="F455" s="247" t="str">
        <f>IF(ISBLANK(E455), "", VLOOKUP(E455, Z!$A$2:$C$4127, 3, FALSE))</f>
        <v/>
      </c>
      <c r="G455" s="248"/>
      <c r="H455" s="248"/>
      <c r="I455" s="249"/>
      <c r="J455" s="250"/>
      <c r="K455" s="259"/>
      <c r="L455" s="260"/>
      <c r="M455" s="252" t="str" cm="1">
        <f t="array" ref="M455">INDEX(Trad, 53, $A$20)</f>
        <v>Verschmutzt</v>
      </c>
      <c r="N455" s="253"/>
      <c r="O455" s="253"/>
      <c r="P455" s="254"/>
      <c r="Q455" s="251"/>
      <c r="R455" s="251"/>
      <c r="S455" s="264">
        <f t="shared" si="535"/>
        <v>0</v>
      </c>
      <c r="T455" s="252" t="str" cm="1">
        <f t="array" ref="T455">INDEX(Trad, 52, $A$20)</f>
        <v>Sauber</v>
      </c>
      <c r="U455" s="253"/>
      <c r="V455" s="253"/>
      <c r="W455" s="254"/>
      <c r="X455" s="251"/>
      <c r="Y455" s="251"/>
      <c r="Z455" s="264">
        <f t="shared" si="536"/>
        <v>0</v>
      </c>
      <c r="AA455" s="261"/>
      <c r="AB455" s="258"/>
      <c r="AC455" s="246"/>
      <c r="AD455" s="247" t="str">
        <f>IF(ISBLANK(AC455), "", VLOOKUP(AC455, Z!$A$2:$C$4127, 3, FALSE))</f>
        <v/>
      </c>
      <c r="AE455" s="262"/>
      <c r="AF455" s="263">
        <f t="shared" si="537"/>
        <v>0</v>
      </c>
      <c r="AG455" s="238"/>
      <c r="AH455" s="229">
        <f t="shared" si="561"/>
        <v>1</v>
      </c>
      <c r="AI455" s="229">
        <f t="shared" si="562"/>
        <v>1</v>
      </c>
      <c r="AJ455" s="229">
        <f t="shared" si="563"/>
        <v>0</v>
      </c>
      <c r="AK455" s="229">
        <v>0</v>
      </c>
      <c r="AL455" s="229">
        <v>0</v>
      </c>
      <c r="AM455" s="229">
        <v>1</v>
      </c>
      <c r="AN455" s="229">
        <v>0</v>
      </c>
      <c r="AO455" s="229">
        <f t="shared" si="538"/>
        <v>-100</v>
      </c>
      <c r="AP455" s="238"/>
      <c r="AQ455" s="255"/>
      <c r="AR455" s="255"/>
      <c r="AS455" s="256"/>
      <c r="AT455" s="256"/>
      <c r="AU455" s="256"/>
      <c r="AV455" s="256"/>
      <c r="AW455" s="256"/>
      <c r="AX455" s="256"/>
      <c r="AY455" s="256"/>
      <c r="AZ455" s="256"/>
      <c r="BA455" s="256"/>
      <c r="BB455" s="256"/>
      <c r="BC455" s="256"/>
      <c r="BD455" s="238"/>
      <c r="BE455" s="229" cm="1">
        <f t="array" ref="BE455">IF(ISBLANK(R455), INDEX(Use, $AH455, 4) - AM455*INDEX(Use, $AH455, 6), R455)</f>
        <v>5</v>
      </c>
      <c r="BF455" s="229">
        <f t="shared" si="539"/>
        <v>30</v>
      </c>
      <c r="BG455" s="229">
        <f t="shared" si="527"/>
        <v>13</v>
      </c>
      <c r="BH455" s="229">
        <f t="shared" si="528"/>
        <v>0</v>
      </c>
      <c r="BI455" s="234" cm="1">
        <f t="array" ref="BI455">K455/IF($L455&gt;0, INDEX($AU$23:$BA$77, $L455+20, $AH455), 1)</f>
        <v>0</v>
      </c>
      <c r="BJ455" s="230">
        <f t="shared" si="540"/>
        <v>0</v>
      </c>
      <c r="BK455" s="229">
        <v>35</v>
      </c>
      <c r="BL455" s="230">
        <f t="shared" si="541"/>
        <v>48</v>
      </c>
      <c r="BM455" s="235">
        <f t="shared" si="542"/>
        <v>2.9108720930232557</v>
      </c>
      <c r="BN455" s="235" cm="1">
        <f t="array" ref="BN455">$BI455 * SUMPRODUCT(INDEX($AR$77:$AT$82,,$AI455),INDEX($AU$77:$BA$82,,$AH455), N($AQ$77:$AQ$82&gt;$AO455)) / BM455 / 1000</f>
        <v>0</v>
      </c>
      <c r="BO455" s="232">
        <f t="shared" si="529"/>
        <v>30</v>
      </c>
      <c r="BP455" s="230">
        <f t="shared" si="543"/>
        <v>43</v>
      </c>
      <c r="BQ455" s="235">
        <f t="shared" si="544"/>
        <v>3.2938815789473681</v>
      </c>
      <c r="BR455" s="235" cm="1">
        <f t="array" ref="BR455">$BI455 * IF($AH455&lt;=2,
SUMPRODUCT(INDEX($AR$72:$AT$76,,$AI455), INDEX($AU$72:$BA$76,,$AH455), 1 / ($BB$72:$BB$76*BQ455 + (1-$BB$72:$BB$76)*BM455), N($AQ$72:$AQ$76&gt;$AO455)),
SUMPRODUCT(INDEX($AR$67:$AT$76,,$AI455), INDEX($AU$67:$BA$76,,$AH455), 1 / ($BC$67:$BC$76*BQ455 + (1-$BC$67:$BC$76)*BM455), N($AQ$67:$AQ$76&gt;$AO455))
) / 1000</f>
        <v>0</v>
      </c>
      <c r="BS455" s="232">
        <f t="shared" si="530"/>
        <v>25</v>
      </c>
      <c r="BT455" s="230">
        <f t="shared" si="545"/>
        <v>38</v>
      </c>
      <c r="BU455" s="235">
        <f t="shared" si="546"/>
        <v>3.792954545454545</v>
      </c>
      <c r="BV455" s="235" cm="1">
        <f t="array" ref="BV455">$BI455 * IF($AH455&lt;=2,
SUMPRODUCT(INDEX($AR$67:$AT$71,,$AI455), INDEX($AU$67:$BA$71,,$AH455), 1 / ($BB$67:$BB$71*BU455 + (1-$BB$67:$BB$71)*BQ455), N($AQ$67:$AQ$71&gt;$AO455)),
SUMPRODUCT(INDEX($AR$57:$AT$66,,$AI455), INDEX($AU$57:$BA$66,,$AH455), 1 / ($BC$57:$BC$66*BU455 + (1-$BC$57:$BC$66)*BQ455), N($AQ$57:$AQ$66&gt;$AO455))
) / 1000</f>
        <v>0</v>
      </c>
      <c r="BW455" s="232">
        <f t="shared" si="531"/>
        <v>20</v>
      </c>
      <c r="BX455" s="230">
        <f t="shared" si="547"/>
        <v>33</v>
      </c>
      <c r="BY455" s="235">
        <f t="shared" si="548"/>
        <v>4.4702678571428569</v>
      </c>
      <c r="BZ455" s="235" cm="1">
        <f t="array" ref="BZ455">$BI455 * IF($AH455&lt;=2,
SUMPRODUCT(INDEX($AR$62:$AT$66,,$AI455), INDEX($AU$62:$BA$66,,$AH455), 1 / ($BB$62:$BB$66*BY455 + (1-$BB$62:$BB$66)*BU455), N($AQ$62:$AQ$66&gt;$AO455)),
SUMPRODUCT(INDEX($AR$47:$AT$56,,$AI455), INDEX($AU$47:$BA$56,,$AH455), 1 / ($BC$47:$BC$56*BY455 + (1-$BC$47:$BC$56)*BU455), N($AQ$47:$AQ$56&gt;$AO455))
) / 1000</f>
        <v>0</v>
      </c>
      <c r="CA455" s="235" cm="1">
        <f t="array" ref="CA455">$BI455 * IF($AH455&lt;=2,
SUMPRODUCT(INDEX($AR$23:$AT$61,,$AI455), INDEX($AU$23:$BA$61,,$AH455), 1 / ($BB$23:$BB$61*BY455), N($AQ$23:$AQ$61&gt;$AO455)),
SUMPRODUCT(INDEX($AR$23:$AT$46,,$AI455), INDEX($AU$23:$BA$46,,$AH455), 1 / ($BC$23:$BC$46*BY455), N($AQ$23:$AQ$46&gt;$AO455))
) / 1000</f>
        <v>0</v>
      </c>
      <c r="CB455" s="230">
        <f t="shared" si="549"/>
        <v>0</v>
      </c>
      <c r="CC455" s="238"/>
      <c r="CD455" s="229" cm="1">
        <f t="array" ref="CD455">IF(ISBLANK(Y455), INDEX(Use, $AH455, 4) - AN455*INDEX(Use, $AH455, 6) - (Q455-X455), Y455)</f>
        <v>7</v>
      </c>
      <c r="CE455" s="229">
        <f t="shared" si="550"/>
        <v>32</v>
      </c>
      <c r="CF455" s="230">
        <f t="shared" si="551"/>
        <v>0</v>
      </c>
      <c r="CG455" s="229">
        <v>35</v>
      </c>
      <c r="CH455" s="230">
        <f t="shared" si="552"/>
        <v>48</v>
      </c>
      <c r="CI455" s="235">
        <f t="shared" si="553"/>
        <v>3.0748170731707316</v>
      </c>
      <c r="CJ455" s="235" cm="1">
        <f t="array" ref="CJ455">$BI455 * SUMPRODUCT(INDEX($AR$77:$AT$82,,$AI455),INDEX($AU$77:$BA$82,,$AH455), N($AQ$77:$AQ$82&gt;$AO455)) / CI455 / 1000</f>
        <v>0</v>
      </c>
      <c r="CK455" s="232">
        <f t="shared" si="532"/>
        <v>30</v>
      </c>
      <c r="CL455" s="230">
        <f t="shared" si="554"/>
        <v>43</v>
      </c>
      <c r="CM455" s="235">
        <f t="shared" si="555"/>
        <v>3.5018750000000001</v>
      </c>
      <c r="CN455" s="235" cm="1">
        <f t="array" ref="CN455">$BI455 * IF($AH455&lt;=2,
SUMPRODUCT(INDEX($AR$72:$AT$76,,$AI455), INDEX($AU$72:$BA$76,,$AH455), 1 / ($BB$72:$BB$76*CM455 + (1-$BB$72:$BB$76)*CI455), N($AQ$72:$AQ$76&gt;$AO455)),
SUMPRODUCT(INDEX($AR$67:$AT$76,,$AI455), INDEX($AU$67:$BA$76,,$AH455), 1 / ($BC$67:$BC$76*CM455 + (1-$BC$67:$BC$76)*CI455), N($AQ$67:$AQ$76&gt;$AO455))
) / 1000</f>
        <v>0</v>
      </c>
      <c r="CO455" s="232">
        <f t="shared" si="533"/>
        <v>25</v>
      </c>
      <c r="CP455" s="230">
        <f t="shared" si="556"/>
        <v>38</v>
      </c>
      <c r="CQ455" s="235">
        <f t="shared" si="557"/>
        <v>4.0666935483870965</v>
      </c>
      <c r="CR455" s="235" cm="1">
        <f t="array" ref="CR455">$BI455 * IF($AH455&lt;=2,
SUMPRODUCT(INDEX($AR$67:$AT$71,,$AI455), INDEX($AU$67:$BA$71,,$AH455), 1 / ($BB$67:$BB$71*CQ455 + (1-$BB$67:$BB$71)*CM455), N($AQ$67:$AQ$71&gt;$AO455)),
SUMPRODUCT(INDEX($AR$57:$AT$66,,$AI455), INDEX($AU$57:$BA$66,,$AH455), 1 / ($BC$57:$BC$66*CQ455 + (1-$BC$57:$BC$66)*CM455), N($AQ$57:$AQ$66&gt;$AO455))
) / 1000</f>
        <v>0</v>
      </c>
      <c r="CS455" s="232">
        <f t="shared" si="534"/>
        <v>20</v>
      </c>
      <c r="CT455" s="230">
        <f t="shared" si="558"/>
        <v>33</v>
      </c>
      <c r="CU455" s="235">
        <f t="shared" si="559"/>
        <v>4.8487499999999999</v>
      </c>
      <c r="CV455" s="235" cm="1">
        <f t="array" ref="CV455">$BI455 * IF($AH455&lt;=2,
SUMPRODUCT(INDEX($AR$62:$AT$66,,$AI455), INDEX($AU$62:$BA$66,,$AH455), 1 / ($BB$62:$BB$66*CU455 + (1-$BB$62:$BB$66)*CQ455), N($AQ$62:$AQ$66&gt;$AO455)),
SUMPRODUCT(INDEX($AR$47:$AT$56,,$AI455), INDEX($AU$47:$BA$56,,$AH455), 1 / ($BC$47:$BC$56*CU455 + (1-$BC$47:$BC$56)*CQ455), N($AQ$47:$AQ$56&gt;$AO455))
) / 1000</f>
        <v>0</v>
      </c>
      <c r="CW455" s="235" cm="1">
        <f t="array" ref="CW455">$BI455 * IF($AH455&lt;=2,
SUMPRODUCT(INDEX($AR$23:$AT$61,,$AI455), INDEX($AU$23:$BA$61,,$AH455), 1 / ($BB$23:$BB$61*CU455), N($AQ$23:$AQ$61&gt;$AO455)),
SUMPRODUCT(INDEX($AR$23:$AT$46,,$AI455), INDEX($AU$23:$BA$46,,$AH455), 1 / ($BC$23:$BC$46*CU455), N($AQ$23:$AQ$46&gt;$AO455))
) / 1000</f>
        <v>0</v>
      </c>
      <c r="CX455" s="230">
        <f t="shared" si="560"/>
        <v>0</v>
      </c>
      <c r="CY455" s="238"/>
    </row>
    <row r="456" spans="1:103" s="76" customFormat="1" ht="14.25" customHeight="1" x14ac:dyDescent="0.2">
      <c r="A456" s="231" t="b">
        <f t="shared" si="526"/>
        <v>0</v>
      </c>
      <c r="B456" s="245">
        <v>434</v>
      </c>
      <c r="C456" s="258"/>
      <c r="D456" s="258"/>
      <c r="E456" s="246"/>
      <c r="F456" s="247" t="str">
        <f>IF(ISBLANK(E456), "", VLOOKUP(E456, Z!$A$2:$C$4127, 3, FALSE))</f>
        <v/>
      </c>
      <c r="G456" s="248"/>
      <c r="H456" s="248"/>
      <c r="I456" s="249"/>
      <c r="J456" s="250"/>
      <c r="K456" s="259"/>
      <c r="L456" s="260"/>
      <c r="M456" s="252" t="str" cm="1">
        <f t="array" ref="M456">INDEX(Trad, 53, $A$20)</f>
        <v>Verschmutzt</v>
      </c>
      <c r="N456" s="253"/>
      <c r="O456" s="253"/>
      <c r="P456" s="254"/>
      <c r="Q456" s="251"/>
      <c r="R456" s="251"/>
      <c r="S456" s="264">
        <f t="shared" si="535"/>
        <v>0</v>
      </c>
      <c r="T456" s="252" t="str" cm="1">
        <f t="array" ref="T456">INDEX(Trad, 52, $A$20)</f>
        <v>Sauber</v>
      </c>
      <c r="U456" s="253"/>
      <c r="V456" s="253"/>
      <c r="W456" s="254"/>
      <c r="X456" s="251"/>
      <c r="Y456" s="251"/>
      <c r="Z456" s="264">
        <f t="shared" si="536"/>
        <v>0</v>
      </c>
      <c r="AA456" s="261"/>
      <c r="AB456" s="258"/>
      <c r="AC456" s="246"/>
      <c r="AD456" s="247" t="str">
        <f>IF(ISBLANK(AC456), "", VLOOKUP(AC456, Z!$A$2:$C$4127, 3, FALSE))</f>
        <v/>
      </c>
      <c r="AE456" s="262"/>
      <c r="AF456" s="263">
        <f t="shared" si="537"/>
        <v>0</v>
      </c>
      <c r="AG456" s="238"/>
      <c r="AH456" s="229">
        <f t="shared" si="561"/>
        <v>1</v>
      </c>
      <c r="AI456" s="229">
        <f t="shared" si="562"/>
        <v>1</v>
      </c>
      <c r="AJ456" s="229">
        <f t="shared" si="563"/>
        <v>0</v>
      </c>
      <c r="AK456" s="229">
        <v>0</v>
      </c>
      <c r="AL456" s="229">
        <v>0</v>
      </c>
      <c r="AM456" s="229">
        <v>1</v>
      </c>
      <c r="AN456" s="229">
        <v>0</v>
      </c>
      <c r="AO456" s="229">
        <f t="shared" si="538"/>
        <v>-100</v>
      </c>
      <c r="AP456" s="238"/>
      <c r="AQ456" s="255"/>
      <c r="AR456" s="255"/>
      <c r="AS456" s="256"/>
      <c r="AT456" s="256"/>
      <c r="AU456" s="256"/>
      <c r="AV456" s="256"/>
      <c r="AW456" s="256"/>
      <c r="AX456" s="256"/>
      <c r="AY456" s="256"/>
      <c r="AZ456" s="256"/>
      <c r="BA456" s="256"/>
      <c r="BB456" s="256"/>
      <c r="BC456" s="256"/>
      <c r="BD456" s="238"/>
      <c r="BE456" s="229" cm="1">
        <f t="array" ref="BE456">IF(ISBLANK(R456), INDEX(Use, $AH456, 4) - AM456*INDEX(Use, $AH456, 6), R456)</f>
        <v>5</v>
      </c>
      <c r="BF456" s="229">
        <f t="shared" si="539"/>
        <v>30</v>
      </c>
      <c r="BG456" s="229">
        <f t="shared" si="527"/>
        <v>13</v>
      </c>
      <c r="BH456" s="229">
        <f t="shared" si="528"/>
        <v>0</v>
      </c>
      <c r="BI456" s="234" cm="1">
        <f t="array" ref="BI456">K456/IF($L456&gt;0, INDEX($AU$23:$BA$77, $L456+20, $AH456), 1)</f>
        <v>0</v>
      </c>
      <c r="BJ456" s="230">
        <f t="shared" si="540"/>
        <v>0</v>
      </c>
      <c r="BK456" s="229">
        <v>35</v>
      </c>
      <c r="BL456" s="230">
        <f t="shared" si="541"/>
        <v>48</v>
      </c>
      <c r="BM456" s="235">
        <f t="shared" si="542"/>
        <v>2.9108720930232557</v>
      </c>
      <c r="BN456" s="235" cm="1">
        <f t="array" ref="BN456">$BI456 * SUMPRODUCT(INDEX($AR$77:$AT$82,,$AI456),INDEX($AU$77:$BA$82,,$AH456), N($AQ$77:$AQ$82&gt;$AO456)) / BM456 / 1000</f>
        <v>0</v>
      </c>
      <c r="BO456" s="232">
        <f t="shared" si="529"/>
        <v>30</v>
      </c>
      <c r="BP456" s="230">
        <f t="shared" si="543"/>
        <v>43</v>
      </c>
      <c r="BQ456" s="235">
        <f t="shared" si="544"/>
        <v>3.2938815789473681</v>
      </c>
      <c r="BR456" s="235" cm="1">
        <f t="array" ref="BR456">$BI456 * IF($AH456&lt;=2,
SUMPRODUCT(INDEX($AR$72:$AT$76,,$AI456), INDEX($AU$72:$BA$76,,$AH456), 1 / ($BB$72:$BB$76*BQ456 + (1-$BB$72:$BB$76)*BM456), N($AQ$72:$AQ$76&gt;$AO456)),
SUMPRODUCT(INDEX($AR$67:$AT$76,,$AI456), INDEX($AU$67:$BA$76,,$AH456), 1 / ($BC$67:$BC$76*BQ456 + (1-$BC$67:$BC$76)*BM456), N($AQ$67:$AQ$76&gt;$AO456))
) / 1000</f>
        <v>0</v>
      </c>
      <c r="BS456" s="232">
        <f t="shared" si="530"/>
        <v>25</v>
      </c>
      <c r="BT456" s="230">
        <f t="shared" si="545"/>
        <v>38</v>
      </c>
      <c r="BU456" s="235">
        <f t="shared" si="546"/>
        <v>3.792954545454545</v>
      </c>
      <c r="BV456" s="235" cm="1">
        <f t="array" ref="BV456">$BI456 * IF($AH456&lt;=2,
SUMPRODUCT(INDEX($AR$67:$AT$71,,$AI456), INDEX($AU$67:$BA$71,,$AH456), 1 / ($BB$67:$BB$71*BU456 + (1-$BB$67:$BB$71)*BQ456), N($AQ$67:$AQ$71&gt;$AO456)),
SUMPRODUCT(INDEX($AR$57:$AT$66,,$AI456), INDEX($AU$57:$BA$66,,$AH456), 1 / ($BC$57:$BC$66*BU456 + (1-$BC$57:$BC$66)*BQ456), N($AQ$57:$AQ$66&gt;$AO456))
) / 1000</f>
        <v>0</v>
      </c>
      <c r="BW456" s="232">
        <f t="shared" si="531"/>
        <v>20</v>
      </c>
      <c r="BX456" s="230">
        <f t="shared" si="547"/>
        <v>33</v>
      </c>
      <c r="BY456" s="235">
        <f t="shared" si="548"/>
        <v>4.4702678571428569</v>
      </c>
      <c r="BZ456" s="235" cm="1">
        <f t="array" ref="BZ456">$BI456 * IF($AH456&lt;=2,
SUMPRODUCT(INDEX($AR$62:$AT$66,,$AI456), INDEX($AU$62:$BA$66,,$AH456), 1 / ($BB$62:$BB$66*BY456 + (1-$BB$62:$BB$66)*BU456), N($AQ$62:$AQ$66&gt;$AO456)),
SUMPRODUCT(INDEX($AR$47:$AT$56,,$AI456), INDEX($AU$47:$BA$56,,$AH456), 1 / ($BC$47:$BC$56*BY456 + (1-$BC$47:$BC$56)*BU456), N($AQ$47:$AQ$56&gt;$AO456))
) / 1000</f>
        <v>0</v>
      </c>
      <c r="CA456" s="235" cm="1">
        <f t="array" ref="CA456">$BI456 * IF($AH456&lt;=2,
SUMPRODUCT(INDEX($AR$23:$AT$61,,$AI456), INDEX($AU$23:$BA$61,,$AH456), 1 / ($BB$23:$BB$61*BY456), N($AQ$23:$AQ$61&gt;$AO456)),
SUMPRODUCT(INDEX($AR$23:$AT$46,,$AI456), INDEX($AU$23:$BA$46,,$AH456), 1 / ($BC$23:$BC$46*BY456), N($AQ$23:$AQ$46&gt;$AO456))
) / 1000</f>
        <v>0</v>
      </c>
      <c r="CB456" s="230">
        <f t="shared" si="549"/>
        <v>0</v>
      </c>
      <c r="CC456" s="238"/>
      <c r="CD456" s="229" cm="1">
        <f t="array" ref="CD456">IF(ISBLANK(Y456), INDEX(Use, $AH456, 4) - AN456*INDEX(Use, $AH456, 6) - (Q456-X456), Y456)</f>
        <v>7</v>
      </c>
      <c r="CE456" s="229">
        <f t="shared" si="550"/>
        <v>32</v>
      </c>
      <c r="CF456" s="230">
        <f t="shared" si="551"/>
        <v>0</v>
      </c>
      <c r="CG456" s="229">
        <v>35</v>
      </c>
      <c r="CH456" s="230">
        <f t="shared" si="552"/>
        <v>48</v>
      </c>
      <c r="CI456" s="235">
        <f t="shared" si="553"/>
        <v>3.0748170731707316</v>
      </c>
      <c r="CJ456" s="235" cm="1">
        <f t="array" ref="CJ456">$BI456 * SUMPRODUCT(INDEX($AR$77:$AT$82,,$AI456),INDEX($AU$77:$BA$82,,$AH456), N($AQ$77:$AQ$82&gt;$AO456)) / CI456 / 1000</f>
        <v>0</v>
      </c>
      <c r="CK456" s="232">
        <f t="shared" si="532"/>
        <v>30</v>
      </c>
      <c r="CL456" s="230">
        <f t="shared" si="554"/>
        <v>43</v>
      </c>
      <c r="CM456" s="235">
        <f t="shared" si="555"/>
        <v>3.5018750000000001</v>
      </c>
      <c r="CN456" s="235" cm="1">
        <f t="array" ref="CN456">$BI456 * IF($AH456&lt;=2,
SUMPRODUCT(INDEX($AR$72:$AT$76,,$AI456), INDEX($AU$72:$BA$76,,$AH456), 1 / ($BB$72:$BB$76*CM456 + (1-$BB$72:$BB$76)*CI456), N($AQ$72:$AQ$76&gt;$AO456)),
SUMPRODUCT(INDEX($AR$67:$AT$76,,$AI456), INDEX($AU$67:$BA$76,,$AH456), 1 / ($BC$67:$BC$76*CM456 + (1-$BC$67:$BC$76)*CI456), N($AQ$67:$AQ$76&gt;$AO456))
) / 1000</f>
        <v>0</v>
      </c>
      <c r="CO456" s="232">
        <f t="shared" si="533"/>
        <v>25</v>
      </c>
      <c r="CP456" s="230">
        <f t="shared" si="556"/>
        <v>38</v>
      </c>
      <c r="CQ456" s="235">
        <f t="shared" si="557"/>
        <v>4.0666935483870965</v>
      </c>
      <c r="CR456" s="235" cm="1">
        <f t="array" ref="CR456">$BI456 * IF($AH456&lt;=2,
SUMPRODUCT(INDEX($AR$67:$AT$71,,$AI456), INDEX($AU$67:$BA$71,,$AH456), 1 / ($BB$67:$BB$71*CQ456 + (1-$BB$67:$BB$71)*CM456), N($AQ$67:$AQ$71&gt;$AO456)),
SUMPRODUCT(INDEX($AR$57:$AT$66,,$AI456), INDEX($AU$57:$BA$66,,$AH456), 1 / ($BC$57:$BC$66*CQ456 + (1-$BC$57:$BC$66)*CM456), N($AQ$57:$AQ$66&gt;$AO456))
) / 1000</f>
        <v>0</v>
      </c>
      <c r="CS456" s="232">
        <f t="shared" si="534"/>
        <v>20</v>
      </c>
      <c r="CT456" s="230">
        <f t="shared" si="558"/>
        <v>33</v>
      </c>
      <c r="CU456" s="235">
        <f t="shared" si="559"/>
        <v>4.8487499999999999</v>
      </c>
      <c r="CV456" s="235" cm="1">
        <f t="array" ref="CV456">$BI456 * IF($AH456&lt;=2,
SUMPRODUCT(INDEX($AR$62:$AT$66,,$AI456), INDEX($AU$62:$BA$66,,$AH456), 1 / ($BB$62:$BB$66*CU456 + (1-$BB$62:$BB$66)*CQ456), N($AQ$62:$AQ$66&gt;$AO456)),
SUMPRODUCT(INDEX($AR$47:$AT$56,,$AI456), INDEX($AU$47:$BA$56,,$AH456), 1 / ($BC$47:$BC$56*CU456 + (1-$BC$47:$BC$56)*CQ456), N($AQ$47:$AQ$56&gt;$AO456))
) / 1000</f>
        <v>0</v>
      </c>
      <c r="CW456" s="235" cm="1">
        <f t="array" ref="CW456">$BI456 * IF($AH456&lt;=2,
SUMPRODUCT(INDEX($AR$23:$AT$61,,$AI456), INDEX($AU$23:$BA$61,,$AH456), 1 / ($BB$23:$BB$61*CU456), N($AQ$23:$AQ$61&gt;$AO456)),
SUMPRODUCT(INDEX($AR$23:$AT$46,,$AI456), INDEX($AU$23:$BA$46,,$AH456), 1 / ($BC$23:$BC$46*CU456), N($AQ$23:$AQ$46&gt;$AO456))
) / 1000</f>
        <v>0</v>
      </c>
      <c r="CX456" s="230">
        <f t="shared" si="560"/>
        <v>0</v>
      </c>
      <c r="CY456" s="238"/>
    </row>
    <row r="457" spans="1:103" s="76" customFormat="1" ht="14.25" customHeight="1" x14ac:dyDescent="0.2">
      <c r="A457" s="231" t="b">
        <f t="shared" si="526"/>
        <v>0</v>
      </c>
      <c r="B457" s="245">
        <v>435</v>
      </c>
      <c r="C457" s="258"/>
      <c r="D457" s="258"/>
      <c r="E457" s="246"/>
      <c r="F457" s="247" t="str">
        <f>IF(ISBLANK(E457), "", VLOOKUP(E457, Z!$A$2:$C$4127, 3, FALSE))</f>
        <v/>
      </c>
      <c r="G457" s="248"/>
      <c r="H457" s="248"/>
      <c r="I457" s="249"/>
      <c r="J457" s="250"/>
      <c r="K457" s="259"/>
      <c r="L457" s="260"/>
      <c r="M457" s="252" t="str" cm="1">
        <f t="array" ref="M457">INDEX(Trad, 53, $A$20)</f>
        <v>Verschmutzt</v>
      </c>
      <c r="N457" s="253"/>
      <c r="O457" s="253"/>
      <c r="P457" s="254"/>
      <c r="Q457" s="251"/>
      <c r="R457" s="251"/>
      <c r="S457" s="264">
        <f t="shared" si="535"/>
        <v>0</v>
      </c>
      <c r="T457" s="252" t="str" cm="1">
        <f t="array" ref="T457">INDEX(Trad, 52, $A$20)</f>
        <v>Sauber</v>
      </c>
      <c r="U457" s="253"/>
      <c r="V457" s="253"/>
      <c r="W457" s="254"/>
      <c r="X457" s="251"/>
      <c r="Y457" s="251"/>
      <c r="Z457" s="264">
        <f t="shared" si="536"/>
        <v>0</v>
      </c>
      <c r="AA457" s="261"/>
      <c r="AB457" s="258"/>
      <c r="AC457" s="246"/>
      <c r="AD457" s="247" t="str">
        <f>IF(ISBLANK(AC457), "", VLOOKUP(AC457, Z!$A$2:$C$4127, 3, FALSE))</f>
        <v/>
      </c>
      <c r="AE457" s="262"/>
      <c r="AF457" s="263">
        <f t="shared" si="537"/>
        <v>0</v>
      </c>
      <c r="AG457" s="238"/>
      <c r="AH457" s="229">
        <f t="shared" si="561"/>
        <v>1</v>
      </c>
      <c r="AI457" s="229">
        <f t="shared" si="562"/>
        <v>1</v>
      </c>
      <c r="AJ457" s="229">
        <f t="shared" si="563"/>
        <v>0</v>
      </c>
      <c r="AK457" s="229">
        <v>0</v>
      </c>
      <c r="AL457" s="229">
        <v>0</v>
      </c>
      <c r="AM457" s="229">
        <v>1</v>
      </c>
      <c r="AN457" s="229">
        <v>0</v>
      </c>
      <c r="AO457" s="229">
        <f t="shared" si="538"/>
        <v>-100</v>
      </c>
      <c r="AP457" s="238"/>
      <c r="AQ457" s="255"/>
      <c r="AR457" s="255"/>
      <c r="AS457" s="256"/>
      <c r="AT457" s="256"/>
      <c r="AU457" s="256"/>
      <c r="AV457" s="256"/>
      <c r="AW457" s="256"/>
      <c r="AX457" s="256"/>
      <c r="AY457" s="256"/>
      <c r="AZ457" s="256"/>
      <c r="BA457" s="256"/>
      <c r="BB457" s="256"/>
      <c r="BC457" s="256"/>
      <c r="BD457" s="238"/>
      <c r="BE457" s="229" cm="1">
        <f t="array" ref="BE457">IF(ISBLANK(R457), INDEX(Use, $AH457, 4) - AM457*INDEX(Use, $AH457, 6), R457)</f>
        <v>5</v>
      </c>
      <c r="BF457" s="229">
        <f t="shared" si="539"/>
        <v>30</v>
      </c>
      <c r="BG457" s="229">
        <f t="shared" si="527"/>
        <v>13</v>
      </c>
      <c r="BH457" s="229">
        <f t="shared" si="528"/>
        <v>0</v>
      </c>
      <c r="BI457" s="234" cm="1">
        <f t="array" ref="BI457">K457/IF($L457&gt;0, INDEX($AU$23:$BA$77, $L457+20, $AH457), 1)</f>
        <v>0</v>
      </c>
      <c r="BJ457" s="230">
        <f t="shared" si="540"/>
        <v>0</v>
      </c>
      <c r="BK457" s="229">
        <v>35</v>
      </c>
      <c r="BL457" s="230">
        <f t="shared" si="541"/>
        <v>48</v>
      </c>
      <c r="BM457" s="235">
        <f t="shared" si="542"/>
        <v>2.9108720930232557</v>
      </c>
      <c r="BN457" s="235" cm="1">
        <f t="array" ref="BN457">$BI457 * SUMPRODUCT(INDEX($AR$77:$AT$82,,$AI457),INDEX($AU$77:$BA$82,,$AH457), N($AQ$77:$AQ$82&gt;$AO457)) / BM457 / 1000</f>
        <v>0</v>
      </c>
      <c r="BO457" s="232">
        <f t="shared" si="529"/>
        <v>30</v>
      </c>
      <c r="BP457" s="230">
        <f t="shared" si="543"/>
        <v>43</v>
      </c>
      <c r="BQ457" s="235">
        <f t="shared" si="544"/>
        <v>3.2938815789473681</v>
      </c>
      <c r="BR457" s="235" cm="1">
        <f t="array" ref="BR457">$BI457 * IF($AH457&lt;=2,
SUMPRODUCT(INDEX($AR$72:$AT$76,,$AI457), INDEX($AU$72:$BA$76,,$AH457), 1 / ($BB$72:$BB$76*BQ457 + (1-$BB$72:$BB$76)*BM457), N($AQ$72:$AQ$76&gt;$AO457)),
SUMPRODUCT(INDEX($AR$67:$AT$76,,$AI457), INDEX($AU$67:$BA$76,,$AH457), 1 / ($BC$67:$BC$76*BQ457 + (1-$BC$67:$BC$76)*BM457), N($AQ$67:$AQ$76&gt;$AO457))
) / 1000</f>
        <v>0</v>
      </c>
      <c r="BS457" s="232">
        <f t="shared" si="530"/>
        <v>25</v>
      </c>
      <c r="BT457" s="230">
        <f t="shared" si="545"/>
        <v>38</v>
      </c>
      <c r="BU457" s="235">
        <f t="shared" si="546"/>
        <v>3.792954545454545</v>
      </c>
      <c r="BV457" s="235" cm="1">
        <f t="array" ref="BV457">$BI457 * IF($AH457&lt;=2,
SUMPRODUCT(INDEX($AR$67:$AT$71,,$AI457), INDEX($AU$67:$BA$71,,$AH457), 1 / ($BB$67:$BB$71*BU457 + (1-$BB$67:$BB$71)*BQ457), N($AQ$67:$AQ$71&gt;$AO457)),
SUMPRODUCT(INDEX($AR$57:$AT$66,,$AI457), INDEX($AU$57:$BA$66,,$AH457), 1 / ($BC$57:$BC$66*BU457 + (1-$BC$57:$BC$66)*BQ457), N($AQ$57:$AQ$66&gt;$AO457))
) / 1000</f>
        <v>0</v>
      </c>
      <c r="BW457" s="232">
        <f t="shared" si="531"/>
        <v>20</v>
      </c>
      <c r="BX457" s="230">
        <f t="shared" si="547"/>
        <v>33</v>
      </c>
      <c r="BY457" s="235">
        <f t="shared" si="548"/>
        <v>4.4702678571428569</v>
      </c>
      <c r="BZ457" s="235" cm="1">
        <f t="array" ref="BZ457">$BI457 * IF($AH457&lt;=2,
SUMPRODUCT(INDEX($AR$62:$AT$66,,$AI457), INDEX($AU$62:$BA$66,,$AH457), 1 / ($BB$62:$BB$66*BY457 + (1-$BB$62:$BB$66)*BU457), N($AQ$62:$AQ$66&gt;$AO457)),
SUMPRODUCT(INDEX($AR$47:$AT$56,,$AI457), INDEX($AU$47:$BA$56,,$AH457), 1 / ($BC$47:$BC$56*BY457 + (1-$BC$47:$BC$56)*BU457), N($AQ$47:$AQ$56&gt;$AO457))
) / 1000</f>
        <v>0</v>
      </c>
      <c r="CA457" s="235" cm="1">
        <f t="array" ref="CA457">$BI457 * IF($AH457&lt;=2,
SUMPRODUCT(INDEX($AR$23:$AT$61,,$AI457), INDEX($AU$23:$BA$61,,$AH457), 1 / ($BB$23:$BB$61*BY457), N($AQ$23:$AQ$61&gt;$AO457)),
SUMPRODUCT(INDEX($AR$23:$AT$46,,$AI457), INDEX($AU$23:$BA$46,,$AH457), 1 / ($BC$23:$BC$46*BY457), N($AQ$23:$AQ$46&gt;$AO457))
) / 1000</f>
        <v>0</v>
      </c>
      <c r="CB457" s="230">
        <f t="shared" si="549"/>
        <v>0</v>
      </c>
      <c r="CC457" s="238"/>
      <c r="CD457" s="229" cm="1">
        <f t="array" ref="CD457">IF(ISBLANK(Y457), INDEX(Use, $AH457, 4) - AN457*INDEX(Use, $AH457, 6) - (Q457-X457), Y457)</f>
        <v>7</v>
      </c>
      <c r="CE457" s="229">
        <f t="shared" si="550"/>
        <v>32</v>
      </c>
      <c r="CF457" s="230">
        <f t="shared" si="551"/>
        <v>0</v>
      </c>
      <c r="CG457" s="229">
        <v>35</v>
      </c>
      <c r="CH457" s="230">
        <f t="shared" si="552"/>
        <v>48</v>
      </c>
      <c r="CI457" s="235">
        <f t="shared" si="553"/>
        <v>3.0748170731707316</v>
      </c>
      <c r="CJ457" s="235" cm="1">
        <f t="array" ref="CJ457">$BI457 * SUMPRODUCT(INDEX($AR$77:$AT$82,,$AI457),INDEX($AU$77:$BA$82,,$AH457), N($AQ$77:$AQ$82&gt;$AO457)) / CI457 / 1000</f>
        <v>0</v>
      </c>
      <c r="CK457" s="232">
        <f t="shared" si="532"/>
        <v>30</v>
      </c>
      <c r="CL457" s="230">
        <f t="shared" si="554"/>
        <v>43</v>
      </c>
      <c r="CM457" s="235">
        <f t="shared" si="555"/>
        <v>3.5018750000000001</v>
      </c>
      <c r="CN457" s="235" cm="1">
        <f t="array" ref="CN457">$BI457 * IF($AH457&lt;=2,
SUMPRODUCT(INDEX($AR$72:$AT$76,,$AI457), INDEX($AU$72:$BA$76,,$AH457), 1 / ($BB$72:$BB$76*CM457 + (1-$BB$72:$BB$76)*CI457), N($AQ$72:$AQ$76&gt;$AO457)),
SUMPRODUCT(INDEX($AR$67:$AT$76,,$AI457), INDEX($AU$67:$BA$76,,$AH457), 1 / ($BC$67:$BC$76*CM457 + (1-$BC$67:$BC$76)*CI457), N($AQ$67:$AQ$76&gt;$AO457))
) / 1000</f>
        <v>0</v>
      </c>
      <c r="CO457" s="232">
        <f t="shared" si="533"/>
        <v>25</v>
      </c>
      <c r="CP457" s="230">
        <f t="shared" si="556"/>
        <v>38</v>
      </c>
      <c r="CQ457" s="235">
        <f t="shared" si="557"/>
        <v>4.0666935483870965</v>
      </c>
      <c r="CR457" s="235" cm="1">
        <f t="array" ref="CR457">$BI457 * IF($AH457&lt;=2,
SUMPRODUCT(INDEX($AR$67:$AT$71,,$AI457), INDEX($AU$67:$BA$71,,$AH457), 1 / ($BB$67:$BB$71*CQ457 + (1-$BB$67:$BB$71)*CM457), N($AQ$67:$AQ$71&gt;$AO457)),
SUMPRODUCT(INDEX($AR$57:$AT$66,,$AI457), INDEX($AU$57:$BA$66,,$AH457), 1 / ($BC$57:$BC$66*CQ457 + (1-$BC$57:$BC$66)*CM457), N($AQ$57:$AQ$66&gt;$AO457))
) / 1000</f>
        <v>0</v>
      </c>
      <c r="CS457" s="232">
        <f t="shared" si="534"/>
        <v>20</v>
      </c>
      <c r="CT457" s="230">
        <f t="shared" si="558"/>
        <v>33</v>
      </c>
      <c r="CU457" s="235">
        <f t="shared" si="559"/>
        <v>4.8487499999999999</v>
      </c>
      <c r="CV457" s="235" cm="1">
        <f t="array" ref="CV457">$BI457 * IF($AH457&lt;=2,
SUMPRODUCT(INDEX($AR$62:$AT$66,,$AI457), INDEX($AU$62:$BA$66,,$AH457), 1 / ($BB$62:$BB$66*CU457 + (1-$BB$62:$BB$66)*CQ457), N($AQ$62:$AQ$66&gt;$AO457)),
SUMPRODUCT(INDEX($AR$47:$AT$56,,$AI457), INDEX($AU$47:$BA$56,,$AH457), 1 / ($BC$47:$BC$56*CU457 + (1-$BC$47:$BC$56)*CQ457), N($AQ$47:$AQ$56&gt;$AO457))
) / 1000</f>
        <v>0</v>
      </c>
      <c r="CW457" s="235" cm="1">
        <f t="array" ref="CW457">$BI457 * IF($AH457&lt;=2,
SUMPRODUCT(INDEX($AR$23:$AT$61,,$AI457), INDEX($AU$23:$BA$61,,$AH457), 1 / ($BB$23:$BB$61*CU457), N($AQ$23:$AQ$61&gt;$AO457)),
SUMPRODUCT(INDEX($AR$23:$AT$46,,$AI457), INDEX($AU$23:$BA$46,,$AH457), 1 / ($BC$23:$BC$46*CU457), N($AQ$23:$AQ$46&gt;$AO457))
) / 1000</f>
        <v>0</v>
      </c>
      <c r="CX457" s="230">
        <f t="shared" si="560"/>
        <v>0</v>
      </c>
      <c r="CY457" s="238"/>
    </row>
    <row r="458" spans="1:103" s="76" customFormat="1" ht="14.25" customHeight="1" x14ac:dyDescent="0.2">
      <c r="A458" s="231" t="b">
        <f t="shared" si="526"/>
        <v>0</v>
      </c>
      <c r="B458" s="245">
        <v>436</v>
      </c>
      <c r="C458" s="258"/>
      <c r="D458" s="258"/>
      <c r="E458" s="246"/>
      <c r="F458" s="247" t="str">
        <f>IF(ISBLANK(E458), "", VLOOKUP(E458, Z!$A$2:$C$4127, 3, FALSE))</f>
        <v/>
      </c>
      <c r="G458" s="248"/>
      <c r="H458" s="248"/>
      <c r="I458" s="249"/>
      <c r="J458" s="250"/>
      <c r="K458" s="259"/>
      <c r="L458" s="260"/>
      <c r="M458" s="252" t="str" cm="1">
        <f t="array" ref="M458">INDEX(Trad, 53, $A$20)</f>
        <v>Verschmutzt</v>
      </c>
      <c r="N458" s="253"/>
      <c r="O458" s="253"/>
      <c r="P458" s="254"/>
      <c r="Q458" s="251"/>
      <c r="R458" s="251"/>
      <c r="S458" s="264">
        <f t="shared" si="535"/>
        <v>0</v>
      </c>
      <c r="T458" s="252" t="str" cm="1">
        <f t="array" ref="T458">INDEX(Trad, 52, $A$20)</f>
        <v>Sauber</v>
      </c>
      <c r="U458" s="253"/>
      <c r="V458" s="253"/>
      <c r="W458" s="254"/>
      <c r="X458" s="251"/>
      <c r="Y458" s="251"/>
      <c r="Z458" s="264">
        <f t="shared" si="536"/>
        <v>0</v>
      </c>
      <c r="AA458" s="261"/>
      <c r="AB458" s="258"/>
      <c r="AC458" s="246"/>
      <c r="AD458" s="247" t="str">
        <f>IF(ISBLANK(AC458), "", VLOOKUP(AC458, Z!$A$2:$C$4127, 3, FALSE))</f>
        <v/>
      </c>
      <c r="AE458" s="262"/>
      <c r="AF458" s="263">
        <f t="shared" si="537"/>
        <v>0</v>
      </c>
      <c r="AG458" s="238"/>
      <c r="AH458" s="229">
        <f t="shared" si="561"/>
        <v>1</v>
      </c>
      <c r="AI458" s="229">
        <f t="shared" si="562"/>
        <v>1</v>
      </c>
      <c r="AJ458" s="229">
        <f t="shared" si="563"/>
        <v>0</v>
      </c>
      <c r="AK458" s="229">
        <v>0</v>
      </c>
      <c r="AL458" s="229">
        <v>0</v>
      </c>
      <c r="AM458" s="229">
        <v>1</v>
      </c>
      <c r="AN458" s="229">
        <v>0</v>
      </c>
      <c r="AO458" s="229">
        <f t="shared" si="538"/>
        <v>-100</v>
      </c>
      <c r="AP458" s="238"/>
      <c r="AQ458" s="255"/>
      <c r="AR458" s="255"/>
      <c r="AS458" s="256"/>
      <c r="AT458" s="256"/>
      <c r="AU458" s="256"/>
      <c r="AV458" s="256"/>
      <c r="AW458" s="256"/>
      <c r="AX458" s="256"/>
      <c r="AY458" s="256"/>
      <c r="AZ458" s="256"/>
      <c r="BA458" s="256"/>
      <c r="BB458" s="256"/>
      <c r="BC458" s="256"/>
      <c r="BD458" s="238"/>
      <c r="BE458" s="229" cm="1">
        <f t="array" ref="BE458">IF(ISBLANK(R458), INDEX(Use, $AH458, 4) - AM458*INDEX(Use, $AH458, 6), R458)</f>
        <v>5</v>
      </c>
      <c r="BF458" s="229">
        <f t="shared" si="539"/>
        <v>30</v>
      </c>
      <c r="BG458" s="229">
        <f t="shared" si="527"/>
        <v>13</v>
      </c>
      <c r="BH458" s="229">
        <f t="shared" si="528"/>
        <v>0</v>
      </c>
      <c r="BI458" s="234" cm="1">
        <f t="array" ref="BI458">K458/IF($L458&gt;0, INDEX($AU$23:$BA$77, $L458+20, $AH458), 1)</f>
        <v>0</v>
      </c>
      <c r="BJ458" s="230">
        <f t="shared" si="540"/>
        <v>0</v>
      </c>
      <c r="BK458" s="229">
        <v>35</v>
      </c>
      <c r="BL458" s="230">
        <f t="shared" si="541"/>
        <v>48</v>
      </c>
      <c r="BM458" s="235">
        <f t="shared" si="542"/>
        <v>2.9108720930232557</v>
      </c>
      <c r="BN458" s="235" cm="1">
        <f t="array" ref="BN458">$BI458 * SUMPRODUCT(INDEX($AR$77:$AT$82,,$AI458),INDEX($AU$77:$BA$82,,$AH458), N($AQ$77:$AQ$82&gt;$AO458)) / BM458 / 1000</f>
        <v>0</v>
      </c>
      <c r="BO458" s="232">
        <f t="shared" si="529"/>
        <v>30</v>
      </c>
      <c r="BP458" s="230">
        <f t="shared" si="543"/>
        <v>43</v>
      </c>
      <c r="BQ458" s="235">
        <f t="shared" si="544"/>
        <v>3.2938815789473681</v>
      </c>
      <c r="BR458" s="235" cm="1">
        <f t="array" ref="BR458">$BI458 * IF($AH458&lt;=2,
SUMPRODUCT(INDEX($AR$72:$AT$76,,$AI458), INDEX($AU$72:$BA$76,,$AH458), 1 / ($BB$72:$BB$76*BQ458 + (1-$BB$72:$BB$76)*BM458), N($AQ$72:$AQ$76&gt;$AO458)),
SUMPRODUCT(INDEX($AR$67:$AT$76,,$AI458), INDEX($AU$67:$BA$76,,$AH458), 1 / ($BC$67:$BC$76*BQ458 + (1-$BC$67:$BC$76)*BM458), N($AQ$67:$AQ$76&gt;$AO458))
) / 1000</f>
        <v>0</v>
      </c>
      <c r="BS458" s="232">
        <f t="shared" si="530"/>
        <v>25</v>
      </c>
      <c r="BT458" s="230">
        <f t="shared" si="545"/>
        <v>38</v>
      </c>
      <c r="BU458" s="235">
        <f t="shared" si="546"/>
        <v>3.792954545454545</v>
      </c>
      <c r="BV458" s="235" cm="1">
        <f t="array" ref="BV458">$BI458 * IF($AH458&lt;=2,
SUMPRODUCT(INDEX($AR$67:$AT$71,,$AI458), INDEX($AU$67:$BA$71,,$AH458), 1 / ($BB$67:$BB$71*BU458 + (1-$BB$67:$BB$71)*BQ458), N($AQ$67:$AQ$71&gt;$AO458)),
SUMPRODUCT(INDEX($AR$57:$AT$66,,$AI458), INDEX($AU$57:$BA$66,,$AH458), 1 / ($BC$57:$BC$66*BU458 + (1-$BC$57:$BC$66)*BQ458), N($AQ$57:$AQ$66&gt;$AO458))
) / 1000</f>
        <v>0</v>
      </c>
      <c r="BW458" s="232">
        <f t="shared" si="531"/>
        <v>20</v>
      </c>
      <c r="BX458" s="230">
        <f t="shared" si="547"/>
        <v>33</v>
      </c>
      <c r="BY458" s="235">
        <f t="shared" si="548"/>
        <v>4.4702678571428569</v>
      </c>
      <c r="BZ458" s="235" cm="1">
        <f t="array" ref="BZ458">$BI458 * IF($AH458&lt;=2,
SUMPRODUCT(INDEX($AR$62:$AT$66,,$AI458), INDEX($AU$62:$BA$66,,$AH458), 1 / ($BB$62:$BB$66*BY458 + (1-$BB$62:$BB$66)*BU458), N($AQ$62:$AQ$66&gt;$AO458)),
SUMPRODUCT(INDEX($AR$47:$AT$56,,$AI458), INDEX($AU$47:$BA$56,,$AH458), 1 / ($BC$47:$BC$56*BY458 + (1-$BC$47:$BC$56)*BU458), N($AQ$47:$AQ$56&gt;$AO458))
) / 1000</f>
        <v>0</v>
      </c>
      <c r="CA458" s="235" cm="1">
        <f t="array" ref="CA458">$BI458 * IF($AH458&lt;=2,
SUMPRODUCT(INDEX($AR$23:$AT$61,,$AI458), INDEX($AU$23:$BA$61,,$AH458), 1 / ($BB$23:$BB$61*BY458), N($AQ$23:$AQ$61&gt;$AO458)),
SUMPRODUCT(INDEX($AR$23:$AT$46,,$AI458), INDEX($AU$23:$BA$46,,$AH458), 1 / ($BC$23:$BC$46*BY458), N($AQ$23:$AQ$46&gt;$AO458))
) / 1000</f>
        <v>0</v>
      </c>
      <c r="CB458" s="230">
        <f t="shared" si="549"/>
        <v>0</v>
      </c>
      <c r="CC458" s="238"/>
      <c r="CD458" s="229" cm="1">
        <f t="array" ref="CD458">IF(ISBLANK(Y458), INDEX(Use, $AH458, 4) - AN458*INDEX(Use, $AH458, 6) - (Q458-X458), Y458)</f>
        <v>7</v>
      </c>
      <c r="CE458" s="229">
        <f t="shared" si="550"/>
        <v>32</v>
      </c>
      <c r="CF458" s="230">
        <f t="shared" si="551"/>
        <v>0</v>
      </c>
      <c r="CG458" s="229">
        <v>35</v>
      </c>
      <c r="CH458" s="230">
        <f t="shared" si="552"/>
        <v>48</v>
      </c>
      <c r="CI458" s="235">
        <f t="shared" si="553"/>
        <v>3.0748170731707316</v>
      </c>
      <c r="CJ458" s="235" cm="1">
        <f t="array" ref="CJ458">$BI458 * SUMPRODUCT(INDEX($AR$77:$AT$82,,$AI458),INDEX($AU$77:$BA$82,,$AH458), N($AQ$77:$AQ$82&gt;$AO458)) / CI458 / 1000</f>
        <v>0</v>
      </c>
      <c r="CK458" s="232">
        <f t="shared" si="532"/>
        <v>30</v>
      </c>
      <c r="CL458" s="230">
        <f t="shared" si="554"/>
        <v>43</v>
      </c>
      <c r="CM458" s="235">
        <f t="shared" si="555"/>
        <v>3.5018750000000001</v>
      </c>
      <c r="CN458" s="235" cm="1">
        <f t="array" ref="CN458">$BI458 * IF($AH458&lt;=2,
SUMPRODUCT(INDEX($AR$72:$AT$76,,$AI458), INDEX($AU$72:$BA$76,,$AH458), 1 / ($BB$72:$BB$76*CM458 + (1-$BB$72:$BB$76)*CI458), N($AQ$72:$AQ$76&gt;$AO458)),
SUMPRODUCT(INDEX($AR$67:$AT$76,,$AI458), INDEX($AU$67:$BA$76,,$AH458), 1 / ($BC$67:$BC$76*CM458 + (1-$BC$67:$BC$76)*CI458), N($AQ$67:$AQ$76&gt;$AO458))
) / 1000</f>
        <v>0</v>
      </c>
      <c r="CO458" s="232">
        <f t="shared" si="533"/>
        <v>25</v>
      </c>
      <c r="CP458" s="230">
        <f t="shared" si="556"/>
        <v>38</v>
      </c>
      <c r="CQ458" s="235">
        <f t="shared" si="557"/>
        <v>4.0666935483870965</v>
      </c>
      <c r="CR458" s="235" cm="1">
        <f t="array" ref="CR458">$BI458 * IF($AH458&lt;=2,
SUMPRODUCT(INDEX($AR$67:$AT$71,,$AI458), INDEX($AU$67:$BA$71,,$AH458), 1 / ($BB$67:$BB$71*CQ458 + (1-$BB$67:$BB$71)*CM458), N($AQ$67:$AQ$71&gt;$AO458)),
SUMPRODUCT(INDEX($AR$57:$AT$66,,$AI458), INDEX($AU$57:$BA$66,,$AH458), 1 / ($BC$57:$BC$66*CQ458 + (1-$BC$57:$BC$66)*CM458), N($AQ$57:$AQ$66&gt;$AO458))
) / 1000</f>
        <v>0</v>
      </c>
      <c r="CS458" s="232">
        <f t="shared" si="534"/>
        <v>20</v>
      </c>
      <c r="CT458" s="230">
        <f t="shared" si="558"/>
        <v>33</v>
      </c>
      <c r="CU458" s="235">
        <f t="shared" si="559"/>
        <v>4.8487499999999999</v>
      </c>
      <c r="CV458" s="235" cm="1">
        <f t="array" ref="CV458">$BI458 * IF($AH458&lt;=2,
SUMPRODUCT(INDEX($AR$62:$AT$66,,$AI458), INDEX($AU$62:$BA$66,,$AH458), 1 / ($BB$62:$BB$66*CU458 + (1-$BB$62:$BB$66)*CQ458), N($AQ$62:$AQ$66&gt;$AO458)),
SUMPRODUCT(INDEX($AR$47:$AT$56,,$AI458), INDEX($AU$47:$BA$56,,$AH458), 1 / ($BC$47:$BC$56*CU458 + (1-$BC$47:$BC$56)*CQ458), N($AQ$47:$AQ$56&gt;$AO458))
) / 1000</f>
        <v>0</v>
      </c>
      <c r="CW458" s="235" cm="1">
        <f t="array" ref="CW458">$BI458 * IF($AH458&lt;=2,
SUMPRODUCT(INDEX($AR$23:$AT$61,,$AI458), INDEX($AU$23:$BA$61,,$AH458), 1 / ($BB$23:$BB$61*CU458), N($AQ$23:$AQ$61&gt;$AO458)),
SUMPRODUCT(INDEX($AR$23:$AT$46,,$AI458), INDEX($AU$23:$BA$46,,$AH458), 1 / ($BC$23:$BC$46*CU458), N($AQ$23:$AQ$46&gt;$AO458))
) / 1000</f>
        <v>0</v>
      </c>
      <c r="CX458" s="230">
        <f t="shared" si="560"/>
        <v>0</v>
      </c>
      <c r="CY458" s="238"/>
    </row>
    <row r="459" spans="1:103" s="76" customFormat="1" ht="14.25" customHeight="1" x14ac:dyDescent="0.2">
      <c r="A459" s="231" t="b">
        <f t="shared" si="526"/>
        <v>0</v>
      </c>
      <c r="B459" s="245">
        <v>437</v>
      </c>
      <c r="C459" s="258"/>
      <c r="D459" s="258"/>
      <c r="E459" s="246"/>
      <c r="F459" s="247" t="str">
        <f>IF(ISBLANK(E459), "", VLOOKUP(E459, Z!$A$2:$C$4127, 3, FALSE))</f>
        <v/>
      </c>
      <c r="G459" s="248"/>
      <c r="H459" s="248"/>
      <c r="I459" s="249"/>
      <c r="J459" s="250"/>
      <c r="K459" s="259"/>
      <c r="L459" s="260"/>
      <c r="M459" s="252" t="str" cm="1">
        <f t="array" ref="M459">INDEX(Trad, 53, $A$20)</f>
        <v>Verschmutzt</v>
      </c>
      <c r="N459" s="253"/>
      <c r="O459" s="253"/>
      <c r="P459" s="254"/>
      <c r="Q459" s="251"/>
      <c r="R459" s="251"/>
      <c r="S459" s="264">
        <f t="shared" si="535"/>
        <v>0</v>
      </c>
      <c r="T459" s="252" t="str" cm="1">
        <f t="array" ref="T459">INDEX(Trad, 52, $A$20)</f>
        <v>Sauber</v>
      </c>
      <c r="U459" s="253"/>
      <c r="V459" s="253"/>
      <c r="W459" s="254"/>
      <c r="X459" s="251"/>
      <c r="Y459" s="251"/>
      <c r="Z459" s="264">
        <f t="shared" si="536"/>
        <v>0</v>
      </c>
      <c r="AA459" s="261"/>
      <c r="AB459" s="258"/>
      <c r="AC459" s="246"/>
      <c r="AD459" s="247" t="str">
        <f>IF(ISBLANK(AC459), "", VLOOKUP(AC459, Z!$A$2:$C$4127, 3, FALSE))</f>
        <v/>
      </c>
      <c r="AE459" s="262"/>
      <c r="AF459" s="263">
        <f t="shared" si="537"/>
        <v>0</v>
      </c>
      <c r="AG459" s="238"/>
      <c r="AH459" s="229">
        <f t="shared" si="561"/>
        <v>1</v>
      </c>
      <c r="AI459" s="229">
        <f t="shared" si="562"/>
        <v>1</v>
      </c>
      <c r="AJ459" s="229">
        <f t="shared" si="563"/>
        <v>0</v>
      </c>
      <c r="AK459" s="229">
        <v>0</v>
      </c>
      <c r="AL459" s="229">
        <v>0</v>
      </c>
      <c r="AM459" s="229">
        <v>1</v>
      </c>
      <c r="AN459" s="229">
        <v>0</v>
      </c>
      <c r="AO459" s="229">
        <f t="shared" si="538"/>
        <v>-100</v>
      </c>
      <c r="AP459" s="238"/>
      <c r="AQ459" s="255"/>
      <c r="AR459" s="255"/>
      <c r="AS459" s="256"/>
      <c r="AT459" s="256"/>
      <c r="AU459" s="256"/>
      <c r="AV459" s="256"/>
      <c r="AW459" s="256"/>
      <c r="AX459" s="256"/>
      <c r="AY459" s="256"/>
      <c r="AZ459" s="256"/>
      <c r="BA459" s="256"/>
      <c r="BB459" s="256"/>
      <c r="BC459" s="256"/>
      <c r="BD459" s="238"/>
      <c r="BE459" s="229" cm="1">
        <f t="array" ref="BE459">IF(ISBLANK(R459), INDEX(Use, $AH459, 4) - AM459*INDEX(Use, $AH459, 6), R459)</f>
        <v>5</v>
      </c>
      <c r="BF459" s="229">
        <f t="shared" si="539"/>
        <v>30</v>
      </c>
      <c r="BG459" s="229">
        <f t="shared" si="527"/>
        <v>13</v>
      </c>
      <c r="BH459" s="229">
        <f t="shared" si="528"/>
        <v>0</v>
      </c>
      <c r="BI459" s="234" cm="1">
        <f t="array" ref="BI459">K459/IF($L459&gt;0, INDEX($AU$23:$BA$77, $L459+20, $AH459), 1)</f>
        <v>0</v>
      </c>
      <c r="BJ459" s="230">
        <f t="shared" si="540"/>
        <v>0</v>
      </c>
      <c r="BK459" s="229">
        <v>35</v>
      </c>
      <c r="BL459" s="230">
        <f t="shared" si="541"/>
        <v>48</v>
      </c>
      <c r="BM459" s="235">
        <f t="shared" si="542"/>
        <v>2.9108720930232557</v>
      </c>
      <c r="BN459" s="235" cm="1">
        <f t="array" ref="BN459">$BI459 * SUMPRODUCT(INDEX($AR$77:$AT$82,,$AI459),INDEX($AU$77:$BA$82,,$AH459), N($AQ$77:$AQ$82&gt;$AO459)) / BM459 / 1000</f>
        <v>0</v>
      </c>
      <c r="BO459" s="232">
        <f t="shared" si="529"/>
        <v>30</v>
      </c>
      <c r="BP459" s="230">
        <f t="shared" si="543"/>
        <v>43</v>
      </c>
      <c r="BQ459" s="235">
        <f t="shared" si="544"/>
        <v>3.2938815789473681</v>
      </c>
      <c r="BR459" s="235" cm="1">
        <f t="array" ref="BR459">$BI459 * IF($AH459&lt;=2,
SUMPRODUCT(INDEX($AR$72:$AT$76,,$AI459), INDEX($AU$72:$BA$76,,$AH459), 1 / ($BB$72:$BB$76*BQ459 + (1-$BB$72:$BB$76)*BM459), N($AQ$72:$AQ$76&gt;$AO459)),
SUMPRODUCT(INDEX($AR$67:$AT$76,,$AI459), INDEX($AU$67:$BA$76,,$AH459), 1 / ($BC$67:$BC$76*BQ459 + (1-$BC$67:$BC$76)*BM459), N($AQ$67:$AQ$76&gt;$AO459))
) / 1000</f>
        <v>0</v>
      </c>
      <c r="BS459" s="232">
        <f t="shared" si="530"/>
        <v>25</v>
      </c>
      <c r="BT459" s="230">
        <f t="shared" si="545"/>
        <v>38</v>
      </c>
      <c r="BU459" s="235">
        <f t="shared" si="546"/>
        <v>3.792954545454545</v>
      </c>
      <c r="BV459" s="235" cm="1">
        <f t="array" ref="BV459">$BI459 * IF($AH459&lt;=2,
SUMPRODUCT(INDEX($AR$67:$AT$71,,$AI459), INDEX($AU$67:$BA$71,,$AH459), 1 / ($BB$67:$BB$71*BU459 + (1-$BB$67:$BB$71)*BQ459), N($AQ$67:$AQ$71&gt;$AO459)),
SUMPRODUCT(INDEX($AR$57:$AT$66,,$AI459), INDEX($AU$57:$BA$66,,$AH459), 1 / ($BC$57:$BC$66*BU459 + (1-$BC$57:$BC$66)*BQ459), N($AQ$57:$AQ$66&gt;$AO459))
) / 1000</f>
        <v>0</v>
      </c>
      <c r="BW459" s="232">
        <f t="shared" si="531"/>
        <v>20</v>
      </c>
      <c r="BX459" s="230">
        <f t="shared" si="547"/>
        <v>33</v>
      </c>
      <c r="BY459" s="235">
        <f t="shared" si="548"/>
        <v>4.4702678571428569</v>
      </c>
      <c r="BZ459" s="235" cm="1">
        <f t="array" ref="BZ459">$BI459 * IF($AH459&lt;=2,
SUMPRODUCT(INDEX($AR$62:$AT$66,,$AI459), INDEX($AU$62:$BA$66,,$AH459), 1 / ($BB$62:$BB$66*BY459 + (1-$BB$62:$BB$66)*BU459), N($AQ$62:$AQ$66&gt;$AO459)),
SUMPRODUCT(INDEX($AR$47:$AT$56,,$AI459), INDEX($AU$47:$BA$56,,$AH459), 1 / ($BC$47:$BC$56*BY459 + (1-$BC$47:$BC$56)*BU459), N($AQ$47:$AQ$56&gt;$AO459))
) / 1000</f>
        <v>0</v>
      </c>
      <c r="CA459" s="235" cm="1">
        <f t="array" ref="CA459">$BI459 * IF($AH459&lt;=2,
SUMPRODUCT(INDEX($AR$23:$AT$61,,$AI459), INDEX($AU$23:$BA$61,,$AH459), 1 / ($BB$23:$BB$61*BY459), N($AQ$23:$AQ$61&gt;$AO459)),
SUMPRODUCT(INDEX($AR$23:$AT$46,,$AI459), INDEX($AU$23:$BA$46,,$AH459), 1 / ($BC$23:$BC$46*BY459), N($AQ$23:$AQ$46&gt;$AO459))
) / 1000</f>
        <v>0</v>
      </c>
      <c r="CB459" s="230">
        <f t="shared" si="549"/>
        <v>0</v>
      </c>
      <c r="CC459" s="238"/>
      <c r="CD459" s="229" cm="1">
        <f t="array" ref="CD459">IF(ISBLANK(Y459), INDEX(Use, $AH459, 4) - AN459*INDEX(Use, $AH459, 6) - (Q459-X459), Y459)</f>
        <v>7</v>
      </c>
      <c r="CE459" s="229">
        <f t="shared" si="550"/>
        <v>32</v>
      </c>
      <c r="CF459" s="230">
        <f t="shared" si="551"/>
        <v>0</v>
      </c>
      <c r="CG459" s="229">
        <v>35</v>
      </c>
      <c r="CH459" s="230">
        <f t="shared" si="552"/>
        <v>48</v>
      </c>
      <c r="CI459" s="235">
        <f t="shared" si="553"/>
        <v>3.0748170731707316</v>
      </c>
      <c r="CJ459" s="235" cm="1">
        <f t="array" ref="CJ459">$BI459 * SUMPRODUCT(INDEX($AR$77:$AT$82,,$AI459),INDEX($AU$77:$BA$82,,$AH459), N($AQ$77:$AQ$82&gt;$AO459)) / CI459 / 1000</f>
        <v>0</v>
      </c>
      <c r="CK459" s="232">
        <f t="shared" si="532"/>
        <v>30</v>
      </c>
      <c r="CL459" s="230">
        <f t="shared" si="554"/>
        <v>43</v>
      </c>
      <c r="CM459" s="235">
        <f t="shared" si="555"/>
        <v>3.5018750000000001</v>
      </c>
      <c r="CN459" s="235" cm="1">
        <f t="array" ref="CN459">$BI459 * IF($AH459&lt;=2,
SUMPRODUCT(INDEX($AR$72:$AT$76,,$AI459), INDEX($AU$72:$BA$76,,$AH459), 1 / ($BB$72:$BB$76*CM459 + (1-$BB$72:$BB$76)*CI459), N($AQ$72:$AQ$76&gt;$AO459)),
SUMPRODUCT(INDEX($AR$67:$AT$76,,$AI459), INDEX($AU$67:$BA$76,,$AH459), 1 / ($BC$67:$BC$76*CM459 + (1-$BC$67:$BC$76)*CI459), N($AQ$67:$AQ$76&gt;$AO459))
) / 1000</f>
        <v>0</v>
      </c>
      <c r="CO459" s="232">
        <f t="shared" si="533"/>
        <v>25</v>
      </c>
      <c r="CP459" s="230">
        <f t="shared" si="556"/>
        <v>38</v>
      </c>
      <c r="CQ459" s="235">
        <f t="shared" si="557"/>
        <v>4.0666935483870965</v>
      </c>
      <c r="CR459" s="235" cm="1">
        <f t="array" ref="CR459">$BI459 * IF($AH459&lt;=2,
SUMPRODUCT(INDEX($AR$67:$AT$71,,$AI459), INDEX($AU$67:$BA$71,,$AH459), 1 / ($BB$67:$BB$71*CQ459 + (1-$BB$67:$BB$71)*CM459), N($AQ$67:$AQ$71&gt;$AO459)),
SUMPRODUCT(INDEX($AR$57:$AT$66,,$AI459), INDEX($AU$57:$BA$66,,$AH459), 1 / ($BC$57:$BC$66*CQ459 + (1-$BC$57:$BC$66)*CM459), N($AQ$57:$AQ$66&gt;$AO459))
) / 1000</f>
        <v>0</v>
      </c>
      <c r="CS459" s="232">
        <f t="shared" si="534"/>
        <v>20</v>
      </c>
      <c r="CT459" s="230">
        <f t="shared" si="558"/>
        <v>33</v>
      </c>
      <c r="CU459" s="235">
        <f t="shared" si="559"/>
        <v>4.8487499999999999</v>
      </c>
      <c r="CV459" s="235" cm="1">
        <f t="array" ref="CV459">$BI459 * IF($AH459&lt;=2,
SUMPRODUCT(INDEX($AR$62:$AT$66,,$AI459), INDEX($AU$62:$BA$66,,$AH459), 1 / ($BB$62:$BB$66*CU459 + (1-$BB$62:$BB$66)*CQ459), N($AQ$62:$AQ$66&gt;$AO459)),
SUMPRODUCT(INDEX($AR$47:$AT$56,,$AI459), INDEX($AU$47:$BA$56,,$AH459), 1 / ($BC$47:$BC$56*CU459 + (1-$BC$47:$BC$56)*CQ459), N($AQ$47:$AQ$56&gt;$AO459))
) / 1000</f>
        <v>0</v>
      </c>
      <c r="CW459" s="235" cm="1">
        <f t="array" ref="CW459">$BI459 * IF($AH459&lt;=2,
SUMPRODUCT(INDEX($AR$23:$AT$61,,$AI459), INDEX($AU$23:$BA$61,,$AH459), 1 / ($BB$23:$BB$61*CU459), N($AQ$23:$AQ$61&gt;$AO459)),
SUMPRODUCT(INDEX($AR$23:$AT$46,,$AI459), INDEX($AU$23:$BA$46,,$AH459), 1 / ($BC$23:$BC$46*CU459), N($AQ$23:$AQ$46&gt;$AO459))
) / 1000</f>
        <v>0</v>
      </c>
      <c r="CX459" s="230">
        <f t="shared" si="560"/>
        <v>0</v>
      </c>
      <c r="CY459" s="238"/>
    </row>
    <row r="460" spans="1:103" s="76" customFormat="1" ht="14.25" customHeight="1" x14ac:dyDescent="0.2">
      <c r="A460" s="231" t="b">
        <f t="shared" si="526"/>
        <v>0</v>
      </c>
      <c r="B460" s="245">
        <v>438</v>
      </c>
      <c r="C460" s="258"/>
      <c r="D460" s="258"/>
      <c r="E460" s="246"/>
      <c r="F460" s="247" t="str">
        <f>IF(ISBLANK(E460), "", VLOOKUP(E460, Z!$A$2:$C$4127, 3, FALSE))</f>
        <v/>
      </c>
      <c r="G460" s="248"/>
      <c r="H460" s="248"/>
      <c r="I460" s="249"/>
      <c r="J460" s="250"/>
      <c r="K460" s="259"/>
      <c r="L460" s="260"/>
      <c r="M460" s="252" t="str" cm="1">
        <f t="array" ref="M460">INDEX(Trad, 53, $A$20)</f>
        <v>Verschmutzt</v>
      </c>
      <c r="N460" s="253"/>
      <c r="O460" s="253"/>
      <c r="P460" s="254"/>
      <c r="Q460" s="251"/>
      <c r="R460" s="251"/>
      <c r="S460" s="264">
        <f t="shared" si="535"/>
        <v>0</v>
      </c>
      <c r="T460" s="252" t="str" cm="1">
        <f t="array" ref="T460">INDEX(Trad, 52, $A$20)</f>
        <v>Sauber</v>
      </c>
      <c r="U460" s="253"/>
      <c r="V460" s="253"/>
      <c r="W460" s="254"/>
      <c r="X460" s="251"/>
      <c r="Y460" s="251"/>
      <c r="Z460" s="264">
        <f t="shared" si="536"/>
        <v>0</v>
      </c>
      <c r="AA460" s="261"/>
      <c r="AB460" s="258"/>
      <c r="AC460" s="246"/>
      <c r="AD460" s="247" t="str">
        <f>IF(ISBLANK(AC460), "", VLOOKUP(AC460, Z!$A$2:$C$4127, 3, FALSE))</f>
        <v/>
      </c>
      <c r="AE460" s="262"/>
      <c r="AF460" s="263">
        <f t="shared" si="537"/>
        <v>0</v>
      </c>
      <c r="AG460" s="238"/>
      <c r="AH460" s="229">
        <f t="shared" si="561"/>
        <v>1</v>
      </c>
      <c r="AI460" s="229">
        <f t="shared" si="562"/>
        <v>1</v>
      </c>
      <c r="AJ460" s="229">
        <f t="shared" si="563"/>
        <v>0</v>
      </c>
      <c r="AK460" s="229">
        <v>0</v>
      </c>
      <c r="AL460" s="229">
        <v>0</v>
      </c>
      <c r="AM460" s="229">
        <v>1</v>
      </c>
      <c r="AN460" s="229">
        <v>0</v>
      </c>
      <c r="AO460" s="229">
        <f t="shared" si="538"/>
        <v>-100</v>
      </c>
      <c r="AP460" s="238"/>
      <c r="AQ460" s="255"/>
      <c r="AR460" s="255"/>
      <c r="AS460" s="256"/>
      <c r="AT460" s="256"/>
      <c r="AU460" s="256"/>
      <c r="AV460" s="256"/>
      <c r="AW460" s="256"/>
      <c r="AX460" s="256"/>
      <c r="AY460" s="256"/>
      <c r="AZ460" s="256"/>
      <c r="BA460" s="256"/>
      <c r="BB460" s="256"/>
      <c r="BC460" s="256"/>
      <c r="BD460" s="238"/>
      <c r="BE460" s="229" cm="1">
        <f t="array" ref="BE460">IF(ISBLANK(R460), INDEX(Use, $AH460, 4) - AM460*INDEX(Use, $AH460, 6), R460)</f>
        <v>5</v>
      </c>
      <c r="BF460" s="229">
        <f t="shared" si="539"/>
        <v>30</v>
      </c>
      <c r="BG460" s="229">
        <f t="shared" si="527"/>
        <v>13</v>
      </c>
      <c r="BH460" s="229">
        <f t="shared" si="528"/>
        <v>0</v>
      </c>
      <c r="BI460" s="234" cm="1">
        <f t="array" ref="BI460">K460/IF($L460&gt;0, INDEX($AU$23:$BA$77, $L460+20, $AH460), 1)</f>
        <v>0</v>
      </c>
      <c r="BJ460" s="230">
        <f t="shared" si="540"/>
        <v>0</v>
      </c>
      <c r="BK460" s="229">
        <v>35</v>
      </c>
      <c r="BL460" s="230">
        <f t="shared" si="541"/>
        <v>48</v>
      </c>
      <c r="BM460" s="235">
        <f t="shared" si="542"/>
        <v>2.9108720930232557</v>
      </c>
      <c r="BN460" s="235" cm="1">
        <f t="array" ref="BN460">$BI460 * SUMPRODUCT(INDEX($AR$77:$AT$82,,$AI460),INDEX($AU$77:$BA$82,,$AH460), N($AQ$77:$AQ$82&gt;$AO460)) / BM460 / 1000</f>
        <v>0</v>
      </c>
      <c r="BO460" s="232">
        <f t="shared" si="529"/>
        <v>30</v>
      </c>
      <c r="BP460" s="230">
        <f t="shared" si="543"/>
        <v>43</v>
      </c>
      <c r="BQ460" s="235">
        <f t="shared" si="544"/>
        <v>3.2938815789473681</v>
      </c>
      <c r="BR460" s="235" cm="1">
        <f t="array" ref="BR460">$BI460 * IF($AH460&lt;=2,
SUMPRODUCT(INDEX($AR$72:$AT$76,,$AI460), INDEX($AU$72:$BA$76,,$AH460), 1 / ($BB$72:$BB$76*BQ460 + (1-$BB$72:$BB$76)*BM460), N($AQ$72:$AQ$76&gt;$AO460)),
SUMPRODUCT(INDEX($AR$67:$AT$76,,$AI460), INDEX($AU$67:$BA$76,,$AH460), 1 / ($BC$67:$BC$76*BQ460 + (1-$BC$67:$BC$76)*BM460), N($AQ$67:$AQ$76&gt;$AO460))
) / 1000</f>
        <v>0</v>
      </c>
      <c r="BS460" s="232">
        <f t="shared" si="530"/>
        <v>25</v>
      </c>
      <c r="BT460" s="230">
        <f t="shared" si="545"/>
        <v>38</v>
      </c>
      <c r="BU460" s="235">
        <f t="shared" si="546"/>
        <v>3.792954545454545</v>
      </c>
      <c r="BV460" s="235" cm="1">
        <f t="array" ref="BV460">$BI460 * IF($AH460&lt;=2,
SUMPRODUCT(INDEX($AR$67:$AT$71,,$AI460), INDEX($AU$67:$BA$71,,$AH460), 1 / ($BB$67:$BB$71*BU460 + (1-$BB$67:$BB$71)*BQ460), N($AQ$67:$AQ$71&gt;$AO460)),
SUMPRODUCT(INDEX($AR$57:$AT$66,,$AI460), INDEX($AU$57:$BA$66,,$AH460), 1 / ($BC$57:$BC$66*BU460 + (1-$BC$57:$BC$66)*BQ460), N($AQ$57:$AQ$66&gt;$AO460))
) / 1000</f>
        <v>0</v>
      </c>
      <c r="BW460" s="232">
        <f t="shared" si="531"/>
        <v>20</v>
      </c>
      <c r="BX460" s="230">
        <f t="shared" si="547"/>
        <v>33</v>
      </c>
      <c r="BY460" s="235">
        <f t="shared" si="548"/>
        <v>4.4702678571428569</v>
      </c>
      <c r="BZ460" s="235" cm="1">
        <f t="array" ref="BZ460">$BI460 * IF($AH460&lt;=2,
SUMPRODUCT(INDEX($AR$62:$AT$66,,$AI460), INDEX($AU$62:$BA$66,,$AH460), 1 / ($BB$62:$BB$66*BY460 + (1-$BB$62:$BB$66)*BU460), N($AQ$62:$AQ$66&gt;$AO460)),
SUMPRODUCT(INDEX($AR$47:$AT$56,,$AI460), INDEX($AU$47:$BA$56,,$AH460), 1 / ($BC$47:$BC$56*BY460 + (1-$BC$47:$BC$56)*BU460), N($AQ$47:$AQ$56&gt;$AO460))
) / 1000</f>
        <v>0</v>
      </c>
      <c r="CA460" s="235" cm="1">
        <f t="array" ref="CA460">$BI460 * IF($AH460&lt;=2,
SUMPRODUCT(INDEX($AR$23:$AT$61,,$AI460), INDEX($AU$23:$BA$61,,$AH460), 1 / ($BB$23:$BB$61*BY460), N($AQ$23:$AQ$61&gt;$AO460)),
SUMPRODUCT(INDEX($AR$23:$AT$46,,$AI460), INDEX($AU$23:$BA$46,,$AH460), 1 / ($BC$23:$BC$46*BY460), N($AQ$23:$AQ$46&gt;$AO460))
) / 1000</f>
        <v>0</v>
      </c>
      <c r="CB460" s="230">
        <f t="shared" si="549"/>
        <v>0</v>
      </c>
      <c r="CC460" s="238"/>
      <c r="CD460" s="229" cm="1">
        <f t="array" ref="CD460">IF(ISBLANK(Y460), INDEX(Use, $AH460, 4) - AN460*INDEX(Use, $AH460, 6) - (Q460-X460), Y460)</f>
        <v>7</v>
      </c>
      <c r="CE460" s="229">
        <f t="shared" si="550"/>
        <v>32</v>
      </c>
      <c r="CF460" s="230">
        <f t="shared" si="551"/>
        <v>0</v>
      </c>
      <c r="CG460" s="229">
        <v>35</v>
      </c>
      <c r="CH460" s="230">
        <f t="shared" si="552"/>
        <v>48</v>
      </c>
      <c r="CI460" s="235">
        <f t="shared" si="553"/>
        <v>3.0748170731707316</v>
      </c>
      <c r="CJ460" s="235" cm="1">
        <f t="array" ref="CJ460">$BI460 * SUMPRODUCT(INDEX($AR$77:$AT$82,,$AI460),INDEX($AU$77:$BA$82,,$AH460), N($AQ$77:$AQ$82&gt;$AO460)) / CI460 / 1000</f>
        <v>0</v>
      </c>
      <c r="CK460" s="232">
        <f t="shared" si="532"/>
        <v>30</v>
      </c>
      <c r="CL460" s="230">
        <f t="shared" si="554"/>
        <v>43</v>
      </c>
      <c r="CM460" s="235">
        <f t="shared" si="555"/>
        <v>3.5018750000000001</v>
      </c>
      <c r="CN460" s="235" cm="1">
        <f t="array" ref="CN460">$BI460 * IF($AH460&lt;=2,
SUMPRODUCT(INDEX($AR$72:$AT$76,,$AI460), INDEX($AU$72:$BA$76,,$AH460), 1 / ($BB$72:$BB$76*CM460 + (1-$BB$72:$BB$76)*CI460), N($AQ$72:$AQ$76&gt;$AO460)),
SUMPRODUCT(INDEX($AR$67:$AT$76,,$AI460), INDEX($AU$67:$BA$76,,$AH460), 1 / ($BC$67:$BC$76*CM460 + (1-$BC$67:$BC$76)*CI460), N($AQ$67:$AQ$76&gt;$AO460))
) / 1000</f>
        <v>0</v>
      </c>
      <c r="CO460" s="232">
        <f t="shared" si="533"/>
        <v>25</v>
      </c>
      <c r="CP460" s="230">
        <f t="shared" si="556"/>
        <v>38</v>
      </c>
      <c r="CQ460" s="235">
        <f t="shared" si="557"/>
        <v>4.0666935483870965</v>
      </c>
      <c r="CR460" s="235" cm="1">
        <f t="array" ref="CR460">$BI460 * IF($AH460&lt;=2,
SUMPRODUCT(INDEX($AR$67:$AT$71,,$AI460), INDEX($AU$67:$BA$71,,$AH460), 1 / ($BB$67:$BB$71*CQ460 + (1-$BB$67:$BB$71)*CM460), N($AQ$67:$AQ$71&gt;$AO460)),
SUMPRODUCT(INDEX($AR$57:$AT$66,,$AI460), INDEX($AU$57:$BA$66,,$AH460), 1 / ($BC$57:$BC$66*CQ460 + (1-$BC$57:$BC$66)*CM460), N($AQ$57:$AQ$66&gt;$AO460))
) / 1000</f>
        <v>0</v>
      </c>
      <c r="CS460" s="232">
        <f t="shared" si="534"/>
        <v>20</v>
      </c>
      <c r="CT460" s="230">
        <f t="shared" si="558"/>
        <v>33</v>
      </c>
      <c r="CU460" s="235">
        <f t="shared" si="559"/>
        <v>4.8487499999999999</v>
      </c>
      <c r="CV460" s="235" cm="1">
        <f t="array" ref="CV460">$BI460 * IF($AH460&lt;=2,
SUMPRODUCT(INDEX($AR$62:$AT$66,,$AI460), INDEX($AU$62:$BA$66,,$AH460), 1 / ($BB$62:$BB$66*CU460 + (1-$BB$62:$BB$66)*CQ460), N($AQ$62:$AQ$66&gt;$AO460)),
SUMPRODUCT(INDEX($AR$47:$AT$56,,$AI460), INDEX($AU$47:$BA$56,,$AH460), 1 / ($BC$47:$BC$56*CU460 + (1-$BC$47:$BC$56)*CQ460), N($AQ$47:$AQ$56&gt;$AO460))
) / 1000</f>
        <v>0</v>
      </c>
      <c r="CW460" s="235" cm="1">
        <f t="array" ref="CW460">$BI460 * IF($AH460&lt;=2,
SUMPRODUCT(INDEX($AR$23:$AT$61,,$AI460), INDEX($AU$23:$BA$61,,$AH460), 1 / ($BB$23:$BB$61*CU460), N($AQ$23:$AQ$61&gt;$AO460)),
SUMPRODUCT(INDEX($AR$23:$AT$46,,$AI460), INDEX($AU$23:$BA$46,,$AH460), 1 / ($BC$23:$BC$46*CU460), N($AQ$23:$AQ$46&gt;$AO460))
) / 1000</f>
        <v>0</v>
      </c>
      <c r="CX460" s="230">
        <f t="shared" si="560"/>
        <v>0</v>
      </c>
      <c r="CY460" s="238"/>
    </row>
    <row r="461" spans="1:103" s="76" customFormat="1" ht="14.25" customHeight="1" x14ac:dyDescent="0.2">
      <c r="A461" s="231" t="b">
        <f t="shared" si="526"/>
        <v>0</v>
      </c>
      <c r="B461" s="245">
        <v>439</v>
      </c>
      <c r="C461" s="258"/>
      <c r="D461" s="258"/>
      <c r="E461" s="246"/>
      <c r="F461" s="247" t="str">
        <f>IF(ISBLANK(E461), "", VLOOKUP(E461, Z!$A$2:$C$4127, 3, FALSE))</f>
        <v/>
      </c>
      <c r="G461" s="248"/>
      <c r="H461" s="248"/>
      <c r="I461" s="249"/>
      <c r="J461" s="250"/>
      <c r="K461" s="259"/>
      <c r="L461" s="260"/>
      <c r="M461" s="252" t="str" cm="1">
        <f t="array" ref="M461">INDEX(Trad, 53, $A$20)</f>
        <v>Verschmutzt</v>
      </c>
      <c r="N461" s="253"/>
      <c r="O461" s="253"/>
      <c r="P461" s="254"/>
      <c r="Q461" s="251"/>
      <c r="R461" s="251"/>
      <c r="S461" s="264">
        <f t="shared" si="535"/>
        <v>0</v>
      </c>
      <c r="T461" s="252" t="str" cm="1">
        <f t="array" ref="T461">INDEX(Trad, 52, $A$20)</f>
        <v>Sauber</v>
      </c>
      <c r="U461" s="253"/>
      <c r="V461" s="253"/>
      <c r="W461" s="254"/>
      <c r="X461" s="251"/>
      <c r="Y461" s="251"/>
      <c r="Z461" s="264">
        <f t="shared" si="536"/>
        <v>0</v>
      </c>
      <c r="AA461" s="261"/>
      <c r="AB461" s="258"/>
      <c r="AC461" s="246"/>
      <c r="AD461" s="247" t="str">
        <f>IF(ISBLANK(AC461), "", VLOOKUP(AC461, Z!$A$2:$C$4127, 3, FALSE))</f>
        <v/>
      </c>
      <c r="AE461" s="262"/>
      <c r="AF461" s="263">
        <f t="shared" si="537"/>
        <v>0</v>
      </c>
      <c r="AG461" s="238"/>
      <c r="AH461" s="229">
        <f t="shared" si="561"/>
        <v>1</v>
      </c>
      <c r="AI461" s="229">
        <f t="shared" si="562"/>
        <v>1</v>
      </c>
      <c r="AJ461" s="229">
        <f t="shared" si="563"/>
        <v>0</v>
      </c>
      <c r="AK461" s="229">
        <v>0</v>
      </c>
      <c r="AL461" s="229">
        <v>0</v>
      </c>
      <c r="AM461" s="229">
        <v>1</v>
      </c>
      <c r="AN461" s="229">
        <v>0</v>
      </c>
      <c r="AO461" s="229">
        <f t="shared" si="538"/>
        <v>-100</v>
      </c>
      <c r="AP461" s="238"/>
      <c r="AQ461" s="255"/>
      <c r="AR461" s="255"/>
      <c r="AS461" s="256"/>
      <c r="AT461" s="256"/>
      <c r="AU461" s="256"/>
      <c r="AV461" s="256"/>
      <c r="AW461" s="256"/>
      <c r="AX461" s="256"/>
      <c r="AY461" s="256"/>
      <c r="AZ461" s="256"/>
      <c r="BA461" s="256"/>
      <c r="BB461" s="256"/>
      <c r="BC461" s="256"/>
      <c r="BD461" s="238"/>
      <c r="BE461" s="229" cm="1">
        <f t="array" ref="BE461">IF(ISBLANK(R461), INDEX(Use, $AH461, 4) - AM461*INDEX(Use, $AH461, 6), R461)</f>
        <v>5</v>
      </c>
      <c r="BF461" s="229">
        <f t="shared" si="539"/>
        <v>30</v>
      </c>
      <c r="BG461" s="229">
        <f t="shared" si="527"/>
        <v>13</v>
      </c>
      <c r="BH461" s="229">
        <f t="shared" si="528"/>
        <v>0</v>
      </c>
      <c r="BI461" s="234" cm="1">
        <f t="array" ref="BI461">K461/IF($L461&gt;0, INDEX($AU$23:$BA$77, $L461+20, $AH461), 1)</f>
        <v>0</v>
      </c>
      <c r="BJ461" s="230">
        <f t="shared" si="540"/>
        <v>0</v>
      </c>
      <c r="BK461" s="229">
        <v>35</v>
      </c>
      <c r="BL461" s="230">
        <f t="shared" si="541"/>
        <v>48</v>
      </c>
      <c r="BM461" s="235">
        <f t="shared" si="542"/>
        <v>2.9108720930232557</v>
      </c>
      <c r="BN461" s="235" cm="1">
        <f t="array" ref="BN461">$BI461 * SUMPRODUCT(INDEX($AR$77:$AT$82,,$AI461),INDEX($AU$77:$BA$82,,$AH461), N($AQ$77:$AQ$82&gt;$AO461)) / BM461 / 1000</f>
        <v>0</v>
      </c>
      <c r="BO461" s="232">
        <f t="shared" si="529"/>
        <v>30</v>
      </c>
      <c r="BP461" s="230">
        <f t="shared" si="543"/>
        <v>43</v>
      </c>
      <c r="BQ461" s="235">
        <f t="shared" si="544"/>
        <v>3.2938815789473681</v>
      </c>
      <c r="BR461" s="235" cm="1">
        <f t="array" ref="BR461">$BI461 * IF($AH461&lt;=2,
SUMPRODUCT(INDEX($AR$72:$AT$76,,$AI461), INDEX($AU$72:$BA$76,,$AH461), 1 / ($BB$72:$BB$76*BQ461 + (1-$BB$72:$BB$76)*BM461), N($AQ$72:$AQ$76&gt;$AO461)),
SUMPRODUCT(INDEX($AR$67:$AT$76,,$AI461), INDEX($AU$67:$BA$76,,$AH461), 1 / ($BC$67:$BC$76*BQ461 + (1-$BC$67:$BC$76)*BM461), N($AQ$67:$AQ$76&gt;$AO461))
) / 1000</f>
        <v>0</v>
      </c>
      <c r="BS461" s="232">
        <f t="shared" si="530"/>
        <v>25</v>
      </c>
      <c r="BT461" s="230">
        <f t="shared" si="545"/>
        <v>38</v>
      </c>
      <c r="BU461" s="235">
        <f t="shared" si="546"/>
        <v>3.792954545454545</v>
      </c>
      <c r="BV461" s="235" cm="1">
        <f t="array" ref="BV461">$BI461 * IF($AH461&lt;=2,
SUMPRODUCT(INDEX($AR$67:$AT$71,,$AI461), INDEX($AU$67:$BA$71,,$AH461), 1 / ($BB$67:$BB$71*BU461 + (1-$BB$67:$BB$71)*BQ461), N($AQ$67:$AQ$71&gt;$AO461)),
SUMPRODUCT(INDEX($AR$57:$AT$66,,$AI461), INDEX($AU$57:$BA$66,,$AH461), 1 / ($BC$57:$BC$66*BU461 + (1-$BC$57:$BC$66)*BQ461), N($AQ$57:$AQ$66&gt;$AO461))
) / 1000</f>
        <v>0</v>
      </c>
      <c r="BW461" s="232">
        <f t="shared" si="531"/>
        <v>20</v>
      </c>
      <c r="BX461" s="230">
        <f t="shared" si="547"/>
        <v>33</v>
      </c>
      <c r="BY461" s="235">
        <f t="shared" si="548"/>
        <v>4.4702678571428569</v>
      </c>
      <c r="BZ461" s="235" cm="1">
        <f t="array" ref="BZ461">$BI461 * IF($AH461&lt;=2,
SUMPRODUCT(INDEX($AR$62:$AT$66,,$AI461), INDEX($AU$62:$BA$66,,$AH461), 1 / ($BB$62:$BB$66*BY461 + (1-$BB$62:$BB$66)*BU461), N($AQ$62:$AQ$66&gt;$AO461)),
SUMPRODUCT(INDEX($AR$47:$AT$56,,$AI461), INDEX($AU$47:$BA$56,,$AH461), 1 / ($BC$47:$BC$56*BY461 + (1-$BC$47:$BC$56)*BU461), N($AQ$47:$AQ$56&gt;$AO461))
) / 1000</f>
        <v>0</v>
      </c>
      <c r="CA461" s="235" cm="1">
        <f t="array" ref="CA461">$BI461 * IF($AH461&lt;=2,
SUMPRODUCT(INDEX($AR$23:$AT$61,,$AI461), INDEX($AU$23:$BA$61,,$AH461), 1 / ($BB$23:$BB$61*BY461), N($AQ$23:$AQ$61&gt;$AO461)),
SUMPRODUCT(INDEX($AR$23:$AT$46,,$AI461), INDEX($AU$23:$BA$46,,$AH461), 1 / ($BC$23:$BC$46*BY461), N($AQ$23:$AQ$46&gt;$AO461))
) / 1000</f>
        <v>0</v>
      </c>
      <c r="CB461" s="230">
        <f t="shared" si="549"/>
        <v>0</v>
      </c>
      <c r="CC461" s="238"/>
      <c r="CD461" s="229" cm="1">
        <f t="array" ref="CD461">IF(ISBLANK(Y461), INDEX(Use, $AH461, 4) - AN461*INDEX(Use, $AH461, 6) - (Q461-X461), Y461)</f>
        <v>7</v>
      </c>
      <c r="CE461" s="229">
        <f t="shared" si="550"/>
        <v>32</v>
      </c>
      <c r="CF461" s="230">
        <f t="shared" si="551"/>
        <v>0</v>
      </c>
      <c r="CG461" s="229">
        <v>35</v>
      </c>
      <c r="CH461" s="230">
        <f t="shared" si="552"/>
        <v>48</v>
      </c>
      <c r="CI461" s="235">
        <f t="shared" si="553"/>
        <v>3.0748170731707316</v>
      </c>
      <c r="CJ461" s="235" cm="1">
        <f t="array" ref="CJ461">$BI461 * SUMPRODUCT(INDEX($AR$77:$AT$82,,$AI461),INDEX($AU$77:$BA$82,,$AH461), N($AQ$77:$AQ$82&gt;$AO461)) / CI461 / 1000</f>
        <v>0</v>
      </c>
      <c r="CK461" s="232">
        <f t="shared" si="532"/>
        <v>30</v>
      </c>
      <c r="CL461" s="230">
        <f t="shared" si="554"/>
        <v>43</v>
      </c>
      <c r="CM461" s="235">
        <f t="shared" si="555"/>
        <v>3.5018750000000001</v>
      </c>
      <c r="CN461" s="235" cm="1">
        <f t="array" ref="CN461">$BI461 * IF($AH461&lt;=2,
SUMPRODUCT(INDEX($AR$72:$AT$76,,$AI461), INDEX($AU$72:$BA$76,,$AH461), 1 / ($BB$72:$BB$76*CM461 + (1-$BB$72:$BB$76)*CI461), N($AQ$72:$AQ$76&gt;$AO461)),
SUMPRODUCT(INDEX($AR$67:$AT$76,,$AI461), INDEX($AU$67:$BA$76,,$AH461), 1 / ($BC$67:$BC$76*CM461 + (1-$BC$67:$BC$76)*CI461), N($AQ$67:$AQ$76&gt;$AO461))
) / 1000</f>
        <v>0</v>
      </c>
      <c r="CO461" s="232">
        <f t="shared" si="533"/>
        <v>25</v>
      </c>
      <c r="CP461" s="230">
        <f t="shared" si="556"/>
        <v>38</v>
      </c>
      <c r="CQ461" s="235">
        <f t="shared" si="557"/>
        <v>4.0666935483870965</v>
      </c>
      <c r="CR461" s="235" cm="1">
        <f t="array" ref="CR461">$BI461 * IF($AH461&lt;=2,
SUMPRODUCT(INDEX($AR$67:$AT$71,,$AI461), INDEX($AU$67:$BA$71,,$AH461), 1 / ($BB$67:$BB$71*CQ461 + (1-$BB$67:$BB$71)*CM461), N($AQ$67:$AQ$71&gt;$AO461)),
SUMPRODUCT(INDEX($AR$57:$AT$66,,$AI461), INDEX($AU$57:$BA$66,,$AH461), 1 / ($BC$57:$BC$66*CQ461 + (1-$BC$57:$BC$66)*CM461), N($AQ$57:$AQ$66&gt;$AO461))
) / 1000</f>
        <v>0</v>
      </c>
      <c r="CS461" s="232">
        <f t="shared" si="534"/>
        <v>20</v>
      </c>
      <c r="CT461" s="230">
        <f t="shared" si="558"/>
        <v>33</v>
      </c>
      <c r="CU461" s="235">
        <f t="shared" si="559"/>
        <v>4.8487499999999999</v>
      </c>
      <c r="CV461" s="235" cm="1">
        <f t="array" ref="CV461">$BI461 * IF($AH461&lt;=2,
SUMPRODUCT(INDEX($AR$62:$AT$66,,$AI461), INDEX($AU$62:$BA$66,,$AH461), 1 / ($BB$62:$BB$66*CU461 + (1-$BB$62:$BB$66)*CQ461), N($AQ$62:$AQ$66&gt;$AO461)),
SUMPRODUCT(INDEX($AR$47:$AT$56,,$AI461), INDEX($AU$47:$BA$56,,$AH461), 1 / ($BC$47:$BC$56*CU461 + (1-$BC$47:$BC$56)*CQ461), N($AQ$47:$AQ$56&gt;$AO461))
) / 1000</f>
        <v>0</v>
      </c>
      <c r="CW461" s="235" cm="1">
        <f t="array" ref="CW461">$BI461 * IF($AH461&lt;=2,
SUMPRODUCT(INDEX($AR$23:$AT$61,,$AI461), INDEX($AU$23:$BA$61,,$AH461), 1 / ($BB$23:$BB$61*CU461), N($AQ$23:$AQ$61&gt;$AO461)),
SUMPRODUCT(INDEX($AR$23:$AT$46,,$AI461), INDEX($AU$23:$BA$46,,$AH461), 1 / ($BC$23:$BC$46*CU461), N($AQ$23:$AQ$46&gt;$AO461))
) / 1000</f>
        <v>0</v>
      </c>
      <c r="CX461" s="230">
        <f t="shared" si="560"/>
        <v>0</v>
      </c>
      <c r="CY461" s="238"/>
    </row>
    <row r="462" spans="1:103" s="76" customFormat="1" ht="14.25" customHeight="1" x14ac:dyDescent="0.2">
      <c r="A462" s="231" t="b">
        <f t="shared" si="526"/>
        <v>0</v>
      </c>
      <c r="B462" s="245">
        <v>440</v>
      </c>
      <c r="C462" s="258"/>
      <c r="D462" s="258"/>
      <c r="E462" s="246"/>
      <c r="F462" s="247" t="str">
        <f>IF(ISBLANK(E462), "", VLOOKUP(E462, Z!$A$2:$C$4127, 3, FALSE))</f>
        <v/>
      </c>
      <c r="G462" s="248"/>
      <c r="H462" s="248"/>
      <c r="I462" s="249"/>
      <c r="J462" s="250"/>
      <c r="K462" s="259"/>
      <c r="L462" s="260"/>
      <c r="M462" s="252" t="str" cm="1">
        <f t="array" ref="M462">INDEX(Trad, 53, $A$20)</f>
        <v>Verschmutzt</v>
      </c>
      <c r="N462" s="253"/>
      <c r="O462" s="253"/>
      <c r="P462" s="254"/>
      <c r="Q462" s="251"/>
      <c r="R462" s="251"/>
      <c r="S462" s="264">
        <f t="shared" si="535"/>
        <v>0</v>
      </c>
      <c r="T462" s="252" t="str" cm="1">
        <f t="array" ref="T462">INDEX(Trad, 52, $A$20)</f>
        <v>Sauber</v>
      </c>
      <c r="U462" s="253"/>
      <c r="V462" s="253"/>
      <c r="W462" s="254"/>
      <c r="X462" s="251"/>
      <c r="Y462" s="251"/>
      <c r="Z462" s="264">
        <f t="shared" si="536"/>
        <v>0</v>
      </c>
      <c r="AA462" s="261"/>
      <c r="AB462" s="258"/>
      <c r="AC462" s="246"/>
      <c r="AD462" s="247" t="str">
        <f>IF(ISBLANK(AC462), "", VLOOKUP(AC462, Z!$A$2:$C$4127, 3, FALSE))</f>
        <v/>
      </c>
      <c r="AE462" s="262"/>
      <c r="AF462" s="263">
        <f t="shared" si="537"/>
        <v>0</v>
      </c>
      <c r="AG462" s="238"/>
      <c r="AH462" s="229">
        <f t="shared" si="561"/>
        <v>1</v>
      </c>
      <c r="AI462" s="229">
        <f t="shared" si="562"/>
        <v>1</v>
      </c>
      <c r="AJ462" s="229">
        <f t="shared" si="563"/>
        <v>0</v>
      </c>
      <c r="AK462" s="229">
        <v>0</v>
      </c>
      <c r="AL462" s="229">
        <v>0</v>
      </c>
      <c r="AM462" s="229">
        <v>1</v>
      </c>
      <c r="AN462" s="229">
        <v>0</v>
      </c>
      <c r="AO462" s="229">
        <f t="shared" si="538"/>
        <v>-100</v>
      </c>
      <c r="AP462" s="238"/>
      <c r="AQ462" s="255"/>
      <c r="AR462" s="255"/>
      <c r="AS462" s="256"/>
      <c r="AT462" s="256"/>
      <c r="AU462" s="256"/>
      <c r="AV462" s="256"/>
      <c r="AW462" s="256"/>
      <c r="AX462" s="256"/>
      <c r="AY462" s="256"/>
      <c r="AZ462" s="256"/>
      <c r="BA462" s="256"/>
      <c r="BB462" s="256"/>
      <c r="BC462" s="256"/>
      <c r="BD462" s="238"/>
      <c r="BE462" s="229" cm="1">
        <f t="array" ref="BE462">IF(ISBLANK(R462), INDEX(Use, $AH462, 4) - AM462*INDEX(Use, $AH462, 6), R462)</f>
        <v>5</v>
      </c>
      <c r="BF462" s="229">
        <f t="shared" si="539"/>
        <v>30</v>
      </c>
      <c r="BG462" s="229">
        <f t="shared" si="527"/>
        <v>13</v>
      </c>
      <c r="BH462" s="229">
        <f t="shared" si="528"/>
        <v>0</v>
      </c>
      <c r="BI462" s="234" cm="1">
        <f t="array" ref="BI462">K462/IF($L462&gt;0, INDEX($AU$23:$BA$77, $L462+20, $AH462), 1)</f>
        <v>0</v>
      </c>
      <c r="BJ462" s="230">
        <f t="shared" si="540"/>
        <v>0</v>
      </c>
      <c r="BK462" s="229">
        <v>35</v>
      </c>
      <c r="BL462" s="230">
        <f t="shared" si="541"/>
        <v>48</v>
      </c>
      <c r="BM462" s="235">
        <f t="shared" si="542"/>
        <v>2.9108720930232557</v>
      </c>
      <c r="BN462" s="235" cm="1">
        <f t="array" ref="BN462">$BI462 * SUMPRODUCT(INDEX($AR$77:$AT$82,,$AI462),INDEX($AU$77:$BA$82,,$AH462), N($AQ$77:$AQ$82&gt;$AO462)) / BM462 / 1000</f>
        <v>0</v>
      </c>
      <c r="BO462" s="232">
        <f t="shared" si="529"/>
        <v>30</v>
      </c>
      <c r="BP462" s="230">
        <f t="shared" si="543"/>
        <v>43</v>
      </c>
      <c r="BQ462" s="235">
        <f t="shared" si="544"/>
        <v>3.2938815789473681</v>
      </c>
      <c r="BR462" s="235" cm="1">
        <f t="array" ref="BR462">$BI462 * IF($AH462&lt;=2,
SUMPRODUCT(INDEX($AR$72:$AT$76,,$AI462), INDEX($AU$72:$BA$76,,$AH462), 1 / ($BB$72:$BB$76*BQ462 + (1-$BB$72:$BB$76)*BM462), N($AQ$72:$AQ$76&gt;$AO462)),
SUMPRODUCT(INDEX($AR$67:$AT$76,,$AI462), INDEX($AU$67:$BA$76,,$AH462), 1 / ($BC$67:$BC$76*BQ462 + (1-$BC$67:$BC$76)*BM462), N($AQ$67:$AQ$76&gt;$AO462))
) / 1000</f>
        <v>0</v>
      </c>
      <c r="BS462" s="232">
        <f t="shared" si="530"/>
        <v>25</v>
      </c>
      <c r="BT462" s="230">
        <f t="shared" si="545"/>
        <v>38</v>
      </c>
      <c r="BU462" s="235">
        <f t="shared" si="546"/>
        <v>3.792954545454545</v>
      </c>
      <c r="BV462" s="235" cm="1">
        <f t="array" ref="BV462">$BI462 * IF($AH462&lt;=2,
SUMPRODUCT(INDEX($AR$67:$AT$71,,$AI462), INDEX($AU$67:$BA$71,,$AH462), 1 / ($BB$67:$BB$71*BU462 + (1-$BB$67:$BB$71)*BQ462), N($AQ$67:$AQ$71&gt;$AO462)),
SUMPRODUCT(INDEX($AR$57:$AT$66,,$AI462), INDEX($AU$57:$BA$66,,$AH462), 1 / ($BC$57:$BC$66*BU462 + (1-$BC$57:$BC$66)*BQ462), N($AQ$57:$AQ$66&gt;$AO462))
) / 1000</f>
        <v>0</v>
      </c>
      <c r="BW462" s="232">
        <f t="shared" si="531"/>
        <v>20</v>
      </c>
      <c r="BX462" s="230">
        <f t="shared" si="547"/>
        <v>33</v>
      </c>
      <c r="BY462" s="235">
        <f t="shared" si="548"/>
        <v>4.4702678571428569</v>
      </c>
      <c r="BZ462" s="235" cm="1">
        <f t="array" ref="BZ462">$BI462 * IF($AH462&lt;=2,
SUMPRODUCT(INDEX($AR$62:$AT$66,,$AI462), INDEX($AU$62:$BA$66,,$AH462), 1 / ($BB$62:$BB$66*BY462 + (1-$BB$62:$BB$66)*BU462), N($AQ$62:$AQ$66&gt;$AO462)),
SUMPRODUCT(INDEX($AR$47:$AT$56,,$AI462), INDEX($AU$47:$BA$56,,$AH462), 1 / ($BC$47:$BC$56*BY462 + (1-$BC$47:$BC$56)*BU462), N($AQ$47:$AQ$56&gt;$AO462))
) / 1000</f>
        <v>0</v>
      </c>
      <c r="CA462" s="235" cm="1">
        <f t="array" ref="CA462">$BI462 * IF($AH462&lt;=2,
SUMPRODUCT(INDEX($AR$23:$AT$61,,$AI462), INDEX($AU$23:$BA$61,,$AH462), 1 / ($BB$23:$BB$61*BY462), N($AQ$23:$AQ$61&gt;$AO462)),
SUMPRODUCT(INDEX($AR$23:$AT$46,,$AI462), INDEX($AU$23:$BA$46,,$AH462), 1 / ($BC$23:$BC$46*BY462), N($AQ$23:$AQ$46&gt;$AO462))
) / 1000</f>
        <v>0</v>
      </c>
      <c r="CB462" s="230">
        <f t="shared" si="549"/>
        <v>0</v>
      </c>
      <c r="CC462" s="238"/>
      <c r="CD462" s="229" cm="1">
        <f t="array" ref="CD462">IF(ISBLANK(Y462), INDEX(Use, $AH462, 4) - AN462*INDEX(Use, $AH462, 6) - (Q462-X462), Y462)</f>
        <v>7</v>
      </c>
      <c r="CE462" s="229">
        <f t="shared" si="550"/>
        <v>32</v>
      </c>
      <c r="CF462" s="230">
        <f t="shared" si="551"/>
        <v>0</v>
      </c>
      <c r="CG462" s="229">
        <v>35</v>
      </c>
      <c r="CH462" s="230">
        <f t="shared" si="552"/>
        <v>48</v>
      </c>
      <c r="CI462" s="235">
        <f t="shared" si="553"/>
        <v>3.0748170731707316</v>
      </c>
      <c r="CJ462" s="235" cm="1">
        <f t="array" ref="CJ462">$BI462 * SUMPRODUCT(INDEX($AR$77:$AT$82,,$AI462),INDEX($AU$77:$BA$82,,$AH462), N($AQ$77:$AQ$82&gt;$AO462)) / CI462 / 1000</f>
        <v>0</v>
      </c>
      <c r="CK462" s="232">
        <f t="shared" si="532"/>
        <v>30</v>
      </c>
      <c r="CL462" s="230">
        <f t="shared" si="554"/>
        <v>43</v>
      </c>
      <c r="CM462" s="235">
        <f t="shared" si="555"/>
        <v>3.5018750000000001</v>
      </c>
      <c r="CN462" s="235" cm="1">
        <f t="array" ref="CN462">$BI462 * IF($AH462&lt;=2,
SUMPRODUCT(INDEX($AR$72:$AT$76,,$AI462), INDEX($AU$72:$BA$76,,$AH462), 1 / ($BB$72:$BB$76*CM462 + (1-$BB$72:$BB$76)*CI462), N($AQ$72:$AQ$76&gt;$AO462)),
SUMPRODUCT(INDEX($AR$67:$AT$76,,$AI462), INDEX($AU$67:$BA$76,,$AH462), 1 / ($BC$67:$BC$76*CM462 + (1-$BC$67:$BC$76)*CI462), N($AQ$67:$AQ$76&gt;$AO462))
) / 1000</f>
        <v>0</v>
      </c>
      <c r="CO462" s="232">
        <f t="shared" si="533"/>
        <v>25</v>
      </c>
      <c r="CP462" s="230">
        <f t="shared" si="556"/>
        <v>38</v>
      </c>
      <c r="CQ462" s="235">
        <f t="shared" si="557"/>
        <v>4.0666935483870965</v>
      </c>
      <c r="CR462" s="235" cm="1">
        <f t="array" ref="CR462">$BI462 * IF($AH462&lt;=2,
SUMPRODUCT(INDEX($AR$67:$AT$71,,$AI462), INDEX($AU$67:$BA$71,,$AH462), 1 / ($BB$67:$BB$71*CQ462 + (1-$BB$67:$BB$71)*CM462), N($AQ$67:$AQ$71&gt;$AO462)),
SUMPRODUCT(INDEX($AR$57:$AT$66,,$AI462), INDEX($AU$57:$BA$66,,$AH462), 1 / ($BC$57:$BC$66*CQ462 + (1-$BC$57:$BC$66)*CM462), N($AQ$57:$AQ$66&gt;$AO462))
) / 1000</f>
        <v>0</v>
      </c>
      <c r="CS462" s="232">
        <f t="shared" si="534"/>
        <v>20</v>
      </c>
      <c r="CT462" s="230">
        <f t="shared" si="558"/>
        <v>33</v>
      </c>
      <c r="CU462" s="235">
        <f t="shared" si="559"/>
        <v>4.8487499999999999</v>
      </c>
      <c r="CV462" s="235" cm="1">
        <f t="array" ref="CV462">$BI462 * IF($AH462&lt;=2,
SUMPRODUCT(INDEX($AR$62:$AT$66,,$AI462), INDEX($AU$62:$BA$66,,$AH462), 1 / ($BB$62:$BB$66*CU462 + (1-$BB$62:$BB$66)*CQ462), N($AQ$62:$AQ$66&gt;$AO462)),
SUMPRODUCT(INDEX($AR$47:$AT$56,,$AI462), INDEX($AU$47:$BA$56,,$AH462), 1 / ($BC$47:$BC$56*CU462 + (1-$BC$47:$BC$56)*CQ462), N($AQ$47:$AQ$56&gt;$AO462))
) / 1000</f>
        <v>0</v>
      </c>
      <c r="CW462" s="235" cm="1">
        <f t="array" ref="CW462">$BI462 * IF($AH462&lt;=2,
SUMPRODUCT(INDEX($AR$23:$AT$61,,$AI462), INDEX($AU$23:$BA$61,,$AH462), 1 / ($BB$23:$BB$61*CU462), N($AQ$23:$AQ$61&gt;$AO462)),
SUMPRODUCT(INDEX($AR$23:$AT$46,,$AI462), INDEX($AU$23:$BA$46,,$AH462), 1 / ($BC$23:$BC$46*CU462), N($AQ$23:$AQ$46&gt;$AO462))
) / 1000</f>
        <v>0</v>
      </c>
      <c r="CX462" s="230">
        <f t="shared" si="560"/>
        <v>0</v>
      </c>
      <c r="CY462" s="238"/>
    </row>
    <row r="463" spans="1:103" s="76" customFormat="1" ht="14.25" customHeight="1" x14ac:dyDescent="0.2">
      <c r="A463" s="231" t="b">
        <f t="shared" si="526"/>
        <v>0</v>
      </c>
      <c r="B463" s="245">
        <v>441</v>
      </c>
      <c r="C463" s="258"/>
      <c r="D463" s="258"/>
      <c r="E463" s="246"/>
      <c r="F463" s="247" t="str">
        <f>IF(ISBLANK(E463), "", VLOOKUP(E463, Z!$A$2:$C$4127, 3, FALSE))</f>
        <v/>
      </c>
      <c r="G463" s="248"/>
      <c r="H463" s="248"/>
      <c r="I463" s="249"/>
      <c r="J463" s="250"/>
      <c r="K463" s="259"/>
      <c r="L463" s="260"/>
      <c r="M463" s="252" t="str" cm="1">
        <f t="array" ref="M463">INDEX(Trad, 53, $A$20)</f>
        <v>Verschmutzt</v>
      </c>
      <c r="N463" s="253"/>
      <c r="O463" s="253"/>
      <c r="P463" s="254"/>
      <c r="Q463" s="251"/>
      <c r="R463" s="251"/>
      <c r="S463" s="264">
        <f t="shared" si="535"/>
        <v>0</v>
      </c>
      <c r="T463" s="252" t="str" cm="1">
        <f t="array" ref="T463">INDEX(Trad, 52, $A$20)</f>
        <v>Sauber</v>
      </c>
      <c r="U463" s="253"/>
      <c r="V463" s="253"/>
      <c r="W463" s="254"/>
      <c r="X463" s="251"/>
      <c r="Y463" s="251"/>
      <c r="Z463" s="264">
        <f t="shared" si="536"/>
        <v>0</v>
      </c>
      <c r="AA463" s="261"/>
      <c r="AB463" s="258"/>
      <c r="AC463" s="246"/>
      <c r="AD463" s="247" t="str">
        <f>IF(ISBLANK(AC463), "", VLOOKUP(AC463, Z!$A$2:$C$4127, 3, FALSE))</f>
        <v/>
      </c>
      <c r="AE463" s="262"/>
      <c r="AF463" s="263">
        <f t="shared" si="537"/>
        <v>0</v>
      </c>
      <c r="AG463" s="238"/>
      <c r="AH463" s="229">
        <f t="shared" si="561"/>
        <v>1</v>
      </c>
      <c r="AI463" s="229">
        <f t="shared" si="562"/>
        <v>1</v>
      </c>
      <c r="AJ463" s="229">
        <f t="shared" si="563"/>
        <v>0</v>
      </c>
      <c r="AK463" s="229">
        <v>0</v>
      </c>
      <c r="AL463" s="229">
        <v>0</v>
      </c>
      <c r="AM463" s="229">
        <v>1</v>
      </c>
      <c r="AN463" s="229">
        <v>0</v>
      </c>
      <c r="AO463" s="229">
        <f t="shared" si="538"/>
        <v>-100</v>
      </c>
      <c r="AP463" s="238"/>
      <c r="AQ463" s="255"/>
      <c r="AR463" s="255"/>
      <c r="AS463" s="256"/>
      <c r="AT463" s="256"/>
      <c r="AU463" s="256"/>
      <c r="AV463" s="256"/>
      <c r="AW463" s="256"/>
      <c r="AX463" s="256"/>
      <c r="AY463" s="256"/>
      <c r="AZ463" s="256"/>
      <c r="BA463" s="256"/>
      <c r="BB463" s="256"/>
      <c r="BC463" s="256"/>
      <c r="BD463" s="238"/>
      <c r="BE463" s="229" cm="1">
        <f t="array" ref="BE463">IF(ISBLANK(R463), INDEX(Use, $AH463, 4) - AM463*INDEX(Use, $AH463, 6), R463)</f>
        <v>5</v>
      </c>
      <c r="BF463" s="229">
        <f t="shared" si="539"/>
        <v>30</v>
      </c>
      <c r="BG463" s="229">
        <f t="shared" si="527"/>
        <v>13</v>
      </c>
      <c r="BH463" s="229">
        <f t="shared" si="528"/>
        <v>0</v>
      </c>
      <c r="BI463" s="234" cm="1">
        <f t="array" ref="BI463">K463/IF($L463&gt;0, INDEX($AU$23:$BA$77, $L463+20, $AH463), 1)</f>
        <v>0</v>
      </c>
      <c r="BJ463" s="230">
        <f t="shared" si="540"/>
        <v>0</v>
      </c>
      <c r="BK463" s="229">
        <v>35</v>
      </c>
      <c r="BL463" s="230">
        <f t="shared" si="541"/>
        <v>48</v>
      </c>
      <c r="BM463" s="235">
        <f t="shared" si="542"/>
        <v>2.9108720930232557</v>
      </c>
      <c r="BN463" s="235" cm="1">
        <f t="array" ref="BN463">$BI463 * SUMPRODUCT(INDEX($AR$77:$AT$82,,$AI463),INDEX($AU$77:$BA$82,,$AH463), N($AQ$77:$AQ$82&gt;$AO463)) / BM463 / 1000</f>
        <v>0</v>
      </c>
      <c r="BO463" s="232">
        <f t="shared" si="529"/>
        <v>30</v>
      </c>
      <c r="BP463" s="230">
        <f t="shared" si="543"/>
        <v>43</v>
      </c>
      <c r="BQ463" s="235">
        <f t="shared" si="544"/>
        <v>3.2938815789473681</v>
      </c>
      <c r="BR463" s="235" cm="1">
        <f t="array" ref="BR463">$BI463 * IF($AH463&lt;=2,
SUMPRODUCT(INDEX($AR$72:$AT$76,,$AI463), INDEX($AU$72:$BA$76,,$AH463), 1 / ($BB$72:$BB$76*BQ463 + (1-$BB$72:$BB$76)*BM463), N($AQ$72:$AQ$76&gt;$AO463)),
SUMPRODUCT(INDEX($AR$67:$AT$76,,$AI463), INDEX($AU$67:$BA$76,,$AH463), 1 / ($BC$67:$BC$76*BQ463 + (1-$BC$67:$BC$76)*BM463), N($AQ$67:$AQ$76&gt;$AO463))
) / 1000</f>
        <v>0</v>
      </c>
      <c r="BS463" s="232">
        <f t="shared" si="530"/>
        <v>25</v>
      </c>
      <c r="BT463" s="230">
        <f t="shared" si="545"/>
        <v>38</v>
      </c>
      <c r="BU463" s="235">
        <f t="shared" si="546"/>
        <v>3.792954545454545</v>
      </c>
      <c r="BV463" s="235" cm="1">
        <f t="array" ref="BV463">$BI463 * IF($AH463&lt;=2,
SUMPRODUCT(INDEX($AR$67:$AT$71,,$AI463), INDEX($AU$67:$BA$71,,$AH463), 1 / ($BB$67:$BB$71*BU463 + (1-$BB$67:$BB$71)*BQ463), N($AQ$67:$AQ$71&gt;$AO463)),
SUMPRODUCT(INDEX($AR$57:$AT$66,,$AI463), INDEX($AU$57:$BA$66,,$AH463), 1 / ($BC$57:$BC$66*BU463 + (1-$BC$57:$BC$66)*BQ463), N($AQ$57:$AQ$66&gt;$AO463))
) / 1000</f>
        <v>0</v>
      </c>
      <c r="BW463" s="232">
        <f t="shared" si="531"/>
        <v>20</v>
      </c>
      <c r="BX463" s="230">
        <f t="shared" si="547"/>
        <v>33</v>
      </c>
      <c r="BY463" s="235">
        <f t="shared" si="548"/>
        <v>4.4702678571428569</v>
      </c>
      <c r="BZ463" s="235" cm="1">
        <f t="array" ref="BZ463">$BI463 * IF($AH463&lt;=2,
SUMPRODUCT(INDEX($AR$62:$AT$66,,$AI463), INDEX($AU$62:$BA$66,,$AH463), 1 / ($BB$62:$BB$66*BY463 + (1-$BB$62:$BB$66)*BU463), N($AQ$62:$AQ$66&gt;$AO463)),
SUMPRODUCT(INDEX($AR$47:$AT$56,,$AI463), INDEX($AU$47:$BA$56,,$AH463), 1 / ($BC$47:$BC$56*BY463 + (1-$BC$47:$BC$56)*BU463), N($AQ$47:$AQ$56&gt;$AO463))
) / 1000</f>
        <v>0</v>
      </c>
      <c r="CA463" s="235" cm="1">
        <f t="array" ref="CA463">$BI463 * IF($AH463&lt;=2,
SUMPRODUCT(INDEX($AR$23:$AT$61,,$AI463), INDEX($AU$23:$BA$61,,$AH463), 1 / ($BB$23:$BB$61*BY463), N($AQ$23:$AQ$61&gt;$AO463)),
SUMPRODUCT(INDEX($AR$23:$AT$46,,$AI463), INDEX($AU$23:$BA$46,,$AH463), 1 / ($BC$23:$BC$46*BY463), N($AQ$23:$AQ$46&gt;$AO463))
) / 1000</f>
        <v>0</v>
      </c>
      <c r="CB463" s="230">
        <f t="shared" si="549"/>
        <v>0</v>
      </c>
      <c r="CC463" s="238"/>
      <c r="CD463" s="229" cm="1">
        <f t="array" ref="CD463">IF(ISBLANK(Y463), INDEX(Use, $AH463, 4) - AN463*INDEX(Use, $AH463, 6) - (Q463-X463), Y463)</f>
        <v>7</v>
      </c>
      <c r="CE463" s="229">
        <f t="shared" si="550"/>
        <v>32</v>
      </c>
      <c r="CF463" s="230">
        <f t="shared" si="551"/>
        <v>0</v>
      </c>
      <c r="CG463" s="229">
        <v>35</v>
      </c>
      <c r="CH463" s="230">
        <f t="shared" si="552"/>
        <v>48</v>
      </c>
      <c r="CI463" s="235">
        <f t="shared" si="553"/>
        <v>3.0748170731707316</v>
      </c>
      <c r="CJ463" s="235" cm="1">
        <f t="array" ref="CJ463">$BI463 * SUMPRODUCT(INDEX($AR$77:$AT$82,,$AI463),INDEX($AU$77:$BA$82,,$AH463), N($AQ$77:$AQ$82&gt;$AO463)) / CI463 / 1000</f>
        <v>0</v>
      </c>
      <c r="CK463" s="232">
        <f t="shared" si="532"/>
        <v>30</v>
      </c>
      <c r="CL463" s="230">
        <f t="shared" si="554"/>
        <v>43</v>
      </c>
      <c r="CM463" s="235">
        <f t="shared" si="555"/>
        <v>3.5018750000000001</v>
      </c>
      <c r="CN463" s="235" cm="1">
        <f t="array" ref="CN463">$BI463 * IF($AH463&lt;=2,
SUMPRODUCT(INDEX($AR$72:$AT$76,,$AI463), INDEX($AU$72:$BA$76,,$AH463), 1 / ($BB$72:$BB$76*CM463 + (1-$BB$72:$BB$76)*CI463), N($AQ$72:$AQ$76&gt;$AO463)),
SUMPRODUCT(INDEX($AR$67:$AT$76,,$AI463), INDEX($AU$67:$BA$76,,$AH463), 1 / ($BC$67:$BC$76*CM463 + (1-$BC$67:$BC$76)*CI463), N($AQ$67:$AQ$76&gt;$AO463))
) / 1000</f>
        <v>0</v>
      </c>
      <c r="CO463" s="232">
        <f t="shared" si="533"/>
        <v>25</v>
      </c>
      <c r="CP463" s="230">
        <f t="shared" si="556"/>
        <v>38</v>
      </c>
      <c r="CQ463" s="235">
        <f t="shared" si="557"/>
        <v>4.0666935483870965</v>
      </c>
      <c r="CR463" s="235" cm="1">
        <f t="array" ref="CR463">$BI463 * IF($AH463&lt;=2,
SUMPRODUCT(INDEX($AR$67:$AT$71,,$AI463), INDEX($AU$67:$BA$71,,$AH463), 1 / ($BB$67:$BB$71*CQ463 + (1-$BB$67:$BB$71)*CM463), N($AQ$67:$AQ$71&gt;$AO463)),
SUMPRODUCT(INDEX($AR$57:$AT$66,,$AI463), INDEX($AU$57:$BA$66,,$AH463), 1 / ($BC$57:$BC$66*CQ463 + (1-$BC$57:$BC$66)*CM463), N($AQ$57:$AQ$66&gt;$AO463))
) / 1000</f>
        <v>0</v>
      </c>
      <c r="CS463" s="232">
        <f t="shared" si="534"/>
        <v>20</v>
      </c>
      <c r="CT463" s="230">
        <f t="shared" si="558"/>
        <v>33</v>
      </c>
      <c r="CU463" s="235">
        <f t="shared" si="559"/>
        <v>4.8487499999999999</v>
      </c>
      <c r="CV463" s="235" cm="1">
        <f t="array" ref="CV463">$BI463 * IF($AH463&lt;=2,
SUMPRODUCT(INDEX($AR$62:$AT$66,,$AI463), INDEX($AU$62:$BA$66,,$AH463), 1 / ($BB$62:$BB$66*CU463 + (1-$BB$62:$BB$66)*CQ463), N($AQ$62:$AQ$66&gt;$AO463)),
SUMPRODUCT(INDEX($AR$47:$AT$56,,$AI463), INDEX($AU$47:$BA$56,,$AH463), 1 / ($BC$47:$BC$56*CU463 + (1-$BC$47:$BC$56)*CQ463), N($AQ$47:$AQ$56&gt;$AO463))
) / 1000</f>
        <v>0</v>
      </c>
      <c r="CW463" s="235" cm="1">
        <f t="array" ref="CW463">$BI463 * IF($AH463&lt;=2,
SUMPRODUCT(INDEX($AR$23:$AT$61,,$AI463), INDEX($AU$23:$BA$61,,$AH463), 1 / ($BB$23:$BB$61*CU463), N($AQ$23:$AQ$61&gt;$AO463)),
SUMPRODUCT(INDEX($AR$23:$AT$46,,$AI463), INDEX($AU$23:$BA$46,,$AH463), 1 / ($BC$23:$BC$46*CU463), N($AQ$23:$AQ$46&gt;$AO463))
) / 1000</f>
        <v>0</v>
      </c>
      <c r="CX463" s="230">
        <f t="shared" si="560"/>
        <v>0</v>
      </c>
      <c r="CY463" s="238"/>
    </row>
    <row r="464" spans="1:103" s="76" customFormat="1" ht="14.25" customHeight="1" x14ac:dyDescent="0.2">
      <c r="A464" s="231" t="b">
        <f t="shared" si="526"/>
        <v>0</v>
      </c>
      <c r="B464" s="245">
        <v>442</v>
      </c>
      <c r="C464" s="258"/>
      <c r="D464" s="258"/>
      <c r="E464" s="246"/>
      <c r="F464" s="247" t="str">
        <f>IF(ISBLANK(E464), "", VLOOKUP(E464, Z!$A$2:$C$4127, 3, FALSE))</f>
        <v/>
      </c>
      <c r="G464" s="248"/>
      <c r="H464" s="248"/>
      <c r="I464" s="249"/>
      <c r="J464" s="250"/>
      <c r="K464" s="259"/>
      <c r="L464" s="260"/>
      <c r="M464" s="252" t="str" cm="1">
        <f t="array" ref="M464">INDEX(Trad, 53, $A$20)</f>
        <v>Verschmutzt</v>
      </c>
      <c r="N464" s="253"/>
      <c r="O464" s="253"/>
      <c r="P464" s="254"/>
      <c r="Q464" s="251"/>
      <c r="R464" s="251"/>
      <c r="S464" s="264">
        <f t="shared" si="535"/>
        <v>0</v>
      </c>
      <c r="T464" s="252" t="str" cm="1">
        <f t="array" ref="T464">INDEX(Trad, 52, $A$20)</f>
        <v>Sauber</v>
      </c>
      <c r="U464" s="253"/>
      <c r="V464" s="253"/>
      <c r="W464" s="254"/>
      <c r="X464" s="251"/>
      <c r="Y464" s="251"/>
      <c r="Z464" s="264">
        <f t="shared" si="536"/>
        <v>0</v>
      </c>
      <c r="AA464" s="261"/>
      <c r="AB464" s="258"/>
      <c r="AC464" s="246"/>
      <c r="AD464" s="247" t="str">
        <f>IF(ISBLANK(AC464), "", VLOOKUP(AC464, Z!$A$2:$C$4127, 3, FALSE))</f>
        <v/>
      </c>
      <c r="AE464" s="262"/>
      <c r="AF464" s="263">
        <f t="shared" si="537"/>
        <v>0</v>
      </c>
      <c r="AG464" s="238"/>
      <c r="AH464" s="229">
        <f t="shared" si="561"/>
        <v>1</v>
      </c>
      <c r="AI464" s="229">
        <f t="shared" si="562"/>
        <v>1</v>
      </c>
      <c r="AJ464" s="229">
        <f t="shared" si="563"/>
        <v>0</v>
      </c>
      <c r="AK464" s="229">
        <v>0</v>
      </c>
      <c r="AL464" s="229">
        <v>0</v>
      </c>
      <c r="AM464" s="229">
        <v>1</v>
      </c>
      <c r="AN464" s="229">
        <v>0</v>
      </c>
      <c r="AO464" s="229">
        <f t="shared" si="538"/>
        <v>-100</v>
      </c>
      <c r="AP464" s="238"/>
      <c r="AQ464" s="255"/>
      <c r="AR464" s="255"/>
      <c r="AS464" s="256"/>
      <c r="AT464" s="256"/>
      <c r="AU464" s="256"/>
      <c r="AV464" s="256"/>
      <c r="AW464" s="256"/>
      <c r="AX464" s="256"/>
      <c r="AY464" s="256"/>
      <c r="AZ464" s="256"/>
      <c r="BA464" s="256"/>
      <c r="BB464" s="256"/>
      <c r="BC464" s="256"/>
      <c r="BD464" s="238"/>
      <c r="BE464" s="229" cm="1">
        <f t="array" ref="BE464">IF(ISBLANK(R464), INDEX(Use, $AH464, 4) - AM464*INDEX(Use, $AH464, 6), R464)</f>
        <v>5</v>
      </c>
      <c r="BF464" s="229">
        <f t="shared" si="539"/>
        <v>30</v>
      </c>
      <c r="BG464" s="229">
        <f t="shared" si="527"/>
        <v>13</v>
      </c>
      <c r="BH464" s="229">
        <f t="shared" si="528"/>
        <v>0</v>
      </c>
      <c r="BI464" s="234" cm="1">
        <f t="array" ref="BI464">K464/IF($L464&gt;0, INDEX($AU$23:$BA$77, $L464+20, $AH464), 1)</f>
        <v>0</v>
      </c>
      <c r="BJ464" s="230">
        <f t="shared" si="540"/>
        <v>0</v>
      </c>
      <c r="BK464" s="229">
        <v>35</v>
      </c>
      <c r="BL464" s="230">
        <f t="shared" si="541"/>
        <v>48</v>
      </c>
      <c r="BM464" s="235">
        <f t="shared" si="542"/>
        <v>2.9108720930232557</v>
      </c>
      <c r="BN464" s="235" cm="1">
        <f t="array" ref="BN464">$BI464 * SUMPRODUCT(INDEX($AR$77:$AT$82,,$AI464),INDEX($AU$77:$BA$82,,$AH464), N($AQ$77:$AQ$82&gt;$AO464)) / BM464 / 1000</f>
        <v>0</v>
      </c>
      <c r="BO464" s="232">
        <f t="shared" si="529"/>
        <v>30</v>
      </c>
      <c r="BP464" s="230">
        <f t="shared" si="543"/>
        <v>43</v>
      </c>
      <c r="BQ464" s="235">
        <f t="shared" si="544"/>
        <v>3.2938815789473681</v>
      </c>
      <c r="BR464" s="235" cm="1">
        <f t="array" ref="BR464">$BI464 * IF($AH464&lt;=2,
SUMPRODUCT(INDEX($AR$72:$AT$76,,$AI464), INDEX($AU$72:$BA$76,,$AH464), 1 / ($BB$72:$BB$76*BQ464 + (1-$BB$72:$BB$76)*BM464), N($AQ$72:$AQ$76&gt;$AO464)),
SUMPRODUCT(INDEX($AR$67:$AT$76,,$AI464), INDEX($AU$67:$BA$76,,$AH464), 1 / ($BC$67:$BC$76*BQ464 + (1-$BC$67:$BC$76)*BM464), N($AQ$67:$AQ$76&gt;$AO464))
) / 1000</f>
        <v>0</v>
      </c>
      <c r="BS464" s="232">
        <f t="shared" si="530"/>
        <v>25</v>
      </c>
      <c r="BT464" s="230">
        <f t="shared" si="545"/>
        <v>38</v>
      </c>
      <c r="BU464" s="235">
        <f t="shared" si="546"/>
        <v>3.792954545454545</v>
      </c>
      <c r="BV464" s="235" cm="1">
        <f t="array" ref="BV464">$BI464 * IF($AH464&lt;=2,
SUMPRODUCT(INDEX($AR$67:$AT$71,,$AI464), INDEX($AU$67:$BA$71,,$AH464), 1 / ($BB$67:$BB$71*BU464 + (1-$BB$67:$BB$71)*BQ464), N($AQ$67:$AQ$71&gt;$AO464)),
SUMPRODUCT(INDEX($AR$57:$AT$66,,$AI464), INDEX($AU$57:$BA$66,,$AH464), 1 / ($BC$57:$BC$66*BU464 + (1-$BC$57:$BC$66)*BQ464), N($AQ$57:$AQ$66&gt;$AO464))
) / 1000</f>
        <v>0</v>
      </c>
      <c r="BW464" s="232">
        <f t="shared" si="531"/>
        <v>20</v>
      </c>
      <c r="BX464" s="230">
        <f t="shared" si="547"/>
        <v>33</v>
      </c>
      <c r="BY464" s="235">
        <f t="shared" si="548"/>
        <v>4.4702678571428569</v>
      </c>
      <c r="BZ464" s="235" cm="1">
        <f t="array" ref="BZ464">$BI464 * IF($AH464&lt;=2,
SUMPRODUCT(INDEX($AR$62:$AT$66,,$AI464), INDEX($AU$62:$BA$66,,$AH464), 1 / ($BB$62:$BB$66*BY464 + (1-$BB$62:$BB$66)*BU464), N($AQ$62:$AQ$66&gt;$AO464)),
SUMPRODUCT(INDEX($AR$47:$AT$56,,$AI464), INDEX($AU$47:$BA$56,,$AH464), 1 / ($BC$47:$BC$56*BY464 + (1-$BC$47:$BC$56)*BU464), N($AQ$47:$AQ$56&gt;$AO464))
) / 1000</f>
        <v>0</v>
      </c>
      <c r="CA464" s="235" cm="1">
        <f t="array" ref="CA464">$BI464 * IF($AH464&lt;=2,
SUMPRODUCT(INDEX($AR$23:$AT$61,,$AI464), INDEX($AU$23:$BA$61,,$AH464), 1 / ($BB$23:$BB$61*BY464), N($AQ$23:$AQ$61&gt;$AO464)),
SUMPRODUCT(INDEX($AR$23:$AT$46,,$AI464), INDEX($AU$23:$BA$46,,$AH464), 1 / ($BC$23:$BC$46*BY464), N($AQ$23:$AQ$46&gt;$AO464))
) / 1000</f>
        <v>0</v>
      </c>
      <c r="CB464" s="230">
        <f t="shared" si="549"/>
        <v>0</v>
      </c>
      <c r="CC464" s="238"/>
      <c r="CD464" s="229" cm="1">
        <f t="array" ref="CD464">IF(ISBLANK(Y464), INDEX(Use, $AH464, 4) - AN464*INDEX(Use, $AH464, 6) - (Q464-X464), Y464)</f>
        <v>7</v>
      </c>
      <c r="CE464" s="229">
        <f t="shared" si="550"/>
        <v>32</v>
      </c>
      <c r="CF464" s="230">
        <f t="shared" si="551"/>
        <v>0</v>
      </c>
      <c r="CG464" s="229">
        <v>35</v>
      </c>
      <c r="CH464" s="230">
        <f t="shared" si="552"/>
        <v>48</v>
      </c>
      <c r="CI464" s="235">
        <f t="shared" si="553"/>
        <v>3.0748170731707316</v>
      </c>
      <c r="CJ464" s="235" cm="1">
        <f t="array" ref="CJ464">$BI464 * SUMPRODUCT(INDEX($AR$77:$AT$82,,$AI464),INDEX($AU$77:$BA$82,,$AH464), N($AQ$77:$AQ$82&gt;$AO464)) / CI464 / 1000</f>
        <v>0</v>
      </c>
      <c r="CK464" s="232">
        <f t="shared" si="532"/>
        <v>30</v>
      </c>
      <c r="CL464" s="230">
        <f t="shared" si="554"/>
        <v>43</v>
      </c>
      <c r="CM464" s="235">
        <f t="shared" si="555"/>
        <v>3.5018750000000001</v>
      </c>
      <c r="CN464" s="235" cm="1">
        <f t="array" ref="CN464">$BI464 * IF($AH464&lt;=2,
SUMPRODUCT(INDEX($AR$72:$AT$76,,$AI464), INDEX($AU$72:$BA$76,,$AH464), 1 / ($BB$72:$BB$76*CM464 + (1-$BB$72:$BB$76)*CI464), N($AQ$72:$AQ$76&gt;$AO464)),
SUMPRODUCT(INDEX($AR$67:$AT$76,,$AI464), INDEX($AU$67:$BA$76,,$AH464), 1 / ($BC$67:$BC$76*CM464 + (1-$BC$67:$BC$76)*CI464), N($AQ$67:$AQ$76&gt;$AO464))
) / 1000</f>
        <v>0</v>
      </c>
      <c r="CO464" s="232">
        <f t="shared" si="533"/>
        <v>25</v>
      </c>
      <c r="CP464" s="230">
        <f t="shared" si="556"/>
        <v>38</v>
      </c>
      <c r="CQ464" s="235">
        <f t="shared" si="557"/>
        <v>4.0666935483870965</v>
      </c>
      <c r="CR464" s="235" cm="1">
        <f t="array" ref="CR464">$BI464 * IF($AH464&lt;=2,
SUMPRODUCT(INDEX($AR$67:$AT$71,,$AI464), INDEX($AU$67:$BA$71,,$AH464), 1 / ($BB$67:$BB$71*CQ464 + (1-$BB$67:$BB$71)*CM464), N($AQ$67:$AQ$71&gt;$AO464)),
SUMPRODUCT(INDEX($AR$57:$AT$66,,$AI464), INDEX($AU$57:$BA$66,,$AH464), 1 / ($BC$57:$BC$66*CQ464 + (1-$BC$57:$BC$66)*CM464), N($AQ$57:$AQ$66&gt;$AO464))
) / 1000</f>
        <v>0</v>
      </c>
      <c r="CS464" s="232">
        <f t="shared" si="534"/>
        <v>20</v>
      </c>
      <c r="CT464" s="230">
        <f t="shared" si="558"/>
        <v>33</v>
      </c>
      <c r="CU464" s="235">
        <f t="shared" si="559"/>
        <v>4.8487499999999999</v>
      </c>
      <c r="CV464" s="235" cm="1">
        <f t="array" ref="CV464">$BI464 * IF($AH464&lt;=2,
SUMPRODUCT(INDEX($AR$62:$AT$66,,$AI464), INDEX($AU$62:$BA$66,,$AH464), 1 / ($BB$62:$BB$66*CU464 + (1-$BB$62:$BB$66)*CQ464), N($AQ$62:$AQ$66&gt;$AO464)),
SUMPRODUCT(INDEX($AR$47:$AT$56,,$AI464), INDEX($AU$47:$BA$56,,$AH464), 1 / ($BC$47:$BC$56*CU464 + (1-$BC$47:$BC$56)*CQ464), N($AQ$47:$AQ$56&gt;$AO464))
) / 1000</f>
        <v>0</v>
      </c>
      <c r="CW464" s="235" cm="1">
        <f t="array" ref="CW464">$BI464 * IF($AH464&lt;=2,
SUMPRODUCT(INDEX($AR$23:$AT$61,,$AI464), INDEX($AU$23:$BA$61,,$AH464), 1 / ($BB$23:$BB$61*CU464), N($AQ$23:$AQ$61&gt;$AO464)),
SUMPRODUCT(INDEX($AR$23:$AT$46,,$AI464), INDEX($AU$23:$BA$46,,$AH464), 1 / ($BC$23:$BC$46*CU464), N($AQ$23:$AQ$46&gt;$AO464))
) / 1000</f>
        <v>0</v>
      </c>
      <c r="CX464" s="230">
        <f t="shared" si="560"/>
        <v>0</v>
      </c>
      <c r="CY464" s="238"/>
    </row>
    <row r="465" spans="1:103" s="76" customFormat="1" ht="14.25" customHeight="1" x14ac:dyDescent="0.2">
      <c r="A465" s="231" t="b">
        <f t="shared" si="526"/>
        <v>0</v>
      </c>
      <c r="B465" s="245">
        <v>443</v>
      </c>
      <c r="C465" s="258"/>
      <c r="D465" s="258"/>
      <c r="E465" s="246"/>
      <c r="F465" s="247" t="str">
        <f>IF(ISBLANK(E465), "", VLOOKUP(E465, Z!$A$2:$C$4127, 3, FALSE))</f>
        <v/>
      </c>
      <c r="G465" s="248"/>
      <c r="H465" s="248"/>
      <c r="I465" s="249"/>
      <c r="J465" s="250"/>
      <c r="K465" s="259"/>
      <c r="L465" s="260"/>
      <c r="M465" s="252" t="str" cm="1">
        <f t="array" ref="M465">INDEX(Trad, 53, $A$20)</f>
        <v>Verschmutzt</v>
      </c>
      <c r="N465" s="253"/>
      <c r="O465" s="253"/>
      <c r="P465" s="254"/>
      <c r="Q465" s="251"/>
      <c r="R465" s="251"/>
      <c r="S465" s="264">
        <f t="shared" si="535"/>
        <v>0</v>
      </c>
      <c r="T465" s="252" t="str" cm="1">
        <f t="array" ref="T465">INDEX(Trad, 52, $A$20)</f>
        <v>Sauber</v>
      </c>
      <c r="U465" s="253"/>
      <c r="V465" s="253"/>
      <c r="W465" s="254"/>
      <c r="X465" s="251"/>
      <c r="Y465" s="251"/>
      <c r="Z465" s="264">
        <f t="shared" si="536"/>
        <v>0</v>
      </c>
      <c r="AA465" s="261"/>
      <c r="AB465" s="258"/>
      <c r="AC465" s="246"/>
      <c r="AD465" s="247" t="str">
        <f>IF(ISBLANK(AC465), "", VLOOKUP(AC465, Z!$A$2:$C$4127, 3, FALSE))</f>
        <v/>
      </c>
      <c r="AE465" s="262"/>
      <c r="AF465" s="263">
        <f t="shared" si="537"/>
        <v>0</v>
      </c>
      <c r="AG465" s="238"/>
      <c r="AH465" s="229">
        <f t="shared" si="561"/>
        <v>1</v>
      </c>
      <c r="AI465" s="229">
        <f t="shared" si="562"/>
        <v>1</v>
      </c>
      <c r="AJ465" s="229">
        <f t="shared" si="563"/>
        <v>0</v>
      </c>
      <c r="AK465" s="229">
        <v>0</v>
      </c>
      <c r="AL465" s="229">
        <v>0</v>
      </c>
      <c r="AM465" s="229">
        <v>1</v>
      </c>
      <c r="AN465" s="229">
        <v>0</v>
      </c>
      <c r="AO465" s="229">
        <f t="shared" si="538"/>
        <v>-100</v>
      </c>
      <c r="AP465" s="238"/>
      <c r="AQ465" s="255"/>
      <c r="AR465" s="255"/>
      <c r="AS465" s="256"/>
      <c r="AT465" s="256"/>
      <c r="AU465" s="256"/>
      <c r="AV465" s="256"/>
      <c r="AW465" s="256"/>
      <c r="AX465" s="256"/>
      <c r="AY465" s="256"/>
      <c r="AZ465" s="256"/>
      <c r="BA465" s="256"/>
      <c r="BB465" s="256"/>
      <c r="BC465" s="256"/>
      <c r="BD465" s="238"/>
      <c r="BE465" s="229" cm="1">
        <f t="array" ref="BE465">IF(ISBLANK(R465), INDEX(Use, $AH465, 4) - AM465*INDEX(Use, $AH465, 6), R465)</f>
        <v>5</v>
      </c>
      <c r="BF465" s="229">
        <f t="shared" si="539"/>
        <v>30</v>
      </c>
      <c r="BG465" s="229">
        <f t="shared" si="527"/>
        <v>13</v>
      </c>
      <c r="BH465" s="229">
        <f t="shared" si="528"/>
        <v>0</v>
      </c>
      <c r="BI465" s="234" cm="1">
        <f t="array" ref="BI465">K465/IF($L465&gt;0, INDEX($AU$23:$BA$77, $L465+20, $AH465), 1)</f>
        <v>0</v>
      </c>
      <c r="BJ465" s="230">
        <f t="shared" si="540"/>
        <v>0</v>
      </c>
      <c r="BK465" s="229">
        <v>35</v>
      </c>
      <c r="BL465" s="230">
        <f t="shared" si="541"/>
        <v>48</v>
      </c>
      <c r="BM465" s="235">
        <f t="shared" si="542"/>
        <v>2.9108720930232557</v>
      </c>
      <c r="BN465" s="235" cm="1">
        <f t="array" ref="BN465">$BI465 * SUMPRODUCT(INDEX($AR$77:$AT$82,,$AI465),INDEX($AU$77:$BA$82,,$AH465), N($AQ$77:$AQ$82&gt;$AO465)) / BM465 / 1000</f>
        <v>0</v>
      </c>
      <c r="BO465" s="232">
        <f t="shared" si="529"/>
        <v>30</v>
      </c>
      <c r="BP465" s="230">
        <f t="shared" si="543"/>
        <v>43</v>
      </c>
      <c r="BQ465" s="235">
        <f t="shared" si="544"/>
        <v>3.2938815789473681</v>
      </c>
      <c r="BR465" s="235" cm="1">
        <f t="array" ref="BR465">$BI465 * IF($AH465&lt;=2,
SUMPRODUCT(INDEX($AR$72:$AT$76,,$AI465), INDEX($AU$72:$BA$76,,$AH465), 1 / ($BB$72:$BB$76*BQ465 + (1-$BB$72:$BB$76)*BM465), N($AQ$72:$AQ$76&gt;$AO465)),
SUMPRODUCT(INDEX($AR$67:$AT$76,,$AI465), INDEX($AU$67:$BA$76,,$AH465), 1 / ($BC$67:$BC$76*BQ465 + (1-$BC$67:$BC$76)*BM465), N($AQ$67:$AQ$76&gt;$AO465))
) / 1000</f>
        <v>0</v>
      </c>
      <c r="BS465" s="232">
        <f t="shared" si="530"/>
        <v>25</v>
      </c>
      <c r="BT465" s="230">
        <f t="shared" si="545"/>
        <v>38</v>
      </c>
      <c r="BU465" s="235">
        <f t="shared" si="546"/>
        <v>3.792954545454545</v>
      </c>
      <c r="BV465" s="235" cm="1">
        <f t="array" ref="BV465">$BI465 * IF($AH465&lt;=2,
SUMPRODUCT(INDEX($AR$67:$AT$71,,$AI465), INDEX($AU$67:$BA$71,,$AH465), 1 / ($BB$67:$BB$71*BU465 + (1-$BB$67:$BB$71)*BQ465), N($AQ$67:$AQ$71&gt;$AO465)),
SUMPRODUCT(INDEX($AR$57:$AT$66,,$AI465), INDEX($AU$57:$BA$66,,$AH465), 1 / ($BC$57:$BC$66*BU465 + (1-$BC$57:$BC$66)*BQ465), N($AQ$57:$AQ$66&gt;$AO465))
) / 1000</f>
        <v>0</v>
      </c>
      <c r="BW465" s="232">
        <f t="shared" si="531"/>
        <v>20</v>
      </c>
      <c r="BX465" s="230">
        <f t="shared" si="547"/>
        <v>33</v>
      </c>
      <c r="BY465" s="235">
        <f t="shared" si="548"/>
        <v>4.4702678571428569</v>
      </c>
      <c r="BZ465" s="235" cm="1">
        <f t="array" ref="BZ465">$BI465 * IF($AH465&lt;=2,
SUMPRODUCT(INDEX($AR$62:$AT$66,,$AI465), INDEX($AU$62:$BA$66,,$AH465), 1 / ($BB$62:$BB$66*BY465 + (1-$BB$62:$BB$66)*BU465), N($AQ$62:$AQ$66&gt;$AO465)),
SUMPRODUCT(INDEX($AR$47:$AT$56,,$AI465), INDEX($AU$47:$BA$56,,$AH465), 1 / ($BC$47:$BC$56*BY465 + (1-$BC$47:$BC$56)*BU465), N($AQ$47:$AQ$56&gt;$AO465))
) / 1000</f>
        <v>0</v>
      </c>
      <c r="CA465" s="235" cm="1">
        <f t="array" ref="CA465">$BI465 * IF($AH465&lt;=2,
SUMPRODUCT(INDEX($AR$23:$AT$61,,$AI465), INDEX($AU$23:$BA$61,,$AH465), 1 / ($BB$23:$BB$61*BY465), N($AQ$23:$AQ$61&gt;$AO465)),
SUMPRODUCT(INDEX($AR$23:$AT$46,,$AI465), INDEX($AU$23:$BA$46,,$AH465), 1 / ($BC$23:$BC$46*BY465), N($AQ$23:$AQ$46&gt;$AO465))
) / 1000</f>
        <v>0</v>
      </c>
      <c r="CB465" s="230">
        <f t="shared" si="549"/>
        <v>0</v>
      </c>
      <c r="CC465" s="238"/>
      <c r="CD465" s="229" cm="1">
        <f t="array" ref="CD465">IF(ISBLANK(Y465), INDEX(Use, $AH465, 4) - AN465*INDEX(Use, $AH465, 6) - (Q465-X465), Y465)</f>
        <v>7</v>
      </c>
      <c r="CE465" s="229">
        <f t="shared" si="550"/>
        <v>32</v>
      </c>
      <c r="CF465" s="230">
        <f t="shared" si="551"/>
        <v>0</v>
      </c>
      <c r="CG465" s="229">
        <v>35</v>
      </c>
      <c r="CH465" s="230">
        <f t="shared" si="552"/>
        <v>48</v>
      </c>
      <c r="CI465" s="235">
        <f t="shared" si="553"/>
        <v>3.0748170731707316</v>
      </c>
      <c r="CJ465" s="235" cm="1">
        <f t="array" ref="CJ465">$BI465 * SUMPRODUCT(INDEX($AR$77:$AT$82,,$AI465),INDEX($AU$77:$BA$82,,$AH465), N($AQ$77:$AQ$82&gt;$AO465)) / CI465 / 1000</f>
        <v>0</v>
      </c>
      <c r="CK465" s="232">
        <f t="shared" si="532"/>
        <v>30</v>
      </c>
      <c r="CL465" s="230">
        <f t="shared" si="554"/>
        <v>43</v>
      </c>
      <c r="CM465" s="235">
        <f t="shared" si="555"/>
        <v>3.5018750000000001</v>
      </c>
      <c r="CN465" s="235" cm="1">
        <f t="array" ref="CN465">$BI465 * IF($AH465&lt;=2,
SUMPRODUCT(INDEX($AR$72:$AT$76,,$AI465), INDEX($AU$72:$BA$76,,$AH465), 1 / ($BB$72:$BB$76*CM465 + (1-$BB$72:$BB$76)*CI465), N($AQ$72:$AQ$76&gt;$AO465)),
SUMPRODUCT(INDEX($AR$67:$AT$76,,$AI465), INDEX($AU$67:$BA$76,,$AH465), 1 / ($BC$67:$BC$76*CM465 + (1-$BC$67:$BC$76)*CI465), N($AQ$67:$AQ$76&gt;$AO465))
) / 1000</f>
        <v>0</v>
      </c>
      <c r="CO465" s="232">
        <f t="shared" si="533"/>
        <v>25</v>
      </c>
      <c r="CP465" s="230">
        <f t="shared" si="556"/>
        <v>38</v>
      </c>
      <c r="CQ465" s="235">
        <f t="shared" si="557"/>
        <v>4.0666935483870965</v>
      </c>
      <c r="CR465" s="235" cm="1">
        <f t="array" ref="CR465">$BI465 * IF($AH465&lt;=2,
SUMPRODUCT(INDEX($AR$67:$AT$71,,$AI465), INDEX($AU$67:$BA$71,,$AH465), 1 / ($BB$67:$BB$71*CQ465 + (1-$BB$67:$BB$71)*CM465), N($AQ$67:$AQ$71&gt;$AO465)),
SUMPRODUCT(INDEX($AR$57:$AT$66,,$AI465), INDEX($AU$57:$BA$66,,$AH465), 1 / ($BC$57:$BC$66*CQ465 + (1-$BC$57:$BC$66)*CM465), N($AQ$57:$AQ$66&gt;$AO465))
) / 1000</f>
        <v>0</v>
      </c>
      <c r="CS465" s="232">
        <f t="shared" si="534"/>
        <v>20</v>
      </c>
      <c r="CT465" s="230">
        <f t="shared" si="558"/>
        <v>33</v>
      </c>
      <c r="CU465" s="235">
        <f t="shared" si="559"/>
        <v>4.8487499999999999</v>
      </c>
      <c r="CV465" s="235" cm="1">
        <f t="array" ref="CV465">$BI465 * IF($AH465&lt;=2,
SUMPRODUCT(INDEX($AR$62:$AT$66,,$AI465), INDEX($AU$62:$BA$66,,$AH465), 1 / ($BB$62:$BB$66*CU465 + (1-$BB$62:$BB$66)*CQ465), N($AQ$62:$AQ$66&gt;$AO465)),
SUMPRODUCT(INDEX($AR$47:$AT$56,,$AI465), INDEX($AU$47:$BA$56,,$AH465), 1 / ($BC$47:$BC$56*CU465 + (1-$BC$47:$BC$56)*CQ465), N($AQ$47:$AQ$56&gt;$AO465))
) / 1000</f>
        <v>0</v>
      </c>
      <c r="CW465" s="235" cm="1">
        <f t="array" ref="CW465">$BI465 * IF($AH465&lt;=2,
SUMPRODUCT(INDEX($AR$23:$AT$61,,$AI465), INDEX($AU$23:$BA$61,,$AH465), 1 / ($BB$23:$BB$61*CU465), N($AQ$23:$AQ$61&gt;$AO465)),
SUMPRODUCT(INDEX($AR$23:$AT$46,,$AI465), INDEX($AU$23:$BA$46,,$AH465), 1 / ($BC$23:$BC$46*CU465), N($AQ$23:$AQ$46&gt;$AO465))
) / 1000</f>
        <v>0</v>
      </c>
      <c r="CX465" s="230">
        <f t="shared" si="560"/>
        <v>0</v>
      </c>
      <c r="CY465" s="238"/>
    </row>
    <row r="466" spans="1:103" s="76" customFormat="1" ht="14.25" customHeight="1" x14ac:dyDescent="0.2">
      <c r="A466" s="231" t="b">
        <f t="shared" si="526"/>
        <v>0</v>
      </c>
      <c r="B466" s="245">
        <v>444</v>
      </c>
      <c r="C466" s="258"/>
      <c r="D466" s="258"/>
      <c r="E466" s="246"/>
      <c r="F466" s="247" t="str">
        <f>IF(ISBLANK(E466), "", VLOOKUP(E466, Z!$A$2:$C$4127, 3, FALSE))</f>
        <v/>
      </c>
      <c r="G466" s="248"/>
      <c r="H466" s="248"/>
      <c r="I466" s="249"/>
      <c r="J466" s="250"/>
      <c r="K466" s="259"/>
      <c r="L466" s="260"/>
      <c r="M466" s="252" t="str" cm="1">
        <f t="array" ref="M466">INDEX(Trad, 53, $A$20)</f>
        <v>Verschmutzt</v>
      </c>
      <c r="N466" s="253"/>
      <c r="O466" s="253"/>
      <c r="P466" s="254"/>
      <c r="Q466" s="251"/>
      <c r="R466" s="251"/>
      <c r="S466" s="264">
        <f t="shared" si="535"/>
        <v>0</v>
      </c>
      <c r="T466" s="252" t="str" cm="1">
        <f t="array" ref="T466">INDEX(Trad, 52, $A$20)</f>
        <v>Sauber</v>
      </c>
      <c r="U466" s="253"/>
      <c r="V466" s="253"/>
      <c r="W466" s="254"/>
      <c r="X466" s="251"/>
      <c r="Y466" s="251"/>
      <c r="Z466" s="264">
        <f t="shared" si="536"/>
        <v>0</v>
      </c>
      <c r="AA466" s="261"/>
      <c r="AB466" s="258"/>
      <c r="AC466" s="246"/>
      <c r="AD466" s="247" t="str">
        <f>IF(ISBLANK(AC466), "", VLOOKUP(AC466, Z!$A$2:$C$4127, 3, FALSE))</f>
        <v/>
      </c>
      <c r="AE466" s="262"/>
      <c r="AF466" s="263">
        <f t="shared" si="537"/>
        <v>0</v>
      </c>
      <c r="AG466" s="238"/>
      <c r="AH466" s="229">
        <f t="shared" si="561"/>
        <v>1</v>
      </c>
      <c r="AI466" s="229">
        <f t="shared" si="562"/>
        <v>1</v>
      </c>
      <c r="AJ466" s="229">
        <f t="shared" si="563"/>
        <v>0</v>
      </c>
      <c r="AK466" s="229">
        <v>0</v>
      </c>
      <c r="AL466" s="229">
        <v>0</v>
      </c>
      <c r="AM466" s="229">
        <v>1</v>
      </c>
      <c r="AN466" s="229">
        <v>0</v>
      </c>
      <c r="AO466" s="229">
        <f t="shared" si="538"/>
        <v>-100</v>
      </c>
      <c r="AP466" s="238"/>
      <c r="AQ466" s="255"/>
      <c r="AR466" s="255"/>
      <c r="AS466" s="256"/>
      <c r="AT466" s="256"/>
      <c r="AU466" s="256"/>
      <c r="AV466" s="256"/>
      <c r="AW466" s="256"/>
      <c r="AX466" s="256"/>
      <c r="AY466" s="256"/>
      <c r="AZ466" s="256"/>
      <c r="BA466" s="256"/>
      <c r="BB466" s="256"/>
      <c r="BC466" s="256"/>
      <c r="BD466" s="238"/>
      <c r="BE466" s="229" cm="1">
        <f t="array" ref="BE466">IF(ISBLANK(R466), INDEX(Use, $AH466, 4) - AM466*INDEX(Use, $AH466, 6), R466)</f>
        <v>5</v>
      </c>
      <c r="BF466" s="229">
        <f t="shared" si="539"/>
        <v>30</v>
      </c>
      <c r="BG466" s="229">
        <f t="shared" si="527"/>
        <v>13</v>
      </c>
      <c r="BH466" s="229">
        <f t="shared" si="528"/>
        <v>0</v>
      </c>
      <c r="BI466" s="234" cm="1">
        <f t="array" ref="BI466">K466/IF($L466&gt;0, INDEX($AU$23:$BA$77, $L466+20, $AH466), 1)</f>
        <v>0</v>
      </c>
      <c r="BJ466" s="230">
        <f t="shared" si="540"/>
        <v>0</v>
      </c>
      <c r="BK466" s="229">
        <v>35</v>
      </c>
      <c r="BL466" s="230">
        <f t="shared" si="541"/>
        <v>48</v>
      </c>
      <c r="BM466" s="235">
        <f t="shared" si="542"/>
        <v>2.9108720930232557</v>
      </c>
      <c r="BN466" s="235" cm="1">
        <f t="array" ref="BN466">$BI466 * SUMPRODUCT(INDEX($AR$77:$AT$82,,$AI466),INDEX($AU$77:$BA$82,,$AH466), N($AQ$77:$AQ$82&gt;$AO466)) / BM466 / 1000</f>
        <v>0</v>
      </c>
      <c r="BO466" s="232">
        <f t="shared" si="529"/>
        <v>30</v>
      </c>
      <c r="BP466" s="230">
        <f t="shared" si="543"/>
        <v>43</v>
      </c>
      <c r="BQ466" s="235">
        <f t="shared" si="544"/>
        <v>3.2938815789473681</v>
      </c>
      <c r="BR466" s="235" cm="1">
        <f t="array" ref="BR466">$BI466 * IF($AH466&lt;=2,
SUMPRODUCT(INDEX($AR$72:$AT$76,,$AI466), INDEX($AU$72:$BA$76,,$AH466), 1 / ($BB$72:$BB$76*BQ466 + (1-$BB$72:$BB$76)*BM466), N($AQ$72:$AQ$76&gt;$AO466)),
SUMPRODUCT(INDEX($AR$67:$AT$76,,$AI466), INDEX($AU$67:$BA$76,,$AH466), 1 / ($BC$67:$BC$76*BQ466 + (1-$BC$67:$BC$76)*BM466), N($AQ$67:$AQ$76&gt;$AO466))
) / 1000</f>
        <v>0</v>
      </c>
      <c r="BS466" s="232">
        <f t="shared" si="530"/>
        <v>25</v>
      </c>
      <c r="BT466" s="230">
        <f t="shared" si="545"/>
        <v>38</v>
      </c>
      <c r="BU466" s="235">
        <f t="shared" si="546"/>
        <v>3.792954545454545</v>
      </c>
      <c r="BV466" s="235" cm="1">
        <f t="array" ref="BV466">$BI466 * IF($AH466&lt;=2,
SUMPRODUCT(INDEX($AR$67:$AT$71,,$AI466), INDEX($AU$67:$BA$71,,$AH466), 1 / ($BB$67:$BB$71*BU466 + (1-$BB$67:$BB$71)*BQ466), N($AQ$67:$AQ$71&gt;$AO466)),
SUMPRODUCT(INDEX($AR$57:$AT$66,,$AI466), INDEX($AU$57:$BA$66,,$AH466), 1 / ($BC$57:$BC$66*BU466 + (1-$BC$57:$BC$66)*BQ466), N($AQ$57:$AQ$66&gt;$AO466))
) / 1000</f>
        <v>0</v>
      </c>
      <c r="BW466" s="232">
        <f t="shared" si="531"/>
        <v>20</v>
      </c>
      <c r="BX466" s="230">
        <f t="shared" si="547"/>
        <v>33</v>
      </c>
      <c r="BY466" s="235">
        <f t="shared" si="548"/>
        <v>4.4702678571428569</v>
      </c>
      <c r="BZ466" s="235" cm="1">
        <f t="array" ref="BZ466">$BI466 * IF($AH466&lt;=2,
SUMPRODUCT(INDEX($AR$62:$AT$66,,$AI466), INDEX($AU$62:$BA$66,,$AH466), 1 / ($BB$62:$BB$66*BY466 + (1-$BB$62:$BB$66)*BU466), N($AQ$62:$AQ$66&gt;$AO466)),
SUMPRODUCT(INDEX($AR$47:$AT$56,,$AI466), INDEX($AU$47:$BA$56,,$AH466), 1 / ($BC$47:$BC$56*BY466 + (1-$BC$47:$BC$56)*BU466), N($AQ$47:$AQ$56&gt;$AO466))
) / 1000</f>
        <v>0</v>
      </c>
      <c r="CA466" s="235" cm="1">
        <f t="array" ref="CA466">$BI466 * IF($AH466&lt;=2,
SUMPRODUCT(INDEX($AR$23:$AT$61,,$AI466), INDEX($AU$23:$BA$61,,$AH466), 1 / ($BB$23:$BB$61*BY466), N($AQ$23:$AQ$61&gt;$AO466)),
SUMPRODUCT(INDEX($AR$23:$AT$46,,$AI466), INDEX($AU$23:$BA$46,,$AH466), 1 / ($BC$23:$BC$46*BY466), N($AQ$23:$AQ$46&gt;$AO466))
) / 1000</f>
        <v>0</v>
      </c>
      <c r="CB466" s="230">
        <f t="shared" si="549"/>
        <v>0</v>
      </c>
      <c r="CC466" s="238"/>
      <c r="CD466" s="229" cm="1">
        <f t="array" ref="CD466">IF(ISBLANK(Y466), INDEX(Use, $AH466, 4) - AN466*INDEX(Use, $AH466, 6) - (Q466-X466), Y466)</f>
        <v>7</v>
      </c>
      <c r="CE466" s="229">
        <f t="shared" si="550"/>
        <v>32</v>
      </c>
      <c r="CF466" s="230">
        <f t="shared" si="551"/>
        <v>0</v>
      </c>
      <c r="CG466" s="229">
        <v>35</v>
      </c>
      <c r="CH466" s="230">
        <f t="shared" si="552"/>
        <v>48</v>
      </c>
      <c r="CI466" s="235">
        <f t="shared" si="553"/>
        <v>3.0748170731707316</v>
      </c>
      <c r="CJ466" s="235" cm="1">
        <f t="array" ref="CJ466">$BI466 * SUMPRODUCT(INDEX($AR$77:$AT$82,,$AI466),INDEX($AU$77:$BA$82,,$AH466), N($AQ$77:$AQ$82&gt;$AO466)) / CI466 / 1000</f>
        <v>0</v>
      </c>
      <c r="CK466" s="232">
        <f t="shared" si="532"/>
        <v>30</v>
      </c>
      <c r="CL466" s="230">
        <f t="shared" si="554"/>
        <v>43</v>
      </c>
      <c r="CM466" s="235">
        <f t="shared" si="555"/>
        <v>3.5018750000000001</v>
      </c>
      <c r="CN466" s="235" cm="1">
        <f t="array" ref="CN466">$BI466 * IF($AH466&lt;=2,
SUMPRODUCT(INDEX($AR$72:$AT$76,,$AI466), INDEX($AU$72:$BA$76,,$AH466), 1 / ($BB$72:$BB$76*CM466 + (1-$BB$72:$BB$76)*CI466), N($AQ$72:$AQ$76&gt;$AO466)),
SUMPRODUCT(INDEX($AR$67:$AT$76,,$AI466), INDEX($AU$67:$BA$76,,$AH466), 1 / ($BC$67:$BC$76*CM466 + (1-$BC$67:$BC$76)*CI466), N($AQ$67:$AQ$76&gt;$AO466))
) / 1000</f>
        <v>0</v>
      </c>
      <c r="CO466" s="232">
        <f t="shared" si="533"/>
        <v>25</v>
      </c>
      <c r="CP466" s="230">
        <f t="shared" si="556"/>
        <v>38</v>
      </c>
      <c r="CQ466" s="235">
        <f t="shared" si="557"/>
        <v>4.0666935483870965</v>
      </c>
      <c r="CR466" s="235" cm="1">
        <f t="array" ref="CR466">$BI466 * IF($AH466&lt;=2,
SUMPRODUCT(INDEX($AR$67:$AT$71,,$AI466), INDEX($AU$67:$BA$71,,$AH466), 1 / ($BB$67:$BB$71*CQ466 + (1-$BB$67:$BB$71)*CM466), N($AQ$67:$AQ$71&gt;$AO466)),
SUMPRODUCT(INDEX($AR$57:$AT$66,,$AI466), INDEX($AU$57:$BA$66,,$AH466), 1 / ($BC$57:$BC$66*CQ466 + (1-$BC$57:$BC$66)*CM466), N($AQ$57:$AQ$66&gt;$AO466))
) / 1000</f>
        <v>0</v>
      </c>
      <c r="CS466" s="232">
        <f t="shared" si="534"/>
        <v>20</v>
      </c>
      <c r="CT466" s="230">
        <f t="shared" si="558"/>
        <v>33</v>
      </c>
      <c r="CU466" s="235">
        <f t="shared" si="559"/>
        <v>4.8487499999999999</v>
      </c>
      <c r="CV466" s="235" cm="1">
        <f t="array" ref="CV466">$BI466 * IF($AH466&lt;=2,
SUMPRODUCT(INDEX($AR$62:$AT$66,,$AI466), INDEX($AU$62:$BA$66,,$AH466), 1 / ($BB$62:$BB$66*CU466 + (1-$BB$62:$BB$66)*CQ466), N($AQ$62:$AQ$66&gt;$AO466)),
SUMPRODUCT(INDEX($AR$47:$AT$56,,$AI466), INDEX($AU$47:$BA$56,,$AH466), 1 / ($BC$47:$BC$56*CU466 + (1-$BC$47:$BC$56)*CQ466), N($AQ$47:$AQ$56&gt;$AO466))
) / 1000</f>
        <v>0</v>
      </c>
      <c r="CW466" s="235" cm="1">
        <f t="array" ref="CW466">$BI466 * IF($AH466&lt;=2,
SUMPRODUCT(INDEX($AR$23:$AT$61,,$AI466), INDEX($AU$23:$BA$61,,$AH466), 1 / ($BB$23:$BB$61*CU466), N($AQ$23:$AQ$61&gt;$AO466)),
SUMPRODUCT(INDEX($AR$23:$AT$46,,$AI466), INDEX($AU$23:$BA$46,,$AH466), 1 / ($BC$23:$BC$46*CU466), N($AQ$23:$AQ$46&gt;$AO466))
) / 1000</f>
        <v>0</v>
      </c>
      <c r="CX466" s="230">
        <f t="shared" si="560"/>
        <v>0</v>
      </c>
      <c r="CY466" s="238"/>
    </row>
    <row r="467" spans="1:103" s="76" customFormat="1" ht="14.25" customHeight="1" x14ac:dyDescent="0.2">
      <c r="A467" s="231" t="b">
        <f t="shared" si="526"/>
        <v>0</v>
      </c>
      <c r="B467" s="245">
        <v>445</v>
      </c>
      <c r="C467" s="258"/>
      <c r="D467" s="258"/>
      <c r="E467" s="246"/>
      <c r="F467" s="247" t="str">
        <f>IF(ISBLANK(E467), "", VLOOKUP(E467, Z!$A$2:$C$4127, 3, FALSE))</f>
        <v/>
      </c>
      <c r="G467" s="248"/>
      <c r="H467" s="248"/>
      <c r="I467" s="249"/>
      <c r="J467" s="250"/>
      <c r="K467" s="259"/>
      <c r="L467" s="260"/>
      <c r="M467" s="252" t="str" cm="1">
        <f t="array" ref="M467">INDEX(Trad, 53, $A$20)</f>
        <v>Verschmutzt</v>
      </c>
      <c r="N467" s="253"/>
      <c r="O467" s="253"/>
      <c r="P467" s="254"/>
      <c r="Q467" s="251"/>
      <c r="R467" s="251"/>
      <c r="S467" s="264">
        <f t="shared" si="535"/>
        <v>0</v>
      </c>
      <c r="T467" s="252" t="str" cm="1">
        <f t="array" ref="T467">INDEX(Trad, 52, $A$20)</f>
        <v>Sauber</v>
      </c>
      <c r="U467" s="253"/>
      <c r="V467" s="253"/>
      <c r="W467" s="254"/>
      <c r="X467" s="251"/>
      <c r="Y467" s="251"/>
      <c r="Z467" s="264">
        <f t="shared" si="536"/>
        <v>0</v>
      </c>
      <c r="AA467" s="261"/>
      <c r="AB467" s="258"/>
      <c r="AC467" s="246"/>
      <c r="AD467" s="247" t="str">
        <f>IF(ISBLANK(AC467), "", VLOOKUP(AC467, Z!$A$2:$C$4127, 3, FALSE))</f>
        <v/>
      </c>
      <c r="AE467" s="262"/>
      <c r="AF467" s="263">
        <f t="shared" si="537"/>
        <v>0</v>
      </c>
      <c r="AG467" s="238"/>
      <c r="AH467" s="229">
        <f t="shared" si="561"/>
        <v>1</v>
      </c>
      <c r="AI467" s="229">
        <f t="shared" si="562"/>
        <v>1</v>
      </c>
      <c r="AJ467" s="229">
        <f t="shared" si="563"/>
        <v>0</v>
      </c>
      <c r="AK467" s="229">
        <v>0</v>
      </c>
      <c r="AL467" s="229">
        <v>0</v>
      </c>
      <c r="AM467" s="229">
        <v>1</v>
      </c>
      <c r="AN467" s="229">
        <v>0</v>
      </c>
      <c r="AO467" s="229">
        <f t="shared" si="538"/>
        <v>-100</v>
      </c>
      <c r="AP467" s="238"/>
      <c r="AQ467" s="255"/>
      <c r="AR467" s="255"/>
      <c r="AS467" s="256"/>
      <c r="AT467" s="256"/>
      <c r="AU467" s="256"/>
      <c r="AV467" s="256"/>
      <c r="AW467" s="256"/>
      <c r="AX467" s="256"/>
      <c r="AY467" s="256"/>
      <c r="AZ467" s="256"/>
      <c r="BA467" s="256"/>
      <c r="BB467" s="256"/>
      <c r="BC467" s="256"/>
      <c r="BD467" s="238"/>
      <c r="BE467" s="229" cm="1">
        <f t="array" ref="BE467">IF(ISBLANK(R467), INDEX(Use, $AH467, 4) - AM467*INDEX(Use, $AH467, 6), R467)</f>
        <v>5</v>
      </c>
      <c r="BF467" s="229">
        <f t="shared" si="539"/>
        <v>30</v>
      </c>
      <c r="BG467" s="229">
        <f t="shared" si="527"/>
        <v>13</v>
      </c>
      <c r="BH467" s="229">
        <f t="shared" si="528"/>
        <v>0</v>
      </c>
      <c r="BI467" s="234" cm="1">
        <f t="array" ref="BI467">K467/IF($L467&gt;0, INDEX($AU$23:$BA$77, $L467+20, $AH467), 1)</f>
        <v>0</v>
      </c>
      <c r="BJ467" s="230">
        <f t="shared" si="540"/>
        <v>0</v>
      </c>
      <c r="BK467" s="229">
        <v>35</v>
      </c>
      <c r="BL467" s="230">
        <f t="shared" si="541"/>
        <v>48</v>
      </c>
      <c r="BM467" s="235">
        <f t="shared" si="542"/>
        <v>2.9108720930232557</v>
      </c>
      <c r="BN467" s="235" cm="1">
        <f t="array" ref="BN467">$BI467 * SUMPRODUCT(INDEX($AR$77:$AT$82,,$AI467),INDEX($AU$77:$BA$82,,$AH467), N($AQ$77:$AQ$82&gt;$AO467)) / BM467 / 1000</f>
        <v>0</v>
      </c>
      <c r="BO467" s="232">
        <f t="shared" si="529"/>
        <v>30</v>
      </c>
      <c r="BP467" s="230">
        <f t="shared" si="543"/>
        <v>43</v>
      </c>
      <c r="BQ467" s="235">
        <f t="shared" si="544"/>
        <v>3.2938815789473681</v>
      </c>
      <c r="BR467" s="235" cm="1">
        <f t="array" ref="BR467">$BI467 * IF($AH467&lt;=2,
SUMPRODUCT(INDEX($AR$72:$AT$76,,$AI467), INDEX($AU$72:$BA$76,,$AH467), 1 / ($BB$72:$BB$76*BQ467 + (1-$BB$72:$BB$76)*BM467), N($AQ$72:$AQ$76&gt;$AO467)),
SUMPRODUCT(INDEX($AR$67:$AT$76,,$AI467), INDEX($AU$67:$BA$76,,$AH467), 1 / ($BC$67:$BC$76*BQ467 + (1-$BC$67:$BC$76)*BM467), N($AQ$67:$AQ$76&gt;$AO467))
) / 1000</f>
        <v>0</v>
      </c>
      <c r="BS467" s="232">
        <f t="shared" si="530"/>
        <v>25</v>
      </c>
      <c r="BT467" s="230">
        <f t="shared" si="545"/>
        <v>38</v>
      </c>
      <c r="BU467" s="235">
        <f t="shared" si="546"/>
        <v>3.792954545454545</v>
      </c>
      <c r="BV467" s="235" cm="1">
        <f t="array" ref="BV467">$BI467 * IF($AH467&lt;=2,
SUMPRODUCT(INDEX($AR$67:$AT$71,,$AI467), INDEX($AU$67:$BA$71,,$AH467), 1 / ($BB$67:$BB$71*BU467 + (1-$BB$67:$BB$71)*BQ467), N($AQ$67:$AQ$71&gt;$AO467)),
SUMPRODUCT(INDEX($AR$57:$AT$66,,$AI467), INDEX($AU$57:$BA$66,,$AH467), 1 / ($BC$57:$BC$66*BU467 + (1-$BC$57:$BC$66)*BQ467), N($AQ$57:$AQ$66&gt;$AO467))
) / 1000</f>
        <v>0</v>
      </c>
      <c r="BW467" s="232">
        <f t="shared" si="531"/>
        <v>20</v>
      </c>
      <c r="BX467" s="230">
        <f t="shared" si="547"/>
        <v>33</v>
      </c>
      <c r="BY467" s="235">
        <f t="shared" si="548"/>
        <v>4.4702678571428569</v>
      </c>
      <c r="BZ467" s="235" cm="1">
        <f t="array" ref="BZ467">$BI467 * IF($AH467&lt;=2,
SUMPRODUCT(INDEX($AR$62:$AT$66,,$AI467), INDEX($AU$62:$BA$66,,$AH467), 1 / ($BB$62:$BB$66*BY467 + (1-$BB$62:$BB$66)*BU467), N($AQ$62:$AQ$66&gt;$AO467)),
SUMPRODUCT(INDEX($AR$47:$AT$56,,$AI467), INDEX($AU$47:$BA$56,,$AH467), 1 / ($BC$47:$BC$56*BY467 + (1-$BC$47:$BC$56)*BU467), N($AQ$47:$AQ$56&gt;$AO467))
) / 1000</f>
        <v>0</v>
      </c>
      <c r="CA467" s="235" cm="1">
        <f t="array" ref="CA467">$BI467 * IF($AH467&lt;=2,
SUMPRODUCT(INDEX($AR$23:$AT$61,,$AI467), INDEX($AU$23:$BA$61,,$AH467), 1 / ($BB$23:$BB$61*BY467), N($AQ$23:$AQ$61&gt;$AO467)),
SUMPRODUCT(INDEX($AR$23:$AT$46,,$AI467), INDEX($AU$23:$BA$46,,$AH467), 1 / ($BC$23:$BC$46*BY467), N($AQ$23:$AQ$46&gt;$AO467))
) / 1000</f>
        <v>0</v>
      </c>
      <c r="CB467" s="230">
        <f t="shared" si="549"/>
        <v>0</v>
      </c>
      <c r="CC467" s="238"/>
      <c r="CD467" s="229" cm="1">
        <f t="array" ref="CD467">IF(ISBLANK(Y467), INDEX(Use, $AH467, 4) - AN467*INDEX(Use, $AH467, 6) - (Q467-X467), Y467)</f>
        <v>7</v>
      </c>
      <c r="CE467" s="229">
        <f t="shared" si="550"/>
        <v>32</v>
      </c>
      <c r="CF467" s="230">
        <f t="shared" si="551"/>
        <v>0</v>
      </c>
      <c r="CG467" s="229">
        <v>35</v>
      </c>
      <c r="CH467" s="230">
        <f t="shared" si="552"/>
        <v>48</v>
      </c>
      <c r="CI467" s="235">
        <f t="shared" si="553"/>
        <v>3.0748170731707316</v>
      </c>
      <c r="CJ467" s="235" cm="1">
        <f t="array" ref="CJ467">$BI467 * SUMPRODUCT(INDEX($AR$77:$AT$82,,$AI467),INDEX($AU$77:$BA$82,,$AH467), N($AQ$77:$AQ$82&gt;$AO467)) / CI467 / 1000</f>
        <v>0</v>
      </c>
      <c r="CK467" s="232">
        <f t="shared" si="532"/>
        <v>30</v>
      </c>
      <c r="CL467" s="230">
        <f t="shared" si="554"/>
        <v>43</v>
      </c>
      <c r="CM467" s="235">
        <f t="shared" si="555"/>
        <v>3.5018750000000001</v>
      </c>
      <c r="CN467" s="235" cm="1">
        <f t="array" ref="CN467">$BI467 * IF($AH467&lt;=2,
SUMPRODUCT(INDEX($AR$72:$AT$76,,$AI467), INDEX($AU$72:$BA$76,,$AH467), 1 / ($BB$72:$BB$76*CM467 + (1-$BB$72:$BB$76)*CI467), N($AQ$72:$AQ$76&gt;$AO467)),
SUMPRODUCT(INDEX($AR$67:$AT$76,,$AI467), INDEX($AU$67:$BA$76,,$AH467), 1 / ($BC$67:$BC$76*CM467 + (1-$BC$67:$BC$76)*CI467), N($AQ$67:$AQ$76&gt;$AO467))
) / 1000</f>
        <v>0</v>
      </c>
      <c r="CO467" s="232">
        <f t="shared" si="533"/>
        <v>25</v>
      </c>
      <c r="CP467" s="230">
        <f t="shared" si="556"/>
        <v>38</v>
      </c>
      <c r="CQ467" s="235">
        <f t="shared" si="557"/>
        <v>4.0666935483870965</v>
      </c>
      <c r="CR467" s="235" cm="1">
        <f t="array" ref="CR467">$BI467 * IF($AH467&lt;=2,
SUMPRODUCT(INDEX($AR$67:$AT$71,,$AI467), INDEX($AU$67:$BA$71,,$AH467), 1 / ($BB$67:$BB$71*CQ467 + (1-$BB$67:$BB$71)*CM467), N($AQ$67:$AQ$71&gt;$AO467)),
SUMPRODUCT(INDEX($AR$57:$AT$66,,$AI467), INDEX($AU$57:$BA$66,,$AH467), 1 / ($BC$57:$BC$66*CQ467 + (1-$BC$57:$BC$66)*CM467), N($AQ$57:$AQ$66&gt;$AO467))
) / 1000</f>
        <v>0</v>
      </c>
      <c r="CS467" s="232">
        <f t="shared" si="534"/>
        <v>20</v>
      </c>
      <c r="CT467" s="230">
        <f t="shared" si="558"/>
        <v>33</v>
      </c>
      <c r="CU467" s="235">
        <f t="shared" si="559"/>
        <v>4.8487499999999999</v>
      </c>
      <c r="CV467" s="235" cm="1">
        <f t="array" ref="CV467">$BI467 * IF($AH467&lt;=2,
SUMPRODUCT(INDEX($AR$62:$AT$66,,$AI467), INDEX($AU$62:$BA$66,,$AH467), 1 / ($BB$62:$BB$66*CU467 + (1-$BB$62:$BB$66)*CQ467), N($AQ$62:$AQ$66&gt;$AO467)),
SUMPRODUCT(INDEX($AR$47:$AT$56,,$AI467), INDEX($AU$47:$BA$56,,$AH467), 1 / ($BC$47:$BC$56*CU467 + (1-$BC$47:$BC$56)*CQ467), N($AQ$47:$AQ$56&gt;$AO467))
) / 1000</f>
        <v>0</v>
      </c>
      <c r="CW467" s="235" cm="1">
        <f t="array" ref="CW467">$BI467 * IF($AH467&lt;=2,
SUMPRODUCT(INDEX($AR$23:$AT$61,,$AI467), INDEX($AU$23:$BA$61,,$AH467), 1 / ($BB$23:$BB$61*CU467), N($AQ$23:$AQ$61&gt;$AO467)),
SUMPRODUCT(INDEX($AR$23:$AT$46,,$AI467), INDEX($AU$23:$BA$46,,$AH467), 1 / ($BC$23:$BC$46*CU467), N($AQ$23:$AQ$46&gt;$AO467))
) / 1000</f>
        <v>0</v>
      </c>
      <c r="CX467" s="230">
        <f t="shared" si="560"/>
        <v>0</v>
      </c>
      <c r="CY467" s="238"/>
    </row>
    <row r="468" spans="1:103" s="76" customFormat="1" ht="14.25" customHeight="1" x14ac:dyDescent="0.2">
      <c r="A468" s="231" t="b">
        <f t="shared" si="526"/>
        <v>0</v>
      </c>
      <c r="B468" s="245">
        <v>446</v>
      </c>
      <c r="C468" s="258"/>
      <c r="D468" s="258"/>
      <c r="E468" s="246"/>
      <c r="F468" s="247" t="str">
        <f>IF(ISBLANK(E468), "", VLOOKUP(E468, Z!$A$2:$C$4127, 3, FALSE))</f>
        <v/>
      </c>
      <c r="G468" s="248"/>
      <c r="H468" s="248"/>
      <c r="I468" s="249"/>
      <c r="J468" s="250"/>
      <c r="K468" s="259"/>
      <c r="L468" s="260"/>
      <c r="M468" s="252" t="str" cm="1">
        <f t="array" ref="M468">INDEX(Trad, 53, $A$20)</f>
        <v>Verschmutzt</v>
      </c>
      <c r="N468" s="253"/>
      <c r="O468" s="253"/>
      <c r="P468" s="254"/>
      <c r="Q468" s="251"/>
      <c r="R468" s="251"/>
      <c r="S468" s="264">
        <f t="shared" si="535"/>
        <v>0</v>
      </c>
      <c r="T468" s="252" t="str" cm="1">
        <f t="array" ref="T468">INDEX(Trad, 52, $A$20)</f>
        <v>Sauber</v>
      </c>
      <c r="U468" s="253"/>
      <c r="V468" s="253"/>
      <c r="W468" s="254"/>
      <c r="X468" s="251"/>
      <c r="Y468" s="251"/>
      <c r="Z468" s="264">
        <f t="shared" si="536"/>
        <v>0</v>
      </c>
      <c r="AA468" s="261"/>
      <c r="AB468" s="258"/>
      <c r="AC468" s="246"/>
      <c r="AD468" s="247" t="str">
        <f>IF(ISBLANK(AC468), "", VLOOKUP(AC468, Z!$A$2:$C$4127, 3, FALSE))</f>
        <v/>
      </c>
      <c r="AE468" s="262"/>
      <c r="AF468" s="263">
        <f t="shared" si="537"/>
        <v>0</v>
      </c>
      <c r="AG468" s="238"/>
      <c r="AH468" s="229">
        <f t="shared" si="561"/>
        <v>1</v>
      </c>
      <c r="AI468" s="229">
        <f t="shared" si="562"/>
        <v>1</v>
      </c>
      <c r="AJ468" s="229">
        <f t="shared" si="563"/>
        <v>0</v>
      </c>
      <c r="AK468" s="229">
        <v>0</v>
      </c>
      <c r="AL468" s="229">
        <v>0</v>
      </c>
      <c r="AM468" s="229">
        <v>1</v>
      </c>
      <c r="AN468" s="229">
        <v>0</v>
      </c>
      <c r="AO468" s="229">
        <f t="shared" si="538"/>
        <v>-100</v>
      </c>
      <c r="AP468" s="238"/>
      <c r="AQ468" s="255"/>
      <c r="AR468" s="255"/>
      <c r="AS468" s="256"/>
      <c r="AT468" s="256"/>
      <c r="AU468" s="256"/>
      <c r="AV468" s="256"/>
      <c r="AW468" s="256"/>
      <c r="AX468" s="256"/>
      <c r="AY468" s="256"/>
      <c r="AZ468" s="256"/>
      <c r="BA468" s="256"/>
      <c r="BB468" s="256"/>
      <c r="BC468" s="256"/>
      <c r="BD468" s="238"/>
      <c r="BE468" s="229" cm="1">
        <f t="array" ref="BE468">IF(ISBLANK(R468), INDEX(Use, $AH468, 4) - AM468*INDEX(Use, $AH468, 6), R468)</f>
        <v>5</v>
      </c>
      <c r="BF468" s="229">
        <f t="shared" si="539"/>
        <v>30</v>
      </c>
      <c r="BG468" s="229">
        <f t="shared" si="527"/>
        <v>13</v>
      </c>
      <c r="BH468" s="229">
        <f t="shared" si="528"/>
        <v>0</v>
      </c>
      <c r="BI468" s="234" cm="1">
        <f t="array" ref="BI468">K468/IF($L468&gt;0, INDEX($AU$23:$BA$77, $L468+20, $AH468), 1)</f>
        <v>0</v>
      </c>
      <c r="BJ468" s="230">
        <f t="shared" si="540"/>
        <v>0</v>
      </c>
      <c r="BK468" s="229">
        <v>35</v>
      </c>
      <c r="BL468" s="230">
        <f t="shared" si="541"/>
        <v>48</v>
      </c>
      <c r="BM468" s="235">
        <f t="shared" si="542"/>
        <v>2.9108720930232557</v>
      </c>
      <c r="BN468" s="235" cm="1">
        <f t="array" ref="BN468">$BI468 * SUMPRODUCT(INDEX($AR$77:$AT$82,,$AI468),INDEX($AU$77:$BA$82,,$AH468), N($AQ$77:$AQ$82&gt;$AO468)) / BM468 / 1000</f>
        <v>0</v>
      </c>
      <c r="BO468" s="232">
        <f t="shared" si="529"/>
        <v>30</v>
      </c>
      <c r="BP468" s="230">
        <f t="shared" si="543"/>
        <v>43</v>
      </c>
      <c r="BQ468" s="235">
        <f t="shared" si="544"/>
        <v>3.2938815789473681</v>
      </c>
      <c r="BR468" s="235" cm="1">
        <f t="array" ref="BR468">$BI468 * IF($AH468&lt;=2,
SUMPRODUCT(INDEX($AR$72:$AT$76,,$AI468), INDEX($AU$72:$BA$76,,$AH468), 1 / ($BB$72:$BB$76*BQ468 + (1-$BB$72:$BB$76)*BM468), N($AQ$72:$AQ$76&gt;$AO468)),
SUMPRODUCT(INDEX($AR$67:$AT$76,,$AI468), INDEX($AU$67:$BA$76,,$AH468), 1 / ($BC$67:$BC$76*BQ468 + (1-$BC$67:$BC$76)*BM468), N($AQ$67:$AQ$76&gt;$AO468))
) / 1000</f>
        <v>0</v>
      </c>
      <c r="BS468" s="232">
        <f t="shared" si="530"/>
        <v>25</v>
      </c>
      <c r="BT468" s="230">
        <f t="shared" si="545"/>
        <v>38</v>
      </c>
      <c r="BU468" s="235">
        <f t="shared" si="546"/>
        <v>3.792954545454545</v>
      </c>
      <c r="BV468" s="235" cm="1">
        <f t="array" ref="BV468">$BI468 * IF($AH468&lt;=2,
SUMPRODUCT(INDEX($AR$67:$AT$71,,$AI468), INDEX($AU$67:$BA$71,,$AH468), 1 / ($BB$67:$BB$71*BU468 + (1-$BB$67:$BB$71)*BQ468), N($AQ$67:$AQ$71&gt;$AO468)),
SUMPRODUCT(INDEX($AR$57:$AT$66,,$AI468), INDEX($AU$57:$BA$66,,$AH468), 1 / ($BC$57:$BC$66*BU468 + (1-$BC$57:$BC$66)*BQ468), N($AQ$57:$AQ$66&gt;$AO468))
) / 1000</f>
        <v>0</v>
      </c>
      <c r="BW468" s="232">
        <f t="shared" si="531"/>
        <v>20</v>
      </c>
      <c r="BX468" s="230">
        <f t="shared" si="547"/>
        <v>33</v>
      </c>
      <c r="BY468" s="235">
        <f t="shared" si="548"/>
        <v>4.4702678571428569</v>
      </c>
      <c r="BZ468" s="235" cm="1">
        <f t="array" ref="BZ468">$BI468 * IF($AH468&lt;=2,
SUMPRODUCT(INDEX($AR$62:$AT$66,,$AI468), INDEX($AU$62:$BA$66,,$AH468), 1 / ($BB$62:$BB$66*BY468 + (1-$BB$62:$BB$66)*BU468), N($AQ$62:$AQ$66&gt;$AO468)),
SUMPRODUCT(INDEX($AR$47:$AT$56,,$AI468), INDEX($AU$47:$BA$56,,$AH468), 1 / ($BC$47:$BC$56*BY468 + (1-$BC$47:$BC$56)*BU468), N($AQ$47:$AQ$56&gt;$AO468))
) / 1000</f>
        <v>0</v>
      </c>
      <c r="CA468" s="235" cm="1">
        <f t="array" ref="CA468">$BI468 * IF($AH468&lt;=2,
SUMPRODUCT(INDEX($AR$23:$AT$61,,$AI468), INDEX($AU$23:$BA$61,,$AH468), 1 / ($BB$23:$BB$61*BY468), N($AQ$23:$AQ$61&gt;$AO468)),
SUMPRODUCT(INDEX($AR$23:$AT$46,,$AI468), INDEX($AU$23:$BA$46,,$AH468), 1 / ($BC$23:$BC$46*BY468), N($AQ$23:$AQ$46&gt;$AO468))
) / 1000</f>
        <v>0</v>
      </c>
      <c r="CB468" s="230">
        <f t="shared" si="549"/>
        <v>0</v>
      </c>
      <c r="CC468" s="238"/>
      <c r="CD468" s="229" cm="1">
        <f t="array" ref="CD468">IF(ISBLANK(Y468), INDEX(Use, $AH468, 4) - AN468*INDEX(Use, $AH468, 6) - (Q468-X468), Y468)</f>
        <v>7</v>
      </c>
      <c r="CE468" s="229">
        <f t="shared" si="550"/>
        <v>32</v>
      </c>
      <c r="CF468" s="230">
        <f t="shared" si="551"/>
        <v>0</v>
      </c>
      <c r="CG468" s="229">
        <v>35</v>
      </c>
      <c r="CH468" s="230">
        <f t="shared" si="552"/>
        <v>48</v>
      </c>
      <c r="CI468" s="235">
        <f t="shared" si="553"/>
        <v>3.0748170731707316</v>
      </c>
      <c r="CJ468" s="235" cm="1">
        <f t="array" ref="CJ468">$BI468 * SUMPRODUCT(INDEX($AR$77:$AT$82,,$AI468),INDEX($AU$77:$BA$82,,$AH468), N($AQ$77:$AQ$82&gt;$AO468)) / CI468 / 1000</f>
        <v>0</v>
      </c>
      <c r="CK468" s="232">
        <f t="shared" si="532"/>
        <v>30</v>
      </c>
      <c r="CL468" s="230">
        <f t="shared" si="554"/>
        <v>43</v>
      </c>
      <c r="CM468" s="235">
        <f t="shared" si="555"/>
        <v>3.5018750000000001</v>
      </c>
      <c r="CN468" s="235" cm="1">
        <f t="array" ref="CN468">$BI468 * IF($AH468&lt;=2,
SUMPRODUCT(INDEX($AR$72:$AT$76,,$AI468), INDEX($AU$72:$BA$76,,$AH468), 1 / ($BB$72:$BB$76*CM468 + (1-$BB$72:$BB$76)*CI468), N($AQ$72:$AQ$76&gt;$AO468)),
SUMPRODUCT(INDEX($AR$67:$AT$76,,$AI468), INDEX($AU$67:$BA$76,,$AH468), 1 / ($BC$67:$BC$76*CM468 + (1-$BC$67:$BC$76)*CI468), N($AQ$67:$AQ$76&gt;$AO468))
) / 1000</f>
        <v>0</v>
      </c>
      <c r="CO468" s="232">
        <f t="shared" si="533"/>
        <v>25</v>
      </c>
      <c r="CP468" s="230">
        <f t="shared" si="556"/>
        <v>38</v>
      </c>
      <c r="CQ468" s="235">
        <f t="shared" si="557"/>
        <v>4.0666935483870965</v>
      </c>
      <c r="CR468" s="235" cm="1">
        <f t="array" ref="CR468">$BI468 * IF($AH468&lt;=2,
SUMPRODUCT(INDEX($AR$67:$AT$71,,$AI468), INDEX($AU$67:$BA$71,,$AH468), 1 / ($BB$67:$BB$71*CQ468 + (1-$BB$67:$BB$71)*CM468), N($AQ$67:$AQ$71&gt;$AO468)),
SUMPRODUCT(INDEX($AR$57:$AT$66,,$AI468), INDEX($AU$57:$BA$66,,$AH468), 1 / ($BC$57:$BC$66*CQ468 + (1-$BC$57:$BC$66)*CM468), N($AQ$57:$AQ$66&gt;$AO468))
) / 1000</f>
        <v>0</v>
      </c>
      <c r="CS468" s="232">
        <f t="shared" si="534"/>
        <v>20</v>
      </c>
      <c r="CT468" s="230">
        <f t="shared" si="558"/>
        <v>33</v>
      </c>
      <c r="CU468" s="235">
        <f t="shared" si="559"/>
        <v>4.8487499999999999</v>
      </c>
      <c r="CV468" s="235" cm="1">
        <f t="array" ref="CV468">$BI468 * IF($AH468&lt;=2,
SUMPRODUCT(INDEX($AR$62:$AT$66,,$AI468), INDEX($AU$62:$BA$66,,$AH468), 1 / ($BB$62:$BB$66*CU468 + (1-$BB$62:$BB$66)*CQ468), N($AQ$62:$AQ$66&gt;$AO468)),
SUMPRODUCT(INDEX($AR$47:$AT$56,,$AI468), INDEX($AU$47:$BA$56,,$AH468), 1 / ($BC$47:$BC$56*CU468 + (1-$BC$47:$BC$56)*CQ468), N($AQ$47:$AQ$56&gt;$AO468))
) / 1000</f>
        <v>0</v>
      </c>
      <c r="CW468" s="235" cm="1">
        <f t="array" ref="CW468">$BI468 * IF($AH468&lt;=2,
SUMPRODUCT(INDEX($AR$23:$AT$61,,$AI468), INDEX($AU$23:$BA$61,,$AH468), 1 / ($BB$23:$BB$61*CU468), N($AQ$23:$AQ$61&gt;$AO468)),
SUMPRODUCT(INDEX($AR$23:$AT$46,,$AI468), INDEX($AU$23:$BA$46,,$AH468), 1 / ($BC$23:$BC$46*CU468), N($AQ$23:$AQ$46&gt;$AO468))
) / 1000</f>
        <v>0</v>
      </c>
      <c r="CX468" s="230">
        <f t="shared" si="560"/>
        <v>0</v>
      </c>
      <c r="CY468" s="238"/>
    </row>
    <row r="469" spans="1:103" s="76" customFormat="1" ht="14.25" customHeight="1" x14ac:dyDescent="0.2">
      <c r="A469" s="231" t="b">
        <f t="shared" si="526"/>
        <v>0</v>
      </c>
      <c r="B469" s="245">
        <v>447</v>
      </c>
      <c r="C469" s="258"/>
      <c r="D469" s="258"/>
      <c r="E469" s="246"/>
      <c r="F469" s="247" t="str">
        <f>IF(ISBLANK(E469), "", VLOOKUP(E469, Z!$A$2:$C$4127, 3, FALSE))</f>
        <v/>
      </c>
      <c r="G469" s="248"/>
      <c r="H469" s="248"/>
      <c r="I469" s="249"/>
      <c r="J469" s="250"/>
      <c r="K469" s="259"/>
      <c r="L469" s="260"/>
      <c r="M469" s="252" t="str" cm="1">
        <f t="array" ref="M469">INDEX(Trad, 53, $A$20)</f>
        <v>Verschmutzt</v>
      </c>
      <c r="N469" s="253"/>
      <c r="O469" s="253"/>
      <c r="P469" s="254"/>
      <c r="Q469" s="251"/>
      <c r="R469" s="251"/>
      <c r="S469" s="264">
        <f t="shared" si="535"/>
        <v>0</v>
      </c>
      <c r="T469" s="252" t="str" cm="1">
        <f t="array" ref="T469">INDEX(Trad, 52, $A$20)</f>
        <v>Sauber</v>
      </c>
      <c r="U469" s="253"/>
      <c r="V469" s="253"/>
      <c r="W469" s="254"/>
      <c r="X469" s="251"/>
      <c r="Y469" s="251"/>
      <c r="Z469" s="264">
        <f t="shared" si="536"/>
        <v>0</v>
      </c>
      <c r="AA469" s="261"/>
      <c r="AB469" s="258"/>
      <c r="AC469" s="246"/>
      <c r="AD469" s="247" t="str">
        <f>IF(ISBLANK(AC469), "", VLOOKUP(AC469, Z!$A$2:$C$4127, 3, FALSE))</f>
        <v/>
      </c>
      <c r="AE469" s="262"/>
      <c r="AF469" s="263">
        <f t="shared" si="537"/>
        <v>0</v>
      </c>
      <c r="AG469" s="238"/>
      <c r="AH469" s="229">
        <f t="shared" si="561"/>
        <v>1</v>
      </c>
      <c r="AI469" s="229">
        <f t="shared" si="562"/>
        <v>1</v>
      </c>
      <c r="AJ469" s="229">
        <f t="shared" si="563"/>
        <v>0</v>
      </c>
      <c r="AK469" s="229">
        <v>0</v>
      </c>
      <c r="AL469" s="229">
        <v>0</v>
      </c>
      <c r="AM469" s="229">
        <v>1</v>
      </c>
      <c r="AN469" s="229">
        <v>0</v>
      </c>
      <c r="AO469" s="229">
        <f t="shared" si="538"/>
        <v>-100</v>
      </c>
      <c r="AP469" s="238"/>
      <c r="AQ469" s="255"/>
      <c r="AR469" s="255"/>
      <c r="AS469" s="256"/>
      <c r="AT469" s="256"/>
      <c r="AU469" s="256"/>
      <c r="AV469" s="256"/>
      <c r="AW469" s="256"/>
      <c r="AX469" s="256"/>
      <c r="AY469" s="256"/>
      <c r="AZ469" s="256"/>
      <c r="BA469" s="256"/>
      <c r="BB469" s="256"/>
      <c r="BC469" s="256"/>
      <c r="BD469" s="238"/>
      <c r="BE469" s="229" cm="1">
        <f t="array" ref="BE469">IF(ISBLANK(R469), INDEX(Use, $AH469, 4) - AM469*INDEX(Use, $AH469, 6), R469)</f>
        <v>5</v>
      </c>
      <c r="BF469" s="229">
        <f t="shared" si="539"/>
        <v>30</v>
      </c>
      <c r="BG469" s="229">
        <f t="shared" si="527"/>
        <v>13</v>
      </c>
      <c r="BH469" s="229">
        <f t="shared" si="528"/>
        <v>0</v>
      </c>
      <c r="BI469" s="234" cm="1">
        <f t="array" ref="BI469">K469/IF($L469&gt;0, INDEX($AU$23:$BA$77, $L469+20, $AH469), 1)</f>
        <v>0</v>
      </c>
      <c r="BJ469" s="230">
        <f t="shared" si="540"/>
        <v>0</v>
      </c>
      <c r="BK469" s="229">
        <v>35</v>
      </c>
      <c r="BL469" s="230">
        <f t="shared" si="541"/>
        <v>48</v>
      </c>
      <c r="BM469" s="235">
        <f t="shared" si="542"/>
        <v>2.9108720930232557</v>
      </c>
      <c r="BN469" s="235" cm="1">
        <f t="array" ref="BN469">$BI469 * SUMPRODUCT(INDEX($AR$77:$AT$82,,$AI469),INDEX($AU$77:$BA$82,,$AH469), N($AQ$77:$AQ$82&gt;$AO469)) / BM469 / 1000</f>
        <v>0</v>
      </c>
      <c r="BO469" s="232">
        <f t="shared" si="529"/>
        <v>30</v>
      </c>
      <c r="BP469" s="230">
        <f t="shared" si="543"/>
        <v>43</v>
      </c>
      <c r="BQ469" s="235">
        <f t="shared" si="544"/>
        <v>3.2938815789473681</v>
      </c>
      <c r="BR469" s="235" cm="1">
        <f t="array" ref="BR469">$BI469 * IF($AH469&lt;=2,
SUMPRODUCT(INDEX($AR$72:$AT$76,,$AI469), INDEX($AU$72:$BA$76,,$AH469), 1 / ($BB$72:$BB$76*BQ469 + (1-$BB$72:$BB$76)*BM469), N($AQ$72:$AQ$76&gt;$AO469)),
SUMPRODUCT(INDEX($AR$67:$AT$76,,$AI469), INDEX($AU$67:$BA$76,,$AH469), 1 / ($BC$67:$BC$76*BQ469 + (1-$BC$67:$BC$76)*BM469), N($AQ$67:$AQ$76&gt;$AO469))
) / 1000</f>
        <v>0</v>
      </c>
      <c r="BS469" s="232">
        <f t="shared" si="530"/>
        <v>25</v>
      </c>
      <c r="BT469" s="230">
        <f t="shared" si="545"/>
        <v>38</v>
      </c>
      <c r="BU469" s="235">
        <f t="shared" si="546"/>
        <v>3.792954545454545</v>
      </c>
      <c r="BV469" s="235" cm="1">
        <f t="array" ref="BV469">$BI469 * IF($AH469&lt;=2,
SUMPRODUCT(INDEX($AR$67:$AT$71,,$AI469), INDEX($AU$67:$BA$71,,$AH469), 1 / ($BB$67:$BB$71*BU469 + (1-$BB$67:$BB$71)*BQ469), N($AQ$67:$AQ$71&gt;$AO469)),
SUMPRODUCT(INDEX($AR$57:$AT$66,,$AI469), INDEX($AU$57:$BA$66,,$AH469), 1 / ($BC$57:$BC$66*BU469 + (1-$BC$57:$BC$66)*BQ469), N($AQ$57:$AQ$66&gt;$AO469))
) / 1000</f>
        <v>0</v>
      </c>
      <c r="BW469" s="232">
        <f t="shared" si="531"/>
        <v>20</v>
      </c>
      <c r="BX469" s="230">
        <f t="shared" si="547"/>
        <v>33</v>
      </c>
      <c r="BY469" s="235">
        <f t="shared" si="548"/>
        <v>4.4702678571428569</v>
      </c>
      <c r="BZ469" s="235" cm="1">
        <f t="array" ref="BZ469">$BI469 * IF($AH469&lt;=2,
SUMPRODUCT(INDEX($AR$62:$AT$66,,$AI469), INDEX($AU$62:$BA$66,,$AH469), 1 / ($BB$62:$BB$66*BY469 + (1-$BB$62:$BB$66)*BU469), N($AQ$62:$AQ$66&gt;$AO469)),
SUMPRODUCT(INDEX($AR$47:$AT$56,,$AI469), INDEX($AU$47:$BA$56,,$AH469), 1 / ($BC$47:$BC$56*BY469 + (1-$BC$47:$BC$56)*BU469), N($AQ$47:$AQ$56&gt;$AO469))
) / 1000</f>
        <v>0</v>
      </c>
      <c r="CA469" s="235" cm="1">
        <f t="array" ref="CA469">$BI469 * IF($AH469&lt;=2,
SUMPRODUCT(INDEX($AR$23:$AT$61,,$AI469), INDEX($AU$23:$BA$61,,$AH469), 1 / ($BB$23:$BB$61*BY469), N($AQ$23:$AQ$61&gt;$AO469)),
SUMPRODUCT(INDEX($AR$23:$AT$46,,$AI469), INDEX($AU$23:$BA$46,,$AH469), 1 / ($BC$23:$BC$46*BY469), N($AQ$23:$AQ$46&gt;$AO469))
) / 1000</f>
        <v>0</v>
      </c>
      <c r="CB469" s="230">
        <f t="shared" si="549"/>
        <v>0</v>
      </c>
      <c r="CC469" s="238"/>
      <c r="CD469" s="229" cm="1">
        <f t="array" ref="CD469">IF(ISBLANK(Y469), INDEX(Use, $AH469, 4) - AN469*INDEX(Use, $AH469, 6) - (Q469-X469), Y469)</f>
        <v>7</v>
      </c>
      <c r="CE469" s="229">
        <f t="shared" si="550"/>
        <v>32</v>
      </c>
      <c r="CF469" s="230">
        <f t="shared" si="551"/>
        <v>0</v>
      </c>
      <c r="CG469" s="229">
        <v>35</v>
      </c>
      <c r="CH469" s="230">
        <f t="shared" si="552"/>
        <v>48</v>
      </c>
      <c r="CI469" s="235">
        <f t="shared" si="553"/>
        <v>3.0748170731707316</v>
      </c>
      <c r="CJ469" s="235" cm="1">
        <f t="array" ref="CJ469">$BI469 * SUMPRODUCT(INDEX($AR$77:$AT$82,,$AI469),INDEX($AU$77:$BA$82,,$AH469), N($AQ$77:$AQ$82&gt;$AO469)) / CI469 / 1000</f>
        <v>0</v>
      </c>
      <c r="CK469" s="232">
        <f t="shared" si="532"/>
        <v>30</v>
      </c>
      <c r="CL469" s="230">
        <f t="shared" si="554"/>
        <v>43</v>
      </c>
      <c r="CM469" s="235">
        <f t="shared" si="555"/>
        <v>3.5018750000000001</v>
      </c>
      <c r="CN469" s="235" cm="1">
        <f t="array" ref="CN469">$BI469 * IF($AH469&lt;=2,
SUMPRODUCT(INDEX($AR$72:$AT$76,,$AI469), INDEX($AU$72:$BA$76,,$AH469), 1 / ($BB$72:$BB$76*CM469 + (1-$BB$72:$BB$76)*CI469), N($AQ$72:$AQ$76&gt;$AO469)),
SUMPRODUCT(INDEX($AR$67:$AT$76,,$AI469), INDEX($AU$67:$BA$76,,$AH469), 1 / ($BC$67:$BC$76*CM469 + (1-$BC$67:$BC$76)*CI469), N($AQ$67:$AQ$76&gt;$AO469))
) / 1000</f>
        <v>0</v>
      </c>
      <c r="CO469" s="232">
        <f t="shared" si="533"/>
        <v>25</v>
      </c>
      <c r="CP469" s="230">
        <f t="shared" si="556"/>
        <v>38</v>
      </c>
      <c r="CQ469" s="235">
        <f t="shared" si="557"/>
        <v>4.0666935483870965</v>
      </c>
      <c r="CR469" s="235" cm="1">
        <f t="array" ref="CR469">$BI469 * IF($AH469&lt;=2,
SUMPRODUCT(INDEX($AR$67:$AT$71,,$AI469), INDEX($AU$67:$BA$71,,$AH469), 1 / ($BB$67:$BB$71*CQ469 + (1-$BB$67:$BB$71)*CM469), N($AQ$67:$AQ$71&gt;$AO469)),
SUMPRODUCT(INDEX($AR$57:$AT$66,,$AI469), INDEX($AU$57:$BA$66,,$AH469), 1 / ($BC$57:$BC$66*CQ469 + (1-$BC$57:$BC$66)*CM469), N($AQ$57:$AQ$66&gt;$AO469))
) / 1000</f>
        <v>0</v>
      </c>
      <c r="CS469" s="232">
        <f t="shared" si="534"/>
        <v>20</v>
      </c>
      <c r="CT469" s="230">
        <f t="shared" si="558"/>
        <v>33</v>
      </c>
      <c r="CU469" s="235">
        <f t="shared" si="559"/>
        <v>4.8487499999999999</v>
      </c>
      <c r="CV469" s="235" cm="1">
        <f t="array" ref="CV469">$BI469 * IF($AH469&lt;=2,
SUMPRODUCT(INDEX($AR$62:$AT$66,,$AI469), INDEX($AU$62:$BA$66,,$AH469), 1 / ($BB$62:$BB$66*CU469 + (1-$BB$62:$BB$66)*CQ469), N($AQ$62:$AQ$66&gt;$AO469)),
SUMPRODUCT(INDEX($AR$47:$AT$56,,$AI469), INDEX($AU$47:$BA$56,,$AH469), 1 / ($BC$47:$BC$56*CU469 + (1-$BC$47:$BC$56)*CQ469), N($AQ$47:$AQ$56&gt;$AO469))
) / 1000</f>
        <v>0</v>
      </c>
      <c r="CW469" s="235" cm="1">
        <f t="array" ref="CW469">$BI469 * IF($AH469&lt;=2,
SUMPRODUCT(INDEX($AR$23:$AT$61,,$AI469), INDEX($AU$23:$BA$61,,$AH469), 1 / ($BB$23:$BB$61*CU469), N($AQ$23:$AQ$61&gt;$AO469)),
SUMPRODUCT(INDEX($AR$23:$AT$46,,$AI469), INDEX($AU$23:$BA$46,,$AH469), 1 / ($BC$23:$BC$46*CU469), N($AQ$23:$AQ$46&gt;$AO469))
) / 1000</f>
        <v>0</v>
      </c>
      <c r="CX469" s="230">
        <f t="shared" si="560"/>
        <v>0</v>
      </c>
      <c r="CY469" s="238"/>
    </row>
    <row r="470" spans="1:103" s="76" customFormat="1" ht="14.25" customHeight="1" x14ac:dyDescent="0.2">
      <c r="A470" s="231" t="b">
        <f t="shared" ref="A470:A533" si="564">IF(OR(AND($K470&gt;80, $AH470=1), AND($K470&gt;40, $AH470=3), AND($K470&gt;30, $AH470=4),), TRUE, FALSE)</f>
        <v>0</v>
      </c>
      <c r="B470" s="245">
        <v>448</v>
      </c>
      <c r="C470" s="258"/>
      <c r="D470" s="258"/>
      <c r="E470" s="246"/>
      <c r="F470" s="247" t="str">
        <f>IF(ISBLANK(E470), "", VLOOKUP(E470, Z!$A$2:$C$4127, 3, FALSE))</f>
        <v/>
      </c>
      <c r="G470" s="248"/>
      <c r="H470" s="248"/>
      <c r="I470" s="249"/>
      <c r="J470" s="250"/>
      <c r="K470" s="259"/>
      <c r="L470" s="260"/>
      <c r="M470" s="252" t="str" cm="1">
        <f t="array" ref="M470">INDEX(Trad, 53, $A$20)</f>
        <v>Verschmutzt</v>
      </c>
      <c r="N470" s="253"/>
      <c r="O470" s="253"/>
      <c r="P470" s="254"/>
      <c r="Q470" s="251"/>
      <c r="R470" s="251"/>
      <c r="S470" s="264">
        <f t="shared" si="535"/>
        <v>0</v>
      </c>
      <c r="T470" s="252" t="str" cm="1">
        <f t="array" ref="T470">INDEX(Trad, 52, $A$20)</f>
        <v>Sauber</v>
      </c>
      <c r="U470" s="253"/>
      <c r="V470" s="253"/>
      <c r="W470" s="254"/>
      <c r="X470" s="251"/>
      <c r="Y470" s="251"/>
      <c r="Z470" s="264">
        <f t="shared" si="536"/>
        <v>0</v>
      </c>
      <c r="AA470" s="261"/>
      <c r="AB470" s="258"/>
      <c r="AC470" s="246"/>
      <c r="AD470" s="247" t="str">
        <f>IF(ISBLANK(AC470), "", VLOOKUP(AC470, Z!$A$2:$C$4127, 3, FALSE))</f>
        <v/>
      </c>
      <c r="AE470" s="262"/>
      <c r="AF470" s="263">
        <f t="shared" si="537"/>
        <v>0</v>
      </c>
      <c r="AG470" s="238"/>
      <c r="AH470" s="229">
        <f t="shared" si="561"/>
        <v>1</v>
      </c>
      <c r="AI470" s="229">
        <f t="shared" si="562"/>
        <v>1</v>
      </c>
      <c r="AJ470" s="229">
        <f t="shared" si="563"/>
        <v>0</v>
      </c>
      <c r="AK470" s="229">
        <v>0</v>
      </c>
      <c r="AL470" s="229">
        <v>0</v>
      </c>
      <c r="AM470" s="229">
        <v>1</v>
      </c>
      <c r="AN470" s="229">
        <v>0</v>
      </c>
      <c r="AO470" s="229">
        <f t="shared" si="538"/>
        <v>-100</v>
      </c>
      <c r="AP470" s="238"/>
      <c r="AQ470" s="255"/>
      <c r="AR470" s="255"/>
      <c r="AS470" s="256"/>
      <c r="AT470" s="256"/>
      <c r="AU470" s="256"/>
      <c r="AV470" s="256"/>
      <c r="AW470" s="256"/>
      <c r="AX470" s="256"/>
      <c r="AY470" s="256"/>
      <c r="AZ470" s="256"/>
      <c r="BA470" s="256"/>
      <c r="BB470" s="256"/>
      <c r="BC470" s="256"/>
      <c r="BD470" s="238"/>
      <c r="BE470" s="229" cm="1">
        <f t="array" ref="BE470">IF(ISBLANK(R470), INDEX(Use, $AH470, 4) - AM470*INDEX(Use, $AH470, 6), R470)</f>
        <v>5</v>
      </c>
      <c r="BF470" s="229">
        <f t="shared" si="539"/>
        <v>30</v>
      </c>
      <c r="BG470" s="229">
        <f t="shared" si="527"/>
        <v>13</v>
      </c>
      <c r="BH470" s="229">
        <f t="shared" si="528"/>
        <v>0</v>
      </c>
      <c r="BI470" s="234" cm="1">
        <f t="array" ref="BI470">K470/IF($L470&gt;0, INDEX($AU$23:$BA$77, $L470+20, $AH470), 1)</f>
        <v>0</v>
      </c>
      <c r="BJ470" s="230">
        <f t="shared" si="540"/>
        <v>0</v>
      </c>
      <c r="BK470" s="229">
        <v>35</v>
      </c>
      <c r="BL470" s="230">
        <f t="shared" si="541"/>
        <v>48</v>
      </c>
      <c r="BM470" s="235">
        <f t="shared" si="542"/>
        <v>2.9108720930232557</v>
      </c>
      <c r="BN470" s="235" cm="1">
        <f t="array" ref="BN470">$BI470 * SUMPRODUCT(INDEX($AR$77:$AT$82,,$AI470),INDEX($AU$77:$BA$82,,$AH470), N($AQ$77:$AQ$82&gt;$AO470)) / BM470 / 1000</f>
        <v>0</v>
      </c>
      <c r="BO470" s="232">
        <f t="shared" si="529"/>
        <v>30</v>
      </c>
      <c r="BP470" s="230">
        <f t="shared" si="543"/>
        <v>43</v>
      </c>
      <c r="BQ470" s="235">
        <f t="shared" si="544"/>
        <v>3.2938815789473681</v>
      </c>
      <c r="BR470" s="235" cm="1">
        <f t="array" ref="BR470">$BI470 * IF($AH470&lt;=2,
SUMPRODUCT(INDEX($AR$72:$AT$76,,$AI470), INDEX($AU$72:$BA$76,,$AH470), 1 / ($BB$72:$BB$76*BQ470 + (1-$BB$72:$BB$76)*BM470), N($AQ$72:$AQ$76&gt;$AO470)),
SUMPRODUCT(INDEX($AR$67:$AT$76,,$AI470), INDEX($AU$67:$BA$76,,$AH470), 1 / ($BC$67:$BC$76*BQ470 + (1-$BC$67:$BC$76)*BM470), N($AQ$67:$AQ$76&gt;$AO470))
) / 1000</f>
        <v>0</v>
      </c>
      <c r="BS470" s="232">
        <f t="shared" si="530"/>
        <v>25</v>
      </c>
      <c r="BT470" s="230">
        <f t="shared" si="545"/>
        <v>38</v>
      </c>
      <c r="BU470" s="235">
        <f t="shared" si="546"/>
        <v>3.792954545454545</v>
      </c>
      <c r="BV470" s="235" cm="1">
        <f t="array" ref="BV470">$BI470 * IF($AH470&lt;=2,
SUMPRODUCT(INDEX($AR$67:$AT$71,,$AI470), INDEX($AU$67:$BA$71,,$AH470), 1 / ($BB$67:$BB$71*BU470 + (1-$BB$67:$BB$71)*BQ470), N($AQ$67:$AQ$71&gt;$AO470)),
SUMPRODUCT(INDEX($AR$57:$AT$66,,$AI470), INDEX($AU$57:$BA$66,,$AH470), 1 / ($BC$57:$BC$66*BU470 + (1-$BC$57:$BC$66)*BQ470), N($AQ$57:$AQ$66&gt;$AO470))
) / 1000</f>
        <v>0</v>
      </c>
      <c r="BW470" s="232">
        <f t="shared" si="531"/>
        <v>20</v>
      </c>
      <c r="BX470" s="230">
        <f t="shared" si="547"/>
        <v>33</v>
      </c>
      <c r="BY470" s="235">
        <f t="shared" si="548"/>
        <v>4.4702678571428569</v>
      </c>
      <c r="BZ470" s="235" cm="1">
        <f t="array" ref="BZ470">$BI470 * IF($AH470&lt;=2,
SUMPRODUCT(INDEX($AR$62:$AT$66,,$AI470), INDEX($AU$62:$BA$66,,$AH470), 1 / ($BB$62:$BB$66*BY470 + (1-$BB$62:$BB$66)*BU470), N($AQ$62:$AQ$66&gt;$AO470)),
SUMPRODUCT(INDEX($AR$47:$AT$56,,$AI470), INDEX($AU$47:$BA$56,,$AH470), 1 / ($BC$47:$BC$56*BY470 + (1-$BC$47:$BC$56)*BU470), N($AQ$47:$AQ$56&gt;$AO470))
) / 1000</f>
        <v>0</v>
      </c>
      <c r="CA470" s="235" cm="1">
        <f t="array" ref="CA470">$BI470 * IF($AH470&lt;=2,
SUMPRODUCT(INDEX($AR$23:$AT$61,,$AI470), INDEX($AU$23:$BA$61,,$AH470), 1 / ($BB$23:$BB$61*BY470), N($AQ$23:$AQ$61&gt;$AO470)),
SUMPRODUCT(INDEX($AR$23:$AT$46,,$AI470), INDEX($AU$23:$BA$46,,$AH470), 1 / ($BC$23:$BC$46*BY470), N($AQ$23:$AQ$46&gt;$AO470))
) / 1000</f>
        <v>0</v>
      </c>
      <c r="CB470" s="230">
        <f t="shared" si="549"/>
        <v>0</v>
      </c>
      <c r="CC470" s="238"/>
      <c r="CD470" s="229" cm="1">
        <f t="array" ref="CD470">IF(ISBLANK(Y470), INDEX(Use, $AH470, 4) - AN470*INDEX(Use, $AH470, 6) - (Q470-X470), Y470)</f>
        <v>7</v>
      </c>
      <c r="CE470" s="229">
        <f t="shared" si="550"/>
        <v>32</v>
      </c>
      <c r="CF470" s="230">
        <f t="shared" si="551"/>
        <v>0</v>
      </c>
      <c r="CG470" s="229">
        <v>35</v>
      </c>
      <c r="CH470" s="230">
        <f t="shared" si="552"/>
        <v>48</v>
      </c>
      <c r="CI470" s="235">
        <f t="shared" si="553"/>
        <v>3.0748170731707316</v>
      </c>
      <c r="CJ470" s="235" cm="1">
        <f t="array" ref="CJ470">$BI470 * SUMPRODUCT(INDEX($AR$77:$AT$82,,$AI470),INDEX($AU$77:$BA$82,,$AH470), N($AQ$77:$AQ$82&gt;$AO470)) / CI470 / 1000</f>
        <v>0</v>
      </c>
      <c r="CK470" s="232">
        <f t="shared" si="532"/>
        <v>30</v>
      </c>
      <c r="CL470" s="230">
        <f t="shared" si="554"/>
        <v>43</v>
      </c>
      <c r="CM470" s="235">
        <f t="shared" si="555"/>
        <v>3.5018750000000001</v>
      </c>
      <c r="CN470" s="235" cm="1">
        <f t="array" ref="CN470">$BI470 * IF($AH470&lt;=2,
SUMPRODUCT(INDEX($AR$72:$AT$76,,$AI470), INDEX($AU$72:$BA$76,,$AH470), 1 / ($BB$72:$BB$76*CM470 + (1-$BB$72:$BB$76)*CI470), N($AQ$72:$AQ$76&gt;$AO470)),
SUMPRODUCT(INDEX($AR$67:$AT$76,,$AI470), INDEX($AU$67:$BA$76,,$AH470), 1 / ($BC$67:$BC$76*CM470 + (1-$BC$67:$BC$76)*CI470), N($AQ$67:$AQ$76&gt;$AO470))
) / 1000</f>
        <v>0</v>
      </c>
      <c r="CO470" s="232">
        <f t="shared" si="533"/>
        <v>25</v>
      </c>
      <c r="CP470" s="230">
        <f t="shared" si="556"/>
        <v>38</v>
      </c>
      <c r="CQ470" s="235">
        <f t="shared" si="557"/>
        <v>4.0666935483870965</v>
      </c>
      <c r="CR470" s="235" cm="1">
        <f t="array" ref="CR470">$BI470 * IF($AH470&lt;=2,
SUMPRODUCT(INDEX($AR$67:$AT$71,,$AI470), INDEX($AU$67:$BA$71,,$AH470), 1 / ($BB$67:$BB$71*CQ470 + (1-$BB$67:$BB$71)*CM470), N($AQ$67:$AQ$71&gt;$AO470)),
SUMPRODUCT(INDEX($AR$57:$AT$66,,$AI470), INDEX($AU$57:$BA$66,,$AH470), 1 / ($BC$57:$BC$66*CQ470 + (1-$BC$57:$BC$66)*CM470), N($AQ$57:$AQ$66&gt;$AO470))
) / 1000</f>
        <v>0</v>
      </c>
      <c r="CS470" s="232">
        <f t="shared" si="534"/>
        <v>20</v>
      </c>
      <c r="CT470" s="230">
        <f t="shared" si="558"/>
        <v>33</v>
      </c>
      <c r="CU470" s="235">
        <f t="shared" si="559"/>
        <v>4.8487499999999999</v>
      </c>
      <c r="CV470" s="235" cm="1">
        <f t="array" ref="CV470">$BI470 * IF($AH470&lt;=2,
SUMPRODUCT(INDEX($AR$62:$AT$66,,$AI470), INDEX($AU$62:$BA$66,,$AH470), 1 / ($BB$62:$BB$66*CU470 + (1-$BB$62:$BB$66)*CQ470), N($AQ$62:$AQ$66&gt;$AO470)),
SUMPRODUCT(INDEX($AR$47:$AT$56,,$AI470), INDEX($AU$47:$BA$56,,$AH470), 1 / ($BC$47:$BC$56*CU470 + (1-$BC$47:$BC$56)*CQ470), N($AQ$47:$AQ$56&gt;$AO470))
) / 1000</f>
        <v>0</v>
      </c>
      <c r="CW470" s="235" cm="1">
        <f t="array" ref="CW470">$BI470 * IF($AH470&lt;=2,
SUMPRODUCT(INDEX($AR$23:$AT$61,,$AI470), INDEX($AU$23:$BA$61,,$AH470), 1 / ($BB$23:$BB$61*CU470), N($AQ$23:$AQ$61&gt;$AO470)),
SUMPRODUCT(INDEX($AR$23:$AT$46,,$AI470), INDEX($AU$23:$BA$46,,$AH470), 1 / ($BC$23:$BC$46*CU470), N($AQ$23:$AQ$46&gt;$AO470))
) / 1000</f>
        <v>0</v>
      </c>
      <c r="CX470" s="230">
        <f t="shared" si="560"/>
        <v>0</v>
      </c>
      <c r="CY470" s="238"/>
    </row>
    <row r="471" spans="1:103" s="76" customFormat="1" ht="14.25" customHeight="1" x14ac:dyDescent="0.2">
      <c r="A471" s="231" t="b">
        <f t="shared" si="564"/>
        <v>0</v>
      </c>
      <c r="B471" s="245">
        <v>449</v>
      </c>
      <c r="C471" s="258"/>
      <c r="D471" s="258"/>
      <c r="E471" s="246"/>
      <c r="F471" s="247" t="str">
        <f>IF(ISBLANK(E471), "", VLOOKUP(E471, Z!$A$2:$C$4127, 3, FALSE))</f>
        <v/>
      </c>
      <c r="G471" s="248"/>
      <c r="H471" s="248"/>
      <c r="I471" s="249"/>
      <c r="J471" s="250"/>
      <c r="K471" s="259"/>
      <c r="L471" s="260"/>
      <c r="M471" s="252" t="str" cm="1">
        <f t="array" ref="M471">INDEX(Trad, 53, $A$20)</f>
        <v>Verschmutzt</v>
      </c>
      <c r="N471" s="253"/>
      <c r="O471" s="253"/>
      <c r="P471" s="254"/>
      <c r="Q471" s="251"/>
      <c r="R471" s="251"/>
      <c r="S471" s="264">
        <f t="shared" si="535"/>
        <v>0</v>
      </c>
      <c r="T471" s="252" t="str" cm="1">
        <f t="array" ref="T471">INDEX(Trad, 52, $A$20)</f>
        <v>Sauber</v>
      </c>
      <c r="U471" s="253"/>
      <c r="V471" s="253"/>
      <c r="W471" s="254"/>
      <c r="X471" s="251"/>
      <c r="Y471" s="251"/>
      <c r="Z471" s="264">
        <f t="shared" si="536"/>
        <v>0</v>
      </c>
      <c r="AA471" s="261"/>
      <c r="AB471" s="258"/>
      <c r="AC471" s="246"/>
      <c r="AD471" s="247" t="str">
        <f>IF(ISBLANK(AC471), "", VLOOKUP(AC471, Z!$A$2:$C$4127, 3, FALSE))</f>
        <v/>
      </c>
      <c r="AE471" s="262"/>
      <c r="AF471" s="263">
        <f t="shared" si="537"/>
        <v>0</v>
      </c>
      <c r="AG471" s="238"/>
      <c r="AH471" s="229">
        <f t="shared" si="561"/>
        <v>1</v>
      </c>
      <c r="AI471" s="229">
        <f t="shared" si="562"/>
        <v>1</v>
      </c>
      <c r="AJ471" s="229">
        <f t="shared" si="563"/>
        <v>0</v>
      </c>
      <c r="AK471" s="229">
        <v>0</v>
      </c>
      <c r="AL471" s="229">
        <v>0</v>
      </c>
      <c r="AM471" s="229">
        <v>1</v>
      </c>
      <c r="AN471" s="229">
        <v>0</v>
      </c>
      <c r="AO471" s="229">
        <f t="shared" si="538"/>
        <v>-100</v>
      </c>
      <c r="AP471" s="238"/>
      <c r="AQ471" s="255"/>
      <c r="AR471" s="255"/>
      <c r="AS471" s="256"/>
      <c r="AT471" s="256"/>
      <c r="AU471" s="256"/>
      <c r="AV471" s="256"/>
      <c r="AW471" s="256"/>
      <c r="AX471" s="256"/>
      <c r="AY471" s="256"/>
      <c r="AZ471" s="256"/>
      <c r="BA471" s="256"/>
      <c r="BB471" s="256"/>
      <c r="BC471" s="256"/>
      <c r="BD471" s="238"/>
      <c r="BE471" s="229" cm="1">
        <f t="array" ref="BE471">IF(ISBLANK(R471), INDEX(Use, $AH471, 4) - AM471*INDEX(Use, $AH471, 6), R471)</f>
        <v>5</v>
      </c>
      <c r="BF471" s="229">
        <f t="shared" si="539"/>
        <v>30</v>
      </c>
      <c r="BG471" s="229">
        <f t="shared" ref="BG471:BG534" si="565">IF($AJ471=1, 6, IF($AH471=4, 10, 13))</f>
        <v>13</v>
      </c>
      <c r="BH471" s="229">
        <f t="shared" ref="BH471:BH534" si="566">IF($AJ471=1, 9, 0)</f>
        <v>0</v>
      </c>
      <c r="BI471" s="234" cm="1">
        <f t="array" ref="BI471">K471/IF($L471&gt;0, INDEX($AU$23:$BA$77, $L471+20, $AH471), 1)</f>
        <v>0</v>
      </c>
      <c r="BJ471" s="230">
        <f t="shared" si="540"/>
        <v>0</v>
      </c>
      <c r="BK471" s="229">
        <v>35</v>
      </c>
      <c r="BL471" s="230">
        <f t="shared" si="541"/>
        <v>48</v>
      </c>
      <c r="BM471" s="235">
        <f t="shared" si="542"/>
        <v>2.9108720930232557</v>
      </c>
      <c r="BN471" s="235" cm="1">
        <f t="array" ref="BN471">$BI471 * SUMPRODUCT(INDEX($AR$77:$AT$82,,$AI471),INDEX($AU$77:$BA$82,,$AH471), N($AQ$77:$AQ$82&gt;$AO471)) / BM471 / 1000</f>
        <v>0</v>
      </c>
      <c r="BO471" s="232">
        <f t="shared" ref="BO471:BO534" si="567">IF($AH471&lt;=2, 30, 25)</f>
        <v>30</v>
      </c>
      <c r="BP471" s="230">
        <f t="shared" si="543"/>
        <v>43</v>
      </c>
      <c r="BQ471" s="235">
        <f t="shared" si="544"/>
        <v>3.2938815789473681</v>
      </c>
      <c r="BR471" s="235" cm="1">
        <f t="array" ref="BR471">$BI471 * IF($AH471&lt;=2,
SUMPRODUCT(INDEX($AR$72:$AT$76,,$AI471), INDEX($AU$72:$BA$76,,$AH471), 1 / ($BB$72:$BB$76*BQ471 + (1-$BB$72:$BB$76)*BM471), N($AQ$72:$AQ$76&gt;$AO471)),
SUMPRODUCT(INDEX($AR$67:$AT$76,,$AI471), INDEX($AU$67:$BA$76,,$AH471), 1 / ($BC$67:$BC$76*BQ471 + (1-$BC$67:$BC$76)*BM471), N($AQ$67:$AQ$76&gt;$AO471))
) / 1000</f>
        <v>0</v>
      </c>
      <c r="BS471" s="232">
        <f t="shared" ref="BS471:BS534" si="568">IF($AH471&lt;=2, 25, 15)</f>
        <v>25</v>
      </c>
      <c r="BT471" s="230">
        <f t="shared" si="545"/>
        <v>38</v>
      </c>
      <c r="BU471" s="235">
        <f t="shared" si="546"/>
        <v>3.792954545454545</v>
      </c>
      <c r="BV471" s="235" cm="1">
        <f t="array" ref="BV471">$BI471 * IF($AH471&lt;=2,
SUMPRODUCT(INDEX($AR$67:$AT$71,,$AI471), INDEX($AU$67:$BA$71,,$AH471), 1 / ($BB$67:$BB$71*BU471 + (1-$BB$67:$BB$71)*BQ471), N($AQ$67:$AQ$71&gt;$AO471)),
SUMPRODUCT(INDEX($AR$57:$AT$66,,$AI471), INDEX($AU$57:$BA$66,,$AH471), 1 / ($BC$57:$BC$66*BU471 + (1-$BC$57:$BC$66)*BQ471), N($AQ$57:$AQ$66&gt;$AO471))
) / 1000</f>
        <v>0</v>
      </c>
      <c r="BW471" s="232">
        <f t="shared" ref="BW471:BW534" si="569">IF($AH471&lt;=2, 20, 5)</f>
        <v>20</v>
      </c>
      <c r="BX471" s="230">
        <f t="shared" si="547"/>
        <v>33</v>
      </c>
      <c r="BY471" s="235">
        <f t="shared" si="548"/>
        <v>4.4702678571428569</v>
      </c>
      <c r="BZ471" s="235" cm="1">
        <f t="array" ref="BZ471">$BI471 * IF($AH471&lt;=2,
SUMPRODUCT(INDEX($AR$62:$AT$66,,$AI471), INDEX($AU$62:$BA$66,,$AH471), 1 / ($BB$62:$BB$66*BY471 + (1-$BB$62:$BB$66)*BU471), N($AQ$62:$AQ$66&gt;$AO471)),
SUMPRODUCT(INDEX($AR$47:$AT$56,,$AI471), INDEX($AU$47:$BA$56,,$AH471), 1 / ($BC$47:$BC$56*BY471 + (1-$BC$47:$BC$56)*BU471), N($AQ$47:$AQ$56&gt;$AO471))
) / 1000</f>
        <v>0</v>
      </c>
      <c r="CA471" s="235" cm="1">
        <f t="array" ref="CA471">$BI471 * IF($AH471&lt;=2,
SUMPRODUCT(INDEX($AR$23:$AT$61,,$AI471), INDEX($AU$23:$BA$61,,$AH471), 1 / ($BB$23:$BB$61*BY471), N($AQ$23:$AQ$61&gt;$AO471)),
SUMPRODUCT(INDEX($AR$23:$AT$46,,$AI471), INDEX($AU$23:$BA$46,,$AH471), 1 / ($BC$23:$BC$46*BY471), N($AQ$23:$AQ$46&gt;$AO471))
) / 1000</f>
        <v>0</v>
      </c>
      <c r="CB471" s="230">
        <f t="shared" si="549"/>
        <v>0</v>
      </c>
      <c r="CC471" s="238"/>
      <c r="CD471" s="229" cm="1">
        <f t="array" ref="CD471">IF(ISBLANK(Y471), INDEX(Use, $AH471, 4) - AN471*INDEX(Use, $AH471, 6) - (Q471-X471), Y471)</f>
        <v>7</v>
      </c>
      <c r="CE471" s="229">
        <f t="shared" si="550"/>
        <v>32</v>
      </c>
      <c r="CF471" s="230">
        <f t="shared" si="551"/>
        <v>0</v>
      </c>
      <c r="CG471" s="229">
        <v>35</v>
      </c>
      <c r="CH471" s="230">
        <f t="shared" si="552"/>
        <v>48</v>
      </c>
      <c r="CI471" s="235">
        <f t="shared" si="553"/>
        <v>3.0748170731707316</v>
      </c>
      <c r="CJ471" s="235" cm="1">
        <f t="array" ref="CJ471">$BI471 * SUMPRODUCT(INDEX($AR$77:$AT$82,,$AI471),INDEX($AU$77:$BA$82,,$AH471), N($AQ$77:$AQ$82&gt;$AO471)) / CI471 / 1000</f>
        <v>0</v>
      </c>
      <c r="CK471" s="232">
        <f t="shared" ref="CK471:CK534" si="570">IF($AH471&lt;=2, 30, 25)</f>
        <v>30</v>
      </c>
      <c r="CL471" s="230">
        <f t="shared" si="554"/>
        <v>43</v>
      </c>
      <c r="CM471" s="235">
        <f t="shared" si="555"/>
        <v>3.5018750000000001</v>
      </c>
      <c r="CN471" s="235" cm="1">
        <f t="array" ref="CN471">$BI471 * IF($AH471&lt;=2,
SUMPRODUCT(INDEX($AR$72:$AT$76,,$AI471), INDEX($AU$72:$BA$76,,$AH471), 1 / ($BB$72:$BB$76*CM471 + (1-$BB$72:$BB$76)*CI471), N($AQ$72:$AQ$76&gt;$AO471)),
SUMPRODUCT(INDEX($AR$67:$AT$76,,$AI471), INDEX($AU$67:$BA$76,,$AH471), 1 / ($BC$67:$BC$76*CM471 + (1-$BC$67:$BC$76)*CI471), N($AQ$67:$AQ$76&gt;$AO471))
) / 1000</f>
        <v>0</v>
      </c>
      <c r="CO471" s="232">
        <f t="shared" ref="CO471:CO534" si="571">IF($AH471&lt;=2, 25, 15)</f>
        <v>25</v>
      </c>
      <c r="CP471" s="230">
        <f t="shared" si="556"/>
        <v>38</v>
      </c>
      <c r="CQ471" s="235">
        <f t="shared" si="557"/>
        <v>4.0666935483870965</v>
      </c>
      <c r="CR471" s="235" cm="1">
        <f t="array" ref="CR471">$BI471 * IF($AH471&lt;=2,
SUMPRODUCT(INDEX($AR$67:$AT$71,,$AI471), INDEX($AU$67:$BA$71,,$AH471), 1 / ($BB$67:$BB$71*CQ471 + (1-$BB$67:$BB$71)*CM471), N($AQ$67:$AQ$71&gt;$AO471)),
SUMPRODUCT(INDEX($AR$57:$AT$66,,$AI471), INDEX($AU$57:$BA$66,,$AH471), 1 / ($BC$57:$BC$66*CQ471 + (1-$BC$57:$BC$66)*CM471), N($AQ$57:$AQ$66&gt;$AO471))
) / 1000</f>
        <v>0</v>
      </c>
      <c r="CS471" s="232">
        <f t="shared" ref="CS471:CS534" si="572">IF($AH471&lt;=2, 20, 5)</f>
        <v>20</v>
      </c>
      <c r="CT471" s="230">
        <f t="shared" si="558"/>
        <v>33</v>
      </c>
      <c r="CU471" s="235">
        <f t="shared" si="559"/>
        <v>4.8487499999999999</v>
      </c>
      <c r="CV471" s="235" cm="1">
        <f t="array" ref="CV471">$BI471 * IF($AH471&lt;=2,
SUMPRODUCT(INDEX($AR$62:$AT$66,,$AI471), INDEX($AU$62:$BA$66,,$AH471), 1 / ($BB$62:$BB$66*CU471 + (1-$BB$62:$BB$66)*CQ471), N($AQ$62:$AQ$66&gt;$AO471)),
SUMPRODUCT(INDEX($AR$47:$AT$56,,$AI471), INDEX($AU$47:$BA$56,,$AH471), 1 / ($BC$47:$BC$56*CU471 + (1-$BC$47:$BC$56)*CQ471), N($AQ$47:$AQ$56&gt;$AO471))
) / 1000</f>
        <v>0</v>
      </c>
      <c r="CW471" s="235" cm="1">
        <f t="array" ref="CW471">$BI471 * IF($AH471&lt;=2,
SUMPRODUCT(INDEX($AR$23:$AT$61,,$AI471), INDEX($AU$23:$BA$61,,$AH471), 1 / ($BB$23:$BB$61*CU471), N($AQ$23:$AQ$61&gt;$AO471)),
SUMPRODUCT(INDEX($AR$23:$AT$46,,$AI471), INDEX($AU$23:$BA$46,,$AH471), 1 / ($BC$23:$BC$46*CU471), N($AQ$23:$AQ$46&gt;$AO471))
) / 1000</f>
        <v>0</v>
      </c>
      <c r="CX471" s="230">
        <f t="shared" si="560"/>
        <v>0</v>
      </c>
      <c r="CY471" s="238"/>
    </row>
    <row r="472" spans="1:103" s="76" customFormat="1" ht="14.25" customHeight="1" x14ac:dyDescent="0.2">
      <c r="A472" s="231" t="b">
        <f t="shared" si="564"/>
        <v>0</v>
      </c>
      <c r="B472" s="245">
        <v>450</v>
      </c>
      <c r="C472" s="258"/>
      <c r="D472" s="258"/>
      <c r="E472" s="246"/>
      <c r="F472" s="247" t="str">
        <f>IF(ISBLANK(E472), "", VLOOKUP(E472, Z!$A$2:$C$4127, 3, FALSE))</f>
        <v/>
      </c>
      <c r="G472" s="248"/>
      <c r="H472" s="248"/>
      <c r="I472" s="249"/>
      <c r="J472" s="250"/>
      <c r="K472" s="259"/>
      <c r="L472" s="260"/>
      <c r="M472" s="252" t="str" cm="1">
        <f t="array" ref="M472">INDEX(Trad, 53, $A$20)</f>
        <v>Verschmutzt</v>
      </c>
      <c r="N472" s="253"/>
      <c r="O472" s="253"/>
      <c r="P472" s="254"/>
      <c r="Q472" s="251"/>
      <c r="R472" s="251"/>
      <c r="S472" s="264">
        <f t="shared" si="535"/>
        <v>0</v>
      </c>
      <c r="T472" s="252" t="str" cm="1">
        <f t="array" ref="T472">INDEX(Trad, 52, $A$20)</f>
        <v>Sauber</v>
      </c>
      <c r="U472" s="253"/>
      <c r="V472" s="253"/>
      <c r="W472" s="254"/>
      <c r="X472" s="251"/>
      <c r="Y472" s="251"/>
      <c r="Z472" s="264">
        <f t="shared" si="536"/>
        <v>0</v>
      </c>
      <c r="AA472" s="261"/>
      <c r="AB472" s="258"/>
      <c r="AC472" s="246"/>
      <c r="AD472" s="247" t="str">
        <f>IF(ISBLANK(AC472), "", VLOOKUP(AC472, Z!$A$2:$C$4127, 3, FALSE))</f>
        <v/>
      </c>
      <c r="AE472" s="262"/>
      <c r="AF472" s="263">
        <f t="shared" si="537"/>
        <v>0</v>
      </c>
      <c r="AG472" s="238"/>
      <c r="AH472" s="229">
        <f t="shared" si="561"/>
        <v>1</v>
      </c>
      <c r="AI472" s="229">
        <f t="shared" si="562"/>
        <v>1</v>
      </c>
      <c r="AJ472" s="229">
        <f t="shared" si="563"/>
        <v>0</v>
      </c>
      <c r="AK472" s="229">
        <v>0</v>
      </c>
      <c r="AL472" s="229">
        <v>0</v>
      </c>
      <c r="AM472" s="229">
        <v>1</v>
      </c>
      <c r="AN472" s="229">
        <v>0</v>
      </c>
      <c r="AO472" s="229">
        <f t="shared" si="538"/>
        <v>-100</v>
      </c>
      <c r="AP472" s="238"/>
      <c r="AQ472" s="255"/>
      <c r="AR472" s="255"/>
      <c r="AS472" s="256"/>
      <c r="AT472" s="256"/>
      <c r="AU472" s="256"/>
      <c r="AV472" s="256"/>
      <c r="AW472" s="256"/>
      <c r="AX472" s="256"/>
      <c r="AY472" s="256"/>
      <c r="AZ472" s="256"/>
      <c r="BA472" s="256"/>
      <c r="BB472" s="256"/>
      <c r="BC472" s="256"/>
      <c r="BD472" s="238"/>
      <c r="BE472" s="229" cm="1">
        <f t="array" ref="BE472">IF(ISBLANK(R472), INDEX(Use, $AH472, 4) - AM472*INDEX(Use, $AH472, 6), R472)</f>
        <v>5</v>
      </c>
      <c r="BF472" s="229">
        <f t="shared" si="539"/>
        <v>30</v>
      </c>
      <c r="BG472" s="229">
        <f t="shared" si="565"/>
        <v>13</v>
      </c>
      <c r="BH472" s="229">
        <f t="shared" si="566"/>
        <v>0</v>
      </c>
      <c r="BI472" s="234" cm="1">
        <f t="array" ref="BI472">K472/IF($L472&gt;0, INDEX($AU$23:$BA$77, $L472+20, $AH472), 1)</f>
        <v>0</v>
      </c>
      <c r="BJ472" s="230">
        <f t="shared" si="540"/>
        <v>0</v>
      </c>
      <c r="BK472" s="229">
        <v>35</v>
      </c>
      <c r="BL472" s="230">
        <f t="shared" si="541"/>
        <v>48</v>
      </c>
      <c r="BM472" s="235">
        <f t="shared" si="542"/>
        <v>2.9108720930232557</v>
      </c>
      <c r="BN472" s="235" cm="1">
        <f t="array" ref="BN472">$BI472 * SUMPRODUCT(INDEX($AR$77:$AT$82,,$AI472),INDEX($AU$77:$BA$82,,$AH472), N($AQ$77:$AQ$82&gt;$AO472)) / BM472 / 1000</f>
        <v>0</v>
      </c>
      <c r="BO472" s="232">
        <f t="shared" si="567"/>
        <v>30</v>
      </c>
      <c r="BP472" s="230">
        <f t="shared" si="543"/>
        <v>43</v>
      </c>
      <c r="BQ472" s="235">
        <f t="shared" si="544"/>
        <v>3.2938815789473681</v>
      </c>
      <c r="BR472" s="235" cm="1">
        <f t="array" ref="BR472">$BI472 * IF($AH472&lt;=2,
SUMPRODUCT(INDEX($AR$72:$AT$76,,$AI472), INDEX($AU$72:$BA$76,,$AH472), 1 / ($BB$72:$BB$76*BQ472 + (1-$BB$72:$BB$76)*BM472), N($AQ$72:$AQ$76&gt;$AO472)),
SUMPRODUCT(INDEX($AR$67:$AT$76,,$AI472), INDEX($AU$67:$BA$76,,$AH472), 1 / ($BC$67:$BC$76*BQ472 + (1-$BC$67:$BC$76)*BM472), N($AQ$67:$AQ$76&gt;$AO472))
) / 1000</f>
        <v>0</v>
      </c>
      <c r="BS472" s="232">
        <f t="shared" si="568"/>
        <v>25</v>
      </c>
      <c r="BT472" s="230">
        <f t="shared" si="545"/>
        <v>38</v>
      </c>
      <c r="BU472" s="235">
        <f t="shared" si="546"/>
        <v>3.792954545454545</v>
      </c>
      <c r="BV472" s="235" cm="1">
        <f t="array" ref="BV472">$BI472 * IF($AH472&lt;=2,
SUMPRODUCT(INDEX($AR$67:$AT$71,,$AI472), INDEX($AU$67:$BA$71,,$AH472), 1 / ($BB$67:$BB$71*BU472 + (1-$BB$67:$BB$71)*BQ472), N($AQ$67:$AQ$71&gt;$AO472)),
SUMPRODUCT(INDEX($AR$57:$AT$66,,$AI472), INDEX($AU$57:$BA$66,,$AH472), 1 / ($BC$57:$BC$66*BU472 + (1-$BC$57:$BC$66)*BQ472), N($AQ$57:$AQ$66&gt;$AO472))
) / 1000</f>
        <v>0</v>
      </c>
      <c r="BW472" s="232">
        <f t="shared" si="569"/>
        <v>20</v>
      </c>
      <c r="BX472" s="230">
        <f t="shared" si="547"/>
        <v>33</v>
      </c>
      <c r="BY472" s="235">
        <f t="shared" si="548"/>
        <v>4.4702678571428569</v>
      </c>
      <c r="BZ472" s="235" cm="1">
        <f t="array" ref="BZ472">$BI472 * IF($AH472&lt;=2,
SUMPRODUCT(INDEX($AR$62:$AT$66,,$AI472), INDEX($AU$62:$BA$66,,$AH472), 1 / ($BB$62:$BB$66*BY472 + (1-$BB$62:$BB$66)*BU472), N($AQ$62:$AQ$66&gt;$AO472)),
SUMPRODUCT(INDEX($AR$47:$AT$56,,$AI472), INDEX($AU$47:$BA$56,,$AH472), 1 / ($BC$47:$BC$56*BY472 + (1-$BC$47:$BC$56)*BU472), N($AQ$47:$AQ$56&gt;$AO472))
) / 1000</f>
        <v>0</v>
      </c>
      <c r="CA472" s="235" cm="1">
        <f t="array" ref="CA472">$BI472 * IF($AH472&lt;=2,
SUMPRODUCT(INDEX($AR$23:$AT$61,,$AI472), INDEX($AU$23:$BA$61,,$AH472), 1 / ($BB$23:$BB$61*BY472), N($AQ$23:$AQ$61&gt;$AO472)),
SUMPRODUCT(INDEX($AR$23:$AT$46,,$AI472), INDEX($AU$23:$BA$46,,$AH472), 1 / ($BC$23:$BC$46*BY472), N($AQ$23:$AQ$46&gt;$AO472))
) / 1000</f>
        <v>0</v>
      </c>
      <c r="CB472" s="230">
        <f t="shared" si="549"/>
        <v>0</v>
      </c>
      <c r="CC472" s="238"/>
      <c r="CD472" s="229" cm="1">
        <f t="array" ref="CD472">IF(ISBLANK(Y472), INDEX(Use, $AH472, 4) - AN472*INDEX(Use, $AH472, 6) - (Q472-X472), Y472)</f>
        <v>7</v>
      </c>
      <c r="CE472" s="229">
        <f t="shared" si="550"/>
        <v>32</v>
      </c>
      <c r="CF472" s="230">
        <f t="shared" si="551"/>
        <v>0</v>
      </c>
      <c r="CG472" s="229">
        <v>35</v>
      </c>
      <c r="CH472" s="230">
        <f t="shared" si="552"/>
        <v>48</v>
      </c>
      <c r="CI472" s="235">
        <f t="shared" si="553"/>
        <v>3.0748170731707316</v>
      </c>
      <c r="CJ472" s="235" cm="1">
        <f t="array" ref="CJ472">$BI472 * SUMPRODUCT(INDEX($AR$77:$AT$82,,$AI472),INDEX($AU$77:$BA$82,,$AH472), N($AQ$77:$AQ$82&gt;$AO472)) / CI472 / 1000</f>
        <v>0</v>
      </c>
      <c r="CK472" s="232">
        <f t="shared" si="570"/>
        <v>30</v>
      </c>
      <c r="CL472" s="230">
        <f t="shared" si="554"/>
        <v>43</v>
      </c>
      <c r="CM472" s="235">
        <f t="shared" si="555"/>
        <v>3.5018750000000001</v>
      </c>
      <c r="CN472" s="235" cm="1">
        <f t="array" ref="CN472">$BI472 * IF($AH472&lt;=2,
SUMPRODUCT(INDEX($AR$72:$AT$76,,$AI472), INDEX($AU$72:$BA$76,,$AH472), 1 / ($BB$72:$BB$76*CM472 + (1-$BB$72:$BB$76)*CI472), N($AQ$72:$AQ$76&gt;$AO472)),
SUMPRODUCT(INDEX($AR$67:$AT$76,,$AI472), INDEX($AU$67:$BA$76,,$AH472), 1 / ($BC$67:$BC$76*CM472 + (1-$BC$67:$BC$76)*CI472), N($AQ$67:$AQ$76&gt;$AO472))
) / 1000</f>
        <v>0</v>
      </c>
      <c r="CO472" s="232">
        <f t="shared" si="571"/>
        <v>25</v>
      </c>
      <c r="CP472" s="230">
        <f t="shared" si="556"/>
        <v>38</v>
      </c>
      <c r="CQ472" s="235">
        <f t="shared" si="557"/>
        <v>4.0666935483870965</v>
      </c>
      <c r="CR472" s="235" cm="1">
        <f t="array" ref="CR472">$BI472 * IF($AH472&lt;=2,
SUMPRODUCT(INDEX($AR$67:$AT$71,,$AI472), INDEX($AU$67:$BA$71,,$AH472), 1 / ($BB$67:$BB$71*CQ472 + (1-$BB$67:$BB$71)*CM472), N($AQ$67:$AQ$71&gt;$AO472)),
SUMPRODUCT(INDEX($AR$57:$AT$66,,$AI472), INDEX($AU$57:$BA$66,,$AH472), 1 / ($BC$57:$BC$66*CQ472 + (1-$BC$57:$BC$66)*CM472), N($AQ$57:$AQ$66&gt;$AO472))
) / 1000</f>
        <v>0</v>
      </c>
      <c r="CS472" s="232">
        <f t="shared" si="572"/>
        <v>20</v>
      </c>
      <c r="CT472" s="230">
        <f t="shared" si="558"/>
        <v>33</v>
      </c>
      <c r="CU472" s="235">
        <f t="shared" si="559"/>
        <v>4.8487499999999999</v>
      </c>
      <c r="CV472" s="235" cm="1">
        <f t="array" ref="CV472">$BI472 * IF($AH472&lt;=2,
SUMPRODUCT(INDEX($AR$62:$AT$66,,$AI472), INDEX($AU$62:$BA$66,,$AH472), 1 / ($BB$62:$BB$66*CU472 + (1-$BB$62:$BB$66)*CQ472), N($AQ$62:$AQ$66&gt;$AO472)),
SUMPRODUCT(INDEX($AR$47:$AT$56,,$AI472), INDEX($AU$47:$BA$56,,$AH472), 1 / ($BC$47:$BC$56*CU472 + (1-$BC$47:$BC$56)*CQ472), N($AQ$47:$AQ$56&gt;$AO472))
) / 1000</f>
        <v>0</v>
      </c>
      <c r="CW472" s="235" cm="1">
        <f t="array" ref="CW472">$BI472 * IF($AH472&lt;=2,
SUMPRODUCT(INDEX($AR$23:$AT$61,,$AI472), INDEX($AU$23:$BA$61,,$AH472), 1 / ($BB$23:$BB$61*CU472), N($AQ$23:$AQ$61&gt;$AO472)),
SUMPRODUCT(INDEX($AR$23:$AT$46,,$AI472), INDEX($AU$23:$BA$46,,$AH472), 1 / ($BC$23:$BC$46*CU472), N($AQ$23:$AQ$46&gt;$AO472))
) / 1000</f>
        <v>0</v>
      </c>
      <c r="CX472" s="230">
        <f t="shared" si="560"/>
        <v>0</v>
      </c>
      <c r="CY472" s="238"/>
    </row>
    <row r="473" spans="1:103" s="76" customFormat="1" ht="14.25" customHeight="1" x14ac:dyDescent="0.2">
      <c r="A473" s="231" t="b">
        <f t="shared" si="564"/>
        <v>0</v>
      </c>
      <c r="B473" s="245">
        <v>451</v>
      </c>
      <c r="C473" s="258"/>
      <c r="D473" s="258"/>
      <c r="E473" s="246"/>
      <c r="F473" s="247" t="str">
        <f>IF(ISBLANK(E473), "", VLOOKUP(E473, Z!$A$2:$C$4127, 3, FALSE))</f>
        <v/>
      </c>
      <c r="G473" s="248"/>
      <c r="H473" s="248"/>
      <c r="I473" s="249"/>
      <c r="J473" s="250"/>
      <c r="K473" s="259"/>
      <c r="L473" s="260"/>
      <c r="M473" s="252" t="str" cm="1">
        <f t="array" ref="M473">INDEX(Trad, 53, $A$20)</f>
        <v>Verschmutzt</v>
      </c>
      <c r="N473" s="253"/>
      <c r="O473" s="253"/>
      <c r="P473" s="254"/>
      <c r="Q473" s="251"/>
      <c r="R473" s="251"/>
      <c r="S473" s="264">
        <f t="shared" si="535"/>
        <v>0</v>
      </c>
      <c r="T473" s="252" t="str" cm="1">
        <f t="array" ref="T473">INDEX(Trad, 52, $A$20)</f>
        <v>Sauber</v>
      </c>
      <c r="U473" s="253"/>
      <c r="V473" s="253"/>
      <c r="W473" s="254"/>
      <c r="X473" s="251"/>
      <c r="Y473" s="251"/>
      <c r="Z473" s="264">
        <f t="shared" si="536"/>
        <v>0</v>
      </c>
      <c r="AA473" s="261"/>
      <c r="AB473" s="258"/>
      <c r="AC473" s="246"/>
      <c r="AD473" s="247" t="str">
        <f>IF(ISBLANK(AC473), "", VLOOKUP(AC473, Z!$A$2:$C$4127, 3, FALSE))</f>
        <v/>
      </c>
      <c r="AE473" s="262"/>
      <c r="AF473" s="263">
        <f t="shared" si="537"/>
        <v>0</v>
      </c>
      <c r="AG473" s="238"/>
      <c r="AH473" s="229">
        <f t="shared" si="561"/>
        <v>1</v>
      </c>
      <c r="AI473" s="229">
        <f t="shared" si="562"/>
        <v>1</v>
      </c>
      <c r="AJ473" s="229">
        <f t="shared" si="563"/>
        <v>0</v>
      </c>
      <c r="AK473" s="229">
        <v>0</v>
      </c>
      <c r="AL473" s="229">
        <v>0</v>
      </c>
      <c r="AM473" s="229">
        <v>1</v>
      </c>
      <c r="AN473" s="229">
        <v>0</v>
      </c>
      <c r="AO473" s="229">
        <f t="shared" si="538"/>
        <v>-100</v>
      </c>
      <c r="AP473" s="238"/>
      <c r="AQ473" s="255"/>
      <c r="AR473" s="255"/>
      <c r="AS473" s="256"/>
      <c r="AT473" s="256"/>
      <c r="AU473" s="256"/>
      <c r="AV473" s="256"/>
      <c r="AW473" s="256"/>
      <c r="AX473" s="256"/>
      <c r="AY473" s="256"/>
      <c r="AZ473" s="256"/>
      <c r="BA473" s="256"/>
      <c r="BB473" s="256"/>
      <c r="BC473" s="256"/>
      <c r="BD473" s="238"/>
      <c r="BE473" s="229" cm="1">
        <f t="array" ref="BE473">IF(ISBLANK(R473), INDEX(Use, $AH473, 4) - AM473*INDEX(Use, $AH473, 6), R473)</f>
        <v>5</v>
      </c>
      <c r="BF473" s="229">
        <f t="shared" si="539"/>
        <v>30</v>
      </c>
      <c r="BG473" s="229">
        <f t="shared" si="565"/>
        <v>13</v>
      </c>
      <c r="BH473" s="229">
        <f t="shared" si="566"/>
        <v>0</v>
      </c>
      <c r="BI473" s="234" cm="1">
        <f t="array" ref="BI473">K473/IF($L473&gt;0, INDEX($AU$23:$BA$77, $L473+20, $AH473), 1)</f>
        <v>0</v>
      </c>
      <c r="BJ473" s="230">
        <f t="shared" si="540"/>
        <v>0</v>
      </c>
      <c r="BK473" s="229">
        <v>35</v>
      </c>
      <c r="BL473" s="230">
        <f t="shared" si="541"/>
        <v>48</v>
      </c>
      <c r="BM473" s="235">
        <f t="shared" si="542"/>
        <v>2.9108720930232557</v>
      </c>
      <c r="BN473" s="235" cm="1">
        <f t="array" ref="BN473">$BI473 * SUMPRODUCT(INDEX($AR$77:$AT$82,,$AI473),INDEX($AU$77:$BA$82,,$AH473), N($AQ$77:$AQ$82&gt;$AO473)) / BM473 / 1000</f>
        <v>0</v>
      </c>
      <c r="BO473" s="232">
        <f t="shared" si="567"/>
        <v>30</v>
      </c>
      <c r="BP473" s="230">
        <f t="shared" si="543"/>
        <v>43</v>
      </c>
      <c r="BQ473" s="235">
        <f t="shared" si="544"/>
        <v>3.2938815789473681</v>
      </c>
      <c r="BR473" s="235" cm="1">
        <f t="array" ref="BR473">$BI473 * IF($AH473&lt;=2,
SUMPRODUCT(INDEX($AR$72:$AT$76,,$AI473), INDEX($AU$72:$BA$76,,$AH473), 1 / ($BB$72:$BB$76*BQ473 + (1-$BB$72:$BB$76)*BM473), N($AQ$72:$AQ$76&gt;$AO473)),
SUMPRODUCT(INDEX($AR$67:$AT$76,,$AI473), INDEX($AU$67:$BA$76,,$AH473), 1 / ($BC$67:$BC$76*BQ473 + (1-$BC$67:$BC$76)*BM473), N($AQ$67:$AQ$76&gt;$AO473))
) / 1000</f>
        <v>0</v>
      </c>
      <c r="BS473" s="232">
        <f t="shared" si="568"/>
        <v>25</v>
      </c>
      <c r="BT473" s="230">
        <f t="shared" si="545"/>
        <v>38</v>
      </c>
      <c r="BU473" s="235">
        <f t="shared" si="546"/>
        <v>3.792954545454545</v>
      </c>
      <c r="BV473" s="235" cm="1">
        <f t="array" ref="BV473">$BI473 * IF($AH473&lt;=2,
SUMPRODUCT(INDEX($AR$67:$AT$71,,$AI473), INDEX($AU$67:$BA$71,,$AH473), 1 / ($BB$67:$BB$71*BU473 + (1-$BB$67:$BB$71)*BQ473), N($AQ$67:$AQ$71&gt;$AO473)),
SUMPRODUCT(INDEX($AR$57:$AT$66,,$AI473), INDEX($AU$57:$BA$66,,$AH473), 1 / ($BC$57:$BC$66*BU473 + (1-$BC$57:$BC$66)*BQ473), N($AQ$57:$AQ$66&gt;$AO473))
) / 1000</f>
        <v>0</v>
      </c>
      <c r="BW473" s="232">
        <f t="shared" si="569"/>
        <v>20</v>
      </c>
      <c r="BX473" s="230">
        <f t="shared" si="547"/>
        <v>33</v>
      </c>
      <c r="BY473" s="235">
        <f t="shared" si="548"/>
        <v>4.4702678571428569</v>
      </c>
      <c r="BZ473" s="235" cm="1">
        <f t="array" ref="BZ473">$BI473 * IF($AH473&lt;=2,
SUMPRODUCT(INDEX($AR$62:$AT$66,,$AI473), INDEX($AU$62:$BA$66,,$AH473), 1 / ($BB$62:$BB$66*BY473 + (1-$BB$62:$BB$66)*BU473), N($AQ$62:$AQ$66&gt;$AO473)),
SUMPRODUCT(INDEX($AR$47:$AT$56,,$AI473), INDEX($AU$47:$BA$56,,$AH473), 1 / ($BC$47:$BC$56*BY473 + (1-$BC$47:$BC$56)*BU473), N($AQ$47:$AQ$56&gt;$AO473))
) / 1000</f>
        <v>0</v>
      </c>
      <c r="CA473" s="235" cm="1">
        <f t="array" ref="CA473">$BI473 * IF($AH473&lt;=2,
SUMPRODUCT(INDEX($AR$23:$AT$61,,$AI473), INDEX($AU$23:$BA$61,,$AH473), 1 / ($BB$23:$BB$61*BY473), N($AQ$23:$AQ$61&gt;$AO473)),
SUMPRODUCT(INDEX($AR$23:$AT$46,,$AI473), INDEX($AU$23:$BA$46,,$AH473), 1 / ($BC$23:$BC$46*BY473), N($AQ$23:$AQ$46&gt;$AO473))
) / 1000</f>
        <v>0</v>
      </c>
      <c r="CB473" s="230">
        <f t="shared" si="549"/>
        <v>0</v>
      </c>
      <c r="CC473" s="238"/>
      <c r="CD473" s="229" cm="1">
        <f t="array" ref="CD473">IF(ISBLANK(Y473), INDEX(Use, $AH473, 4) - AN473*INDEX(Use, $AH473, 6) - (Q473-X473), Y473)</f>
        <v>7</v>
      </c>
      <c r="CE473" s="229">
        <f t="shared" si="550"/>
        <v>32</v>
      </c>
      <c r="CF473" s="230">
        <f t="shared" si="551"/>
        <v>0</v>
      </c>
      <c r="CG473" s="229">
        <v>35</v>
      </c>
      <c r="CH473" s="230">
        <f t="shared" si="552"/>
        <v>48</v>
      </c>
      <c r="CI473" s="235">
        <f t="shared" si="553"/>
        <v>3.0748170731707316</v>
      </c>
      <c r="CJ473" s="235" cm="1">
        <f t="array" ref="CJ473">$BI473 * SUMPRODUCT(INDEX($AR$77:$AT$82,,$AI473),INDEX($AU$77:$BA$82,,$AH473), N($AQ$77:$AQ$82&gt;$AO473)) / CI473 / 1000</f>
        <v>0</v>
      </c>
      <c r="CK473" s="232">
        <f t="shared" si="570"/>
        <v>30</v>
      </c>
      <c r="CL473" s="230">
        <f t="shared" si="554"/>
        <v>43</v>
      </c>
      <c r="CM473" s="235">
        <f t="shared" si="555"/>
        <v>3.5018750000000001</v>
      </c>
      <c r="CN473" s="235" cm="1">
        <f t="array" ref="CN473">$BI473 * IF($AH473&lt;=2,
SUMPRODUCT(INDEX($AR$72:$AT$76,,$AI473), INDEX($AU$72:$BA$76,,$AH473), 1 / ($BB$72:$BB$76*CM473 + (1-$BB$72:$BB$76)*CI473), N($AQ$72:$AQ$76&gt;$AO473)),
SUMPRODUCT(INDEX($AR$67:$AT$76,,$AI473), INDEX($AU$67:$BA$76,,$AH473), 1 / ($BC$67:$BC$76*CM473 + (1-$BC$67:$BC$76)*CI473), N($AQ$67:$AQ$76&gt;$AO473))
) / 1000</f>
        <v>0</v>
      </c>
      <c r="CO473" s="232">
        <f t="shared" si="571"/>
        <v>25</v>
      </c>
      <c r="CP473" s="230">
        <f t="shared" si="556"/>
        <v>38</v>
      </c>
      <c r="CQ473" s="235">
        <f t="shared" si="557"/>
        <v>4.0666935483870965</v>
      </c>
      <c r="CR473" s="235" cm="1">
        <f t="array" ref="CR473">$BI473 * IF($AH473&lt;=2,
SUMPRODUCT(INDEX($AR$67:$AT$71,,$AI473), INDEX($AU$67:$BA$71,,$AH473), 1 / ($BB$67:$BB$71*CQ473 + (1-$BB$67:$BB$71)*CM473), N($AQ$67:$AQ$71&gt;$AO473)),
SUMPRODUCT(INDEX($AR$57:$AT$66,,$AI473), INDEX($AU$57:$BA$66,,$AH473), 1 / ($BC$57:$BC$66*CQ473 + (1-$BC$57:$BC$66)*CM473), N($AQ$57:$AQ$66&gt;$AO473))
) / 1000</f>
        <v>0</v>
      </c>
      <c r="CS473" s="232">
        <f t="shared" si="572"/>
        <v>20</v>
      </c>
      <c r="CT473" s="230">
        <f t="shared" si="558"/>
        <v>33</v>
      </c>
      <c r="CU473" s="235">
        <f t="shared" si="559"/>
        <v>4.8487499999999999</v>
      </c>
      <c r="CV473" s="235" cm="1">
        <f t="array" ref="CV473">$BI473 * IF($AH473&lt;=2,
SUMPRODUCT(INDEX($AR$62:$AT$66,,$AI473), INDEX($AU$62:$BA$66,,$AH473), 1 / ($BB$62:$BB$66*CU473 + (1-$BB$62:$BB$66)*CQ473), N($AQ$62:$AQ$66&gt;$AO473)),
SUMPRODUCT(INDEX($AR$47:$AT$56,,$AI473), INDEX($AU$47:$BA$56,,$AH473), 1 / ($BC$47:$BC$56*CU473 + (1-$BC$47:$BC$56)*CQ473), N($AQ$47:$AQ$56&gt;$AO473))
) / 1000</f>
        <v>0</v>
      </c>
      <c r="CW473" s="235" cm="1">
        <f t="array" ref="CW473">$BI473 * IF($AH473&lt;=2,
SUMPRODUCT(INDEX($AR$23:$AT$61,,$AI473), INDEX($AU$23:$BA$61,,$AH473), 1 / ($BB$23:$BB$61*CU473), N($AQ$23:$AQ$61&gt;$AO473)),
SUMPRODUCT(INDEX($AR$23:$AT$46,,$AI473), INDEX($AU$23:$BA$46,,$AH473), 1 / ($BC$23:$BC$46*CU473), N($AQ$23:$AQ$46&gt;$AO473))
) / 1000</f>
        <v>0</v>
      </c>
      <c r="CX473" s="230">
        <f t="shared" si="560"/>
        <v>0</v>
      </c>
      <c r="CY473" s="238"/>
    </row>
    <row r="474" spans="1:103" s="76" customFormat="1" ht="14.25" customHeight="1" x14ac:dyDescent="0.2">
      <c r="A474" s="231" t="b">
        <f t="shared" si="564"/>
        <v>0</v>
      </c>
      <c r="B474" s="245">
        <v>452</v>
      </c>
      <c r="C474" s="258"/>
      <c r="D474" s="258"/>
      <c r="E474" s="246"/>
      <c r="F474" s="247" t="str">
        <f>IF(ISBLANK(E474), "", VLOOKUP(E474, Z!$A$2:$C$4127, 3, FALSE))</f>
        <v/>
      </c>
      <c r="G474" s="248"/>
      <c r="H474" s="248"/>
      <c r="I474" s="249"/>
      <c r="J474" s="250"/>
      <c r="K474" s="259"/>
      <c r="L474" s="260"/>
      <c r="M474" s="252" t="str" cm="1">
        <f t="array" ref="M474">INDEX(Trad, 53, $A$20)</f>
        <v>Verschmutzt</v>
      </c>
      <c r="N474" s="253"/>
      <c r="O474" s="253"/>
      <c r="P474" s="254"/>
      <c r="Q474" s="251"/>
      <c r="R474" s="251"/>
      <c r="S474" s="264">
        <f t="shared" si="535"/>
        <v>0</v>
      </c>
      <c r="T474" s="252" t="str" cm="1">
        <f t="array" ref="T474">INDEX(Trad, 52, $A$20)</f>
        <v>Sauber</v>
      </c>
      <c r="U474" s="253"/>
      <c r="V474" s="253"/>
      <c r="W474" s="254"/>
      <c r="X474" s="251"/>
      <c r="Y474" s="251"/>
      <c r="Z474" s="264">
        <f t="shared" si="536"/>
        <v>0</v>
      </c>
      <c r="AA474" s="261"/>
      <c r="AB474" s="258"/>
      <c r="AC474" s="246"/>
      <c r="AD474" s="247" t="str">
        <f>IF(ISBLANK(AC474), "", VLOOKUP(AC474, Z!$A$2:$C$4127, 3, FALSE))</f>
        <v/>
      </c>
      <c r="AE474" s="262"/>
      <c r="AF474" s="263">
        <f t="shared" si="537"/>
        <v>0</v>
      </c>
      <c r="AG474" s="238"/>
      <c r="AH474" s="229">
        <f t="shared" si="561"/>
        <v>1</v>
      </c>
      <c r="AI474" s="229">
        <f t="shared" si="562"/>
        <v>1</v>
      </c>
      <c r="AJ474" s="229">
        <f t="shared" si="563"/>
        <v>0</v>
      </c>
      <c r="AK474" s="229">
        <v>0</v>
      </c>
      <c r="AL474" s="229">
        <v>0</v>
      </c>
      <c r="AM474" s="229">
        <v>1</v>
      </c>
      <c r="AN474" s="229">
        <v>0</v>
      </c>
      <c r="AO474" s="229">
        <f t="shared" si="538"/>
        <v>-100</v>
      </c>
      <c r="AP474" s="238"/>
      <c r="AQ474" s="255"/>
      <c r="AR474" s="255"/>
      <c r="AS474" s="256"/>
      <c r="AT474" s="256"/>
      <c r="AU474" s="256"/>
      <c r="AV474" s="256"/>
      <c r="AW474" s="256"/>
      <c r="AX474" s="256"/>
      <c r="AY474" s="256"/>
      <c r="AZ474" s="256"/>
      <c r="BA474" s="256"/>
      <c r="BB474" s="256"/>
      <c r="BC474" s="256"/>
      <c r="BD474" s="238"/>
      <c r="BE474" s="229" cm="1">
        <f t="array" ref="BE474">IF(ISBLANK(R474), INDEX(Use, $AH474, 4) - AM474*INDEX(Use, $AH474, 6), R474)</f>
        <v>5</v>
      </c>
      <c r="BF474" s="229">
        <f t="shared" si="539"/>
        <v>30</v>
      </c>
      <c r="BG474" s="229">
        <f t="shared" si="565"/>
        <v>13</v>
      </c>
      <c r="BH474" s="229">
        <f t="shared" si="566"/>
        <v>0</v>
      </c>
      <c r="BI474" s="234" cm="1">
        <f t="array" ref="BI474">K474/IF($L474&gt;0, INDEX($AU$23:$BA$77, $L474+20, $AH474), 1)</f>
        <v>0</v>
      </c>
      <c r="BJ474" s="230">
        <f t="shared" si="540"/>
        <v>0</v>
      </c>
      <c r="BK474" s="229">
        <v>35</v>
      </c>
      <c r="BL474" s="230">
        <f t="shared" si="541"/>
        <v>48</v>
      </c>
      <c r="BM474" s="235">
        <f t="shared" si="542"/>
        <v>2.9108720930232557</v>
      </c>
      <c r="BN474" s="235" cm="1">
        <f t="array" ref="BN474">$BI474 * SUMPRODUCT(INDEX($AR$77:$AT$82,,$AI474),INDEX($AU$77:$BA$82,,$AH474), N($AQ$77:$AQ$82&gt;$AO474)) / BM474 / 1000</f>
        <v>0</v>
      </c>
      <c r="BO474" s="232">
        <f t="shared" si="567"/>
        <v>30</v>
      </c>
      <c r="BP474" s="230">
        <f t="shared" si="543"/>
        <v>43</v>
      </c>
      <c r="BQ474" s="235">
        <f t="shared" si="544"/>
        <v>3.2938815789473681</v>
      </c>
      <c r="BR474" s="235" cm="1">
        <f t="array" ref="BR474">$BI474 * IF($AH474&lt;=2,
SUMPRODUCT(INDEX($AR$72:$AT$76,,$AI474), INDEX($AU$72:$BA$76,,$AH474), 1 / ($BB$72:$BB$76*BQ474 + (1-$BB$72:$BB$76)*BM474), N($AQ$72:$AQ$76&gt;$AO474)),
SUMPRODUCT(INDEX($AR$67:$AT$76,,$AI474), INDEX($AU$67:$BA$76,,$AH474), 1 / ($BC$67:$BC$76*BQ474 + (1-$BC$67:$BC$76)*BM474), N($AQ$67:$AQ$76&gt;$AO474))
) / 1000</f>
        <v>0</v>
      </c>
      <c r="BS474" s="232">
        <f t="shared" si="568"/>
        <v>25</v>
      </c>
      <c r="BT474" s="230">
        <f t="shared" si="545"/>
        <v>38</v>
      </c>
      <c r="BU474" s="235">
        <f t="shared" si="546"/>
        <v>3.792954545454545</v>
      </c>
      <c r="BV474" s="235" cm="1">
        <f t="array" ref="BV474">$BI474 * IF($AH474&lt;=2,
SUMPRODUCT(INDEX($AR$67:$AT$71,,$AI474), INDEX($AU$67:$BA$71,,$AH474), 1 / ($BB$67:$BB$71*BU474 + (1-$BB$67:$BB$71)*BQ474), N($AQ$67:$AQ$71&gt;$AO474)),
SUMPRODUCT(INDEX($AR$57:$AT$66,,$AI474), INDEX($AU$57:$BA$66,,$AH474), 1 / ($BC$57:$BC$66*BU474 + (1-$BC$57:$BC$66)*BQ474), N($AQ$57:$AQ$66&gt;$AO474))
) / 1000</f>
        <v>0</v>
      </c>
      <c r="BW474" s="232">
        <f t="shared" si="569"/>
        <v>20</v>
      </c>
      <c r="BX474" s="230">
        <f t="shared" si="547"/>
        <v>33</v>
      </c>
      <c r="BY474" s="235">
        <f t="shared" si="548"/>
        <v>4.4702678571428569</v>
      </c>
      <c r="BZ474" s="235" cm="1">
        <f t="array" ref="BZ474">$BI474 * IF($AH474&lt;=2,
SUMPRODUCT(INDEX($AR$62:$AT$66,,$AI474), INDEX($AU$62:$BA$66,,$AH474), 1 / ($BB$62:$BB$66*BY474 + (1-$BB$62:$BB$66)*BU474), N($AQ$62:$AQ$66&gt;$AO474)),
SUMPRODUCT(INDEX($AR$47:$AT$56,,$AI474), INDEX($AU$47:$BA$56,,$AH474), 1 / ($BC$47:$BC$56*BY474 + (1-$BC$47:$BC$56)*BU474), N($AQ$47:$AQ$56&gt;$AO474))
) / 1000</f>
        <v>0</v>
      </c>
      <c r="CA474" s="235" cm="1">
        <f t="array" ref="CA474">$BI474 * IF($AH474&lt;=2,
SUMPRODUCT(INDEX($AR$23:$AT$61,,$AI474), INDEX($AU$23:$BA$61,,$AH474), 1 / ($BB$23:$BB$61*BY474), N($AQ$23:$AQ$61&gt;$AO474)),
SUMPRODUCT(INDEX($AR$23:$AT$46,,$AI474), INDEX($AU$23:$BA$46,,$AH474), 1 / ($BC$23:$BC$46*BY474), N($AQ$23:$AQ$46&gt;$AO474))
) / 1000</f>
        <v>0</v>
      </c>
      <c r="CB474" s="230">
        <f t="shared" si="549"/>
        <v>0</v>
      </c>
      <c r="CC474" s="238"/>
      <c r="CD474" s="229" cm="1">
        <f t="array" ref="CD474">IF(ISBLANK(Y474), INDEX(Use, $AH474, 4) - AN474*INDEX(Use, $AH474, 6) - (Q474-X474), Y474)</f>
        <v>7</v>
      </c>
      <c r="CE474" s="229">
        <f t="shared" si="550"/>
        <v>32</v>
      </c>
      <c r="CF474" s="230">
        <f t="shared" si="551"/>
        <v>0</v>
      </c>
      <c r="CG474" s="229">
        <v>35</v>
      </c>
      <c r="CH474" s="230">
        <f t="shared" si="552"/>
        <v>48</v>
      </c>
      <c r="CI474" s="235">
        <f t="shared" si="553"/>
        <v>3.0748170731707316</v>
      </c>
      <c r="CJ474" s="235" cm="1">
        <f t="array" ref="CJ474">$BI474 * SUMPRODUCT(INDEX($AR$77:$AT$82,,$AI474),INDEX($AU$77:$BA$82,,$AH474), N($AQ$77:$AQ$82&gt;$AO474)) / CI474 / 1000</f>
        <v>0</v>
      </c>
      <c r="CK474" s="232">
        <f t="shared" si="570"/>
        <v>30</v>
      </c>
      <c r="CL474" s="230">
        <f t="shared" si="554"/>
        <v>43</v>
      </c>
      <c r="CM474" s="235">
        <f t="shared" si="555"/>
        <v>3.5018750000000001</v>
      </c>
      <c r="CN474" s="235" cm="1">
        <f t="array" ref="CN474">$BI474 * IF($AH474&lt;=2,
SUMPRODUCT(INDEX($AR$72:$AT$76,,$AI474), INDEX($AU$72:$BA$76,,$AH474), 1 / ($BB$72:$BB$76*CM474 + (1-$BB$72:$BB$76)*CI474), N($AQ$72:$AQ$76&gt;$AO474)),
SUMPRODUCT(INDEX($AR$67:$AT$76,,$AI474), INDEX($AU$67:$BA$76,,$AH474), 1 / ($BC$67:$BC$76*CM474 + (1-$BC$67:$BC$76)*CI474), N($AQ$67:$AQ$76&gt;$AO474))
) / 1000</f>
        <v>0</v>
      </c>
      <c r="CO474" s="232">
        <f t="shared" si="571"/>
        <v>25</v>
      </c>
      <c r="CP474" s="230">
        <f t="shared" si="556"/>
        <v>38</v>
      </c>
      <c r="CQ474" s="235">
        <f t="shared" si="557"/>
        <v>4.0666935483870965</v>
      </c>
      <c r="CR474" s="235" cm="1">
        <f t="array" ref="CR474">$BI474 * IF($AH474&lt;=2,
SUMPRODUCT(INDEX($AR$67:$AT$71,,$AI474), INDEX($AU$67:$BA$71,,$AH474), 1 / ($BB$67:$BB$71*CQ474 + (1-$BB$67:$BB$71)*CM474), N($AQ$67:$AQ$71&gt;$AO474)),
SUMPRODUCT(INDEX($AR$57:$AT$66,,$AI474), INDEX($AU$57:$BA$66,,$AH474), 1 / ($BC$57:$BC$66*CQ474 + (1-$BC$57:$BC$66)*CM474), N($AQ$57:$AQ$66&gt;$AO474))
) / 1000</f>
        <v>0</v>
      </c>
      <c r="CS474" s="232">
        <f t="shared" si="572"/>
        <v>20</v>
      </c>
      <c r="CT474" s="230">
        <f t="shared" si="558"/>
        <v>33</v>
      </c>
      <c r="CU474" s="235">
        <f t="shared" si="559"/>
        <v>4.8487499999999999</v>
      </c>
      <c r="CV474" s="235" cm="1">
        <f t="array" ref="CV474">$BI474 * IF($AH474&lt;=2,
SUMPRODUCT(INDEX($AR$62:$AT$66,,$AI474), INDEX($AU$62:$BA$66,,$AH474), 1 / ($BB$62:$BB$66*CU474 + (1-$BB$62:$BB$66)*CQ474), N($AQ$62:$AQ$66&gt;$AO474)),
SUMPRODUCT(INDEX($AR$47:$AT$56,,$AI474), INDEX($AU$47:$BA$56,,$AH474), 1 / ($BC$47:$BC$56*CU474 + (1-$BC$47:$BC$56)*CQ474), N($AQ$47:$AQ$56&gt;$AO474))
) / 1000</f>
        <v>0</v>
      </c>
      <c r="CW474" s="235" cm="1">
        <f t="array" ref="CW474">$BI474 * IF($AH474&lt;=2,
SUMPRODUCT(INDEX($AR$23:$AT$61,,$AI474), INDEX($AU$23:$BA$61,,$AH474), 1 / ($BB$23:$BB$61*CU474), N($AQ$23:$AQ$61&gt;$AO474)),
SUMPRODUCT(INDEX($AR$23:$AT$46,,$AI474), INDEX($AU$23:$BA$46,,$AH474), 1 / ($BC$23:$BC$46*CU474), N($AQ$23:$AQ$46&gt;$AO474))
) / 1000</f>
        <v>0</v>
      </c>
      <c r="CX474" s="230">
        <f t="shared" si="560"/>
        <v>0</v>
      </c>
      <c r="CY474" s="238"/>
    </row>
    <row r="475" spans="1:103" s="76" customFormat="1" ht="14.25" customHeight="1" x14ac:dyDescent="0.2">
      <c r="A475" s="231" t="b">
        <f t="shared" si="564"/>
        <v>0</v>
      </c>
      <c r="B475" s="245">
        <v>453</v>
      </c>
      <c r="C475" s="258"/>
      <c r="D475" s="258"/>
      <c r="E475" s="246"/>
      <c r="F475" s="247" t="str">
        <f>IF(ISBLANK(E475), "", VLOOKUP(E475, Z!$A$2:$C$4127, 3, FALSE))</f>
        <v/>
      </c>
      <c r="G475" s="248"/>
      <c r="H475" s="248"/>
      <c r="I475" s="249"/>
      <c r="J475" s="250"/>
      <c r="K475" s="259"/>
      <c r="L475" s="260"/>
      <c r="M475" s="252" t="str" cm="1">
        <f t="array" ref="M475">INDEX(Trad, 53, $A$20)</f>
        <v>Verschmutzt</v>
      </c>
      <c r="N475" s="253"/>
      <c r="O475" s="253"/>
      <c r="P475" s="254"/>
      <c r="Q475" s="251"/>
      <c r="R475" s="251"/>
      <c r="S475" s="264">
        <f t="shared" si="535"/>
        <v>0</v>
      </c>
      <c r="T475" s="252" t="str" cm="1">
        <f t="array" ref="T475">INDEX(Trad, 52, $A$20)</f>
        <v>Sauber</v>
      </c>
      <c r="U475" s="253"/>
      <c r="V475" s="253"/>
      <c r="W475" s="254"/>
      <c r="X475" s="251"/>
      <c r="Y475" s="251"/>
      <c r="Z475" s="264">
        <f t="shared" si="536"/>
        <v>0</v>
      </c>
      <c r="AA475" s="261"/>
      <c r="AB475" s="258"/>
      <c r="AC475" s="246"/>
      <c r="AD475" s="247" t="str">
        <f>IF(ISBLANK(AC475), "", VLOOKUP(AC475, Z!$A$2:$C$4127, 3, FALSE))</f>
        <v/>
      </c>
      <c r="AE475" s="262"/>
      <c r="AF475" s="263">
        <f t="shared" si="537"/>
        <v>0</v>
      </c>
      <c r="AG475" s="238"/>
      <c r="AH475" s="229">
        <f t="shared" si="561"/>
        <v>1</v>
      </c>
      <c r="AI475" s="229">
        <f t="shared" si="562"/>
        <v>1</v>
      </c>
      <c r="AJ475" s="229">
        <f t="shared" si="563"/>
        <v>0</v>
      </c>
      <c r="AK475" s="229">
        <v>0</v>
      </c>
      <c r="AL475" s="229">
        <v>0</v>
      </c>
      <c r="AM475" s="229">
        <v>1</v>
      </c>
      <c r="AN475" s="229">
        <v>0</v>
      </c>
      <c r="AO475" s="229">
        <f t="shared" si="538"/>
        <v>-100</v>
      </c>
      <c r="AP475" s="238"/>
      <c r="AQ475" s="255"/>
      <c r="AR475" s="255"/>
      <c r="AS475" s="256"/>
      <c r="AT475" s="256"/>
      <c r="AU475" s="256"/>
      <c r="AV475" s="256"/>
      <c r="AW475" s="256"/>
      <c r="AX475" s="256"/>
      <c r="AY475" s="256"/>
      <c r="AZ475" s="256"/>
      <c r="BA475" s="256"/>
      <c r="BB475" s="256"/>
      <c r="BC475" s="256"/>
      <c r="BD475" s="238"/>
      <c r="BE475" s="229" cm="1">
        <f t="array" ref="BE475">IF(ISBLANK(R475), INDEX(Use, $AH475, 4) - AM475*INDEX(Use, $AH475, 6), R475)</f>
        <v>5</v>
      </c>
      <c r="BF475" s="229">
        <f t="shared" si="539"/>
        <v>30</v>
      </c>
      <c r="BG475" s="229">
        <f t="shared" si="565"/>
        <v>13</v>
      </c>
      <c r="BH475" s="229">
        <f t="shared" si="566"/>
        <v>0</v>
      </c>
      <c r="BI475" s="234" cm="1">
        <f t="array" ref="BI475">K475/IF($L475&gt;0, INDEX($AU$23:$BA$77, $L475+20, $AH475), 1)</f>
        <v>0</v>
      </c>
      <c r="BJ475" s="230">
        <f t="shared" si="540"/>
        <v>0</v>
      </c>
      <c r="BK475" s="229">
        <v>35</v>
      </c>
      <c r="BL475" s="230">
        <f t="shared" si="541"/>
        <v>48</v>
      </c>
      <c r="BM475" s="235">
        <f t="shared" si="542"/>
        <v>2.9108720930232557</v>
      </c>
      <c r="BN475" s="235" cm="1">
        <f t="array" ref="BN475">$BI475 * SUMPRODUCT(INDEX($AR$77:$AT$82,,$AI475),INDEX($AU$77:$BA$82,,$AH475), N($AQ$77:$AQ$82&gt;$AO475)) / BM475 / 1000</f>
        <v>0</v>
      </c>
      <c r="BO475" s="232">
        <f t="shared" si="567"/>
        <v>30</v>
      </c>
      <c r="BP475" s="230">
        <f t="shared" si="543"/>
        <v>43</v>
      </c>
      <c r="BQ475" s="235">
        <f t="shared" si="544"/>
        <v>3.2938815789473681</v>
      </c>
      <c r="BR475" s="235" cm="1">
        <f t="array" ref="BR475">$BI475 * IF($AH475&lt;=2,
SUMPRODUCT(INDEX($AR$72:$AT$76,,$AI475), INDEX($AU$72:$BA$76,,$AH475), 1 / ($BB$72:$BB$76*BQ475 + (1-$BB$72:$BB$76)*BM475), N($AQ$72:$AQ$76&gt;$AO475)),
SUMPRODUCT(INDEX($AR$67:$AT$76,,$AI475), INDEX($AU$67:$BA$76,,$AH475), 1 / ($BC$67:$BC$76*BQ475 + (1-$BC$67:$BC$76)*BM475), N($AQ$67:$AQ$76&gt;$AO475))
) / 1000</f>
        <v>0</v>
      </c>
      <c r="BS475" s="232">
        <f t="shared" si="568"/>
        <v>25</v>
      </c>
      <c r="BT475" s="230">
        <f t="shared" si="545"/>
        <v>38</v>
      </c>
      <c r="BU475" s="235">
        <f t="shared" si="546"/>
        <v>3.792954545454545</v>
      </c>
      <c r="BV475" s="235" cm="1">
        <f t="array" ref="BV475">$BI475 * IF($AH475&lt;=2,
SUMPRODUCT(INDEX($AR$67:$AT$71,,$AI475), INDEX($AU$67:$BA$71,,$AH475), 1 / ($BB$67:$BB$71*BU475 + (1-$BB$67:$BB$71)*BQ475), N($AQ$67:$AQ$71&gt;$AO475)),
SUMPRODUCT(INDEX($AR$57:$AT$66,,$AI475), INDEX($AU$57:$BA$66,,$AH475), 1 / ($BC$57:$BC$66*BU475 + (1-$BC$57:$BC$66)*BQ475), N($AQ$57:$AQ$66&gt;$AO475))
) / 1000</f>
        <v>0</v>
      </c>
      <c r="BW475" s="232">
        <f t="shared" si="569"/>
        <v>20</v>
      </c>
      <c r="BX475" s="230">
        <f t="shared" si="547"/>
        <v>33</v>
      </c>
      <c r="BY475" s="235">
        <f t="shared" si="548"/>
        <v>4.4702678571428569</v>
      </c>
      <c r="BZ475" s="235" cm="1">
        <f t="array" ref="BZ475">$BI475 * IF($AH475&lt;=2,
SUMPRODUCT(INDEX($AR$62:$AT$66,,$AI475), INDEX($AU$62:$BA$66,,$AH475), 1 / ($BB$62:$BB$66*BY475 + (1-$BB$62:$BB$66)*BU475), N($AQ$62:$AQ$66&gt;$AO475)),
SUMPRODUCT(INDEX($AR$47:$AT$56,,$AI475), INDEX($AU$47:$BA$56,,$AH475), 1 / ($BC$47:$BC$56*BY475 + (1-$BC$47:$BC$56)*BU475), N($AQ$47:$AQ$56&gt;$AO475))
) / 1000</f>
        <v>0</v>
      </c>
      <c r="CA475" s="235" cm="1">
        <f t="array" ref="CA475">$BI475 * IF($AH475&lt;=2,
SUMPRODUCT(INDEX($AR$23:$AT$61,,$AI475), INDEX($AU$23:$BA$61,,$AH475), 1 / ($BB$23:$BB$61*BY475), N($AQ$23:$AQ$61&gt;$AO475)),
SUMPRODUCT(INDEX($AR$23:$AT$46,,$AI475), INDEX($AU$23:$BA$46,,$AH475), 1 / ($BC$23:$BC$46*BY475), N($AQ$23:$AQ$46&gt;$AO475))
) / 1000</f>
        <v>0</v>
      </c>
      <c r="CB475" s="230">
        <f t="shared" si="549"/>
        <v>0</v>
      </c>
      <c r="CC475" s="238"/>
      <c r="CD475" s="229" cm="1">
        <f t="array" ref="CD475">IF(ISBLANK(Y475), INDEX(Use, $AH475, 4) - AN475*INDEX(Use, $AH475, 6) - (Q475-X475), Y475)</f>
        <v>7</v>
      </c>
      <c r="CE475" s="229">
        <f t="shared" si="550"/>
        <v>32</v>
      </c>
      <c r="CF475" s="230">
        <f t="shared" si="551"/>
        <v>0</v>
      </c>
      <c r="CG475" s="229">
        <v>35</v>
      </c>
      <c r="CH475" s="230">
        <f t="shared" si="552"/>
        <v>48</v>
      </c>
      <c r="CI475" s="235">
        <f t="shared" si="553"/>
        <v>3.0748170731707316</v>
      </c>
      <c r="CJ475" s="235" cm="1">
        <f t="array" ref="CJ475">$BI475 * SUMPRODUCT(INDEX($AR$77:$AT$82,,$AI475),INDEX($AU$77:$BA$82,,$AH475), N($AQ$77:$AQ$82&gt;$AO475)) / CI475 / 1000</f>
        <v>0</v>
      </c>
      <c r="CK475" s="232">
        <f t="shared" si="570"/>
        <v>30</v>
      </c>
      <c r="CL475" s="230">
        <f t="shared" si="554"/>
        <v>43</v>
      </c>
      <c r="CM475" s="235">
        <f t="shared" si="555"/>
        <v>3.5018750000000001</v>
      </c>
      <c r="CN475" s="235" cm="1">
        <f t="array" ref="CN475">$BI475 * IF($AH475&lt;=2,
SUMPRODUCT(INDEX($AR$72:$AT$76,,$AI475), INDEX($AU$72:$BA$76,,$AH475), 1 / ($BB$72:$BB$76*CM475 + (1-$BB$72:$BB$76)*CI475), N($AQ$72:$AQ$76&gt;$AO475)),
SUMPRODUCT(INDEX($AR$67:$AT$76,,$AI475), INDEX($AU$67:$BA$76,,$AH475), 1 / ($BC$67:$BC$76*CM475 + (1-$BC$67:$BC$76)*CI475), N($AQ$67:$AQ$76&gt;$AO475))
) / 1000</f>
        <v>0</v>
      </c>
      <c r="CO475" s="232">
        <f t="shared" si="571"/>
        <v>25</v>
      </c>
      <c r="CP475" s="230">
        <f t="shared" si="556"/>
        <v>38</v>
      </c>
      <c r="CQ475" s="235">
        <f t="shared" si="557"/>
        <v>4.0666935483870965</v>
      </c>
      <c r="CR475" s="235" cm="1">
        <f t="array" ref="CR475">$BI475 * IF($AH475&lt;=2,
SUMPRODUCT(INDEX($AR$67:$AT$71,,$AI475), INDEX($AU$67:$BA$71,,$AH475), 1 / ($BB$67:$BB$71*CQ475 + (1-$BB$67:$BB$71)*CM475), N($AQ$67:$AQ$71&gt;$AO475)),
SUMPRODUCT(INDEX($AR$57:$AT$66,,$AI475), INDEX($AU$57:$BA$66,,$AH475), 1 / ($BC$57:$BC$66*CQ475 + (1-$BC$57:$BC$66)*CM475), N($AQ$57:$AQ$66&gt;$AO475))
) / 1000</f>
        <v>0</v>
      </c>
      <c r="CS475" s="232">
        <f t="shared" si="572"/>
        <v>20</v>
      </c>
      <c r="CT475" s="230">
        <f t="shared" si="558"/>
        <v>33</v>
      </c>
      <c r="CU475" s="235">
        <f t="shared" si="559"/>
        <v>4.8487499999999999</v>
      </c>
      <c r="CV475" s="235" cm="1">
        <f t="array" ref="CV475">$BI475 * IF($AH475&lt;=2,
SUMPRODUCT(INDEX($AR$62:$AT$66,,$AI475), INDEX($AU$62:$BA$66,,$AH475), 1 / ($BB$62:$BB$66*CU475 + (1-$BB$62:$BB$66)*CQ475), N($AQ$62:$AQ$66&gt;$AO475)),
SUMPRODUCT(INDEX($AR$47:$AT$56,,$AI475), INDEX($AU$47:$BA$56,,$AH475), 1 / ($BC$47:$BC$56*CU475 + (1-$BC$47:$BC$56)*CQ475), N($AQ$47:$AQ$56&gt;$AO475))
) / 1000</f>
        <v>0</v>
      </c>
      <c r="CW475" s="235" cm="1">
        <f t="array" ref="CW475">$BI475 * IF($AH475&lt;=2,
SUMPRODUCT(INDEX($AR$23:$AT$61,,$AI475), INDEX($AU$23:$BA$61,,$AH475), 1 / ($BB$23:$BB$61*CU475), N($AQ$23:$AQ$61&gt;$AO475)),
SUMPRODUCT(INDEX($AR$23:$AT$46,,$AI475), INDEX($AU$23:$BA$46,,$AH475), 1 / ($BC$23:$BC$46*CU475), N($AQ$23:$AQ$46&gt;$AO475))
) / 1000</f>
        <v>0</v>
      </c>
      <c r="CX475" s="230">
        <f t="shared" si="560"/>
        <v>0</v>
      </c>
      <c r="CY475" s="238"/>
    </row>
    <row r="476" spans="1:103" s="76" customFormat="1" ht="14.25" customHeight="1" x14ac:dyDescent="0.2">
      <c r="A476" s="231" t="b">
        <f t="shared" si="564"/>
        <v>0</v>
      </c>
      <c r="B476" s="245">
        <v>454</v>
      </c>
      <c r="C476" s="258"/>
      <c r="D476" s="258"/>
      <c r="E476" s="246"/>
      <c r="F476" s="247" t="str">
        <f>IF(ISBLANK(E476), "", VLOOKUP(E476, Z!$A$2:$C$4127, 3, FALSE))</f>
        <v/>
      </c>
      <c r="G476" s="248"/>
      <c r="H476" s="248"/>
      <c r="I476" s="249"/>
      <c r="J476" s="250"/>
      <c r="K476" s="259"/>
      <c r="L476" s="260"/>
      <c r="M476" s="252" t="str" cm="1">
        <f t="array" ref="M476">INDEX(Trad, 53, $A$20)</f>
        <v>Verschmutzt</v>
      </c>
      <c r="N476" s="253"/>
      <c r="O476" s="253"/>
      <c r="P476" s="254"/>
      <c r="Q476" s="251"/>
      <c r="R476" s="251"/>
      <c r="S476" s="264">
        <f t="shared" si="535"/>
        <v>0</v>
      </c>
      <c r="T476" s="252" t="str" cm="1">
        <f t="array" ref="T476">INDEX(Trad, 52, $A$20)</f>
        <v>Sauber</v>
      </c>
      <c r="U476" s="253"/>
      <c r="V476" s="253"/>
      <c r="W476" s="254"/>
      <c r="X476" s="251"/>
      <c r="Y476" s="251"/>
      <c r="Z476" s="264">
        <f t="shared" si="536"/>
        <v>0</v>
      </c>
      <c r="AA476" s="261"/>
      <c r="AB476" s="258"/>
      <c r="AC476" s="246"/>
      <c r="AD476" s="247" t="str">
        <f>IF(ISBLANK(AC476), "", VLOOKUP(AC476, Z!$A$2:$C$4127, 3, FALSE))</f>
        <v/>
      </c>
      <c r="AE476" s="262"/>
      <c r="AF476" s="263">
        <f t="shared" si="537"/>
        <v>0</v>
      </c>
      <c r="AG476" s="238"/>
      <c r="AH476" s="229">
        <f t="shared" si="561"/>
        <v>1</v>
      </c>
      <c r="AI476" s="229">
        <f t="shared" si="562"/>
        <v>1</v>
      </c>
      <c r="AJ476" s="229">
        <f t="shared" si="563"/>
        <v>0</v>
      </c>
      <c r="AK476" s="229">
        <v>0</v>
      </c>
      <c r="AL476" s="229">
        <v>0</v>
      </c>
      <c r="AM476" s="229">
        <v>1</v>
      </c>
      <c r="AN476" s="229">
        <v>0</v>
      </c>
      <c r="AO476" s="229">
        <f t="shared" si="538"/>
        <v>-100</v>
      </c>
      <c r="AP476" s="238"/>
      <c r="AQ476" s="255"/>
      <c r="AR476" s="255"/>
      <c r="AS476" s="256"/>
      <c r="AT476" s="256"/>
      <c r="AU476" s="256"/>
      <c r="AV476" s="256"/>
      <c r="AW476" s="256"/>
      <c r="AX476" s="256"/>
      <c r="AY476" s="256"/>
      <c r="AZ476" s="256"/>
      <c r="BA476" s="256"/>
      <c r="BB476" s="256"/>
      <c r="BC476" s="256"/>
      <c r="BD476" s="238"/>
      <c r="BE476" s="229" cm="1">
        <f t="array" ref="BE476">IF(ISBLANK(R476), INDEX(Use, $AH476, 4) - AM476*INDEX(Use, $AH476, 6), R476)</f>
        <v>5</v>
      </c>
      <c r="BF476" s="229">
        <f t="shared" si="539"/>
        <v>30</v>
      </c>
      <c r="BG476" s="229">
        <f t="shared" si="565"/>
        <v>13</v>
      </c>
      <c r="BH476" s="229">
        <f t="shared" si="566"/>
        <v>0</v>
      </c>
      <c r="BI476" s="234" cm="1">
        <f t="array" ref="BI476">K476/IF($L476&gt;0, INDEX($AU$23:$BA$77, $L476+20, $AH476), 1)</f>
        <v>0</v>
      </c>
      <c r="BJ476" s="230">
        <f t="shared" si="540"/>
        <v>0</v>
      </c>
      <c r="BK476" s="229">
        <v>35</v>
      </c>
      <c r="BL476" s="230">
        <f t="shared" si="541"/>
        <v>48</v>
      </c>
      <c r="BM476" s="235">
        <f t="shared" si="542"/>
        <v>2.9108720930232557</v>
      </c>
      <c r="BN476" s="235" cm="1">
        <f t="array" ref="BN476">$BI476 * SUMPRODUCT(INDEX($AR$77:$AT$82,,$AI476),INDEX($AU$77:$BA$82,,$AH476), N($AQ$77:$AQ$82&gt;$AO476)) / BM476 / 1000</f>
        <v>0</v>
      </c>
      <c r="BO476" s="232">
        <f t="shared" si="567"/>
        <v>30</v>
      </c>
      <c r="BP476" s="230">
        <f t="shared" si="543"/>
        <v>43</v>
      </c>
      <c r="BQ476" s="235">
        <f t="shared" si="544"/>
        <v>3.2938815789473681</v>
      </c>
      <c r="BR476" s="235" cm="1">
        <f t="array" ref="BR476">$BI476 * IF($AH476&lt;=2,
SUMPRODUCT(INDEX($AR$72:$AT$76,,$AI476), INDEX($AU$72:$BA$76,,$AH476), 1 / ($BB$72:$BB$76*BQ476 + (1-$BB$72:$BB$76)*BM476), N($AQ$72:$AQ$76&gt;$AO476)),
SUMPRODUCT(INDEX($AR$67:$AT$76,,$AI476), INDEX($AU$67:$BA$76,,$AH476), 1 / ($BC$67:$BC$76*BQ476 + (1-$BC$67:$BC$76)*BM476), N($AQ$67:$AQ$76&gt;$AO476))
) / 1000</f>
        <v>0</v>
      </c>
      <c r="BS476" s="232">
        <f t="shared" si="568"/>
        <v>25</v>
      </c>
      <c r="BT476" s="230">
        <f t="shared" si="545"/>
        <v>38</v>
      </c>
      <c r="BU476" s="235">
        <f t="shared" si="546"/>
        <v>3.792954545454545</v>
      </c>
      <c r="BV476" s="235" cm="1">
        <f t="array" ref="BV476">$BI476 * IF($AH476&lt;=2,
SUMPRODUCT(INDEX($AR$67:$AT$71,,$AI476), INDEX($AU$67:$BA$71,,$AH476), 1 / ($BB$67:$BB$71*BU476 + (1-$BB$67:$BB$71)*BQ476), N($AQ$67:$AQ$71&gt;$AO476)),
SUMPRODUCT(INDEX($AR$57:$AT$66,,$AI476), INDEX($AU$57:$BA$66,,$AH476), 1 / ($BC$57:$BC$66*BU476 + (1-$BC$57:$BC$66)*BQ476), N($AQ$57:$AQ$66&gt;$AO476))
) / 1000</f>
        <v>0</v>
      </c>
      <c r="BW476" s="232">
        <f t="shared" si="569"/>
        <v>20</v>
      </c>
      <c r="BX476" s="230">
        <f t="shared" si="547"/>
        <v>33</v>
      </c>
      <c r="BY476" s="235">
        <f t="shared" si="548"/>
        <v>4.4702678571428569</v>
      </c>
      <c r="BZ476" s="235" cm="1">
        <f t="array" ref="BZ476">$BI476 * IF($AH476&lt;=2,
SUMPRODUCT(INDEX($AR$62:$AT$66,,$AI476), INDEX($AU$62:$BA$66,,$AH476), 1 / ($BB$62:$BB$66*BY476 + (1-$BB$62:$BB$66)*BU476), N($AQ$62:$AQ$66&gt;$AO476)),
SUMPRODUCT(INDEX($AR$47:$AT$56,,$AI476), INDEX($AU$47:$BA$56,,$AH476), 1 / ($BC$47:$BC$56*BY476 + (1-$BC$47:$BC$56)*BU476), N($AQ$47:$AQ$56&gt;$AO476))
) / 1000</f>
        <v>0</v>
      </c>
      <c r="CA476" s="235" cm="1">
        <f t="array" ref="CA476">$BI476 * IF($AH476&lt;=2,
SUMPRODUCT(INDEX($AR$23:$AT$61,,$AI476), INDEX($AU$23:$BA$61,,$AH476), 1 / ($BB$23:$BB$61*BY476), N($AQ$23:$AQ$61&gt;$AO476)),
SUMPRODUCT(INDEX($AR$23:$AT$46,,$AI476), INDEX($AU$23:$BA$46,,$AH476), 1 / ($BC$23:$BC$46*BY476), N($AQ$23:$AQ$46&gt;$AO476))
) / 1000</f>
        <v>0</v>
      </c>
      <c r="CB476" s="230">
        <f t="shared" si="549"/>
        <v>0</v>
      </c>
      <c r="CC476" s="238"/>
      <c r="CD476" s="229" cm="1">
        <f t="array" ref="CD476">IF(ISBLANK(Y476), INDEX(Use, $AH476, 4) - AN476*INDEX(Use, $AH476, 6) - (Q476-X476), Y476)</f>
        <v>7</v>
      </c>
      <c r="CE476" s="229">
        <f t="shared" si="550"/>
        <v>32</v>
      </c>
      <c r="CF476" s="230">
        <f t="shared" si="551"/>
        <v>0</v>
      </c>
      <c r="CG476" s="229">
        <v>35</v>
      </c>
      <c r="CH476" s="230">
        <f t="shared" si="552"/>
        <v>48</v>
      </c>
      <c r="CI476" s="235">
        <f t="shared" si="553"/>
        <v>3.0748170731707316</v>
      </c>
      <c r="CJ476" s="235" cm="1">
        <f t="array" ref="CJ476">$BI476 * SUMPRODUCT(INDEX($AR$77:$AT$82,,$AI476),INDEX($AU$77:$BA$82,,$AH476), N($AQ$77:$AQ$82&gt;$AO476)) / CI476 / 1000</f>
        <v>0</v>
      </c>
      <c r="CK476" s="232">
        <f t="shared" si="570"/>
        <v>30</v>
      </c>
      <c r="CL476" s="230">
        <f t="shared" si="554"/>
        <v>43</v>
      </c>
      <c r="CM476" s="235">
        <f t="shared" si="555"/>
        <v>3.5018750000000001</v>
      </c>
      <c r="CN476" s="235" cm="1">
        <f t="array" ref="CN476">$BI476 * IF($AH476&lt;=2,
SUMPRODUCT(INDEX($AR$72:$AT$76,,$AI476), INDEX($AU$72:$BA$76,,$AH476), 1 / ($BB$72:$BB$76*CM476 + (1-$BB$72:$BB$76)*CI476), N($AQ$72:$AQ$76&gt;$AO476)),
SUMPRODUCT(INDEX($AR$67:$AT$76,,$AI476), INDEX($AU$67:$BA$76,,$AH476), 1 / ($BC$67:$BC$76*CM476 + (1-$BC$67:$BC$76)*CI476), N($AQ$67:$AQ$76&gt;$AO476))
) / 1000</f>
        <v>0</v>
      </c>
      <c r="CO476" s="232">
        <f t="shared" si="571"/>
        <v>25</v>
      </c>
      <c r="CP476" s="230">
        <f t="shared" si="556"/>
        <v>38</v>
      </c>
      <c r="CQ476" s="235">
        <f t="shared" si="557"/>
        <v>4.0666935483870965</v>
      </c>
      <c r="CR476" s="235" cm="1">
        <f t="array" ref="CR476">$BI476 * IF($AH476&lt;=2,
SUMPRODUCT(INDEX($AR$67:$AT$71,,$AI476), INDEX($AU$67:$BA$71,,$AH476), 1 / ($BB$67:$BB$71*CQ476 + (1-$BB$67:$BB$71)*CM476), N($AQ$67:$AQ$71&gt;$AO476)),
SUMPRODUCT(INDEX($AR$57:$AT$66,,$AI476), INDEX($AU$57:$BA$66,,$AH476), 1 / ($BC$57:$BC$66*CQ476 + (1-$BC$57:$BC$66)*CM476), N($AQ$57:$AQ$66&gt;$AO476))
) / 1000</f>
        <v>0</v>
      </c>
      <c r="CS476" s="232">
        <f t="shared" si="572"/>
        <v>20</v>
      </c>
      <c r="CT476" s="230">
        <f t="shared" si="558"/>
        <v>33</v>
      </c>
      <c r="CU476" s="235">
        <f t="shared" si="559"/>
        <v>4.8487499999999999</v>
      </c>
      <c r="CV476" s="235" cm="1">
        <f t="array" ref="CV476">$BI476 * IF($AH476&lt;=2,
SUMPRODUCT(INDEX($AR$62:$AT$66,,$AI476), INDEX($AU$62:$BA$66,,$AH476), 1 / ($BB$62:$BB$66*CU476 + (1-$BB$62:$BB$66)*CQ476), N($AQ$62:$AQ$66&gt;$AO476)),
SUMPRODUCT(INDEX($AR$47:$AT$56,,$AI476), INDEX($AU$47:$BA$56,,$AH476), 1 / ($BC$47:$BC$56*CU476 + (1-$BC$47:$BC$56)*CQ476), N($AQ$47:$AQ$56&gt;$AO476))
) / 1000</f>
        <v>0</v>
      </c>
      <c r="CW476" s="235" cm="1">
        <f t="array" ref="CW476">$BI476 * IF($AH476&lt;=2,
SUMPRODUCT(INDEX($AR$23:$AT$61,,$AI476), INDEX($AU$23:$BA$61,,$AH476), 1 / ($BB$23:$BB$61*CU476), N($AQ$23:$AQ$61&gt;$AO476)),
SUMPRODUCT(INDEX($AR$23:$AT$46,,$AI476), INDEX($AU$23:$BA$46,,$AH476), 1 / ($BC$23:$BC$46*CU476), N($AQ$23:$AQ$46&gt;$AO476))
) / 1000</f>
        <v>0</v>
      </c>
      <c r="CX476" s="230">
        <f t="shared" si="560"/>
        <v>0</v>
      </c>
      <c r="CY476" s="238"/>
    </row>
    <row r="477" spans="1:103" s="76" customFormat="1" ht="14.25" customHeight="1" x14ac:dyDescent="0.2">
      <c r="A477" s="231" t="b">
        <f t="shared" si="564"/>
        <v>0</v>
      </c>
      <c r="B477" s="245">
        <v>455</v>
      </c>
      <c r="C477" s="258"/>
      <c r="D477" s="258"/>
      <c r="E477" s="246"/>
      <c r="F477" s="247" t="str">
        <f>IF(ISBLANK(E477), "", VLOOKUP(E477, Z!$A$2:$C$4127, 3, FALSE))</f>
        <v/>
      </c>
      <c r="G477" s="248"/>
      <c r="H477" s="248"/>
      <c r="I477" s="249"/>
      <c r="J477" s="250"/>
      <c r="K477" s="259"/>
      <c r="L477" s="260"/>
      <c r="M477" s="252" t="str" cm="1">
        <f t="array" ref="M477">INDEX(Trad, 53, $A$20)</f>
        <v>Verschmutzt</v>
      </c>
      <c r="N477" s="253"/>
      <c r="O477" s="253"/>
      <c r="P477" s="254"/>
      <c r="Q477" s="251"/>
      <c r="R477" s="251"/>
      <c r="S477" s="264">
        <f t="shared" si="535"/>
        <v>0</v>
      </c>
      <c r="T477" s="252" t="str" cm="1">
        <f t="array" ref="T477">INDEX(Trad, 52, $A$20)</f>
        <v>Sauber</v>
      </c>
      <c r="U477" s="253"/>
      <c r="V477" s="253"/>
      <c r="W477" s="254"/>
      <c r="X477" s="251"/>
      <c r="Y477" s="251"/>
      <c r="Z477" s="264">
        <f t="shared" si="536"/>
        <v>0</v>
      </c>
      <c r="AA477" s="261"/>
      <c r="AB477" s="258"/>
      <c r="AC477" s="246"/>
      <c r="AD477" s="247" t="str">
        <f>IF(ISBLANK(AC477), "", VLOOKUP(AC477, Z!$A$2:$C$4127, 3, FALSE))</f>
        <v/>
      </c>
      <c r="AE477" s="262"/>
      <c r="AF477" s="263">
        <f t="shared" si="537"/>
        <v>0</v>
      </c>
      <c r="AG477" s="238"/>
      <c r="AH477" s="229">
        <f t="shared" si="561"/>
        <v>1</v>
      </c>
      <c r="AI477" s="229">
        <f t="shared" si="562"/>
        <v>1</v>
      </c>
      <c r="AJ477" s="229">
        <f t="shared" si="563"/>
        <v>0</v>
      </c>
      <c r="AK477" s="229">
        <v>0</v>
      </c>
      <c r="AL477" s="229">
        <v>0</v>
      </c>
      <c r="AM477" s="229">
        <v>1</v>
      </c>
      <c r="AN477" s="229">
        <v>0</v>
      </c>
      <c r="AO477" s="229">
        <f t="shared" si="538"/>
        <v>-100</v>
      </c>
      <c r="AP477" s="238"/>
      <c r="AQ477" s="255"/>
      <c r="AR477" s="255"/>
      <c r="AS477" s="256"/>
      <c r="AT477" s="256"/>
      <c r="AU477" s="256"/>
      <c r="AV477" s="256"/>
      <c r="AW477" s="256"/>
      <c r="AX477" s="256"/>
      <c r="AY477" s="256"/>
      <c r="AZ477" s="256"/>
      <c r="BA477" s="256"/>
      <c r="BB477" s="256"/>
      <c r="BC477" s="256"/>
      <c r="BD477" s="238"/>
      <c r="BE477" s="229" cm="1">
        <f t="array" ref="BE477">IF(ISBLANK(R477), INDEX(Use, $AH477, 4) - AM477*INDEX(Use, $AH477, 6), R477)</f>
        <v>5</v>
      </c>
      <c r="BF477" s="229">
        <f t="shared" si="539"/>
        <v>30</v>
      </c>
      <c r="BG477" s="229">
        <f t="shared" si="565"/>
        <v>13</v>
      </c>
      <c r="BH477" s="229">
        <f t="shared" si="566"/>
        <v>0</v>
      </c>
      <c r="BI477" s="234" cm="1">
        <f t="array" ref="BI477">K477/IF($L477&gt;0, INDEX($AU$23:$BA$77, $L477+20, $AH477), 1)</f>
        <v>0</v>
      </c>
      <c r="BJ477" s="230">
        <f t="shared" si="540"/>
        <v>0</v>
      </c>
      <c r="BK477" s="229">
        <v>35</v>
      </c>
      <c r="BL477" s="230">
        <f t="shared" si="541"/>
        <v>48</v>
      </c>
      <c r="BM477" s="235">
        <f t="shared" si="542"/>
        <v>2.9108720930232557</v>
      </c>
      <c r="BN477" s="235" cm="1">
        <f t="array" ref="BN477">$BI477 * SUMPRODUCT(INDEX($AR$77:$AT$82,,$AI477),INDEX($AU$77:$BA$82,,$AH477), N($AQ$77:$AQ$82&gt;$AO477)) / BM477 / 1000</f>
        <v>0</v>
      </c>
      <c r="BO477" s="232">
        <f t="shared" si="567"/>
        <v>30</v>
      </c>
      <c r="BP477" s="230">
        <f t="shared" si="543"/>
        <v>43</v>
      </c>
      <c r="BQ477" s="235">
        <f t="shared" si="544"/>
        <v>3.2938815789473681</v>
      </c>
      <c r="BR477" s="235" cm="1">
        <f t="array" ref="BR477">$BI477 * IF($AH477&lt;=2,
SUMPRODUCT(INDEX($AR$72:$AT$76,,$AI477), INDEX($AU$72:$BA$76,,$AH477), 1 / ($BB$72:$BB$76*BQ477 + (1-$BB$72:$BB$76)*BM477), N($AQ$72:$AQ$76&gt;$AO477)),
SUMPRODUCT(INDEX($AR$67:$AT$76,,$AI477), INDEX($AU$67:$BA$76,,$AH477), 1 / ($BC$67:$BC$76*BQ477 + (1-$BC$67:$BC$76)*BM477), N($AQ$67:$AQ$76&gt;$AO477))
) / 1000</f>
        <v>0</v>
      </c>
      <c r="BS477" s="232">
        <f t="shared" si="568"/>
        <v>25</v>
      </c>
      <c r="BT477" s="230">
        <f t="shared" si="545"/>
        <v>38</v>
      </c>
      <c r="BU477" s="235">
        <f t="shared" si="546"/>
        <v>3.792954545454545</v>
      </c>
      <c r="BV477" s="235" cm="1">
        <f t="array" ref="BV477">$BI477 * IF($AH477&lt;=2,
SUMPRODUCT(INDEX($AR$67:$AT$71,,$AI477), INDEX($AU$67:$BA$71,,$AH477), 1 / ($BB$67:$BB$71*BU477 + (1-$BB$67:$BB$71)*BQ477), N($AQ$67:$AQ$71&gt;$AO477)),
SUMPRODUCT(INDEX($AR$57:$AT$66,,$AI477), INDEX($AU$57:$BA$66,,$AH477), 1 / ($BC$57:$BC$66*BU477 + (1-$BC$57:$BC$66)*BQ477), N($AQ$57:$AQ$66&gt;$AO477))
) / 1000</f>
        <v>0</v>
      </c>
      <c r="BW477" s="232">
        <f t="shared" si="569"/>
        <v>20</v>
      </c>
      <c r="BX477" s="230">
        <f t="shared" si="547"/>
        <v>33</v>
      </c>
      <c r="BY477" s="235">
        <f t="shared" si="548"/>
        <v>4.4702678571428569</v>
      </c>
      <c r="BZ477" s="235" cm="1">
        <f t="array" ref="BZ477">$BI477 * IF($AH477&lt;=2,
SUMPRODUCT(INDEX($AR$62:$AT$66,,$AI477), INDEX($AU$62:$BA$66,,$AH477), 1 / ($BB$62:$BB$66*BY477 + (1-$BB$62:$BB$66)*BU477), N($AQ$62:$AQ$66&gt;$AO477)),
SUMPRODUCT(INDEX($AR$47:$AT$56,,$AI477), INDEX($AU$47:$BA$56,,$AH477), 1 / ($BC$47:$BC$56*BY477 + (1-$BC$47:$BC$56)*BU477), N($AQ$47:$AQ$56&gt;$AO477))
) / 1000</f>
        <v>0</v>
      </c>
      <c r="CA477" s="235" cm="1">
        <f t="array" ref="CA477">$BI477 * IF($AH477&lt;=2,
SUMPRODUCT(INDEX($AR$23:$AT$61,,$AI477), INDEX($AU$23:$BA$61,,$AH477), 1 / ($BB$23:$BB$61*BY477), N($AQ$23:$AQ$61&gt;$AO477)),
SUMPRODUCT(INDEX($AR$23:$AT$46,,$AI477), INDEX($AU$23:$BA$46,,$AH477), 1 / ($BC$23:$BC$46*BY477), N($AQ$23:$AQ$46&gt;$AO477))
) / 1000</f>
        <v>0</v>
      </c>
      <c r="CB477" s="230">
        <f t="shared" si="549"/>
        <v>0</v>
      </c>
      <c r="CC477" s="238"/>
      <c r="CD477" s="229" cm="1">
        <f t="array" ref="CD477">IF(ISBLANK(Y477), INDEX(Use, $AH477, 4) - AN477*INDEX(Use, $AH477, 6) - (Q477-X477), Y477)</f>
        <v>7</v>
      </c>
      <c r="CE477" s="229">
        <f t="shared" si="550"/>
        <v>32</v>
      </c>
      <c r="CF477" s="230">
        <f t="shared" si="551"/>
        <v>0</v>
      </c>
      <c r="CG477" s="229">
        <v>35</v>
      </c>
      <c r="CH477" s="230">
        <f t="shared" si="552"/>
        <v>48</v>
      </c>
      <c r="CI477" s="235">
        <f t="shared" si="553"/>
        <v>3.0748170731707316</v>
      </c>
      <c r="CJ477" s="235" cm="1">
        <f t="array" ref="CJ477">$BI477 * SUMPRODUCT(INDEX($AR$77:$AT$82,,$AI477),INDEX($AU$77:$BA$82,,$AH477), N($AQ$77:$AQ$82&gt;$AO477)) / CI477 / 1000</f>
        <v>0</v>
      </c>
      <c r="CK477" s="232">
        <f t="shared" si="570"/>
        <v>30</v>
      </c>
      <c r="CL477" s="230">
        <f t="shared" si="554"/>
        <v>43</v>
      </c>
      <c r="CM477" s="235">
        <f t="shared" si="555"/>
        <v>3.5018750000000001</v>
      </c>
      <c r="CN477" s="235" cm="1">
        <f t="array" ref="CN477">$BI477 * IF($AH477&lt;=2,
SUMPRODUCT(INDEX($AR$72:$AT$76,,$AI477), INDEX($AU$72:$BA$76,,$AH477), 1 / ($BB$72:$BB$76*CM477 + (1-$BB$72:$BB$76)*CI477), N($AQ$72:$AQ$76&gt;$AO477)),
SUMPRODUCT(INDEX($AR$67:$AT$76,,$AI477), INDEX($AU$67:$BA$76,,$AH477), 1 / ($BC$67:$BC$76*CM477 + (1-$BC$67:$BC$76)*CI477), N($AQ$67:$AQ$76&gt;$AO477))
) / 1000</f>
        <v>0</v>
      </c>
      <c r="CO477" s="232">
        <f t="shared" si="571"/>
        <v>25</v>
      </c>
      <c r="CP477" s="230">
        <f t="shared" si="556"/>
        <v>38</v>
      </c>
      <c r="CQ477" s="235">
        <f t="shared" si="557"/>
        <v>4.0666935483870965</v>
      </c>
      <c r="CR477" s="235" cm="1">
        <f t="array" ref="CR477">$BI477 * IF($AH477&lt;=2,
SUMPRODUCT(INDEX($AR$67:$AT$71,,$AI477), INDEX($AU$67:$BA$71,,$AH477), 1 / ($BB$67:$BB$71*CQ477 + (1-$BB$67:$BB$71)*CM477), N($AQ$67:$AQ$71&gt;$AO477)),
SUMPRODUCT(INDEX($AR$57:$AT$66,,$AI477), INDEX($AU$57:$BA$66,,$AH477), 1 / ($BC$57:$BC$66*CQ477 + (1-$BC$57:$BC$66)*CM477), N($AQ$57:$AQ$66&gt;$AO477))
) / 1000</f>
        <v>0</v>
      </c>
      <c r="CS477" s="232">
        <f t="shared" si="572"/>
        <v>20</v>
      </c>
      <c r="CT477" s="230">
        <f t="shared" si="558"/>
        <v>33</v>
      </c>
      <c r="CU477" s="235">
        <f t="shared" si="559"/>
        <v>4.8487499999999999</v>
      </c>
      <c r="CV477" s="235" cm="1">
        <f t="array" ref="CV477">$BI477 * IF($AH477&lt;=2,
SUMPRODUCT(INDEX($AR$62:$AT$66,,$AI477), INDEX($AU$62:$BA$66,,$AH477), 1 / ($BB$62:$BB$66*CU477 + (1-$BB$62:$BB$66)*CQ477), N($AQ$62:$AQ$66&gt;$AO477)),
SUMPRODUCT(INDEX($AR$47:$AT$56,,$AI477), INDEX($AU$47:$BA$56,,$AH477), 1 / ($BC$47:$BC$56*CU477 + (1-$BC$47:$BC$56)*CQ477), N($AQ$47:$AQ$56&gt;$AO477))
) / 1000</f>
        <v>0</v>
      </c>
      <c r="CW477" s="235" cm="1">
        <f t="array" ref="CW477">$BI477 * IF($AH477&lt;=2,
SUMPRODUCT(INDEX($AR$23:$AT$61,,$AI477), INDEX($AU$23:$BA$61,,$AH477), 1 / ($BB$23:$BB$61*CU477), N($AQ$23:$AQ$61&gt;$AO477)),
SUMPRODUCT(INDEX($AR$23:$AT$46,,$AI477), INDEX($AU$23:$BA$46,,$AH477), 1 / ($BC$23:$BC$46*CU477), N($AQ$23:$AQ$46&gt;$AO477))
) / 1000</f>
        <v>0</v>
      </c>
      <c r="CX477" s="230">
        <f t="shared" si="560"/>
        <v>0</v>
      </c>
      <c r="CY477" s="238"/>
    </row>
    <row r="478" spans="1:103" s="76" customFormat="1" ht="14.25" customHeight="1" x14ac:dyDescent="0.2">
      <c r="A478" s="231" t="b">
        <f t="shared" si="564"/>
        <v>0</v>
      </c>
      <c r="B478" s="245">
        <v>456</v>
      </c>
      <c r="C478" s="258"/>
      <c r="D478" s="258"/>
      <c r="E478" s="246"/>
      <c r="F478" s="247" t="str">
        <f>IF(ISBLANK(E478), "", VLOOKUP(E478, Z!$A$2:$C$4127, 3, FALSE))</f>
        <v/>
      </c>
      <c r="G478" s="248"/>
      <c r="H478" s="248"/>
      <c r="I478" s="249"/>
      <c r="J478" s="250"/>
      <c r="K478" s="259"/>
      <c r="L478" s="260"/>
      <c r="M478" s="252" t="str" cm="1">
        <f t="array" ref="M478">INDEX(Trad, 53, $A$20)</f>
        <v>Verschmutzt</v>
      </c>
      <c r="N478" s="253"/>
      <c r="O478" s="253"/>
      <c r="P478" s="254"/>
      <c r="Q478" s="251"/>
      <c r="R478" s="251"/>
      <c r="S478" s="264">
        <f t="shared" si="535"/>
        <v>0</v>
      </c>
      <c r="T478" s="252" t="str" cm="1">
        <f t="array" ref="T478">INDEX(Trad, 52, $A$20)</f>
        <v>Sauber</v>
      </c>
      <c r="U478" s="253"/>
      <c r="V478" s="253"/>
      <c r="W478" s="254"/>
      <c r="X478" s="251"/>
      <c r="Y478" s="251"/>
      <c r="Z478" s="264">
        <f t="shared" si="536"/>
        <v>0</v>
      </c>
      <c r="AA478" s="261"/>
      <c r="AB478" s="258"/>
      <c r="AC478" s="246"/>
      <c r="AD478" s="247" t="str">
        <f>IF(ISBLANK(AC478), "", VLOOKUP(AC478, Z!$A$2:$C$4127, 3, FALSE))</f>
        <v/>
      </c>
      <c r="AE478" s="262"/>
      <c r="AF478" s="263">
        <f t="shared" si="537"/>
        <v>0</v>
      </c>
      <c r="AG478" s="238"/>
      <c r="AH478" s="229">
        <f t="shared" si="561"/>
        <v>1</v>
      </c>
      <c r="AI478" s="229">
        <f t="shared" si="562"/>
        <v>1</v>
      </c>
      <c r="AJ478" s="229">
        <f t="shared" si="563"/>
        <v>0</v>
      </c>
      <c r="AK478" s="229">
        <v>0</v>
      </c>
      <c r="AL478" s="229">
        <v>0</v>
      </c>
      <c r="AM478" s="229">
        <v>1</v>
      </c>
      <c r="AN478" s="229">
        <v>0</v>
      </c>
      <c r="AO478" s="229">
        <f t="shared" si="538"/>
        <v>-100</v>
      </c>
      <c r="AP478" s="238"/>
      <c r="AQ478" s="255"/>
      <c r="AR478" s="255"/>
      <c r="AS478" s="256"/>
      <c r="AT478" s="256"/>
      <c r="AU478" s="256"/>
      <c r="AV478" s="256"/>
      <c r="AW478" s="256"/>
      <c r="AX478" s="256"/>
      <c r="AY478" s="256"/>
      <c r="AZ478" s="256"/>
      <c r="BA478" s="256"/>
      <c r="BB478" s="256"/>
      <c r="BC478" s="256"/>
      <c r="BD478" s="238"/>
      <c r="BE478" s="229" cm="1">
        <f t="array" ref="BE478">IF(ISBLANK(R478), INDEX(Use, $AH478, 4) - AM478*INDEX(Use, $AH478, 6), R478)</f>
        <v>5</v>
      </c>
      <c r="BF478" s="229">
        <f t="shared" si="539"/>
        <v>30</v>
      </c>
      <c r="BG478" s="229">
        <f t="shared" si="565"/>
        <v>13</v>
      </c>
      <c r="BH478" s="229">
        <f t="shared" si="566"/>
        <v>0</v>
      </c>
      <c r="BI478" s="234" cm="1">
        <f t="array" ref="BI478">K478/IF($L478&gt;0, INDEX($AU$23:$BA$77, $L478+20, $AH478), 1)</f>
        <v>0</v>
      </c>
      <c r="BJ478" s="230">
        <f t="shared" si="540"/>
        <v>0</v>
      </c>
      <c r="BK478" s="229">
        <v>35</v>
      </c>
      <c r="BL478" s="230">
        <f t="shared" si="541"/>
        <v>48</v>
      </c>
      <c r="BM478" s="235">
        <f t="shared" si="542"/>
        <v>2.9108720930232557</v>
      </c>
      <c r="BN478" s="235" cm="1">
        <f t="array" ref="BN478">$BI478 * SUMPRODUCT(INDEX($AR$77:$AT$82,,$AI478),INDEX($AU$77:$BA$82,,$AH478), N($AQ$77:$AQ$82&gt;$AO478)) / BM478 / 1000</f>
        <v>0</v>
      </c>
      <c r="BO478" s="232">
        <f t="shared" si="567"/>
        <v>30</v>
      </c>
      <c r="BP478" s="230">
        <f t="shared" si="543"/>
        <v>43</v>
      </c>
      <c r="BQ478" s="235">
        <f t="shared" si="544"/>
        <v>3.2938815789473681</v>
      </c>
      <c r="BR478" s="235" cm="1">
        <f t="array" ref="BR478">$BI478 * IF($AH478&lt;=2,
SUMPRODUCT(INDEX($AR$72:$AT$76,,$AI478), INDEX($AU$72:$BA$76,,$AH478), 1 / ($BB$72:$BB$76*BQ478 + (1-$BB$72:$BB$76)*BM478), N($AQ$72:$AQ$76&gt;$AO478)),
SUMPRODUCT(INDEX($AR$67:$AT$76,,$AI478), INDEX($AU$67:$BA$76,,$AH478), 1 / ($BC$67:$BC$76*BQ478 + (1-$BC$67:$BC$76)*BM478), N($AQ$67:$AQ$76&gt;$AO478))
) / 1000</f>
        <v>0</v>
      </c>
      <c r="BS478" s="232">
        <f t="shared" si="568"/>
        <v>25</v>
      </c>
      <c r="BT478" s="230">
        <f t="shared" si="545"/>
        <v>38</v>
      </c>
      <c r="BU478" s="235">
        <f t="shared" si="546"/>
        <v>3.792954545454545</v>
      </c>
      <c r="BV478" s="235" cm="1">
        <f t="array" ref="BV478">$BI478 * IF($AH478&lt;=2,
SUMPRODUCT(INDEX($AR$67:$AT$71,,$AI478), INDEX($AU$67:$BA$71,,$AH478), 1 / ($BB$67:$BB$71*BU478 + (1-$BB$67:$BB$71)*BQ478), N($AQ$67:$AQ$71&gt;$AO478)),
SUMPRODUCT(INDEX($AR$57:$AT$66,,$AI478), INDEX($AU$57:$BA$66,,$AH478), 1 / ($BC$57:$BC$66*BU478 + (1-$BC$57:$BC$66)*BQ478), N($AQ$57:$AQ$66&gt;$AO478))
) / 1000</f>
        <v>0</v>
      </c>
      <c r="BW478" s="232">
        <f t="shared" si="569"/>
        <v>20</v>
      </c>
      <c r="BX478" s="230">
        <f t="shared" si="547"/>
        <v>33</v>
      </c>
      <c r="BY478" s="235">
        <f t="shared" si="548"/>
        <v>4.4702678571428569</v>
      </c>
      <c r="BZ478" s="235" cm="1">
        <f t="array" ref="BZ478">$BI478 * IF($AH478&lt;=2,
SUMPRODUCT(INDEX($AR$62:$AT$66,,$AI478), INDEX($AU$62:$BA$66,,$AH478), 1 / ($BB$62:$BB$66*BY478 + (1-$BB$62:$BB$66)*BU478), N($AQ$62:$AQ$66&gt;$AO478)),
SUMPRODUCT(INDEX($AR$47:$AT$56,,$AI478), INDEX($AU$47:$BA$56,,$AH478), 1 / ($BC$47:$BC$56*BY478 + (1-$BC$47:$BC$56)*BU478), N($AQ$47:$AQ$56&gt;$AO478))
) / 1000</f>
        <v>0</v>
      </c>
      <c r="CA478" s="235" cm="1">
        <f t="array" ref="CA478">$BI478 * IF($AH478&lt;=2,
SUMPRODUCT(INDEX($AR$23:$AT$61,,$AI478), INDEX($AU$23:$BA$61,,$AH478), 1 / ($BB$23:$BB$61*BY478), N($AQ$23:$AQ$61&gt;$AO478)),
SUMPRODUCT(INDEX($AR$23:$AT$46,,$AI478), INDEX($AU$23:$BA$46,,$AH478), 1 / ($BC$23:$BC$46*BY478), N($AQ$23:$AQ$46&gt;$AO478))
) / 1000</f>
        <v>0</v>
      </c>
      <c r="CB478" s="230">
        <f t="shared" si="549"/>
        <v>0</v>
      </c>
      <c r="CC478" s="238"/>
      <c r="CD478" s="229" cm="1">
        <f t="array" ref="CD478">IF(ISBLANK(Y478), INDEX(Use, $AH478, 4) - AN478*INDEX(Use, $AH478, 6) - (Q478-X478), Y478)</f>
        <v>7</v>
      </c>
      <c r="CE478" s="229">
        <f t="shared" si="550"/>
        <v>32</v>
      </c>
      <c r="CF478" s="230">
        <f t="shared" si="551"/>
        <v>0</v>
      </c>
      <c r="CG478" s="229">
        <v>35</v>
      </c>
      <c r="CH478" s="230">
        <f t="shared" si="552"/>
        <v>48</v>
      </c>
      <c r="CI478" s="235">
        <f t="shared" si="553"/>
        <v>3.0748170731707316</v>
      </c>
      <c r="CJ478" s="235" cm="1">
        <f t="array" ref="CJ478">$BI478 * SUMPRODUCT(INDEX($AR$77:$AT$82,,$AI478),INDEX($AU$77:$BA$82,,$AH478), N($AQ$77:$AQ$82&gt;$AO478)) / CI478 / 1000</f>
        <v>0</v>
      </c>
      <c r="CK478" s="232">
        <f t="shared" si="570"/>
        <v>30</v>
      </c>
      <c r="CL478" s="230">
        <f t="shared" si="554"/>
        <v>43</v>
      </c>
      <c r="CM478" s="235">
        <f t="shared" si="555"/>
        <v>3.5018750000000001</v>
      </c>
      <c r="CN478" s="235" cm="1">
        <f t="array" ref="CN478">$BI478 * IF($AH478&lt;=2,
SUMPRODUCT(INDEX($AR$72:$AT$76,,$AI478), INDEX($AU$72:$BA$76,,$AH478), 1 / ($BB$72:$BB$76*CM478 + (1-$BB$72:$BB$76)*CI478), N($AQ$72:$AQ$76&gt;$AO478)),
SUMPRODUCT(INDEX($AR$67:$AT$76,,$AI478), INDEX($AU$67:$BA$76,,$AH478), 1 / ($BC$67:$BC$76*CM478 + (1-$BC$67:$BC$76)*CI478), N($AQ$67:$AQ$76&gt;$AO478))
) / 1000</f>
        <v>0</v>
      </c>
      <c r="CO478" s="232">
        <f t="shared" si="571"/>
        <v>25</v>
      </c>
      <c r="CP478" s="230">
        <f t="shared" si="556"/>
        <v>38</v>
      </c>
      <c r="CQ478" s="235">
        <f t="shared" si="557"/>
        <v>4.0666935483870965</v>
      </c>
      <c r="CR478" s="235" cm="1">
        <f t="array" ref="CR478">$BI478 * IF($AH478&lt;=2,
SUMPRODUCT(INDEX($AR$67:$AT$71,,$AI478), INDEX($AU$67:$BA$71,,$AH478), 1 / ($BB$67:$BB$71*CQ478 + (1-$BB$67:$BB$71)*CM478), N($AQ$67:$AQ$71&gt;$AO478)),
SUMPRODUCT(INDEX($AR$57:$AT$66,,$AI478), INDEX($AU$57:$BA$66,,$AH478), 1 / ($BC$57:$BC$66*CQ478 + (1-$BC$57:$BC$66)*CM478), N($AQ$57:$AQ$66&gt;$AO478))
) / 1000</f>
        <v>0</v>
      </c>
      <c r="CS478" s="232">
        <f t="shared" si="572"/>
        <v>20</v>
      </c>
      <c r="CT478" s="230">
        <f t="shared" si="558"/>
        <v>33</v>
      </c>
      <c r="CU478" s="235">
        <f t="shared" si="559"/>
        <v>4.8487499999999999</v>
      </c>
      <c r="CV478" s="235" cm="1">
        <f t="array" ref="CV478">$BI478 * IF($AH478&lt;=2,
SUMPRODUCT(INDEX($AR$62:$AT$66,,$AI478), INDEX($AU$62:$BA$66,,$AH478), 1 / ($BB$62:$BB$66*CU478 + (1-$BB$62:$BB$66)*CQ478), N($AQ$62:$AQ$66&gt;$AO478)),
SUMPRODUCT(INDEX($AR$47:$AT$56,,$AI478), INDEX($AU$47:$BA$56,,$AH478), 1 / ($BC$47:$BC$56*CU478 + (1-$BC$47:$BC$56)*CQ478), N($AQ$47:$AQ$56&gt;$AO478))
) / 1000</f>
        <v>0</v>
      </c>
      <c r="CW478" s="235" cm="1">
        <f t="array" ref="CW478">$BI478 * IF($AH478&lt;=2,
SUMPRODUCT(INDEX($AR$23:$AT$61,,$AI478), INDEX($AU$23:$BA$61,,$AH478), 1 / ($BB$23:$BB$61*CU478), N($AQ$23:$AQ$61&gt;$AO478)),
SUMPRODUCT(INDEX($AR$23:$AT$46,,$AI478), INDEX($AU$23:$BA$46,,$AH478), 1 / ($BC$23:$BC$46*CU478), N($AQ$23:$AQ$46&gt;$AO478))
) / 1000</f>
        <v>0</v>
      </c>
      <c r="CX478" s="230">
        <f t="shared" si="560"/>
        <v>0</v>
      </c>
      <c r="CY478" s="238"/>
    </row>
    <row r="479" spans="1:103" s="76" customFormat="1" ht="14.25" customHeight="1" x14ac:dyDescent="0.2">
      <c r="A479" s="231" t="b">
        <f t="shared" si="564"/>
        <v>0</v>
      </c>
      <c r="B479" s="245">
        <v>457</v>
      </c>
      <c r="C479" s="258"/>
      <c r="D479" s="258"/>
      <c r="E479" s="246"/>
      <c r="F479" s="247" t="str">
        <f>IF(ISBLANK(E479), "", VLOOKUP(E479, Z!$A$2:$C$4127, 3, FALSE))</f>
        <v/>
      </c>
      <c r="G479" s="248"/>
      <c r="H479" s="248"/>
      <c r="I479" s="249"/>
      <c r="J479" s="250"/>
      <c r="K479" s="259"/>
      <c r="L479" s="260"/>
      <c r="M479" s="252" t="str" cm="1">
        <f t="array" ref="M479">INDEX(Trad, 53, $A$20)</f>
        <v>Verschmutzt</v>
      </c>
      <c r="N479" s="253"/>
      <c r="O479" s="253"/>
      <c r="P479" s="254"/>
      <c r="Q479" s="251"/>
      <c r="R479" s="251"/>
      <c r="S479" s="264">
        <f t="shared" si="535"/>
        <v>0</v>
      </c>
      <c r="T479" s="252" t="str" cm="1">
        <f t="array" ref="T479">INDEX(Trad, 52, $A$20)</f>
        <v>Sauber</v>
      </c>
      <c r="U479" s="253"/>
      <c r="V479" s="253"/>
      <c r="W479" s="254"/>
      <c r="X479" s="251"/>
      <c r="Y479" s="251"/>
      <c r="Z479" s="264">
        <f t="shared" si="536"/>
        <v>0</v>
      </c>
      <c r="AA479" s="261"/>
      <c r="AB479" s="258"/>
      <c r="AC479" s="246"/>
      <c r="AD479" s="247" t="str">
        <f>IF(ISBLANK(AC479), "", VLOOKUP(AC479, Z!$A$2:$C$4127, 3, FALSE))</f>
        <v/>
      </c>
      <c r="AE479" s="262"/>
      <c r="AF479" s="263">
        <f t="shared" si="537"/>
        <v>0</v>
      </c>
      <c r="AG479" s="238"/>
      <c r="AH479" s="229">
        <f t="shared" si="561"/>
        <v>1</v>
      </c>
      <c r="AI479" s="229">
        <f t="shared" si="562"/>
        <v>1</v>
      </c>
      <c r="AJ479" s="229">
        <f t="shared" si="563"/>
        <v>0</v>
      </c>
      <c r="AK479" s="229">
        <v>0</v>
      </c>
      <c r="AL479" s="229">
        <v>0</v>
      </c>
      <c r="AM479" s="229">
        <v>1</v>
      </c>
      <c r="AN479" s="229">
        <v>0</v>
      </c>
      <c r="AO479" s="229">
        <f t="shared" si="538"/>
        <v>-100</v>
      </c>
      <c r="AP479" s="238"/>
      <c r="AQ479" s="255"/>
      <c r="AR479" s="255"/>
      <c r="AS479" s="256"/>
      <c r="AT479" s="256"/>
      <c r="AU479" s="256"/>
      <c r="AV479" s="256"/>
      <c r="AW479" s="256"/>
      <c r="AX479" s="256"/>
      <c r="AY479" s="256"/>
      <c r="AZ479" s="256"/>
      <c r="BA479" s="256"/>
      <c r="BB479" s="256"/>
      <c r="BC479" s="256"/>
      <c r="BD479" s="238"/>
      <c r="BE479" s="229" cm="1">
        <f t="array" ref="BE479">IF(ISBLANK(R479), INDEX(Use, $AH479, 4) - AM479*INDEX(Use, $AH479, 6), R479)</f>
        <v>5</v>
      </c>
      <c r="BF479" s="229">
        <f t="shared" si="539"/>
        <v>30</v>
      </c>
      <c r="BG479" s="229">
        <f t="shared" si="565"/>
        <v>13</v>
      </c>
      <c r="BH479" s="229">
        <f t="shared" si="566"/>
        <v>0</v>
      </c>
      <c r="BI479" s="234" cm="1">
        <f t="array" ref="BI479">K479/IF($L479&gt;0, INDEX($AU$23:$BA$77, $L479+20, $AH479), 1)</f>
        <v>0</v>
      </c>
      <c r="BJ479" s="230">
        <f t="shared" si="540"/>
        <v>0</v>
      </c>
      <c r="BK479" s="229">
        <v>35</v>
      </c>
      <c r="BL479" s="230">
        <f t="shared" si="541"/>
        <v>48</v>
      </c>
      <c r="BM479" s="235">
        <f t="shared" si="542"/>
        <v>2.9108720930232557</v>
      </c>
      <c r="BN479" s="235" cm="1">
        <f t="array" ref="BN479">$BI479 * SUMPRODUCT(INDEX($AR$77:$AT$82,,$AI479),INDEX($AU$77:$BA$82,,$AH479), N($AQ$77:$AQ$82&gt;$AO479)) / BM479 / 1000</f>
        <v>0</v>
      </c>
      <c r="BO479" s="232">
        <f t="shared" si="567"/>
        <v>30</v>
      </c>
      <c r="BP479" s="230">
        <f t="shared" si="543"/>
        <v>43</v>
      </c>
      <c r="BQ479" s="235">
        <f t="shared" si="544"/>
        <v>3.2938815789473681</v>
      </c>
      <c r="BR479" s="235" cm="1">
        <f t="array" ref="BR479">$BI479 * IF($AH479&lt;=2,
SUMPRODUCT(INDEX($AR$72:$AT$76,,$AI479), INDEX($AU$72:$BA$76,,$AH479), 1 / ($BB$72:$BB$76*BQ479 + (1-$BB$72:$BB$76)*BM479), N($AQ$72:$AQ$76&gt;$AO479)),
SUMPRODUCT(INDEX($AR$67:$AT$76,,$AI479), INDEX($AU$67:$BA$76,,$AH479), 1 / ($BC$67:$BC$76*BQ479 + (1-$BC$67:$BC$76)*BM479), N($AQ$67:$AQ$76&gt;$AO479))
) / 1000</f>
        <v>0</v>
      </c>
      <c r="BS479" s="232">
        <f t="shared" si="568"/>
        <v>25</v>
      </c>
      <c r="BT479" s="230">
        <f t="shared" si="545"/>
        <v>38</v>
      </c>
      <c r="BU479" s="235">
        <f t="shared" si="546"/>
        <v>3.792954545454545</v>
      </c>
      <c r="BV479" s="235" cm="1">
        <f t="array" ref="BV479">$BI479 * IF($AH479&lt;=2,
SUMPRODUCT(INDEX($AR$67:$AT$71,,$AI479), INDEX($AU$67:$BA$71,,$AH479), 1 / ($BB$67:$BB$71*BU479 + (1-$BB$67:$BB$71)*BQ479), N($AQ$67:$AQ$71&gt;$AO479)),
SUMPRODUCT(INDEX($AR$57:$AT$66,,$AI479), INDEX($AU$57:$BA$66,,$AH479), 1 / ($BC$57:$BC$66*BU479 + (1-$BC$57:$BC$66)*BQ479), N($AQ$57:$AQ$66&gt;$AO479))
) / 1000</f>
        <v>0</v>
      </c>
      <c r="BW479" s="232">
        <f t="shared" si="569"/>
        <v>20</v>
      </c>
      <c r="BX479" s="230">
        <f t="shared" si="547"/>
        <v>33</v>
      </c>
      <c r="BY479" s="235">
        <f t="shared" si="548"/>
        <v>4.4702678571428569</v>
      </c>
      <c r="BZ479" s="235" cm="1">
        <f t="array" ref="BZ479">$BI479 * IF($AH479&lt;=2,
SUMPRODUCT(INDEX($AR$62:$AT$66,,$AI479), INDEX($AU$62:$BA$66,,$AH479), 1 / ($BB$62:$BB$66*BY479 + (1-$BB$62:$BB$66)*BU479), N($AQ$62:$AQ$66&gt;$AO479)),
SUMPRODUCT(INDEX($AR$47:$AT$56,,$AI479), INDEX($AU$47:$BA$56,,$AH479), 1 / ($BC$47:$BC$56*BY479 + (1-$BC$47:$BC$56)*BU479), N($AQ$47:$AQ$56&gt;$AO479))
) / 1000</f>
        <v>0</v>
      </c>
      <c r="CA479" s="235" cm="1">
        <f t="array" ref="CA479">$BI479 * IF($AH479&lt;=2,
SUMPRODUCT(INDEX($AR$23:$AT$61,,$AI479), INDEX($AU$23:$BA$61,,$AH479), 1 / ($BB$23:$BB$61*BY479), N($AQ$23:$AQ$61&gt;$AO479)),
SUMPRODUCT(INDEX($AR$23:$AT$46,,$AI479), INDEX($AU$23:$BA$46,,$AH479), 1 / ($BC$23:$BC$46*BY479), N($AQ$23:$AQ$46&gt;$AO479))
) / 1000</f>
        <v>0</v>
      </c>
      <c r="CB479" s="230">
        <f t="shared" si="549"/>
        <v>0</v>
      </c>
      <c r="CC479" s="238"/>
      <c r="CD479" s="229" cm="1">
        <f t="array" ref="CD479">IF(ISBLANK(Y479), INDEX(Use, $AH479, 4) - AN479*INDEX(Use, $AH479, 6) - (Q479-X479), Y479)</f>
        <v>7</v>
      </c>
      <c r="CE479" s="229">
        <f t="shared" si="550"/>
        <v>32</v>
      </c>
      <c r="CF479" s="230">
        <f t="shared" si="551"/>
        <v>0</v>
      </c>
      <c r="CG479" s="229">
        <v>35</v>
      </c>
      <c r="CH479" s="230">
        <f t="shared" si="552"/>
        <v>48</v>
      </c>
      <c r="CI479" s="235">
        <f t="shared" si="553"/>
        <v>3.0748170731707316</v>
      </c>
      <c r="CJ479" s="235" cm="1">
        <f t="array" ref="CJ479">$BI479 * SUMPRODUCT(INDEX($AR$77:$AT$82,,$AI479),INDEX($AU$77:$BA$82,,$AH479), N($AQ$77:$AQ$82&gt;$AO479)) / CI479 / 1000</f>
        <v>0</v>
      </c>
      <c r="CK479" s="232">
        <f t="shared" si="570"/>
        <v>30</v>
      </c>
      <c r="CL479" s="230">
        <f t="shared" si="554"/>
        <v>43</v>
      </c>
      <c r="CM479" s="235">
        <f t="shared" si="555"/>
        <v>3.5018750000000001</v>
      </c>
      <c r="CN479" s="235" cm="1">
        <f t="array" ref="CN479">$BI479 * IF($AH479&lt;=2,
SUMPRODUCT(INDEX($AR$72:$AT$76,,$AI479), INDEX($AU$72:$BA$76,,$AH479), 1 / ($BB$72:$BB$76*CM479 + (1-$BB$72:$BB$76)*CI479), N($AQ$72:$AQ$76&gt;$AO479)),
SUMPRODUCT(INDEX($AR$67:$AT$76,,$AI479), INDEX($AU$67:$BA$76,,$AH479), 1 / ($BC$67:$BC$76*CM479 + (1-$BC$67:$BC$76)*CI479), N($AQ$67:$AQ$76&gt;$AO479))
) / 1000</f>
        <v>0</v>
      </c>
      <c r="CO479" s="232">
        <f t="shared" si="571"/>
        <v>25</v>
      </c>
      <c r="CP479" s="230">
        <f t="shared" si="556"/>
        <v>38</v>
      </c>
      <c r="CQ479" s="235">
        <f t="shared" si="557"/>
        <v>4.0666935483870965</v>
      </c>
      <c r="CR479" s="235" cm="1">
        <f t="array" ref="CR479">$BI479 * IF($AH479&lt;=2,
SUMPRODUCT(INDEX($AR$67:$AT$71,,$AI479), INDEX($AU$67:$BA$71,,$AH479), 1 / ($BB$67:$BB$71*CQ479 + (1-$BB$67:$BB$71)*CM479), N($AQ$67:$AQ$71&gt;$AO479)),
SUMPRODUCT(INDEX($AR$57:$AT$66,,$AI479), INDEX($AU$57:$BA$66,,$AH479), 1 / ($BC$57:$BC$66*CQ479 + (1-$BC$57:$BC$66)*CM479), N($AQ$57:$AQ$66&gt;$AO479))
) / 1000</f>
        <v>0</v>
      </c>
      <c r="CS479" s="232">
        <f t="shared" si="572"/>
        <v>20</v>
      </c>
      <c r="CT479" s="230">
        <f t="shared" si="558"/>
        <v>33</v>
      </c>
      <c r="CU479" s="235">
        <f t="shared" si="559"/>
        <v>4.8487499999999999</v>
      </c>
      <c r="CV479" s="235" cm="1">
        <f t="array" ref="CV479">$BI479 * IF($AH479&lt;=2,
SUMPRODUCT(INDEX($AR$62:$AT$66,,$AI479), INDEX($AU$62:$BA$66,,$AH479), 1 / ($BB$62:$BB$66*CU479 + (1-$BB$62:$BB$66)*CQ479), N($AQ$62:$AQ$66&gt;$AO479)),
SUMPRODUCT(INDEX($AR$47:$AT$56,,$AI479), INDEX($AU$47:$BA$56,,$AH479), 1 / ($BC$47:$BC$56*CU479 + (1-$BC$47:$BC$56)*CQ479), N($AQ$47:$AQ$56&gt;$AO479))
) / 1000</f>
        <v>0</v>
      </c>
      <c r="CW479" s="235" cm="1">
        <f t="array" ref="CW479">$BI479 * IF($AH479&lt;=2,
SUMPRODUCT(INDEX($AR$23:$AT$61,,$AI479), INDEX($AU$23:$BA$61,,$AH479), 1 / ($BB$23:$BB$61*CU479), N($AQ$23:$AQ$61&gt;$AO479)),
SUMPRODUCT(INDEX($AR$23:$AT$46,,$AI479), INDEX($AU$23:$BA$46,,$AH479), 1 / ($BC$23:$BC$46*CU479), N($AQ$23:$AQ$46&gt;$AO479))
) / 1000</f>
        <v>0</v>
      </c>
      <c r="CX479" s="230">
        <f t="shared" si="560"/>
        <v>0</v>
      </c>
      <c r="CY479" s="238"/>
    </row>
    <row r="480" spans="1:103" s="76" customFormat="1" ht="14.25" customHeight="1" x14ac:dyDescent="0.2">
      <c r="A480" s="231" t="b">
        <f t="shared" si="564"/>
        <v>0</v>
      </c>
      <c r="B480" s="245">
        <v>458</v>
      </c>
      <c r="C480" s="258"/>
      <c r="D480" s="258"/>
      <c r="E480" s="246"/>
      <c r="F480" s="247" t="str">
        <f>IF(ISBLANK(E480), "", VLOOKUP(E480, Z!$A$2:$C$4127, 3, FALSE))</f>
        <v/>
      </c>
      <c r="G480" s="248"/>
      <c r="H480" s="248"/>
      <c r="I480" s="249"/>
      <c r="J480" s="250"/>
      <c r="K480" s="259"/>
      <c r="L480" s="260"/>
      <c r="M480" s="252" t="str" cm="1">
        <f t="array" ref="M480">INDEX(Trad, 53, $A$20)</f>
        <v>Verschmutzt</v>
      </c>
      <c r="N480" s="253"/>
      <c r="O480" s="253"/>
      <c r="P480" s="254"/>
      <c r="Q480" s="251"/>
      <c r="R480" s="251"/>
      <c r="S480" s="264">
        <f t="shared" si="535"/>
        <v>0</v>
      </c>
      <c r="T480" s="252" t="str" cm="1">
        <f t="array" ref="T480">INDEX(Trad, 52, $A$20)</f>
        <v>Sauber</v>
      </c>
      <c r="U480" s="253"/>
      <c r="V480" s="253"/>
      <c r="W480" s="254"/>
      <c r="X480" s="251"/>
      <c r="Y480" s="251"/>
      <c r="Z480" s="264">
        <f t="shared" si="536"/>
        <v>0</v>
      </c>
      <c r="AA480" s="261"/>
      <c r="AB480" s="258"/>
      <c r="AC480" s="246"/>
      <c r="AD480" s="247" t="str">
        <f>IF(ISBLANK(AC480), "", VLOOKUP(AC480, Z!$A$2:$C$4127, 3, FALSE))</f>
        <v/>
      </c>
      <c r="AE480" s="262"/>
      <c r="AF480" s="263">
        <f t="shared" si="537"/>
        <v>0</v>
      </c>
      <c r="AG480" s="238"/>
      <c r="AH480" s="229">
        <f t="shared" si="561"/>
        <v>1</v>
      </c>
      <c r="AI480" s="229">
        <f t="shared" si="562"/>
        <v>1</v>
      </c>
      <c r="AJ480" s="229">
        <f t="shared" si="563"/>
        <v>0</v>
      </c>
      <c r="AK480" s="229">
        <v>0</v>
      </c>
      <c r="AL480" s="229">
        <v>0</v>
      </c>
      <c r="AM480" s="229">
        <v>1</v>
      </c>
      <c r="AN480" s="229">
        <v>0</v>
      </c>
      <c r="AO480" s="229">
        <f t="shared" si="538"/>
        <v>-100</v>
      </c>
      <c r="AP480" s="238"/>
      <c r="AQ480" s="255"/>
      <c r="AR480" s="255"/>
      <c r="AS480" s="256"/>
      <c r="AT480" s="256"/>
      <c r="AU480" s="256"/>
      <c r="AV480" s="256"/>
      <c r="AW480" s="256"/>
      <c r="AX480" s="256"/>
      <c r="AY480" s="256"/>
      <c r="AZ480" s="256"/>
      <c r="BA480" s="256"/>
      <c r="BB480" s="256"/>
      <c r="BC480" s="256"/>
      <c r="BD480" s="238"/>
      <c r="BE480" s="229" cm="1">
        <f t="array" ref="BE480">IF(ISBLANK(R480), INDEX(Use, $AH480, 4) - AM480*INDEX(Use, $AH480, 6), R480)</f>
        <v>5</v>
      </c>
      <c r="BF480" s="229">
        <f t="shared" si="539"/>
        <v>30</v>
      </c>
      <c r="BG480" s="229">
        <f t="shared" si="565"/>
        <v>13</v>
      </c>
      <c r="BH480" s="229">
        <f t="shared" si="566"/>
        <v>0</v>
      </c>
      <c r="BI480" s="234" cm="1">
        <f t="array" ref="BI480">K480/IF($L480&gt;0, INDEX($AU$23:$BA$77, $L480+20, $AH480), 1)</f>
        <v>0</v>
      </c>
      <c r="BJ480" s="230">
        <f t="shared" si="540"/>
        <v>0</v>
      </c>
      <c r="BK480" s="229">
        <v>35</v>
      </c>
      <c r="BL480" s="230">
        <f t="shared" si="541"/>
        <v>48</v>
      </c>
      <c r="BM480" s="235">
        <f t="shared" si="542"/>
        <v>2.9108720930232557</v>
      </c>
      <c r="BN480" s="235" cm="1">
        <f t="array" ref="BN480">$BI480 * SUMPRODUCT(INDEX($AR$77:$AT$82,,$AI480),INDEX($AU$77:$BA$82,,$AH480), N($AQ$77:$AQ$82&gt;$AO480)) / BM480 / 1000</f>
        <v>0</v>
      </c>
      <c r="BO480" s="232">
        <f t="shared" si="567"/>
        <v>30</v>
      </c>
      <c r="BP480" s="230">
        <f t="shared" si="543"/>
        <v>43</v>
      </c>
      <c r="BQ480" s="235">
        <f t="shared" si="544"/>
        <v>3.2938815789473681</v>
      </c>
      <c r="BR480" s="235" cm="1">
        <f t="array" ref="BR480">$BI480 * IF($AH480&lt;=2,
SUMPRODUCT(INDEX($AR$72:$AT$76,,$AI480), INDEX($AU$72:$BA$76,,$AH480), 1 / ($BB$72:$BB$76*BQ480 + (1-$BB$72:$BB$76)*BM480), N($AQ$72:$AQ$76&gt;$AO480)),
SUMPRODUCT(INDEX($AR$67:$AT$76,,$AI480), INDEX($AU$67:$BA$76,,$AH480), 1 / ($BC$67:$BC$76*BQ480 + (1-$BC$67:$BC$76)*BM480), N($AQ$67:$AQ$76&gt;$AO480))
) / 1000</f>
        <v>0</v>
      </c>
      <c r="BS480" s="232">
        <f t="shared" si="568"/>
        <v>25</v>
      </c>
      <c r="BT480" s="230">
        <f t="shared" si="545"/>
        <v>38</v>
      </c>
      <c r="BU480" s="235">
        <f t="shared" si="546"/>
        <v>3.792954545454545</v>
      </c>
      <c r="BV480" s="235" cm="1">
        <f t="array" ref="BV480">$BI480 * IF($AH480&lt;=2,
SUMPRODUCT(INDEX($AR$67:$AT$71,,$AI480), INDEX($AU$67:$BA$71,,$AH480), 1 / ($BB$67:$BB$71*BU480 + (1-$BB$67:$BB$71)*BQ480), N($AQ$67:$AQ$71&gt;$AO480)),
SUMPRODUCT(INDEX($AR$57:$AT$66,,$AI480), INDEX($AU$57:$BA$66,,$AH480), 1 / ($BC$57:$BC$66*BU480 + (1-$BC$57:$BC$66)*BQ480), N($AQ$57:$AQ$66&gt;$AO480))
) / 1000</f>
        <v>0</v>
      </c>
      <c r="BW480" s="232">
        <f t="shared" si="569"/>
        <v>20</v>
      </c>
      <c r="BX480" s="230">
        <f t="shared" si="547"/>
        <v>33</v>
      </c>
      <c r="BY480" s="235">
        <f t="shared" si="548"/>
        <v>4.4702678571428569</v>
      </c>
      <c r="BZ480" s="235" cm="1">
        <f t="array" ref="BZ480">$BI480 * IF($AH480&lt;=2,
SUMPRODUCT(INDEX($AR$62:$AT$66,,$AI480), INDEX($AU$62:$BA$66,,$AH480), 1 / ($BB$62:$BB$66*BY480 + (1-$BB$62:$BB$66)*BU480), N($AQ$62:$AQ$66&gt;$AO480)),
SUMPRODUCT(INDEX($AR$47:$AT$56,,$AI480), INDEX($AU$47:$BA$56,,$AH480), 1 / ($BC$47:$BC$56*BY480 + (1-$BC$47:$BC$56)*BU480), N($AQ$47:$AQ$56&gt;$AO480))
) / 1000</f>
        <v>0</v>
      </c>
      <c r="CA480" s="235" cm="1">
        <f t="array" ref="CA480">$BI480 * IF($AH480&lt;=2,
SUMPRODUCT(INDEX($AR$23:$AT$61,,$AI480), INDEX($AU$23:$BA$61,,$AH480), 1 / ($BB$23:$BB$61*BY480), N($AQ$23:$AQ$61&gt;$AO480)),
SUMPRODUCT(INDEX($AR$23:$AT$46,,$AI480), INDEX($AU$23:$BA$46,,$AH480), 1 / ($BC$23:$BC$46*BY480), N($AQ$23:$AQ$46&gt;$AO480))
) / 1000</f>
        <v>0</v>
      </c>
      <c r="CB480" s="230">
        <f t="shared" si="549"/>
        <v>0</v>
      </c>
      <c r="CC480" s="238"/>
      <c r="CD480" s="229" cm="1">
        <f t="array" ref="CD480">IF(ISBLANK(Y480), INDEX(Use, $AH480, 4) - AN480*INDEX(Use, $AH480, 6) - (Q480-X480), Y480)</f>
        <v>7</v>
      </c>
      <c r="CE480" s="229">
        <f t="shared" si="550"/>
        <v>32</v>
      </c>
      <c r="CF480" s="230">
        <f t="shared" si="551"/>
        <v>0</v>
      </c>
      <c r="CG480" s="229">
        <v>35</v>
      </c>
      <c r="CH480" s="230">
        <f t="shared" si="552"/>
        <v>48</v>
      </c>
      <c r="CI480" s="235">
        <f t="shared" si="553"/>
        <v>3.0748170731707316</v>
      </c>
      <c r="CJ480" s="235" cm="1">
        <f t="array" ref="CJ480">$BI480 * SUMPRODUCT(INDEX($AR$77:$AT$82,,$AI480),INDEX($AU$77:$BA$82,,$AH480), N($AQ$77:$AQ$82&gt;$AO480)) / CI480 / 1000</f>
        <v>0</v>
      </c>
      <c r="CK480" s="232">
        <f t="shared" si="570"/>
        <v>30</v>
      </c>
      <c r="CL480" s="230">
        <f t="shared" si="554"/>
        <v>43</v>
      </c>
      <c r="CM480" s="235">
        <f t="shared" si="555"/>
        <v>3.5018750000000001</v>
      </c>
      <c r="CN480" s="235" cm="1">
        <f t="array" ref="CN480">$BI480 * IF($AH480&lt;=2,
SUMPRODUCT(INDEX($AR$72:$AT$76,,$AI480), INDEX($AU$72:$BA$76,,$AH480), 1 / ($BB$72:$BB$76*CM480 + (1-$BB$72:$BB$76)*CI480), N($AQ$72:$AQ$76&gt;$AO480)),
SUMPRODUCT(INDEX($AR$67:$AT$76,,$AI480), INDEX($AU$67:$BA$76,,$AH480), 1 / ($BC$67:$BC$76*CM480 + (1-$BC$67:$BC$76)*CI480), N($AQ$67:$AQ$76&gt;$AO480))
) / 1000</f>
        <v>0</v>
      </c>
      <c r="CO480" s="232">
        <f t="shared" si="571"/>
        <v>25</v>
      </c>
      <c r="CP480" s="230">
        <f t="shared" si="556"/>
        <v>38</v>
      </c>
      <c r="CQ480" s="235">
        <f t="shared" si="557"/>
        <v>4.0666935483870965</v>
      </c>
      <c r="CR480" s="235" cm="1">
        <f t="array" ref="CR480">$BI480 * IF($AH480&lt;=2,
SUMPRODUCT(INDEX($AR$67:$AT$71,,$AI480), INDEX($AU$67:$BA$71,,$AH480), 1 / ($BB$67:$BB$71*CQ480 + (1-$BB$67:$BB$71)*CM480), N($AQ$67:$AQ$71&gt;$AO480)),
SUMPRODUCT(INDEX($AR$57:$AT$66,,$AI480), INDEX($AU$57:$BA$66,,$AH480), 1 / ($BC$57:$BC$66*CQ480 + (1-$BC$57:$BC$66)*CM480), N($AQ$57:$AQ$66&gt;$AO480))
) / 1000</f>
        <v>0</v>
      </c>
      <c r="CS480" s="232">
        <f t="shared" si="572"/>
        <v>20</v>
      </c>
      <c r="CT480" s="230">
        <f t="shared" si="558"/>
        <v>33</v>
      </c>
      <c r="CU480" s="235">
        <f t="shared" si="559"/>
        <v>4.8487499999999999</v>
      </c>
      <c r="CV480" s="235" cm="1">
        <f t="array" ref="CV480">$BI480 * IF($AH480&lt;=2,
SUMPRODUCT(INDEX($AR$62:$AT$66,,$AI480), INDEX($AU$62:$BA$66,,$AH480), 1 / ($BB$62:$BB$66*CU480 + (1-$BB$62:$BB$66)*CQ480), N($AQ$62:$AQ$66&gt;$AO480)),
SUMPRODUCT(INDEX($AR$47:$AT$56,,$AI480), INDEX($AU$47:$BA$56,,$AH480), 1 / ($BC$47:$BC$56*CU480 + (1-$BC$47:$BC$56)*CQ480), N($AQ$47:$AQ$56&gt;$AO480))
) / 1000</f>
        <v>0</v>
      </c>
      <c r="CW480" s="235" cm="1">
        <f t="array" ref="CW480">$BI480 * IF($AH480&lt;=2,
SUMPRODUCT(INDEX($AR$23:$AT$61,,$AI480), INDEX($AU$23:$BA$61,,$AH480), 1 / ($BB$23:$BB$61*CU480), N($AQ$23:$AQ$61&gt;$AO480)),
SUMPRODUCT(INDEX($AR$23:$AT$46,,$AI480), INDEX($AU$23:$BA$46,,$AH480), 1 / ($BC$23:$BC$46*CU480), N($AQ$23:$AQ$46&gt;$AO480))
) / 1000</f>
        <v>0</v>
      </c>
      <c r="CX480" s="230">
        <f t="shared" si="560"/>
        <v>0</v>
      </c>
      <c r="CY480" s="238"/>
    </row>
    <row r="481" spans="1:103" s="76" customFormat="1" ht="14.25" customHeight="1" x14ac:dyDescent="0.2">
      <c r="A481" s="231" t="b">
        <f t="shared" si="564"/>
        <v>0</v>
      </c>
      <c r="B481" s="245">
        <v>459</v>
      </c>
      <c r="C481" s="258"/>
      <c r="D481" s="258"/>
      <c r="E481" s="246"/>
      <c r="F481" s="247" t="str">
        <f>IF(ISBLANK(E481), "", VLOOKUP(E481, Z!$A$2:$C$4127, 3, FALSE))</f>
        <v/>
      </c>
      <c r="G481" s="248"/>
      <c r="H481" s="248"/>
      <c r="I481" s="249"/>
      <c r="J481" s="250"/>
      <c r="K481" s="259"/>
      <c r="L481" s="260"/>
      <c r="M481" s="252" t="str" cm="1">
        <f t="array" ref="M481">INDEX(Trad, 53, $A$20)</f>
        <v>Verschmutzt</v>
      </c>
      <c r="N481" s="253"/>
      <c r="O481" s="253"/>
      <c r="P481" s="254"/>
      <c r="Q481" s="251"/>
      <c r="R481" s="251"/>
      <c r="S481" s="264">
        <f t="shared" si="535"/>
        <v>0</v>
      </c>
      <c r="T481" s="252" t="str" cm="1">
        <f t="array" ref="T481">INDEX(Trad, 52, $A$20)</f>
        <v>Sauber</v>
      </c>
      <c r="U481" s="253"/>
      <c r="V481" s="253"/>
      <c r="W481" s="254"/>
      <c r="X481" s="251"/>
      <c r="Y481" s="251"/>
      <c r="Z481" s="264">
        <f t="shared" si="536"/>
        <v>0</v>
      </c>
      <c r="AA481" s="261"/>
      <c r="AB481" s="258"/>
      <c r="AC481" s="246"/>
      <c r="AD481" s="247" t="str">
        <f>IF(ISBLANK(AC481), "", VLOOKUP(AC481, Z!$A$2:$C$4127, 3, FALSE))</f>
        <v/>
      </c>
      <c r="AE481" s="262"/>
      <c r="AF481" s="263">
        <f t="shared" si="537"/>
        <v>0</v>
      </c>
      <c r="AG481" s="238"/>
      <c r="AH481" s="229">
        <f t="shared" si="561"/>
        <v>1</v>
      </c>
      <c r="AI481" s="229">
        <f t="shared" si="562"/>
        <v>1</v>
      </c>
      <c r="AJ481" s="229">
        <f t="shared" si="563"/>
        <v>0</v>
      </c>
      <c r="AK481" s="229">
        <v>0</v>
      </c>
      <c r="AL481" s="229">
        <v>0</v>
      </c>
      <c r="AM481" s="229">
        <v>1</v>
      </c>
      <c r="AN481" s="229">
        <v>0</v>
      </c>
      <c r="AO481" s="229">
        <f t="shared" si="538"/>
        <v>-100</v>
      </c>
      <c r="AP481" s="238"/>
      <c r="AQ481" s="255"/>
      <c r="AR481" s="255"/>
      <c r="AS481" s="256"/>
      <c r="AT481" s="256"/>
      <c r="AU481" s="256"/>
      <c r="AV481" s="256"/>
      <c r="AW481" s="256"/>
      <c r="AX481" s="256"/>
      <c r="AY481" s="256"/>
      <c r="AZ481" s="256"/>
      <c r="BA481" s="256"/>
      <c r="BB481" s="256"/>
      <c r="BC481" s="256"/>
      <c r="BD481" s="238"/>
      <c r="BE481" s="229" cm="1">
        <f t="array" ref="BE481">IF(ISBLANK(R481), INDEX(Use, $AH481, 4) - AM481*INDEX(Use, $AH481, 6), R481)</f>
        <v>5</v>
      </c>
      <c r="BF481" s="229">
        <f t="shared" si="539"/>
        <v>30</v>
      </c>
      <c r="BG481" s="229">
        <f t="shared" si="565"/>
        <v>13</v>
      </c>
      <c r="BH481" s="229">
        <f t="shared" si="566"/>
        <v>0</v>
      </c>
      <c r="BI481" s="234" cm="1">
        <f t="array" ref="BI481">K481/IF($L481&gt;0, INDEX($AU$23:$BA$77, $L481+20, $AH481), 1)</f>
        <v>0</v>
      </c>
      <c r="BJ481" s="230">
        <f t="shared" si="540"/>
        <v>0</v>
      </c>
      <c r="BK481" s="229">
        <v>35</v>
      </c>
      <c r="BL481" s="230">
        <f t="shared" si="541"/>
        <v>48</v>
      </c>
      <c r="BM481" s="235">
        <f t="shared" si="542"/>
        <v>2.9108720930232557</v>
      </c>
      <c r="BN481" s="235" cm="1">
        <f t="array" ref="BN481">$BI481 * SUMPRODUCT(INDEX($AR$77:$AT$82,,$AI481),INDEX($AU$77:$BA$82,,$AH481), N($AQ$77:$AQ$82&gt;$AO481)) / BM481 / 1000</f>
        <v>0</v>
      </c>
      <c r="BO481" s="232">
        <f t="shared" si="567"/>
        <v>30</v>
      </c>
      <c r="BP481" s="230">
        <f t="shared" si="543"/>
        <v>43</v>
      </c>
      <c r="BQ481" s="235">
        <f t="shared" si="544"/>
        <v>3.2938815789473681</v>
      </c>
      <c r="BR481" s="235" cm="1">
        <f t="array" ref="BR481">$BI481 * IF($AH481&lt;=2,
SUMPRODUCT(INDEX($AR$72:$AT$76,,$AI481), INDEX($AU$72:$BA$76,,$AH481), 1 / ($BB$72:$BB$76*BQ481 + (1-$BB$72:$BB$76)*BM481), N($AQ$72:$AQ$76&gt;$AO481)),
SUMPRODUCT(INDEX($AR$67:$AT$76,,$AI481), INDEX($AU$67:$BA$76,,$AH481), 1 / ($BC$67:$BC$76*BQ481 + (1-$BC$67:$BC$76)*BM481), N($AQ$67:$AQ$76&gt;$AO481))
) / 1000</f>
        <v>0</v>
      </c>
      <c r="BS481" s="232">
        <f t="shared" si="568"/>
        <v>25</v>
      </c>
      <c r="BT481" s="230">
        <f t="shared" si="545"/>
        <v>38</v>
      </c>
      <c r="BU481" s="235">
        <f t="shared" si="546"/>
        <v>3.792954545454545</v>
      </c>
      <c r="BV481" s="235" cm="1">
        <f t="array" ref="BV481">$BI481 * IF($AH481&lt;=2,
SUMPRODUCT(INDEX($AR$67:$AT$71,,$AI481), INDEX($AU$67:$BA$71,,$AH481), 1 / ($BB$67:$BB$71*BU481 + (1-$BB$67:$BB$71)*BQ481), N($AQ$67:$AQ$71&gt;$AO481)),
SUMPRODUCT(INDEX($AR$57:$AT$66,,$AI481), INDEX($AU$57:$BA$66,,$AH481), 1 / ($BC$57:$BC$66*BU481 + (1-$BC$57:$BC$66)*BQ481), N($AQ$57:$AQ$66&gt;$AO481))
) / 1000</f>
        <v>0</v>
      </c>
      <c r="BW481" s="232">
        <f t="shared" si="569"/>
        <v>20</v>
      </c>
      <c r="BX481" s="230">
        <f t="shared" si="547"/>
        <v>33</v>
      </c>
      <c r="BY481" s="235">
        <f t="shared" si="548"/>
        <v>4.4702678571428569</v>
      </c>
      <c r="BZ481" s="235" cm="1">
        <f t="array" ref="BZ481">$BI481 * IF($AH481&lt;=2,
SUMPRODUCT(INDEX($AR$62:$AT$66,,$AI481), INDEX($AU$62:$BA$66,,$AH481), 1 / ($BB$62:$BB$66*BY481 + (1-$BB$62:$BB$66)*BU481), N($AQ$62:$AQ$66&gt;$AO481)),
SUMPRODUCT(INDEX($AR$47:$AT$56,,$AI481), INDEX($AU$47:$BA$56,,$AH481), 1 / ($BC$47:$BC$56*BY481 + (1-$BC$47:$BC$56)*BU481), N($AQ$47:$AQ$56&gt;$AO481))
) / 1000</f>
        <v>0</v>
      </c>
      <c r="CA481" s="235" cm="1">
        <f t="array" ref="CA481">$BI481 * IF($AH481&lt;=2,
SUMPRODUCT(INDEX($AR$23:$AT$61,,$AI481), INDEX($AU$23:$BA$61,,$AH481), 1 / ($BB$23:$BB$61*BY481), N($AQ$23:$AQ$61&gt;$AO481)),
SUMPRODUCT(INDEX($AR$23:$AT$46,,$AI481), INDEX($AU$23:$BA$46,,$AH481), 1 / ($BC$23:$BC$46*BY481), N($AQ$23:$AQ$46&gt;$AO481))
) / 1000</f>
        <v>0</v>
      </c>
      <c r="CB481" s="230">
        <f t="shared" si="549"/>
        <v>0</v>
      </c>
      <c r="CC481" s="238"/>
      <c r="CD481" s="229" cm="1">
        <f t="array" ref="CD481">IF(ISBLANK(Y481), INDEX(Use, $AH481, 4) - AN481*INDEX(Use, $AH481, 6) - (Q481-X481), Y481)</f>
        <v>7</v>
      </c>
      <c r="CE481" s="229">
        <f t="shared" si="550"/>
        <v>32</v>
      </c>
      <c r="CF481" s="230">
        <f t="shared" si="551"/>
        <v>0</v>
      </c>
      <c r="CG481" s="229">
        <v>35</v>
      </c>
      <c r="CH481" s="230">
        <f t="shared" si="552"/>
        <v>48</v>
      </c>
      <c r="CI481" s="235">
        <f t="shared" si="553"/>
        <v>3.0748170731707316</v>
      </c>
      <c r="CJ481" s="235" cm="1">
        <f t="array" ref="CJ481">$BI481 * SUMPRODUCT(INDEX($AR$77:$AT$82,,$AI481),INDEX($AU$77:$BA$82,,$AH481), N($AQ$77:$AQ$82&gt;$AO481)) / CI481 / 1000</f>
        <v>0</v>
      </c>
      <c r="CK481" s="232">
        <f t="shared" si="570"/>
        <v>30</v>
      </c>
      <c r="CL481" s="230">
        <f t="shared" si="554"/>
        <v>43</v>
      </c>
      <c r="CM481" s="235">
        <f t="shared" si="555"/>
        <v>3.5018750000000001</v>
      </c>
      <c r="CN481" s="235" cm="1">
        <f t="array" ref="CN481">$BI481 * IF($AH481&lt;=2,
SUMPRODUCT(INDEX($AR$72:$AT$76,,$AI481), INDEX($AU$72:$BA$76,,$AH481), 1 / ($BB$72:$BB$76*CM481 + (1-$BB$72:$BB$76)*CI481), N($AQ$72:$AQ$76&gt;$AO481)),
SUMPRODUCT(INDEX($AR$67:$AT$76,,$AI481), INDEX($AU$67:$BA$76,,$AH481), 1 / ($BC$67:$BC$76*CM481 + (1-$BC$67:$BC$76)*CI481), N($AQ$67:$AQ$76&gt;$AO481))
) / 1000</f>
        <v>0</v>
      </c>
      <c r="CO481" s="232">
        <f t="shared" si="571"/>
        <v>25</v>
      </c>
      <c r="CP481" s="230">
        <f t="shared" si="556"/>
        <v>38</v>
      </c>
      <c r="CQ481" s="235">
        <f t="shared" si="557"/>
        <v>4.0666935483870965</v>
      </c>
      <c r="CR481" s="235" cm="1">
        <f t="array" ref="CR481">$BI481 * IF($AH481&lt;=2,
SUMPRODUCT(INDEX($AR$67:$AT$71,,$AI481), INDEX($AU$67:$BA$71,,$AH481), 1 / ($BB$67:$BB$71*CQ481 + (1-$BB$67:$BB$71)*CM481), N($AQ$67:$AQ$71&gt;$AO481)),
SUMPRODUCT(INDEX($AR$57:$AT$66,,$AI481), INDEX($AU$57:$BA$66,,$AH481), 1 / ($BC$57:$BC$66*CQ481 + (1-$BC$57:$BC$66)*CM481), N($AQ$57:$AQ$66&gt;$AO481))
) / 1000</f>
        <v>0</v>
      </c>
      <c r="CS481" s="232">
        <f t="shared" si="572"/>
        <v>20</v>
      </c>
      <c r="CT481" s="230">
        <f t="shared" si="558"/>
        <v>33</v>
      </c>
      <c r="CU481" s="235">
        <f t="shared" si="559"/>
        <v>4.8487499999999999</v>
      </c>
      <c r="CV481" s="235" cm="1">
        <f t="array" ref="CV481">$BI481 * IF($AH481&lt;=2,
SUMPRODUCT(INDEX($AR$62:$AT$66,,$AI481), INDEX($AU$62:$BA$66,,$AH481), 1 / ($BB$62:$BB$66*CU481 + (1-$BB$62:$BB$66)*CQ481), N($AQ$62:$AQ$66&gt;$AO481)),
SUMPRODUCT(INDEX($AR$47:$AT$56,,$AI481), INDEX($AU$47:$BA$56,,$AH481), 1 / ($BC$47:$BC$56*CU481 + (1-$BC$47:$BC$56)*CQ481), N($AQ$47:$AQ$56&gt;$AO481))
) / 1000</f>
        <v>0</v>
      </c>
      <c r="CW481" s="235" cm="1">
        <f t="array" ref="CW481">$BI481 * IF($AH481&lt;=2,
SUMPRODUCT(INDEX($AR$23:$AT$61,,$AI481), INDEX($AU$23:$BA$61,,$AH481), 1 / ($BB$23:$BB$61*CU481), N($AQ$23:$AQ$61&gt;$AO481)),
SUMPRODUCT(INDEX($AR$23:$AT$46,,$AI481), INDEX($AU$23:$BA$46,,$AH481), 1 / ($BC$23:$BC$46*CU481), N($AQ$23:$AQ$46&gt;$AO481))
) / 1000</f>
        <v>0</v>
      </c>
      <c r="CX481" s="230">
        <f t="shared" si="560"/>
        <v>0</v>
      </c>
      <c r="CY481" s="238"/>
    </row>
    <row r="482" spans="1:103" s="76" customFormat="1" ht="14.25" customHeight="1" x14ac:dyDescent="0.2">
      <c r="A482" s="231" t="b">
        <f t="shared" si="564"/>
        <v>0</v>
      </c>
      <c r="B482" s="245">
        <v>460</v>
      </c>
      <c r="C482" s="258"/>
      <c r="D482" s="258"/>
      <c r="E482" s="246"/>
      <c r="F482" s="247" t="str">
        <f>IF(ISBLANK(E482), "", VLOOKUP(E482, Z!$A$2:$C$4127, 3, FALSE))</f>
        <v/>
      </c>
      <c r="G482" s="248"/>
      <c r="H482" s="248"/>
      <c r="I482" s="249"/>
      <c r="J482" s="250"/>
      <c r="K482" s="259"/>
      <c r="L482" s="260"/>
      <c r="M482" s="252" t="str" cm="1">
        <f t="array" ref="M482">INDEX(Trad, 53, $A$20)</f>
        <v>Verschmutzt</v>
      </c>
      <c r="N482" s="253"/>
      <c r="O482" s="253"/>
      <c r="P482" s="254"/>
      <c r="Q482" s="251"/>
      <c r="R482" s="251"/>
      <c r="S482" s="264">
        <f t="shared" si="535"/>
        <v>0</v>
      </c>
      <c r="T482" s="252" t="str" cm="1">
        <f t="array" ref="T482">INDEX(Trad, 52, $A$20)</f>
        <v>Sauber</v>
      </c>
      <c r="U482" s="253"/>
      <c r="V482" s="253"/>
      <c r="W482" s="254"/>
      <c r="X482" s="251"/>
      <c r="Y482" s="251"/>
      <c r="Z482" s="264">
        <f t="shared" si="536"/>
        <v>0</v>
      </c>
      <c r="AA482" s="261"/>
      <c r="AB482" s="258"/>
      <c r="AC482" s="246"/>
      <c r="AD482" s="247" t="str">
        <f>IF(ISBLANK(AC482), "", VLOOKUP(AC482, Z!$A$2:$C$4127, 3, FALSE))</f>
        <v/>
      </c>
      <c r="AE482" s="262"/>
      <c r="AF482" s="263">
        <f t="shared" si="537"/>
        <v>0</v>
      </c>
      <c r="AG482" s="238"/>
      <c r="AH482" s="229">
        <f t="shared" si="561"/>
        <v>1</v>
      </c>
      <c r="AI482" s="229">
        <f t="shared" si="562"/>
        <v>1</v>
      </c>
      <c r="AJ482" s="229">
        <f t="shared" si="563"/>
        <v>0</v>
      </c>
      <c r="AK482" s="229">
        <v>0</v>
      </c>
      <c r="AL482" s="229">
        <v>0</v>
      </c>
      <c r="AM482" s="229">
        <v>1</v>
      </c>
      <c r="AN482" s="229">
        <v>0</v>
      </c>
      <c r="AO482" s="229">
        <f t="shared" si="538"/>
        <v>-100</v>
      </c>
      <c r="AP482" s="238"/>
      <c r="AQ482" s="255"/>
      <c r="AR482" s="255"/>
      <c r="AS482" s="256"/>
      <c r="AT482" s="256"/>
      <c r="AU482" s="256"/>
      <c r="AV482" s="256"/>
      <c r="AW482" s="256"/>
      <c r="AX482" s="256"/>
      <c r="AY482" s="256"/>
      <c r="AZ482" s="256"/>
      <c r="BA482" s="256"/>
      <c r="BB482" s="256"/>
      <c r="BC482" s="256"/>
      <c r="BD482" s="238"/>
      <c r="BE482" s="229" cm="1">
        <f t="array" ref="BE482">IF(ISBLANK(R482), INDEX(Use, $AH482, 4) - AM482*INDEX(Use, $AH482, 6), R482)</f>
        <v>5</v>
      </c>
      <c r="BF482" s="229">
        <f t="shared" si="539"/>
        <v>30</v>
      </c>
      <c r="BG482" s="229">
        <f t="shared" si="565"/>
        <v>13</v>
      </c>
      <c r="BH482" s="229">
        <f t="shared" si="566"/>
        <v>0</v>
      </c>
      <c r="BI482" s="234" cm="1">
        <f t="array" ref="BI482">K482/IF($L482&gt;0, INDEX($AU$23:$BA$77, $L482+20, $AH482), 1)</f>
        <v>0</v>
      </c>
      <c r="BJ482" s="230">
        <f t="shared" si="540"/>
        <v>0</v>
      </c>
      <c r="BK482" s="229">
        <v>35</v>
      </c>
      <c r="BL482" s="230">
        <f t="shared" si="541"/>
        <v>48</v>
      </c>
      <c r="BM482" s="235">
        <f t="shared" si="542"/>
        <v>2.9108720930232557</v>
      </c>
      <c r="BN482" s="235" cm="1">
        <f t="array" ref="BN482">$BI482 * SUMPRODUCT(INDEX($AR$77:$AT$82,,$AI482),INDEX($AU$77:$BA$82,,$AH482), N($AQ$77:$AQ$82&gt;$AO482)) / BM482 / 1000</f>
        <v>0</v>
      </c>
      <c r="BO482" s="232">
        <f t="shared" si="567"/>
        <v>30</v>
      </c>
      <c r="BP482" s="230">
        <f t="shared" si="543"/>
        <v>43</v>
      </c>
      <c r="BQ482" s="235">
        <f t="shared" si="544"/>
        <v>3.2938815789473681</v>
      </c>
      <c r="BR482" s="235" cm="1">
        <f t="array" ref="BR482">$BI482 * IF($AH482&lt;=2,
SUMPRODUCT(INDEX($AR$72:$AT$76,,$AI482), INDEX($AU$72:$BA$76,,$AH482), 1 / ($BB$72:$BB$76*BQ482 + (1-$BB$72:$BB$76)*BM482), N($AQ$72:$AQ$76&gt;$AO482)),
SUMPRODUCT(INDEX($AR$67:$AT$76,,$AI482), INDEX($AU$67:$BA$76,,$AH482), 1 / ($BC$67:$BC$76*BQ482 + (1-$BC$67:$BC$76)*BM482), N($AQ$67:$AQ$76&gt;$AO482))
) / 1000</f>
        <v>0</v>
      </c>
      <c r="BS482" s="232">
        <f t="shared" si="568"/>
        <v>25</v>
      </c>
      <c r="BT482" s="230">
        <f t="shared" si="545"/>
        <v>38</v>
      </c>
      <c r="BU482" s="235">
        <f t="shared" si="546"/>
        <v>3.792954545454545</v>
      </c>
      <c r="BV482" s="235" cm="1">
        <f t="array" ref="BV482">$BI482 * IF($AH482&lt;=2,
SUMPRODUCT(INDEX($AR$67:$AT$71,,$AI482), INDEX($AU$67:$BA$71,,$AH482), 1 / ($BB$67:$BB$71*BU482 + (1-$BB$67:$BB$71)*BQ482), N($AQ$67:$AQ$71&gt;$AO482)),
SUMPRODUCT(INDEX($AR$57:$AT$66,,$AI482), INDEX($AU$57:$BA$66,,$AH482), 1 / ($BC$57:$BC$66*BU482 + (1-$BC$57:$BC$66)*BQ482), N($AQ$57:$AQ$66&gt;$AO482))
) / 1000</f>
        <v>0</v>
      </c>
      <c r="BW482" s="232">
        <f t="shared" si="569"/>
        <v>20</v>
      </c>
      <c r="BX482" s="230">
        <f t="shared" si="547"/>
        <v>33</v>
      </c>
      <c r="BY482" s="235">
        <f t="shared" si="548"/>
        <v>4.4702678571428569</v>
      </c>
      <c r="BZ482" s="235" cm="1">
        <f t="array" ref="BZ482">$BI482 * IF($AH482&lt;=2,
SUMPRODUCT(INDEX($AR$62:$AT$66,,$AI482), INDEX($AU$62:$BA$66,,$AH482), 1 / ($BB$62:$BB$66*BY482 + (1-$BB$62:$BB$66)*BU482), N($AQ$62:$AQ$66&gt;$AO482)),
SUMPRODUCT(INDEX($AR$47:$AT$56,,$AI482), INDEX($AU$47:$BA$56,,$AH482), 1 / ($BC$47:$BC$56*BY482 + (1-$BC$47:$BC$56)*BU482), N($AQ$47:$AQ$56&gt;$AO482))
) / 1000</f>
        <v>0</v>
      </c>
      <c r="CA482" s="235" cm="1">
        <f t="array" ref="CA482">$BI482 * IF($AH482&lt;=2,
SUMPRODUCT(INDEX($AR$23:$AT$61,,$AI482), INDEX($AU$23:$BA$61,,$AH482), 1 / ($BB$23:$BB$61*BY482), N($AQ$23:$AQ$61&gt;$AO482)),
SUMPRODUCT(INDEX($AR$23:$AT$46,,$AI482), INDEX($AU$23:$BA$46,,$AH482), 1 / ($BC$23:$BC$46*BY482), N($AQ$23:$AQ$46&gt;$AO482))
) / 1000</f>
        <v>0</v>
      </c>
      <c r="CB482" s="230">
        <f t="shared" si="549"/>
        <v>0</v>
      </c>
      <c r="CC482" s="238"/>
      <c r="CD482" s="229" cm="1">
        <f t="array" ref="CD482">IF(ISBLANK(Y482), INDEX(Use, $AH482, 4) - AN482*INDEX(Use, $AH482, 6) - (Q482-X482), Y482)</f>
        <v>7</v>
      </c>
      <c r="CE482" s="229">
        <f t="shared" si="550"/>
        <v>32</v>
      </c>
      <c r="CF482" s="230">
        <f t="shared" si="551"/>
        <v>0</v>
      </c>
      <c r="CG482" s="229">
        <v>35</v>
      </c>
      <c r="CH482" s="230">
        <f t="shared" si="552"/>
        <v>48</v>
      </c>
      <c r="CI482" s="235">
        <f t="shared" si="553"/>
        <v>3.0748170731707316</v>
      </c>
      <c r="CJ482" s="235" cm="1">
        <f t="array" ref="CJ482">$BI482 * SUMPRODUCT(INDEX($AR$77:$AT$82,,$AI482),INDEX($AU$77:$BA$82,,$AH482), N($AQ$77:$AQ$82&gt;$AO482)) / CI482 / 1000</f>
        <v>0</v>
      </c>
      <c r="CK482" s="232">
        <f t="shared" si="570"/>
        <v>30</v>
      </c>
      <c r="CL482" s="230">
        <f t="shared" si="554"/>
        <v>43</v>
      </c>
      <c r="CM482" s="235">
        <f t="shared" si="555"/>
        <v>3.5018750000000001</v>
      </c>
      <c r="CN482" s="235" cm="1">
        <f t="array" ref="CN482">$BI482 * IF($AH482&lt;=2,
SUMPRODUCT(INDEX($AR$72:$AT$76,,$AI482), INDEX($AU$72:$BA$76,,$AH482), 1 / ($BB$72:$BB$76*CM482 + (1-$BB$72:$BB$76)*CI482), N($AQ$72:$AQ$76&gt;$AO482)),
SUMPRODUCT(INDEX($AR$67:$AT$76,,$AI482), INDEX($AU$67:$BA$76,,$AH482), 1 / ($BC$67:$BC$76*CM482 + (1-$BC$67:$BC$76)*CI482), N($AQ$67:$AQ$76&gt;$AO482))
) / 1000</f>
        <v>0</v>
      </c>
      <c r="CO482" s="232">
        <f t="shared" si="571"/>
        <v>25</v>
      </c>
      <c r="CP482" s="230">
        <f t="shared" si="556"/>
        <v>38</v>
      </c>
      <c r="CQ482" s="235">
        <f t="shared" si="557"/>
        <v>4.0666935483870965</v>
      </c>
      <c r="CR482" s="235" cm="1">
        <f t="array" ref="CR482">$BI482 * IF($AH482&lt;=2,
SUMPRODUCT(INDEX($AR$67:$AT$71,,$AI482), INDEX($AU$67:$BA$71,,$AH482), 1 / ($BB$67:$BB$71*CQ482 + (1-$BB$67:$BB$71)*CM482), N($AQ$67:$AQ$71&gt;$AO482)),
SUMPRODUCT(INDEX($AR$57:$AT$66,,$AI482), INDEX($AU$57:$BA$66,,$AH482), 1 / ($BC$57:$BC$66*CQ482 + (1-$BC$57:$BC$66)*CM482), N($AQ$57:$AQ$66&gt;$AO482))
) / 1000</f>
        <v>0</v>
      </c>
      <c r="CS482" s="232">
        <f t="shared" si="572"/>
        <v>20</v>
      </c>
      <c r="CT482" s="230">
        <f t="shared" si="558"/>
        <v>33</v>
      </c>
      <c r="CU482" s="235">
        <f t="shared" si="559"/>
        <v>4.8487499999999999</v>
      </c>
      <c r="CV482" s="235" cm="1">
        <f t="array" ref="CV482">$BI482 * IF($AH482&lt;=2,
SUMPRODUCT(INDEX($AR$62:$AT$66,,$AI482), INDEX($AU$62:$BA$66,,$AH482), 1 / ($BB$62:$BB$66*CU482 + (1-$BB$62:$BB$66)*CQ482), N($AQ$62:$AQ$66&gt;$AO482)),
SUMPRODUCT(INDEX($AR$47:$AT$56,,$AI482), INDEX($AU$47:$BA$56,,$AH482), 1 / ($BC$47:$BC$56*CU482 + (1-$BC$47:$BC$56)*CQ482), N($AQ$47:$AQ$56&gt;$AO482))
) / 1000</f>
        <v>0</v>
      </c>
      <c r="CW482" s="235" cm="1">
        <f t="array" ref="CW482">$BI482 * IF($AH482&lt;=2,
SUMPRODUCT(INDEX($AR$23:$AT$61,,$AI482), INDEX($AU$23:$BA$61,,$AH482), 1 / ($BB$23:$BB$61*CU482), N($AQ$23:$AQ$61&gt;$AO482)),
SUMPRODUCT(INDEX($AR$23:$AT$46,,$AI482), INDEX($AU$23:$BA$46,,$AH482), 1 / ($BC$23:$BC$46*CU482), N($AQ$23:$AQ$46&gt;$AO482))
) / 1000</f>
        <v>0</v>
      </c>
      <c r="CX482" s="230">
        <f t="shared" si="560"/>
        <v>0</v>
      </c>
      <c r="CY482" s="238"/>
    </row>
    <row r="483" spans="1:103" s="76" customFormat="1" ht="14.25" customHeight="1" x14ac:dyDescent="0.2">
      <c r="A483" s="231" t="b">
        <f t="shared" si="564"/>
        <v>0</v>
      </c>
      <c r="B483" s="245">
        <v>461</v>
      </c>
      <c r="C483" s="258"/>
      <c r="D483" s="258"/>
      <c r="E483" s="246"/>
      <c r="F483" s="247" t="str">
        <f>IF(ISBLANK(E483), "", VLOOKUP(E483, Z!$A$2:$C$4127, 3, FALSE))</f>
        <v/>
      </c>
      <c r="G483" s="248"/>
      <c r="H483" s="248"/>
      <c r="I483" s="249"/>
      <c r="J483" s="250"/>
      <c r="K483" s="259"/>
      <c r="L483" s="260"/>
      <c r="M483" s="252" t="str" cm="1">
        <f t="array" ref="M483">INDEX(Trad, 53, $A$20)</f>
        <v>Verschmutzt</v>
      </c>
      <c r="N483" s="253"/>
      <c r="O483" s="253"/>
      <c r="P483" s="254"/>
      <c r="Q483" s="251"/>
      <c r="R483" s="251"/>
      <c r="S483" s="264">
        <f t="shared" si="535"/>
        <v>0</v>
      </c>
      <c r="T483" s="252" t="str" cm="1">
        <f t="array" ref="T483">INDEX(Trad, 52, $A$20)</f>
        <v>Sauber</v>
      </c>
      <c r="U483" s="253"/>
      <c r="V483" s="253"/>
      <c r="W483" s="254"/>
      <c r="X483" s="251"/>
      <c r="Y483" s="251"/>
      <c r="Z483" s="264">
        <f t="shared" si="536"/>
        <v>0</v>
      </c>
      <c r="AA483" s="261"/>
      <c r="AB483" s="258"/>
      <c r="AC483" s="246"/>
      <c r="AD483" s="247" t="str">
        <f>IF(ISBLANK(AC483), "", VLOOKUP(AC483, Z!$A$2:$C$4127, 3, FALSE))</f>
        <v/>
      </c>
      <c r="AE483" s="262"/>
      <c r="AF483" s="263">
        <f t="shared" si="537"/>
        <v>0</v>
      </c>
      <c r="AG483" s="238"/>
      <c r="AH483" s="229">
        <f t="shared" si="561"/>
        <v>1</v>
      </c>
      <c r="AI483" s="229">
        <f t="shared" si="562"/>
        <v>1</v>
      </c>
      <c r="AJ483" s="229">
        <f t="shared" si="563"/>
        <v>0</v>
      </c>
      <c r="AK483" s="229">
        <v>0</v>
      </c>
      <c r="AL483" s="229">
        <v>0</v>
      </c>
      <c r="AM483" s="229">
        <v>1</v>
      </c>
      <c r="AN483" s="229">
        <v>0</v>
      </c>
      <c r="AO483" s="229">
        <f t="shared" si="538"/>
        <v>-100</v>
      </c>
      <c r="AP483" s="238"/>
      <c r="AQ483" s="255"/>
      <c r="AR483" s="255"/>
      <c r="AS483" s="256"/>
      <c r="AT483" s="256"/>
      <c r="AU483" s="256"/>
      <c r="AV483" s="256"/>
      <c r="AW483" s="256"/>
      <c r="AX483" s="256"/>
      <c r="AY483" s="256"/>
      <c r="AZ483" s="256"/>
      <c r="BA483" s="256"/>
      <c r="BB483" s="256"/>
      <c r="BC483" s="256"/>
      <c r="BD483" s="238"/>
      <c r="BE483" s="229" cm="1">
        <f t="array" ref="BE483">IF(ISBLANK(R483), INDEX(Use, $AH483, 4) - AM483*INDEX(Use, $AH483, 6), R483)</f>
        <v>5</v>
      </c>
      <c r="BF483" s="229">
        <f t="shared" si="539"/>
        <v>30</v>
      </c>
      <c r="BG483" s="229">
        <f t="shared" si="565"/>
        <v>13</v>
      </c>
      <c r="BH483" s="229">
        <f t="shared" si="566"/>
        <v>0</v>
      </c>
      <c r="BI483" s="234" cm="1">
        <f t="array" ref="BI483">K483/IF($L483&gt;0, INDEX($AU$23:$BA$77, $L483+20, $AH483), 1)</f>
        <v>0</v>
      </c>
      <c r="BJ483" s="230">
        <f t="shared" si="540"/>
        <v>0</v>
      </c>
      <c r="BK483" s="229">
        <v>35</v>
      </c>
      <c r="BL483" s="230">
        <f t="shared" si="541"/>
        <v>48</v>
      </c>
      <c r="BM483" s="235">
        <f t="shared" si="542"/>
        <v>2.9108720930232557</v>
      </c>
      <c r="BN483" s="235" cm="1">
        <f t="array" ref="BN483">$BI483 * SUMPRODUCT(INDEX($AR$77:$AT$82,,$AI483),INDEX($AU$77:$BA$82,,$AH483), N($AQ$77:$AQ$82&gt;$AO483)) / BM483 / 1000</f>
        <v>0</v>
      </c>
      <c r="BO483" s="232">
        <f t="shared" si="567"/>
        <v>30</v>
      </c>
      <c r="BP483" s="230">
        <f t="shared" si="543"/>
        <v>43</v>
      </c>
      <c r="BQ483" s="235">
        <f t="shared" si="544"/>
        <v>3.2938815789473681</v>
      </c>
      <c r="BR483" s="235" cm="1">
        <f t="array" ref="BR483">$BI483 * IF($AH483&lt;=2,
SUMPRODUCT(INDEX($AR$72:$AT$76,,$AI483), INDEX($AU$72:$BA$76,,$AH483), 1 / ($BB$72:$BB$76*BQ483 + (1-$BB$72:$BB$76)*BM483), N($AQ$72:$AQ$76&gt;$AO483)),
SUMPRODUCT(INDEX($AR$67:$AT$76,,$AI483), INDEX($AU$67:$BA$76,,$AH483), 1 / ($BC$67:$BC$76*BQ483 + (1-$BC$67:$BC$76)*BM483), N($AQ$67:$AQ$76&gt;$AO483))
) / 1000</f>
        <v>0</v>
      </c>
      <c r="BS483" s="232">
        <f t="shared" si="568"/>
        <v>25</v>
      </c>
      <c r="BT483" s="230">
        <f t="shared" si="545"/>
        <v>38</v>
      </c>
      <c r="BU483" s="235">
        <f t="shared" si="546"/>
        <v>3.792954545454545</v>
      </c>
      <c r="BV483" s="235" cm="1">
        <f t="array" ref="BV483">$BI483 * IF($AH483&lt;=2,
SUMPRODUCT(INDEX($AR$67:$AT$71,,$AI483), INDEX($AU$67:$BA$71,,$AH483), 1 / ($BB$67:$BB$71*BU483 + (1-$BB$67:$BB$71)*BQ483), N($AQ$67:$AQ$71&gt;$AO483)),
SUMPRODUCT(INDEX($AR$57:$AT$66,,$AI483), INDEX($AU$57:$BA$66,,$AH483), 1 / ($BC$57:$BC$66*BU483 + (1-$BC$57:$BC$66)*BQ483), N($AQ$57:$AQ$66&gt;$AO483))
) / 1000</f>
        <v>0</v>
      </c>
      <c r="BW483" s="232">
        <f t="shared" si="569"/>
        <v>20</v>
      </c>
      <c r="BX483" s="230">
        <f t="shared" si="547"/>
        <v>33</v>
      </c>
      <c r="BY483" s="235">
        <f t="shared" si="548"/>
        <v>4.4702678571428569</v>
      </c>
      <c r="BZ483" s="235" cm="1">
        <f t="array" ref="BZ483">$BI483 * IF($AH483&lt;=2,
SUMPRODUCT(INDEX($AR$62:$AT$66,,$AI483), INDEX($AU$62:$BA$66,,$AH483), 1 / ($BB$62:$BB$66*BY483 + (1-$BB$62:$BB$66)*BU483), N($AQ$62:$AQ$66&gt;$AO483)),
SUMPRODUCT(INDEX($AR$47:$AT$56,,$AI483), INDEX($AU$47:$BA$56,,$AH483), 1 / ($BC$47:$BC$56*BY483 + (1-$BC$47:$BC$56)*BU483), N($AQ$47:$AQ$56&gt;$AO483))
) / 1000</f>
        <v>0</v>
      </c>
      <c r="CA483" s="235" cm="1">
        <f t="array" ref="CA483">$BI483 * IF($AH483&lt;=2,
SUMPRODUCT(INDEX($AR$23:$AT$61,,$AI483), INDEX($AU$23:$BA$61,,$AH483), 1 / ($BB$23:$BB$61*BY483), N($AQ$23:$AQ$61&gt;$AO483)),
SUMPRODUCT(INDEX($AR$23:$AT$46,,$AI483), INDEX($AU$23:$BA$46,,$AH483), 1 / ($BC$23:$BC$46*BY483), N($AQ$23:$AQ$46&gt;$AO483))
) / 1000</f>
        <v>0</v>
      </c>
      <c r="CB483" s="230">
        <f t="shared" si="549"/>
        <v>0</v>
      </c>
      <c r="CC483" s="238"/>
      <c r="CD483" s="229" cm="1">
        <f t="array" ref="CD483">IF(ISBLANK(Y483), INDEX(Use, $AH483, 4) - AN483*INDEX(Use, $AH483, 6) - (Q483-X483), Y483)</f>
        <v>7</v>
      </c>
      <c r="CE483" s="229">
        <f t="shared" si="550"/>
        <v>32</v>
      </c>
      <c r="CF483" s="230">
        <f t="shared" si="551"/>
        <v>0</v>
      </c>
      <c r="CG483" s="229">
        <v>35</v>
      </c>
      <c r="CH483" s="230">
        <f t="shared" si="552"/>
        <v>48</v>
      </c>
      <c r="CI483" s="235">
        <f t="shared" si="553"/>
        <v>3.0748170731707316</v>
      </c>
      <c r="CJ483" s="235" cm="1">
        <f t="array" ref="CJ483">$BI483 * SUMPRODUCT(INDEX($AR$77:$AT$82,,$AI483),INDEX($AU$77:$BA$82,,$AH483), N($AQ$77:$AQ$82&gt;$AO483)) / CI483 / 1000</f>
        <v>0</v>
      </c>
      <c r="CK483" s="232">
        <f t="shared" si="570"/>
        <v>30</v>
      </c>
      <c r="CL483" s="230">
        <f t="shared" si="554"/>
        <v>43</v>
      </c>
      <c r="CM483" s="235">
        <f t="shared" si="555"/>
        <v>3.5018750000000001</v>
      </c>
      <c r="CN483" s="235" cm="1">
        <f t="array" ref="CN483">$BI483 * IF($AH483&lt;=2,
SUMPRODUCT(INDEX($AR$72:$AT$76,,$AI483), INDEX($AU$72:$BA$76,,$AH483), 1 / ($BB$72:$BB$76*CM483 + (1-$BB$72:$BB$76)*CI483), N($AQ$72:$AQ$76&gt;$AO483)),
SUMPRODUCT(INDEX($AR$67:$AT$76,,$AI483), INDEX($AU$67:$BA$76,,$AH483), 1 / ($BC$67:$BC$76*CM483 + (1-$BC$67:$BC$76)*CI483), N($AQ$67:$AQ$76&gt;$AO483))
) / 1000</f>
        <v>0</v>
      </c>
      <c r="CO483" s="232">
        <f t="shared" si="571"/>
        <v>25</v>
      </c>
      <c r="CP483" s="230">
        <f t="shared" si="556"/>
        <v>38</v>
      </c>
      <c r="CQ483" s="235">
        <f t="shared" si="557"/>
        <v>4.0666935483870965</v>
      </c>
      <c r="CR483" s="235" cm="1">
        <f t="array" ref="CR483">$BI483 * IF($AH483&lt;=2,
SUMPRODUCT(INDEX($AR$67:$AT$71,,$AI483), INDEX($AU$67:$BA$71,,$AH483), 1 / ($BB$67:$BB$71*CQ483 + (1-$BB$67:$BB$71)*CM483), N($AQ$67:$AQ$71&gt;$AO483)),
SUMPRODUCT(INDEX($AR$57:$AT$66,,$AI483), INDEX($AU$57:$BA$66,,$AH483), 1 / ($BC$57:$BC$66*CQ483 + (1-$BC$57:$BC$66)*CM483), N($AQ$57:$AQ$66&gt;$AO483))
) / 1000</f>
        <v>0</v>
      </c>
      <c r="CS483" s="232">
        <f t="shared" si="572"/>
        <v>20</v>
      </c>
      <c r="CT483" s="230">
        <f t="shared" si="558"/>
        <v>33</v>
      </c>
      <c r="CU483" s="235">
        <f t="shared" si="559"/>
        <v>4.8487499999999999</v>
      </c>
      <c r="CV483" s="235" cm="1">
        <f t="array" ref="CV483">$BI483 * IF($AH483&lt;=2,
SUMPRODUCT(INDEX($AR$62:$AT$66,,$AI483), INDEX($AU$62:$BA$66,,$AH483), 1 / ($BB$62:$BB$66*CU483 + (1-$BB$62:$BB$66)*CQ483), N($AQ$62:$AQ$66&gt;$AO483)),
SUMPRODUCT(INDEX($AR$47:$AT$56,,$AI483), INDEX($AU$47:$BA$56,,$AH483), 1 / ($BC$47:$BC$56*CU483 + (1-$BC$47:$BC$56)*CQ483), N($AQ$47:$AQ$56&gt;$AO483))
) / 1000</f>
        <v>0</v>
      </c>
      <c r="CW483" s="235" cm="1">
        <f t="array" ref="CW483">$BI483 * IF($AH483&lt;=2,
SUMPRODUCT(INDEX($AR$23:$AT$61,,$AI483), INDEX($AU$23:$BA$61,,$AH483), 1 / ($BB$23:$BB$61*CU483), N($AQ$23:$AQ$61&gt;$AO483)),
SUMPRODUCT(INDEX($AR$23:$AT$46,,$AI483), INDEX($AU$23:$BA$46,,$AH483), 1 / ($BC$23:$BC$46*CU483), N($AQ$23:$AQ$46&gt;$AO483))
) / 1000</f>
        <v>0</v>
      </c>
      <c r="CX483" s="230">
        <f t="shared" si="560"/>
        <v>0</v>
      </c>
      <c r="CY483" s="238"/>
    </row>
    <row r="484" spans="1:103" s="76" customFormat="1" ht="14.25" customHeight="1" x14ac:dyDescent="0.2">
      <c r="A484" s="231" t="b">
        <f t="shared" si="564"/>
        <v>0</v>
      </c>
      <c r="B484" s="245">
        <v>462</v>
      </c>
      <c r="C484" s="258"/>
      <c r="D484" s="258"/>
      <c r="E484" s="246"/>
      <c r="F484" s="247" t="str">
        <f>IF(ISBLANK(E484), "", VLOOKUP(E484, Z!$A$2:$C$4127, 3, FALSE))</f>
        <v/>
      </c>
      <c r="G484" s="248"/>
      <c r="H484" s="248"/>
      <c r="I484" s="249"/>
      <c r="J484" s="250"/>
      <c r="K484" s="259"/>
      <c r="L484" s="260"/>
      <c r="M484" s="252" t="str" cm="1">
        <f t="array" ref="M484">INDEX(Trad, 53, $A$20)</f>
        <v>Verschmutzt</v>
      </c>
      <c r="N484" s="253"/>
      <c r="O484" s="253"/>
      <c r="P484" s="254"/>
      <c r="Q484" s="251"/>
      <c r="R484" s="251"/>
      <c r="S484" s="264">
        <f t="shared" si="535"/>
        <v>0</v>
      </c>
      <c r="T484" s="252" t="str" cm="1">
        <f t="array" ref="T484">INDEX(Trad, 52, $A$20)</f>
        <v>Sauber</v>
      </c>
      <c r="U484" s="253"/>
      <c r="V484" s="253"/>
      <c r="W484" s="254"/>
      <c r="X484" s="251"/>
      <c r="Y484" s="251"/>
      <c r="Z484" s="264">
        <f t="shared" si="536"/>
        <v>0</v>
      </c>
      <c r="AA484" s="261"/>
      <c r="AB484" s="258"/>
      <c r="AC484" s="246"/>
      <c r="AD484" s="247" t="str">
        <f>IF(ISBLANK(AC484), "", VLOOKUP(AC484, Z!$A$2:$C$4127, 3, FALSE))</f>
        <v/>
      </c>
      <c r="AE484" s="262"/>
      <c r="AF484" s="263">
        <f t="shared" si="537"/>
        <v>0</v>
      </c>
      <c r="AG484" s="238"/>
      <c r="AH484" s="229">
        <f t="shared" si="561"/>
        <v>1</v>
      </c>
      <c r="AI484" s="229">
        <f t="shared" si="562"/>
        <v>1</v>
      </c>
      <c r="AJ484" s="229">
        <f t="shared" si="563"/>
        <v>0</v>
      </c>
      <c r="AK484" s="229">
        <v>0</v>
      </c>
      <c r="AL484" s="229">
        <v>0</v>
      </c>
      <c r="AM484" s="229">
        <v>1</v>
      </c>
      <c r="AN484" s="229">
        <v>0</v>
      </c>
      <c r="AO484" s="229">
        <f t="shared" si="538"/>
        <v>-100</v>
      </c>
      <c r="AP484" s="238"/>
      <c r="AQ484" s="255"/>
      <c r="AR484" s="255"/>
      <c r="AS484" s="256"/>
      <c r="AT484" s="256"/>
      <c r="AU484" s="256"/>
      <c r="AV484" s="256"/>
      <c r="AW484" s="256"/>
      <c r="AX484" s="256"/>
      <c r="AY484" s="256"/>
      <c r="AZ484" s="256"/>
      <c r="BA484" s="256"/>
      <c r="BB484" s="256"/>
      <c r="BC484" s="256"/>
      <c r="BD484" s="238"/>
      <c r="BE484" s="229" cm="1">
        <f t="array" ref="BE484">IF(ISBLANK(R484), INDEX(Use, $AH484, 4) - AM484*INDEX(Use, $AH484, 6), R484)</f>
        <v>5</v>
      </c>
      <c r="BF484" s="229">
        <f t="shared" si="539"/>
        <v>30</v>
      </c>
      <c r="BG484" s="229">
        <f t="shared" si="565"/>
        <v>13</v>
      </c>
      <c r="BH484" s="229">
        <f t="shared" si="566"/>
        <v>0</v>
      </c>
      <c r="BI484" s="234" cm="1">
        <f t="array" ref="BI484">K484/IF($L484&gt;0, INDEX($AU$23:$BA$77, $L484+20, $AH484), 1)</f>
        <v>0</v>
      </c>
      <c r="BJ484" s="230">
        <f t="shared" si="540"/>
        <v>0</v>
      </c>
      <c r="BK484" s="229">
        <v>35</v>
      </c>
      <c r="BL484" s="230">
        <f t="shared" si="541"/>
        <v>48</v>
      </c>
      <c r="BM484" s="235">
        <f t="shared" si="542"/>
        <v>2.9108720930232557</v>
      </c>
      <c r="BN484" s="235" cm="1">
        <f t="array" ref="BN484">$BI484 * SUMPRODUCT(INDEX($AR$77:$AT$82,,$AI484),INDEX($AU$77:$BA$82,,$AH484), N($AQ$77:$AQ$82&gt;$AO484)) / BM484 / 1000</f>
        <v>0</v>
      </c>
      <c r="BO484" s="232">
        <f t="shared" si="567"/>
        <v>30</v>
      </c>
      <c r="BP484" s="230">
        <f t="shared" si="543"/>
        <v>43</v>
      </c>
      <c r="BQ484" s="235">
        <f t="shared" si="544"/>
        <v>3.2938815789473681</v>
      </c>
      <c r="BR484" s="235" cm="1">
        <f t="array" ref="BR484">$BI484 * IF($AH484&lt;=2,
SUMPRODUCT(INDEX($AR$72:$AT$76,,$AI484), INDEX($AU$72:$BA$76,,$AH484), 1 / ($BB$72:$BB$76*BQ484 + (1-$BB$72:$BB$76)*BM484), N($AQ$72:$AQ$76&gt;$AO484)),
SUMPRODUCT(INDEX($AR$67:$AT$76,,$AI484), INDEX($AU$67:$BA$76,,$AH484), 1 / ($BC$67:$BC$76*BQ484 + (1-$BC$67:$BC$76)*BM484), N($AQ$67:$AQ$76&gt;$AO484))
) / 1000</f>
        <v>0</v>
      </c>
      <c r="BS484" s="232">
        <f t="shared" si="568"/>
        <v>25</v>
      </c>
      <c r="BT484" s="230">
        <f t="shared" si="545"/>
        <v>38</v>
      </c>
      <c r="BU484" s="235">
        <f t="shared" si="546"/>
        <v>3.792954545454545</v>
      </c>
      <c r="BV484" s="235" cm="1">
        <f t="array" ref="BV484">$BI484 * IF($AH484&lt;=2,
SUMPRODUCT(INDEX($AR$67:$AT$71,,$AI484), INDEX($AU$67:$BA$71,,$AH484), 1 / ($BB$67:$BB$71*BU484 + (1-$BB$67:$BB$71)*BQ484), N($AQ$67:$AQ$71&gt;$AO484)),
SUMPRODUCT(INDEX($AR$57:$AT$66,,$AI484), INDEX($AU$57:$BA$66,,$AH484), 1 / ($BC$57:$BC$66*BU484 + (1-$BC$57:$BC$66)*BQ484), N($AQ$57:$AQ$66&gt;$AO484))
) / 1000</f>
        <v>0</v>
      </c>
      <c r="BW484" s="232">
        <f t="shared" si="569"/>
        <v>20</v>
      </c>
      <c r="BX484" s="230">
        <f t="shared" si="547"/>
        <v>33</v>
      </c>
      <c r="BY484" s="235">
        <f t="shared" si="548"/>
        <v>4.4702678571428569</v>
      </c>
      <c r="BZ484" s="235" cm="1">
        <f t="array" ref="BZ484">$BI484 * IF($AH484&lt;=2,
SUMPRODUCT(INDEX($AR$62:$AT$66,,$AI484), INDEX($AU$62:$BA$66,,$AH484), 1 / ($BB$62:$BB$66*BY484 + (1-$BB$62:$BB$66)*BU484), N($AQ$62:$AQ$66&gt;$AO484)),
SUMPRODUCT(INDEX($AR$47:$AT$56,,$AI484), INDEX($AU$47:$BA$56,,$AH484), 1 / ($BC$47:$BC$56*BY484 + (1-$BC$47:$BC$56)*BU484), N($AQ$47:$AQ$56&gt;$AO484))
) / 1000</f>
        <v>0</v>
      </c>
      <c r="CA484" s="235" cm="1">
        <f t="array" ref="CA484">$BI484 * IF($AH484&lt;=2,
SUMPRODUCT(INDEX($AR$23:$AT$61,,$AI484), INDEX($AU$23:$BA$61,,$AH484), 1 / ($BB$23:$BB$61*BY484), N($AQ$23:$AQ$61&gt;$AO484)),
SUMPRODUCT(INDEX($AR$23:$AT$46,,$AI484), INDEX($AU$23:$BA$46,,$AH484), 1 / ($BC$23:$BC$46*BY484), N($AQ$23:$AQ$46&gt;$AO484))
) / 1000</f>
        <v>0</v>
      </c>
      <c r="CB484" s="230">
        <f t="shared" si="549"/>
        <v>0</v>
      </c>
      <c r="CC484" s="238"/>
      <c r="CD484" s="229" cm="1">
        <f t="array" ref="CD484">IF(ISBLANK(Y484), INDEX(Use, $AH484, 4) - AN484*INDEX(Use, $AH484, 6) - (Q484-X484), Y484)</f>
        <v>7</v>
      </c>
      <c r="CE484" s="229">
        <f t="shared" si="550"/>
        <v>32</v>
      </c>
      <c r="CF484" s="230">
        <f t="shared" si="551"/>
        <v>0</v>
      </c>
      <c r="CG484" s="229">
        <v>35</v>
      </c>
      <c r="CH484" s="230">
        <f t="shared" si="552"/>
        <v>48</v>
      </c>
      <c r="CI484" s="235">
        <f t="shared" si="553"/>
        <v>3.0748170731707316</v>
      </c>
      <c r="CJ484" s="235" cm="1">
        <f t="array" ref="CJ484">$BI484 * SUMPRODUCT(INDEX($AR$77:$AT$82,,$AI484),INDEX($AU$77:$BA$82,,$AH484), N($AQ$77:$AQ$82&gt;$AO484)) / CI484 / 1000</f>
        <v>0</v>
      </c>
      <c r="CK484" s="232">
        <f t="shared" si="570"/>
        <v>30</v>
      </c>
      <c r="CL484" s="230">
        <f t="shared" si="554"/>
        <v>43</v>
      </c>
      <c r="CM484" s="235">
        <f t="shared" si="555"/>
        <v>3.5018750000000001</v>
      </c>
      <c r="CN484" s="235" cm="1">
        <f t="array" ref="CN484">$BI484 * IF($AH484&lt;=2,
SUMPRODUCT(INDEX($AR$72:$AT$76,,$AI484), INDEX($AU$72:$BA$76,,$AH484), 1 / ($BB$72:$BB$76*CM484 + (1-$BB$72:$BB$76)*CI484), N($AQ$72:$AQ$76&gt;$AO484)),
SUMPRODUCT(INDEX($AR$67:$AT$76,,$AI484), INDEX($AU$67:$BA$76,,$AH484), 1 / ($BC$67:$BC$76*CM484 + (1-$BC$67:$BC$76)*CI484), N($AQ$67:$AQ$76&gt;$AO484))
) / 1000</f>
        <v>0</v>
      </c>
      <c r="CO484" s="232">
        <f t="shared" si="571"/>
        <v>25</v>
      </c>
      <c r="CP484" s="230">
        <f t="shared" si="556"/>
        <v>38</v>
      </c>
      <c r="CQ484" s="235">
        <f t="shared" si="557"/>
        <v>4.0666935483870965</v>
      </c>
      <c r="CR484" s="235" cm="1">
        <f t="array" ref="CR484">$BI484 * IF($AH484&lt;=2,
SUMPRODUCT(INDEX($AR$67:$AT$71,,$AI484), INDEX($AU$67:$BA$71,,$AH484), 1 / ($BB$67:$BB$71*CQ484 + (1-$BB$67:$BB$71)*CM484), N($AQ$67:$AQ$71&gt;$AO484)),
SUMPRODUCT(INDEX($AR$57:$AT$66,,$AI484), INDEX($AU$57:$BA$66,,$AH484), 1 / ($BC$57:$BC$66*CQ484 + (1-$BC$57:$BC$66)*CM484), N($AQ$57:$AQ$66&gt;$AO484))
) / 1000</f>
        <v>0</v>
      </c>
      <c r="CS484" s="232">
        <f t="shared" si="572"/>
        <v>20</v>
      </c>
      <c r="CT484" s="230">
        <f t="shared" si="558"/>
        <v>33</v>
      </c>
      <c r="CU484" s="235">
        <f t="shared" si="559"/>
        <v>4.8487499999999999</v>
      </c>
      <c r="CV484" s="235" cm="1">
        <f t="array" ref="CV484">$BI484 * IF($AH484&lt;=2,
SUMPRODUCT(INDEX($AR$62:$AT$66,,$AI484), INDEX($AU$62:$BA$66,,$AH484), 1 / ($BB$62:$BB$66*CU484 + (1-$BB$62:$BB$66)*CQ484), N($AQ$62:$AQ$66&gt;$AO484)),
SUMPRODUCT(INDEX($AR$47:$AT$56,,$AI484), INDEX($AU$47:$BA$56,,$AH484), 1 / ($BC$47:$BC$56*CU484 + (1-$BC$47:$BC$56)*CQ484), N($AQ$47:$AQ$56&gt;$AO484))
) / 1000</f>
        <v>0</v>
      </c>
      <c r="CW484" s="235" cm="1">
        <f t="array" ref="CW484">$BI484 * IF($AH484&lt;=2,
SUMPRODUCT(INDEX($AR$23:$AT$61,,$AI484), INDEX($AU$23:$BA$61,,$AH484), 1 / ($BB$23:$BB$61*CU484), N($AQ$23:$AQ$61&gt;$AO484)),
SUMPRODUCT(INDEX($AR$23:$AT$46,,$AI484), INDEX($AU$23:$BA$46,,$AH484), 1 / ($BC$23:$BC$46*CU484), N($AQ$23:$AQ$46&gt;$AO484))
) / 1000</f>
        <v>0</v>
      </c>
      <c r="CX484" s="230">
        <f t="shared" si="560"/>
        <v>0</v>
      </c>
      <c r="CY484" s="238"/>
    </row>
    <row r="485" spans="1:103" s="76" customFormat="1" ht="14.25" customHeight="1" x14ac:dyDescent="0.2">
      <c r="A485" s="231" t="b">
        <f t="shared" si="564"/>
        <v>0</v>
      </c>
      <c r="B485" s="245">
        <v>463</v>
      </c>
      <c r="C485" s="258"/>
      <c r="D485" s="258"/>
      <c r="E485" s="246"/>
      <c r="F485" s="247" t="str">
        <f>IF(ISBLANK(E485), "", VLOOKUP(E485, Z!$A$2:$C$4127, 3, FALSE))</f>
        <v/>
      </c>
      <c r="G485" s="248"/>
      <c r="H485" s="248"/>
      <c r="I485" s="249"/>
      <c r="J485" s="250"/>
      <c r="K485" s="259"/>
      <c r="L485" s="260"/>
      <c r="M485" s="252" t="str" cm="1">
        <f t="array" ref="M485">INDEX(Trad, 53, $A$20)</f>
        <v>Verschmutzt</v>
      </c>
      <c r="N485" s="253"/>
      <c r="O485" s="253"/>
      <c r="P485" s="254"/>
      <c r="Q485" s="251"/>
      <c r="R485" s="251"/>
      <c r="S485" s="264">
        <f t="shared" si="535"/>
        <v>0</v>
      </c>
      <c r="T485" s="252" t="str" cm="1">
        <f t="array" ref="T485">INDEX(Trad, 52, $A$20)</f>
        <v>Sauber</v>
      </c>
      <c r="U485" s="253"/>
      <c r="V485" s="253"/>
      <c r="W485" s="254"/>
      <c r="X485" s="251"/>
      <c r="Y485" s="251"/>
      <c r="Z485" s="264">
        <f t="shared" si="536"/>
        <v>0</v>
      </c>
      <c r="AA485" s="261"/>
      <c r="AB485" s="258"/>
      <c r="AC485" s="246"/>
      <c r="AD485" s="247" t="str">
        <f>IF(ISBLANK(AC485), "", VLOOKUP(AC485, Z!$A$2:$C$4127, 3, FALSE))</f>
        <v/>
      </c>
      <c r="AE485" s="262"/>
      <c r="AF485" s="263">
        <f t="shared" si="537"/>
        <v>0</v>
      </c>
      <c r="AG485" s="238"/>
      <c r="AH485" s="229">
        <f t="shared" si="561"/>
        <v>1</v>
      </c>
      <c r="AI485" s="229">
        <f t="shared" si="562"/>
        <v>1</v>
      </c>
      <c r="AJ485" s="229">
        <f t="shared" si="563"/>
        <v>0</v>
      </c>
      <c r="AK485" s="229">
        <v>0</v>
      </c>
      <c r="AL485" s="229">
        <v>0</v>
      </c>
      <c r="AM485" s="229">
        <v>1</v>
      </c>
      <c r="AN485" s="229">
        <v>0</v>
      </c>
      <c r="AO485" s="229">
        <f t="shared" si="538"/>
        <v>-100</v>
      </c>
      <c r="AP485" s="238"/>
      <c r="AQ485" s="255"/>
      <c r="AR485" s="255"/>
      <c r="AS485" s="256"/>
      <c r="AT485" s="256"/>
      <c r="AU485" s="256"/>
      <c r="AV485" s="256"/>
      <c r="AW485" s="256"/>
      <c r="AX485" s="256"/>
      <c r="AY485" s="256"/>
      <c r="AZ485" s="256"/>
      <c r="BA485" s="256"/>
      <c r="BB485" s="256"/>
      <c r="BC485" s="256"/>
      <c r="BD485" s="238"/>
      <c r="BE485" s="229" cm="1">
        <f t="array" ref="BE485">IF(ISBLANK(R485), INDEX(Use, $AH485, 4) - AM485*INDEX(Use, $AH485, 6), R485)</f>
        <v>5</v>
      </c>
      <c r="BF485" s="229">
        <f t="shared" si="539"/>
        <v>30</v>
      </c>
      <c r="BG485" s="229">
        <f t="shared" si="565"/>
        <v>13</v>
      </c>
      <c r="BH485" s="229">
        <f t="shared" si="566"/>
        <v>0</v>
      </c>
      <c r="BI485" s="234" cm="1">
        <f t="array" ref="BI485">K485/IF($L485&gt;0, INDEX($AU$23:$BA$77, $L485+20, $AH485), 1)</f>
        <v>0</v>
      </c>
      <c r="BJ485" s="230">
        <f t="shared" si="540"/>
        <v>0</v>
      </c>
      <c r="BK485" s="229">
        <v>35</v>
      </c>
      <c r="BL485" s="230">
        <f t="shared" si="541"/>
        <v>48</v>
      </c>
      <c r="BM485" s="235">
        <f t="shared" si="542"/>
        <v>2.9108720930232557</v>
      </c>
      <c r="BN485" s="235" cm="1">
        <f t="array" ref="BN485">$BI485 * SUMPRODUCT(INDEX($AR$77:$AT$82,,$AI485),INDEX($AU$77:$BA$82,,$AH485), N($AQ$77:$AQ$82&gt;$AO485)) / BM485 / 1000</f>
        <v>0</v>
      </c>
      <c r="BO485" s="232">
        <f t="shared" si="567"/>
        <v>30</v>
      </c>
      <c r="BP485" s="230">
        <f t="shared" si="543"/>
        <v>43</v>
      </c>
      <c r="BQ485" s="235">
        <f t="shared" si="544"/>
        <v>3.2938815789473681</v>
      </c>
      <c r="BR485" s="235" cm="1">
        <f t="array" ref="BR485">$BI485 * IF($AH485&lt;=2,
SUMPRODUCT(INDEX($AR$72:$AT$76,,$AI485), INDEX($AU$72:$BA$76,,$AH485), 1 / ($BB$72:$BB$76*BQ485 + (1-$BB$72:$BB$76)*BM485), N($AQ$72:$AQ$76&gt;$AO485)),
SUMPRODUCT(INDEX($AR$67:$AT$76,,$AI485), INDEX($AU$67:$BA$76,,$AH485), 1 / ($BC$67:$BC$76*BQ485 + (1-$BC$67:$BC$76)*BM485), N($AQ$67:$AQ$76&gt;$AO485))
) / 1000</f>
        <v>0</v>
      </c>
      <c r="BS485" s="232">
        <f t="shared" si="568"/>
        <v>25</v>
      </c>
      <c r="BT485" s="230">
        <f t="shared" si="545"/>
        <v>38</v>
      </c>
      <c r="BU485" s="235">
        <f t="shared" si="546"/>
        <v>3.792954545454545</v>
      </c>
      <c r="BV485" s="235" cm="1">
        <f t="array" ref="BV485">$BI485 * IF($AH485&lt;=2,
SUMPRODUCT(INDEX($AR$67:$AT$71,,$AI485), INDEX($AU$67:$BA$71,,$AH485), 1 / ($BB$67:$BB$71*BU485 + (1-$BB$67:$BB$71)*BQ485), N($AQ$67:$AQ$71&gt;$AO485)),
SUMPRODUCT(INDEX($AR$57:$AT$66,,$AI485), INDEX($AU$57:$BA$66,,$AH485), 1 / ($BC$57:$BC$66*BU485 + (1-$BC$57:$BC$66)*BQ485), N($AQ$57:$AQ$66&gt;$AO485))
) / 1000</f>
        <v>0</v>
      </c>
      <c r="BW485" s="232">
        <f t="shared" si="569"/>
        <v>20</v>
      </c>
      <c r="BX485" s="230">
        <f t="shared" si="547"/>
        <v>33</v>
      </c>
      <c r="BY485" s="235">
        <f t="shared" si="548"/>
        <v>4.4702678571428569</v>
      </c>
      <c r="BZ485" s="235" cm="1">
        <f t="array" ref="BZ485">$BI485 * IF($AH485&lt;=2,
SUMPRODUCT(INDEX($AR$62:$AT$66,,$AI485), INDEX($AU$62:$BA$66,,$AH485), 1 / ($BB$62:$BB$66*BY485 + (1-$BB$62:$BB$66)*BU485), N($AQ$62:$AQ$66&gt;$AO485)),
SUMPRODUCT(INDEX($AR$47:$AT$56,,$AI485), INDEX($AU$47:$BA$56,,$AH485), 1 / ($BC$47:$BC$56*BY485 + (1-$BC$47:$BC$56)*BU485), N($AQ$47:$AQ$56&gt;$AO485))
) / 1000</f>
        <v>0</v>
      </c>
      <c r="CA485" s="235" cm="1">
        <f t="array" ref="CA485">$BI485 * IF($AH485&lt;=2,
SUMPRODUCT(INDEX($AR$23:$AT$61,,$AI485), INDEX($AU$23:$BA$61,,$AH485), 1 / ($BB$23:$BB$61*BY485), N($AQ$23:$AQ$61&gt;$AO485)),
SUMPRODUCT(INDEX($AR$23:$AT$46,,$AI485), INDEX($AU$23:$BA$46,,$AH485), 1 / ($BC$23:$BC$46*BY485), N($AQ$23:$AQ$46&gt;$AO485))
) / 1000</f>
        <v>0</v>
      </c>
      <c r="CB485" s="230">
        <f t="shared" si="549"/>
        <v>0</v>
      </c>
      <c r="CC485" s="238"/>
      <c r="CD485" s="229" cm="1">
        <f t="array" ref="CD485">IF(ISBLANK(Y485), INDEX(Use, $AH485, 4) - AN485*INDEX(Use, $AH485, 6) - (Q485-X485), Y485)</f>
        <v>7</v>
      </c>
      <c r="CE485" s="229">
        <f t="shared" si="550"/>
        <v>32</v>
      </c>
      <c r="CF485" s="230">
        <f t="shared" si="551"/>
        <v>0</v>
      </c>
      <c r="CG485" s="229">
        <v>35</v>
      </c>
      <c r="CH485" s="230">
        <f t="shared" si="552"/>
        <v>48</v>
      </c>
      <c r="CI485" s="235">
        <f t="shared" si="553"/>
        <v>3.0748170731707316</v>
      </c>
      <c r="CJ485" s="235" cm="1">
        <f t="array" ref="CJ485">$BI485 * SUMPRODUCT(INDEX($AR$77:$AT$82,,$AI485),INDEX($AU$77:$BA$82,,$AH485), N($AQ$77:$AQ$82&gt;$AO485)) / CI485 / 1000</f>
        <v>0</v>
      </c>
      <c r="CK485" s="232">
        <f t="shared" si="570"/>
        <v>30</v>
      </c>
      <c r="CL485" s="230">
        <f t="shared" si="554"/>
        <v>43</v>
      </c>
      <c r="CM485" s="235">
        <f t="shared" si="555"/>
        <v>3.5018750000000001</v>
      </c>
      <c r="CN485" s="235" cm="1">
        <f t="array" ref="CN485">$BI485 * IF($AH485&lt;=2,
SUMPRODUCT(INDEX($AR$72:$AT$76,,$AI485), INDEX($AU$72:$BA$76,,$AH485), 1 / ($BB$72:$BB$76*CM485 + (1-$BB$72:$BB$76)*CI485), N($AQ$72:$AQ$76&gt;$AO485)),
SUMPRODUCT(INDEX($AR$67:$AT$76,,$AI485), INDEX($AU$67:$BA$76,,$AH485), 1 / ($BC$67:$BC$76*CM485 + (1-$BC$67:$BC$76)*CI485), N($AQ$67:$AQ$76&gt;$AO485))
) / 1000</f>
        <v>0</v>
      </c>
      <c r="CO485" s="232">
        <f t="shared" si="571"/>
        <v>25</v>
      </c>
      <c r="CP485" s="230">
        <f t="shared" si="556"/>
        <v>38</v>
      </c>
      <c r="CQ485" s="235">
        <f t="shared" si="557"/>
        <v>4.0666935483870965</v>
      </c>
      <c r="CR485" s="235" cm="1">
        <f t="array" ref="CR485">$BI485 * IF($AH485&lt;=2,
SUMPRODUCT(INDEX($AR$67:$AT$71,,$AI485), INDEX($AU$67:$BA$71,,$AH485), 1 / ($BB$67:$BB$71*CQ485 + (1-$BB$67:$BB$71)*CM485), N($AQ$67:$AQ$71&gt;$AO485)),
SUMPRODUCT(INDEX($AR$57:$AT$66,,$AI485), INDEX($AU$57:$BA$66,,$AH485), 1 / ($BC$57:$BC$66*CQ485 + (1-$BC$57:$BC$66)*CM485), N($AQ$57:$AQ$66&gt;$AO485))
) / 1000</f>
        <v>0</v>
      </c>
      <c r="CS485" s="232">
        <f t="shared" si="572"/>
        <v>20</v>
      </c>
      <c r="CT485" s="230">
        <f t="shared" si="558"/>
        <v>33</v>
      </c>
      <c r="CU485" s="235">
        <f t="shared" si="559"/>
        <v>4.8487499999999999</v>
      </c>
      <c r="CV485" s="235" cm="1">
        <f t="array" ref="CV485">$BI485 * IF($AH485&lt;=2,
SUMPRODUCT(INDEX($AR$62:$AT$66,,$AI485), INDEX($AU$62:$BA$66,,$AH485), 1 / ($BB$62:$BB$66*CU485 + (1-$BB$62:$BB$66)*CQ485), N($AQ$62:$AQ$66&gt;$AO485)),
SUMPRODUCT(INDEX($AR$47:$AT$56,,$AI485), INDEX($AU$47:$BA$56,,$AH485), 1 / ($BC$47:$BC$56*CU485 + (1-$BC$47:$BC$56)*CQ485), N($AQ$47:$AQ$56&gt;$AO485))
) / 1000</f>
        <v>0</v>
      </c>
      <c r="CW485" s="235" cm="1">
        <f t="array" ref="CW485">$BI485 * IF($AH485&lt;=2,
SUMPRODUCT(INDEX($AR$23:$AT$61,,$AI485), INDEX($AU$23:$BA$61,,$AH485), 1 / ($BB$23:$BB$61*CU485), N($AQ$23:$AQ$61&gt;$AO485)),
SUMPRODUCT(INDEX($AR$23:$AT$46,,$AI485), INDEX($AU$23:$BA$46,,$AH485), 1 / ($BC$23:$BC$46*CU485), N($AQ$23:$AQ$46&gt;$AO485))
) / 1000</f>
        <v>0</v>
      </c>
      <c r="CX485" s="230">
        <f t="shared" si="560"/>
        <v>0</v>
      </c>
      <c r="CY485" s="238"/>
    </row>
    <row r="486" spans="1:103" s="76" customFormat="1" ht="14.25" customHeight="1" x14ac:dyDescent="0.2">
      <c r="A486" s="231" t="b">
        <f t="shared" si="564"/>
        <v>0</v>
      </c>
      <c r="B486" s="245">
        <v>464</v>
      </c>
      <c r="C486" s="258"/>
      <c r="D486" s="258"/>
      <c r="E486" s="246"/>
      <c r="F486" s="247" t="str">
        <f>IF(ISBLANK(E486), "", VLOOKUP(E486, Z!$A$2:$C$4127, 3, FALSE))</f>
        <v/>
      </c>
      <c r="G486" s="248"/>
      <c r="H486" s="248"/>
      <c r="I486" s="249"/>
      <c r="J486" s="250"/>
      <c r="K486" s="259"/>
      <c r="L486" s="260"/>
      <c r="M486" s="252" t="str" cm="1">
        <f t="array" ref="M486">INDEX(Trad, 53, $A$20)</f>
        <v>Verschmutzt</v>
      </c>
      <c r="N486" s="253"/>
      <c r="O486" s="253"/>
      <c r="P486" s="254"/>
      <c r="Q486" s="251"/>
      <c r="R486" s="251"/>
      <c r="S486" s="264">
        <f t="shared" si="535"/>
        <v>0</v>
      </c>
      <c r="T486" s="252" t="str" cm="1">
        <f t="array" ref="T486">INDEX(Trad, 52, $A$20)</f>
        <v>Sauber</v>
      </c>
      <c r="U486" s="253"/>
      <c r="V486" s="253"/>
      <c r="W486" s="254"/>
      <c r="X486" s="251"/>
      <c r="Y486" s="251"/>
      <c r="Z486" s="264">
        <f t="shared" si="536"/>
        <v>0</v>
      </c>
      <c r="AA486" s="261"/>
      <c r="AB486" s="258"/>
      <c r="AC486" s="246"/>
      <c r="AD486" s="247" t="str">
        <f>IF(ISBLANK(AC486), "", VLOOKUP(AC486, Z!$A$2:$C$4127, 3, FALSE))</f>
        <v/>
      </c>
      <c r="AE486" s="262"/>
      <c r="AF486" s="263">
        <f t="shared" si="537"/>
        <v>0</v>
      </c>
      <c r="AG486" s="238"/>
      <c r="AH486" s="229">
        <f t="shared" si="561"/>
        <v>1</v>
      </c>
      <c r="AI486" s="229">
        <f t="shared" si="562"/>
        <v>1</v>
      </c>
      <c r="AJ486" s="229">
        <f t="shared" si="563"/>
        <v>0</v>
      </c>
      <c r="AK486" s="229">
        <v>0</v>
      </c>
      <c r="AL486" s="229">
        <v>0</v>
      </c>
      <c r="AM486" s="229">
        <v>1</v>
      </c>
      <c r="AN486" s="229">
        <v>0</v>
      </c>
      <c r="AO486" s="229">
        <f t="shared" si="538"/>
        <v>-100</v>
      </c>
      <c r="AP486" s="238"/>
      <c r="AQ486" s="255"/>
      <c r="AR486" s="255"/>
      <c r="AS486" s="256"/>
      <c r="AT486" s="256"/>
      <c r="AU486" s="256"/>
      <c r="AV486" s="256"/>
      <c r="AW486" s="256"/>
      <c r="AX486" s="256"/>
      <c r="AY486" s="256"/>
      <c r="AZ486" s="256"/>
      <c r="BA486" s="256"/>
      <c r="BB486" s="256"/>
      <c r="BC486" s="256"/>
      <c r="BD486" s="238"/>
      <c r="BE486" s="229" cm="1">
        <f t="array" ref="BE486">IF(ISBLANK(R486), INDEX(Use, $AH486, 4) - AM486*INDEX(Use, $AH486, 6), R486)</f>
        <v>5</v>
      </c>
      <c r="BF486" s="229">
        <f t="shared" si="539"/>
        <v>30</v>
      </c>
      <c r="BG486" s="229">
        <f t="shared" si="565"/>
        <v>13</v>
      </c>
      <c r="BH486" s="229">
        <f t="shared" si="566"/>
        <v>0</v>
      </c>
      <c r="BI486" s="234" cm="1">
        <f t="array" ref="BI486">K486/IF($L486&gt;0, INDEX($AU$23:$BA$77, $L486+20, $AH486), 1)</f>
        <v>0</v>
      </c>
      <c r="BJ486" s="230">
        <f t="shared" si="540"/>
        <v>0</v>
      </c>
      <c r="BK486" s="229">
        <v>35</v>
      </c>
      <c r="BL486" s="230">
        <f t="shared" si="541"/>
        <v>48</v>
      </c>
      <c r="BM486" s="235">
        <f t="shared" si="542"/>
        <v>2.9108720930232557</v>
      </c>
      <c r="BN486" s="235" cm="1">
        <f t="array" ref="BN486">$BI486 * SUMPRODUCT(INDEX($AR$77:$AT$82,,$AI486),INDEX($AU$77:$BA$82,,$AH486), N($AQ$77:$AQ$82&gt;$AO486)) / BM486 / 1000</f>
        <v>0</v>
      </c>
      <c r="BO486" s="232">
        <f t="shared" si="567"/>
        <v>30</v>
      </c>
      <c r="BP486" s="230">
        <f t="shared" si="543"/>
        <v>43</v>
      </c>
      <c r="BQ486" s="235">
        <f t="shared" si="544"/>
        <v>3.2938815789473681</v>
      </c>
      <c r="BR486" s="235" cm="1">
        <f t="array" ref="BR486">$BI486 * IF($AH486&lt;=2,
SUMPRODUCT(INDEX($AR$72:$AT$76,,$AI486), INDEX($AU$72:$BA$76,,$AH486), 1 / ($BB$72:$BB$76*BQ486 + (1-$BB$72:$BB$76)*BM486), N($AQ$72:$AQ$76&gt;$AO486)),
SUMPRODUCT(INDEX($AR$67:$AT$76,,$AI486), INDEX($AU$67:$BA$76,,$AH486), 1 / ($BC$67:$BC$76*BQ486 + (1-$BC$67:$BC$76)*BM486), N($AQ$67:$AQ$76&gt;$AO486))
) / 1000</f>
        <v>0</v>
      </c>
      <c r="BS486" s="232">
        <f t="shared" si="568"/>
        <v>25</v>
      </c>
      <c r="BT486" s="230">
        <f t="shared" si="545"/>
        <v>38</v>
      </c>
      <c r="BU486" s="235">
        <f t="shared" si="546"/>
        <v>3.792954545454545</v>
      </c>
      <c r="BV486" s="235" cm="1">
        <f t="array" ref="BV486">$BI486 * IF($AH486&lt;=2,
SUMPRODUCT(INDEX($AR$67:$AT$71,,$AI486), INDEX($AU$67:$BA$71,,$AH486), 1 / ($BB$67:$BB$71*BU486 + (1-$BB$67:$BB$71)*BQ486), N($AQ$67:$AQ$71&gt;$AO486)),
SUMPRODUCT(INDEX($AR$57:$AT$66,,$AI486), INDEX($AU$57:$BA$66,,$AH486), 1 / ($BC$57:$BC$66*BU486 + (1-$BC$57:$BC$66)*BQ486), N($AQ$57:$AQ$66&gt;$AO486))
) / 1000</f>
        <v>0</v>
      </c>
      <c r="BW486" s="232">
        <f t="shared" si="569"/>
        <v>20</v>
      </c>
      <c r="BX486" s="230">
        <f t="shared" si="547"/>
        <v>33</v>
      </c>
      <c r="BY486" s="235">
        <f t="shared" si="548"/>
        <v>4.4702678571428569</v>
      </c>
      <c r="BZ486" s="235" cm="1">
        <f t="array" ref="BZ486">$BI486 * IF($AH486&lt;=2,
SUMPRODUCT(INDEX($AR$62:$AT$66,,$AI486), INDEX($AU$62:$BA$66,,$AH486), 1 / ($BB$62:$BB$66*BY486 + (1-$BB$62:$BB$66)*BU486), N($AQ$62:$AQ$66&gt;$AO486)),
SUMPRODUCT(INDEX($AR$47:$AT$56,,$AI486), INDEX($AU$47:$BA$56,,$AH486), 1 / ($BC$47:$BC$56*BY486 + (1-$BC$47:$BC$56)*BU486), N($AQ$47:$AQ$56&gt;$AO486))
) / 1000</f>
        <v>0</v>
      </c>
      <c r="CA486" s="235" cm="1">
        <f t="array" ref="CA486">$BI486 * IF($AH486&lt;=2,
SUMPRODUCT(INDEX($AR$23:$AT$61,,$AI486), INDEX($AU$23:$BA$61,,$AH486), 1 / ($BB$23:$BB$61*BY486), N($AQ$23:$AQ$61&gt;$AO486)),
SUMPRODUCT(INDEX($AR$23:$AT$46,,$AI486), INDEX($AU$23:$BA$46,,$AH486), 1 / ($BC$23:$BC$46*BY486), N($AQ$23:$AQ$46&gt;$AO486))
) / 1000</f>
        <v>0</v>
      </c>
      <c r="CB486" s="230">
        <f t="shared" si="549"/>
        <v>0</v>
      </c>
      <c r="CC486" s="238"/>
      <c r="CD486" s="229" cm="1">
        <f t="array" ref="CD486">IF(ISBLANK(Y486), INDEX(Use, $AH486, 4) - AN486*INDEX(Use, $AH486, 6) - (Q486-X486), Y486)</f>
        <v>7</v>
      </c>
      <c r="CE486" s="229">
        <f t="shared" si="550"/>
        <v>32</v>
      </c>
      <c r="CF486" s="230">
        <f t="shared" si="551"/>
        <v>0</v>
      </c>
      <c r="CG486" s="229">
        <v>35</v>
      </c>
      <c r="CH486" s="230">
        <f t="shared" si="552"/>
        <v>48</v>
      </c>
      <c r="CI486" s="235">
        <f t="shared" si="553"/>
        <v>3.0748170731707316</v>
      </c>
      <c r="CJ486" s="235" cm="1">
        <f t="array" ref="CJ486">$BI486 * SUMPRODUCT(INDEX($AR$77:$AT$82,,$AI486),INDEX($AU$77:$BA$82,,$AH486), N($AQ$77:$AQ$82&gt;$AO486)) / CI486 / 1000</f>
        <v>0</v>
      </c>
      <c r="CK486" s="232">
        <f t="shared" si="570"/>
        <v>30</v>
      </c>
      <c r="CL486" s="230">
        <f t="shared" si="554"/>
        <v>43</v>
      </c>
      <c r="CM486" s="235">
        <f t="shared" si="555"/>
        <v>3.5018750000000001</v>
      </c>
      <c r="CN486" s="235" cm="1">
        <f t="array" ref="CN486">$BI486 * IF($AH486&lt;=2,
SUMPRODUCT(INDEX($AR$72:$AT$76,,$AI486), INDEX($AU$72:$BA$76,,$AH486), 1 / ($BB$72:$BB$76*CM486 + (1-$BB$72:$BB$76)*CI486), N($AQ$72:$AQ$76&gt;$AO486)),
SUMPRODUCT(INDEX($AR$67:$AT$76,,$AI486), INDEX($AU$67:$BA$76,,$AH486), 1 / ($BC$67:$BC$76*CM486 + (1-$BC$67:$BC$76)*CI486), N($AQ$67:$AQ$76&gt;$AO486))
) / 1000</f>
        <v>0</v>
      </c>
      <c r="CO486" s="232">
        <f t="shared" si="571"/>
        <v>25</v>
      </c>
      <c r="CP486" s="230">
        <f t="shared" si="556"/>
        <v>38</v>
      </c>
      <c r="CQ486" s="235">
        <f t="shared" si="557"/>
        <v>4.0666935483870965</v>
      </c>
      <c r="CR486" s="235" cm="1">
        <f t="array" ref="CR486">$BI486 * IF($AH486&lt;=2,
SUMPRODUCT(INDEX($AR$67:$AT$71,,$AI486), INDEX($AU$67:$BA$71,,$AH486), 1 / ($BB$67:$BB$71*CQ486 + (1-$BB$67:$BB$71)*CM486), N($AQ$67:$AQ$71&gt;$AO486)),
SUMPRODUCT(INDEX($AR$57:$AT$66,,$AI486), INDEX($AU$57:$BA$66,,$AH486), 1 / ($BC$57:$BC$66*CQ486 + (1-$BC$57:$BC$66)*CM486), N($AQ$57:$AQ$66&gt;$AO486))
) / 1000</f>
        <v>0</v>
      </c>
      <c r="CS486" s="232">
        <f t="shared" si="572"/>
        <v>20</v>
      </c>
      <c r="CT486" s="230">
        <f t="shared" si="558"/>
        <v>33</v>
      </c>
      <c r="CU486" s="235">
        <f t="shared" si="559"/>
        <v>4.8487499999999999</v>
      </c>
      <c r="CV486" s="235" cm="1">
        <f t="array" ref="CV486">$BI486 * IF($AH486&lt;=2,
SUMPRODUCT(INDEX($AR$62:$AT$66,,$AI486), INDEX($AU$62:$BA$66,,$AH486), 1 / ($BB$62:$BB$66*CU486 + (1-$BB$62:$BB$66)*CQ486), N($AQ$62:$AQ$66&gt;$AO486)),
SUMPRODUCT(INDEX($AR$47:$AT$56,,$AI486), INDEX($AU$47:$BA$56,,$AH486), 1 / ($BC$47:$BC$56*CU486 + (1-$BC$47:$BC$56)*CQ486), N($AQ$47:$AQ$56&gt;$AO486))
) / 1000</f>
        <v>0</v>
      </c>
      <c r="CW486" s="235" cm="1">
        <f t="array" ref="CW486">$BI486 * IF($AH486&lt;=2,
SUMPRODUCT(INDEX($AR$23:$AT$61,,$AI486), INDEX($AU$23:$BA$61,,$AH486), 1 / ($BB$23:$BB$61*CU486), N($AQ$23:$AQ$61&gt;$AO486)),
SUMPRODUCT(INDEX($AR$23:$AT$46,,$AI486), INDEX($AU$23:$BA$46,,$AH486), 1 / ($BC$23:$BC$46*CU486), N($AQ$23:$AQ$46&gt;$AO486))
) / 1000</f>
        <v>0</v>
      </c>
      <c r="CX486" s="230">
        <f t="shared" si="560"/>
        <v>0</v>
      </c>
      <c r="CY486" s="238"/>
    </row>
    <row r="487" spans="1:103" s="76" customFormat="1" ht="14.25" customHeight="1" x14ac:dyDescent="0.2">
      <c r="A487" s="231" t="b">
        <f t="shared" si="564"/>
        <v>0</v>
      </c>
      <c r="B487" s="245">
        <v>465</v>
      </c>
      <c r="C487" s="258"/>
      <c r="D487" s="258"/>
      <c r="E487" s="246"/>
      <c r="F487" s="247" t="str">
        <f>IF(ISBLANK(E487), "", VLOOKUP(E487, Z!$A$2:$C$4127, 3, FALSE))</f>
        <v/>
      </c>
      <c r="G487" s="248"/>
      <c r="H487" s="248"/>
      <c r="I487" s="249"/>
      <c r="J487" s="250"/>
      <c r="K487" s="259"/>
      <c r="L487" s="260"/>
      <c r="M487" s="252" t="str" cm="1">
        <f t="array" ref="M487">INDEX(Trad, 53, $A$20)</f>
        <v>Verschmutzt</v>
      </c>
      <c r="N487" s="253"/>
      <c r="O487" s="253"/>
      <c r="P487" s="254"/>
      <c r="Q487" s="251"/>
      <c r="R487" s="251"/>
      <c r="S487" s="264">
        <f t="shared" si="535"/>
        <v>0</v>
      </c>
      <c r="T487" s="252" t="str" cm="1">
        <f t="array" ref="T487">INDEX(Trad, 52, $A$20)</f>
        <v>Sauber</v>
      </c>
      <c r="U487" s="253"/>
      <c r="V487" s="253"/>
      <c r="W487" s="254"/>
      <c r="X487" s="251"/>
      <c r="Y487" s="251"/>
      <c r="Z487" s="264">
        <f t="shared" si="536"/>
        <v>0</v>
      </c>
      <c r="AA487" s="261"/>
      <c r="AB487" s="258"/>
      <c r="AC487" s="246"/>
      <c r="AD487" s="247" t="str">
        <f>IF(ISBLANK(AC487), "", VLOOKUP(AC487, Z!$A$2:$C$4127, 3, FALSE))</f>
        <v/>
      </c>
      <c r="AE487" s="262"/>
      <c r="AF487" s="263">
        <f t="shared" si="537"/>
        <v>0</v>
      </c>
      <c r="AG487" s="238"/>
      <c r="AH487" s="229">
        <f t="shared" si="561"/>
        <v>1</v>
      </c>
      <c r="AI487" s="229">
        <f t="shared" si="562"/>
        <v>1</v>
      </c>
      <c r="AJ487" s="229">
        <f t="shared" si="563"/>
        <v>0</v>
      </c>
      <c r="AK487" s="229">
        <v>0</v>
      </c>
      <c r="AL487" s="229">
        <v>0</v>
      </c>
      <c r="AM487" s="229">
        <v>1</v>
      </c>
      <c r="AN487" s="229">
        <v>0</v>
      </c>
      <c r="AO487" s="229">
        <f t="shared" si="538"/>
        <v>-100</v>
      </c>
      <c r="AP487" s="238"/>
      <c r="AQ487" s="255"/>
      <c r="AR487" s="255"/>
      <c r="AS487" s="256"/>
      <c r="AT487" s="256"/>
      <c r="AU487" s="256"/>
      <c r="AV487" s="256"/>
      <c r="AW487" s="256"/>
      <c r="AX487" s="256"/>
      <c r="AY487" s="256"/>
      <c r="AZ487" s="256"/>
      <c r="BA487" s="256"/>
      <c r="BB487" s="256"/>
      <c r="BC487" s="256"/>
      <c r="BD487" s="238"/>
      <c r="BE487" s="229" cm="1">
        <f t="array" ref="BE487">IF(ISBLANK(R487), INDEX(Use, $AH487, 4) - AM487*INDEX(Use, $AH487, 6), R487)</f>
        <v>5</v>
      </c>
      <c r="BF487" s="229">
        <f t="shared" si="539"/>
        <v>30</v>
      </c>
      <c r="BG487" s="229">
        <f t="shared" si="565"/>
        <v>13</v>
      </c>
      <c r="BH487" s="229">
        <f t="shared" si="566"/>
        <v>0</v>
      </c>
      <c r="BI487" s="234" cm="1">
        <f t="array" ref="BI487">K487/IF($L487&gt;0, INDEX($AU$23:$BA$77, $L487+20, $AH487), 1)</f>
        <v>0</v>
      </c>
      <c r="BJ487" s="230">
        <f t="shared" si="540"/>
        <v>0</v>
      </c>
      <c r="BK487" s="229">
        <v>35</v>
      </c>
      <c r="BL487" s="230">
        <f t="shared" si="541"/>
        <v>48</v>
      </c>
      <c r="BM487" s="235">
        <f t="shared" si="542"/>
        <v>2.9108720930232557</v>
      </c>
      <c r="BN487" s="235" cm="1">
        <f t="array" ref="BN487">$BI487 * SUMPRODUCT(INDEX($AR$77:$AT$82,,$AI487),INDEX($AU$77:$BA$82,,$AH487), N($AQ$77:$AQ$82&gt;$AO487)) / BM487 / 1000</f>
        <v>0</v>
      </c>
      <c r="BO487" s="232">
        <f t="shared" si="567"/>
        <v>30</v>
      </c>
      <c r="BP487" s="230">
        <f t="shared" si="543"/>
        <v>43</v>
      </c>
      <c r="BQ487" s="235">
        <f t="shared" si="544"/>
        <v>3.2938815789473681</v>
      </c>
      <c r="BR487" s="235" cm="1">
        <f t="array" ref="BR487">$BI487 * IF($AH487&lt;=2,
SUMPRODUCT(INDEX($AR$72:$AT$76,,$AI487), INDEX($AU$72:$BA$76,,$AH487), 1 / ($BB$72:$BB$76*BQ487 + (1-$BB$72:$BB$76)*BM487), N($AQ$72:$AQ$76&gt;$AO487)),
SUMPRODUCT(INDEX($AR$67:$AT$76,,$AI487), INDEX($AU$67:$BA$76,,$AH487), 1 / ($BC$67:$BC$76*BQ487 + (1-$BC$67:$BC$76)*BM487), N($AQ$67:$AQ$76&gt;$AO487))
) / 1000</f>
        <v>0</v>
      </c>
      <c r="BS487" s="232">
        <f t="shared" si="568"/>
        <v>25</v>
      </c>
      <c r="BT487" s="230">
        <f t="shared" si="545"/>
        <v>38</v>
      </c>
      <c r="BU487" s="235">
        <f t="shared" si="546"/>
        <v>3.792954545454545</v>
      </c>
      <c r="BV487" s="235" cm="1">
        <f t="array" ref="BV487">$BI487 * IF($AH487&lt;=2,
SUMPRODUCT(INDEX($AR$67:$AT$71,,$AI487), INDEX($AU$67:$BA$71,,$AH487), 1 / ($BB$67:$BB$71*BU487 + (1-$BB$67:$BB$71)*BQ487), N($AQ$67:$AQ$71&gt;$AO487)),
SUMPRODUCT(INDEX($AR$57:$AT$66,,$AI487), INDEX($AU$57:$BA$66,,$AH487), 1 / ($BC$57:$BC$66*BU487 + (1-$BC$57:$BC$66)*BQ487), N($AQ$57:$AQ$66&gt;$AO487))
) / 1000</f>
        <v>0</v>
      </c>
      <c r="BW487" s="232">
        <f t="shared" si="569"/>
        <v>20</v>
      </c>
      <c r="BX487" s="230">
        <f t="shared" si="547"/>
        <v>33</v>
      </c>
      <c r="BY487" s="235">
        <f t="shared" si="548"/>
        <v>4.4702678571428569</v>
      </c>
      <c r="BZ487" s="235" cm="1">
        <f t="array" ref="BZ487">$BI487 * IF($AH487&lt;=2,
SUMPRODUCT(INDEX($AR$62:$AT$66,,$AI487), INDEX($AU$62:$BA$66,,$AH487), 1 / ($BB$62:$BB$66*BY487 + (1-$BB$62:$BB$66)*BU487), N($AQ$62:$AQ$66&gt;$AO487)),
SUMPRODUCT(INDEX($AR$47:$AT$56,,$AI487), INDEX($AU$47:$BA$56,,$AH487), 1 / ($BC$47:$BC$56*BY487 + (1-$BC$47:$BC$56)*BU487), N($AQ$47:$AQ$56&gt;$AO487))
) / 1000</f>
        <v>0</v>
      </c>
      <c r="CA487" s="235" cm="1">
        <f t="array" ref="CA487">$BI487 * IF($AH487&lt;=2,
SUMPRODUCT(INDEX($AR$23:$AT$61,,$AI487), INDEX($AU$23:$BA$61,,$AH487), 1 / ($BB$23:$BB$61*BY487), N($AQ$23:$AQ$61&gt;$AO487)),
SUMPRODUCT(INDEX($AR$23:$AT$46,,$AI487), INDEX($AU$23:$BA$46,,$AH487), 1 / ($BC$23:$BC$46*BY487), N($AQ$23:$AQ$46&gt;$AO487))
) / 1000</f>
        <v>0</v>
      </c>
      <c r="CB487" s="230">
        <f t="shared" si="549"/>
        <v>0</v>
      </c>
      <c r="CC487" s="238"/>
      <c r="CD487" s="229" cm="1">
        <f t="array" ref="CD487">IF(ISBLANK(Y487), INDEX(Use, $AH487, 4) - AN487*INDEX(Use, $AH487, 6) - (Q487-X487), Y487)</f>
        <v>7</v>
      </c>
      <c r="CE487" s="229">
        <f t="shared" si="550"/>
        <v>32</v>
      </c>
      <c r="CF487" s="230">
        <f t="shared" si="551"/>
        <v>0</v>
      </c>
      <c r="CG487" s="229">
        <v>35</v>
      </c>
      <c r="CH487" s="230">
        <f t="shared" si="552"/>
        <v>48</v>
      </c>
      <c r="CI487" s="235">
        <f t="shared" si="553"/>
        <v>3.0748170731707316</v>
      </c>
      <c r="CJ487" s="235" cm="1">
        <f t="array" ref="CJ487">$BI487 * SUMPRODUCT(INDEX($AR$77:$AT$82,,$AI487),INDEX($AU$77:$BA$82,,$AH487), N($AQ$77:$AQ$82&gt;$AO487)) / CI487 / 1000</f>
        <v>0</v>
      </c>
      <c r="CK487" s="232">
        <f t="shared" si="570"/>
        <v>30</v>
      </c>
      <c r="CL487" s="230">
        <f t="shared" si="554"/>
        <v>43</v>
      </c>
      <c r="CM487" s="235">
        <f t="shared" si="555"/>
        <v>3.5018750000000001</v>
      </c>
      <c r="CN487" s="235" cm="1">
        <f t="array" ref="CN487">$BI487 * IF($AH487&lt;=2,
SUMPRODUCT(INDEX($AR$72:$AT$76,,$AI487), INDEX($AU$72:$BA$76,,$AH487), 1 / ($BB$72:$BB$76*CM487 + (1-$BB$72:$BB$76)*CI487), N($AQ$72:$AQ$76&gt;$AO487)),
SUMPRODUCT(INDEX($AR$67:$AT$76,,$AI487), INDEX($AU$67:$BA$76,,$AH487), 1 / ($BC$67:$BC$76*CM487 + (1-$BC$67:$BC$76)*CI487), N($AQ$67:$AQ$76&gt;$AO487))
) / 1000</f>
        <v>0</v>
      </c>
      <c r="CO487" s="232">
        <f t="shared" si="571"/>
        <v>25</v>
      </c>
      <c r="CP487" s="230">
        <f t="shared" si="556"/>
        <v>38</v>
      </c>
      <c r="CQ487" s="235">
        <f t="shared" si="557"/>
        <v>4.0666935483870965</v>
      </c>
      <c r="CR487" s="235" cm="1">
        <f t="array" ref="CR487">$BI487 * IF($AH487&lt;=2,
SUMPRODUCT(INDEX($AR$67:$AT$71,,$AI487), INDEX($AU$67:$BA$71,,$AH487), 1 / ($BB$67:$BB$71*CQ487 + (1-$BB$67:$BB$71)*CM487), N($AQ$67:$AQ$71&gt;$AO487)),
SUMPRODUCT(INDEX($AR$57:$AT$66,,$AI487), INDEX($AU$57:$BA$66,,$AH487), 1 / ($BC$57:$BC$66*CQ487 + (1-$BC$57:$BC$66)*CM487), N($AQ$57:$AQ$66&gt;$AO487))
) / 1000</f>
        <v>0</v>
      </c>
      <c r="CS487" s="232">
        <f t="shared" si="572"/>
        <v>20</v>
      </c>
      <c r="CT487" s="230">
        <f t="shared" si="558"/>
        <v>33</v>
      </c>
      <c r="CU487" s="235">
        <f t="shared" si="559"/>
        <v>4.8487499999999999</v>
      </c>
      <c r="CV487" s="235" cm="1">
        <f t="array" ref="CV487">$BI487 * IF($AH487&lt;=2,
SUMPRODUCT(INDEX($AR$62:$AT$66,,$AI487), INDEX($AU$62:$BA$66,,$AH487), 1 / ($BB$62:$BB$66*CU487 + (1-$BB$62:$BB$66)*CQ487), N($AQ$62:$AQ$66&gt;$AO487)),
SUMPRODUCT(INDEX($AR$47:$AT$56,,$AI487), INDEX($AU$47:$BA$56,,$AH487), 1 / ($BC$47:$BC$56*CU487 + (1-$BC$47:$BC$56)*CQ487), N($AQ$47:$AQ$56&gt;$AO487))
) / 1000</f>
        <v>0</v>
      </c>
      <c r="CW487" s="235" cm="1">
        <f t="array" ref="CW487">$BI487 * IF($AH487&lt;=2,
SUMPRODUCT(INDEX($AR$23:$AT$61,,$AI487), INDEX($AU$23:$BA$61,,$AH487), 1 / ($BB$23:$BB$61*CU487), N($AQ$23:$AQ$61&gt;$AO487)),
SUMPRODUCT(INDEX($AR$23:$AT$46,,$AI487), INDEX($AU$23:$BA$46,,$AH487), 1 / ($BC$23:$BC$46*CU487), N($AQ$23:$AQ$46&gt;$AO487))
) / 1000</f>
        <v>0</v>
      </c>
      <c r="CX487" s="230">
        <f t="shared" si="560"/>
        <v>0</v>
      </c>
      <c r="CY487" s="238"/>
    </row>
    <row r="488" spans="1:103" s="76" customFormat="1" ht="14.25" customHeight="1" x14ac:dyDescent="0.2">
      <c r="A488" s="231" t="b">
        <f t="shared" si="564"/>
        <v>0</v>
      </c>
      <c r="B488" s="245">
        <v>466</v>
      </c>
      <c r="C488" s="258"/>
      <c r="D488" s="258"/>
      <c r="E488" s="246"/>
      <c r="F488" s="247" t="str">
        <f>IF(ISBLANK(E488), "", VLOOKUP(E488, Z!$A$2:$C$4127, 3, FALSE))</f>
        <v/>
      </c>
      <c r="G488" s="248"/>
      <c r="H488" s="248"/>
      <c r="I488" s="249"/>
      <c r="J488" s="250"/>
      <c r="K488" s="259"/>
      <c r="L488" s="260"/>
      <c r="M488" s="252" t="str" cm="1">
        <f t="array" ref="M488">INDEX(Trad, 53, $A$20)</f>
        <v>Verschmutzt</v>
      </c>
      <c r="N488" s="253"/>
      <c r="O488" s="253"/>
      <c r="P488" s="254"/>
      <c r="Q488" s="251"/>
      <c r="R488" s="251"/>
      <c r="S488" s="264">
        <f t="shared" si="535"/>
        <v>0</v>
      </c>
      <c r="T488" s="252" t="str" cm="1">
        <f t="array" ref="T488">INDEX(Trad, 52, $A$20)</f>
        <v>Sauber</v>
      </c>
      <c r="U488" s="253"/>
      <c r="V488" s="253"/>
      <c r="W488" s="254"/>
      <c r="X488" s="251"/>
      <c r="Y488" s="251"/>
      <c r="Z488" s="264">
        <f t="shared" si="536"/>
        <v>0</v>
      </c>
      <c r="AA488" s="261"/>
      <c r="AB488" s="258"/>
      <c r="AC488" s="246"/>
      <c r="AD488" s="247" t="str">
        <f>IF(ISBLANK(AC488), "", VLOOKUP(AC488, Z!$A$2:$C$4127, 3, FALSE))</f>
        <v/>
      </c>
      <c r="AE488" s="262"/>
      <c r="AF488" s="263">
        <f t="shared" si="537"/>
        <v>0</v>
      </c>
      <c r="AG488" s="238"/>
      <c r="AH488" s="229">
        <f t="shared" si="561"/>
        <v>1</v>
      </c>
      <c r="AI488" s="229">
        <f t="shared" si="562"/>
        <v>1</v>
      </c>
      <c r="AJ488" s="229">
        <f t="shared" si="563"/>
        <v>0</v>
      </c>
      <c r="AK488" s="229">
        <v>0</v>
      </c>
      <c r="AL488" s="229">
        <v>0</v>
      </c>
      <c r="AM488" s="229">
        <v>1</v>
      </c>
      <c r="AN488" s="229">
        <v>0</v>
      </c>
      <c r="AO488" s="229">
        <f t="shared" si="538"/>
        <v>-100</v>
      </c>
      <c r="AP488" s="238"/>
      <c r="AQ488" s="255"/>
      <c r="AR488" s="255"/>
      <c r="AS488" s="256"/>
      <c r="AT488" s="256"/>
      <c r="AU488" s="256"/>
      <c r="AV488" s="256"/>
      <c r="AW488" s="256"/>
      <c r="AX488" s="256"/>
      <c r="AY488" s="256"/>
      <c r="AZ488" s="256"/>
      <c r="BA488" s="256"/>
      <c r="BB488" s="256"/>
      <c r="BC488" s="256"/>
      <c r="BD488" s="238"/>
      <c r="BE488" s="229" cm="1">
        <f t="array" ref="BE488">IF(ISBLANK(R488), INDEX(Use, $AH488, 4) - AM488*INDEX(Use, $AH488, 6), R488)</f>
        <v>5</v>
      </c>
      <c r="BF488" s="229">
        <f t="shared" si="539"/>
        <v>30</v>
      </c>
      <c r="BG488" s="229">
        <f t="shared" si="565"/>
        <v>13</v>
      </c>
      <c r="BH488" s="229">
        <f t="shared" si="566"/>
        <v>0</v>
      </c>
      <c r="BI488" s="234" cm="1">
        <f t="array" ref="BI488">K488/IF($L488&gt;0, INDEX($AU$23:$BA$77, $L488+20, $AH488), 1)</f>
        <v>0</v>
      </c>
      <c r="BJ488" s="230">
        <f t="shared" si="540"/>
        <v>0</v>
      </c>
      <c r="BK488" s="229">
        <v>35</v>
      </c>
      <c r="BL488" s="230">
        <f t="shared" si="541"/>
        <v>48</v>
      </c>
      <c r="BM488" s="235">
        <f t="shared" si="542"/>
        <v>2.9108720930232557</v>
      </c>
      <c r="BN488" s="235" cm="1">
        <f t="array" ref="BN488">$BI488 * SUMPRODUCT(INDEX($AR$77:$AT$82,,$AI488),INDEX($AU$77:$BA$82,,$AH488), N($AQ$77:$AQ$82&gt;$AO488)) / BM488 / 1000</f>
        <v>0</v>
      </c>
      <c r="BO488" s="232">
        <f t="shared" si="567"/>
        <v>30</v>
      </c>
      <c r="BP488" s="230">
        <f t="shared" si="543"/>
        <v>43</v>
      </c>
      <c r="BQ488" s="235">
        <f t="shared" si="544"/>
        <v>3.2938815789473681</v>
      </c>
      <c r="BR488" s="235" cm="1">
        <f t="array" ref="BR488">$BI488 * IF($AH488&lt;=2,
SUMPRODUCT(INDEX($AR$72:$AT$76,,$AI488), INDEX($AU$72:$BA$76,,$AH488), 1 / ($BB$72:$BB$76*BQ488 + (1-$BB$72:$BB$76)*BM488), N($AQ$72:$AQ$76&gt;$AO488)),
SUMPRODUCT(INDEX($AR$67:$AT$76,,$AI488), INDEX($AU$67:$BA$76,,$AH488), 1 / ($BC$67:$BC$76*BQ488 + (1-$BC$67:$BC$76)*BM488), N($AQ$67:$AQ$76&gt;$AO488))
) / 1000</f>
        <v>0</v>
      </c>
      <c r="BS488" s="232">
        <f t="shared" si="568"/>
        <v>25</v>
      </c>
      <c r="BT488" s="230">
        <f t="shared" si="545"/>
        <v>38</v>
      </c>
      <c r="BU488" s="235">
        <f t="shared" si="546"/>
        <v>3.792954545454545</v>
      </c>
      <c r="BV488" s="235" cm="1">
        <f t="array" ref="BV488">$BI488 * IF($AH488&lt;=2,
SUMPRODUCT(INDEX($AR$67:$AT$71,,$AI488), INDEX($AU$67:$BA$71,,$AH488), 1 / ($BB$67:$BB$71*BU488 + (1-$BB$67:$BB$71)*BQ488), N($AQ$67:$AQ$71&gt;$AO488)),
SUMPRODUCT(INDEX($AR$57:$AT$66,,$AI488), INDEX($AU$57:$BA$66,,$AH488), 1 / ($BC$57:$BC$66*BU488 + (1-$BC$57:$BC$66)*BQ488), N($AQ$57:$AQ$66&gt;$AO488))
) / 1000</f>
        <v>0</v>
      </c>
      <c r="BW488" s="232">
        <f t="shared" si="569"/>
        <v>20</v>
      </c>
      <c r="BX488" s="230">
        <f t="shared" si="547"/>
        <v>33</v>
      </c>
      <c r="BY488" s="235">
        <f t="shared" si="548"/>
        <v>4.4702678571428569</v>
      </c>
      <c r="BZ488" s="235" cm="1">
        <f t="array" ref="BZ488">$BI488 * IF($AH488&lt;=2,
SUMPRODUCT(INDEX($AR$62:$AT$66,,$AI488), INDEX($AU$62:$BA$66,,$AH488), 1 / ($BB$62:$BB$66*BY488 + (1-$BB$62:$BB$66)*BU488), N($AQ$62:$AQ$66&gt;$AO488)),
SUMPRODUCT(INDEX($AR$47:$AT$56,,$AI488), INDEX($AU$47:$BA$56,,$AH488), 1 / ($BC$47:$BC$56*BY488 + (1-$BC$47:$BC$56)*BU488), N($AQ$47:$AQ$56&gt;$AO488))
) / 1000</f>
        <v>0</v>
      </c>
      <c r="CA488" s="235" cm="1">
        <f t="array" ref="CA488">$BI488 * IF($AH488&lt;=2,
SUMPRODUCT(INDEX($AR$23:$AT$61,,$AI488), INDEX($AU$23:$BA$61,,$AH488), 1 / ($BB$23:$BB$61*BY488), N($AQ$23:$AQ$61&gt;$AO488)),
SUMPRODUCT(INDEX($AR$23:$AT$46,,$AI488), INDEX($AU$23:$BA$46,,$AH488), 1 / ($BC$23:$BC$46*BY488), N($AQ$23:$AQ$46&gt;$AO488))
) / 1000</f>
        <v>0</v>
      </c>
      <c r="CB488" s="230">
        <f t="shared" si="549"/>
        <v>0</v>
      </c>
      <c r="CC488" s="238"/>
      <c r="CD488" s="229" cm="1">
        <f t="array" ref="CD488">IF(ISBLANK(Y488), INDEX(Use, $AH488, 4) - AN488*INDEX(Use, $AH488, 6) - (Q488-X488), Y488)</f>
        <v>7</v>
      </c>
      <c r="CE488" s="229">
        <f t="shared" si="550"/>
        <v>32</v>
      </c>
      <c r="CF488" s="230">
        <f t="shared" si="551"/>
        <v>0</v>
      </c>
      <c r="CG488" s="229">
        <v>35</v>
      </c>
      <c r="CH488" s="230">
        <f t="shared" si="552"/>
        <v>48</v>
      </c>
      <c r="CI488" s="235">
        <f t="shared" si="553"/>
        <v>3.0748170731707316</v>
      </c>
      <c r="CJ488" s="235" cm="1">
        <f t="array" ref="CJ488">$BI488 * SUMPRODUCT(INDEX($AR$77:$AT$82,,$AI488),INDEX($AU$77:$BA$82,,$AH488), N($AQ$77:$AQ$82&gt;$AO488)) / CI488 / 1000</f>
        <v>0</v>
      </c>
      <c r="CK488" s="232">
        <f t="shared" si="570"/>
        <v>30</v>
      </c>
      <c r="CL488" s="230">
        <f t="shared" si="554"/>
        <v>43</v>
      </c>
      <c r="CM488" s="235">
        <f t="shared" si="555"/>
        <v>3.5018750000000001</v>
      </c>
      <c r="CN488" s="235" cm="1">
        <f t="array" ref="CN488">$BI488 * IF($AH488&lt;=2,
SUMPRODUCT(INDEX($AR$72:$AT$76,,$AI488), INDEX($AU$72:$BA$76,,$AH488), 1 / ($BB$72:$BB$76*CM488 + (1-$BB$72:$BB$76)*CI488), N($AQ$72:$AQ$76&gt;$AO488)),
SUMPRODUCT(INDEX($AR$67:$AT$76,,$AI488), INDEX($AU$67:$BA$76,,$AH488), 1 / ($BC$67:$BC$76*CM488 + (1-$BC$67:$BC$76)*CI488), N($AQ$67:$AQ$76&gt;$AO488))
) / 1000</f>
        <v>0</v>
      </c>
      <c r="CO488" s="232">
        <f t="shared" si="571"/>
        <v>25</v>
      </c>
      <c r="CP488" s="230">
        <f t="shared" si="556"/>
        <v>38</v>
      </c>
      <c r="CQ488" s="235">
        <f t="shared" si="557"/>
        <v>4.0666935483870965</v>
      </c>
      <c r="CR488" s="235" cm="1">
        <f t="array" ref="CR488">$BI488 * IF($AH488&lt;=2,
SUMPRODUCT(INDEX($AR$67:$AT$71,,$AI488), INDEX($AU$67:$BA$71,,$AH488), 1 / ($BB$67:$BB$71*CQ488 + (1-$BB$67:$BB$71)*CM488), N($AQ$67:$AQ$71&gt;$AO488)),
SUMPRODUCT(INDEX($AR$57:$AT$66,,$AI488), INDEX($AU$57:$BA$66,,$AH488), 1 / ($BC$57:$BC$66*CQ488 + (1-$BC$57:$BC$66)*CM488), N($AQ$57:$AQ$66&gt;$AO488))
) / 1000</f>
        <v>0</v>
      </c>
      <c r="CS488" s="232">
        <f t="shared" si="572"/>
        <v>20</v>
      </c>
      <c r="CT488" s="230">
        <f t="shared" si="558"/>
        <v>33</v>
      </c>
      <c r="CU488" s="235">
        <f t="shared" si="559"/>
        <v>4.8487499999999999</v>
      </c>
      <c r="CV488" s="235" cm="1">
        <f t="array" ref="CV488">$BI488 * IF($AH488&lt;=2,
SUMPRODUCT(INDEX($AR$62:$AT$66,,$AI488), INDEX($AU$62:$BA$66,,$AH488), 1 / ($BB$62:$BB$66*CU488 + (1-$BB$62:$BB$66)*CQ488), N($AQ$62:$AQ$66&gt;$AO488)),
SUMPRODUCT(INDEX($AR$47:$AT$56,,$AI488), INDEX($AU$47:$BA$56,,$AH488), 1 / ($BC$47:$BC$56*CU488 + (1-$BC$47:$BC$56)*CQ488), N($AQ$47:$AQ$56&gt;$AO488))
) / 1000</f>
        <v>0</v>
      </c>
      <c r="CW488" s="235" cm="1">
        <f t="array" ref="CW488">$BI488 * IF($AH488&lt;=2,
SUMPRODUCT(INDEX($AR$23:$AT$61,,$AI488), INDEX($AU$23:$BA$61,,$AH488), 1 / ($BB$23:$BB$61*CU488), N($AQ$23:$AQ$61&gt;$AO488)),
SUMPRODUCT(INDEX($AR$23:$AT$46,,$AI488), INDEX($AU$23:$BA$46,,$AH488), 1 / ($BC$23:$BC$46*CU488), N($AQ$23:$AQ$46&gt;$AO488))
) / 1000</f>
        <v>0</v>
      </c>
      <c r="CX488" s="230">
        <f t="shared" si="560"/>
        <v>0</v>
      </c>
      <c r="CY488" s="238"/>
    </row>
    <row r="489" spans="1:103" s="76" customFormat="1" ht="14.25" customHeight="1" x14ac:dyDescent="0.2">
      <c r="A489" s="231" t="b">
        <f t="shared" si="564"/>
        <v>0</v>
      </c>
      <c r="B489" s="245">
        <v>467</v>
      </c>
      <c r="C489" s="258"/>
      <c r="D489" s="258"/>
      <c r="E489" s="246"/>
      <c r="F489" s="247" t="str">
        <f>IF(ISBLANK(E489), "", VLOOKUP(E489, Z!$A$2:$C$4127, 3, FALSE))</f>
        <v/>
      </c>
      <c r="G489" s="248"/>
      <c r="H489" s="248"/>
      <c r="I489" s="249"/>
      <c r="J489" s="250"/>
      <c r="K489" s="259"/>
      <c r="L489" s="260"/>
      <c r="M489" s="252" t="str" cm="1">
        <f t="array" ref="M489">INDEX(Trad, 53, $A$20)</f>
        <v>Verschmutzt</v>
      </c>
      <c r="N489" s="253"/>
      <c r="O489" s="253"/>
      <c r="P489" s="254"/>
      <c r="Q489" s="251"/>
      <c r="R489" s="251"/>
      <c r="S489" s="264">
        <f t="shared" si="535"/>
        <v>0</v>
      </c>
      <c r="T489" s="252" t="str" cm="1">
        <f t="array" ref="T489">INDEX(Trad, 52, $A$20)</f>
        <v>Sauber</v>
      </c>
      <c r="U489" s="253"/>
      <c r="V489" s="253"/>
      <c r="W489" s="254"/>
      <c r="X489" s="251"/>
      <c r="Y489" s="251"/>
      <c r="Z489" s="264">
        <f t="shared" si="536"/>
        <v>0</v>
      </c>
      <c r="AA489" s="261"/>
      <c r="AB489" s="258"/>
      <c r="AC489" s="246"/>
      <c r="AD489" s="247" t="str">
        <f>IF(ISBLANK(AC489), "", VLOOKUP(AC489, Z!$A$2:$C$4127, 3, FALSE))</f>
        <v/>
      </c>
      <c r="AE489" s="262"/>
      <c r="AF489" s="263">
        <f t="shared" si="537"/>
        <v>0</v>
      </c>
      <c r="AG489" s="238"/>
      <c r="AH489" s="229">
        <f t="shared" si="561"/>
        <v>1</v>
      </c>
      <c r="AI489" s="229">
        <f t="shared" si="562"/>
        <v>1</v>
      </c>
      <c r="AJ489" s="229">
        <f t="shared" si="563"/>
        <v>0</v>
      </c>
      <c r="AK489" s="229">
        <v>0</v>
      </c>
      <c r="AL489" s="229">
        <v>0</v>
      </c>
      <c r="AM489" s="229">
        <v>1</v>
      </c>
      <c r="AN489" s="229">
        <v>0</v>
      </c>
      <c r="AO489" s="229">
        <f t="shared" si="538"/>
        <v>-100</v>
      </c>
      <c r="AP489" s="238"/>
      <c r="AQ489" s="255"/>
      <c r="AR489" s="255"/>
      <c r="AS489" s="256"/>
      <c r="AT489" s="256"/>
      <c r="AU489" s="256"/>
      <c r="AV489" s="256"/>
      <c r="AW489" s="256"/>
      <c r="AX489" s="256"/>
      <c r="AY489" s="256"/>
      <c r="AZ489" s="256"/>
      <c r="BA489" s="256"/>
      <c r="BB489" s="256"/>
      <c r="BC489" s="256"/>
      <c r="BD489" s="238"/>
      <c r="BE489" s="229" cm="1">
        <f t="array" ref="BE489">IF(ISBLANK(R489), INDEX(Use, $AH489, 4) - AM489*INDEX(Use, $AH489, 6), R489)</f>
        <v>5</v>
      </c>
      <c r="BF489" s="229">
        <f t="shared" si="539"/>
        <v>30</v>
      </c>
      <c r="BG489" s="229">
        <f t="shared" si="565"/>
        <v>13</v>
      </c>
      <c r="BH489" s="229">
        <f t="shared" si="566"/>
        <v>0</v>
      </c>
      <c r="BI489" s="234" cm="1">
        <f t="array" ref="BI489">K489/IF($L489&gt;0, INDEX($AU$23:$BA$77, $L489+20, $AH489), 1)</f>
        <v>0</v>
      </c>
      <c r="BJ489" s="230">
        <f t="shared" si="540"/>
        <v>0</v>
      </c>
      <c r="BK489" s="229">
        <v>35</v>
      </c>
      <c r="BL489" s="230">
        <f t="shared" si="541"/>
        <v>48</v>
      </c>
      <c r="BM489" s="235">
        <f t="shared" si="542"/>
        <v>2.9108720930232557</v>
      </c>
      <c r="BN489" s="235" cm="1">
        <f t="array" ref="BN489">$BI489 * SUMPRODUCT(INDEX($AR$77:$AT$82,,$AI489),INDEX($AU$77:$BA$82,,$AH489), N($AQ$77:$AQ$82&gt;$AO489)) / BM489 / 1000</f>
        <v>0</v>
      </c>
      <c r="BO489" s="232">
        <f t="shared" si="567"/>
        <v>30</v>
      </c>
      <c r="BP489" s="230">
        <f t="shared" si="543"/>
        <v>43</v>
      </c>
      <c r="BQ489" s="235">
        <f t="shared" si="544"/>
        <v>3.2938815789473681</v>
      </c>
      <c r="BR489" s="235" cm="1">
        <f t="array" ref="BR489">$BI489 * IF($AH489&lt;=2,
SUMPRODUCT(INDEX($AR$72:$AT$76,,$AI489), INDEX($AU$72:$BA$76,,$AH489), 1 / ($BB$72:$BB$76*BQ489 + (1-$BB$72:$BB$76)*BM489), N($AQ$72:$AQ$76&gt;$AO489)),
SUMPRODUCT(INDEX($AR$67:$AT$76,,$AI489), INDEX($AU$67:$BA$76,,$AH489), 1 / ($BC$67:$BC$76*BQ489 + (1-$BC$67:$BC$76)*BM489), N($AQ$67:$AQ$76&gt;$AO489))
) / 1000</f>
        <v>0</v>
      </c>
      <c r="BS489" s="232">
        <f t="shared" si="568"/>
        <v>25</v>
      </c>
      <c r="BT489" s="230">
        <f t="shared" si="545"/>
        <v>38</v>
      </c>
      <c r="BU489" s="235">
        <f t="shared" si="546"/>
        <v>3.792954545454545</v>
      </c>
      <c r="BV489" s="235" cm="1">
        <f t="array" ref="BV489">$BI489 * IF($AH489&lt;=2,
SUMPRODUCT(INDEX($AR$67:$AT$71,,$AI489), INDEX($AU$67:$BA$71,,$AH489), 1 / ($BB$67:$BB$71*BU489 + (1-$BB$67:$BB$71)*BQ489), N($AQ$67:$AQ$71&gt;$AO489)),
SUMPRODUCT(INDEX($AR$57:$AT$66,,$AI489), INDEX($AU$57:$BA$66,,$AH489), 1 / ($BC$57:$BC$66*BU489 + (1-$BC$57:$BC$66)*BQ489), N($AQ$57:$AQ$66&gt;$AO489))
) / 1000</f>
        <v>0</v>
      </c>
      <c r="BW489" s="232">
        <f t="shared" si="569"/>
        <v>20</v>
      </c>
      <c r="BX489" s="230">
        <f t="shared" si="547"/>
        <v>33</v>
      </c>
      <c r="BY489" s="235">
        <f t="shared" si="548"/>
        <v>4.4702678571428569</v>
      </c>
      <c r="BZ489" s="235" cm="1">
        <f t="array" ref="BZ489">$BI489 * IF($AH489&lt;=2,
SUMPRODUCT(INDEX($AR$62:$AT$66,,$AI489), INDEX($AU$62:$BA$66,,$AH489), 1 / ($BB$62:$BB$66*BY489 + (1-$BB$62:$BB$66)*BU489), N($AQ$62:$AQ$66&gt;$AO489)),
SUMPRODUCT(INDEX($AR$47:$AT$56,,$AI489), INDEX($AU$47:$BA$56,,$AH489), 1 / ($BC$47:$BC$56*BY489 + (1-$BC$47:$BC$56)*BU489), N($AQ$47:$AQ$56&gt;$AO489))
) / 1000</f>
        <v>0</v>
      </c>
      <c r="CA489" s="235" cm="1">
        <f t="array" ref="CA489">$BI489 * IF($AH489&lt;=2,
SUMPRODUCT(INDEX($AR$23:$AT$61,,$AI489), INDEX($AU$23:$BA$61,,$AH489), 1 / ($BB$23:$BB$61*BY489), N($AQ$23:$AQ$61&gt;$AO489)),
SUMPRODUCT(INDEX($AR$23:$AT$46,,$AI489), INDEX($AU$23:$BA$46,,$AH489), 1 / ($BC$23:$BC$46*BY489), N($AQ$23:$AQ$46&gt;$AO489))
) / 1000</f>
        <v>0</v>
      </c>
      <c r="CB489" s="230">
        <f t="shared" si="549"/>
        <v>0</v>
      </c>
      <c r="CC489" s="238"/>
      <c r="CD489" s="229" cm="1">
        <f t="array" ref="CD489">IF(ISBLANK(Y489), INDEX(Use, $AH489, 4) - AN489*INDEX(Use, $AH489, 6) - (Q489-X489), Y489)</f>
        <v>7</v>
      </c>
      <c r="CE489" s="229">
        <f t="shared" si="550"/>
        <v>32</v>
      </c>
      <c r="CF489" s="230">
        <f t="shared" si="551"/>
        <v>0</v>
      </c>
      <c r="CG489" s="229">
        <v>35</v>
      </c>
      <c r="CH489" s="230">
        <f t="shared" si="552"/>
        <v>48</v>
      </c>
      <c r="CI489" s="235">
        <f t="shared" si="553"/>
        <v>3.0748170731707316</v>
      </c>
      <c r="CJ489" s="235" cm="1">
        <f t="array" ref="CJ489">$BI489 * SUMPRODUCT(INDEX($AR$77:$AT$82,,$AI489),INDEX($AU$77:$BA$82,,$AH489), N($AQ$77:$AQ$82&gt;$AO489)) / CI489 / 1000</f>
        <v>0</v>
      </c>
      <c r="CK489" s="232">
        <f t="shared" si="570"/>
        <v>30</v>
      </c>
      <c r="CL489" s="230">
        <f t="shared" si="554"/>
        <v>43</v>
      </c>
      <c r="CM489" s="235">
        <f t="shared" si="555"/>
        <v>3.5018750000000001</v>
      </c>
      <c r="CN489" s="235" cm="1">
        <f t="array" ref="CN489">$BI489 * IF($AH489&lt;=2,
SUMPRODUCT(INDEX($AR$72:$AT$76,,$AI489), INDEX($AU$72:$BA$76,,$AH489), 1 / ($BB$72:$BB$76*CM489 + (1-$BB$72:$BB$76)*CI489), N($AQ$72:$AQ$76&gt;$AO489)),
SUMPRODUCT(INDEX($AR$67:$AT$76,,$AI489), INDEX($AU$67:$BA$76,,$AH489), 1 / ($BC$67:$BC$76*CM489 + (1-$BC$67:$BC$76)*CI489), N($AQ$67:$AQ$76&gt;$AO489))
) / 1000</f>
        <v>0</v>
      </c>
      <c r="CO489" s="232">
        <f t="shared" si="571"/>
        <v>25</v>
      </c>
      <c r="CP489" s="230">
        <f t="shared" si="556"/>
        <v>38</v>
      </c>
      <c r="CQ489" s="235">
        <f t="shared" si="557"/>
        <v>4.0666935483870965</v>
      </c>
      <c r="CR489" s="235" cm="1">
        <f t="array" ref="CR489">$BI489 * IF($AH489&lt;=2,
SUMPRODUCT(INDEX($AR$67:$AT$71,,$AI489), INDEX($AU$67:$BA$71,,$AH489), 1 / ($BB$67:$BB$71*CQ489 + (1-$BB$67:$BB$71)*CM489), N($AQ$67:$AQ$71&gt;$AO489)),
SUMPRODUCT(INDEX($AR$57:$AT$66,,$AI489), INDEX($AU$57:$BA$66,,$AH489), 1 / ($BC$57:$BC$66*CQ489 + (1-$BC$57:$BC$66)*CM489), N($AQ$57:$AQ$66&gt;$AO489))
) / 1000</f>
        <v>0</v>
      </c>
      <c r="CS489" s="232">
        <f t="shared" si="572"/>
        <v>20</v>
      </c>
      <c r="CT489" s="230">
        <f t="shared" si="558"/>
        <v>33</v>
      </c>
      <c r="CU489" s="235">
        <f t="shared" si="559"/>
        <v>4.8487499999999999</v>
      </c>
      <c r="CV489" s="235" cm="1">
        <f t="array" ref="CV489">$BI489 * IF($AH489&lt;=2,
SUMPRODUCT(INDEX($AR$62:$AT$66,,$AI489), INDEX($AU$62:$BA$66,,$AH489), 1 / ($BB$62:$BB$66*CU489 + (1-$BB$62:$BB$66)*CQ489), N($AQ$62:$AQ$66&gt;$AO489)),
SUMPRODUCT(INDEX($AR$47:$AT$56,,$AI489), INDEX($AU$47:$BA$56,,$AH489), 1 / ($BC$47:$BC$56*CU489 + (1-$BC$47:$BC$56)*CQ489), N($AQ$47:$AQ$56&gt;$AO489))
) / 1000</f>
        <v>0</v>
      </c>
      <c r="CW489" s="235" cm="1">
        <f t="array" ref="CW489">$BI489 * IF($AH489&lt;=2,
SUMPRODUCT(INDEX($AR$23:$AT$61,,$AI489), INDEX($AU$23:$BA$61,,$AH489), 1 / ($BB$23:$BB$61*CU489), N($AQ$23:$AQ$61&gt;$AO489)),
SUMPRODUCT(INDEX($AR$23:$AT$46,,$AI489), INDEX($AU$23:$BA$46,,$AH489), 1 / ($BC$23:$BC$46*CU489), N($AQ$23:$AQ$46&gt;$AO489))
) / 1000</f>
        <v>0</v>
      </c>
      <c r="CX489" s="230">
        <f t="shared" si="560"/>
        <v>0</v>
      </c>
      <c r="CY489" s="238"/>
    </row>
    <row r="490" spans="1:103" s="76" customFormat="1" ht="14.25" customHeight="1" x14ac:dyDescent="0.2">
      <c r="A490" s="231" t="b">
        <f t="shared" si="564"/>
        <v>0</v>
      </c>
      <c r="B490" s="245">
        <v>468</v>
      </c>
      <c r="C490" s="258"/>
      <c r="D490" s="258"/>
      <c r="E490" s="246"/>
      <c r="F490" s="247" t="str">
        <f>IF(ISBLANK(E490), "", VLOOKUP(E490, Z!$A$2:$C$4127, 3, FALSE))</f>
        <v/>
      </c>
      <c r="G490" s="248"/>
      <c r="H490" s="248"/>
      <c r="I490" s="249"/>
      <c r="J490" s="250"/>
      <c r="K490" s="259"/>
      <c r="L490" s="260"/>
      <c r="M490" s="252" t="str" cm="1">
        <f t="array" ref="M490">INDEX(Trad, 53, $A$20)</f>
        <v>Verschmutzt</v>
      </c>
      <c r="N490" s="253"/>
      <c r="O490" s="253"/>
      <c r="P490" s="254"/>
      <c r="Q490" s="251"/>
      <c r="R490" s="251"/>
      <c r="S490" s="264">
        <f t="shared" si="535"/>
        <v>0</v>
      </c>
      <c r="T490" s="252" t="str" cm="1">
        <f t="array" ref="T490">INDEX(Trad, 52, $A$20)</f>
        <v>Sauber</v>
      </c>
      <c r="U490" s="253"/>
      <c r="V490" s="253"/>
      <c r="W490" s="254"/>
      <c r="X490" s="251"/>
      <c r="Y490" s="251"/>
      <c r="Z490" s="264">
        <f t="shared" si="536"/>
        <v>0</v>
      </c>
      <c r="AA490" s="261"/>
      <c r="AB490" s="258"/>
      <c r="AC490" s="246"/>
      <c r="AD490" s="247" t="str">
        <f>IF(ISBLANK(AC490), "", VLOOKUP(AC490, Z!$A$2:$C$4127, 3, FALSE))</f>
        <v/>
      </c>
      <c r="AE490" s="262"/>
      <c r="AF490" s="263">
        <f t="shared" si="537"/>
        <v>0</v>
      </c>
      <c r="AG490" s="238"/>
      <c r="AH490" s="229">
        <f t="shared" si="561"/>
        <v>1</v>
      </c>
      <c r="AI490" s="229">
        <f t="shared" si="562"/>
        <v>1</v>
      </c>
      <c r="AJ490" s="229">
        <f t="shared" si="563"/>
        <v>0</v>
      </c>
      <c r="AK490" s="229">
        <v>0</v>
      </c>
      <c r="AL490" s="229">
        <v>0</v>
      </c>
      <c r="AM490" s="229">
        <v>1</v>
      </c>
      <c r="AN490" s="229">
        <v>0</v>
      </c>
      <c r="AO490" s="229">
        <f t="shared" si="538"/>
        <v>-100</v>
      </c>
      <c r="AP490" s="238"/>
      <c r="AQ490" s="255"/>
      <c r="AR490" s="255"/>
      <c r="AS490" s="256"/>
      <c r="AT490" s="256"/>
      <c r="AU490" s="256"/>
      <c r="AV490" s="256"/>
      <c r="AW490" s="256"/>
      <c r="AX490" s="256"/>
      <c r="AY490" s="256"/>
      <c r="AZ490" s="256"/>
      <c r="BA490" s="256"/>
      <c r="BB490" s="256"/>
      <c r="BC490" s="256"/>
      <c r="BD490" s="238"/>
      <c r="BE490" s="229" cm="1">
        <f t="array" ref="BE490">IF(ISBLANK(R490), INDEX(Use, $AH490, 4) - AM490*INDEX(Use, $AH490, 6), R490)</f>
        <v>5</v>
      </c>
      <c r="BF490" s="229">
        <f t="shared" si="539"/>
        <v>30</v>
      </c>
      <c r="BG490" s="229">
        <f t="shared" si="565"/>
        <v>13</v>
      </c>
      <c r="BH490" s="229">
        <f t="shared" si="566"/>
        <v>0</v>
      </c>
      <c r="BI490" s="234" cm="1">
        <f t="array" ref="BI490">K490/IF($L490&gt;0, INDEX($AU$23:$BA$77, $L490+20, $AH490), 1)</f>
        <v>0</v>
      </c>
      <c r="BJ490" s="230">
        <f t="shared" si="540"/>
        <v>0</v>
      </c>
      <c r="BK490" s="229">
        <v>35</v>
      </c>
      <c r="BL490" s="230">
        <f t="shared" si="541"/>
        <v>48</v>
      </c>
      <c r="BM490" s="235">
        <f t="shared" si="542"/>
        <v>2.9108720930232557</v>
      </c>
      <c r="BN490" s="235" cm="1">
        <f t="array" ref="BN490">$BI490 * SUMPRODUCT(INDEX($AR$77:$AT$82,,$AI490),INDEX($AU$77:$BA$82,,$AH490), N($AQ$77:$AQ$82&gt;$AO490)) / BM490 / 1000</f>
        <v>0</v>
      </c>
      <c r="BO490" s="232">
        <f t="shared" si="567"/>
        <v>30</v>
      </c>
      <c r="BP490" s="230">
        <f t="shared" si="543"/>
        <v>43</v>
      </c>
      <c r="BQ490" s="235">
        <f t="shared" si="544"/>
        <v>3.2938815789473681</v>
      </c>
      <c r="BR490" s="235" cm="1">
        <f t="array" ref="BR490">$BI490 * IF($AH490&lt;=2,
SUMPRODUCT(INDEX($AR$72:$AT$76,,$AI490), INDEX($AU$72:$BA$76,,$AH490), 1 / ($BB$72:$BB$76*BQ490 + (1-$BB$72:$BB$76)*BM490), N($AQ$72:$AQ$76&gt;$AO490)),
SUMPRODUCT(INDEX($AR$67:$AT$76,,$AI490), INDEX($AU$67:$BA$76,,$AH490), 1 / ($BC$67:$BC$76*BQ490 + (1-$BC$67:$BC$76)*BM490), N($AQ$67:$AQ$76&gt;$AO490))
) / 1000</f>
        <v>0</v>
      </c>
      <c r="BS490" s="232">
        <f t="shared" si="568"/>
        <v>25</v>
      </c>
      <c r="BT490" s="230">
        <f t="shared" si="545"/>
        <v>38</v>
      </c>
      <c r="BU490" s="235">
        <f t="shared" si="546"/>
        <v>3.792954545454545</v>
      </c>
      <c r="BV490" s="235" cm="1">
        <f t="array" ref="BV490">$BI490 * IF($AH490&lt;=2,
SUMPRODUCT(INDEX($AR$67:$AT$71,,$AI490), INDEX($AU$67:$BA$71,,$AH490), 1 / ($BB$67:$BB$71*BU490 + (1-$BB$67:$BB$71)*BQ490), N($AQ$67:$AQ$71&gt;$AO490)),
SUMPRODUCT(INDEX($AR$57:$AT$66,,$AI490), INDEX($AU$57:$BA$66,,$AH490), 1 / ($BC$57:$BC$66*BU490 + (1-$BC$57:$BC$66)*BQ490), N($AQ$57:$AQ$66&gt;$AO490))
) / 1000</f>
        <v>0</v>
      </c>
      <c r="BW490" s="232">
        <f t="shared" si="569"/>
        <v>20</v>
      </c>
      <c r="BX490" s="230">
        <f t="shared" si="547"/>
        <v>33</v>
      </c>
      <c r="BY490" s="235">
        <f t="shared" si="548"/>
        <v>4.4702678571428569</v>
      </c>
      <c r="BZ490" s="235" cm="1">
        <f t="array" ref="BZ490">$BI490 * IF($AH490&lt;=2,
SUMPRODUCT(INDEX($AR$62:$AT$66,,$AI490), INDEX($AU$62:$BA$66,,$AH490), 1 / ($BB$62:$BB$66*BY490 + (1-$BB$62:$BB$66)*BU490), N($AQ$62:$AQ$66&gt;$AO490)),
SUMPRODUCT(INDEX($AR$47:$AT$56,,$AI490), INDEX($AU$47:$BA$56,,$AH490), 1 / ($BC$47:$BC$56*BY490 + (1-$BC$47:$BC$56)*BU490), N($AQ$47:$AQ$56&gt;$AO490))
) / 1000</f>
        <v>0</v>
      </c>
      <c r="CA490" s="235" cm="1">
        <f t="array" ref="CA490">$BI490 * IF($AH490&lt;=2,
SUMPRODUCT(INDEX($AR$23:$AT$61,,$AI490), INDEX($AU$23:$BA$61,,$AH490), 1 / ($BB$23:$BB$61*BY490), N($AQ$23:$AQ$61&gt;$AO490)),
SUMPRODUCT(INDEX($AR$23:$AT$46,,$AI490), INDEX($AU$23:$BA$46,,$AH490), 1 / ($BC$23:$BC$46*BY490), N($AQ$23:$AQ$46&gt;$AO490))
) / 1000</f>
        <v>0</v>
      </c>
      <c r="CB490" s="230">
        <f t="shared" si="549"/>
        <v>0</v>
      </c>
      <c r="CC490" s="238"/>
      <c r="CD490" s="229" cm="1">
        <f t="array" ref="CD490">IF(ISBLANK(Y490), INDEX(Use, $AH490, 4) - AN490*INDEX(Use, $AH490, 6) - (Q490-X490), Y490)</f>
        <v>7</v>
      </c>
      <c r="CE490" s="229">
        <f t="shared" si="550"/>
        <v>32</v>
      </c>
      <c r="CF490" s="230">
        <f t="shared" si="551"/>
        <v>0</v>
      </c>
      <c r="CG490" s="229">
        <v>35</v>
      </c>
      <c r="CH490" s="230">
        <f t="shared" si="552"/>
        <v>48</v>
      </c>
      <c r="CI490" s="235">
        <f t="shared" si="553"/>
        <v>3.0748170731707316</v>
      </c>
      <c r="CJ490" s="235" cm="1">
        <f t="array" ref="CJ490">$BI490 * SUMPRODUCT(INDEX($AR$77:$AT$82,,$AI490),INDEX($AU$77:$BA$82,,$AH490), N($AQ$77:$AQ$82&gt;$AO490)) / CI490 / 1000</f>
        <v>0</v>
      </c>
      <c r="CK490" s="232">
        <f t="shared" si="570"/>
        <v>30</v>
      </c>
      <c r="CL490" s="230">
        <f t="shared" si="554"/>
        <v>43</v>
      </c>
      <c r="CM490" s="235">
        <f t="shared" si="555"/>
        <v>3.5018750000000001</v>
      </c>
      <c r="CN490" s="235" cm="1">
        <f t="array" ref="CN490">$BI490 * IF($AH490&lt;=2,
SUMPRODUCT(INDEX($AR$72:$AT$76,,$AI490), INDEX($AU$72:$BA$76,,$AH490), 1 / ($BB$72:$BB$76*CM490 + (1-$BB$72:$BB$76)*CI490), N($AQ$72:$AQ$76&gt;$AO490)),
SUMPRODUCT(INDEX($AR$67:$AT$76,,$AI490), INDEX($AU$67:$BA$76,,$AH490), 1 / ($BC$67:$BC$76*CM490 + (1-$BC$67:$BC$76)*CI490), N($AQ$67:$AQ$76&gt;$AO490))
) / 1000</f>
        <v>0</v>
      </c>
      <c r="CO490" s="232">
        <f t="shared" si="571"/>
        <v>25</v>
      </c>
      <c r="CP490" s="230">
        <f t="shared" si="556"/>
        <v>38</v>
      </c>
      <c r="CQ490" s="235">
        <f t="shared" si="557"/>
        <v>4.0666935483870965</v>
      </c>
      <c r="CR490" s="235" cm="1">
        <f t="array" ref="CR490">$BI490 * IF($AH490&lt;=2,
SUMPRODUCT(INDEX($AR$67:$AT$71,,$AI490), INDEX($AU$67:$BA$71,,$AH490), 1 / ($BB$67:$BB$71*CQ490 + (1-$BB$67:$BB$71)*CM490), N($AQ$67:$AQ$71&gt;$AO490)),
SUMPRODUCT(INDEX($AR$57:$AT$66,,$AI490), INDEX($AU$57:$BA$66,,$AH490), 1 / ($BC$57:$BC$66*CQ490 + (1-$BC$57:$BC$66)*CM490), N($AQ$57:$AQ$66&gt;$AO490))
) / 1000</f>
        <v>0</v>
      </c>
      <c r="CS490" s="232">
        <f t="shared" si="572"/>
        <v>20</v>
      </c>
      <c r="CT490" s="230">
        <f t="shared" si="558"/>
        <v>33</v>
      </c>
      <c r="CU490" s="235">
        <f t="shared" si="559"/>
        <v>4.8487499999999999</v>
      </c>
      <c r="CV490" s="235" cm="1">
        <f t="array" ref="CV490">$BI490 * IF($AH490&lt;=2,
SUMPRODUCT(INDEX($AR$62:$AT$66,,$AI490), INDEX($AU$62:$BA$66,,$AH490), 1 / ($BB$62:$BB$66*CU490 + (1-$BB$62:$BB$66)*CQ490), N($AQ$62:$AQ$66&gt;$AO490)),
SUMPRODUCT(INDEX($AR$47:$AT$56,,$AI490), INDEX($AU$47:$BA$56,,$AH490), 1 / ($BC$47:$BC$56*CU490 + (1-$BC$47:$BC$56)*CQ490), N($AQ$47:$AQ$56&gt;$AO490))
) / 1000</f>
        <v>0</v>
      </c>
      <c r="CW490" s="235" cm="1">
        <f t="array" ref="CW490">$BI490 * IF($AH490&lt;=2,
SUMPRODUCT(INDEX($AR$23:$AT$61,,$AI490), INDEX($AU$23:$BA$61,,$AH490), 1 / ($BB$23:$BB$61*CU490), N($AQ$23:$AQ$61&gt;$AO490)),
SUMPRODUCT(INDEX($AR$23:$AT$46,,$AI490), INDEX($AU$23:$BA$46,,$AH490), 1 / ($BC$23:$BC$46*CU490), N($AQ$23:$AQ$46&gt;$AO490))
) / 1000</f>
        <v>0</v>
      </c>
      <c r="CX490" s="230">
        <f t="shared" si="560"/>
        <v>0</v>
      </c>
      <c r="CY490" s="238"/>
    </row>
    <row r="491" spans="1:103" s="76" customFormat="1" ht="14.25" customHeight="1" x14ac:dyDescent="0.2">
      <c r="A491" s="231" t="b">
        <f t="shared" si="564"/>
        <v>0</v>
      </c>
      <c r="B491" s="245">
        <v>469</v>
      </c>
      <c r="C491" s="258"/>
      <c r="D491" s="258"/>
      <c r="E491" s="246"/>
      <c r="F491" s="247" t="str">
        <f>IF(ISBLANK(E491), "", VLOOKUP(E491, Z!$A$2:$C$4127, 3, FALSE))</f>
        <v/>
      </c>
      <c r="G491" s="248"/>
      <c r="H491" s="248"/>
      <c r="I491" s="249"/>
      <c r="J491" s="250"/>
      <c r="K491" s="259"/>
      <c r="L491" s="260"/>
      <c r="M491" s="252" t="str" cm="1">
        <f t="array" ref="M491">INDEX(Trad, 53, $A$20)</f>
        <v>Verschmutzt</v>
      </c>
      <c r="N491" s="253"/>
      <c r="O491" s="253"/>
      <c r="P491" s="254"/>
      <c r="Q491" s="251"/>
      <c r="R491" s="251"/>
      <c r="S491" s="264">
        <f t="shared" si="535"/>
        <v>0</v>
      </c>
      <c r="T491" s="252" t="str" cm="1">
        <f t="array" ref="T491">INDEX(Trad, 52, $A$20)</f>
        <v>Sauber</v>
      </c>
      <c r="U491" s="253"/>
      <c r="V491" s="253"/>
      <c r="W491" s="254"/>
      <c r="X491" s="251"/>
      <c r="Y491" s="251"/>
      <c r="Z491" s="264">
        <f t="shared" si="536"/>
        <v>0</v>
      </c>
      <c r="AA491" s="261"/>
      <c r="AB491" s="258"/>
      <c r="AC491" s="246"/>
      <c r="AD491" s="247" t="str">
        <f>IF(ISBLANK(AC491), "", VLOOKUP(AC491, Z!$A$2:$C$4127, 3, FALSE))</f>
        <v/>
      </c>
      <c r="AE491" s="262"/>
      <c r="AF491" s="263">
        <f t="shared" si="537"/>
        <v>0</v>
      </c>
      <c r="AG491" s="238"/>
      <c r="AH491" s="229">
        <f t="shared" si="561"/>
        <v>1</v>
      </c>
      <c r="AI491" s="229">
        <f t="shared" si="562"/>
        <v>1</v>
      </c>
      <c r="AJ491" s="229">
        <f t="shared" si="563"/>
        <v>0</v>
      </c>
      <c r="AK491" s="229">
        <v>0</v>
      </c>
      <c r="AL491" s="229">
        <v>0</v>
      </c>
      <c r="AM491" s="229">
        <v>1</v>
      </c>
      <c r="AN491" s="229">
        <v>0</v>
      </c>
      <c r="AO491" s="229">
        <f t="shared" si="538"/>
        <v>-100</v>
      </c>
      <c r="AP491" s="238"/>
      <c r="AQ491" s="255"/>
      <c r="AR491" s="255"/>
      <c r="AS491" s="256"/>
      <c r="AT491" s="256"/>
      <c r="AU491" s="256"/>
      <c r="AV491" s="256"/>
      <c r="AW491" s="256"/>
      <c r="AX491" s="256"/>
      <c r="AY491" s="256"/>
      <c r="AZ491" s="256"/>
      <c r="BA491" s="256"/>
      <c r="BB491" s="256"/>
      <c r="BC491" s="256"/>
      <c r="BD491" s="238"/>
      <c r="BE491" s="229" cm="1">
        <f t="array" ref="BE491">IF(ISBLANK(R491), INDEX(Use, $AH491, 4) - AM491*INDEX(Use, $AH491, 6), R491)</f>
        <v>5</v>
      </c>
      <c r="BF491" s="229">
        <f t="shared" si="539"/>
        <v>30</v>
      </c>
      <c r="BG491" s="229">
        <f t="shared" si="565"/>
        <v>13</v>
      </c>
      <c r="BH491" s="229">
        <f t="shared" si="566"/>
        <v>0</v>
      </c>
      <c r="BI491" s="234" cm="1">
        <f t="array" ref="BI491">K491/IF($L491&gt;0, INDEX($AU$23:$BA$77, $L491+20, $AH491), 1)</f>
        <v>0</v>
      </c>
      <c r="BJ491" s="230">
        <f t="shared" si="540"/>
        <v>0</v>
      </c>
      <c r="BK491" s="229">
        <v>35</v>
      </c>
      <c r="BL491" s="230">
        <f t="shared" si="541"/>
        <v>48</v>
      </c>
      <c r="BM491" s="235">
        <f t="shared" si="542"/>
        <v>2.9108720930232557</v>
      </c>
      <c r="BN491" s="235" cm="1">
        <f t="array" ref="BN491">$BI491 * SUMPRODUCT(INDEX($AR$77:$AT$82,,$AI491),INDEX($AU$77:$BA$82,,$AH491), N($AQ$77:$AQ$82&gt;$AO491)) / BM491 / 1000</f>
        <v>0</v>
      </c>
      <c r="BO491" s="232">
        <f t="shared" si="567"/>
        <v>30</v>
      </c>
      <c r="BP491" s="230">
        <f t="shared" si="543"/>
        <v>43</v>
      </c>
      <c r="BQ491" s="235">
        <f t="shared" si="544"/>
        <v>3.2938815789473681</v>
      </c>
      <c r="BR491" s="235" cm="1">
        <f t="array" ref="BR491">$BI491 * IF($AH491&lt;=2,
SUMPRODUCT(INDEX($AR$72:$AT$76,,$AI491), INDEX($AU$72:$BA$76,,$AH491), 1 / ($BB$72:$BB$76*BQ491 + (1-$BB$72:$BB$76)*BM491), N($AQ$72:$AQ$76&gt;$AO491)),
SUMPRODUCT(INDEX($AR$67:$AT$76,,$AI491), INDEX($AU$67:$BA$76,,$AH491), 1 / ($BC$67:$BC$76*BQ491 + (1-$BC$67:$BC$76)*BM491), N($AQ$67:$AQ$76&gt;$AO491))
) / 1000</f>
        <v>0</v>
      </c>
      <c r="BS491" s="232">
        <f t="shared" si="568"/>
        <v>25</v>
      </c>
      <c r="BT491" s="230">
        <f t="shared" si="545"/>
        <v>38</v>
      </c>
      <c r="BU491" s="235">
        <f t="shared" si="546"/>
        <v>3.792954545454545</v>
      </c>
      <c r="BV491" s="235" cm="1">
        <f t="array" ref="BV491">$BI491 * IF($AH491&lt;=2,
SUMPRODUCT(INDEX($AR$67:$AT$71,,$AI491), INDEX($AU$67:$BA$71,,$AH491), 1 / ($BB$67:$BB$71*BU491 + (1-$BB$67:$BB$71)*BQ491), N($AQ$67:$AQ$71&gt;$AO491)),
SUMPRODUCT(INDEX($AR$57:$AT$66,,$AI491), INDEX($AU$57:$BA$66,,$AH491), 1 / ($BC$57:$BC$66*BU491 + (1-$BC$57:$BC$66)*BQ491), N($AQ$57:$AQ$66&gt;$AO491))
) / 1000</f>
        <v>0</v>
      </c>
      <c r="BW491" s="232">
        <f t="shared" si="569"/>
        <v>20</v>
      </c>
      <c r="BX491" s="230">
        <f t="shared" si="547"/>
        <v>33</v>
      </c>
      <c r="BY491" s="235">
        <f t="shared" si="548"/>
        <v>4.4702678571428569</v>
      </c>
      <c r="BZ491" s="235" cm="1">
        <f t="array" ref="BZ491">$BI491 * IF($AH491&lt;=2,
SUMPRODUCT(INDEX($AR$62:$AT$66,,$AI491), INDEX($AU$62:$BA$66,,$AH491), 1 / ($BB$62:$BB$66*BY491 + (1-$BB$62:$BB$66)*BU491), N($AQ$62:$AQ$66&gt;$AO491)),
SUMPRODUCT(INDEX($AR$47:$AT$56,,$AI491), INDEX($AU$47:$BA$56,,$AH491), 1 / ($BC$47:$BC$56*BY491 + (1-$BC$47:$BC$56)*BU491), N($AQ$47:$AQ$56&gt;$AO491))
) / 1000</f>
        <v>0</v>
      </c>
      <c r="CA491" s="235" cm="1">
        <f t="array" ref="CA491">$BI491 * IF($AH491&lt;=2,
SUMPRODUCT(INDEX($AR$23:$AT$61,,$AI491), INDEX($AU$23:$BA$61,,$AH491), 1 / ($BB$23:$BB$61*BY491), N($AQ$23:$AQ$61&gt;$AO491)),
SUMPRODUCT(INDEX($AR$23:$AT$46,,$AI491), INDEX($AU$23:$BA$46,,$AH491), 1 / ($BC$23:$BC$46*BY491), N($AQ$23:$AQ$46&gt;$AO491))
) / 1000</f>
        <v>0</v>
      </c>
      <c r="CB491" s="230">
        <f t="shared" si="549"/>
        <v>0</v>
      </c>
      <c r="CC491" s="238"/>
      <c r="CD491" s="229" cm="1">
        <f t="array" ref="CD491">IF(ISBLANK(Y491), INDEX(Use, $AH491, 4) - AN491*INDEX(Use, $AH491, 6) - (Q491-X491), Y491)</f>
        <v>7</v>
      </c>
      <c r="CE491" s="229">
        <f t="shared" si="550"/>
        <v>32</v>
      </c>
      <c r="CF491" s="230">
        <f t="shared" si="551"/>
        <v>0</v>
      </c>
      <c r="CG491" s="229">
        <v>35</v>
      </c>
      <c r="CH491" s="230">
        <f t="shared" si="552"/>
        <v>48</v>
      </c>
      <c r="CI491" s="235">
        <f t="shared" si="553"/>
        <v>3.0748170731707316</v>
      </c>
      <c r="CJ491" s="235" cm="1">
        <f t="array" ref="CJ491">$BI491 * SUMPRODUCT(INDEX($AR$77:$AT$82,,$AI491),INDEX($AU$77:$BA$82,,$AH491), N($AQ$77:$AQ$82&gt;$AO491)) / CI491 / 1000</f>
        <v>0</v>
      </c>
      <c r="CK491" s="232">
        <f t="shared" si="570"/>
        <v>30</v>
      </c>
      <c r="CL491" s="230">
        <f t="shared" si="554"/>
        <v>43</v>
      </c>
      <c r="CM491" s="235">
        <f t="shared" si="555"/>
        <v>3.5018750000000001</v>
      </c>
      <c r="CN491" s="235" cm="1">
        <f t="array" ref="CN491">$BI491 * IF($AH491&lt;=2,
SUMPRODUCT(INDEX($AR$72:$AT$76,,$AI491), INDEX($AU$72:$BA$76,,$AH491), 1 / ($BB$72:$BB$76*CM491 + (1-$BB$72:$BB$76)*CI491), N($AQ$72:$AQ$76&gt;$AO491)),
SUMPRODUCT(INDEX($AR$67:$AT$76,,$AI491), INDEX($AU$67:$BA$76,,$AH491), 1 / ($BC$67:$BC$76*CM491 + (1-$BC$67:$BC$76)*CI491), N($AQ$67:$AQ$76&gt;$AO491))
) / 1000</f>
        <v>0</v>
      </c>
      <c r="CO491" s="232">
        <f t="shared" si="571"/>
        <v>25</v>
      </c>
      <c r="CP491" s="230">
        <f t="shared" si="556"/>
        <v>38</v>
      </c>
      <c r="CQ491" s="235">
        <f t="shared" si="557"/>
        <v>4.0666935483870965</v>
      </c>
      <c r="CR491" s="235" cm="1">
        <f t="array" ref="CR491">$BI491 * IF($AH491&lt;=2,
SUMPRODUCT(INDEX($AR$67:$AT$71,,$AI491), INDEX($AU$67:$BA$71,,$AH491), 1 / ($BB$67:$BB$71*CQ491 + (1-$BB$67:$BB$71)*CM491), N($AQ$67:$AQ$71&gt;$AO491)),
SUMPRODUCT(INDEX($AR$57:$AT$66,,$AI491), INDEX($AU$57:$BA$66,,$AH491), 1 / ($BC$57:$BC$66*CQ491 + (1-$BC$57:$BC$66)*CM491), N($AQ$57:$AQ$66&gt;$AO491))
) / 1000</f>
        <v>0</v>
      </c>
      <c r="CS491" s="232">
        <f t="shared" si="572"/>
        <v>20</v>
      </c>
      <c r="CT491" s="230">
        <f t="shared" si="558"/>
        <v>33</v>
      </c>
      <c r="CU491" s="235">
        <f t="shared" si="559"/>
        <v>4.8487499999999999</v>
      </c>
      <c r="CV491" s="235" cm="1">
        <f t="array" ref="CV491">$BI491 * IF($AH491&lt;=2,
SUMPRODUCT(INDEX($AR$62:$AT$66,,$AI491), INDEX($AU$62:$BA$66,,$AH491), 1 / ($BB$62:$BB$66*CU491 + (1-$BB$62:$BB$66)*CQ491), N($AQ$62:$AQ$66&gt;$AO491)),
SUMPRODUCT(INDEX($AR$47:$AT$56,,$AI491), INDEX($AU$47:$BA$56,,$AH491), 1 / ($BC$47:$BC$56*CU491 + (1-$BC$47:$BC$56)*CQ491), N($AQ$47:$AQ$56&gt;$AO491))
) / 1000</f>
        <v>0</v>
      </c>
      <c r="CW491" s="235" cm="1">
        <f t="array" ref="CW491">$BI491 * IF($AH491&lt;=2,
SUMPRODUCT(INDEX($AR$23:$AT$61,,$AI491), INDEX($AU$23:$BA$61,,$AH491), 1 / ($BB$23:$BB$61*CU491), N($AQ$23:$AQ$61&gt;$AO491)),
SUMPRODUCT(INDEX($AR$23:$AT$46,,$AI491), INDEX($AU$23:$BA$46,,$AH491), 1 / ($BC$23:$BC$46*CU491), N($AQ$23:$AQ$46&gt;$AO491))
) / 1000</f>
        <v>0</v>
      </c>
      <c r="CX491" s="230">
        <f t="shared" si="560"/>
        <v>0</v>
      </c>
      <c r="CY491" s="238"/>
    </row>
    <row r="492" spans="1:103" s="76" customFormat="1" ht="14.25" customHeight="1" x14ac:dyDescent="0.2">
      <c r="A492" s="231" t="b">
        <f t="shared" si="564"/>
        <v>0</v>
      </c>
      <c r="B492" s="245">
        <v>470</v>
      </c>
      <c r="C492" s="258"/>
      <c r="D492" s="258"/>
      <c r="E492" s="246"/>
      <c r="F492" s="247" t="str">
        <f>IF(ISBLANK(E492), "", VLOOKUP(E492, Z!$A$2:$C$4127, 3, FALSE))</f>
        <v/>
      </c>
      <c r="G492" s="248"/>
      <c r="H492" s="248"/>
      <c r="I492" s="249"/>
      <c r="J492" s="250"/>
      <c r="K492" s="259"/>
      <c r="L492" s="260"/>
      <c r="M492" s="252" t="str" cm="1">
        <f t="array" ref="M492">INDEX(Trad, 53, $A$20)</f>
        <v>Verschmutzt</v>
      </c>
      <c r="N492" s="253"/>
      <c r="O492" s="253"/>
      <c r="P492" s="254"/>
      <c r="Q492" s="251"/>
      <c r="R492" s="251"/>
      <c r="S492" s="264">
        <f t="shared" si="535"/>
        <v>0</v>
      </c>
      <c r="T492" s="252" t="str" cm="1">
        <f t="array" ref="T492">INDEX(Trad, 52, $A$20)</f>
        <v>Sauber</v>
      </c>
      <c r="U492" s="253"/>
      <c r="V492" s="253"/>
      <c r="W492" s="254"/>
      <c r="X492" s="251"/>
      <c r="Y492" s="251"/>
      <c r="Z492" s="264">
        <f t="shared" si="536"/>
        <v>0</v>
      </c>
      <c r="AA492" s="261"/>
      <c r="AB492" s="258"/>
      <c r="AC492" s="246"/>
      <c r="AD492" s="247" t="str">
        <f>IF(ISBLANK(AC492), "", VLOOKUP(AC492, Z!$A$2:$C$4127, 3, FALSE))</f>
        <v/>
      </c>
      <c r="AE492" s="262"/>
      <c r="AF492" s="263">
        <f t="shared" si="537"/>
        <v>0</v>
      </c>
      <c r="AG492" s="238"/>
      <c r="AH492" s="229">
        <f t="shared" si="561"/>
        <v>1</v>
      </c>
      <c r="AI492" s="229">
        <f t="shared" si="562"/>
        <v>1</v>
      </c>
      <c r="AJ492" s="229">
        <f t="shared" si="563"/>
        <v>0</v>
      </c>
      <c r="AK492" s="229">
        <v>0</v>
      </c>
      <c r="AL492" s="229">
        <v>0</v>
      </c>
      <c r="AM492" s="229">
        <v>1</v>
      </c>
      <c r="AN492" s="229">
        <v>0</v>
      </c>
      <c r="AO492" s="229">
        <f t="shared" si="538"/>
        <v>-100</v>
      </c>
      <c r="AP492" s="238"/>
      <c r="AQ492" s="255"/>
      <c r="AR492" s="255"/>
      <c r="AS492" s="256"/>
      <c r="AT492" s="256"/>
      <c r="AU492" s="256"/>
      <c r="AV492" s="256"/>
      <c r="AW492" s="256"/>
      <c r="AX492" s="256"/>
      <c r="AY492" s="256"/>
      <c r="AZ492" s="256"/>
      <c r="BA492" s="256"/>
      <c r="BB492" s="256"/>
      <c r="BC492" s="256"/>
      <c r="BD492" s="238"/>
      <c r="BE492" s="229" cm="1">
        <f t="array" ref="BE492">IF(ISBLANK(R492), INDEX(Use, $AH492, 4) - AM492*INDEX(Use, $AH492, 6), R492)</f>
        <v>5</v>
      </c>
      <c r="BF492" s="229">
        <f t="shared" si="539"/>
        <v>30</v>
      </c>
      <c r="BG492" s="229">
        <f t="shared" si="565"/>
        <v>13</v>
      </c>
      <c r="BH492" s="229">
        <f t="shared" si="566"/>
        <v>0</v>
      </c>
      <c r="BI492" s="234" cm="1">
        <f t="array" ref="BI492">K492/IF($L492&gt;0, INDEX($AU$23:$BA$77, $L492+20, $AH492), 1)</f>
        <v>0</v>
      </c>
      <c r="BJ492" s="230">
        <f t="shared" si="540"/>
        <v>0</v>
      </c>
      <c r="BK492" s="229">
        <v>35</v>
      </c>
      <c r="BL492" s="230">
        <f t="shared" si="541"/>
        <v>48</v>
      </c>
      <c r="BM492" s="235">
        <f t="shared" si="542"/>
        <v>2.9108720930232557</v>
      </c>
      <c r="BN492" s="235" cm="1">
        <f t="array" ref="BN492">$BI492 * SUMPRODUCT(INDEX($AR$77:$AT$82,,$AI492),INDEX($AU$77:$BA$82,,$AH492), N($AQ$77:$AQ$82&gt;$AO492)) / BM492 / 1000</f>
        <v>0</v>
      </c>
      <c r="BO492" s="232">
        <f t="shared" si="567"/>
        <v>30</v>
      </c>
      <c r="BP492" s="230">
        <f t="shared" si="543"/>
        <v>43</v>
      </c>
      <c r="BQ492" s="235">
        <f t="shared" si="544"/>
        <v>3.2938815789473681</v>
      </c>
      <c r="BR492" s="235" cm="1">
        <f t="array" ref="BR492">$BI492 * IF($AH492&lt;=2,
SUMPRODUCT(INDEX($AR$72:$AT$76,,$AI492), INDEX($AU$72:$BA$76,,$AH492), 1 / ($BB$72:$BB$76*BQ492 + (1-$BB$72:$BB$76)*BM492), N($AQ$72:$AQ$76&gt;$AO492)),
SUMPRODUCT(INDEX($AR$67:$AT$76,,$AI492), INDEX($AU$67:$BA$76,,$AH492), 1 / ($BC$67:$BC$76*BQ492 + (1-$BC$67:$BC$76)*BM492), N($AQ$67:$AQ$76&gt;$AO492))
) / 1000</f>
        <v>0</v>
      </c>
      <c r="BS492" s="232">
        <f t="shared" si="568"/>
        <v>25</v>
      </c>
      <c r="BT492" s="230">
        <f t="shared" si="545"/>
        <v>38</v>
      </c>
      <c r="BU492" s="235">
        <f t="shared" si="546"/>
        <v>3.792954545454545</v>
      </c>
      <c r="BV492" s="235" cm="1">
        <f t="array" ref="BV492">$BI492 * IF($AH492&lt;=2,
SUMPRODUCT(INDEX($AR$67:$AT$71,,$AI492), INDEX($AU$67:$BA$71,,$AH492), 1 / ($BB$67:$BB$71*BU492 + (1-$BB$67:$BB$71)*BQ492), N($AQ$67:$AQ$71&gt;$AO492)),
SUMPRODUCT(INDEX($AR$57:$AT$66,,$AI492), INDEX($AU$57:$BA$66,,$AH492), 1 / ($BC$57:$BC$66*BU492 + (1-$BC$57:$BC$66)*BQ492), N($AQ$57:$AQ$66&gt;$AO492))
) / 1000</f>
        <v>0</v>
      </c>
      <c r="BW492" s="232">
        <f t="shared" si="569"/>
        <v>20</v>
      </c>
      <c r="BX492" s="230">
        <f t="shared" si="547"/>
        <v>33</v>
      </c>
      <c r="BY492" s="235">
        <f t="shared" si="548"/>
        <v>4.4702678571428569</v>
      </c>
      <c r="BZ492" s="235" cm="1">
        <f t="array" ref="BZ492">$BI492 * IF($AH492&lt;=2,
SUMPRODUCT(INDEX($AR$62:$AT$66,,$AI492), INDEX($AU$62:$BA$66,,$AH492), 1 / ($BB$62:$BB$66*BY492 + (1-$BB$62:$BB$66)*BU492), N($AQ$62:$AQ$66&gt;$AO492)),
SUMPRODUCT(INDEX($AR$47:$AT$56,,$AI492), INDEX($AU$47:$BA$56,,$AH492), 1 / ($BC$47:$BC$56*BY492 + (1-$BC$47:$BC$56)*BU492), N($AQ$47:$AQ$56&gt;$AO492))
) / 1000</f>
        <v>0</v>
      </c>
      <c r="CA492" s="235" cm="1">
        <f t="array" ref="CA492">$BI492 * IF($AH492&lt;=2,
SUMPRODUCT(INDEX($AR$23:$AT$61,,$AI492), INDEX($AU$23:$BA$61,,$AH492), 1 / ($BB$23:$BB$61*BY492), N($AQ$23:$AQ$61&gt;$AO492)),
SUMPRODUCT(INDEX($AR$23:$AT$46,,$AI492), INDEX($AU$23:$BA$46,,$AH492), 1 / ($BC$23:$BC$46*BY492), N($AQ$23:$AQ$46&gt;$AO492))
) / 1000</f>
        <v>0</v>
      </c>
      <c r="CB492" s="230">
        <f t="shared" si="549"/>
        <v>0</v>
      </c>
      <c r="CC492" s="238"/>
      <c r="CD492" s="229" cm="1">
        <f t="array" ref="CD492">IF(ISBLANK(Y492), INDEX(Use, $AH492, 4) - AN492*INDEX(Use, $AH492, 6) - (Q492-X492), Y492)</f>
        <v>7</v>
      </c>
      <c r="CE492" s="229">
        <f t="shared" si="550"/>
        <v>32</v>
      </c>
      <c r="CF492" s="230">
        <f t="shared" si="551"/>
        <v>0</v>
      </c>
      <c r="CG492" s="229">
        <v>35</v>
      </c>
      <c r="CH492" s="230">
        <f t="shared" si="552"/>
        <v>48</v>
      </c>
      <c r="CI492" s="235">
        <f t="shared" si="553"/>
        <v>3.0748170731707316</v>
      </c>
      <c r="CJ492" s="235" cm="1">
        <f t="array" ref="CJ492">$BI492 * SUMPRODUCT(INDEX($AR$77:$AT$82,,$AI492),INDEX($AU$77:$BA$82,,$AH492), N($AQ$77:$AQ$82&gt;$AO492)) / CI492 / 1000</f>
        <v>0</v>
      </c>
      <c r="CK492" s="232">
        <f t="shared" si="570"/>
        <v>30</v>
      </c>
      <c r="CL492" s="230">
        <f t="shared" si="554"/>
        <v>43</v>
      </c>
      <c r="CM492" s="235">
        <f t="shared" si="555"/>
        <v>3.5018750000000001</v>
      </c>
      <c r="CN492" s="235" cm="1">
        <f t="array" ref="CN492">$BI492 * IF($AH492&lt;=2,
SUMPRODUCT(INDEX($AR$72:$AT$76,,$AI492), INDEX($AU$72:$BA$76,,$AH492), 1 / ($BB$72:$BB$76*CM492 + (1-$BB$72:$BB$76)*CI492), N($AQ$72:$AQ$76&gt;$AO492)),
SUMPRODUCT(INDEX($AR$67:$AT$76,,$AI492), INDEX($AU$67:$BA$76,,$AH492), 1 / ($BC$67:$BC$76*CM492 + (1-$BC$67:$BC$76)*CI492), N($AQ$67:$AQ$76&gt;$AO492))
) / 1000</f>
        <v>0</v>
      </c>
      <c r="CO492" s="232">
        <f t="shared" si="571"/>
        <v>25</v>
      </c>
      <c r="CP492" s="230">
        <f t="shared" si="556"/>
        <v>38</v>
      </c>
      <c r="CQ492" s="235">
        <f t="shared" si="557"/>
        <v>4.0666935483870965</v>
      </c>
      <c r="CR492" s="235" cm="1">
        <f t="array" ref="CR492">$BI492 * IF($AH492&lt;=2,
SUMPRODUCT(INDEX($AR$67:$AT$71,,$AI492), INDEX($AU$67:$BA$71,,$AH492), 1 / ($BB$67:$BB$71*CQ492 + (1-$BB$67:$BB$71)*CM492), N($AQ$67:$AQ$71&gt;$AO492)),
SUMPRODUCT(INDEX($AR$57:$AT$66,,$AI492), INDEX($AU$57:$BA$66,,$AH492), 1 / ($BC$57:$BC$66*CQ492 + (1-$BC$57:$BC$66)*CM492), N($AQ$57:$AQ$66&gt;$AO492))
) / 1000</f>
        <v>0</v>
      </c>
      <c r="CS492" s="232">
        <f t="shared" si="572"/>
        <v>20</v>
      </c>
      <c r="CT492" s="230">
        <f t="shared" si="558"/>
        <v>33</v>
      </c>
      <c r="CU492" s="235">
        <f t="shared" si="559"/>
        <v>4.8487499999999999</v>
      </c>
      <c r="CV492" s="235" cm="1">
        <f t="array" ref="CV492">$BI492 * IF($AH492&lt;=2,
SUMPRODUCT(INDEX($AR$62:$AT$66,,$AI492), INDEX($AU$62:$BA$66,,$AH492), 1 / ($BB$62:$BB$66*CU492 + (1-$BB$62:$BB$66)*CQ492), N($AQ$62:$AQ$66&gt;$AO492)),
SUMPRODUCT(INDEX($AR$47:$AT$56,,$AI492), INDEX($AU$47:$BA$56,,$AH492), 1 / ($BC$47:$BC$56*CU492 + (1-$BC$47:$BC$56)*CQ492), N($AQ$47:$AQ$56&gt;$AO492))
) / 1000</f>
        <v>0</v>
      </c>
      <c r="CW492" s="235" cm="1">
        <f t="array" ref="CW492">$BI492 * IF($AH492&lt;=2,
SUMPRODUCT(INDEX($AR$23:$AT$61,,$AI492), INDEX($AU$23:$BA$61,,$AH492), 1 / ($BB$23:$BB$61*CU492), N($AQ$23:$AQ$61&gt;$AO492)),
SUMPRODUCT(INDEX($AR$23:$AT$46,,$AI492), INDEX($AU$23:$BA$46,,$AH492), 1 / ($BC$23:$BC$46*CU492), N($AQ$23:$AQ$46&gt;$AO492))
) / 1000</f>
        <v>0</v>
      </c>
      <c r="CX492" s="230">
        <f t="shared" si="560"/>
        <v>0</v>
      </c>
      <c r="CY492" s="238"/>
    </row>
    <row r="493" spans="1:103" s="76" customFormat="1" ht="14.25" customHeight="1" x14ac:dyDescent="0.2">
      <c r="A493" s="231" t="b">
        <f t="shared" si="564"/>
        <v>0</v>
      </c>
      <c r="B493" s="245">
        <v>471</v>
      </c>
      <c r="C493" s="258"/>
      <c r="D493" s="258"/>
      <c r="E493" s="246"/>
      <c r="F493" s="247" t="str">
        <f>IF(ISBLANK(E493), "", VLOOKUP(E493, Z!$A$2:$C$4127, 3, FALSE))</f>
        <v/>
      </c>
      <c r="G493" s="248"/>
      <c r="H493" s="248"/>
      <c r="I493" s="249"/>
      <c r="J493" s="250"/>
      <c r="K493" s="259"/>
      <c r="L493" s="260"/>
      <c r="M493" s="252" t="str" cm="1">
        <f t="array" ref="M493">INDEX(Trad, 53, $A$20)</f>
        <v>Verschmutzt</v>
      </c>
      <c r="N493" s="253"/>
      <c r="O493" s="253"/>
      <c r="P493" s="254"/>
      <c r="Q493" s="251"/>
      <c r="R493" s="251"/>
      <c r="S493" s="264">
        <f t="shared" si="535"/>
        <v>0</v>
      </c>
      <c r="T493" s="252" t="str" cm="1">
        <f t="array" ref="T493">INDEX(Trad, 52, $A$20)</f>
        <v>Sauber</v>
      </c>
      <c r="U493" s="253"/>
      <c r="V493" s="253"/>
      <c r="W493" s="254"/>
      <c r="X493" s="251"/>
      <c r="Y493" s="251"/>
      <c r="Z493" s="264">
        <f t="shared" si="536"/>
        <v>0</v>
      </c>
      <c r="AA493" s="261"/>
      <c r="AB493" s="258"/>
      <c r="AC493" s="246"/>
      <c r="AD493" s="247" t="str">
        <f>IF(ISBLANK(AC493), "", VLOOKUP(AC493, Z!$A$2:$C$4127, 3, FALSE))</f>
        <v/>
      </c>
      <c r="AE493" s="262"/>
      <c r="AF493" s="263">
        <f t="shared" si="537"/>
        <v>0</v>
      </c>
      <c r="AG493" s="238"/>
      <c r="AH493" s="229">
        <f t="shared" si="561"/>
        <v>1</v>
      </c>
      <c r="AI493" s="229">
        <f t="shared" si="562"/>
        <v>1</v>
      </c>
      <c r="AJ493" s="229">
        <f t="shared" si="563"/>
        <v>0</v>
      </c>
      <c r="AK493" s="229">
        <v>0</v>
      </c>
      <c r="AL493" s="229">
        <v>0</v>
      </c>
      <c r="AM493" s="229">
        <v>1</v>
      </c>
      <c r="AN493" s="229">
        <v>0</v>
      </c>
      <c r="AO493" s="229">
        <f t="shared" si="538"/>
        <v>-100</v>
      </c>
      <c r="AP493" s="238"/>
      <c r="AQ493" s="255"/>
      <c r="AR493" s="255"/>
      <c r="AS493" s="256"/>
      <c r="AT493" s="256"/>
      <c r="AU493" s="256"/>
      <c r="AV493" s="256"/>
      <c r="AW493" s="256"/>
      <c r="AX493" s="256"/>
      <c r="AY493" s="256"/>
      <c r="AZ493" s="256"/>
      <c r="BA493" s="256"/>
      <c r="BB493" s="256"/>
      <c r="BC493" s="256"/>
      <c r="BD493" s="238"/>
      <c r="BE493" s="229" cm="1">
        <f t="array" ref="BE493">IF(ISBLANK(R493), INDEX(Use, $AH493, 4) - AM493*INDEX(Use, $AH493, 6), R493)</f>
        <v>5</v>
      </c>
      <c r="BF493" s="229">
        <f t="shared" si="539"/>
        <v>30</v>
      </c>
      <c r="BG493" s="229">
        <f t="shared" si="565"/>
        <v>13</v>
      </c>
      <c r="BH493" s="229">
        <f t="shared" si="566"/>
        <v>0</v>
      </c>
      <c r="BI493" s="234" cm="1">
        <f t="array" ref="BI493">K493/IF($L493&gt;0, INDEX($AU$23:$BA$77, $L493+20, $AH493), 1)</f>
        <v>0</v>
      </c>
      <c r="BJ493" s="230">
        <f t="shared" si="540"/>
        <v>0</v>
      </c>
      <c r="BK493" s="229">
        <v>35</v>
      </c>
      <c r="BL493" s="230">
        <f t="shared" si="541"/>
        <v>48</v>
      </c>
      <c r="BM493" s="235">
        <f t="shared" si="542"/>
        <v>2.9108720930232557</v>
      </c>
      <c r="BN493" s="235" cm="1">
        <f t="array" ref="BN493">$BI493 * SUMPRODUCT(INDEX($AR$77:$AT$82,,$AI493),INDEX($AU$77:$BA$82,,$AH493), N($AQ$77:$AQ$82&gt;$AO493)) / BM493 / 1000</f>
        <v>0</v>
      </c>
      <c r="BO493" s="232">
        <f t="shared" si="567"/>
        <v>30</v>
      </c>
      <c r="BP493" s="230">
        <f t="shared" si="543"/>
        <v>43</v>
      </c>
      <c r="BQ493" s="235">
        <f t="shared" si="544"/>
        <v>3.2938815789473681</v>
      </c>
      <c r="BR493" s="235" cm="1">
        <f t="array" ref="BR493">$BI493 * IF($AH493&lt;=2,
SUMPRODUCT(INDEX($AR$72:$AT$76,,$AI493), INDEX($AU$72:$BA$76,,$AH493), 1 / ($BB$72:$BB$76*BQ493 + (1-$BB$72:$BB$76)*BM493), N($AQ$72:$AQ$76&gt;$AO493)),
SUMPRODUCT(INDEX($AR$67:$AT$76,,$AI493), INDEX($AU$67:$BA$76,,$AH493), 1 / ($BC$67:$BC$76*BQ493 + (1-$BC$67:$BC$76)*BM493), N($AQ$67:$AQ$76&gt;$AO493))
) / 1000</f>
        <v>0</v>
      </c>
      <c r="BS493" s="232">
        <f t="shared" si="568"/>
        <v>25</v>
      </c>
      <c r="BT493" s="230">
        <f t="shared" si="545"/>
        <v>38</v>
      </c>
      <c r="BU493" s="235">
        <f t="shared" si="546"/>
        <v>3.792954545454545</v>
      </c>
      <c r="BV493" s="235" cm="1">
        <f t="array" ref="BV493">$BI493 * IF($AH493&lt;=2,
SUMPRODUCT(INDEX($AR$67:$AT$71,,$AI493), INDEX($AU$67:$BA$71,,$AH493), 1 / ($BB$67:$BB$71*BU493 + (1-$BB$67:$BB$71)*BQ493), N($AQ$67:$AQ$71&gt;$AO493)),
SUMPRODUCT(INDEX($AR$57:$AT$66,,$AI493), INDEX($AU$57:$BA$66,,$AH493), 1 / ($BC$57:$BC$66*BU493 + (1-$BC$57:$BC$66)*BQ493), N($AQ$57:$AQ$66&gt;$AO493))
) / 1000</f>
        <v>0</v>
      </c>
      <c r="BW493" s="232">
        <f t="shared" si="569"/>
        <v>20</v>
      </c>
      <c r="BX493" s="230">
        <f t="shared" si="547"/>
        <v>33</v>
      </c>
      <c r="BY493" s="235">
        <f t="shared" si="548"/>
        <v>4.4702678571428569</v>
      </c>
      <c r="BZ493" s="235" cm="1">
        <f t="array" ref="BZ493">$BI493 * IF($AH493&lt;=2,
SUMPRODUCT(INDEX($AR$62:$AT$66,,$AI493), INDEX($AU$62:$BA$66,,$AH493), 1 / ($BB$62:$BB$66*BY493 + (1-$BB$62:$BB$66)*BU493), N($AQ$62:$AQ$66&gt;$AO493)),
SUMPRODUCT(INDEX($AR$47:$AT$56,,$AI493), INDEX($AU$47:$BA$56,,$AH493), 1 / ($BC$47:$BC$56*BY493 + (1-$BC$47:$BC$56)*BU493), N($AQ$47:$AQ$56&gt;$AO493))
) / 1000</f>
        <v>0</v>
      </c>
      <c r="CA493" s="235" cm="1">
        <f t="array" ref="CA493">$BI493 * IF($AH493&lt;=2,
SUMPRODUCT(INDEX($AR$23:$AT$61,,$AI493), INDEX($AU$23:$BA$61,,$AH493), 1 / ($BB$23:$BB$61*BY493), N($AQ$23:$AQ$61&gt;$AO493)),
SUMPRODUCT(INDEX($AR$23:$AT$46,,$AI493), INDEX($AU$23:$BA$46,,$AH493), 1 / ($BC$23:$BC$46*BY493), N($AQ$23:$AQ$46&gt;$AO493))
) / 1000</f>
        <v>0</v>
      </c>
      <c r="CB493" s="230">
        <f t="shared" si="549"/>
        <v>0</v>
      </c>
      <c r="CC493" s="238"/>
      <c r="CD493" s="229" cm="1">
        <f t="array" ref="CD493">IF(ISBLANK(Y493), INDEX(Use, $AH493, 4) - AN493*INDEX(Use, $AH493, 6) - (Q493-X493), Y493)</f>
        <v>7</v>
      </c>
      <c r="CE493" s="229">
        <f t="shared" si="550"/>
        <v>32</v>
      </c>
      <c r="CF493" s="230">
        <f t="shared" si="551"/>
        <v>0</v>
      </c>
      <c r="CG493" s="229">
        <v>35</v>
      </c>
      <c r="CH493" s="230">
        <f t="shared" si="552"/>
        <v>48</v>
      </c>
      <c r="CI493" s="235">
        <f t="shared" si="553"/>
        <v>3.0748170731707316</v>
      </c>
      <c r="CJ493" s="235" cm="1">
        <f t="array" ref="CJ493">$BI493 * SUMPRODUCT(INDEX($AR$77:$AT$82,,$AI493),INDEX($AU$77:$BA$82,,$AH493), N($AQ$77:$AQ$82&gt;$AO493)) / CI493 / 1000</f>
        <v>0</v>
      </c>
      <c r="CK493" s="232">
        <f t="shared" si="570"/>
        <v>30</v>
      </c>
      <c r="CL493" s="230">
        <f t="shared" si="554"/>
        <v>43</v>
      </c>
      <c r="CM493" s="235">
        <f t="shared" si="555"/>
        <v>3.5018750000000001</v>
      </c>
      <c r="CN493" s="235" cm="1">
        <f t="array" ref="CN493">$BI493 * IF($AH493&lt;=2,
SUMPRODUCT(INDEX($AR$72:$AT$76,,$AI493), INDEX($AU$72:$BA$76,,$AH493), 1 / ($BB$72:$BB$76*CM493 + (1-$BB$72:$BB$76)*CI493), N($AQ$72:$AQ$76&gt;$AO493)),
SUMPRODUCT(INDEX($AR$67:$AT$76,,$AI493), INDEX($AU$67:$BA$76,,$AH493), 1 / ($BC$67:$BC$76*CM493 + (1-$BC$67:$BC$76)*CI493), N($AQ$67:$AQ$76&gt;$AO493))
) / 1000</f>
        <v>0</v>
      </c>
      <c r="CO493" s="232">
        <f t="shared" si="571"/>
        <v>25</v>
      </c>
      <c r="CP493" s="230">
        <f t="shared" si="556"/>
        <v>38</v>
      </c>
      <c r="CQ493" s="235">
        <f t="shared" si="557"/>
        <v>4.0666935483870965</v>
      </c>
      <c r="CR493" s="235" cm="1">
        <f t="array" ref="CR493">$BI493 * IF($AH493&lt;=2,
SUMPRODUCT(INDEX($AR$67:$AT$71,,$AI493), INDEX($AU$67:$BA$71,,$AH493), 1 / ($BB$67:$BB$71*CQ493 + (1-$BB$67:$BB$71)*CM493), N($AQ$67:$AQ$71&gt;$AO493)),
SUMPRODUCT(INDEX($AR$57:$AT$66,,$AI493), INDEX($AU$57:$BA$66,,$AH493), 1 / ($BC$57:$BC$66*CQ493 + (1-$BC$57:$BC$66)*CM493), N($AQ$57:$AQ$66&gt;$AO493))
) / 1000</f>
        <v>0</v>
      </c>
      <c r="CS493" s="232">
        <f t="shared" si="572"/>
        <v>20</v>
      </c>
      <c r="CT493" s="230">
        <f t="shared" si="558"/>
        <v>33</v>
      </c>
      <c r="CU493" s="235">
        <f t="shared" si="559"/>
        <v>4.8487499999999999</v>
      </c>
      <c r="CV493" s="235" cm="1">
        <f t="array" ref="CV493">$BI493 * IF($AH493&lt;=2,
SUMPRODUCT(INDEX($AR$62:$AT$66,,$AI493), INDEX($AU$62:$BA$66,,$AH493), 1 / ($BB$62:$BB$66*CU493 + (1-$BB$62:$BB$66)*CQ493), N($AQ$62:$AQ$66&gt;$AO493)),
SUMPRODUCT(INDEX($AR$47:$AT$56,,$AI493), INDEX($AU$47:$BA$56,,$AH493), 1 / ($BC$47:$BC$56*CU493 + (1-$BC$47:$BC$56)*CQ493), N($AQ$47:$AQ$56&gt;$AO493))
) / 1000</f>
        <v>0</v>
      </c>
      <c r="CW493" s="235" cm="1">
        <f t="array" ref="CW493">$BI493 * IF($AH493&lt;=2,
SUMPRODUCT(INDEX($AR$23:$AT$61,,$AI493), INDEX($AU$23:$BA$61,,$AH493), 1 / ($BB$23:$BB$61*CU493), N($AQ$23:$AQ$61&gt;$AO493)),
SUMPRODUCT(INDEX($AR$23:$AT$46,,$AI493), INDEX($AU$23:$BA$46,,$AH493), 1 / ($BC$23:$BC$46*CU493), N($AQ$23:$AQ$46&gt;$AO493))
) / 1000</f>
        <v>0</v>
      </c>
      <c r="CX493" s="230">
        <f t="shared" si="560"/>
        <v>0</v>
      </c>
      <c r="CY493" s="238"/>
    </row>
    <row r="494" spans="1:103" s="76" customFormat="1" ht="14.25" customHeight="1" x14ac:dyDescent="0.2">
      <c r="A494" s="231" t="b">
        <f t="shared" si="564"/>
        <v>0</v>
      </c>
      <c r="B494" s="245">
        <v>472</v>
      </c>
      <c r="C494" s="258"/>
      <c r="D494" s="258"/>
      <c r="E494" s="246"/>
      <c r="F494" s="247" t="str">
        <f>IF(ISBLANK(E494), "", VLOOKUP(E494, Z!$A$2:$C$4127, 3, FALSE))</f>
        <v/>
      </c>
      <c r="G494" s="248"/>
      <c r="H494" s="248"/>
      <c r="I494" s="249"/>
      <c r="J494" s="250"/>
      <c r="K494" s="259"/>
      <c r="L494" s="260"/>
      <c r="M494" s="252" t="str" cm="1">
        <f t="array" ref="M494">INDEX(Trad, 53, $A$20)</f>
        <v>Verschmutzt</v>
      </c>
      <c r="N494" s="253"/>
      <c r="O494" s="253"/>
      <c r="P494" s="254"/>
      <c r="Q494" s="251"/>
      <c r="R494" s="251"/>
      <c r="S494" s="264">
        <f t="shared" si="535"/>
        <v>0</v>
      </c>
      <c r="T494" s="252" t="str" cm="1">
        <f t="array" ref="T494">INDEX(Trad, 52, $A$20)</f>
        <v>Sauber</v>
      </c>
      <c r="U494" s="253"/>
      <c r="V494" s="253"/>
      <c r="W494" s="254"/>
      <c r="X494" s="251"/>
      <c r="Y494" s="251"/>
      <c r="Z494" s="264">
        <f t="shared" si="536"/>
        <v>0</v>
      </c>
      <c r="AA494" s="261"/>
      <c r="AB494" s="258"/>
      <c r="AC494" s="246"/>
      <c r="AD494" s="247" t="str">
        <f>IF(ISBLANK(AC494), "", VLOOKUP(AC494, Z!$A$2:$C$4127, 3, FALSE))</f>
        <v/>
      </c>
      <c r="AE494" s="262"/>
      <c r="AF494" s="263">
        <f t="shared" si="537"/>
        <v>0</v>
      </c>
      <c r="AG494" s="238"/>
      <c r="AH494" s="229">
        <f t="shared" si="561"/>
        <v>1</v>
      </c>
      <c r="AI494" s="229">
        <f t="shared" si="562"/>
        <v>1</v>
      </c>
      <c r="AJ494" s="229">
        <f t="shared" si="563"/>
        <v>0</v>
      </c>
      <c r="AK494" s="229">
        <v>0</v>
      </c>
      <c r="AL494" s="229">
        <v>0</v>
      </c>
      <c r="AM494" s="229">
        <v>1</v>
      </c>
      <c r="AN494" s="229">
        <v>0</v>
      </c>
      <c r="AO494" s="229">
        <f t="shared" si="538"/>
        <v>-100</v>
      </c>
      <c r="AP494" s="238"/>
      <c r="AQ494" s="255"/>
      <c r="AR494" s="255"/>
      <c r="AS494" s="256"/>
      <c r="AT494" s="256"/>
      <c r="AU494" s="256"/>
      <c r="AV494" s="256"/>
      <c r="AW494" s="256"/>
      <c r="AX494" s="256"/>
      <c r="AY494" s="256"/>
      <c r="AZ494" s="256"/>
      <c r="BA494" s="256"/>
      <c r="BB494" s="256"/>
      <c r="BC494" s="256"/>
      <c r="BD494" s="238"/>
      <c r="BE494" s="229" cm="1">
        <f t="array" ref="BE494">IF(ISBLANK(R494), INDEX(Use, $AH494, 4) - AM494*INDEX(Use, $AH494, 6), R494)</f>
        <v>5</v>
      </c>
      <c r="BF494" s="229">
        <f t="shared" si="539"/>
        <v>30</v>
      </c>
      <c r="BG494" s="229">
        <f t="shared" si="565"/>
        <v>13</v>
      </c>
      <c r="BH494" s="229">
        <f t="shared" si="566"/>
        <v>0</v>
      </c>
      <c r="BI494" s="234" cm="1">
        <f t="array" ref="BI494">K494/IF($L494&gt;0, INDEX($AU$23:$BA$77, $L494+20, $AH494), 1)</f>
        <v>0</v>
      </c>
      <c r="BJ494" s="230">
        <f t="shared" si="540"/>
        <v>0</v>
      </c>
      <c r="BK494" s="229">
        <v>35</v>
      </c>
      <c r="BL494" s="230">
        <f t="shared" si="541"/>
        <v>48</v>
      </c>
      <c r="BM494" s="235">
        <f t="shared" si="542"/>
        <v>2.9108720930232557</v>
      </c>
      <c r="BN494" s="235" cm="1">
        <f t="array" ref="BN494">$BI494 * SUMPRODUCT(INDEX($AR$77:$AT$82,,$AI494),INDEX($AU$77:$BA$82,,$AH494), N($AQ$77:$AQ$82&gt;$AO494)) / BM494 / 1000</f>
        <v>0</v>
      </c>
      <c r="BO494" s="232">
        <f t="shared" si="567"/>
        <v>30</v>
      </c>
      <c r="BP494" s="230">
        <f t="shared" si="543"/>
        <v>43</v>
      </c>
      <c r="BQ494" s="235">
        <f t="shared" si="544"/>
        <v>3.2938815789473681</v>
      </c>
      <c r="BR494" s="235" cm="1">
        <f t="array" ref="BR494">$BI494 * IF($AH494&lt;=2,
SUMPRODUCT(INDEX($AR$72:$AT$76,,$AI494), INDEX($AU$72:$BA$76,,$AH494), 1 / ($BB$72:$BB$76*BQ494 + (1-$BB$72:$BB$76)*BM494), N($AQ$72:$AQ$76&gt;$AO494)),
SUMPRODUCT(INDEX($AR$67:$AT$76,,$AI494), INDEX($AU$67:$BA$76,,$AH494), 1 / ($BC$67:$BC$76*BQ494 + (1-$BC$67:$BC$76)*BM494), N($AQ$67:$AQ$76&gt;$AO494))
) / 1000</f>
        <v>0</v>
      </c>
      <c r="BS494" s="232">
        <f t="shared" si="568"/>
        <v>25</v>
      </c>
      <c r="BT494" s="230">
        <f t="shared" si="545"/>
        <v>38</v>
      </c>
      <c r="BU494" s="235">
        <f t="shared" si="546"/>
        <v>3.792954545454545</v>
      </c>
      <c r="BV494" s="235" cm="1">
        <f t="array" ref="BV494">$BI494 * IF($AH494&lt;=2,
SUMPRODUCT(INDEX($AR$67:$AT$71,,$AI494), INDEX($AU$67:$BA$71,,$AH494), 1 / ($BB$67:$BB$71*BU494 + (1-$BB$67:$BB$71)*BQ494), N($AQ$67:$AQ$71&gt;$AO494)),
SUMPRODUCT(INDEX($AR$57:$AT$66,,$AI494), INDEX($AU$57:$BA$66,,$AH494), 1 / ($BC$57:$BC$66*BU494 + (1-$BC$57:$BC$66)*BQ494), N($AQ$57:$AQ$66&gt;$AO494))
) / 1000</f>
        <v>0</v>
      </c>
      <c r="BW494" s="232">
        <f t="shared" si="569"/>
        <v>20</v>
      </c>
      <c r="BX494" s="230">
        <f t="shared" si="547"/>
        <v>33</v>
      </c>
      <c r="BY494" s="235">
        <f t="shared" si="548"/>
        <v>4.4702678571428569</v>
      </c>
      <c r="BZ494" s="235" cm="1">
        <f t="array" ref="BZ494">$BI494 * IF($AH494&lt;=2,
SUMPRODUCT(INDEX($AR$62:$AT$66,,$AI494), INDEX($AU$62:$BA$66,,$AH494), 1 / ($BB$62:$BB$66*BY494 + (1-$BB$62:$BB$66)*BU494), N($AQ$62:$AQ$66&gt;$AO494)),
SUMPRODUCT(INDEX($AR$47:$AT$56,,$AI494), INDEX($AU$47:$BA$56,,$AH494), 1 / ($BC$47:$BC$56*BY494 + (1-$BC$47:$BC$56)*BU494), N($AQ$47:$AQ$56&gt;$AO494))
) / 1000</f>
        <v>0</v>
      </c>
      <c r="CA494" s="235" cm="1">
        <f t="array" ref="CA494">$BI494 * IF($AH494&lt;=2,
SUMPRODUCT(INDEX($AR$23:$AT$61,,$AI494), INDEX($AU$23:$BA$61,,$AH494), 1 / ($BB$23:$BB$61*BY494), N($AQ$23:$AQ$61&gt;$AO494)),
SUMPRODUCT(INDEX($AR$23:$AT$46,,$AI494), INDEX($AU$23:$BA$46,,$AH494), 1 / ($BC$23:$BC$46*BY494), N($AQ$23:$AQ$46&gt;$AO494))
) / 1000</f>
        <v>0</v>
      </c>
      <c r="CB494" s="230">
        <f t="shared" si="549"/>
        <v>0</v>
      </c>
      <c r="CC494" s="238"/>
      <c r="CD494" s="229" cm="1">
        <f t="array" ref="CD494">IF(ISBLANK(Y494), INDEX(Use, $AH494, 4) - AN494*INDEX(Use, $AH494, 6) - (Q494-X494), Y494)</f>
        <v>7</v>
      </c>
      <c r="CE494" s="229">
        <f t="shared" si="550"/>
        <v>32</v>
      </c>
      <c r="CF494" s="230">
        <f t="shared" si="551"/>
        <v>0</v>
      </c>
      <c r="CG494" s="229">
        <v>35</v>
      </c>
      <c r="CH494" s="230">
        <f t="shared" si="552"/>
        <v>48</v>
      </c>
      <c r="CI494" s="235">
        <f t="shared" si="553"/>
        <v>3.0748170731707316</v>
      </c>
      <c r="CJ494" s="235" cm="1">
        <f t="array" ref="CJ494">$BI494 * SUMPRODUCT(INDEX($AR$77:$AT$82,,$AI494),INDEX($AU$77:$BA$82,,$AH494), N($AQ$77:$AQ$82&gt;$AO494)) / CI494 / 1000</f>
        <v>0</v>
      </c>
      <c r="CK494" s="232">
        <f t="shared" si="570"/>
        <v>30</v>
      </c>
      <c r="CL494" s="230">
        <f t="shared" si="554"/>
        <v>43</v>
      </c>
      <c r="CM494" s="235">
        <f t="shared" si="555"/>
        <v>3.5018750000000001</v>
      </c>
      <c r="CN494" s="235" cm="1">
        <f t="array" ref="CN494">$BI494 * IF($AH494&lt;=2,
SUMPRODUCT(INDEX($AR$72:$AT$76,,$AI494), INDEX($AU$72:$BA$76,,$AH494), 1 / ($BB$72:$BB$76*CM494 + (1-$BB$72:$BB$76)*CI494), N($AQ$72:$AQ$76&gt;$AO494)),
SUMPRODUCT(INDEX($AR$67:$AT$76,,$AI494), INDEX($AU$67:$BA$76,,$AH494), 1 / ($BC$67:$BC$76*CM494 + (1-$BC$67:$BC$76)*CI494), N($AQ$67:$AQ$76&gt;$AO494))
) / 1000</f>
        <v>0</v>
      </c>
      <c r="CO494" s="232">
        <f t="shared" si="571"/>
        <v>25</v>
      </c>
      <c r="CP494" s="230">
        <f t="shared" si="556"/>
        <v>38</v>
      </c>
      <c r="CQ494" s="235">
        <f t="shared" si="557"/>
        <v>4.0666935483870965</v>
      </c>
      <c r="CR494" s="235" cm="1">
        <f t="array" ref="CR494">$BI494 * IF($AH494&lt;=2,
SUMPRODUCT(INDEX($AR$67:$AT$71,,$AI494), INDEX($AU$67:$BA$71,,$AH494), 1 / ($BB$67:$BB$71*CQ494 + (1-$BB$67:$BB$71)*CM494), N($AQ$67:$AQ$71&gt;$AO494)),
SUMPRODUCT(INDEX($AR$57:$AT$66,,$AI494), INDEX($AU$57:$BA$66,,$AH494), 1 / ($BC$57:$BC$66*CQ494 + (1-$BC$57:$BC$66)*CM494), N($AQ$57:$AQ$66&gt;$AO494))
) / 1000</f>
        <v>0</v>
      </c>
      <c r="CS494" s="232">
        <f t="shared" si="572"/>
        <v>20</v>
      </c>
      <c r="CT494" s="230">
        <f t="shared" si="558"/>
        <v>33</v>
      </c>
      <c r="CU494" s="235">
        <f t="shared" si="559"/>
        <v>4.8487499999999999</v>
      </c>
      <c r="CV494" s="235" cm="1">
        <f t="array" ref="CV494">$BI494 * IF($AH494&lt;=2,
SUMPRODUCT(INDEX($AR$62:$AT$66,,$AI494), INDEX($AU$62:$BA$66,,$AH494), 1 / ($BB$62:$BB$66*CU494 + (1-$BB$62:$BB$66)*CQ494), N($AQ$62:$AQ$66&gt;$AO494)),
SUMPRODUCT(INDEX($AR$47:$AT$56,,$AI494), INDEX($AU$47:$BA$56,,$AH494), 1 / ($BC$47:$BC$56*CU494 + (1-$BC$47:$BC$56)*CQ494), N($AQ$47:$AQ$56&gt;$AO494))
) / 1000</f>
        <v>0</v>
      </c>
      <c r="CW494" s="235" cm="1">
        <f t="array" ref="CW494">$BI494 * IF($AH494&lt;=2,
SUMPRODUCT(INDEX($AR$23:$AT$61,,$AI494), INDEX($AU$23:$BA$61,,$AH494), 1 / ($BB$23:$BB$61*CU494), N($AQ$23:$AQ$61&gt;$AO494)),
SUMPRODUCT(INDEX($AR$23:$AT$46,,$AI494), INDEX($AU$23:$BA$46,,$AH494), 1 / ($BC$23:$BC$46*CU494), N($AQ$23:$AQ$46&gt;$AO494))
) / 1000</f>
        <v>0</v>
      </c>
      <c r="CX494" s="230">
        <f t="shared" si="560"/>
        <v>0</v>
      </c>
      <c r="CY494" s="238"/>
    </row>
    <row r="495" spans="1:103" s="76" customFormat="1" ht="14.25" customHeight="1" x14ac:dyDescent="0.2">
      <c r="A495" s="231" t="b">
        <f t="shared" si="564"/>
        <v>0</v>
      </c>
      <c r="B495" s="245">
        <v>473</v>
      </c>
      <c r="C495" s="258"/>
      <c r="D495" s="258"/>
      <c r="E495" s="246"/>
      <c r="F495" s="247" t="str">
        <f>IF(ISBLANK(E495), "", VLOOKUP(E495, Z!$A$2:$C$4127, 3, FALSE))</f>
        <v/>
      </c>
      <c r="G495" s="248"/>
      <c r="H495" s="248"/>
      <c r="I495" s="249"/>
      <c r="J495" s="250"/>
      <c r="K495" s="259"/>
      <c r="L495" s="260"/>
      <c r="M495" s="252" t="str" cm="1">
        <f t="array" ref="M495">INDEX(Trad, 53, $A$20)</f>
        <v>Verschmutzt</v>
      </c>
      <c r="N495" s="253"/>
      <c r="O495" s="253"/>
      <c r="P495" s="254"/>
      <c r="Q495" s="251"/>
      <c r="R495" s="251"/>
      <c r="S495" s="264">
        <f t="shared" si="535"/>
        <v>0</v>
      </c>
      <c r="T495" s="252" t="str" cm="1">
        <f t="array" ref="T495">INDEX(Trad, 52, $A$20)</f>
        <v>Sauber</v>
      </c>
      <c r="U495" s="253"/>
      <c r="V495" s="253"/>
      <c r="W495" s="254"/>
      <c r="X495" s="251"/>
      <c r="Y495" s="251"/>
      <c r="Z495" s="264">
        <f t="shared" si="536"/>
        <v>0</v>
      </c>
      <c r="AA495" s="261"/>
      <c r="AB495" s="258"/>
      <c r="AC495" s="246"/>
      <c r="AD495" s="247" t="str">
        <f>IF(ISBLANK(AC495), "", VLOOKUP(AC495, Z!$A$2:$C$4127, 3, FALSE))</f>
        <v/>
      </c>
      <c r="AE495" s="262"/>
      <c r="AF495" s="263">
        <f t="shared" si="537"/>
        <v>0</v>
      </c>
      <c r="AG495" s="238"/>
      <c r="AH495" s="229">
        <f t="shared" si="561"/>
        <v>1</v>
      </c>
      <c r="AI495" s="229">
        <f t="shared" si="562"/>
        <v>1</v>
      </c>
      <c r="AJ495" s="229">
        <f t="shared" si="563"/>
        <v>0</v>
      </c>
      <c r="AK495" s="229">
        <v>0</v>
      </c>
      <c r="AL495" s="229">
        <v>0</v>
      </c>
      <c r="AM495" s="229">
        <v>1</v>
      </c>
      <c r="AN495" s="229">
        <v>0</v>
      </c>
      <c r="AO495" s="229">
        <f t="shared" si="538"/>
        <v>-100</v>
      </c>
      <c r="AP495" s="238"/>
      <c r="AQ495" s="255"/>
      <c r="AR495" s="255"/>
      <c r="AS495" s="256"/>
      <c r="AT495" s="256"/>
      <c r="AU495" s="256"/>
      <c r="AV495" s="256"/>
      <c r="AW495" s="256"/>
      <c r="AX495" s="256"/>
      <c r="AY495" s="256"/>
      <c r="AZ495" s="256"/>
      <c r="BA495" s="256"/>
      <c r="BB495" s="256"/>
      <c r="BC495" s="256"/>
      <c r="BD495" s="238"/>
      <c r="BE495" s="229" cm="1">
        <f t="array" ref="BE495">IF(ISBLANK(R495), INDEX(Use, $AH495, 4) - AM495*INDEX(Use, $AH495, 6), R495)</f>
        <v>5</v>
      </c>
      <c r="BF495" s="229">
        <f t="shared" si="539"/>
        <v>30</v>
      </c>
      <c r="BG495" s="229">
        <f t="shared" si="565"/>
        <v>13</v>
      </c>
      <c r="BH495" s="229">
        <f t="shared" si="566"/>
        <v>0</v>
      </c>
      <c r="BI495" s="234" cm="1">
        <f t="array" ref="BI495">K495/IF($L495&gt;0, INDEX($AU$23:$BA$77, $L495+20, $AH495), 1)</f>
        <v>0</v>
      </c>
      <c r="BJ495" s="230">
        <f t="shared" si="540"/>
        <v>0</v>
      </c>
      <c r="BK495" s="229">
        <v>35</v>
      </c>
      <c r="BL495" s="230">
        <f t="shared" si="541"/>
        <v>48</v>
      </c>
      <c r="BM495" s="235">
        <f t="shared" si="542"/>
        <v>2.9108720930232557</v>
      </c>
      <c r="BN495" s="235" cm="1">
        <f t="array" ref="BN495">$BI495 * SUMPRODUCT(INDEX($AR$77:$AT$82,,$AI495),INDEX($AU$77:$BA$82,,$AH495), N($AQ$77:$AQ$82&gt;$AO495)) / BM495 / 1000</f>
        <v>0</v>
      </c>
      <c r="BO495" s="232">
        <f t="shared" si="567"/>
        <v>30</v>
      </c>
      <c r="BP495" s="230">
        <f t="shared" si="543"/>
        <v>43</v>
      </c>
      <c r="BQ495" s="235">
        <f t="shared" si="544"/>
        <v>3.2938815789473681</v>
      </c>
      <c r="BR495" s="235" cm="1">
        <f t="array" ref="BR495">$BI495 * IF($AH495&lt;=2,
SUMPRODUCT(INDEX($AR$72:$AT$76,,$AI495), INDEX($AU$72:$BA$76,,$AH495), 1 / ($BB$72:$BB$76*BQ495 + (1-$BB$72:$BB$76)*BM495), N($AQ$72:$AQ$76&gt;$AO495)),
SUMPRODUCT(INDEX($AR$67:$AT$76,,$AI495), INDEX($AU$67:$BA$76,,$AH495), 1 / ($BC$67:$BC$76*BQ495 + (1-$BC$67:$BC$76)*BM495), N($AQ$67:$AQ$76&gt;$AO495))
) / 1000</f>
        <v>0</v>
      </c>
      <c r="BS495" s="232">
        <f t="shared" si="568"/>
        <v>25</v>
      </c>
      <c r="BT495" s="230">
        <f t="shared" si="545"/>
        <v>38</v>
      </c>
      <c r="BU495" s="235">
        <f t="shared" si="546"/>
        <v>3.792954545454545</v>
      </c>
      <c r="BV495" s="235" cm="1">
        <f t="array" ref="BV495">$BI495 * IF($AH495&lt;=2,
SUMPRODUCT(INDEX($AR$67:$AT$71,,$AI495), INDEX($AU$67:$BA$71,,$AH495), 1 / ($BB$67:$BB$71*BU495 + (1-$BB$67:$BB$71)*BQ495), N($AQ$67:$AQ$71&gt;$AO495)),
SUMPRODUCT(INDEX($AR$57:$AT$66,,$AI495), INDEX($AU$57:$BA$66,,$AH495), 1 / ($BC$57:$BC$66*BU495 + (1-$BC$57:$BC$66)*BQ495), N($AQ$57:$AQ$66&gt;$AO495))
) / 1000</f>
        <v>0</v>
      </c>
      <c r="BW495" s="232">
        <f t="shared" si="569"/>
        <v>20</v>
      </c>
      <c r="BX495" s="230">
        <f t="shared" si="547"/>
        <v>33</v>
      </c>
      <c r="BY495" s="235">
        <f t="shared" si="548"/>
        <v>4.4702678571428569</v>
      </c>
      <c r="BZ495" s="235" cm="1">
        <f t="array" ref="BZ495">$BI495 * IF($AH495&lt;=2,
SUMPRODUCT(INDEX($AR$62:$AT$66,,$AI495), INDEX($AU$62:$BA$66,,$AH495), 1 / ($BB$62:$BB$66*BY495 + (1-$BB$62:$BB$66)*BU495), N($AQ$62:$AQ$66&gt;$AO495)),
SUMPRODUCT(INDEX($AR$47:$AT$56,,$AI495), INDEX($AU$47:$BA$56,,$AH495), 1 / ($BC$47:$BC$56*BY495 + (1-$BC$47:$BC$56)*BU495), N($AQ$47:$AQ$56&gt;$AO495))
) / 1000</f>
        <v>0</v>
      </c>
      <c r="CA495" s="235" cm="1">
        <f t="array" ref="CA495">$BI495 * IF($AH495&lt;=2,
SUMPRODUCT(INDEX($AR$23:$AT$61,,$AI495), INDEX($AU$23:$BA$61,,$AH495), 1 / ($BB$23:$BB$61*BY495), N($AQ$23:$AQ$61&gt;$AO495)),
SUMPRODUCT(INDEX($AR$23:$AT$46,,$AI495), INDEX($AU$23:$BA$46,,$AH495), 1 / ($BC$23:$BC$46*BY495), N($AQ$23:$AQ$46&gt;$AO495))
) / 1000</f>
        <v>0</v>
      </c>
      <c r="CB495" s="230">
        <f t="shared" si="549"/>
        <v>0</v>
      </c>
      <c r="CC495" s="238"/>
      <c r="CD495" s="229" cm="1">
        <f t="array" ref="CD495">IF(ISBLANK(Y495), INDEX(Use, $AH495, 4) - AN495*INDEX(Use, $AH495, 6) - (Q495-X495), Y495)</f>
        <v>7</v>
      </c>
      <c r="CE495" s="229">
        <f t="shared" si="550"/>
        <v>32</v>
      </c>
      <c r="CF495" s="230">
        <f t="shared" si="551"/>
        <v>0</v>
      </c>
      <c r="CG495" s="229">
        <v>35</v>
      </c>
      <c r="CH495" s="230">
        <f t="shared" si="552"/>
        <v>48</v>
      </c>
      <c r="CI495" s="235">
        <f t="shared" si="553"/>
        <v>3.0748170731707316</v>
      </c>
      <c r="CJ495" s="235" cm="1">
        <f t="array" ref="CJ495">$BI495 * SUMPRODUCT(INDEX($AR$77:$AT$82,,$AI495),INDEX($AU$77:$BA$82,,$AH495), N($AQ$77:$AQ$82&gt;$AO495)) / CI495 / 1000</f>
        <v>0</v>
      </c>
      <c r="CK495" s="232">
        <f t="shared" si="570"/>
        <v>30</v>
      </c>
      <c r="CL495" s="230">
        <f t="shared" si="554"/>
        <v>43</v>
      </c>
      <c r="CM495" s="235">
        <f t="shared" si="555"/>
        <v>3.5018750000000001</v>
      </c>
      <c r="CN495" s="235" cm="1">
        <f t="array" ref="CN495">$BI495 * IF($AH495&lt;=2,
SUMPRODUCT(INDEX($AR$72:$AT$76,,$AI495), INDEX($AU$72:$BA$76,,$AH495), 1 / ($BB$72:$BB$76*CM495 + (1-$BB$72:$BB$76)*CI495), N($AQ$72:$AQ$76&gt;$AO495)),
SUMPRODUCT(INDEX($AR$67:$AT$76,,$AI495), INDEX($AU$67:$BA$76,,$AH495), 1 / ($BC$67:$BC$76*CM495 + (1-$BC$67:$BC$76)*CI495), N($AQ$67:$AQ$76&gt;$AO495))
) / 1000</f>
        <v>0</v>
      </c>
      <c r="CO495" s="232">
        <f t="shared" si="571"/>
        <v>25</v>
      </c>
      <c r="CP495" s="230">
        <f t="shared" si="556"/>
        <v>38</v>
      </c>
      <c r="CQ495" s="235">
        <f t="shared" si="557"/>
        <v>4.0666935483870965</v>
      </c>
      <c r="CR495" s="235" cm="1">
        <f t="array" ref="CR495">$BI495 * IF($AH495&lt;=2,
SUMPRODUCT(INDEX($AR$67:$AT$71,,$AI495), INDEX($AU$67:$BA$71,,$AH495), 1 / ($BB$67:$BB$71*CQ495 + (1-$BB$67:$BB$71)*CM495), N($AQ$67:$AQ$71&gt;$AO495)),
SUMPRODUCT(INDEX($AR$57:$AT$66,,$AI495), INDEX($AU$57:$BA$66,,$AH495), 1 / ($BC$57:$BC$66*CQ495 + (1-$BC$57:$BC$66)*CM495), N($AQ$57:$AQ$66&gt;$AO495))
) / 1000</f>
        <v>0</v>
      </c>
      <c r="CS495" s="232">
        <f t="shared" si="572"/>
        <v>20</v>
      </c>
      <c r="CT495" s="230">
        <f t="shared" si="558"/>
        <v>33</v>
      </c>
      <c r="CU495" s="235">
        <f t="shared" si="559"/>
        <v>4.8487499999999999</v>
      </c>
      <c r="CV495" s="235" cm="1">
        <f t="array" ref="CV495">$BI495 * IF($AH495&lt;=2,
SUMPRODUCT(INDEX($AR$62:$AT$66,,$AI495), INDEX($AU$62:$BA$66,,$AH495), 1 / ($BB$62:$BB$66*CU495 + (1-$BB$62:$BB$66)*CQ495), N($AQ$62:$AQ$66&gt;$AO495)),
SUMPRODUCT(INDEX($AR$47:$AT$56,,$AI495), INDEX($AU$47:$BA$56,,$AH495), 1 / ($BC$47:$BC$56*CU495 + (1-$BC$47:$BC$56)*CQ495), N($AQ$47:$AQ$56&gt;$AO495))
) / 1000</f>
        <v>0</v>
      </c>
      <c r="CW495" s="235" cm="1">
        <f t="array" ref="CW495">$BI495 * IF($AH495&lt;=2,
SUMPRODUCT(INDEX($AR$23:$AT$61,,$AI495), INDEX($AU$23:$BA$61,,$AH495), 1 / ($BB$23:$BB$61*CU495), N($AQ$23:$AQ$61&gt;$AO495)),
SUMPRODUCT(INDEX($AR$23:$AT$46,,$AI495), INDEX($AU$23:$BA$46,,$AH495), 1 / ($BC$23:$BC$46*CU495), N($AQ$23:$AQ$46&gt;$AO495))
) / 1000</f>
        <v>0</v>
      </c>
      <c r="CX495" s="230">
        <f t="shared" si="560"/>
        <v>0</v>
      </c>
      <c r="CY495" s="238"/>
    </row>
    <row r="496" spans="1:103" s="76" customFormat="1" ht="14.25" customHeight="1" x14ac:dyDescent="0.2">
      <c r="A496" s="231" t="b">
        <f t="shared" si="564"/>
        <v>0</v>
      </c>
      <c r="B496" s="245">
        <v>474</v>
      </c>
      <c r="C496" s="258"/>
      <c r="D496" s="258"/>
      <c r="E496" s="246"/>
      <c r="F496" s="247" t="str">
        <f>IF(ISBLANK(E496), "", VLOOKUP(E496, Z!$A$2:$C$4127, 3, FALSE))</f>
        <v/>
      </c>
      <c r="G496" s="248"/>
      <c r="H496" s="248"/>
      <c r="I496" s="249"/>
      <c r="J496" s="250"/>
      <c r="K496" s="259"/>
      <c r="L496" s="260"/>
      <c r="M496" s="252" t="str" cm="1">
        <f t="array" ref="M496">INDEX(Trad, 53, $A$20)</f>
        <v>Verschmutzt</v>
      </c>
      <c r="N496" s="253"/>
      <c r="O496" s="253"/>
      <c r="P496" s="254"/>
      <c r="Q496" s="251"/>
      <c r="R496" s="251"/>
      <c r="S496" s="264">
        <f t="shared" si="535"/>
        <v>0</v>
      </c>
      <c r="T496" s="252" t="str" cm="1">
        <f t="array" ref="T496">INDEX(Trad, 52, $A$20)</f>
        <v>Sauber</v>
      </c>
      <c r="U496" s="253"/>
      <c r="V496" s="253"/>
      <c r="W496" s="254"/>
      <c r="X496" s="251"/>
      <c r="Y496" s="251"/>
      <c r="Z496" s="264">
        <f t="shared" si="536"/>
        <v>0</v>
      </c>
      <c r="AA496" s="261"/>
      <c r="AB496" s="258"/>
      <c r="AC496" s="246"/>
      <c r="AD496" s="247" t="str">
        <f>IF(ISBLANK(AC496), "", VLOOKUP(AC496, Z!$A$2:$C$4127, 3, FALSE))</f>
        <v/>
      </c>
      <c r="AE496" s="262"/>
      <c r="AF496" s="263">
        <f t="shared" si="537"/>
        <v>0</v>
      </c>
      <c r="AG496" s="238"/>
      <c r="AH496" s="229">
        <f t="shared" si="561"/>
        <v>1</v>
      </c>
      <c r="AI496" s="229">
        <f t="shared" si="562"/>
        <v>1</v>
      </c>
      <c r="AJ496" s="229">
        <f t="shared" si="563"/>
        <v>0</v>
      </c>
      <c r="AK496" s="229">
        <v>0</v>
      </c>
      <c r="AL496" s="229">
        <v>0</v>
      </c>
      <c r="AM496" s="229">
        <v>1</v>
      </c>
      <c r="AN496" s="229">
        <v>0</v>
      </c>
      <c r="AO496" s="229">
        <f t="shared" si="538"/>
        <v>-100</v>
      </c>
      <c r="AP496" s="238"/>
      <c r="AQ496" s="255"/>
      <c r="AR496" s="255"/>
      <c r="AS496" s="256"/>
      <c r="AT496" s="256"/>
      <c r="AU496" s="256"/>
      <c r="AV496" s="256"/>
      <c r="AW496" s="256"/>
      <c r="AX496" s="256"/>
      <c r="AY496" s="256"/>
      <c r="AZ496" s="256"/>
      <c r="BA496" s="256"/>
      <c r="BB496" s="256"/>
      <c r="BC496" s="256"/>
      <c r="BD496" s="238"/>
      <c r="BE496" s="229" cm="1">
        <f t="array" ref="BE496">IF(ISBLANK(R496), INDEX(Use, $AH496, 4) - AM496*INDEX(Use, $AH496, 6), R496)</f>
        <v>5</v>
      </c>
      <c r="BF496" s="229">
        <f t="shared" si="539"/>
        <v>30</v>
      </c>
      <c r="BG496" s="229">
        <f t="shared" si="565"/>
        <v>13</v>
      </c>
      <c r="BH496" s="229">
        <f t="shared" si="566"/>
        <v>0</v>
      </c>
      <c r="BI496" s="234" cm="1">
        <f t="array" ref="BI496">K496/IF($L496&gt;0, INDEX($AU$23:$BA$77, $L496+20, $AH496), 1)</f>
        <v>0</v>
      </c>
      <c r="BJ496" s="230">
        <f t="shared" si="540"/>
        <v>0</v>
      </c>
      <c r="BK496" s="229">
        <v>35</v>
      </c>
      <c r="BL496" s="230">
        <f t="shared" si="541"/>
        <v>48</v>
      </c>
      <c r="BM496" s="235">
        <f t="shared" si="542"/>
        <v>2.9108720930232557</v>
      </c>
      <c r="BN496" s="235" cm="1">
        <f t="array" ref="BN496">$BI496 * SUMPRODUCT(INDEX($AR$77:$AT$82,,$AI496),INDEX($AU$77:$BA$82,,$AH496), N($AQ$77:$AQ$82&gt;$AO496)) / BM496 / 1000</f>
        <v>0</v>
      </c>
      <c r="BO496" s="232">
        <f t="shared" si="567"/>
        <v>30</v>
      </c>
      <c r="BP496" s="230">
        <f t="shared" si="543"/>
        <v>43</v>
      </c>
      <c r="BQ496" s="235">
        <f t="shared" si="544"/>
        <v>3.2938815789473681</v>
      </c>
      <c r="BR496" s="235" cm="1">
        <f t="array" ref="BR496">$BI496 * IF($AH496&lt;=2,
SUMPRODUCT(INDEX($AR$72:$AT$76,,$AI496), INDEX($AU$72:$BA$76,,$AH496), 1 / ($BB$72:$BB$76*BQ496 + (1-$BB$72:$BB$76)*BM496), N($AQ$72:$AQ$76&gt;$AO496)),
SUMPRODUCT(INDEX($AR$67:$AT$76,,$AI496), INDEX($AU$67:$BA$76,,$AH496), 1 / ($BC$67:$BC$76*BQ496 + (1-$BC$67:$BC$76)*BM496), N($AQ$67:$AQ$76&gt;$AO496))
) / 1000</f>
        <v>0</v>
      </c>
      <c r="BS496" s="232">
        <f t="shared" si="568"/>
        <v>25</v>
      </c>
      <c r="BT496" s="230">
        <f t="shared" si="545"/>
        <v>38</v>
      </c>
      <c r="BU496" s="235">
        <f t="shared" si="546"/>
        <v>3.792954545454545</v>
      </c>
      <c r="BV496" s="235" cm="1">
        <f t="array" ref="BV496">$BI496 * IF($AH496&lt;=2,
SUMPRODUCT(INDEX($AR$67:$AT$71,,$AI496), INDEX($AU$67:$BA$71,,$AH496), 1 / ($BB$67:$BB$71*BU496 + (1-$BB$67:$BB$71)*BQ496), N($AQ$67:$AQ$71&gt;$AO496)),
SUMPRODUCT(INDEX($AR$57:$AT$66,,$AI496), INDEX($AU$57:$BA$66,,$AH496), 1 / ($BC$57:$BC$66*BU496 + (1-$BC$57:$BC$66)*BQ496), N($AQ$57:$AQ$66&gt;$AO496))
) / 1000</f>
        <v>0</v>
      </c>
      <c r="BW496" s="232">
        <f t="shared" si="569"/>
        <v>20</v>
      </c>
      <c r="BX496" s="230">
        <f t="shared" si="547"/>
        <v>33</v>
      </c>
      <c r="BY496" s="235">
        <f t="shared" si="548"/>
        <v>4.4702678571428569</v>
      </c>
      <c r="BZ496" s="235" cm="1">
        <f t="array" ref="BZ496">$BI496 * IF($AH496&lt;=2,
SUMPRODUCT(INDEX($AR$62:$AT$66,,$AI496), INDEX($AU$62:$BA$66,,$AH496), 1 / ($BB$62:$BB$66*BY496 + (1-$BB$62:$BB$66)*BU496), N($AQ$62:$AQ$66&gt;$AO496)),
SUMPRODUCT(INDEX($AR$47:$AT$56,,$AI496), INDEX($AU$47:$BA$56,,$AH496), 1 / ($BC$47:$BC$56*BY496 + (1-$BC$47:$BC$56)*BU496), N($AQ$47:$AQ$56&gt;$AO496))
) / 1000</f>
        <v>0</v>
      </c>
      <c r="CA496" s="235" cm="1">
        <f t="array" ref="CA496">$BI496 * IF($AH496&lt;=2,
SUMPRODUCT(INDEX($AR$23:$AT$61,,$AI496), INDEX($AU$23:$BA$61,,$AH496), 1 / ($BB$23:$BB$61*BY496), N($AQ$23:$AQ$61&gt;$AO496)),
SUMPRODUCT(INDEX($AR$23:$AT$46,,$AI496), INDEX($AU$23:$BA$46,,$AH496), 1 / ($BC$23:$BC$46*BY496), N($AQ$23:$AQ$46&gt;$AO496))
) / 1000</f>
        <v>0</v>
      </c>
      <c r="CB496" s="230">
        <f t="shared" si="549"/>
        <v>0</v>
      </c>
      <c r="CC496" s="238"/>
      <c r="CD496" s="229" cm="1">
        <f t="array" ref="CD496">IF(ISBLANK(Y496), INDEX(Use, $AH496, 4) - AN496*INDEX(Use, $AH496, 6) - (Q496-X496), Y496)</f>
        <v>7</v>
      </c>
      <c r="CE496" s="229">
        <f t="shared" si="550"/>
        <v>32</v>
      </c>
      <c r="CF496" s="230">
        <f t="shared" si="551"/>
        <v>0</v>
      </c>
      <c r="CG496" s="229">
        <v>35</v>
      </c>
      <c r="CH496" s="230">
        <f t="shared" si="552"/>
        <v>48</v>
      </c>
      <c r="CI496" s="235">
        <f t="shared" si="553"/>
        <v>3.0748170731707316</v>
      </c>
      <c r="CJ496" s="235" cm="1">
        <f t="array" ref="CJ496">$BI496 * SUMPRODUCT(INDEX($AR$77:$AT$82,,$AI496),INDEX($AU$77:$BA$82,,$AH496), N($AQ$77:$AQ$82&gt;$AO496)) / CI496 / 1000</f>
        <v>0</v>
      </c>
      <c r="CK496" s="232">
        <f t="shared" si="570"/>
        <v>30</v>
      </c>
      <c r="CL496" s="230">
        <f t="shared" si="554"/>
        <v>43</v>
      </c>
      <c r="CM496" s="235">
        <f t="shared" si="555"/>
        <v>3.5018750000000001</v>
      </c>
      <c r="CN496" s="235" cm="1">
        <f t="array" ref="CN496">$BI496 * IF($AH496&lt;=2,
SUMPRODUCT(INDEX($AR$72:$AT$76,,$AI496), INDEX($AU$72:$BA$76,,$AH496), 1 / ($BB$72:$BB$76*CM496 + (1-$BB$72:$BB$76)*CI496), N($AQ$72:$AQ$76&gt;$AO496)),
SUMPRODUCT(INDEX($AR$67:$AT$76,,$AI496), INDEX($AU$67:$BA$76,,$AH496), 1 / ($BC$67:$BC$76*CM496 + (1-$BC$67:$BC$76)*CI496), N($AQ$67:$AQ$76&gt;$AO496))
) / 1000</f>
        <v>0</v>
      </c>
      <c r="CO496" s="232">
        <f t="shared" si="571"/>
        <v>25</v>
      </c>
      <c r="CP496" s="230">
        <f t="shared" si="556"/>
        <v>38</v>
      </c>
      <c r="CQ496" s="235">
        <f t="shared" si="557"/>
        <v>4.0666935483870965</v>
      </c>
      <c r="CR496" s="235" cm="1">
        <f t="array" ref="CR496">$BI496 * IF($AH496&lt;=2,
SUMPRODUCT(INDEX($AR$67:$AT$71,,$AI496), INDEX($AU$67:$BA$71,,$AH496), 1 / ($BB$67:$BB$71*CQ496 + (1-$BB$67:$BB$71)*CM496), N($AQ$67:$AQ$71&gt;$AO496)),
SUMPRODUCT(INDEX($AR$57:$AT$66,,$AI496), INDEX($AU$57:$BA$66,,$AH496), 1 / ($BC$57:$BC$66*CQ496 + (1-$BC$57:$BC$66)*CM496), N($AQ$57:$AQ$66&gt;$AO496))
) / 1000</f>
        <v>0</v>
      </c>
      <c r="CS496" s="232">
        <f t="shared" si="572"/>
        <v>20</v>
      </c>
      <c r="CT496" s="230">
        <f t="shared" si="558"/>
        <v>33</v>
      </c>
      <c r="CU496" s="235">
        <f t="shared" si="559"/>
        <v>4.8487499999999999</v>
      </c>
      <c r="CV496" s="235" cm="1">
        <f t="array" ref="CV496">$BI496 * IF($AH496&lt;=2,
SUMPRODUCT(INDEX($AR$62:$AT$66,,$AI496), INDEX($AU$62:$BA$66,,$AH496), 1 / ($BB$62:$BB$66*CU496 + (1-$BB$62:$BB$66)*CQ496), N($AQ$62:$AQ$66&gt;$AO496)),
SUMPRODUCT(INDEX($AR$47:$AT$56,,$AI496), INDEX($AU$47:$BA$56,,$AH496), 1 / ($BC$47:$BC$56*CU496 + (1-$BC$47:$BC$56)*CQ496), N($AQ$47:$AQ$56&gt;$AO496))
) / 1000</f>
        <v>0</v>
      </c>
      <c r="CW496" s="235" cm="1">
        <f t="array" ref="CW496">$BI496 * IF($AH496&lt;=2,
SUMPRODUCT(INDEX($AR$23:$AT$61,,$AI496), INDEX($AU$23:$BA$61,,$AH496), 1 / ($BB$23:$BB$61*CU496), N($AQ$23:$AQ$61&gt;$AO496)),
SUMPRODUCT(INDEX($AR$23:$AT$46,,$AI496), INDEX($AU$23:$BA$46,,$AH496), 1 / ($BC$23:$BC$46*CU496), N($AQ$23:$AQ$46&gt;$AO496))
) / 1000</f>
        <v>0</v>
      </c>
      <c r="CX496" s="230">
        <f t="shared" si="560"/>
        <v>0</v>
      </c>
      <c r="CY496" s="238"/>
    </row>
    <row r="497" spans="1:103" s="76" customFormat="1" ht="14.25" customHeight="1" x14ac:dyDescent="0.2">
      <c r="A497" s="231" t="b">
        <f t="shared" si="564"/>
        <v>0</v>
      </c>
      <c r="B497" s="245">
        <v>475</v>
      </c>
      <c r="C497" s="258"/>
      <c r="D497" s="258"/>
      <c r="E497" s="246"/>
      <c r="F497" s="247" t="str">
        <f>IF(ISBLANK(E497), "", VLOOKUP(E497, Z!$A$2:$C$4127, 3, FALSE))</f>
        <v/>
      </c>
      <c r="G497" s="248"/>
      <c r="H497" s="248"/>
      <c r="I497" s="249"/>
      <c r="J497" s="250"/>
      <c r="K497" s="259"/>
      <c r="L497" s="260"/>
      <c r="M497" s="252" t="str" cm="1">
        <f t="array" ref="M497">INDEX(Trad, 53, $A$20)</f>
        <v>Verschmutzt</v>
      </c>
      <c r="N497" s="253"/>
      <c r="O497" s="253"/>
      <c r="P497" s="254"/>
      <c r="Q497" s="251"/>
      <c r="R497" s="251"/>
      <c r="S497" s="264">
        <f t="shared" si="535"/>
        <v>0</v>
      </c>
      <c r="T497" s="252" t="str" cm="1">
        <f t="array" ref="T497">INDEX(Trad, 52, $A$20)</f>
        <v>Sauber</v>
      </c>
      <c r="U497" s="253"/>
      <c r="V497" s="253"/>
      <c r="W497" s="254"/>
      <c r="X497" s="251"/>
      <c r="Y497" s="251"/>
      <c r="Z497" s="264">
        <f t="shared" si="536"/>
        <v>0</v>
      </c>
      <c r="AA497" s="261"/>
      <c r="AB497" s="258"/>
      <c r="AC497" s="246"/>
      <c r="AD497" s="247" t="str">
        <f>IF(ISBLANK(AC497), "", VLOOKUP(AC497, Z!$A$2:$C$4127, 3, FALSE))</f>
        <v/>
      </c>
      <c r="AE497" s="262"/>
      <c r="AF497" s="263">
        <f t="shared" si="537"/>
        <v>0</v>
      </c>
      <c r="AG497" s="238"/>
      <c r="AH497" s="229">
        <f t="shared" si="561"/>
        <v>1</v>
      </c>
      <c r="AI497" s="229">
        <f t="shared" si="562"/>
        <v>1</v>
      </c>
      <c r="AJ497" s="229">
        <f t="shared" si="563"/>
        <v>0</v>
      </c>
      <c r="AK497" s="229">
        <v>0</v>
      </c>
      <c r="AL497" s="229">
        <v>0</v>
      </c>
      <c r="AM497" s="229">
        <v>1</v>
      </c>
      <c r="AN497" s="229">
        <v>0</v>
      </c>
      <c r="AO497" s="229">
        <f t="shared" si="538"/>
        <v>-100</v>
      </c>
      <c r="AP497" s="238"/>
      <c r="AQ497" s="255"/>
      <c r="AR497" s="255"/>
      <c r="AS497" s="256"/>
      <c r="AT497" s="256"/>
      <c r="AU497" s="256"/>
      <c r="AV497" s="256"/>
      <c r="AW497" s="256"/>
      <c r="AX497" s="256"/>
      <c r="AY497" s="256"/>
      <c r="AZ497" s="256"/>
      <c r="BA497" s="256"/>
      <c r="BB497" s="256"/>
      <c r="BC497" s="256"/>
      <c r="BD497" s="238"/>
      <c r="BE497" s="229" cm="1">
        <f t="array" ref="BE497">IF(ISBLANK(R497), INDEX(Use, $AH497, 4) - AM497*INDEX(Use, $AH497, 6), R497)</f>
        <v>5</v>
      </c>
      <c r="BF497" s="229">
        <f t="shared" si="539"/>
        <v>30</v>
      </c>
      <c r="BG497" s="229">
        <f t="shared" si="565"/>
        <v>13</v>
      </c>
      <c r="BH497" s="229">
        <f t="shared" si="566"/>
        <v>0</v>
      </c>
      <c r="BI497" s="234" cm="1">
        <f t="array" ref="BI497">K497/IF($L497&gt;0, INDEX($AU$23:$BA$77, $L497+20, $AH497), 1)</f>
        <v>0</v>
      </c>
      <c r="BJ497" s="230">
        <f t="shared" si="540"/>
        <v>0</v>
      </c>
      <c r="BK497" s="229">
        <v>35</v>
      </c>
      <c r="BL497" s="230">
        <f t="shared" si="541"/>
        <v>48</v>
      </c>
      <c r="BM497" s="235">
        <f t="shared" si="542"/>
        <v>2.9108720930232557</v>
      </c>
      <c r="BN497" s="235" cm="1">
        <f t="array" ref="BN497">$BI497 * SUMPRODUCT(INDEX($AR$77:$AT$82,,$AI497),INDEX($AU$77:$BA$82,,$AH497), N($AQ$77:$AQ$82&gt;$AO497)) / BM497 / 1000</f>
        <v>0</v>
      </c>
      <c r="BO497" s="232">
        <f t="shared" si="567"/>
        <v>30</v>
      </c>
      <c r="BP497" s="230">
        <f t="shared" si="543"/>
        <v>43</v>
      </c>
      <c r="BQ497" s="235">
        <f t="shared" si="544"/>
        <v>3.2938815789473681</v>
      </c>
      <c r="BR497" s="235" cm="1">
        <f t="array" ref="BR497">$BI497 * IF($AH497&lt;=2,
SUMPRODUCT(INDEX($AR$72:$AT$76,,$AI497), INDEX($AU$72:$BA$76,,$AH497), 1 / ($BB$72:$BB$76*BQ497 + (1-$BB$72:$BB$76)*BM497), N($AQ$72:$AQ$76&gt;$AO497)),
SUMPRODUCT(INDEX($AR$67:$AT$76,,$AI497), INDEX($AU$67:$BA$76,,$AH497), 1 / ($BC$67:$BC$76*BQ497 + (1-$BC$67:$BC$76)*BM497), N($AQ$67:$AQ$76&gt;$AO497))
) / 1000</f>
        <v>0</v>
      </c>
      <c r="BS497" s="232">
        <f t="shared" si="568"/>
        <v>25</v>
      </c>
      <c r="BT497" s="230">
        <f t="shared" si="545"/>
        <v>38</v>
      </c>
      <c r="BU497" s="235">
        <f t="shared" si="546"/>
        <v>3.792954545454545</v>
      </c>
      <c r="BV497" s="235" cm="1">
        <f t="array" ref="BV497">$BI497 * IF($AH497&lt;=2,
SUMPRODUCT(INDEX($AR$67:$AT$71,,$AI497), INDEX($AU$67:$BA$71,,$AH497), 1 / ($BB$67:$BB$71*BU497 + (1-$BB$67:$BB$71)*BQ497), N($AQ$67:$AQ$71&gt;$AO497)),
SUMPRODUCT(INDEX($AR$57:$AT$66,,$AI497), INDEX($AU$57:$BA$66,,$AH497), 1 / ($BC$57:$BC$66*BU497 + (1-$BC$57:$BC$66)*BQ497), N($AQ$57:$AQ$66&gt;$AO497))
) / 1000</f>
        <v>0</v>
      </c>
      <c r="BW497" s="232">
        <f t="shared" si="569"/>
        <v>20</v>
      </c>
      <c r="BX497" s="230">
        <f t="shared" si="547"/>
        <v>33</v>
      </c>
      <c r="BY497" s="235">
        <f t="shared" si="548"/>
        <v>4.4702678571428569</v>
      </c>
      <c r="BZ497" s="235" cm="1">
        <f t="array" ref="BZ497">$BI497 * IF($AH497&lt;=2,
SUMPRODUCT(INDEX($AR$62:$AT$66,,$AI497), INDEX($AU$62:$BA$66,,$AH497), 1 / ($BB$62:$BB$66*BY497 + (1-$BB$62:$BB$66)*BU497), N($AQ$62:$AQ$66&gt;$AO497)),
SUMPRODUCT(INDEX($AR$47:$AT$56,,$AI497), INDEX($AU$47:$BA$56,,$AH497), 1 / ($BC$47:$BC$56*BY497 + (1-$BC$47:$BC$56)*BU497), N($AQ$47:$AQ$56&gt;$AO497))
) / 1000</f>
        <v>0</v>
      </c>
      <c r="CA497" s="235" cm="1">
        <f t="array" ref="CA497">$BI497 * IF($AH497&lt;=2,
SUMPRODUCT(INDEX($AR$23:$AT$61,,$AI497), INDEX($AU$23:$BA$61,,$AH497), 1 / ($BB$23:$BB$61*BY497), N($AQ$23:$AQ$61&gt;$AO497)),
SUMPRODUCT(INDEX($AR$23:$AT$46,,$AI497), INDEX($AU$23:$BA$46,,$AH497), 1 / ($BC$23:$BC$46*BY497), N($AQ$23:$AQ$46&gt;$AO497))
) / 1000</f>
        <v>0</v>
      </c>
      <c r="CB497" s="230">
        <f t="shared" si="549"/>
        <v>0</v>
      </c>
      <c r="CC497" s="238"/>
      <c r="CD497" s="229" cm="1">
        <f t="array" ref="CD497">IF(ISBLANK(Y497), INDEX(Use, $AH497, 4) - AN497*INDEX(Use, $AH497, 6) - (Q497-X497), Y497)</f>
        <v>7</v>
      </c>
      <c r="CE497" s="229">
        <f t="shared" si="550"/>
        <v>32</v>
      </c>
      <c r="CF497" s="230">
        <f t="shared" si="551"/>
        <v>0</v>
      </c>
      <c r="CG497" s="229">
        <v>35</v>
      </c>
      <c r="CH497" s="230">
        <f t="shared" si="552"/>
        <v>48</v>
      </c>
      <c r="CI497" s="235">
        <f t="shared" si="553"/>
        <v>3.0748170731707316</v>
      </c>
      <c r="CJ497" s="235" cm="1">
        <f t="array" ref="CJ497">$BI497 * SUMPRODUCT(INDEX($AR$77:$AT$82,,$AI497),INDEX($AU$77:$BA$82,,$AH497), N($AQ$77:$AQ$82&gt;$AO497)) / CI497 / 1000</f>
        <v>0</v>
      </c>
      <c r="CK497" s="232">
        <f t="shared" si="570"/>
        <v>30</v>
      </c>
      <c r="CL497" s="230">
        <f t="shared" si="554"/>
        <v>43</v>
      </c>
      <c r="CM497" s="235">
        <f t="shared" si="555"/>
        <v>3.5018750000000001</v>
      </c>
      <c r="CN497" s="235" cm="1">
        <f t="array" ref="CN497">$BI497 * IF($AH497&lt;=2,
SUMPRODUCT(INDEX($AR$72:$AT$76,,$AI497), INDEX($AU$72:$BA$76,,$AH497), 1 / ($BB$72:$BB$76*CM497 + (1-$BB$72:$BB$76)*CI497), N($AQ$72:$AQ$76&gt;$AO497)),
SUMPRODUCT(INDEX($AR$67:$AT$76,,$AI497), INDEX($AU$67:$BA$76,,$AH497), 1 / ($BC$67:$BC$76*CM497 + (1-$BC$67:$BC$76)*CI497), N($AQ$67:$AQ$76&gt;$AO497))
) / 1000</f>
        <v>0</v>
      </c>
      <c r="CO497" s="232">
        <f t="shared" si="571"/>
        <v>25</v>
      </c>
      <c r="CP497" s="230">
        <f t="shared" si="556"/>
        <v>38</v>
      </c>
      <c r="CQ497" s="235">
        <f t="shared" si="557"/>
        <v>4.0666935483870965</v>
      </c>
      <c r="CR497" s="235" cm="1">
        <f t="array" ref="CR497">$BI497 * IF($AH497&lt;=2,
SUMPRODUCT(INDEX($AR$67:$AT$71,,$AI497), INDEX($AU$67:$BA$71,,$AH497), 1 / ($BB$67:$BB$71*CQ497 + (1-$BB$67:$BB$71)*CM497), N($AQ$67:$AQ$71&gt;$AO497)),
SUMPRODUCT(INDEX($AR$57:$AT$66,,$AI497), INDEX($AU$57:$BA$66,,$AH497), 1 / ($BC$57:$BC$66*CQ497 + (1-$BC$57:$BC$66)*CM497), N($AQ$57:$AQ$66&gt;$AO497))
) / 1000</f>
        <v>0</v>
      </c>
      <c r="CS497" s="232">
        <f t="shared" si="572"/>
        <v>20</v>
      </c>
      <c r="CT497" s="230">
        <f t="shared" si="558"/>
        <v>33</v>
      </c>
      <c r="CU497" s="235">
        <f t="shared" si="559"/>
        <v>4.8487499999999999</v>
      </c>
      <c r="CV497" s="235" cm="1">
        <f t="array" ref="CV497">$BI497 * IF($AH497&lt;=2,
SUMPRODUCT(INDEX($AR$62:$AT$66,,$AI497), INDEX($AU$62:$BA$66,,$AH497), 1 / ($BB$62:$BB$66*CU497 + (1-$BB$62:$BB$66)*CQ497), N($AQ$62:$AQ$66&gt;$AO497)),
SUMPRODUCT(INDEX($AR$47:$AT$56,,$AI497), INDEX($AU$47:$BA$56,,$AH497), 1 / ($BC$47:$BC$56*CU497 + (1-$BC$47:$BC$56)*CQ497), N($AQ$47:$AQ$56&gt;$AO497))
) / 1000</f>
        <v>0</v>
      </c>
      <c r="CW497" s="235" cm="1">
        <f t="array" ref="CW497">$BI497 * IF($AH497&lt;=2,
SUMPRODUCT(INDEX($AR$23:$AT$61,,$AI497), INDEX($AU$23:$BA$61,,$AH497), 1 / ($BB$23:$BB$61*CU497), N($AQ$23:$AQ$61&gt;$AO497)),
SUMPRODUCT(INDEX($AR$23:$AT$46,,$AI497), INDEX($AU$23:$BA$46,,$AH497), 1 / ($BC$23:$BC$46*CU497), N($AQ$23:$AQ$46&gt;$AO497))
) / 1000</f>
        <v>0</v>
      </c>
      <c r="CX497" s="230">
        <f t="shared" si="560"/>
        <v>0</v>
      </c>
      <c r="CY497" s="238"/>
    </row>
    <row r="498" spans="1:103" s="76" customFormat="1" ht="14.25" customHeight="1" x14ac:dyDescent="0.2">
      <c r="A498" s="231" t="b">
        <f t="shared" si="564"/>
        <v>0</v>
      </c>
      <c r="B498" s="245">
        <v>476</v>
      </c>
      <c r="C498" s="258"/>
      <c r="D498" s="258"/>
      <c r="E498" s="246"/>
      <c r="F498" s="247" t="str">
        <f>IF(ISBLANK(E498), "", VLOOKUP(E498, Z!$A$2:$C$4127, 3, FALSE))</f>
        <v/>
      </c>
      <c r="G498" s="248"/>
      <c r="H498" s="248"/>
      <c r="I498" s="249"/>
      <c r="J498" s="250"/>
      <c r="K498" s="259"/>
      <c r="L498" s="260"/>
      <c r="M498" s="252" t="str" cm="1">
        <f t="array" ref="M498">INDEX(Trad, 53, $A$20)</f>
        <v>Verschmutzt</v>
      </c>
      <c r="N498" s="253"/>
      <c r="O498" s="253"/>
      <c r="P498" s="254"/>
      <c r="Q498" s="251"/>
      <c r="R498" s="251"/>
      <c r="S498" s="264">
        <f t="shared" si="535"/>
        <v>0</v>
      </c>
      <c r="T498" s="252" t="str" cm="1">
        <f t="array" ref="T498">INDEX(Trad, 52, $A$20)</f>
        <v>Sauber</v>
      </c>
      <c r="U498" s="253"/>
      <c r="V498" s="253"/>
      <c r="W498" s="254"/>
      <c r="X498" s="251"/>
      <c r="Y498" s="251"/>
      <c r="Z498" s="264">
        <f t="shared" si="536"/>
        <v>0</v>
      </c>
      <c r="AA498" s="261"/>
      <c r="AB498" s="258"/>
      <c r="AC498" s="246"/>
      <c r="AD498" s="247" t="str">
        <f>IF(ISBLANK(AC498), "", VLOOKUP(AC498, Z!$A$2:$C$4127, 3, FALSE))</f>
        <v/>
      </c>
      <c r="AE498" s="262"/>
      <c r="AF498" s="263">
        <f t="shared" si="537"/>
        <v>0</v>
      </c>
      <c r="AG498" s="238"/>
      <c r="AH498" s="229">
        <f t="shared" si="561"/>
        <v>1</v>
      </c>
      <c r="AI498" s="229">
        <f t="shared" si="562"/>
        <v>1</v>
      </c>
      <c r="AJ498" s="229">
        <f t="shared" si="563"/>
        <v>0</v>
      </c>
      <c r="AK498" s="229">
        <v>0</v>
      </c>
      <c r="AL498" s="229">
        <v>0</v>
      </c>
      <c r="AM498" s="229">
        <v>1</v>
      </c>
      <c r="AN498" s="229">
        <v>0</v>
      </c>
      <c r="AO498" s="229">
        <f t="shared" si="538"/>
        <v>-100</v>
      </c>
      <c r="AP498" s="238"/>
      <c r="AQ498" s="255"/>
      <c r="AR498" s="255"/>
      <c r="AS498" s="256"/>
      <c r="AT498" s="256"/>
      <c r="AU498" s="256"/>
      <c r="AV498" s="256"/>
      <c r="AW498" s="256"/>
      <c r="AX498" s="256"/>
      <c r="AY498" s="256"/>
      <c r="AZ498" s="256"/>
      <c r="BA498" s="256"/>
      <c r="BB498" s="256"/>
      <c r="BC498" s="256"/>
      <c r="BD498" s="238"/>
      <c r="BE498" s="229" cm="1">
        <f t="array" ref="BE498">IF(ISBLANK(R498), INDEX(Use, $AH498, 4) - AM498*INDEX(Use, $AH498, 6), R498)</f>
        <v>5</v>
      </c>
      <c r="BF498" s="229">
        <f t="shared" si="539"/>
        <v>30</v>
      </c>
      <c r="BG498" s="229">
        <f t="shared" si="565"/>
        <v>13</v>
      </c>
      <c r="BH498" s="229">
        <f t="shared" si="566"/>
        <v>0</v>
      </c>
      <c r="BI498" s="234" cm="1">
        <f t="array" ref="BI498">K498/IF($L498&gt;0, INDEX($AU$23:$BA$77, $L498+20, $AH498), 1)</f>
        <v>0</v>
      </c>
      <c r="BJ498" s="230">
        <f t="shared" si="540"/>
        <v>0</v>
      </c>
      <c r="BK498" s="229">
        <v>35</v>
      </c>
      <c r="BL498" s="230">
        <f t="shared" si="541"/>
        <v>48</v>
      </c>
      <c r="BM498" s="235">
        <f t="shared" si="542"/>
        <v>2.9108720930232557</v>
      </c>
      <c r="BN498" s="235" cm="1">
        <f t="array" ref="BN498">$BI498 * SUMPRODUCT(INDEX($AR$77:$AT$82,,$AI498),INDEX($AU$77:$BA$82,,$AH498), N($AQ$77:$AQ$82&gt;$AO498)) / BM498 / 1000</f>
        <v>0</v>
      </c>
      <c r="BO498" s="232">
        <f t="shared" si="567"/>
        <v>30</v>
      </c>
      <c r="BP498" s="230">
        <f t="shared" si="543"/>
        <v>43</v>
      </c>
      <c r="BQ498" s="235">
        <f t="shared" si="544"/>
        <v>3.2938815789473681</v>
      </c>
      <c r="BR498" s="235" cm="1">
        <f t="array" ref="BR498">$BI498 * IF($AH498&lt;=2,
SUMPRODUCT(INDEX($AR$72:$AT$76,,$AI498), INDEX($AU$72:$BA$76,,$AH498), 1 / ($BB$72:$BB$76*BQ498 + (1-$BB$72:$BB$76)*BM498), N($AQ$72:$AQ$76&gt;$AO498)),
SUMPRODUCT(INDEX($AR$67:$AT$76,,$AI498), INDEX($AU$67:$BA$76,,$AH498), 1 / ($BC$67:$BC$76*BQ498 + (1-$BC$67:$BC$76)*BM498), N($AQ$67:$AQ$76&gt;$AO498))
) / 1000</f>
        <v>0</v>
      </c>
      <c r="BS498" s="232">
        <f t="shared" si="568"/>
        <v>25</v>
      </c>
      <c r="BT498" s="230">
        <f t="shared" si="545"/>
        <v>38</v>
      </c>
      <c r="BU498" s="235">
        <f t="shared" si="546"/>
        <v>3.792954545454545</v>
      </c>
      <c r="BV498" s="235" cm="1">
        <f t="array" ref="BV498">$BI498 * IF($AH498&lt;=2,
SUMPRODUCT(INDEX($AR$67:$AT$71,,$AI498), INDEX($AU$67:$BA$71,,$AH498), 1 / ($BB$67:$BB$71*BU498 + (1-$BB$67:$BB$71)*BQ498), N($AQ$67:$AQ$71&gt;$AO498)),
SUMPRODUCT(INDEX($AR$57:$AT$66,,$AI498), INDEX($AU$57:$BA$66,,$AH498), 1 / ($BC$57:$BC$66*BU498 + (1-$BC$57:$BC$66)*BQ498), N($AQ$57:$AQ$66&gt;$AO498))
) / 1000</f>
        <v>0</v>
      </c>
      <c r="BW498" s="232">
        <f t="shared" si="569"/>
        <v>20</v>
      </c>
      <c r="BX498" s="230">
        <f t="shared" si="547"/>
        <v>33</v>
      </c>
      <c r="BY498" s="235">
        <f t="shared" si="548"/>
        <v>4.4702678571428569</v>
      </c>
      <c r="BZ498" s="235" cm="1">
        <f t="array" ref="BZ498">$BI498 * IF($AH498&lt;=2,
SUMPRODUCT(INDEX($AR$62:$AT$66,,$AI498), INDEX($AU$62:$BA$66,,$AH498), 1 / ($BB$62:$BB$66*BY498 + (1-$BB$62:$BB$66)*BU498), N($AQ$62:$AQ$66&gt;$AO498)),
SUMPRODUCT(INDEX($AR$47:$AT$56,,$AI498), INDEX($AU$47:$BA$56,,$AH498), 1 / ($BC$47:$BC$56*BY498 + (1-$BC$47:$BC$56)*BU498), N($AQ$47:$AQ$56&gt;$AO498))
) / 1000</f>
        <v>0</v>
      </c>
      <c r="CA498" s="235" cm="1">
        <f t="array" ref="CA498">$BI498 * IF($AH498&lt;=2,
SUMPRODUCT(INDEX($AR$23:$AT$61,,$AI498), INDEX($AU$23:$BA$61,,$AH498), 1 / ($BB$23:$BB$61*BY498), N($AQ$23:$AQ$61&gt;$AO498)),
SUMPRODUCT(INDEX($AR$23:$AT$46,,$AI498), INDEX($AU$23:$BA$46,,$AH498), 1 / ($BC$23:$BC$46*BY498), N($AQ$23:$AQ$46&gt;$AO498))
) / 1000</f>
        <v>0</v>
      </c>
      <c r="CB498" s="230">
        <f t="shared" si="549"/>
        <v>0</v>
      </c>
      <c r="CC498" s="238"/>
      <c r="CD498" s="229" cm="1">
        <f t="array" ref="CD498">IF(ISBLANK(Y498), INDEX(Use, $AH498, 4) - AN498*INDEX(Use, $AH498, 6) - (Q498-X498), Y498)</f>
        <v>7</v>
      </c>
      <c r="CE498" s="229">
        <f t="shared" si="550"/>
        <v>32</v>
      </c>
      <c r="CF498" s="230">
        <f t="shared" si="551"/>
        <v>0</v>
      </c>
      <c r="CG498" s="229">
        <v>35</v>
      </c>
      <c r="CH498" s="230">
        <f t="shared" si="552"/>
        <v>48</v>
      </c>
      <c r="CI498" s="235">
        <f t="shared" si="553"/>
        <v>3.0748170731707316</v>
      </c>
      <c r="CJ498" s="235" cm="1">
        <f t="array" ref="CJ498">$BI498 * SUMPRODUCT(INDEX($AR$77:$AT$82,,$AI498),INDEX($AU$77:$BA$82,,$AH498), N($AQ$77:$AQ$82&gt;$AO498)) / CI498 / 1000</f>
        <v>0</v>
      </c>
      <c r="CK498" s="232">
        <f t="shared" si="570"/>
        <v>30</v>
      </c>
      <c r="CL498" s="230">
        <f t="shared" si="554"/>
        <v>43</v>
      </c>
      <c r="CM498" s="235">
        <f t="shared" si="555"/>
        <v>3.5018750000000001</v>
      </c>
      <c r="CN498" s="235" cm="1">
        <f t="array" ref="CN498">$BI498 * IF($AH498&lt;=2,
SUMPRODUCT(INDEX($AR$72:$AT$76,,$AI498), INDEX($AU$72:$BA$76,,$AH498), 1 / ($BB$72:$BB$76*CM498 + (1-$BB$72:$BB$76)*CI498), N($AQ$72:$AQ$76&gt;$AO498)),
SUMPRODUCT(INDEX($AR$67:$AT$76,,$AI498), INDEX($AU$67:$BA$76,,$AH498), 1 / ($BC$67:$BC$76*CM498 + (1-$BC$67:$BC$76)*CI498), N($AQ$67:$AQ$76&gt;$AO498))
) / 1000</f>
        <v>0</v>
      </c>
      <c r="CO498" s="232">
        <f t="shared" si="571"/>
        <v>25</v>
      </c>
      <c r="CP498" s="230">
        <f t="shared" si="556"/>
        <v>38</v>
      </c>
      <c r="CQ498" s="235">
        <f t="shared" si="557"/>
        <v>4.0666935483870965</v>
      </c>
      <c r="CR498" s="235" cm="1">
        <f t="array" ref="CR498">$BI498 * IF($AH498&lt;=2,
SUMPRODUCT(INDEX($AR$67:$AT$71,,$AI498), INDEX($AU$67:$BA$71,,$AH498), 1 / ($BB$67:$BB$71*CQ498 + (1-$BB$67:$BB$71)*CM498), N($AQ$67:$AQ$71&gt;$AO498)),
SUMPRODUCT(INDEX($AR$57:$AT$66,,$AI498), INDEX($AU$57:$BA$66,,$AH498), 1 / ($BC$57:$BC$66*CQ498 + (1-$BC$57:$BC$66)*CM498), N($AQ$57:$AQ$66&gt;$AO498))
) / 1000</f>
        <v>0</v>
      </c>
      <c r="CS498" s="232">
        <f t="shared" si="572"/>
        <v>20</v>
      </c>
      <c r="CT498" s="230">
        <f t="shared" si="558"/>
        <v>33</v>
      </c>
      <c r="CU498" s="235">
        <f t="shared" si="559"/>
        <v>4.8487499999999999</v>
      </c>
      <c r="CV498" s="235" cm="1">
        <f t="array" ref="CV498">$BI498 * IF($AH498&lt;=2,
SUMPRODUCT(INDEX($AR$62:$AT$66,,$AI498), INDEX($AU$62:$BA$66,,$AH498), 1 / ($BB$62:$BB$66*CU498 + (1-$BB$62:$BB$66)*CQ498), N($AQ$62:$AQ$66&gt;$AO498)),
SUMPRODUCT(INDEX($AR$47:$AT$56,,$AI498), INDEX($AU$47:$BA$56,,$AH498), 1 / ($BC$47:$BC$56*CU498 + (1-$BC$47:$BC$56)*CQ498), N($AQ$47:$AQ$56&gt;$AO498))
) / 1000</f>
        <v>0</v>
      </c>
      <c r="CW498" s="235" cm="1">
        <f t="array" ref="CW498">$BI498 * IF($AH498&lt;=2,
SUMPRODUCT(INDEX($AR$23:$AT$61,,$AI498), INDEX($AU$23:$BA$61,,$AH498), 1 / ($BB$23:$BB$61*CU498), N($AQ$23:$AQ$61&gt;$AO498)),
SUMPRODUCT(INDEX($AR$23:$AT$46,,$AI498), INDEX($AU$23:$BA$46,,$AH498), 1 / ($BC$23:$BC$46*CU498), N($AQ$23:$AQ$46&gt;$AO498))
) / 1000</f>
        <v>0</v>
      </c>
      <c r="CX498" s="230">
        <f t="shared" si="560"/>
        <v>0</v>
      </c>
      <c r="CY498" s="238"/>
    </row>
    <row r="499" spans="1:103" s="76" customFormat="1" ht="14.25" customHeight="1" x14ac:dyDescent="0.2">
      <c r="A499" s="231" t="b">
        <f t="shared" si="564"/>
        <v>0</v>
      </c>
      <c r="B499" s="245">
        <v>477</v>
      </c>
      <c r="C499" s="258"/>
      <c r="D499" s="258"/>
      <c r="E499" s="246"/>
      <c r="F499" s="247" t="str">
        <f>IF(ISBLANK(E499), "", VLOOKUP(E499, Z!$A$2:$C$4127, 3, FALSE))</f>
        <v/>
      </c>
      <c r="G499" s="248"/>
      <c r="H499" s="248"/>
      <c r="I499" s="249"/>
      <c r="J499" s="250"/>
      <c r="K499" s="259"/>
      <c r="L499" s="260"/>
      <c r="M499" s="252" t="str" cm="1">
        <f t="array" ref="M499">INDEX(Trad, 53, $A$20)</f>
        <v>Verschmutzt</v>
      </c>
      <c r="N499" s="253"/>
      <c r="O499" s="253"/>
      <c r="P499" s="254"/>
      <c r="Q499" s="251"/>
      <c r="R499" s="251"/>
      <c r="S499" s="264">
        <f t="shared" si="535"/>
        <v>0</v>
      </c>
      <c r="T499" s="252" t="str" cm="1">
        <f t="array" ref="T499">INDEX(Trad, 52, $A$20)</f>
        <v>Sauber</v>
      </c>
      <c r="U499" s="253"/>
      <c r="V499" s="253"/>
      <c r="W499" s="254"/>
      <c r="X499" s="251"/>
      <c r="Y499" s="251"/>
      <c r="Z499" s="264">
        <f t="shared" si="536"/>
        <v>0</v>
      </c>
      <c r="AA499" s="261"/>
      <c r="AB499" s="258"/>
      <c r="AC499" s="246"/>
      <c r="AD499" s="247" t="str">
        <f>IF(ISBLANK(AC499), "", VLOOKUP(AC499, Z!$A$2:$C$4127, 3, FALSE))</f>
        <v/>
      </c>
      <c r="AE499" s="262"/>
      <c r="AF499" s="263">
        <f t="shared" si="537"/>
        <v>0</v>
      </c>
      <c r="AG499" s="238"/>
      <c r="AH499" s="229">
        <f t="shared" si="561"/>
        <v>1</v>
      </c>
      <c r="AI499" s="229">
        <f t="shared" si="562"/>
        <v>1</v>
      </c>
      <c r="AJ499" s="229">
        <f t="shared" si="563"/>
        <v>0</v>
      </c>
      <c r="AK499" s="229">
        <v>0</v>
      </c>
      <c r="AL499" s="229">
        <v>0</v>
      </c>
      <c r="AM499" s="229">
        <v>1</v>
      </c>
      <c r="AN499" s="229">
        <v>0</v>
      </c>
      <c r="AO499" s="229">
        <f t="shared" si="538"/>
        <v>-100</v>
      </c>
      <c r="AP499" s="238"/>
      <c r="AQ499" s="255"/>
      <c r="AR499" s="255"/>
      <c r="AS499" s="256"/>
      <c r="AT499" s="256"/>
      <c r="AU499" s="256"/>
      <c r="AV499" s="256"/>
      <c r="AW499" s="256"/>
      <c r="AX499" s="256"/>
      <c r="AY499" s="256"/>
      <c r="AZ499" s="256"/>
      <c r="BA499" s="256"/>
      <c r="BB499" s="256"/>
      <c r="BC499" s="256"/>
      <c r="BD499" s="238"/>
      <c r="BE499" s="229" cm="1">
        <f t="array" ref="BE499">IF(ISBLANK(R499), INDEX(Use, $AH499, 4) - AM499*INDEX(Use, $AH499, 6), R499)</f>
        <v>5</v>
      </c>
      <c r="BF499" s="229">
        <f t="shared" si="539"/>
        <v>30</v>
      </c>
      <c r="BG499" s="229">
        <f t="shared" si="565"/>
        <v>13</v>
      </c>
      <c r="BH499" s="229">
        <f t="shared" si="566"/>
        <v>0</v>
      </c>
      <c r="BI499" s="234" cm="1">
        <f t="array" ref="BI499">K499/IF($L499&gt;0, INDEX($AU$23:$BA$77, $L499+20, $AH499), 1)</f>
        <v>0</v>
      </c>
      <c r="BJ499" s="230">
        <f t="shared" si="540"/>
        <v>0</v>
      </c>
      <c r="BK499" s="229">
        <v>35</v>
      </c>
      <c r="BL499" s="230">
        <f t="shared" si="541"/>
        <v>48</v>
      </c>
      <c r="BM499" s="235">
        <f t="shared" si="542"/>
        <v>2.9108720930232557</v>
      </c>
      <c r="BN499" s="235" cm="1">
        <f t="array" ref="BN499">$BI499 * SUMPRODUCT(INDEX($AR$77:$AT$82,,$AI499),INDEX($AU$77:$BA$82,,$AH499), N($AQ$77:$AQ$82&gt;$AO499)) / BM499 / 1000</f>
        <v>0</v>
      </c>
      <c r="BO499" s="232">
        <f t="shared" si="567"/>
        <v>30</v>
      </c>
      <c r="BP499" s="230">
        <f t="shared" si="543"/>
        <v>43</v>
      </c>
      <c r="BQ499" s="235">
        <f t="shared" si="544"/>
        <v>3.2938815789473681</v>
      </c>
      <c r="BR499" s="235" cm="1">
        <f t="array" ref="BR499">$BI499 * IF($AH499&lt;=2,
SUMPRODUCT(INDEX($AR$72:$AT$76,,$AI499), INDEX($AU$72:$BA$76,,$AH499), 1 / ($BB$72:$BB$76*BQ499 + (1-$BB$72:$BB$76)*BM499), N($AQ$72:$AQ$76&gt;$AO499)),
SUMPRODUCT(INDEX($AR$67:$AT$76,,$AI499), INDEX($AU$67:$BA$76,,$AH499), 1 / ($BC$67:$BC$76*BQ499 + (1-$BC$67:$BC$76)*BM499), N($AQ$67:$AQ$76&gt;$AO499))
) / 1000</f>
        <v>0</v>
      </c>
      <c r="BS499" s="232">
        <f t="shared" si="568"/>
        <v>25</v>
      </c>
      <c r="BT499" s="230">
        <f t="shared" si="545"/>
        <v>38</v>
      </c>
      <c r="BU499" s="235">
        <f t="shared" si="546"/>
        <v>3.792954545454545</v>
      </c>
      <c r="BV499" s="235" cm="1">
        <f t="array" ref="BV499">$BI499 * IF($AH499&lt;=2,
SUMPRODUCT(INDEX($AR$67:$AT$71,,$AI499), INDEX($AU$67:$BA$71,,$AH499), 1 / ($BB$67:$BB$71*BU499 + (1-$BB$67:$BB$71)*BQ499), N($AQ$67:$AQ$71&gt;$AO499)),
SUMPRODUCT(INDEX($AR$57:$AT$66,,$AI499), INDEX($AU$57:$BA$66,,$AH499), 1 / ($BC$57:$BC$66*BU499 + (1-$BC$57:$BC$66)*BQ499), N($AQ$57:$AQ$66&gt;$AO499))
) / 1000</f>
        <v>0</v>
      </c>
      <c r="BW499" s="232">
        <f t="shared" si="569"/>
        <v>20</v>
      </c>
      <c r="BX499" s="230">
        <f t="shared" si="547"/>
        <v>33</v>
      </c>
      <c r="BY499" s="235">
        <f t="shared" si="548"/>
        <v>4.4702678571428569</v>
      </c>
      <c r="BZ499" s="235" cm="1">
        <f t="array" ref="BZ499">$BI499 * IF($AH499&lt;=2,
SUMPRODUCT(INDEX($AR$62:$AT$66,,$AI499), INDEX($AU$62:$BA$66,,$AH499), 1 / ($BB$62:$BB$66*BY499 + (1-$BB$62:$BB$66)*BU499), N($AQ$62:$AQ$66&gt;$AO499)),
SUMPRODUCT(INDEX($AR$47:$AT$56,,$AI499), INDEX($AU$47:$BA$56,,$AH499), 1 / ($BC$47:$BC$56*BY499 + (1-$BC$47:$BC$56)*BU499), N($AQ$47:$AQ$56&gt;$AO499))
) / 1000</f>
        <v>0</v>
      </c>
      <c r="CA499" s="235" cm="1">
        <f t="array" ref="CA499">$BI499 * IF($AH499&lt;=2,
SUMPRODUCT(INDEX($AR$23:$AT$61,,$AI499), INDEX($AU$23:$BA$61,,$AH499), 1 / ($BB$23:$BB$61*BY499), N($AQ$23:$AQ$61&gt;$AO499)),
SUMPRODUCT(INDEX($AR$23:$AT$46,,$AI499), INDEX($AU$23:$BA$46,,$AH499), 1 / ($BC$23:$BC$46*BY499), N($AQ$23:$AQ$46&gt;$AO499))
) / 1000</f>
        <v>0</v>
      </c>
      <c r="CB499" s="230">
        <f t="shared" si="549"/>
        <v>0</v>
      </c>
      <c r="CC499" s="238"/>
      <c r="CD499" s="229" cm="1">
        <f t="array" ref="CD499">IF(ISBLANK(Y499), INDEX(Use, $AH499, 4) - AN499*INDEX(Use, $AH499, 6) - (Q499-X499), Y499)</f>
        <v>7</v>
      </c>
      <c r="CE499" s="229">
        <f t="shared" si="550"/>
        <v>32</v>
      </c>
      <c r="CF499" s="230">
        <f t="shared" si="551"/>
        <v>0</v>
      </c>
      <c r="CG499" s="229">
        <v>35</v>
      </c>
      <c r="CH499" s="230">
        <f t="shared" si="552"/>
        <v>48</v>
      </c>
      <c r="CI499" s="235">
        <f t="shared" si="553"/>
        <v>3.0748170731707316</v>
      </c>
      <c r="CJ499" s="235" cm="1">
        <f t="array" ref="CJ499">$BI499 * SUMPRODUCT(INDEX($AR$77:$AT$82,,$AI499),INDEX($AU$77:$BA$82,,$AH499), N($AQ$77:$AQ$82&gt;$AO499)) / CI499 / 1000</f>
        <v>0</v>
      </c>
      <c r="CK499" s="232">
        <f t="shared" si="570"/>
        <v>30</v>
      </c>
      <c r="CL499" s="230">
        <f t="shared" si="554"/>
        <v>43</v>
      </c>
      <c r="CM499" s="235">
        <f t="shared" si="555"/>
        <v>3.5018750000000001</v>
      </c>
      <c r="CN499" s="235" cm="1">
        <f t="array" ref="CN499">$BI499 * IF($AH499&lt;=2,
SUMPRODUCT(INDEX($AR$72:$AT$76,,$AI499), INDEX($AU$72:$BA$76,,$AH499), 1 / ($BB$72:$BB$76*CM499 + (1-$BB$72:$BB$76)*CI499), N($AQ$72:$AQ$76&gt;$AO499)),
SUMPRODUCT(INDEX($AR$67:$AT$76,,$AI499), INDEX($AU$67:$BA$76,,$AH499), 1 / ($BC$67:$BC$76*CM499 + (1-$BC$67:$BC$76)*CI499), N($AQ$67:$AQ$76&gt;$AO499))
) / 1000</f>
        <v>0</v>
      </c>
      <c r="CO499" s="232">
        <f t="shared" si="571"/>
        <v>25</v>
      </c>
      <c r="CP499" s="230">
        <f t="shared" si="556"/>
        <v>38</v>
      </c>
      <c r="CQ499" s="235">
        <f t="shared" si="557"/>
        <v>4.0666935483870965</v>
      </c>
      <c r="CR499" s="235" cm="1">
        <f t="array" ref="CR499">$BI499 * IF($AH499&lt;=2,
SUMPRODUCT(INDEX($AR$67:$AT$71,,$AI499), INDEX($AU$67:$BA$71,,$AH499), 1 / ($BB$67:$BB$71*CQ499 + (1-$BB$67:$BB$71)*CM499), N($AQ$67:$AQ$71&gt;$AO499)),
SUMPRODUCT(INDEX($AR$57:$AT$66,,$AI499), INDEX($AU$57:$BA$66,,$AH499), 1 / ($BC$57:$BC$66*CQ499 + (1-$BC$57:$BC$66)*CM499), N($AQ$57:$AQ$66&gt;$AO499))
) / 1000</f>
        <v>0</v>
      </c>
      <c r="CS499" s="232">
        <f t="shared" si="572"/>
        <v>20</v>
      </c>
      <c r="CT499" s="230">
        <f t="shared" si="558"/>
        <v>33</v>
      </c>
      <c r="CU499" s="235">
        <f t="shared" si="559"/>
        <v>4.8487499999999999</v>
      </c>
      <c r="CV499" s="235" cm="1">
        <f t="array" ref="CV499">$BI499 * IF($AH499&lt;=2,
SUMPRODUCT(INDEX($AR$62:$AT$66,,$AI499), INDEX($AU$62:$BA$66,,$AH499), 1 / ($BB$62:$BB$66*CU499 + (1-$BB$62:$BB$66)*CQ499), N($AQ$62:$AQ$66&gt;$AO499)),
SUMPRODUCT(INDEX($AR$47:$AT$56,,$AI499), INDEX($AU$47:$BA$56,,$AH499), 1 / ($BC$47:$BC$56*CU499 + (1-$BC$47:$BC$56)*CQ499), N($AQ$47:$AQ$56&gt;$AO499))
) / 1000</f>
        <v>0</v>
      </c>
      <c r="CW499" s="235" cm="1">
        <f t="array" ref="CW499">$BI499 * IF($AH499&lt;=2,
SUMPRODUCT(INDEX($AR$23:$AT$61,,$AI499), INDEX($AU$23:$BA$61,,$AH499), 1 / ($BB$23:$BB$61*CU499), N($AQ$23:$AQ$61&gt;$AO499)),
SUMPRODUCT(INDEX($AR$23:$AT$46,,$AI499), INDEX($AU$23:$BA$46,,$AH499), 1 / ($BC$23:$BC$46*CU499), N($AQ$23:$AQ$46&gt;$AO499))
) / 1000</f>
        <v>0</v>
      </c>
      <c r="CX499" s="230">
        <f t="shared" si="560"/>
        <v>0</v>
      </c>
      <c r="CY499" s="238"/>
    </row>
    <row r="500" spans="1:103" s="76" customFormat="1" ht="14.25" customHeight="1" x14ac:dyDescent="0.2">
      <c r="A500" s="231" t="b">
        <f t="shared" si="564"/>
        <v>0</v>
      </c>
      <c r="B500" s="245">
        <v>478</v>
      </c>
      <c r="C500" s="258"/>
      <c r="D500" s="258"/>
      <c r="E500" s="246"/>
      <c r="F500" s="247" t="str">
        <f>IF(ISBLANK(E500), "", VLOOKUP(E500, Z!$A$2:$C$4127, 3, FALSE))</f>
        <v/>
      </c>
      <c r="G500" s="248"/>
      <c r="H500" s="248"/>
      <c r="I500" s="249"/>
      <c r="J500" s="250"/>
      <c r="K500" s="259"/>
      <c r="L500" s="260"/>
      <c r="M500" s="252" t="str" cm="1">
        <f t="array" ref="M500">INDEX(Trad, 53, $A$20)</f>
        <v>Verschmutzt</v>
      </c>
      <c r="N500" s="253"/>
      <c r="O500" s="253"/>
      <c r="P500" s="254"/>
      <c r="Q500" s="251"/>
      <c r="R500" s="251"/>
      <c r="S500" s="264">
        <f t="shared" si="535"/>
        <v>0</v>
      </c>
      <c r="T500" s="252" t="str" cm="1">
        <f t="array" ref="T500">INDEX(Trad, 52, $A$20)</f>
        <v>Sauber</v>
      </c>
      <c r="U500" s="253"/>
      <c r="V500" s="253"/>
      <c r="W500" s="254"/>
      <c r="X500" s="251"/>
      <c r="Y500" s="251"/>
      <c r="Z500" s="264">
        <f t="shared" si="536"/>
        <v>0</v>
      </c>
      <c r="AA500" s="261"/>
      <c r="AB500" s="258"/>
      <c r="AC500" s="246"/>
      <c r="AD500" s="247" t="str">
        <f>IF(ISBLANK(AC500), "", VLOOKUP(AC500, Z!$A$2:$C$4127, 3, FALSE))</f>
        <v/>
      </c>
      <c r="AE500" s="262"/>
      <c r="AF500" s="263">
        <f t="shared" si="537"/>
        <v>0</v>
      </c>
      <c r="AG500" s="238"/>
      <c r="AH500" s="229">
        <f t="shared" si="561"/>
        <v>1</v>
      </c>
      <c r="AI500" s="229">
        <f t="shared" si="562"/>
        <v>1</v>
      </c>
      <c r="AJ500" s="229">
        <f t="shared" si="563"/>
        <v>0</v>
      </c>
      <c r="AK500" s="229">
        <v>0</v>
      </c>
      <c r="AL500" s="229">
        <v>0</v>
      </c>
      <c r="AM500" s="229">
        <v>1</v>
      </c>
      <c r="AN500" s="229">
        <v>0</v>
      </c>
      <c r="AO500" s="229">
        <f t="shared" si="538"/>
        <v>-100</v>
      </c>
      <c r="AP500" s="238"/>
      <c r="AQ500" s="255"/>
      <c r="AR500" s="255"/>
      <c r="AS500" s="256"/>
      <c r="AT500" s="256"/>
      <c r="AU500" s="256"/>
      <c r="AV500" s="256"/>
      <c r="AW500" s="256"/>
      <c r="AX500" s="256"/>
      <c r="AY500" s="256"/>
      <c r="AZ500" s="256"/>
      <c r="BA500" s="256"/>
      <c r="BB500" s="256"/>
      <c r="BC500" s="256"/>
      <c r="BD500" s="238"/>
      <c r="BE500" s="229" cm="1">
        <f t="array" ref="BE500">IF(ISBLANK(R500), INDEX(Use, $AH500, 4) - AM500*INDEX(Use, $AH500, 6), R500)</f>
        <v>5</v>
      </c>
      <c r="BF500" s="229">
        <f t="shared" si="539"/>
        <v>30</v>
      </c>
      <c r="BG500" s="229">
        <f t="shared" si="565"/>
        <v>13</v>
      </c>
      <c r="BH500" s="229">
        <f t="shared" si="566"/>
        <v>0</v>
      </c>
      <c r="BI500" s="234" cm="1">
        <f t="array" ref="BI500">K500/IF($L500&gt;0, INDEX($AU$23:$BA$77, $L500+20, $AH500), 1)</f>
        <v>0</v>
      </c>
      <c r="BJ500" s="230">
        <f t="shared" si="540"/>
        <v>0</v>
      </c>
      <c r="BK500" s="229">
        <v>35</v>
      </c>
      <c r="BL500" s="230">
        <f t="shared" si="541"/>
        <v>48</v>
      </c>
      <c r="BM500" s="235">
        <f t="shared" si="542"/>
        <v>2.9108720930232557</v>
      </c>
      <c r="BN500" s="235" cm="1">
        <f t="array" ref="BN500">$BI500 * SUMPRODUCT(INDEX($AR$77:$AT$82,,$AI500),INDEX($AU$77:$BA$82,,$AH500), N($AQ$77:$AQ$82&gt;$AO500)) / BM500 / 1000</f>
        <v>0</v>
      </c>
      <c r="BO500" s="232">
        <f t="shared" si="567"/>
        <v>30</v>
      </c>
      <c r="BP500" s="230">
        <f t="shared" si="543"/>
        <v>43</v>
      </c>
      <c r="BQ500" s="235">
        <f t="shared" si="544"/>
        <v>3.2938815789473681</v>
      </c>
      <c r="BR500" s="235" cm="1">
        <f t="array" ref="BR500">$BI500 * IF($AH500&lt;=2,
SUMPRODUCT(INDEX($AR$72:$AT$76,,$AI500), INDEX($AU$72:$BA$76,,$AH500), 1 / ($BB$72:$BB$76*BQ500 + (1-$BB$72:$BB$76)*BM500), N($AQ$72:$AQ$76&gt;$AO500)),
SUMPRODUCT(INDEX($AR$67:$AT$76,,$AI500), INDEX($AU$67:$BA$76,,$AH500), 1 / ($BC$67:$BC$76*BQ500 + (1-$BC$67:$BC$76)*BM500), N($AQ$67:$AQ$76&gt;$AO500))
) / 1000</f>
        <v>0</v>
      </c>
      <c r="BS500" s="232">
        <f t="shared" si="568"/>
        <v>25</v>
      </c>
      <c r="BT500" s="230">
        <f t="shared" si="545"/>
        <v>38</v>
      </c>
      <c r="BU500" s="235">
        <f t="shared" si="546"/>
        <v>3.792954545454545</v>
      </c>
      <c r="BV500" s="235" cm="1">
        <f t="array" ref="BV500">$BI500 * IF($AH500&lt;=2,
SUMPRODUCT(INDEX($AR$67:$AT$71,,$AI500), INDEX($AU$67:$BA$71,,$AH500), 1 / ($BB$67:$BB$71*BU500 + (1-$BB$67:$BB$71)*BQ500), N($AQ$67:$AQ$71&gt;$AO500)),
SUMPRODUCT(INDEX($AR$57:$AT$66,,$AI500), INDEX($AU$57:$BA$66,,$AH500), 1 / ($BC$57:$BC$66*BU500 + (1-$BC$57:$BC$66)*BQ500), N($AQ$57:$AQ$66&gt;$AO500))
) / 1000</f>
        <v>0</v>
      </c>
      <c r="BW500" s="232">
        <f t="shared" si="569"/>
        <v>20</v>
      </c>
      <c r="BX500" s="230">
        <f t="shared" si="547"/>
        <v>33</v>
      </c>
      <c r="BY500" s="235">
        <f t="shared" si="548"/>
        <v>4.4702678571428569</v>
      </c>
      <c r="BZ500" s="235" cm="1">
        <f t="array" ref="BZ500">$BI500 * IF($AH500&lt;=2,
SUMPRODUCT(INDEX($AR$62:$AT$66,,$AI500), INDEX($AU$62:$BA$66,,$AH500), 1 / ($BB$62:$BB$66*BY500 + (1-$BB$62:$BB$66)*BU500), N($AQ$62:$AQ$66&gt;$AO500)),
SUMPRODUCT(INDEX($AR$47:$AT$56,,$AI500), INDEX($AU$47:$BA$56,,$AH500), 1 / ($BC$47:$BC$56*BY500 + (1-$BC$47:$BC$56)*BU500), N($AQ$47:$AQ$56&gt;$AO500))
) / 1000</f>
        <v>0</v>
      </c>
      <c r="CA500" s="235" cm="1">
        <f t="array" ref="CA500">$BI500 * IF($AH500&lt;=2,
SUMPRODUCT(INDEX($AR$23:$AT$61,,$AI500), INDEX($AU$23:$BA$61,,$AH500), 1 / ($BB$23:$BB$61*BY500), N($AQ$23:$AQ$61&gt;$AO500)),
SUMPRODUCT(INDEX($AR$23:$AT$46,,$AI500), INDEX($AU$23:$BA$46,,$AH500), 1 / ($BC$23:$BC$46*BY500), N($AQ$23:$AQ$46&gt;$AO500))
) / 1000</f>
        <v>0</v>
      </c>
      <c r="CB500" s="230">
        <f t="shared" si="549"/>
        <v>0</v>
      </c>
      <c r="CC500" s="238"/>
      <c r="CD500" s="229" cm="1">
        <f t="array" ref="CD500">IF(ISBLANK(Y500), INDEX(Use, $AH500, 4) - AN500*INDEX(Use, $AH500, 6) - (Q500-X500), Y500)</f>
        <v>7</v>
      </c>
      <c r="CE500" s="229">
        <f t="shared" si="550"/>
        <v>32</v>
      </c>
      <c r="CF500" s="230">
        <f t="shared" si="551"/>
        <v>0</v>
      </c>
      <c r="CG500" s="229">
        <v>35</v>
      </c>
      <c r="CH500" s="230">
        <f t="shared" si="552"/>
        <v>48</v>
      </c>
      <c r="CI500" s="235">
        <f t="shared" si="553"/>
        <v>3.0748170731707316</v>
      </c>
      <c r="CJ500" s="235" cm="1">
        <f t="array" ref="CJ500">$BI500 * SUMPRODUCT(INDEX($AR$77:$AT$82,,$AI500),INDEX($AU$77:$BA$82,,$AH500), N($AQ$77:$AQ$82&gt;$AO500)) / CI500 / 1000</f>
        <v>0</v>
      </c>
      <c r="CK500" s="232">
        <f t="shared" si="570"/>
        <v>30</v>
      </c>
      <c r="CL500" s="230">
        <f t="shared" si="554"/>
        <v>43</v>
      </c>
      <c r="CM500" s="235">
        <f t="shared" si="555"/>
        <v>3.5018750000000001</v>
      </c>
      <c r="CN500" s="235" cm="1">
        <f t="array" ref="CN500">$BI500 * IF($AH500&lt;=2,
SUMPRODUCT(INDEX($AR$72:$AT$76,,$AI500), INDEX($AU$72:$BA$76,,$AH500), 1 / ($BB$72:$BB$76*CM500 + (1-$BB$72:$BB$76)*CI500), N($AQ$72:$AQ$76&gt;$AO500)),
SUMPRODUCT(INDEX($AR$67:$AT$76,,$AI500), INDEX($AU$67:$BA$76,,$AH500), 1 / ($BC$67:$BC$76*CM500 + (1-$BC$67:$BC$76)*CI500), N($AQ$67:$AQ$76&gt;$AO500))
) / 1000</f>
        <v>0</v>
      </c>
      <c r="CO500" s="232">
        <f t="shared" si="571"/>
        <v>25</v>
      </c>
      <c r="CP500" s="230">
        <f t="shared" si="556"/>
        <v>38</v>
      </c>
      <c r="CQ500" s="235">
        <f t="shared" si="557"/>
        <v>4.0666935483870965</v>
      </c>
      <c r="CR500" s="235" cm="1">
        <f t="array" ref="CR500">$BI500 * IF($AH500&lt;=2,
SUMPRODUCT(INDEX($AR$67:$AT$71,,$AI500), INDEX($AU$67:$BA$71,,$AH500), 1 / ($BB$67:$BB$71*CQ500 + (1-$BB$67:$BB$71)*CM500), N($AQ$67:$AQ$71&gt;$AO500)),
SUMPRODUCT(INDEX($AR$57:$AT$66,,$AI500), INDEX($AU$57:$BA$66,,$AH500), 1 / ($BC$57:$BC$66*CQ500 + (1-$BC$57:$BC$66)*CM500), N($AQ$57:$AQ$66&gt;$AO500))
) / 1000</f>
        <v>0</v>
      </c>
      <c r="CS500" s="232">
        <f t="shared" si="572"/>
        <v>20</v>
      </c>
      <c r="CT500" s="230">
        <f t="shared" si="558"/>
        <v>33</v>
      </c>
      <c r="CU500" s="235">
        <f t="shared" si="559"/>
        <v>4.8487499999999999</v>
      </c>
      <c r="CV500" s="235" cm="1">
        <f t="array" ref="CV500">$BI500 * IF($AH500&lt;=2,
SUMPRODUCT(INDEX($AR$62:$AT$66,,$AI500), INDEX($AU$62:$BA$66,,$AH500), 1 / ($BB$62:$BB$66*CU500 + (1-$BB$62:$BB$66)*CQ500), N($AQ$62:$AQ$66&gt;$AO500)),
SUMPRODUCT(INDEX($AR$47:$AT$56,,$AI500), INDEX($AU$47:$BA$56,,$AH500), 1 / ($BC$47:$BC$56*CU500 + (1-$BC$47:$BC$56)*CQ500), N($AQ$47:$AQ$56&gt;$AO500))
) / 1000</f>
        <v>0</v>
      </c>
      <c r="CW500" s="235" cm="1">
        <f t="array" ref="CW500">$BI500 * IF($AH500&lt;=2,
SUMPRODUCT(INDEX($AR$23:$AT$61,,$AI500), INDEX($AU$23:$BA$61,,$AH500), 1 / ($BB$23:$BB$61*CU500), N($AQ$23:$AQ$61&gt;$AO500)),
SUMPRODUCT(INDEX($AR$23:$AT$46,,$AI500), INDEX($AU$23:$BA$46,,$AH500), 1 / ($BC$23:$BC$46*CU500), N($AQ$23:$AQ$46&gt;$AO500))
) / 1000</f>
        <v>0</v>
      </c>
      <c r="CX500" s="230">
        <f t="shared" si="560"/>
        <v>0</v>
      </c>
      <c r="CY500" s="238"/>
    </row>
    <row r="501" spans="1:103" s="76" customFormat="1" ht="14.25" customHeight="1" x14ac:dyDescent="0.2">
      <c r="A501" s="231" t="b">
        <f t="shared" si="564"/>
        <v>0</v>
      </c>
      <c r="B501" s="245">
        <v>479</v>
      </c>
      <c r="C501" s="258"/>
      <c r="D501" s="258"/>
      <c r="E501" s="246"/>
      <c r="F501" s="247" t="str">
        <f>IF(ISBLANK(E501), "", VLOOKUP(E501, Z!$A$2:$C$4127, 3, FALSE))</f>
        <v/>
      </c>
      <c r="G501" s="248"/>
      <c r="H501" s="248"/>
      <c r="I501" s="249"/>
      <c r="J501" s="250"/>
      <c r="K501" s="259"/>
      <c r="L501" s="260"/>
      <c r="M501" s="252" t="str" cm="1">
        <f t="array" ref="M501">INDEX(Trad, 53, $A$20)</f>
        <v>Verschmutzt</v>
      </c>
      <c r="N501" s="253"/>
      <c r="O501" s="253"/>
      <c r="P501" s="254"/>
      <c r="Q501" s="251"/>
      <c r="R501" s="251"/>
      <c r="S501" s="264">
        <f t="shared" si="535"/>
        <v>0</v>
      </c>
      <c r="T501" s="252" t="str" cm="1">
        <f t="array" ref="T501">INDEX(Trad, 52, $A$20)</f>
        <v>Sauber</v>
      </c>
      <c r="U501" s="253"/>
      <c r="V501" s="253"/>
      <c r="W501" s="254"/>
      <c r="X501" s="251"/>
      <c r="Y501" s="251"/>
      <c r="Z501" s="264">
        <f t="shared" si="536"/>
        <v>0</v>
      </c>
      <c r="AA501" s="261"/>
      <c r="AB501" s="258"/>
      <c r="AC501" s="246"/>
      <c r="AD501" s="247" t="str">
        <f>IF(ISBLANK(AC501), "", VLOOKUP(AC501, Z!$A$2:$C$4127, 3, FALSE))</f>
        <v/>
      </c>
      <c r="AE501" s="262"/>
      <c r="AF501" s="263">
        <f t="shared" si="537"/>
        <v>0</v>
      </c>
      <c r="AG501" s="238"/>
      <c r="AH501" s="229">
        <f t="shared" si="561"/>
        <v>1</v>
      </c>
      <c r="AI501" s="229">
        <f t="shared" si="562"/>
        <v>1</v>
      </c>
      <c r="AJ501" s="229">
        <f t="shared" si="563"/>
        <v>0</v>
      </c>
      <c r="AK501" s="229">
        <v>0</v>
      </c>
      <c r="AL501" s="229">
        <v>0</v>
      </c>
      <c r="AM501" s="229">
        <v>1</v>
      </c>
      <c r="AN501" s="229">
        <v>0</v>
      </c>
      <c r="AO501" s="229">
        <f t="shared" si="538"/>
        <v>-100</v>
      </c>
      <c r="AP501" s="238"/>
      <c r="AQ501" s="255"/>
      <c r="AR501" s="255"/>
      <c r="AS501" s="256"/>
      <c r="AT501" s="256"/>
      <c r="AU501" s="256"/>
      <c r="AV501" s="256"/>
      <c r="AW501" s="256"/>
      <c r="AX501" s="256"/>
      <c r="AY501" s="256"/>
      <c r="AZ501" s="256"/>
      <c r="BA501" s="256"/>
      <c r="BB501" s="256"/>
      <c r="BC501" s="256"/>
      <c r="BD501" s="238"/>
      <c r="BE501" s="229" cm="1">
        <f t="array" ref="BE501">IF(ISBLANK(R501), INDEX(Use, $AH501, 4) - AM501*INDEX(Use, $AH501, 6), R501)</f>
        <v>5</v>
      </c>
      <c r="BF501" s="229">
        <f t="shared" si="539"/>
        <v>30</v>
      </c>
      <c r="BG501" s="229">
        <f t="shared" si="565"/>
        <v>13</v>
      </c>
      <c r="BH501" s="229">
        <f t="shared" si="566"/>
        <v>0</v>
      </c>
      <c r="BI501" s="234" cm="1">
        <f t="array" ref="BI501">K501/IF($L501&gt;0, INDEX($AU$23:$BA$77, $L501+20, $AH501), 1)</f>
        <v>0</v>
      </c>
      <c r="BJ501" s="230">
        <f t="shared" si="540"/>
        <v>0</v>
      </c>
      <c r="BK501" s="229">
        <v>35</v>
      </c>
      <c r="BL501" s="230">
        <f t="shared" si="541"/>
        <v>48</v>
      </c>
      <c r="BM501" s="235">
        <f t="shared" si="542"/>
        <v>2.9108720930232557</v>
      </c>
      <c r="BN501" s="235" cm="1">
        <f t="array" ref="BN501">$BI501 * SUMPRODUCT(INDEX($AR$77:$AT$82,,$AI501),INDEX($AU$77:$BA$82,,$AH501), N($AQ$77:$AQ$82&gt;$AO501)) / BM501 / 1000</f>
        <v>0</v>
      </c>
      <c r="BO501" s="232">
        <f t="shared" si="567"/>
        <v>30</v>
      </c>
      <c r="BP501" s="230">
        <f t="shared" si="543"/>
        <v>43</v>
      </c>
      <c r="BQ501" s="235">
        <f t="shared" si="544"/>
        <v>3.2938815789473681</v>
      </c>
      <c r="BR501" s="235" cm="1">
        <f t="array" ref="BR501">$BI501 * IF($AH501&lt;=2,
SUMPRODUCT(INDEX($AR$72:$AT$76,,$AI501), INDEX($AU$72:$BA$76,,$AH501), 1 / ($BB$72:$BB$76*BQ501 + (1-$BB$72:$BB$76)*BM501), N($AQ$72:$AQ$76&gt;$AO501)),
SUMPRODUCT(INDEX($AR$67:$AT$76,,$AI501), INDEX($AU$67:$BA$76,,$AH501), 1 / ($BC$67:$BC$76*BQ501 + (1-$BC$67:$BC$76)*BM501), N($AQ$67:$AQ$76&gt;$AO501))
) / 1000</f>
        <v>0</v>
      </c>
      <c r="BS501" s="232">
        <f t="shared" si="568"/>
        <v>25</v>
      </c>
      <c r="BT501" s="230">
        <f t="shared" si="545"/>
        <v>38</v>
      </c>
      <c r="BU501" s="235">
        <f t="shared" si="546"/>
        <v>3.792954545454545</v>
      </c>
      <c r="BV501" s="235" cm="1">
        <f t="array" ref="BV501">$BI501 * IF($AH501&lt;=2,
SUMPRODUCT(INDEX($AR$67:$AT$71,,$AI501), INDEX($AU$67:$BA$71,,$AH501), 1 / ($BB$67:$BB$71*BU501 + (1-$BB$67:$BB$71)*BQ501), N($AQ$67:$AQ$71&gt;$AO501)),
SUMPRODUCT(INDEX($AR$57:$AT$66,,$AI501), INDEX($AU$57:$BA$66,,$AH501), 1 / ($BC$57:$BC$66*BU501 + (1-$BC$57:$BC$66)*BQ501), N($AQ$57:$AQ$66&gt;$AO501))
) / 1000</f>
        <v>0</v>
      </c>
      <c r="BW501" s="232">
        <f t="shared" si="569"/>
        <v>20</v>
      </c>
      <c r="BX501" s="230">
        <f t="shared" si="547"/>
        <v>33</v>
      </c>
      <c r="BY501" s="235">
        <f t="shared" si="548"/>
        <v>4.4702678571428569</v>
      </c>
      <c r="BZ501" s="235" cm="1">
        <f t="array" ref="BZ501">$BI501 * IF($AH501&lt;=2,
SUMPRODUCT(INDEX($AR$62:$AT$66,,$AI501), INDEX($AU$62:$BA$66,,$AH501), 1 / ($BB$62:$BB$66*BY501 + (1-$BB$62:$BB$66)*BU501), N($AQ$62:$AQ$66&gt;$AO501)),
SUMPRODUCT(INDEX($AR$47:$AT$56,,$AI501), INDEX($AU$47:$BA$56,,$AH501), 1 / ($BC$47:$BC$56*BY501 + (1-$BC$47:$BC$56)*BU501), N($AQ$47:$AQ$56&gt;$AO501))
) / 1000</f>
        <v>0</v>
      </c>
      <c r="CA501" s="235" cm="1">
        <f t="array" ref="CA501">$BI501 * IF($AH501&lt;=2,
SUMPRODUCT(INDEX($AR$23:$AT$61,,$AI501), INDEX($AU$23:$BA$61,,$AH501), 1 / ($BB$23:$BB$61*BY501), N($AQ$23:$AQ$61&gt;$AO501)),
SUMPRODUCT(INDEX($AR$23:$AT$46,,$AI501), INDEX($AU$23:$BA$46,,$AH501), 1 / ($BC$23:$BC$46*BY501), N($AQ$23:$AQ$46&gt;$AO501))
) / 1000</f>
        <v>0</v>
      </c>
      <c r="CB501" s="230">
        <f t="shared" si="549"/>
        <v>0</v>
      </c>
      <c r="CC501" s="238"/>
      <c r="CD501" s="229" cm="1">
        <f t="array" ref="CD501">IF(ISBLANK(Y501), INDEX(Use, $AH501, 4) - AN501*INDEX(Use, $AH501, 6) - (Q501-X501), Y501)</f>
        <v>7</v>
      </c>
      <c r="CE501" s="229">
        <f t="shared" si="550"/>
        <v>32</v>
      </c>
      <c r="CF501" s="230">
        <f t="shared" si="551"/>
        <v>0</v>
      </c>
      <c r="CG501" s="229">
        <v>35</v>
      </c>
      <c r="CH501" s="230">
        <f t="shared" si="552"/>
        <v>48</v>
      </c>
      <c r="CI501" s="235">
        <f t="shared" si="553"/>
        <v>3.0748170731707316</v>
      </c>
      <c r="CJ501" s="235" cm="1">
        <f t="array" ref="CJ501">$BI501 * SUMPRODUCT(INDEX($AR$77:$AT$82,,$AI501),INDEX($AU$77:$BA$82,,$AH501), N($AQ$77:$AQ$82&gt;$AO501)) / CI501 / 1000</f>
        <v>0</v>
      </c>
      <c r="CK501" s="232">
        <f t="shared" si="570"/>
        <v>30</v>
      </c>
      <c r="CL501" s="230">
        <f t="shared" si="554"/>
        <v>43</v>
      </c>
      <c r="CM501" s="235">
        <f t="shared" si="555"/>
        <v>3.5018750000000001</v>
      </c>
      <c r="CN501" s="235" cm="1">
        <f t="array" ref="CN501">$BI501 * IF($AH501&lt;=2,
SUMPRODUCT(INDEX($AR$72:$AT$76,,$AI501), INDEX($AU$72:$BA$76,,$AH501), 1 / ($BB$72:$BB$76*CM501 + (1-$BB$72:$BB$76)*CI501), N($AQ$72:$AQ$76&gt;$AO501)),
SUMPRODUCT(INDEX($AR$67:$AT$76,,$AI501), INDEX($AU$67:$BA$76,,$AH501), 1 / ($BC$67:$BC$76*CM501 + (1-$BC$67:$BC$76)*CI501), N($AQ$67:$AQ$76&gt;$AO501))
) / 1000</f>
        <v>0</v>
      </c>
      <c r="CO501" s="232">
        <f t="shared" si="571"/>
        <v>25</v>
      </c>
      <c r="CP501" s="230">
        <f t="shared" si="556"/>
        <v>38</v>
      </c>
      <c r="CQ501" s="235">
        <f t="shared" si="557"/>
        <v>4.0666935483870965</v>
      </c>
      <c r="CR501" s="235" cm="1">
        <f t="array" ref="CR501">$BI501 * IF($AH501&lt;=2,
SUMPRODUCT(INDEX($AR$67:$AT$71,,$AI501), INDEX($AU$67:$BA$71,,$AH501), 1 / ($BB$67:$BB$71*CQ501 + (1-$BB$67:$BB$71)*CM501), N($AQ$67:$AQ$71&gt;$AO501)),
SUMPRODUCT(INDEX($AR$57:$AT$66,,$AI501), INDEX($AU$57:$BA$66,,$AH501), 1 / ($BC$57:$BC$66*CQ501 + (1-$BC$57:$BC$66)*CM501), N($AQ$57:$AQ$66&gt;$AO501))
) / 1000</f>
        <v>0</v>
      </c>
      <c r="CS501" s="232">
        <f t="shared" si="572"/>
        <v>20</v>
      </c>
      <c r="CT501" s="230">
        <f t="shared" si="558"/>
        <v>33</v>
      </c>
      <c r="CU501" s="235">
        <f t="shared" si="559"/>
        <v>4.8487499999999999</v>
      </c>
      <c r="CV501" s="235" cm="1">
        <f t="array" ref="CV501">$BI501 * IF($AH501&lt;=2,
SUMPRODUCT(INDEX($AR$62:$AT$66,,$AI501), INDEX($AU$62:$BA$66,,$AH501), 1 / ($BB$62:$BB$66*CU501 + (1-$BB$62:$BB$66)*CQ501), N($AQ$62:$AQ$66&gt;$AO501)),
SUMPRODUCT(INDEX($AR$47:$AT$56,,$AI501), INDEX($AU$47:$BA$56,,$AH501), 1 / ($BC$47:$BC$56*CU501 + (1-$BC$47:$BC$56)*CQ501), N($AQ$47:$AQ$56&gt;$AO501))
) / 1000</f>
        <v>0</v>
      </c>
      <c r="CW501" s="235" cm="1">
        <f t="array" ref="CW501">$BI501 * IF($AH501&lt;=2,
SUMPRODUCT(INDEX($AR$23:$AT$61,,$AI501), INDEX($AU$23:$BA$61,,$AH501), 1 / ($BB$23:$BB$61*CU501), N($AQ$23:$AQ$61&gt;$AO501)),
SUMPRODUCT(INDEX($AR$23:$AT$46,,$AI501), INDEX($AU$23:$BA$46,,$AH501), 1 / ($BC$23:$BC$46*CU501), N($AQ$23:$AQ$46&gt;$AO501))
) / 1000</f>
        <v>0</v>
      </c>
      <c r="CX501" s="230">
        <f t="shared" si="560"/>
        <v>0</v>
      </c>
      <c r="CY501" s="238"/>
    </row>
    <row r="502" spans="1:103" s="76" customFormat="1" ht="14.25" customHeight="1" x14ac:dyDescent="0.2">
      <c r="A502" s="231" t="b">
        <f t="shared" si="564"/>
        <v>0</v>
      </c>
      <c r="B502" s="245">
        <v>480</v>
      </c>
      <c r="C502" s="258"/>
      <c r="D502" s="258"/>
      <c r="E502" s="246"/>
      <c r="F502" s="247" t="str">
        <f>IF(ISBLANK(E502), "", VLOOKUP(E502, Z!$A$2:$C$4127, 3, FALSE))</f>
        <v/>
      </c>
      <c r="G502" s="248"/>
      <c r="H502" s="248"/>
      <c r="I502" s="249"/>
      <c r="J502" s="250"/>
      <c r="K502" s="259"/>
      <c r="L502" s="260"/>
      <c r="M502" s="252" t="str" cm="1">
        <f t="array" ref="M502">INDEX(Trad, 53, $A$20)</f>
        <v>Verschmutzt</v>
      </c>
      <c r="N502" s="253"/>
      <c r="O502" s="253"/>
      <c r="P502" s="254"/>
      <c r="Q502" s="251"/>
      <c r="R502" s="251"/>
      <c r="S502" s="264">
        <f t="shared" si="535"/>
        <v>0</v>
      </c>
      <c r="T502" s="252" t="str" cm="1">
        <f t="array" ref="T502">INDEX(Trad, 52, $A$20)</f>
        <v>Sauber</v>
      </c>
      <c r="U502" s="253"/>
      <c r="V502" s="253"/>
      <c r="W502" s="254"/>
      <c r="X502" s="251"/>
      <c r="Y502" s="251"/>
      <c r="Z502" s="264">
        <f t="shared" si="536"/>
        <v>0</v>
      </c>
      <c r="AA502" s="261"/>
      <c r="AB502" s="258"/>
      <c r="AC502" s="246"/>
      <c r="AD502" s="247" t="str">
        <f>IF(ISBLANK(AC502), "", VLOOKUP(AC502, Z!$A$2:$C$4127, 3, FALSE))</f>
        <v/>
      </c>
      <c r="AE502" s="262"/>
      <c r="AF502" s="263">
        <f t="shared" si="537"/>
        <v>0</v>
      </c>
      <c r="AG502" s="238"/>
      <c r="AH502" s="229">
        <f t="shared" si="561"/>
        <v>1</v>
      </c>
      <c r="AI502" s="229">
        <f t="shared" si="562"/>
        <v>1</v>
      </c>
      <c r="AJ502" s="229">
        <f t="shared" si="563"/>
        <v>0</v>
      </c>
      <c r="AK502" s="229">
        <v>0</v>
      </c>
      <c r="AL502" s="229">
        <v>0</v>
      </c>
      <c r="AM502" s="229">
        <v>1</v>
      </c>
      <c r="AN502" s="229">
        <v>0</v>
      </c>
      <c r="AO502" s="229">
        <f t="shared" si="538"/>
        <v>-100</v>
      </c>
      <c r="AP502" s="238"/>
      <c r="AQ502" s="255"/>
      <c r="AR502" s="255"/>
      <c r="AS502" s="256"/>
      <c r="AT502" s="256"/>
      <c r="AU502" s="256"/>
      <c r="AV502" s="256"/>
      <c r="AW502" s="256"/>
      <c r="AX502" s="256"/>
      <c r="AY502" s="256"/>
      <c r="AZ502" s="256"/>
      <c r="BA502" s="256"/>
      <c r="BB502" s="256"/>
      <c r="BC502" s="256"/>
      <c r="BD502" s="238"/>
      <c r="BE502" s="229" cm="1">
        <f t="array" ref="BE502">IF(ISBLANK(R502), INDEX(Use, $AH502, 4) - AM502*INDEX(Use, $AH502, 6), R502)</f>
        <v>5</v>
      </c>
      <c r="BF502" s="229">
        <f t="shared" si="539"/>
        <v>30</v>
      </c>
      <c r="BG502" s="229">
        <f t="shared" si="565"/>
        <v>13</v>
      </c>
      <c r="BH502" s="229">
        <f t="shared" si="566"/>
        <v>0</v>
      </c>
      <c r="BI502" s="234" cm="1">
        <f t="array" ref="BI502">K502/IF($L502&gt;0, INDEX($AU$23:$BA$77, $L502+20, $AH502), 1)</f>
        <v>0</v>
      </c>
      <c r="BJ502" s="230">
        <f t="shared" si="540"/>
        <v>0</v>
      </c>
      <c r="BK502" s="229">
        <v>35</v>
      </c>
      <c r="BL502" s="230">
        <f t="shared" si="541"/>
        <v>48</v>
      </c>
      <c r="BM502" s="235">
        <f t="shared" si="542"/>
        <v>2.9108720930232557</v>
      </c>
      <c r="BN502" s="235" cm="1">
        <f t="array" ref="BN502">$BI502 * SUMPRODUCT(INDEX($AR$77:$AT$82,,$AI502),INDEX($AU$77:$BA$82,,$AH502), N($AQ$77:$AQ$82&gt;$AO502)) / BM502 / 1000</f>
        <v>0</v>
      </c>
      <c r="BO502" s="232">
        <f t="shared" si="567"/>
        <v>30</v>
      </c>
      <c r="BP502" s="230">
        <f t="shared" si="543"/>
        <v>43</v>
      </c>
      <c r="BQ502" s="235">
        <f t="shared" si="544"/>
        <v>3.2938815789473681</v>
      </c>
      <c r="BR502" s="235" cm="1">
        <f t="array" ref="BR502">$BI502 * IF($AH502&lt;=2,
SUMPRODUCT(INDEX($AR$72:$AT$76,,$AI502), INDEX($AU$72:$BA$76,,$AH502), 1 / ($BB$72:$BB$76*BQ502 + (1-$BB$72:$BB$76)*BM502), N($AQ$72:$AQ$76&gt;$AO502)),
SUMPRODUCT(INDEX($AR$67:$AT$76,,$AI502), INDEX($AU$67:$BA$76,,$AH502), 1 / ($BC$67:$BC$76*BQ502 + (1-$BC$67:$BC$76)*BM502), N($AQ$67:$AQ$76&gt;$AO502))
) / 1000</f>
        <v>0</v>
      </c>
      <c r="BS502" s="232">
        <f t="shared" si="568"/>
        <v>25</v>
      </c>
      <c r="BT502" s="230">
        <f t="shared" si="545"/>
        <v>38</v>
      </c>
      <c r="BU502" s="235">
        <f t="shared" si="546"/>
        <v>3.792954545454545</v>
      </c>
      <c r="BV502" s="235" cm="1">
        <f t="array" ref="BV502">$BI502 * IF($AH502&lt;=2,
SUMPRODUCT(INDEX($AR$67:$AT$71,,$AI502), INDEX($AU$67:$BA$71,,$AH502), 1 / ($BB$67:$BB$71*BU502 + (1-$BB$67:$BB$71)*BQ502), N($AQ$67:$AQ$71&gt;$AO502)),
SUMPRODUCT(INDEX($AR$57:$AT$66,,$AI502), INDEX($AU$57:$BA$66,,$AH502), 1 / ($BC$57:$BC$66*BU502 + (1-$BC$57:$BC$66)*BQ502), N($AQ$57:$AQ$66&gt;$AO502))
) / 1000</f>
        <v>0</v>
      </c>
      <c r="BW502" s="232">
        <f t="shared" si="569"/>
        <v>20</v>
      </c>
      <c r="BX502" s="230">
        <f t="shared" si="547"/>
        <v>33</v>
      </c>
      <c r="BY502" s="235">
        <f t="shared" si="548"/>
        <v>4.4702678571428569</v>
      </c>
      <c r="BZ502" s="235" cm="1">
        <f t="array" ref="BZ502">$BI502 * IF($AH502&lt;=2,
SUMPRODUCT(INDEX($AR$62:$AT$66,,$AI502), INDEX($AU$62:$BA$66,,$AH502), 1 / ($BB$62:$BB$66*BY502 + (1-$BB$62:$BB$66)*BU502), N($AQ$62:$AQ$66&gt;$AO502)),
SUMPRODUCT(INDEX($AR$47:$AT$56,,$AI502), INDEX($AU$47:$BA$56,,$AH502), 1 / ($BC$47:$BC$56*BY502 + (1-$BC$47:$BC$56)*BU502), N($AQ$47:$AQ$56&gt;$AO502))
) / 1000</f>
        <v>0</v>
      </c>
      <c r="CA502" s="235" cm="1">
        <f t="array" ref="CA502">$BI502 * IF($AH502&lt;=2,
SUMPRODUCT(INDEX($AR$23:$AT$61,,$AI502), INDEX($AU$23:$BA$61,,$AH502), 1 / ($BB$23:$BB$61*BY502), N($AQ$23:$AQ$61&gt;$AO502)),
SUMPRODUCT(INDEX($AR$23:$AT$46,,$AI502), INDEX($AU$23:$BA$46,,$AH502), 1 / ($BC$23:$BC$46*BY502), N($AQ$23:$AQ$46&gt;$AO502))
) / 1000</f>
        <v>0</v>
      </c>
      <c r="CB502" s="230">
        <f t="shared" si="549"/>
        <v>0</v>
      </c>
      <c r="CC502" s="238"/>
      <c r="CD502" s="229" cm="1">
        <f t="array" ref="CD502">IF(ISBLANK(Y502), INDEX(Use, $AH502, 4) - AN502*INDEX(Use, $AH502, 6) - (Q502-X502), Y502)</f>
        <v>7</v>
      </c>
      <c r="CE502" s="229">
        <f t="shared" si="550"/>
        <v>32</v>
      </c>
      <c r="CF502" s="230">
        <f t="shared" si="551"/>
        <v>0</v>
      </c>
      <c r="CG502" s="229">
        <v>35</v>
      </c>
      <c r="CH502" s="230">
        <f t="shared" si="552"/>
        <v>48</v>
      </c>
      <c r="CI502" s="235">
        <f t="shared" si="553"/>
        <v>3.0748170731707316</v>
      </c>
      <c r="CJ502" s="235" cm="1">
        <f t="array" ref="CJ502">$BI502 * SUMPRODUCT(INDEX($AR$77:$AT$82,,$AI502),INDEX($AU$77:$BA$82,,$AH502), N($AQ$77:$AQ$82&gt;$AO502)) / CI502 / 1000</f>
        <v>0</v>
      </c>
      <c r="CK502" s="232">
        <f t="shared" si="570"/>
        <v>30</v>
      </c>
      <c r="CL502" s="230">
        <f t="shared" si="554"/>
        <v>43</v>
      </c>
      <c r="CM502" s="235">
        <f t="shared" si="555"/>
        <v>3.5018750000000001</v>
      </c>
      <c r="CN502" s="235" cm="1">
        <f t="array" ref="CN502">$BI502 * IF($AH502&lt;=2,
SUMPRODUCT(INDEX($AR$72:$AT$76,,$AI502), INDEX($AU$72:$BA$76,,$AH502), 1 / ($BB$72:$BB$76*CM502 + (1-$BB$72:$BB$76)*CI502), N($AQ$72:$AQ$76&gt;$AO502)),
SUMPRODUCT(INDEX($AR$67:$AT$76,,$AI502), INDEX($AU$67:$BA$76,,$AH502), 1 / ($BC$67:$BC$76*CM502 + (1-$BC$67:$BC$76)*CI502), N($AQ$67:$AQ$76&gt;$AO502))
) / 1000</f>
        <v>0</v>
      </c>
      <c r="CO502" s="232">
        <f t="shared" si="571"/>
        <v>25</v>
      </c>
      <c r="CP502" s="230">
        <f t="shared" si="556"/>
        <v>38</v>
      </c>
      <c r="CQ502" s="235">
        <f t="shared" si="557"/>
        <v>4.0666935483870965</v>
      </c>
      <c r="CR502" s="235" cm="1">
        <f t="array" ref="CR502">$BI502 * IF($AH502&lt;=2,
SUMPRODUCT(INDEX($AR$67:$AT$71,,$AI502), INDEX($AU$67:$BA$71,,$AH502), 1 / ($BB$67:$BB$71*CQ502 + (1-$BB$67:$BB$71)*CM502), N($AQ$67:$AQ$71&gt;$AO502)),
SUMPRODUCT(INDEX($AR$57:$AT$66,,$AI502), INDEX($AU$57:$BA$66,,$AH502), 1 / ($BC$57:$BC$66*CQ502 + (1-$BC$57:$BC$66)*CM502), N($AQ$57:$AQ$66&gt;$AO502))
) / 1000</f>
        <v>0</v>
      </c>
      <c r="CS502" s="232">
        <f t="shared" si="572"/>
        <v>20</v>
      </c>
      <c r="CT502" s="230">
        <f t="shared" si="558"/>
        <v>33</v>
      </c>
      <c r="CU502" s="235">
        <f t="shared" si="559"/>
        <v>4.8487499999999999</v>
      </c>
      <c r="CV502" s="235" cm="1">
        <f t="array" ref="CV502">$BI502 * IF($AH502&lt;=2,
SUMPRODUCT(INDEX($AR$62:$AT$66,,$AI502), INDEX($AU$62:$BA$66,,$AH502), 1 / ($BB$62:$BB$66*CU502 + (1-$BB$62:$BB$66)*CQ502), N($AQ$62:$AQ$66&gt;$AO502)),
SUMPRODUCT(INDEX($AR$47:$AT$56,,$AI502), INDEX($AU$47:$BA$56,,$AH502), 1 / ($BC$47:$BC$56*CU502 + (1-$BC$47:$BC$56)*CQ502), N($AQ$47:$AQ$56&gt;$AO502))
) / 1000</f>
        <v>0</v>
      </c>
      <c r="CW502" s="235" cm="1">
        <f t="array" ref="CW502">$BI502 * IF($AH502&lt;=2,
SUMPRODUCT(INDEX($AR$23:$AT$61,,$AI502), INDEX($AU$23:$BA$61,,$AH502), 1 / ($BB$23:$BB$61*CU502), N($AQ$23:$AQ$61&gt;$AO502)),
SUMPRODUCT(INDEX($AR$23:$AT$46,,$AI502), INDEX($AU$23:$BA$46,,$AH502), 1 / ($BC$23:$BC$46*CU502), N($AQ$23:$AQ$46&gt;$AO502))
) / 1000</f>
        <v>0</v>
      </c>
      <c r="CX502" s="230">
        <f t="shared" si="560"/>
        <v>0</v>
      </c>
      <c r="CY502" s="238"/>
    </row>
    <row r="503" spans="1:103" s="76" customFormat="1" ht="14.25" customHeight="1" x14ac:dyDescent="0.2">
      <c r="A503" s="231" t="b">
        <f t="shared" si="564"/>
        <v>0</v>
      </c>
      <c r="B503" s="245">
        <v>481</v>
      </c>
      <c r="C503" s="258"/>
      <c r="D503" s="258"/>
      <c r="E503" s="246"/>
      <c r="F503" s="247" t="str">
        <f>IF(ISBLANK(E503), "", VLOOKUP(E503, Z!$A$2:$C$4127, 3, FALSE))</f>
        <v/>
      </c>
      <c r="G503" s="248"/>
      <c r="H503" s="248"/>
      <c r="I503" s="249"/>
      <c r="J503" s="250"/>
      <c r="K503" s="259"/>
      <c r="L503" s="260"/>
      <c r="M503" s="252" t="str" cm="1">
        <f t="array" ref="M503">INDEX(Trad, 53, $A$20)</f>
        <v>Verschmutzt</v>
      </c>
      <c r="N503" s="253"/>
      <c r="O503" s="253"/>
      <c r="P503" s="254"/>
      <c r="Q503" s="251"/>
      <c r="R503" s="251"/>
      <c r="S503" s="264">
        <f t="shared" si="535"/>
        <v>0</v>
      </c>
      <c r="T503" s="252" t="str" cm="1">
        <f t="array" ref="T503">INDEX(Trad, 52, $A$20)</f>
        <v>Sauber</v>
      </c>
      <c r="U503" s="253"/>
      <c r="V503" s="253"/>
      <c r="W503" s="254"/>
      <c r="X503" s="251"/>
      <c r="Y503" s="251"/>
      <c r="Z503" s="264">
        <f t="shared" si="536"/>
        <v>0</v>
      </c>
      <c r="AA503" s="261"/>
      <c r="AB503" s="258"/>
      <c r="AC503" s="246"/>
      <c r="AD503" s="247" t="str">
        <f>IF(ISBLANK(AC503), "", VLOOKUP(AC503, Z!$A$2:$C$4127, 3, FALSE))</f>
        <v/>
      </c>
      <c r="AE503" s="262"/>
      <c r="AF503" s="263">
        <f t="shared" si="537"/>
        <v>0</v>
      </c>
      <c r="AG503" s="238"/>
      <c r="AH503" s="229">
        <f t="shared" si="561"/>
        <v>1</v>
      </c>
      <c r="AI503" s="229">
        <f t="shared" si="562"/>
        <v>1</v>
      </c>
      <c r="AJ503" s="229">
        <f t="shared" si="563"/>
        <v>0</v>
      </c>
      <c r="AK503" s="229">
        <v>0</v>
      </c>
      <c r="AL503" s="229">
        <v>0</v>
      </c>
      <c r="AM503" s="229">
        <v>1</v>
      </c>
      <c r="AN503" s="229">
        <v>0</v>
      </c>
      <c r="AO503" s="229">
        <f t="shared" si="538"/>
        <v>-100</v>
      </c>
      <c r="AP503" s="238"/>
      <c r="AQ503" s="255"/>
      <c r="AR503" s="255"/>
      <c r="AS503" s="256"/>
      <c r="AT503" s="256"/>
      <c r="AU503" s="256"/>
      <c r="AV503" s="256"/>
      <c r="AW503" s="256"/>
      <c r="AX503" s="256"/>
      <c r="AY503" s="256"/>
      <c r="AZ503" s="256"/>
      <c r="BA503" s="256"/>
      <c r="BB503" s="256"/>
      <c r="BC503" s="256"/>
      <c r="BD503" s="238"/>
      <c r="BE503" s="229" cm="1">
        <f t="array" ref="BE503">IF(ISBLANK(R503), INDEX(Use, $AH503, 4) - AM503*INDEX(Use, $AH503, 6), R503)</f>
        <v>5</v>
      </c>
      <c r="BF503" s="229">
        <f t="shared" si="539"/>
        <v>30</v>
      </c>
      <c r="BG503" s="229">
        <f t="shared" si="565"/>
        <v>13</v>
      </c>
      <c r="BH503" s="229">
        <f t="shared" si="566"/>
        <v>0</v>
      </c>
      <c r="BI503" s="234" cm="1">
        <f t="array" ref="BI503">K503/IF($L503&gt;0, INDEX($AU$23:$BA$77, $L503+20, $AH503), 1)</f>
        <v>0</v>
      </c>
      <c r="BJ503" s="230">
        <f t="shared" si="540"/>
        <v>0</v>
      </c>
      <c r="BK503" s="229">
        <v>35</v>
      </c>
      <c r="BL503" s="230">
        <f t="shared" si="541"/>
        <v>48</v>
      </c>
      <c r="BM503" s="235">
        <f t="shared" si="542"/>
        <v>2.9108720930232557</v>
      </c>
      <c r="BN503" s="235" cm="1">
        <f t="array" ref="BN503">$BI503 * SUMPRODUCT(INDEX($AR$77:$AT$82,,$AI503),INDEX($AU$77:$BA$82,,$AH503), N($AQ$77:$AQ$82&gt;$AO503)) / BM503 / 1000</f>
        <v>0</v>
      </c>
      <c r="BO503" s="232">
        <f t="shared" si="567"/>
        <v>30</v>
      </c>
      <c r="BP503" s="230">
        <f t="shared" si="543"/>
        <v>43</v>
      </c>
      <c r="BQ503" s="235">
        <f t="shared" si="544"/>
        <v>3.2938815789473681</v>
      </c>
      <c r="BR503" s="235" cm="1">
        <f t="array" ref="BR503">$BI503 * IF($AH503&lt;=2,
SUMPRODUCT(INDEX($AR$72:$AT$76,,$AI503), INDEX($AU$72:$BA$76,,$AH503), 1 / ($BB$72:$BB$76*BQ503 + (1-$BB$72:$BB$76)*BM503), N($AQ$72:$AQ$76&gt;$AO503)),
SUMPRODUCT(INDEX($AR$67:$AT$76,,$AI503), INDEX($AU$67:$BA$76,,$AH503), 1 / ($BC$67:$BC$76*BQ503 + (1-$BC$67:$BC$76)*BM503), N($AQ$67:$AQ$76&gt;$AO503))
) / 1000</f>
        <v>0</v>
      </c>
      <c r="BS503" s="232">
        <f t="shared" si="568"/>
        <v>25</v>
      </c>
      <c r="BT503" s="230">
        <f t="shared" si="545"/>
        <v>38</v>
      </c>
      <c r="BU503" s="235">
        <f t="shared" si="546"/>
        <v>3.792954545454545</v>
      </c>
      <c r="BV503" s="235" cm="1">
        <f t="array" ref="BV503">$BI503 * IF($AH503&lt;=2,
SUMPRODUCT(INDEX($AR$67:$AT$71,,$AI503), INDEX($AU$67:$BA$71,,$AH503), 1 / ($BB$67:$BB$71*BU503 + (1-$BB$67:$BB$71)*BQ503), N($AQ$67:$AQ$71&gt;$AO503)),
SUMPRODUCT(INDEX($AR$57:$AT$66,,$AI503), INDEX($AU$57:$BA$66,,$AH503), 1 / ($BC$57:$BC$66*BU503 + (1-$BC$57:$BC$66)*BQ503), N($AQ$57:$AQ$66&gt;$AO503))
) / 1000</f>
        <v>0</v>
      </c>
      <c r="BW503" s="232">
        <f t="shared" si="569"/>
        <v>20</v>
      </c>
      <c r="BX503" s="230">
        <f t="shared" si="547"/>
        <v>33</v>
      </c>
      <c r="BY503" s="235">
        <f t="shared" si="548"/>
        <v>4.4702678571428569</v>
      </c>
      <c r="BZ503" s="235" cm="1">
        <f t="array" ref="BZ503">$BI503 * IF($AH503&lt;=2,
SUMPRODUCT(INDEX($AR$62:$AT$66,,$AI503), INDEX($AU$62:$BA$66,,$AH503), 1 / ($BB$62:$BB$66*BY503 + (1-$BB$62:$BB$66)*BU503), N($AQ$62:$AQ$66&gt;$AO503)),
SUMPRODUCT(INDEX($AR$47:$AT$56,,$AI503), INDEX($AU$47:$BA$56,,$AH503), 1 / ($BC$47:$BC$56*BY503 + (1-$BC$47:$BC$56)*BU503), N($AQ$47:$AQ$56&gt;$AO503))
) / 1000</f>
        <v>0</v>
      </c>
      <c r="CA503" s="235" cm="1">
        <f t="array" ref="CA503">$BI503 * IF($AH503&lt;=2,
SUMPRODUCT(INDEX($AR$23:$AT$61,,$AI503), INDEX($AU$23:$BA$61,,$AH503), 1 / ($BB$23:$BB$61*BY503), N($AQ$23:$AQ$61&gt;$AO503)),
SUMPRODUCT(INDEX($AR$23:$AT$46,,$AI503), INDEX($AU$23:$BA$46,,$AH503), 1 / ($BC$23:$BC$46*BY503), N($AQ$23:$AQ$46&gt;$AO503))
) / 1000</f>
        <v>0</v>
      </c>
      <c r="CB503" s="230">
        <f t="shared" si="549"/>
        <v>0</v>
      </c>
      <c r="CC503" s="238"/>
      <c r="CD503" s="229" cm="1">
        <f t="array" ref="CD503">IF(ISBLANK(Y503), INDEX(Use, $AH503, 4) - AN503*INDEX(Use, $AH503, 6) - (Q503-X503), Y503)</f>
        <v>7</v>
      </c>
      <c r="CE503" s="229">
        <f t="shared" si="550"/>
        <v>32</v>
      </c>
      <c r="CF503" s="230">
        <f t="shared" si="551"/>
        <v>0</v>
      </c>
      <c r="CG503" s="229">
        <v>35</v>
      </c>
      <c r="CH503" s="230">
        <f t="shared" si="552"/>
        <v>48</v>
      </c>
      <c r="CI503" s="235">
        <f t="shared" si="553"/>
        <v>3.0748170731707316</v>
      </c>
      <c r="CJ503" s="235" cm="1">
        <f t="array" ref="CJ503">$BI503 * SUMPRODUCT(INDEX($AR$77:$AT$82,,$AI503),INDEX($AU$77:$BA$82,,$AH503), N($AQ$77:$AQ$82&gt;$AO503)) / CI503 / 1000</f>
        <v>0</v>
      </c>
      <c r="CK503" s="232">
        <f t="shared" si="570"/>
        <v>30</v>
      </c>
      <c r="CL503" s="230">
        <f t="shared" si="554"/>
        <v>43</v>
      </c>
      <c r="CM503" s="235">
        <f t="shared" si="555"/>
        <v>3.5018750000000001</v>
      </c>
      <c r="CN503" s="235" cm="1">
        <f t="array" ref="CN503">$BI503 * IF($AH503&lt;=2,
SUMPRODUCT(INDEX($AR$72:$AT$76,,$AI503), INDEX($AU$72:$BA$76,,$AH503), 1 / ($BB$72:$BB$76*CM503 + (1-$BB$72:$BB$76)*CI503), N($AQ$72:$AQ$76&gt;$AO503)),
SUMPRODUCT(INDEX($AR$67:$AT$76,,$AI503), INDEX($AU$67:$BA$76,,$AH503), 1 / ($BC$67:$BC$76*CM503 + (1-$BC$67:$BC$76)*CI503), N($AQ$67:$AQ$76&gt;$AO503))
) / 1000</f>
        <v>0</v>
      </c>
      <c r="CO503" s="232">
        <f t="shared" si="571"/>
        <v>25</v>
      </c>
      <c r="CP503" s="230">
        <f t="shared" si="556"/>
        <v>38</v>
      </c>
      <c r="CQ503" s="235">
        <f t="shared" si="557"/>
        <v>4.0666935483870965</v>
      </c>
      <c r="CR503" s="235" cm="1">
        <f t="array" ref="CR503">$BI503 * IF($AH503&lt;=2,
SUMPRODUCT(INDEX($AR$67:$AT$71,,$AI503), INDEX($AU$67:$BA$71,,$AH503), 1 / ($BB$67:$BB$71*CQ503 + (1-$BB$67:$BB$71)*CM503), N($AQ$67:$AQ$71&gt;$AO503)),
SUMPRODUCT(INDEX($AR$57:$AT$66,,$AI503), INDEX($AU$57:$BA$66,,$AH503), 1 / ($BC$57:$BC$66*CQ503 + (1-$BC$57:$BC$66)*CM503), N($AQ$57:$AQ$66&gt;$AO503))
) / 1000</f>
        <v>0</v>
      </c>
      <c r="CS503" s="232">
        <f t="shared" si="572"/>
        <v>20</v>
      </c>
      <c r="CT503" s="230">
        <f t="shared" si="558"/>
        <v>33</v>
      </c>
      <c r="CU503" s="235">
        <f t="shared" si="559"/>
        <v>4.8487499999999999</v>
      </c>
      <c r="CV503" s="235" cm="1">
        <f t="array" ref="CV503">$BI503 * IF($AH503&lt;=2,
SUMPRODUCT(INDEX($AR$62:$AT$66,,$AI503), INDEX($AU$62:$BA$66,,$AH503), 1 / ($BB$62:$BB$66*CU503 + (1-$BB$62:$BB$66)*CQ503), N($AQ$62:$AQ$66&gt;$AO503)),
SUMPRODUCT(INDEX($AR$47:$AT$56,,$AI503), INDEX($AU$47:$BA$56,,$AH503), 1 / ($BC$47:$BC$56*CU503 + (1-$BC$47:$BC$56)*CQ503), N($AQ$47:$AQ$56&gt;$AO503))
) / 1000</f>
        <v>0</v>
      </c>
      <c r="CW503" s="235" cm="1">
        <f t="array" ref="CW503">$BI503 * IF($AH503&lt;=2,
SUMPRODUCT(INDEX($AR$23:$AT$61,,$AI503), INDEX($AU$23:$BA$61,,$AH503), 1 / ($BB$23:$BB$61*CU503), N($AQ$23:$AQ$61&gt;$AO503)),
SUMPRODUCT(INDEX($AR$23:$AT$46,,$AI503), INDEX($AU$23:$BA$46,,$AH503), 1 / ($BC$23:$BC$46*CU503), N($AQ$23:$AQ$46&gt;$AO503))
) / 1000</f>
        <v>0</v>
      </c>
      <c r="CX503" s="230">
        <f t="shared" si="560"/>
        <v>0</v>
      </c>
      <c r="CY503" s="238"/>
    </row>
    <row r="504" spans="1:103" s="76" customFormat="1" ht="14.25" customHeight="1" x14ac:dyDescent="0.2">
      <c r="A504" s="231" t="b">
        <f t="shared" si="564"/>
        <v>0</v>
      </c>
      <c r="B504" s="245">
        <v>482</v>
      </c>
      <c r="C504" s="258"/>
      <c r="D504" s="258"/>
      <c r="E504" s="246"/>
      <c r="F504" s="247" t="str">
        <f>IF(ISBLANK(E504), "", VLOOKUP(E504, Z!$A$2:$C$4127, 3, FALSE))</f>
        <v/>
      </c>
      <c r="G504" s="248"/>
      <c r="H504" s="248"/>
      <c r="I504" s="249"/>
      <c r="J504" s="250"/>
      <c r="K504" s="259"/>
      <c r="L504" s="260"/>
      <c r="M504" s="252" t="str" cm="1">
        <f t="array" ref="M504">INDEX(Trad, 53, $A$20)</f>
        <v>Verschmutzt</v>
      </c>
      <c r="N504" s="253"/>
      <c r="O504" s="253"/>
      <c r="P504" s="254"/>
      <c r="Q504" s="251"/>
      <c r="R504" s="251"/>
      <c r="S504" s="264">
        <f t="shared" si="535"/>
        <v>0</v>
      </c>
      <c r="T504" s="252" t="str" cm="1">
        <f t="array" ref="T504">INDEX(Trad, 52, $A$20)</f>
        <v>Sauber</v>
      </c>
      <c r="U504" s="253"/>
      <c r="V504" s="253"/>
      <c r="W504" s="254"/>
      <c r="X504" s="251"/>
      <c r="Y504" s="251"/>
      <c r="Z504" s="264">
        <f t="shared" si="536"/>
        <v>0</v>
      </c>
      <c r="AA504" s="261"/>
      <c r="AB504" s="258"/>
      <c r="AC504" s="246"/>
      <c r="AD504" s="247" t="str">
        <f>IF(ISBLANK(AC504), "", VLOOKUP(AC504, Z!$A$2:$C$4127, 3, FALSE))</f>
        <v/>
      </c>
      <c r="AE504" s="262"/>
      <c r="AF504" s="263">
        <f t="shared" si="537"/>
        <v>0</v>
      </c>
      <c r="AG504" s="238"/>
      <c r="AH504" s="229">
        <f t="shared" si="561"/>
        <v>1</v>
      </c>
      <c r="AI504" s="229">
        <f t="shared" si="562"/>
        <v>1</v>
      </c>
      <c r="AJ504" s="229">
        <f t="shared" si="563"/>
        <v>0</v>
      </c>
      <c r="AK504" s="229">
        <v>0</v>
      </c>
      <c r="AL504" s="229">
        <v>0</v>
      </c>
      <c r="AM504" s="229">
        <v>1</v>
      </c>
      <c r="AN504" s="229">
        <v>0</v>
      </c>
      <c r="AO504" s="229">
        <f t="shared" si="538"/>
        <v>-100</v>
      </c>
      <c r="AP504" s="238"/>
      <c r="AQ504" s="255"/>
      <c r="AR504" s="255"/>
      <c r="AS504" s="256"/>
      <c r="AT504" s="256"/>
      <c r="AU504" s="256"/>
      <c r="AV504" s="256"/>
      <c r="AW504" s="256"/>
      <c r="AX504" s="256"/>
      <c r="AY504" s="256"/>
      <c r="AZ504" s="256"/>
      <c r="BA504" s="256"/>
      <c r="BB504" s="256"/>
      <c r="BC504" s="256"/>
      <c r="BD504" s="238"/>
      <c r="BE504" s="229" cm="1">
        <f t="array" ref="BE504">IF(ISBLANK(R504), INDEX(Use, $AH504, 4) - AM504*INDEX(Use, $AH504, 6), R504)</f>
        <v>5</v>
      </c>
      <c r="BF504" s="229">
        <f t="shared" si="539"/>
        <v>30</v>
      </c>
      <c r="BG504" s="229">
        <f t="shared" si="565"/>
        <v>13</v>
      </c>
      <c r="BH504" s="229">
        <f t="shared" si="566"/>
        <v>0</v>
      </c>
      <c r="BI504" s="234" cm="1">
        <f t="array" ref="BI504">K504/IF($L504&gt;0, INDEX($AU$23:$BA$77, $L504+20, $AH504), 1)</f>
        <v>0</v>
      </c>
      <c r="BJ504" s="230">
        <f t="shared" si="540"/>
        <v>0</v>
      </c>
      <c r="BK504" s="229">
        <v>35</v>
      </c>
      <c r="BL504" s="230">
        <f t="shared" si="541"/>
        <v>48</v>
      </c>
      <c r="BM504" s="235">
        <f t="shared" si="542"/>
        <v>2.9108720930232557</v>
      </c>
      <c r="BN504" s="235" cm="1">
        <f t="array" ref="BN504">$BI504 * SUMPRODUCT(INDEX($AR$77:$AT$82,,$AI504),INDEX($AU$77:$BA$82,,$AH504), N($AQ$77:$AQ$82&gt;$AO504)) / BM504 / 1000</f>
        <v>0</v>
      </c>
      <c r="BO504" s="232">
        <f t="shared" si="567"/>
        <v>30</v>
      </c>
      <c r="BP504" s="230">
        <f t="shared" si="543"/>
        <v>43</v>
      </c>
      <c r="BQ504" s="235">
        <f t="shared" si="544"/>
        <v>3.2938815789473681</v>
      </c>
      <c r="BR504" s="235" cm="1">
        <f t="array" ref="BR504">$BI504 * IF($AH504&lt;=2,
SUMPRODUCT(INDEX($AR$72:$AT$76,,$AI504), INDEX($AU$72:$BA$76,,$AH504), 1 / ($BB$72:$BB$76*BQ504 + (1-$BB$72:$BB$76)*BM504), N($AQ$72:$AQ$76&gt;$AO504)),
SUMPRODUCT(INDEX($AR$67:$AT$76,,$AI504), INDEX($AU$67:$BA$76,,$AH504), 1 / ($BC$67:$BC$76*BQ504 + (1-$BC$67:$BC$76)*BM504), N($AQ$67:$AQ$76&gt;$AO504))
) / 1000</f>
        <v>0</v>
      </c>
      <c r="BS504" s="232">
        <f t="shared" si="568"/>
        <v>25</v>
      </c>
      <c r="BT504" s="230">
        <f t="shared" si="545"/>
        <v>38</v>
      </c>
      <c r="BU504" s="235">
        <f t="shared" si="546"/>
        <v>3.792954545454545</v>
      </c>
      <c r="BV504" s="235" cm="1">
        <f t="array" ref="BV504">$BI504 * IF($AH504&lt;=2,
SUMPRODUCT(INDEX($AR$67:$AT$71,,$AI504), INDEX($AU$67:$BA$71,,$AH504), 1 / ($BB$67:$BB$71*BU504 + (1-$BB$67:$BB$71)*BQ504), N($AQ$67:$AQ$71&gt;$AO504)),
SUMPRODUCT(INDEX($AR$57:$AT$66,,$AI504), INDEX($AU$57:$BA$66,,$AH504), 1 / ($BC$57:$BC$66*BU504 + (1-$BC$57:$BC$66)*BQ504), N($AQ$57:$AQ$66&gt;$AO504))
) / 1000</f>
        <v>0</v>
      </c>
      <c r="BW504" s="232">
        <f t="shared" si="569"/>
        <v>20</v>
      </c>
      <c r="BX504" s="230">
        <f t="shared" si="547"/>
        <v>33</v>
      </c>
      <c r="BY504" s="235">
        <f t="shared" si="548"/>
        <v>4.4702678571428569</v>
      </c>
      <c r="BZ504" s="235" cm="1">
        <f t="array" ref="BZ504">$BI504 * IF($AH504&lt;=2,
SUMPRODUCT(INDEX($AR$62:$AT$66,,$AI504), INDEX($AU$62:$BA$66,,$AH504), 1 / ($BB$62:$BB$66*BY504 + (1-$BB$62:$BB$66)*BU504), N($AQ$62:$AQ$66&gt;$AO504)),
SUMPRODUCT(INDEX($AR$47:$AT$56,,$AI504), INDEX($AU$47:$BA$56,,$AH504), 1 / ($BC$47:$BC$56*BY504 + (1-$BC$47:$BC$56)*BU504), N($AQ$47:$AQ$56&gt;$AO504))
) / 1000</f>
        <v>0</v>
      </c>
      <c r="CA504" s="235" cm="1">
        <f t="array" ref="CA504">$BI504 * IF($AH504&lt;=2,
SUMPRODUCT(INDEX($AR$23:$AT$61,,$AI504), INDEX($AU$23:$BA$61,,$AH504), 1 / ($BB$23:$BB$61*BY504), N($AQ$23:$AQ$61&gt;$AO504)),
SUMPRODUCT(INDEX($AR$23:$AT$46,,$AI504), INDEX($AU$23:$BA$46,,$AH504), 1 / ($BC$23:$BC$46*BY504), N($AQ$23:$AQ$46&gt;$AO504))
) / 1000</f>
        <v>0</v>
      </c>
      <c r="CB504" s="230">
        <f t="shared" si="549"/>
        <v>0</v>
      </c>
      <c r="CC504" s="238"/>
      <c r="CD504" s="229" cm="1">
        <f t="array" ref="CD504">IF(ISBLANK(Y504), INDEX(Use, $AH504, 4) - AN504*INDEX(Use, $AH504, 6) - (Q504-X504), Y504)</f>
        <v>7</v>
      </c>
      <c r="CE504" s="229">
        <f t="shared" si="550"/>
        <v>32</v>
      </c>
      <c r="CF504" s="230">
        <f t="shared" si="551"/>
        <v>0</v>
      </c>
      <c r="CG504" s="229">
        <v>35</v>
      </c>
      <c r="CH504" s="230">
        <f t="shared" si="552"/>
        <v>48</v>
      </c>
      <c r="CI504" s="235">
        <f t="shared" si="553"/>
        <v>3.0748170731707316</v>
      </c>
      <c r="CJ504" s="235" cm="1">
        <f t="array" ref="CJ504">$BI504 * SUMPRODUCT(INDEX($AR$77:$AT$82,,$AI504),INDEX($AU$77:$BA$82,,$AH504), N($AQ$77:$AQ$82&gt;$AO504)) / CI504 / 1000</f>
        <v>0</v>
      </c>
      <c r="CK504" s="232">
        <f t="shared" si="570"/>
        <v>30</v>
      </c>
      <c r="CL504" s="230">
        <f t="shared" si="554"/>
        <v>43</v>
      </c>
      <c r="CM504" s="235">
        <f t="shared" si="555"/>
        <v>3.5018750000000001</v>
      </c>
      <c r="CN504" s="235" cm="1">
        <f t="array" ref="CN504">$BI504 * IF($AH504&lt;=2,
SUMPRODUCT(INDEX($AR$72:$AT$76,,$AI504), INDEX($AU$72:$BA$76,,$AH504), 1 / ($BB$72:$BB$76*CM504 + (1-$BB$72:$BB$76)*CI504), N($AQ$72:$AQ$76&gt;$AO504)),
SUMPRODUCT(INDEX($AR$67:$AT$76,,$AI504), INDEX($AU$67:$BA$76,,$AH504), 1 / ($BC$67:$BC$76*CM504 + (1-$BC$67:$BC$76)*CI504), N($AQ$67:$AQ$76&gt;$AO504))
) / 1000</f>
        <v>0</v>
      </c>
      <c r="CO504" s="232">
        <f t="shared" si="571"/>
        <v>25</v>
      </c>
      <c r="CP504" s="230">
        <f t="shared" si="556"/>
        <v>38</v>
      </c>
      <c r="CQ504" s="235">
        <f t="shared" si="557"/>
        <v>4.0666935483870965</v>
      </c>
      <c r="CR504" s="235" cm="1">
        <f t="array" ref="CR504">$BI504 * IF($AH504&lt;=2,
SUMPRODUCT(INDEX($AR$67:$AT$71,,$AI504), INDEX($AU$67:$BA$71,,$AH504), 1 / ($BB$67:$BB$71*CQ504 + (1-$BB$67:$BB$71)*CM504), N($AQ$67:$AQ$71&gt;$AO504)),
SUMPRODUCT(INDEX($AR$57:$AT$66,,$AI504), INDEX($AU$57:$BA$66,,$AH504), 1 / ($BC$57:$BC$66*CQ504 + (1-$BC$57:$BC$66)*CM504), N($AQ$57:$AQ$66&gt;$AO504))
) / 1000</f>
        <v>0</v>
      </c>
      <c r="CS504" s="232">
        <f t="shared" si="572"/>
        <v>20</v>
      </c>
      <c r="CT504" s="230">
        <f t="shared" si="558"/>
        <v>33</v>
      </c>
      <c r="CU504" s="235">
        <f t="shared" si="559"/>
        <v>4.8487499999999999</v>
      </c>
      <c r="CV504" s="235" cm="1">
        <f t="array" ref="CV504">$BI504 * IF($AH504&lt;=2,
SUMPRODUCT(INDEX($AR$62:$AT$66,,$AI504), INDEX($AU$62:$BA$66,,$AH504), 1 / ($BB$62:$BB$66*CU504 + (1-$BB$62:$BB$66)*CQ504), N($AQ$62:$AQ$66&gt;$AO504)),
SUMPRODUCT(INDEX($AR$47:$AT$56,,$AI504), INDEX($AU$47:$BA$56,,$AH504), 1 / ($BC$47:$BC$56*CU504 + (1-$BC$47:$BC$56)*CQ504), N($AQ$47:$AQ$56&gt;$AO504))
) / 1000</f>
        <v>0</v>
      </c>
      <c r="CW504" s="235" cm="1">
        <f t="array" ref="CW504">$BI504 * IF($AH504&lt;=2,
SUMPRODUCT(INDEX($AR$23:$AT$61,,$AI504), INDEX($AU$23:$BA$61,,$AH504), 1 / ($BB$23:$BB$61*CU504), N($AQ$23:$AQ$61&gt;$AO504)),
SUMPRODUCT(INDEX($AR$23:$AT$46,,$AI504), INDEX($AU$23:$BA$46,,$AH504), 1 / ($BC$23:$BC$46*CU504), N($AQ$23:$AQ$46&gt;$AO504))
) / 1000</f>
        <v>0</v>
      </c>
      <c r="CX504" s="230">
        <f t="shared" si="560"/>
        <v>0</v>
      </c>
      <c r="CY504" s="238"/>
    </row>
    <row r="505" spans="1:103" s="76" customFormat="1" ht="14.25" customHeight="1" x14ac:dyDescent="0.2">
      <c r="A505" s="231" t="b">
        <f t="shared" si="564"/>
        <v>0</v>
      </c>
      <c r="B505" s="245">
        <v>483</v>
      </c>
      <c r="C505" s="258"/>
      <c r="D505" s="258"/>
      <c r="E505" s="246"/>
      <c r="F505" s="247" t="str">
        <f>IF(ISBLANK(E505), "", VLOOKUP(E505, Z!$A$2:$C$4127, 3, FALSE))</f>
        <v/>
      </c>
      <c r="G505" s="248"/>
      <c r="H505" s="248"/>
      <c r="I505" s="249"/>
      <c r="J505" s="250"/>
      <c r="K505" s="259"/>
      <c r="L505" s="260"/>
      <c r="M505" s="252" t="str" cm="1">
        <f t="array" ref="M505">INDEX(Trad, 53, $A$20)</f>
        <v>Verschmutzt</v>
      </c>
      <c r="N505" s="253"/>
      <c r="O505" s="253"/>
      <c r="P505" s="254"/>
      <c r="Q505" s="251"/>
      <c r="R505" s="251"/>
      <c r="S505" s="264">
        <f t="shared" si="535"/>
        <v>0</v>
      </c>
      <c r="T505" s="252" t="str" cm="1">
        <f t="array" ref="T505">INDEX(Trad, 52, $A$20)</f>
        <v>Sauber</v>
      </c>
      <c r="U505" s="253"/>
      <c r="V505" s="253"/>
      <c r="W505" s="254"/>
      <c r="X505" s="251"/>
      <c r="Y505" s="251"/>
      <c r="Z505" s="264">
        <f t="shared" si="536"/>
        <v>0</v>
      </c>
      <c r="AA505" s="261"/>
      <c r="AB505" s="258"/>
      <c r="AC505" s="246"/>
      <c r="AD505" s="247" t="str">
        <f>IF(ISBLANK(AC505), "", VLOOKUP(AC505, Z!$A$2:$C$4127, 3, FALSE))</f>
        <v/>
      </c>
      <c r="AE505" s="262"/>
      <c r="AF505" s="263">
        <f t="shared" si="537"/>
        <v>0</v>
      </c>
      <c r="AG505" s="238"/>
      <c r="AH505" s="229">
        <f t="shared" si="561"/>
        <v>1</v>
      </c>
      <c r="AI505" s="229">
        <f t="shared" si="562"/>
        <v>1</v>
      </c>
      <c r="AJ505" s="229">
        <f t="shared" si="563"/>
        <v>0</v>
      </c>
      <c r="AK505" s="229">
        <v>0</v>
      </c>
      <c r="AL505" s="229">
        <v>0</v>
      </c>
      <c r="AM505" s="229">
        <v>1</v>
      </c>
      <c r="AN505" s="229">
        <v>0</v>
      </c>
      <c r="AO505" s="229">
        <f t="shared" si="538"/>
        <v>-100</v>
      </c>
      <c r="AP505" s="238"/>
      <c r="AQ505" s="255"/>
      <c r="AR505" s="255"/>
      <c r="AS505" s="256"/>
      <c r="AT505" s="256"/>
      <c r="AU505" s="256"/>
      <c r="AV505" s="256"/>
      <c r="AW505" s="256"/>
      <c r="AX505" s="256"/>
      <c r="AY505" s="256"/>
      <c r="AZ505" s="256"/>
      <c r="BA505" s="256"/>
      <c r="BB505" s="256"/>
      <c r="BC505" s="256"/>
      <c r="BD505" s="238"/>
      <c r="BE505" s="229" cm="1">
        <f t="array" ref="BE505">IF(ISBLANK(R505), INDEX(Use, $AH505, 4) - AM505*INDEX(Use, $AH505, 6), R505)</f>
        <v>5</v>
      </c>
      <c r="BF505" s="229">
        <f t="shared" si="539"/>
        <v>30</v>
      </c>
      <c r="BG505" s="229">
        <f t="shared" si="565"/>
        <v>13</v>
      </c>
      <c r="BH505" s="229">
        <f t="shared" si="566"/>
        <v>0</v>
      </c>
      <c r="BI505" s="234" cm="1">
        <f t="array" ref="BI505">K505/IF($L505&gt;0, INDEX($AU$23:$BA$77, $L505+20, $AH505), 1)</f>
        <v>0</v>
      </c>
      <c r="BJ505" s="230">
        <f t="shared" si="540"/>
        <v>0</v>
      </c>
      <c r="BK505" s="229">
        <v>35</v>
      </c>
      <c r="BL505" s="230">
        <f t="shared" si="541"/>
        <v>48</v>
      </c>
      <c r="BM505" s="235">
        <f t="shared" si="542"/>
        <v>2.9108720930232557</v>
      </c>
      <c r="BN505" s="235" cm="1">
        <f t="array" ref="BN505">$BI505 * SUMPRODUCT(INDEX($AR$77:$AT$82,,$AI505),INDEX($AU$77:$BA$82,,$AH505), N($AQ$77:$AQ$82&gt;$AO505)) / BM505 / 1000</f>
        <v>0</v>
      </c>
      <c r="BO505" s="232">
        <f t="shared" si="567"/>
        <v>30</v>
      </c>
      <c r="BP505" s="230">
        <f t="shared" si="543"/>
        <v>43</v>
      </c>
      <c r="BQ505" s="235">
        <f t="shared" si="544"/>
        <v>3.2938815789473681</v>
      </c>
      <c r="BR505" s="235" cm="1">
        <f t="array" ref="BR505">$BI505 * IF($AH505&lt;=2,
SUMPRODUCT(INDEX($AR$72:$AT$76,,$AI505), INDEX($AU$72:$BA$76,,$AH505), 1 / ($BB$72:$BB$76*BQ505 + (1-$BB$72:$BB$76)*BM505), N($AQ$72:$AQ$76&gt;$AO505)),
SUMPRODUCT(INDEX($AR$67:$AT$76,,$AI505), INDEX($AU$67:$BA$76,,$AH505), 1 / ($BC$67:$BC$76*BQ505 + (1-$BC$67:$BC$76)*BM505), N($AQ$67:$AQ$76&gt;$AO505))
) / 1000</f>
        <v>0</v>
      </c>
      <c r="BS505" s="232">
        <f t="shared" si="568"/>
        <v>25</v>
      </c>
      <c r="BT505" s="230">
        <f t="shared" si="545"/>
        <v>38</v>
      </c>
      <c r="BU505" s="235">
        <f t="shared" si="546"/>
        <v>3.792954545454545</v>
      </c>
      <c r="BV505" s="235" cm="1">
        <f t="array" ref="BV505">$BI505 * IF($AH505&lt;=2,
SUMPRODUCT(INDEX($AR$67:$AT$71,,$AI505), INDEX($AU$67:$BA$71,,$AH505), 1 / ($BB$67:$BB$71*BU505 + (1-$BB$67:$BB$71)*BQ505), N($AQ$67:$AQ$71&gt;$AO505)),
SUMPRODUCT(INDEX($AR$57:$AT$66,,$AI505), INDEX($AU$57:$BA$66,,$AH505), 1 / ($BC$57:$BC$66*BU505 + (1-$BC$57:$BC$66)*BQ505), N($AQ$57:$AQ$66&gt;$AO505))
) / 1000</f>
        <v>0</v>
      </c>
      <c r="BW505" s="232">
        <f t="shared" si="569"/>
        <v>20</v>
      </c>
      <c r="BX505" s="230">
        <f t="shared" si="547"/>
        <v>33</v>
      </c>
      <c r="BY505" s="235">
        <f t="shared" si="548"/>
        <v>4.4702678571428569</v>
      </c>
      <c r="BZ505" s="235" cm="1">
        <f t="array" ref="BZ505">$BI505 * IF($AH505&lt;=2,
SUMPRODUCT(INDEX($AR$62:$AT$66,,$AI505), INDEX($AU$62:$BA$66,,$AH505), 1 / ($BB$62:$BB$66*BY505 + (1-$BB$62:$BB$66)*BU505), N($AQ$62:$AQ$66&gt;$AO505)),
SUMPRODUCT(INDEX($AR$47:$AT$56,,$AI505), INDEX($AU$47:$BA$56,,$AH505), 1 / ($BC$47:$BC$56*BY505 + (1-$BC$47:$BC$56)*BU505), N($AQ$47:$AQ$56&gt;$AO505))
) / 1000</f>
        <v>0</v>
      </c>
      <c r="CA505" s="235" cm="1">
        <f t="array" ref="CA505">$BI505 * IF($AH505&lt;=2,
SUMPRODUCT(INDEX($AR$23:$AT$61,,$AI505), INDEX($AU$23:$BA$61,,$AH505), 1 / ($BB$23:$BB$61*BY505), N($AQ$23:$AQ$61&gt;$AO505)),
SUMPRODUCT(INDEX($AR$23:$AT$46,,$AI505), INDEX($AU$23:$BA$46,,$AH505), 1 / ($BC$23:$BC$46*BY505), N($AQ$23:$AQ$46&gt;$AO505))
) / 1000</f>
        <v>0</v>
      </c>
      <c r="CB505" s="230">
        <f t="shared" si="549"/>
        <v>0</v>
      </c>
      <c r="CC505" s="238"/>
      <c r="CD505" s="229" cm="1">
        <f t="array" ref="CD505">IF(ISBLANK(Y505), INDEX(Use, $AH505, 4) - AN505*INDEX(Use, $AH505, 6) - (Q505-X505), Y505)</f>
        <v>7</v>
      </c>
      <c r="CE505" s="229">
        <f t="shared" si="550"/>
        <v>32</v>
      </c>
      <c r="CF505" s="230">
        <f t="shared" si="551"/>
        <v>0</v>
      </c>
      <c r="CG505" s="229">
        <v>35</v>
      </c>
      <c r="CH505" s="230">
        <f t="shared" si="552"/>
        <v>48</v>
      </c>
      <c r="CI505" s="235">
        <f t="shared" si="553"/>
        <v>3.0748170731707316</v>
      </c>
      <c r="CJ505" s="235" cm="1">
        <f t="array" ref="CJ505">$BI505 * SUMPRODUCT(INDEX($AR$77:$AT$82,,$AI505),INDEX($AU$77:$BA$82,,$AH505), N($AQ$77:$AQ$82&gt;$AO505)) / CI505 / 1000</f>
        <v>0</v>
      </c>
      <c r="CK505" s="232">
        <f t="shared" si="570"/>
        <v>30</v>
      </c>
      <c r="CL505" s="230">
        <f t="shared" si="554"/>
        <v>43</v>
      </c>
      <c r="CM505" s="235">
        <f t="shared" si="555"/>
        <v>3.5018750000000001</v>
      </c>
      <c r="CN505" s="235" cm="1">
        <f t="array" ref="CN505">$BI505 * IF($AH505&lt;=2,
SUMPRODUCT(INDEX($AR$72:$AT$76,,$AI505), INDEX($AU$72:$BA$76,,$AH505), 1 / ($BB$72:$BB$76*CM505 + (1-$BB$72:$BB$76)*CI505), N($AQ$72:$AQ$76&gt;$AO505)),
SUMPRODUCT(INDEX($AR$67:$AT$76,,$AI505), INDEX($AU$67:$BA$76,,$AH505), 1 / ($BC$67:$BC$76*CM505 + (1-$BC$67:$BC$76)*CI505), N($AQ$67:$AQ$76&gt;$AO505))
) / 1000</f>
        <v>0</v>
      </c>
      <c r="CO505" s="232">
        <f t="shared" si="571"/>
        <v>25</v>
      </c>
      <c r="CP505" s="230">
        <f t="shared" si="556"/>
        <v>38</v>
      </c>
      <c r="CQ505" s="235">
        <f t="shared" si="557"/>
        <v>4.0666935483870965</v>
      </c>
      <c r="CR505" s="235" cm="1">
        <f t="array" ref="CR505">$BI505 * IF($AH505&lt;=2,
SUMPRODUCT(INDEX($AR$67:$AT$71,,$AI505), INDEX($AU$67:$BA$71,,$AH505), 1 / ($BB$67:$BB$71*CQ505 + (1-$BB$67:$BB$71)*CM505), N($AQ$67:$AQ$71&gt;$AO505)),
SUMPRODUCT(INDEX($AR$57:$AT$66,,$AI505), INDEX($AU$57:$BA$66,,$AH505), 1 / ($BC$57:$BC$66*CQ505 + (1-$BC$57:$BC$66)*CM505), N($AQ$57:$AQ$66&gt;$AO505))
) / 1000</f>
        <v>0</v>
      </c>
      <c r="CS505" s="232">
        <f t="shared" si="572"/>
        <v>20</v>
      </c>
      <c r="CT505" s="230">
        <f t="shared" si="558"/>
        <v>33</v>
      </c>
      <c r="CU505" s="235">
        <f t="shared" si="559"/>
        <v>4.8487499999999999</v>
      </c>
      <c r="CV505" s="235" cm="1">
        <f t="array" ref="CV505">$BI505 * IF($AH505&lt;=2,
SUMPRODUCT(INDEX($AR$62:$AT$66,,$AI505), INDEX($AU$62:$BA$66,,$AH505), 1 / ($BB$62:$BB$66*CU505 + (1-$BB$62:$BB$66)*CQ505), N($AQ$62:$AQ$66&gt;$AO505)),
SUMPRODUCT(INDEX($AR$47:$AT$56,,$AI505), INDEX($AU$47:$BA$56,,$AH505), 1 / ($BC$47:$BC$56*CU505 + (1-$BC$47:$BC$56)*CQ505), N($AQ$47:$AQ$56&gt;$AO505))
) / 1000</f>
        <v>0</v>
      </c>
      <c r="CW505" s="235" cm="1">
        <f t="array" ref="CW505">$BI505 * IF($AH505&lt;=2,
SUMPRODUCT(INDEX($AR$23:$AT$61,,$AI505), INDEX($AU$23:$BA$61,,$AH505), 1 / ($BB$23:$BB$61*CU505), N($AQ$23:$AQ$61&gt;$AO505)),
SUMPRODUCT(INDEX($AR$23:$AT$46,,$AI505), INDEX($AU$23:$BA$46,,$AH505), 1 / ($BC$23:$BC$46*CU505), N($AQ$23:$AQ$46&gt;$AO505))
) / 1000</f>
        <v>0</v>
      </c>
      <c r="CX505" s="230">
        <f t="shared" si="560"/>
        <v>0</v>
      </c>
      <c r="CY505" s="238"/>
    </row>
    <row r="506" spans="1:103" s="76" customFormat="1" ht="14.25" customHeight="1" x14ac:dyDescent="0.2">
      <c r="A506" s="231" t="b">
        <f t="shared" si="564"/>
        <v>0</v>
      </c>
      <c r="B506" s="245">
        <v>484</v>
      </c>
      <c r="C506" s="258"/>
      <c r="D506" s="258"/>
      <c r="E506" s="246"/>
      <c r="F506" s="247" t="str">
        <f>IF(ISBLANK(E506), "", VLOOKUP(E506, Z!$A$2:$C$4127, 3, FALSE))</f>
        <v/>
      </c>
      <c r="G506" s="248"/>
      <c r="H506" s="248"/>
      <c r="I506" s="249"/>
      <c r="J506" s="250"/>
      <c r="K506" s="259"/>
      <c r="L506" s="260"/>
      <c r="M506" s="252" t="str" cm="1">
        <f t="array" ref="M506">INDEX(Trad, 53, $A$20)</f>
        <v>Verschmutzt</v>
      </c>
      <c r="N506" s="253"/>
      <c r="O506" s="253"/>
      <c r="P506" s="254"/>
      <c r="Q506" s="251"/>
      <c r="R506" s="251"/>
      <c r="S506" s="264">
        <f t="shared" si="535"/>
        <v>0</v>
      </c>
      <c r="T506" s="252" t="str" cm="1">
        <f t="array" ref="T506">INDEX(Trad, 52, $A$20)</f>
        <v>Sauber</v>
      </c>
      <c r="U506" s="253"/>
      <c r="V506" s="253"/>
      <c r="W506" s="254"/>
      <c r="X506" s="251"/>
      <c r="Y506" s="251"/>
      <c r="Z506" s="264">
        <f t="shared" si="536"/>
        <v>0</v>
      </c>
      <c r="AA506" s="261"/>
      <c r="AB506" s="258"/>
      <c r="AC506" s="246"/>
      <c r="AD506" s="247" t="str">
        <f>IF(ISBLANK(AC506), "", VLOOKUP(AC506, Z!$A$2:$C$4127, 3, FALSE))</f>
        <v/>
      </c>
      <c r="AE506" s="262"/>
      <c r="AF506" s="263">
        <f t="shared" si="537"/>
        <v>0</v>
      </c>
      <c r="AG506" s="238"/>
      <c r="AH506" s="229">
        <f t="shared" si="561"/>
        <v>1</v>
      </c>
      <c r="AI506" s="229">
        <f t="shared" si="562"/>
        <v>1</v>
      </c>
      <c r="AJ506" s="229">
        <f t="shared" si="563"/>
        <v>0</v>
      </c>
      <c r="AK506" s="229">
        <v>0</v>
      </c>
      <c r="AL506" s="229">
        <v>0</v>
      </c>
      <c r="AM506" s="229">
        <v>1</v>
      </c>
      <c r="AN506" s="229">
        <v>0</v>
      </c>
      <c r="AO506" s="229">
        <f t="shared" si="538"/>
        <v>-100</v>
      </c>
      <c r="AP506" s="238"/>
      <c r="AQ506" s="255"/>
      <c r="AR506" s="255"/>
      <c r="AS506" s="256"/>
      <c r="AT506" s="256"/>
      <c r="AU506" s="256"/>
      <c r="AV506" s="256"/>
      <c r="AW506" s="256"/>
      <c r="AX506" s="256"/>
      <c r="AY506" s="256"/>
      <c r="AZ506" s="256"/>
      <c r="BA506" s="256"/>
      <c r="BB506" s="256"/>
      <c r="BC506" s="256"/>
      <c r="BD506" s="238"/>
      <c r="BE506" s="229" cm="1">
        <f t="array" ref="BE506">IF(ISBLANK(R506), INDEX(Use, $AH506, 4) - AM506*INDEX(Use, $AH506, 6), R506)</f>
        <v>5</v>
      </c>
      <c r="BF506" s="229">
        <f t="shared" si="539"/>
        <v>30</v>
      </c>
      <c r="BG506" s="229">
        <f t="shared" si="565"/>
        <v>13</v>
      </c>
      <c r="BH506" s="229">
        <f t="shared" si="566"/>
        <v>0</v>
      </c>
      <c r="BI506" s="234" cm="1">
        <f t="array" ref="BI506">K506/IF($L506&gt;0, INDEX($AU$23:$BA$77, $L506+20, $AH506), 1)</f>
        <v>0</v>
      </c>
      <c r="BJ506" s="230">
        <f t="shared" si="540"/>
        <v>0</v>
      </c>
      <c r="BK506" s="229">
        <v>35</v>
      </c>
      <c r="BL506" s="230">
        <f t="shared" si="541"/>
        <v>48</v>
      </c>
      <c r="BM506" s="235">
        <f t="shared" si="542"/>
        <v>2.9108720930232557</v>
      </c>
      <c r="BN506" s="235" cm="1">
        <f t="array" ref="BN506">$BI506 * SUMPRODUCT(INDEX($AR$77:$AT$82,,$AI506),INDEX($AU$77:$BA$82,,$AH506), N($AQ$77:$AQ$82&gt;$AO506)) / BM506 / 1000</f>
        <v>0</v>
      </c>
      <c r="BO506" s="232">
        <f t="shared" si="567"/>
        <v>30</v>
      </c>
      <c r="BP506" s="230">
        <f t="shared" si="543"/>
        <v>43</v>
      </c>
      <c r="BQ506" s="235">
        <f t="shared" si="544"/>
        <v>3.2938815789473681</v>
      </c>
      <c r="BR506" s="235" cm="1">
        <f t="array" ref="BR506">$BI506 * IF($AH506&lt;=2,
SUMPRODUCT(INDEX($AR$72:$AT$76,,$AI506), INDEX($AU$72:$BA$76,,$AH506), 1 / ($BB$72:$BB$76*BQ506 + (1-$BB$72:$BB$76)*BM506), N($AQ$72:$AQ$76&gt;$AO506)),
SUMPRODUCT(INDEX($AR$67:$AT$76,,$AI506), INDEX($AU$67:$BA$76,,$AH506), 1 / ($BC$67:$BC$76*BQ506 + (1-$BC$67:$BC$76)*BM506), N($AQ$67:$AQ$76&gt;$AO506))
) / 1000</f>
        <v>0</v>
      </c>
      <c r="BS506" s="232">
        <f t="shared" si="568"/>
        <v>25</v>
      </c>
      <c r="BT506" s="230">
        <f t="shared" si="545"/>
        <v>38</v>
      </c>
      <c r="BU506" s="235">
        <f t="shared" si="546"/>
        <v>3.792954545454545</v>
      </c>
      <c r="BV506" s="235" cm="1">
        <f t="array" ref="BV506">$BI506 * IF($AH506&lt;=2,
SUMPRODUCT(INDEX($AR$67:$AT$71,,$AI506), INDEX($AU$67:$BA$71,,$AH506), 1 / ($BB$67:$BB$71*BU506 + (1-$BB$67:$BB$71)*BQ506), N($AQ$67:$AQ$71&gt;$AO506)),
SUMPRODUCT(INDEX($AR$57:$AT$66,,$AI506), INDEX($AU$57:$BA$66,,$AH506), 1 / ($BC$57:$BC$66*BU506 + (1-$BC$57:$BC$66)*BQ506), N($AQ$57:$AQ$66&gt;$AO506))
) / 1000</f>
        <v>0</v>
      </c>
      <c r="BW506" s="232">
        <f t="shared" si="569"/>
        <v>20</v>
      </c>
      <c r="BX506" s="230">
        <f t="shared" si="547"/>
        <v>33</v>
      </c>
      <c r="BY506" s="235">
        <f t="shared" si="548"/>
        <v>4.4702678571428569</v>
      </c>
      <c r="BZ506" s="235" cm="1">
        <f t="array" ref="BZ506">$BI506 * IF($AH506&lt;=2,
SUMPRODUCT(INDEX($AR$62:$AT$66,,$AI506), INDEX($AU$62:$BA$66,,$AH506), 1 / ($BB$62:$BB$66*BY506 + (1-$BB$62:$BB$66)*BU506), N($AQ$62:$AQ$66&gt;$AO506)),
SUMPRODUCT(INDEX($AR$47:$AT$56,,$AI506), INDEX($AU$47:$BA$56,,$AH506), 1 / ($BC$47:$BC$56*BY506 + (1-$BC$47:$BC$56)*BU506), N($AQ$47:$AQ$56&gt;$AO506))
) / 1000</f>
        <v>0</v>
      </c>
      <c r="CA506" s="235" cm="1">
        <f t="array" ref="CA506">$BI506 * IF($AH506&lt;=2,
SUMPRODUCT(INDEX($AR$23:$AT$61,,$AI506), INDEX($AU$23:$BA$61,,$AH506), 1 / ($BB$23:$BB$61*BY506), N($AQ$23:$AQ$61&gt;$AO506)),
SUMPRODUCT(INDEX($AR$23:$AT$46,,$AI506), INDEX($AU$23:$BA$46,,$AH506), 1 / ($BC$23:$BC$46*BY506), N($AQ$23:$AQ$46&gt;$AO506))
) / 1000</f>
        <v>0</v>
      </c>
      <c r="CB506" s="230">
        <f t="shared" si="549"/>
        <v>0</v>
      </c>
      <c r="CC506" s="238"/>
      <c r="CD506" s="229" cm="1">
        <f t="array" ref="CD506">IF(ISBLANK(Y506), INDEX(Use, $AH506, 4) - AN506*INDEX(Use, $AH506, 6) - (Q506-X506), Y506)</f>
        <v>7</v>
      </c>
      <c r="CE506" s="229">
        <f t="shared" si="550"/>
        <v>32</v>
      </c>
      <c r="CF506" s="230">
        <f t="shared" si="551"/>
        <v>0</v>
      </c>
      <c r="CG506" s="229">
        <v>35</v>
      </c>
      <c r="CH506" s="230">
        <f t="shared" si="552"/>
        <v>48</v>
      </c>
      <c r="CI506" s="235">
        <f t="shared" si="553"/>
        <v>3.0748170731707316</v>
      </c>
      <c r="CJ506" s="235" cm="1">
        <f t="array" ref="CJ506">$BI506 * SUMPRODUCT(INDEX($AR$77:$AT$82,,$AI506),INDEX($AU$77:$BA$82,,$AH506), N($AQ$77:$AQ$82&gt;$AO506)) / CI506 / 1000</f>
        <v>0</v>
      </c>
      <c r="CK506" s="232">
        <f t="shared" si="570"/>
        <v>30</v>
      </c>
      <c r="CL506" s="230">
        <f t="shared" si="554"/>
        <v>43</v>
      </c>
      <c r="CM506" s="235">
        <f t="shared" si="555"/>
        <v>3.5018750000000001</v>
      </c>
      <c r="CN506" s="235" cm="1">
        <f t="array" ref="CN506">$BI506 * IF($AH506&lt;=2,
SUMPRODUCT(INDEX($AR$72:$AT$76,,$AI506), INDEX($AU$72:$BA$76,,$AH506), 1 / ($BB$72:$BB$76*CM506 + (1-$BB$72:$BB$76)*CI506), N($AQ$72:$AQ$76&gt;$AO506)),
SUMPRODUCT(INDEX($AR$67:$AT$76,,$AI506), INDEX($AU$67:$BA$76,,$AH506), 1 / ($BC$67:$BC$76*CM506 + (1-$BC$67:$BC$76)*CI506), N($AQ$67:$AQ$76&gt;$AO506))
) / 1000</f>
        <v>0</v>
      </c>
      <c r="CO506" s="232">
        <f t="shared" si="571"/>
        <v>25</v>
      </c>
      <c r="CP506" s="230">
        <f t="shared" si="556"/>
        <v>38</v>
      </c>
      <c r="CQ506" s="235">
        <f t="shared" si="557"/>
        <v>4.0666935483870965</v>
      </c>
      <c r="CR506" s="235" cm="1">
        <f t="array" ref="CR506">$BI506 * IF($AH506&lt;=2,
SUMPRODUCT(INDEX($AR$67:$AT$71,,$AI506), INDEX($AU$67:$BA$71,,$AH506), 1 / ($BB$67:$BB$71*CQ506 + (1-$BB$67:$BB$71)*CM506), N($AQ$67:$AQ$71&gt;$AO506)),
SUMPRODUCT(INDEX($AR$57:$AT$66,,$AI506), INDEX($AU$57:$BA$66,,$AH506), 1 / ($BC$57:$BC$66*CQ506 + (1-$BC$57:$BC$66)*CM506), N($AQ$57:$AQ$66&gt;$AO506))
) / 1000</f>
        <v>0</v>
      </c>
      <c r="CS506" s="232">
        <f t="shared" si="572"/>
        <v>20</v>
      </c>
      <c r="CT506" s="230">
        <f t="shared" si="558"/>
        <v>33</v>
      </c>
      <c r="CU506" s="235">
        <f t="shared" si="559"/>
        <v>4.8487499999999999</v>
      </c>
      <c r="CV506" s="235" cm="1">
        <f t="array" ref="CV506">$BI506 * IF($AH506&lt;=2,
SUMPRODUCT(INDEX($AR$62:$AT$66,,$AI506), INDEX($AU$62:$BA$66,,$AH506), 1 / ($BB$62:$BB$66*CU506 + (1-$BB$62:$BB$66)*CQ506), N($AQ$62:$AQ$66&gt;$AO506)),
SUMPRODUCT(INDEX($AR$47:$AT$56,,$AI506), INDEX($AU$47:$BA$56,,$AH506), 1 / ($BC$47:$BC$56*CU506 + (1-$BC$47:$BC$56)*CQ506), N($AQ$47:$AQ$56&gt;$AO506))
) / 1000</f>
        <v>0</v>
      </c>
      <c r="CW506" s="235" cm="1">
        <f t="array" ref="CW506">$BI506 * IF($AH506&lt;=2,
SUMPRODUCT(INDEX($AR$23:$AT$61,,$AI506), INDEX($AU$23:$BA$61,,$AH506), 1 / ($BB$23:$BB$61*CU506), N($AQ$23:$AQ$61&gt;$AO506)),
SUMPRODUCT(INDEX($AR$23:$AT$46,,$AI506), INDEX($AU$23:$BA$46,,$AH506), 1 / ($BC$23:$BC$46*CU506), N($AQ$23:$AQ$46&gt;$AO506))
) / 1000</f>
        <v>0</v>
      </c>
      <c r="CX506" s="230">
        <f t="shared" si="560"/>
        <v>0</v>
      </c>
      <c r="CY506" s="238"/>
    </row>
    <row r="507" spans="1:103" s="76" customFormat="1" ht="14.25" customHeight="1" x14ac:dyDescent="0.2">
      <c r="A507" s="231" t="b">
        <f t="shared" si="564"/>
        <v>0</v>
      </c>
      <c r="B507" s="245">
        <v>485</v>
      </c>
      <c r="C507" s="258"/>
      <c r="D507" s="258"/>
      <c r="E507" s="246"/>
      <c r="F507" s="247" t="str">
        <f>IF(ISBLANK(E507), "", VLOOKUP(E507, Z!$A$2:$C$4127, 3, FALSE))</f>
        <v/>
      </c>
      <c r="G507" s="248"/>
      <c r="H507" s="248"/>
      <c r="I507" s="249"/>
      <c r="J507" s="250"/>
      <c r="K507" s="259"/>
      <c r="L507" s="260"/>
      <c r="M507" s="252" t="str" cm="1">
        <f t="array" ref="M507">INDEX(Trad, 53, $A$20)</f>
        <v>Verschmutzt</v>
      </c>
      <c r="N507" s="253"/>
      <c r="O507" s="253"/>
      <c r="P507" s="254"/>
      <c r="Q507" s="251"/>
      <c r="R507" s="251"/>
      <c r="S507" s="264">
        <f t="shared" ref="S507:S570" si="573">CB507*1000</f>
        <v>0</v>
      </c>
      <c r="T507" s="252" t="str" cm="1">
        <f t="array" ref="T507">INDEX(Trad, 52, $A$20)</f>
        <v>Sauber</v>
      </c>
      <c r="U507" s="253"/>
      <c r="V507" s="253"/>
      <c r="W507" s="254"/>
      <c r="X507" s="251"/>
      <c r="Y507" s="251"/>
      <c r="Z507" s="264">
        <f t="shared" ref="Z507:Z570" si="574">CX507*1000</f>
        <v>0</v>
      </c>
      <c r="AA507" s="261"/>
      <c r="AB507" s="258"/>
      <c r="AC507" s="246"/>
      <c r="AD507" s="247" t="str">
        <f>IF(ISBLANK(AC507), "", VLOOKUP(AC507, Z!$A$2:$C$4127, 3, FALSE))</f>
        <v/>
      </c>
      <c r="AE507" s="262"/>
      <c r="AF507" s="263">
        <f t="shared" ref="AF507:AF570" si="575">0.75*AP$23*(S507-Z507)</f>
        <v>0</v>
      </c>
      <c r="AG507" s="238"/>
      <c r="AH507" s="229">
        <f t="shared" si="561"/>
        <v>1</v>
      </c>
      <c r="AI507" s="229">
        <f t="shared" si="562"/>
        <v>1</v>
      </c>
      <c r="AJ507" s="229">
        <f t="shared" si="563"/>
        <v>0</v>
      </c>
      <c r="AK507" s="229">
        <v>0</v>
      </c>
      <c r="AL507" s="229">
        <v>0</v>
      </c>
      <c r="AM507" s="229">
        <v>1</v>
      </c>
      <c r="AN507" s="229">
        <v>0</v>
      </c>
      <c r="AO507" s="229">
        <f t="shared" ref="AO507:AO570" si="576">IF(AND(J507="x", AH507=5), 11, IF(AND(J507="x", AH507=6), 19, -100))</f>
        <v>-100</v>
      </c>
      <c r="AP507" s="238"/>
      <c r="AQ507" s="255"/>
      <c r="AR507" s="255"/>
      <c r="AS507" s="256"/>
      <c r="AT507" s="256"/>
      <c r="AU507" s="256"/>
      <c r="AV507" s="256"/>
      <c r="AW507" s="256"/>
      <c r="AX507" s="256"/>
      <c r="AY507" s="256"/>
      <c r="AZ507" s="256"/>
      <c r="BA507" s="256"/>
      <c r="BB507" s="256"/>
      <c r="BC507" s="256"/>
      <c r="BD507" s="238"/>
      <c r="BE507" s="229" cm="1">
        <f t="array" ref="BE507">IF(ISBLANK(R507), INDEX(Use, $AH507, 4) - AM507*INDEX(Use, $AH507, 6), R507)</f>
        <v>5</v>
      </c>
      <c r="BF507" s="229">
        <f t="shared" ref="BF507:BF570" si="577">MAX(25, BE507+25)</f>
        <v>30</v>
      </c>
      <c r="BG507" s="229">
        <f t="shared" si="565"/>
        <v>13</v>
      </c>
      <c r="BH507" s="229">
        <f t="shared" si="566"/>
        <v>0</v>
      </c>
      <c r="BI507" s="234" cm="1">
        <f t="array" ref="BI507">K507/IF($L507&gt;0, INDEX($AU$23:$BA$77, $L507+20, $AH507), 1)</f>
        <v>0</v>
      </c>
      <c r="BJ507" s="230">
        <f t="shared" ref="BJ507:BJ570" si="578">P507 /  IF(AH507&lt;=2, 0.7 + 0.3 * (O507-20)/(35-20), 0.4 + 0.6 * (O507-5)/(35-5))</f>
        <v>0</v>
      </c>
      <c r="BK507" s="229">
        <v>35</v>
      </c>
      <c r="BL507" s="230">
        <f t="shared" ref="BL507:BL570" si="579">MAX($N507, MAX($BF507, $BK507 + $BG507 + $BH507 + 0.35*$AK507*$BG507 + BJ507))</f>
        <v>48</v>
      </c>
      <c r="BM507" s="235">
        <f t="shared" ref="BM507:BM570" si="580">0.45*($BE507+273.15)/(BL507-$BE507)</f>
        <v>2.9108720930232557</v>
      </c>
      <c r="BN507" s="235" cm="1">
        <f t="array" ref="BN507">$BI507 * SUMPRODUCT(INDEX($AR$77:$AT$82,,$AI507),INDEX($AU$77:$BA$82,,$AH507), N($AQ$77:$AQ$82&gt;$AO507)) / BM507 / 1000</f>
        <v>0</v>
      </c>
      <c r="BO507" s="232">
        <f t="shared" si="567"/>
        <v>30</v>
      </c>
      <c r="BP507" s="230">
        <f t="shared" ref="BP507:BP570" si="581">MAX($N507, MAX($BF507, BO507 + $BG507 + $BH507 + IF($AH507&lt;=2, (BO507-20)/(35-20), 0.6+0.4*(BO507-5)/(35-5))*0.35*$AK507*$BG507) + IF($AH507&lt;=2,0.9,0.8)*$BJ507)</f>
        <v>43</v>
      </c>
      <c r="BQ507" s="235">
        <f t="shared" ref="BQ507:BQ570" si="582">0.45*($BE507+273.15)/(BP507-$BE507)</f>
        <v>3.2938815789473681</v>
      </c>
      <c r="BR507" s="235" cm="1">
        <f t="array" ref="BR507">$BI507 * IF($AH507&lt;=2,
SUMPRODUCT(INDEX($AR$72:$AT$76,,$AI507), INDEX($AU$72:$BA$76,,$AH507), 1 / ($BB$72:$BB$76*BQ507 + (1-$BB$72:$BB$76)*BM507), N($AQ$72:$AQ$76&gt;$AO507)),
SUMPRODUCT(INDEX($AR$67:$AT$76,,$AI507), INDEX($AU$67:$BA$76,,$AH507), 1 / ($BC$67:$BC$76*BQ507 + (1-$BC$67:$BC$76)*BM507), N($AQ$67:$AQ$76&gt;$AO507))
) / 1000</f>
        <v>0</v>
      </c>
      <c r="BS507" s="232">
        <f t="shared" si="568"/>
        <v>25</v>
      </c>
      <c r="BT507" s="230">
        <f t="shared" ref="BT507:BT570" si="583">MAX($N507, MAX($BF507, BS507 + $BG507 + $BH507 + IF($AH507&lt;=2, (BS507-20)/(35-20), 0.6+0.4*(BS507-5)/(35-5))*0.35*$AK507*$BG507) + IF($AH507&lt;=2,0.8,0.6)*$BJ507)</f>
        <v>38</v>
      </c>
      <c r="BU507" s="235">
        <f t="shared" ref="BU507:BU570" si="584">0.45*($BE507+273.15)/(BT507-$BE507)</f>
        <v>3.792954545454545</v>
      </c>
      <c r="BV507" s="235" cm="1">
        <f t="array" ref="BV507">$BI507 * IF($AH507&lt;=2,
SUMPRODUCT(INDEX($AR$67:$AT$71,,$AI507), INDEX($AU$67:$BA$71,,$AH507), 1 / ($BB$67:$BB$71*BU507 + (1-$BB$67:$BB$71)*BQ507), N($AQ$67:$AQ$71&gt;$AO507)),
SUMPRODUCT(INDEX($AR$57:$AT$66,,$AI507), INDEX($AU$57:$BA$66,,$AH507), 1 / ($BC$57:$BC$66*BU507 + (1-$BC$57:$BC$66)*BQ507), N($AQ$57:$AQ$66&gt;$AO507))
) / 1000</f>
        <v>0</v>
      </c>
      <c r="BW507" s="232">
        <f t="shared" si="569"/>
        <v>20</v>
      </c>
      <c r="BX507" s="230">
        <f t="shared" ref="BX507:BX570" si="585">MAX($N507, MAX($BF507, BW507 + $BG507 + $BH507 + IF($AH507&lt;=2, (BW507-20)/(35-20), 0.6+0.4*(BW507-5)/(35-5))*0.35*$AK507*$BG507) + IF($AH507&lt;=2,0.7,0.4)*$BJ507)</f>
        <v>33</v>
      </c>
      <c r="BY507" s="235">
        <f t="shared" ref="BY507:BY570" si="586">0.45*($BE507+273.15)/(BX507-$BE507)</f>
        <v>4.4702678571428569</v>
      </c>
      <c r="BZ507" s="235" cm="1">
        <f t="array" ref="BZ507">$BI507 * IF($AH507&lt;=2,
SUMPRODUCT(INDEX($AR$62:$AT$66,,$AI507), INDEX($AU$62:$BA$66,,$AH507), 1 / ($BB$62:$BB$66*BY507 + (1-$BB$62:$BB$66)*BU507), N($AQ$62:$AQ$66&gt;$AO507)),
SUMPRODUCT(INDEX($AR$47:$AT$56,,$AI507), INDEX($AU$47:$BA$56,,$AH507), 1 / ($BC$47:$BC$56*BY507 + (1-$BC$47:$BC$56)*BU507), N($AQ$47:$AQ$56&gt;$AO507))
) / 1000</f>
        <v>0</v>
      </c>
      <c r="CA507" s="235" cm="1">
        <f t="array" ref="CA507">$BI507 * IF($AH507&lt;=2,
SUMPRODUCT(INDEX($AR$23:$AT$61,,$AI507), INDEX($AU$23:$BA$61,,$AH507), 1 / ($BB$23:$BB$61*BY507), N($AQ$23:$AQ$61&gt;$AO507)),
SUMPRODUCT(INDEX($AR$23:$AT$46,,$AI507), INDEX($AU$23:$BA$46,,$AH507), 1 / ($BC$23:$BC$46*BY507), N($AQ$23:$AQ$46&gt;$AO507))
) / 1000</f>
        <v>0</v>
      </c>
      <c r="CB507" s="230">
        <f t="shared" ref="CB507:CB570" si="587">BN507+BR507+BV507+BZ507+CA507</f>
        <v>0</v>
      </c>
      <c r="CC507" s="238"/>
      <c r="CD507" s="229" cm="1">
        <f t="array" ref="CD507">IF(ISBLANK(Y507), INDEX(Use, $AH507, 4) - AN507*INDEX(Use, $AH507, 6) - (Q507-X507), Y507)</f>
        <v>7</v>
      </c>
      <c r="CE507" s="229">
        <f t="shared" ref="CE507:CE570" si="588">MAX(25, CD507+25)</f>
        <v>32</v>
      </c>
      <c r="CF507" s="230">
        <f t="shared" ref="CF507:CF570" si="589">W507 /  IF(AH507&lt;=2, 0.7 + 0.3 * (V507-20)/(35-20), 0.4 + 0.6 * (V507-5)/(35-5))</f>
        <v>0</v>
      </c>
      <c r="CG507" s="229">
        <v>35</v>
      </c>
      <c r="CH507" s="230">
        <f t="shared" ref="CH507:CH570" si="590">MAX($U507, MAX($CE507, $BK507 + $BG507 + $BH507 + 0.35*$AL507*$BG507 + CF507))</f>
        <v>48</v>
      </c>
      <c r="CI507" s="235">
        <f t="shared" ref="CI507:CI570" si="591">0.45*($CD507+273.15)/(CH507-$CD507)</f>
        <v>3.0748170731707316</v>
      </c>
      <c r="CJ507" s="235" cm="1">
        <f t="array" ref="CJ507">$BI507 * SUMPRODUCT(INDEX($AR$77:$AT$82,,$AI507),INDEX($AU$77:$BA$82,,$AH507), N($AQ$77:$AQ$82&gt;$AO507)) / CI507 / 1000</f>
        <v>0</v>
      </c>
      <c r="CK507" s="232">
        <f t="shared" si="570"/>
        <v>30</v>
      </c>
      <c r="CL507" s="230">
        <f t="shared" ref="CL507:CL570" si="592">MAX($U507, MAX($CE507, CK507 + $BG507 + $BH507 + IF($AH507&lt;=2, (CK507-20)/(35-20), 0.6+0.4*(CK507-5)/(35-5))*0.35*$AL507*$BG507) + IF($AH507&lt;=2,0.9,0.8)*$CF507)</f>
        <v>43</v>
      </c>
      <c r="CM507" s="235">
        <f t="shared" ref="CM507:CM570" si="593">0.45*($CD507+273.15)/(CL507-$CD507)</f>
        <v>3.5018750000000001</v>
      </c>
      <c r="CN507" s="235" cm="1">
        <f t="array" ref="CN507">$BI507 * IF($AH507&lt;=2,
SUMPRODUCT(INDEX($AR$72:$AT$76,,$AI507), INDEX($AU$72:$BA$76,,$AH507), 1 / ($BB$72:$BB$76*CM507 + (1-$BB$72:$BB$76)*CI507), N($AQ$72:$AQ$76&gt;$AO507)),
SUMPRODUCT(INDEX($AR$67:$AT$76,,$AI507), INDEX($AU$67:$BA$76,,$AH507), 1 / ($BC$67:$BC$76*CM507 + (1-$BC$67:$BC$76)*CI507), N($AQ$67:$AQ$76&gt;$AO507))
) / 1000</f>
        <v>0</v>
      </c>
      <c r="CO507" s="232">
        <f t="shared" si="571"/>
        <v>25</v>
      </c>
      <c r="CP507" s="230">
        <f t="shared" ref="CP507:CP570" si="594">MAX($U507, MAX($CE507, CO507 + $BG507 + $BH507 + IF($AH507&lt;=2, (CO507-20)/(35-20), 0.6+0.4*(CO507-5)/(35-5))*0.35*$AL507*$BG507) + IF($AH507&lt;=2,0.8,0.6)*$CF507)</f>
        <v>38</v>
      </c>
      <c r="CQ507" s="235">
        <f t="shared" ref="CQ507:CQ570" si="595">0.45*($CD507+273.15)/(CP507-$CD507)</f>
        <v>4.0666935483870965</v>
      </c>
      <c r="CR507" s="235" cm="1">
        <f t="array" ref="CR507">$BI507 * IF($AH507&lt;=2,
SUMPRODUCT(INDEX($AR$67:$AT$71,,$AI507), INDEX($AU$67:$BA$71,,$AH507), 1 / ($BB$67:$BB$71*CQ507 + (1-$BB$67:$BB$71)*CM507), N($AQ$67:$AQ$71&gt;$AO507)),
SUMPRODUCT(INDEX($AR$57:$AT$66,,$AI507), INDEX($AU$57:$BA$66,,$AH507), 1 / ($BC$57:$BC$66*CQ507 + (1-$BC$57:$BC$66)*CM507), N($AQ$57:$AQ$66&gt;$AO507))
) / 1000</f>
        <v>0</v>
      </c>
      <c r="CS507" s="232">
        <f t="shared" si="572"/>
        <v>20</v>
      </c>
      <c r="CT507" s="230">
        <f t="shared" ref="CT507:CT570" si="596">MAX($U507, MAX($CE507, CS507 + $BG507 + $BH507 + IF($AH507&lt;=2, (CS507-20)/(35-20), 0.6+0.4*(CS507-5)/(35-5))*0.35*$AL507*$BG507) + IF($AH507&lt;=2,0.7,0.4)*$CF507)</f>
        <v>33</v>
      </c>
      <c r="CU507" s="235">
        <f t="shared" ref="CU507:CU570" si="597">0.45*($CD507+273.15)/(CT507-$CD507)</f>
        <v>4.8487499999999999</v>
      </c>
      <c r="CV507" s="235" cm="1">
        <f t="array" ref="CV507">$BI507 * IF($AH507&lt;=2,
SUMPRODUCT(INDEX($AR$62:$AT$66,,$AI507), INDEX($AU$62:$BA$66,,$AH507), 1 / ($BB$62:$BB$66*CU507 + (1-$BB$62:$BB$66)*CQ507), N($AQ$62:$AQ$66&gt;$AO507)),
SUMPRODUCT(INDEX($AR$47:$AT$56,,$AI507), INDEX($AU$47:$BA$56,,$AH507), 1 / ($BC$47:$BC$56*CU507 + (1-$BC$47:$BC$56)*CQ507), N($AQ$47:$AQ$56&gt;$AO507))
) / 1000</f>
        <v>0</v>
      </c>
      <c r="CW507" s="235" cm="1">
        <f t="array" ref="CW507">$BI507 * IF($AH507&lt;=2,
SUMPRODUCT(INDEX($AR$23:$AT$61,,$AI507), INDEX($AU$23:$BA$61,,$AH507), 1 / ($BB$23:$BB$61*CU507), N($AQ$23:$AQ$61&gt;$AO507)),
SUMPRODUCT(INDEX($AR$23:$AT$46,,$AI507), INDEX($AU$23:$BA$46,,$AH507), 1 / ($BC$23:$BC$46*CU507), N($AQ$23:$AQ$46&gt;$AO507))
) / 1000</f>
        <v>0</v>
      </c>
      <c r="CX507" s="230">
        <f t="shared" ref="CX507:CX570" si="598">CJ507+CN507+CR507+CV507+CW507</f>
        <v>0</v>
      </c>
      <c r="CY507" s="238"/>
    </row>
    <row r="508" spans="1:103" s="76" customFormat="1" ht="14.25" customHeight="1" x14ac:dyDescent="0.2">
      <c r="A508" s="231" t="b">
        <f t="shared" si="564"/>
        <v>0</v>
      </c>
      <c r="B508" s="245">
        <v>486</v>
      </c>
      <c r="C508" s="258"/>
      <c r="D508" s="258"/>
      <c r="E508" s="246"/>
      <c r="F508" s="247" t="str">
        <f>IF(ISBLANK(E508), "", VLOOKUP(E508, Z!$A$2:$C$4127, 3, FALSE))</f>
        <v/>
      </c>
      <c r="G508" s="248"/>
      <c r="H508" s="248"/>
      <c r="I508" s="249"/>
      <c r="J508" s="250"/>
      <c r="K508" s="259"/>
      <c r="L508" s="260"/>
      <c r="M508" s="252" t="str" cm="1">
        <f t="array" ref="M508">INDEX(Trad, 53, $A$20)</f>
        <v>Verschmutzt</v>
      </c>
      <c r="N508" s="253"/>
      <c r="O508" s="253"/>
      <c r="P508" s="254"/>
      <c r="Q508" s="251"/>
      <c r="R508" s="251"/>
      <c r="S508" s="264">
        <f t="shared" si="573"/>
        <v>0</v>
      </c>
      <c r="T508" s="252" t="str" cm="1">
        <f t="array" ref="T508">INDEX(Trad, 52, $A$20)</f>
        <v>Sauber</v>
      </c>
      <c r="U508" s="253"/>
      <c r="V508" s="253"/>
      <c r="W508" s="254"/>
      <c r="X508" s="251"/>
      <c r="Y508" s="251"/>
      <c r="Z508" s="264">
        <f t="shared" si="574"/>
        <v>0</v>
      </c>
      <c r="AA508" s="261"/>
      <c r="AB508" s="258"/>
      <c r="AC508" s="246"/>
      <c r="AD508" s="247" t="str">
        <f>IF(ISBLANK(AC508), "", VLOOKUP(AC508, Z!$A$2:$C$4127, 3, FALSE))</f>
        <v/>
      </c>
      <c r="AE508" s="262"/>
      <c r="AF508" s="263">
        <f t="shared" si="575"/>
        <v>0</v>
      </c>
      <c r="AG508" s="238"/>
      <c r="AH508" s="229">
        <f t="shared" ref="AH508:AH571" si="599">IF(ISBLANK(H508), 1, IFERROR(MATCH(H508, INDEX(Use,,1), 0), IFERROR(MATCH(H508, INDEX(Use,,2), 0), MATCH(H508, INDEX(Use,,3), 0))))</f>
        <v>1</v>
      </c>
      <c r="AI508" s="229">
        <f t="shared" ref="AI508:AI571" si="600">IF(ISBLANK(G508), 1, IFERROR(MATCH(G508, INDEX(Loc,,1), 0), IFERROR(MATCH(G508, INDEX(Loc,,2), 0), MATCH(G508, INDEX(Loc,,3), 0))))</f>
        <v>1</v>
      </c>
      <c r="AJ508" s="229">
        <f t="shared" ref="AJ508:AJ571" si="601">_xlfn.IFNA(IF(IFERROR(MATCH(I508, INDEX(Medium,,1), 0), IFERROR(MATCH(I508, INDEX(Medium,,2), 0), MATCH(I508, INDEX(Medium,,3), 0))) = 2, 1, 0), 0)</f>
        <v>0</v>
      </c>
      <c r="AK508" s="229">
        <v>0</v>
      </c>
      <c r="AL508" s="229">
        <v>0</v>
      </c>
      <c r="AM508" s="229">
        <v>1</v>
      </c>
      <c r="AN508" s="229">
        <v>0</v>
      </c>
      <c r="AO508" s="229">
        <f t="shared" si="576"/>
        <v>-100</v>
      </c>
      <c r="AP508" s="238"/>
      <c r="AQ508" s="255"/>
      <c r="AR508" s="255"/>
      <c r="AS508" s="256"/>
      <c r="AT508" s="256"/>
      <c r="AU508" s="256"/>
      <c r="AV508" s="256"/>
      <c r="AW508" s="256"/>
      <c r="AX508" s="256"/>
      <c r="AY508" s="256"/>
      <c r="AZ508" s="256"/>
      <c r="BA508" s="256"/>
      <c r="BB508" s="256"/>
      <c r="BC508" s="256"/>
      <c r="BD508" s="238"/>
      <c r="BE508" s="229" cm="1">
        <f t="array" ref="BE508">IF(ISBLANK(R508), INDEX(Use, $AH508, 4) - AM508*INDEX(Use, $AH508, 6), R508)</f>
        <v>5</v>
      </c>
      <c r="BF508" s="229">
        <f t="shared" si="577"/>
        <v>30</v>
      </c>
      <c r="BG508" s="229">
        <f t="shared" si="565"/>
        <v>13</v>
      </c>
      <c r="BH508" s="229">
        <f t="shared" si="566"/>
        <v>0</v>
      </c>
      <c r="BI508" s="234" cm="1">
        <f t="array" ref="BI508">K508/IF($L508&gt;0, INDEX($AU$23:$BA$77, $L508+20, $AH508), 1)</f>
        <v>0</v>
      </c>
      <c r="BJ508" s="230">
        <f t="shared" si="578"/>
        <v>0</v>
      </c>
      <c r="BK508" s="229">
        <v>35</v>
      </c>
      <c r="BL508" s="230">
        <f t="shared" si="579"/>
        <v>48</v>
      </c>
      <c r="BM508" s="235">
        <f t="shared" si="580"/>
        <v>2.9108720930232557</v>
      </c>
      <c r="BN508" s="235" cm="1">
        <f t="array" ref="BN508">$BI508 * SUMPRODUCT(INDEX($AR$77:$AT$82,,$AI508),INDEX($AU$77:$BA$82,,$AH508), N($AQ$77:$AQ$82&gt;$AO508)) / BM508 / 1000</f>
        <v>0</v>
      </c>
      <c r="BO508" s="232">
        <f t="shared" si="567"/>
        <v>30</v>
      </c>
      <c r="BP508" s="230">
        <f t="shared" si="581"/>
        <v>43</v>
      </c>
      <c r="BQ508" s="235">
        <f t="shared" si="582"/>
        <v>3.2938815789473681</v>
      </c>
      <c r="BR508" s="235" cm="1">
        <f t="array" ref="BR508">$BI508 * IF($AH508&lt;=2,
SUMPRODUCT(INDEX($AR$72:$AT$76,,$AI508), INDEX($AU$72:$BA$76,,$AH508), 1 / ($BB$72:$BB$76*BQ508 + (1-$BB$72:$BB$76)*BM508), N($AQ$72:$AQ$76&gt;$AO508)),
SUMPRODUCT(INDEX($AR$67:$AT$76,,$AI508), INDEX($AU$67:$BA$76,,$AH508), 1 / ($BC$67:$BC$76*BQ508 + (1-$BC$67:$BC$76)*BM508), N($AQ$67:$AQ$76&gt;$AO508))
) / 1000</f>
        <v>0</v>
      </c>
      <c r="BS508" s="232">
        <f t="shared" si="568"/>
        <v>25</v>
      </c>
      <c r="BT508" s="230">
        <f t="shared" si="583"/>
        <v>38</v>
      </c>
      <c r="BU508" s="235">
        <f t="shared" si="584"/>
        <v>3.792954545454545</v>
      </c>
      <c r="BV508" s="235" cm="1">
        <f t="array" ref="BV508">$BI508 * IF($AH508&lt;=2,
SUMPRODUCT(INDEX($AR$67:$AT$71,,$AI508), INDEX($AU$67:$BA$71,,$AH508), 1 / ($BB$67:$BB$71*BU508 + (1-$BB$67:$BB$71)*BQ508), N($AQ$67:$AQ$71&gt;$AO508)),
SUMPRODUCT(INDEX($AR$57:$AT$66,,$AI508), INDEX($AU$57:$BA$66,,$AH508), 1 / ($BC$57:$BC$66*BU508 + (1-$BC$57:$BC$66)*BQ508), N($AQ$57:$AQ$66&gt;$AO508))
) / 1000</f>
        <v>0</v>
      </c>
      <c r="BW508" s="232">
        <f t="shared" si="569"/>
        <v>20</v>
      </c>
      <c r="BX508" s="230">
        <f t="shared" si="585"/>
        <v>33</v>
      </c>
      <c r="BY508" s="235">
        <f t="shared" si="586"/>
        <v>4.4702678571428569</v>
      </c>
      <c r="BZ508" s="235" cm="1">
        <f t="array" ref="BZ508">$BI508 * IF($AH508&lt;=2,
SUMPRODUCT(INDEX($AR$62:$AT$66,,$AI508), INDEX($AU$62:$BA$66,,$AH508), 1 / ($BB$62:$BB$66*BY508 + (1-$BB$62:$BB$66)*BU508), N($AQ$62:$AQ$66&gt;$AO508)),
SUMPRODUCT(INDEX($AR$47:$AT$56,,$AI508), INDEX($AU$47:$BA$56,,$AH508), 1 / ($BC$47:$BC$56*BY508 + (1-$BC$47:$BC$56)*BU508), N($AQ$47:$AQ$56&gt;$AO508))
) / 1000</f>
        <v>0</v>
      </c>
      <c r="CA508" s="235" cm="1">
        <f t="array" ref="CA508">$BI508 * IF($AH508&lt;=2,
SUMPRODUCT(INDEX($AR$23:$AT$61,,$AI508), INDEX($AU$23:$BA$61,,$AH508), 1 / ($BB$23:$BB$61*BY508), N($AQ$23:$AQ$61&gt;$AO508)),
SUMPRODUCT(INDEX($AR$23:$AT$46,,$AI508), INDEX($AU$23:$BA$46,,$AH508), 1 / ($BC$23:$BC$46*BY508), N($AQ$23:$AQ$46&gt;$AO508))
) / 1000</f>
        <v>0</v>
      </c>
      <c r="CB508" s="230">
        <f t="shared" si="587"/>
        <v>0</v>
      </c>
      <c r="CC508" s="238"/>
      <c r="CD508" s="229" cm="1">
        <f t="array" ref="CD508">IF(ISBLANK(Y508), INDEX(Use, $AH508, 4) - AN508*INDEX(Use, $AH508, 6) - (Q508-X508), Y508)</f>
        <v>7</v>
      </c>
      <c r="CE508" s="229">
        <f t="shared" si="588"/>
        <v>32</v>
      </c>
      <c r="CF508" s="230">
        <f t="shared" si="589"/>
        <v>0</v>
      </c>
      <c r="CG508" s="229">
        <v>35</v>
      </c>
      <c r="CH508" s="230">
        <f t="shared" si="590"/>
        <v>48</v>
      </c>
      <c r="CI508" s="235">
        <f t="shared" si="591"/>
        <v>3.0748170731707316</v>
      </c>
      <c r="CJ508" s="235" cm="1">
        <f t="array" ref="CJ508">$BI508 * SUMPRODUCT(INDEX($AR$77:$AT$82,,$AI508),INDEX($AU$77:$BA$82,,$AH508), N($AQ$77:$AQ$82&gt;$AO508)) / CI508 / 1000</f>
        <v>0</v>
      </c>
      <c r="CK508" s="232">
        <f t="shared" si="570"/>
        <v>30</v>
      </c>
      <c r="CL508" s="230">
        <f t="shared" si="592"/>
        <v>43</v>
      </c>
      <c r="CM508" s="235">
        <f t="shared" si="593"/>
        <v>3.5018750000000001</v>
      </c>
      <c r="CN508" s="235" cm="1">
        <f t="array" ref="CN508">$BI508 * IF($AH508&lt;=2,
SUMPRODUCT(INDEX($AR$72:$AT$76,,$AI508), INDEX($AU$72:$BA$76,,$AH508), 1 / ($BB$72:$BB$76*CM508 + (1-$BB$72:$BB$76)*CI508), N($AQ$72:$AQ$76&gt;$AO508)),
SUMPRODUCT(INDEX($AR$67:$AT$76,,$AI508), INDEX($AU$67:$BA$76,,$AH508), 1 / ($BC$67:$BC$76*CM508 + (1-$BC$67:$BC$76)*CI508), N($AQ$67:$AQ$76&gt;$AO508))
) / 1000</f>
        <v>0</v>
      </c>
      <c r="CO508" s="232">
        <f t="shared" si="571"/>
        <v>25</v>
      </c>
      <c r="CP508" s="230">
        <f t="shared" si="594"/>
        <v>38</v>
      </c>
      <c r="CQ508" s="235">
        <f t="shared" si="595"/>
        <v>4.0666935483870965</v>
      </c>
      <c r="CR508" s="235" cm="1">
        <f t="array" ref="CR508">$BI508 * IF($AH508&lt;=2,
SUMPRODUCT(INDEX($AR$67:$AT$71,,$AI508), INDEX($AU$67:$BA$71,,$AH508), 1 / ($BB$67:$BB$71*CQ508 + (1-$BB$67:$BB$71)*CM508), N($AQ$67:$AQ$71&gt;$AO508)),
SUMPRODUCT(INDEX($AR$57:$AT$66,,$AI508), INDEX($AU$57:$BA$66,,$AH508), 1 / ($BC$57:$BC$66*CQ508 + (1-$BC$57:$BC$66)*CM508), N($AQ$57:$AQ$66&gt;$AO508))
) / 1000</f>
        <v>0</v>
      </c>
      <c r="CS508" s="232">
        <f t="shared" si="572"/>
        <v>20</v>
      </c>
      <c r="CT508" s="230">
        <f t="shared" si="596"/>
        <v>33</v>
      </c>
      <c r="CU508" s="235">
        <f t="shared" si="597"/>
        <v>4.8487499999999999</v>
      </c>
      <c r="CV508" s="235" cm="1">
        <f t="array" ref="CV508">$BI508 * IF($AH508&lt;=2,
SUMPRODUCT(INDEX($AR$62:$AT$66,,$AI508), INDEX($AU$62:$BA$66,,$AH508), 1 / ($BB$62:$BB$66*CU508 + (1-$BB$62:$BB$66)*CQ508), N($AQ$62:$AQ$66&gt;$AO508)),
SUMPRODUCT(INDEX($AR$47:$AT$56,,$AI508), INDEX($AU$47:$BA$56,,$AH508), 1 / ($BC$47:$BC$56*CU508 + (1-$BC$47:$BC$56)*CQ508), N($AQ$47:$AQ$56&gt;$AO508))
) / 1000</f>
        <v>0</v>
      </c>
      <c r="CW508" s="235" cm="1">
        <f t="array" ref="CW508">$BI508 * IF($AH508&lt;=2,
SUMPRODUCT(INDEX($AR$23:$AT$61,,$AI508), INDEX($AU$23:$BA$61,,$AH508), 1 / ($BB$23:$BB$61*CU508), N($AQ$23:$AQ$61&gt;$AO508)),
SUMPRODUCT(INDEX($AR$23:$AT$46,,$AI508), INDEX($AU$23:$BA$46,,$AH508), 1 / ($BC$23:$BC$46*CU508), N($AQ$23:$AQ$46&gt;$AO508))
) / 1000</f>
        <v>0</v>
      </c>
      <c r="CX508" s="230">
        <f t="shared" si="598"/>
        <v>0</v>
      </c>
      <c r="CY508" s="238"/>
    </row>
    <row r="509" spans="1:103" s="76" customFormat="1" ht="14.25" customHeight="1" x14ac:dyDescent="0.2">
      <c r="A509" s="231" t="b">
        <f t="shared" si="564"/>
        <v>0</v>
      </c>
      <c r="B509" s="245">
        <v>487</v>
      </c>
      <c r="C509" s="258"/>
      <c r="D509" s="258"/>
      <c r="E509" s="246"/>
      <c r="F509" s="247" t="str">
        <f>IF(ISBLANK(E509), "", VLOOKUP(E509, Z!$A$2:$C$4127, 3, FALSE))</f>
        <v/>
      </c>
      <c r="G509" s="248"/>
      <c r="H509" s="248"/>
      <c r="I509" s="249"/>
      <c r="J509" s="250"/>
      <c r="K509" s="259"/>
      <c r="L509" s="260"/>
      <c r="M509" s="252" t="str" cm="1">
        <f t="array" ref="M509">INDEX(Trad, 53, $A$20)</f>
        <v>Verschmutzt</v>
      </c>
      <c r="N509" s="253"/>
      <c r="O509" s="253"/>
      <c r="P509" s="254"/>
      <c r="Q509" s="251"/>
      <c r="R509" s="251"/>
      <c r="S509" s="264">
        <f t="shared" si="573"/>
        <v>0</v>
      </c>
      <c r="T509" s="252" t="str" cm="1">
        <f t="array" ref="T509">INDEX(Trad, 52, $A$20)</f>
        <v>Sauber</v>
      </c>
      <c r="U509" s="253"/>
      <c r="V509" s="253"/>
      <c r="W509" s="254"/>
      <c r="X509" s="251"/>
      <c r="Y509" s="251"/>
      <c r="Z509" s="264">
        <f t="shared" si="574"/>
        <v>0</v>
      </c>
      <c r="AA509" s="261"/>
      <c r="AB509" s="258"/>
      <c r="AC509" s="246"/>
      <c r="AD509" s="247" t="str">
        <f>IF(ISBLANK(AC509), "", VLOOKUP(AC509, Z!$A$2:$C$4127, 3, FALSE))</f>
        <v/>
      </c>
      <c r="AE509" s="262"/>
      <c r="AF509" s="263">
        <f t="shared" si="575"/>
        <v>0</v>
      </c>
      <c r="AG509" s="238"/>
      <c r="AH509" s="229">
        <f t="shared" si="599"/>
        <v>1</v>
      </c>
      <c r="AI509" s="229">
        <f t="shared" si="600"/>
        <v>1</v>
      </c>
      <c r="AJ509" s="229">
        <f t="shared" si="601"/>
        <v>0</v>
      </c>
      <c r="AK509" s="229">
        <v>0</v>
      </c>
      <c r="AL509" s="229">
        <v>0</v>
      </c>
      <c r="AM509" s="229">
        <v>1</v>
      </c>
      <c r="AN509" s="229">
        <v>0</v>
      </c>
      <c r="AO509" s="229">
        <f t="shared" si="576"/>
        <v>-100</v>
      </c>
      <c r="AP509" s="238"/>
      <c r="AQ509" s="255"/>
      <c r="AR509" s="255"/>
      <c r="AS509" s="256"/>
      <c r="AT509" s="256"/>
      <c r="AU509" s="256"/>
      <c r="AV509" s="256"/>
      <c r="AW509" s="256"/>
      <c r="AX509" s="256"/>
      <c r="AY509" s="256"/>
      <c r="AZ509" s="256"/>
      <c r="BA509" s="256"/>
      <c r="BB509" s="256"/>
      <c r="BC509" s="256"/>
      <c r="BD509" s="238"/>
      <c r="BE509" s="229" cm="1">
        <f t="array" ref="BE509">IF(ISBLANK(R509), INDEX(Use, $AH509, 4) - AM509*INDEX(Use, $AH509, 6), R509)</f>
        <v>5</v>
      </c>
      <c r="BF509" s="229">
        <f t="shared" si="577"/>
        <v>30</v>
      </c>
      <c r="BG509" s="229">
        <f t="shared" si="565"/>
        <v>13</v>
      </c>
      <c r="BH509" s="229">
        <f t="shared" si="566"/>
        <v>0</v>
      </c>
      <c r="BI509" s="234" cm="1">
        <f t="array" ref="BI509">K509/IF($L509&gt;0, INDEX($AU$23:$BA$77, $L509+20, $AH509), 1)</f>
        <v>0</v>
      </c>
      <c r="BJ509" s="230">
        <f t="shared" si="578"/>
        <v>0</v>
      </c>
      <c r="BK509" s="229">
        <v>35</v>
      </c>
      <c r="BL509" s="230">
        <f t="shared" si="579"/>
        <v>48</v>
      </c>
      <c r="BM509" s="235">
        <f t="shared" si="580"/>
        <v>2.9108720930232557</v>
      </c>
      <c r="BN509" s="235" cm="1">
        <f t="array" ref="BN509">$BI509 * SUMPRODUCT(INDEX($AR$77:$AT$82,,$AI509),INDEX($AU$77:$BA$82,,$AH509), N($AQ$77:$AQ$82&gt;$AO509)) / BM509 / 1000</f>
        <v>0</v>
      </c>
      <c r="BO509" s="232">
        <f t="shared" si="567"/>
        <v>30</v>
      </c>
      <c r="BP509" s="230">
        <f t="shared" si="581"/>
        <v>43</v>
      </c>
      <c r="BQ509" s="235">
        <f t="shared" si="582"/>
        <v>3.2938815789473681</v>
      </c>
      <c r="BR509" s="235" cm="1">
        <f t="array" ref="BR509">$BI509 * IF($AH509&lt;=2,
SUMPRODUCT(INDEX($AR$72:$AT$76,,$AI509), INDEX($AU$72:$BA$76,,$AH509), 1 / ($BB$72:$BB$76*BQ509 + (1-$BB$72:$BB$76)*BM509), N($AQ$72:$AQ$76&gt;$AO509)),
SUMPRODUCT(INDEX($AR$67:$AT$76,,$AI509), INDEX($AU$67:$BA$76,,$AH509), 1 / ($BC$67:$BC$76*BQ509 + (1-$BC$67:$BC$76)*BM509), N($AQ$67:$AQ$76&gt;$AO509))
) / 1000</f>
        <v>0</v>
      </c>
      <c r="BS509" s="232">
        <f t="shared" si="568"/>
        <v>25</v>
      </c>
      <c r="BT509" s="230">
        <f t="shared" si="583"/>
        <v>38</v>
      </c>
      <c r="BU509" s="235">
        <f t="shared" si="584"/>
        <v>3.792954545454545</v>
      </c>
      <c r="BV509" s="235" cm="1">
        <f t="array" ref="BV509">$BI509 * IF($AH509&lt;=2,
SUMPRODUCT(INDEX($AR$67:$AT$71,,$AI509), INDEX($AU$67:$BA$71,,$AH509), 1 / ($BB$67:$BB$71*BU509 + (1-$BB$67:$BB$71)*BQ509), N($AQ$67:$AQ$71&gt;$AO509)),
SUMPRODUCT(INDEX($AR$57:$AT$66,,$AI509), INDEX($AU$57:$BA$66,,$AH509), 1 / ($BC$57:$BC$66*BU509 + (1-$BC$57:$BC$66)*BQ509), N($AQ$57:$AQ$66&gt;$AO509))
) / 1000</f>
        <v>0</v>
      </c>
      <c r="BW509" s="232">
        <f t="shared" si="569"/>
        <v>20</v>
      </c>
      <c r="BX509" s="230">
        <f t="shared" si="585"/>
        <v>33</v>
      </c>
      <c r="BY509" s="235">
        <f t="shared" si="586"/>
        <v>4.4702678571428569</v>
      </c>
      <c r="BZ509" s="235" cm="1">
        <f t="array" ref="BZ509">$BI509 * IF($AH509&lt;=2,
SUMPRODUCT(INDEX($AR$62:$AT$66,,$AI509), INDEX($AU$62:$BA$66,,$AH509), 1 / ($BB$62:$BB$66*BY509 + (1-$BB$62:$BB$66)*BU509), N($AQ$62:$AQ$66&gt;$AO509)),
SUMPRODUCT(INDEX($AR$47:$AT$56,,$AI509), INDEX($AU$47:$BA$56,,$AH509), 1 / ($BC$47:$BC$56*BY509 + (1-$BC$47:$BC$56)*BU509), N($AQ$47:$AQ$56&gt;$AO509))
) / 1000</f>
        <v>0</v>
      </c>
      <c r="CA509" s="235" cm="1">
        <f t="array" ref="CA509">$BI509 * IF($AH509&lt;=2,
SUMPRODUCT(INDEX($AR$23:$AT$61,,$AI509), INDEX($AU$23:$BA$61,,$AH509), 1 / ($BB$23:$BB$61*BY509), N($AQ$23:$AQ$61&gt;$AO509)),
SUMPRODUCT(INDEX($AR$23:$AT$46,,$AI509), INDEX($AU$23:$BA$46,,$AH509), 1 / ($BC$23:$BC$46*BY509), N($AQ$23:$AQ$46&gt;$AO509))
) / 1000</f>
        <v>0</v>
      </c>
      <c r="CB509" s="230">
        <f t="shared" si="587"/>
        <v>0</v>
      </c>
      <c r="CC509" s="238"/>
      <c r="CD509" s="229" cm="1">
        <f t="array" ref="CD509">IF(ISBLANK(Y509), INDEX(Use, $AH509, 4) - AN509*INDEX(Use, $AH509, 6) - (Q509-X509), Y509)</f>
        <v>7</v>
      </c>
      <c r="CE509" s="229">
        <f t="shared" si="588"/>
        <v>32</v>
      </c>
      <c r="CF509" s="230">
        <f t="shared" si="589"/>
        <v>0</v>
      </c>
      <c r="CG509" s="229">
        <v>35</v>
      </c>
      <c r="CH509" s="230">
        <f t="shared" si="590"/>
        <v>48</v>
      </c>
      <c r="CI509" s="235">
        <f t="shared" si="591"/>
        <v>3.0748170731707316</v>
      </c>
      <c r="CJ509" s="235" cm="1">
        <f t="array" ref="CJ509">$BI509 * SUMPRODUCT(INDEX($AR$77:$AT$82,,$AI509),INDEX($AU$77:$BA$82,,$AH509), N($AQ$77:$AQ$82&gt;$AO509)) / CI509 / 1000</f>
        <v>0</v>
      </c>
      <c r="CK509" s="232">
        <f t="shared" si="570"/>
        <v>30</v>
      </c>
      <c r="CL509" s="230">
        <f t="shared" si="592"/>
        <v>43</v>
      </c>
      <c r="CM509" s="235">
        <f t="shared" si="593"/>
        <v>3.5018750000000001</v>
      </c>
      <c r="CN509" s="235" cm="1">
        <f t="array" ref="CN509">$BI509 * IF($AH509&lt;=2,
SUMPRODUCT(INDEX($AR$72:$AT$76,,$AI509), INDEX($AU$72:$BA$76,,$AH509), 1 / ($BB$72:$BB$76*CM509 + (1-$BB$72:$BB$76)*CI509), N($AQ$72:$AQ$76&gt;$AO509)),
SUMPRODUCT(INDEX($AR$67:$AT$76,,$AI509), INDEX($AU$67:$BA$76,,$AH509), 1 / ($BC$67:$BC$76*CM509 + (1-$BC$67:$BC$76)*CI509), N($AQ$67:$AQ$76&gt;$AO509))
) / 1000</f>
        <v>0</v>
      </c>
      <c r="CO509" s="232">
        <f t="shared" si="571"/>
        <v>25</v>
      </c>
      <c r="CP509" s="230">
        <f t="shared" si="594"/>
        <v>38</v>
      </c>
      <c r="CQ509" s="235">
        <f t="shared" si="595"/>
        <v>4.0666935483870965</v>
      </c>
      <c r="CR509" s="235" cm="1">
        <f t="array" ref="CR509">$BI509 * IF($AH509&lt;=2,
SUMPRODUCT(INDEX($AR$67:$AT$71,,$AI509), INDEX($AU$67:$BA$71,,$AH509), 1 / ($BB$67:$BB$71*CQ509 + (1-$BB$67:$BB$71)*CM509), N($AQ$67:$AQ$71&gt;$AO509)),
SUMPRODUCT(INDEX($AR$57:$AT$66,,$AI509), INDEX($AU$57:$BA$66,,$AH509), 1 / ($BC$57:$BC$66*CQ509 + (1-$BC$57:$BC$66)*CM509), N($AQ$57:$AQ$66&gt;$AO509))
) / 1000</f>
        <v>0</v>
      </c>
      <c r="CS509" s="232">
        <f t="shared" si="572"/>
        <v>20</v>
      </c>
      <c r="CT509" s="230">
        <f t="shared" si="596"/>
        <v>33</v>
      </c>
      <c r="CU509" s="235">
        <f t="shared" si="597"/>
        <v>4.8487499999999999</v>
      </c>
      <c r="CV509" s="235" cm="1">
        <f t="array" ref="CV509">$BI509 * IF($AH509&lt;=2,
SUMPRODUCT(INDEX($AR$62:$AT$66,,$AI509), INDEX($AU$62:$BA$66,,$AH509), 1 / ($BB$62:$BB$66*CU509 + (1-$BB$62:$BB$66)*CQ509), N($AQ$62:$AQ$66&gt;$AO509)),
SUMPRODUCT(INDEX($AR$47:$AT$56,,$AI509), INDEX($AU$47:$BA$56,,$AH509), 1 / ($BC$47:$BC$56*CU509 + (1-$BC$47:$BC$56)*CQ509), N($AQ$47:$AQ$56&gt;$AO509))
) / 1000</f>
        <v>0</v>
      </c>
      <c r="CW509" s="235" cm="1">
        <f t="array" ref="CW509">$BI509 * IF($AH509&lt;=2,
SUMPRODUCT(INDEX($AR$23:$AT$61,,$AI509), INDEX($AU$23:$BA$61,,$AH509), 1 / ($BB$23:$BB$61*CU509), N($AQ$23:$AQ$61&gt;$AO509)),
SUMPRODUCT(INDEX($AR$23:$AT$46,,$AI509), INDEX($AU$23:$BA$46,,$AH509), 1 / ($BC$23:$BC$46*CU509), N($AQ$23:$AQ$46&gt;$AO509))
) / 1000</f>
        <v>0</v>
      </c>
      <c r="CX509" s="230">
        <f t="shared" si="598"/>
        <v>0</v>
      </c>
      <c r="CY509" s="238"/>
    </row>
    <row r="510" spans="1:103" s="76" customFormat="1" ht="14.25" customHeight="1" x14ac:dyDescent="0.2">
      <c r="A510" s="231" t="b">
        <f t="shared" si="564"/>
        <v>0</v>
      </c>
      <c r="B510" s="245">
        <v>488</v>
      </c>
      <c r="C510" s="258"/>
      <c r="D510" s="258"/>
      <c r="E510" s="246"/>
      <c r="F510" s="247" t="str">
        <f>IF(ISBLANK(E510), "", VLOOKUP(E510, Z!$A$2:$C$4127, 3, FALSE))</f>
        <v/>
      </c>
      <c r="G510" s="248"/>
      <c r="H510" s="248"/>
      <c r="I510" s="249"/>
      <c r="J510" s="250"/>
      <c r="K510" s="259"/>
      <c r="L510" s="260"/>
      <c r="M510" s="252" t="str" cm="1">
        <f t="array" ref="M510">INDEX(Trad, 53, $A$20)</f>
        <v>Verschmutzt</v>
      </c>
      <c r="N510" s="253"/>
      <c r="O510" s="253"/>
      <c r="P510" s="254"/>
      <c r="Q510" s="251"/>
      <c r="R510" s="251"/>
      <c r="S510" s="264">
        <f t="shared" si="573"/>
        <v>0</v>
      </c>
      <c r="T510" s="252" t="str" cm="1">
        <f t="array" ref="T510">INDEX(Trad, 52, $A$20)</f>
        <v>Sauber</v>
      </c>
      <c r="U510" s="253"/>
      <c r="V510" s="253"/>
      <c r="W510" s="254"/>
      <c r="X510" s="251"/>
      <c r="Y510" s="251"/>
      <c r="Z510" s="264">
        <f t="shared" si="574"/>
        <v>0</v>
      </c>
      <c r="AA510" s="261"/>
      <c r="AB510" s="258"/>
      <c r="AC510" s="246"/>
      <c r="AD510" s="247" t="str">
        <f>IF(ISBLANK(AC510), "", VLOOKUP(AC510, Z!$A$2:$C$4127, 3, FALSE))</f>
        <v/>
      </c>
      <c r="AE510" s="262"/>
      <c r="AF510" s="263">
        <f t="shared" si="575"/>
        <v>0</v>
      </c>
      <c r="AG510" s="238"/>
      <c r="AH510" s="229">
        <f t="shared" si="599"/>
        <v>1</v>
      </c>
      <c r="AI510" s="229">
        <f t="shared" si="600"/>
        <v>1</v>
      </c>
      <c r="AJ510" s="229">
        <f t="shared" si="601"/>
        <v>0</v>
      </c>
      <c r="AK510" s="229">
        <v>0</v>
      </c>
      <c r="AL510" s="229">
        <v>0</v>
      </c>
      <c r="AM510" s="229">
        <v>1</v>
      </c>
      <c r="AN510" s="229">
        <v>0</v>
      </c>
      <c r="AO510" s="229">
        <f t="shared" si="576"/>
        <v>-100</v>
      </c>
      <c r="AP510" s="238"/>
      <c r="AQ510" s="255"/>
      <c r="AR510" s="255"/>
      <c r="AS510" s="256"/>
      <c r="AT510" s="256"/>
      <c r="AU510" s="256"/>
      <c r="AV510" s="256"/>
      <c r="AW510" s="256"/>
      <c r="AX510" s="256"/>
      <c r="AY510" s="256"/>
      <c r="AZ510" s="256"/>
      <c r="BA510" s="256"/>
      <c r="BB510" s="256"/>
      <c r="BC510" s="256"/>
      <c r="BD510" s="238"/>
      <c r="BE510" s="229" cm="1">
        <f t="array" ref="BE510">IF(ISBLANK(R510), INDEX(Use, $AH510, 4) - AM510*INDEX(Use, $AH510, 6), R510)</f>
        <v>5</v>
      </c>
      <c r="BF510" s="229">
        <f t="shared" si="577"/>
        <v>30</v>
      </c>
      <c r="BG510" s="229">
        <f t="shared" si="565"/>
        <v>13</v>
      </c>
      <c r="BH510" s="229">
        <f t="shared" si="566"/>
        <v>0</v>
      </c>
      <c r="BI510" s="234" cm="1">
        <f t="array" ref="BI510">K510/IF($L510&gt;0, INDEX($AU$23:$BA$77, $L510+20, $AH510), 1)</f>
        <v>0</v>
      </c>
      <c r="BJ510" s="230">
        <f t="shared" si="578"/>
        <v>0</v>
      </c>
      <c r="BK510" s="229">
        <v>35</v>
      </c>
      <c r="BL510" s="230">
        <f t="shared" si="579"/>
        <v>48</v>
      </c>
      <c r="BM510" s="235">
        <f t="shared" si="580"/>
        <v>2.9108720930232557</v>
      </c>
      <c r="BN510" s="235" cm="1">
        <f t="array" ref="BN510">$BI510 * SUMPRODUCT(INDEX($AR$77:$AT$82,,$AI510),INDEX($AU$77:$BA$82,,$AH510), N($AQ$77:$AQ$82&gt;$AO510)) / BM510 / 1000</f>
        <v>0</v>
      </c>
      <c r="BO510" s="232">
        <f t="shared" si="567"/>
        <v>30</v>
      </c>
      <c r="BP510" s="230">
        <f t="shared" si="581"/>
        <v>43</v>
      </c>
      <c r="BQ510" s="235">
        <f t="shared" si="582"/>
        <v>3.2938815789473681</v>
      </c>
      <c r="BR510" s="235" cm="1">
        <f t="array" ref="BR510">$BI510 * IF($AH510&lt;=2,
SUMPRODUCT(INDEX($AR$72:$AT$76,,$AI510), INDEX($AU$72:$BA$76,,$AH510), 1 / ($BB$72:$BB$76*BQ510 + (1-$BB$72:$BB$76)*BM510), N($AQ$72:$AQ$76&gt;$AO510)),
SUMPRODUCT(INDEX($AR$67:$AT$76,,$AI510), INDEX($AU$67:$BA$76,,$AH510), 1 / ($BC$67:$BC$76*BQ510 + (1-$BC$67:$BC$76)*BM510), N($AQ$67:$AQ$76&gt;$AO510))
) / 1000</f>
        <v>0</v>
      </c>
      <c r="BS510" s="232">
        <f t="shared" si="568"/>
        <v>25</v>
      </c>
      <c r="BT510" s="230">
        <f t="shared" si="583"/>
        <v>38</v>
      </c>
      <c r="BU510" s="235">
        <f t="shared" si="584"/>
        <v>3.792954545454545</v>
      </c>
      <c r="BV510" s="235" cm="1">
        <f t="array" ref="BV510">$BI510 * IF($AH510&lt;=2,
SUMPRODUCT(INDEX($AR$67:$AT$71,,$AI510), INDEX($AU$67:$BA$71,,$AH510), 1 / ($BB$67:$BB$71*BU510 + (1-$BB$67:$BB$71)*BQ510), N($AQ$67:$AQ$71&gt;$AO510)),
SUMPRODUCT(INDEX($AR$57:$AT$66,,$AI510), INDEX($AU$57:$BA$66,,$AH510), 1 / ($BC$57:$BC$66*BU510 + (1-$BC$57:$BC$66)*BQ510), N($AQ$57:$AQ$66&gt;$AO510))
) / 1000</f>
        <v>0</v>
      </c>
      <c r="BW510" s="232">
        <f t="shared" si="569"/>
        <v>20</v>
      </c>
      <c r="BX510" s="230">
        <f t="shared" si="585"/>
        <v>33</v>
      </c>
      <c r="BY510" s="235">
        <f t="shared" si="586"/>
        <v>4.4702678571428569</v>
      </c>
      <c r="BZ510" s="235" cm="1">
        <f t="array" ref="BZ510">$BI510 * IF($AH510&lt;=2,
SUMPRODUCT(INDEX($AR$62:$AT$66,,$AI510), INDEX($AU$62:$BA$66,,$AH510), 1 / ($BB$62:$BB$66*BY510 + (1-$BB$62:$BB$66)*BU510), N($AQ$62:$AQ$66&gt;$AO510)),
SUMPRODUCT(INDEX($AR$47:$AT$56,,$AI510), INDEX($AU$47:$BA$56,,$AH510), 1 / ($BC$47:$BC$56*BY510 + (1-$BC$47:$BC$56)*BU510), N($AQ$47:$AQ$56&gt;$AO510))
) / 1000</f>
        <v>0</v>
      </c>
      <c r="CA510" s="235" cm="1">
        <f t="array" ref="CA510">$BI510 * IF($AH510&lt;=2,
SUMPRODUCT(INDEX($AR$23:$AT$61,,$AI510), INDEX($AU$23:$BA$61,,$AH510), 1 / ($BB$23:$BB$61*BY510), N($AQ$23:$AQ$61&gt;$AO510)),
SUMPRODUCT(INDEX($AR$23:$AT$46,,$AI510), INDEX($AU$23:$BA$46,,$AH510), 1 / ($BC$23:$BC$46*BY510), N($AQ$23:$AQ$46&gt;$AO510))
) / 1000</f>
        <v>0</v>
      </c>
      <c r="CB510" s="230">
        <f t="shared" si="587"/>
        <v>0</v>
      </c>
      <c r="CC510" s="238"/>
      <c r="CD510" s="229" cm="1">
        <f t="array" ref="CD510">IF(ISBLANK(Y510), INDEX(Use, $AH510, 4) - AN510*INDEX(Use, $AH510, 6) - (Q510-X510), Y510)</f>
        <v>7</v>
      </c>
      <c r="CE510" s="229">
        <f t="shared" si="588"/>
        <v>32</v>
      </c>
      <c r="CF510" s="230">
        <f t="shared" si="589"/>
        <v>0</v>
      </c>
      <c r="CG510" s="229">
        <v>35</v>
      </c>
      <c r="CH510" s="230">
        <f t="shared" si="590"/>
        <v>48</v>
      </c>
      <c r="CI510" s="235">
        <f t="shared" si="591"/>
        <v>3.0748170731707316</v>
      </c>
      <c r="CJ510" s="235" cm="1">
        <f t="array" ref="CJ510">$BI510 * SUMPRODUCT(INDEX($AR$77:$AT$82,,$AI510),INDEX($AU$77:$BA$82,,$AH510), N($AQ$77:$AQ$82&gt;$AO510)) / CI510 / 1000</f>
        <v>0</v>
      </c>
      <c r="CK510" s="232">
        <f t="shared" si="570"/>
        <v>30</v>
      </c>
      <c r="CL510" s="230">
        <f t="shared" si="592"/>
        <v>43</v>
      </c>
      <c r="CM510" s="235">
        <f t="shared" si="593"/>
        <v>3.5018750000000001</v>
      </c>
      <c r="CN510" s="235" cm="1">
        <f t="array" ref="CN510">$BI510 * IF($AH510&lt;=2,
SUMPRODUCT(INDEX($AR$72:$AT$76,,$AI510), INDEX($AU$72:$BA$76,,$AH510), 1 / ($BB$72:$BB$76*CM510 + (1-$BB$72:$BB$76)*CI510), N($AQ$72:$AQ$76&gt;$AO510)),
SUMPRODUCT(INDEX($AR$67:$AT$76,,$AI510), INDEX($AU$67:$BA$76,,$AH510), 1 / ($BC$67:$BC$76*CM510 + (1-$BC$67:$BC$76)*CI510), N($AQ$67:$AQ$76&gt;$AO510))
) / 1000</f>
        <v>0</v>
      </c>
      <c r="CO510" s="232">
        <f t="shared" si="571"/>
        <v>25</v>
      </c>
      <c r="CP510" s="230">
        <f t="shared" si="594"/>
        <v>38</v>
      </c>
      <c r="CQ510" s="235">
        <f t="shared" si="595"/>
        <v>4.0666935483870965</v>
      </c>
      <c r="CR510" s="235" cm="1">
        <f t="array" ref="CR510">$BI510 * IF($AH510&lt;=2,
SUMPRODUCT(INDEX($AR$67:$AT$71,,$AI510), INDEX($AU$67:$BA$71,,$AH510), 1 / ($BB$67:$BB$71*CQ510 + (1-$BB$67:$BB$71)*CM510), N($AQ$67:$AQ$71&gt;$AO510)),
SUMPRODUCT(INDEX($AR$57:$AT$66,,$AI510), INDEX($AU$57:$BA$66,,$AH510), 1 / ($BC$57:$BC$66*CQ510 + (1-$BC$57:$BC$66)*CM510), N($AQ$57:$AQ$66&gt;$AO510))
) / 1000</f>
        <v>0</v>
      </c>
      <c r="CS510" s="232">
        <f t="shared" si="572"/>
        <v>20</v>
      </c>
      <c r="CT510" s="230">
        <f t="shared" si="596"/>
        <v>33</v>
      </c>
      <c r="CU510" s="235">
        <f t="shared" si="597"/>
        <v>4.8487499999999999</v>
      </c>
      <c r="CV510" s="235" cm="1">
        <f t="array" ref="CV510">$BI510 * IF($AH510&lt;=2,
SUMPRODUCT(INDEX($AR$62:$AT$66,,$AI510), INDEX($AU$62:$BA$66,,$AH510), 1 / ($BB$62:$BB$66*CU510 + (1-$BB$62:$BB$66)*CQ510), N($AQ$62:$AQ$66&gt;$AO510)),
SUMPRODUCT(INDEX($AR$47:$AT$56,,$AI510), INDEX($AU$47:$BA$56,,$AH510), 1 / ($BC$47:$BC$56*CU510 + (1-$BC$47:$BC$56)*CQ510), N($AQ$47:$AQ$56&gt;$AO510))
) / 1000</f>
        <v>0</v>
      </c>
      <c r="CW510" s="235" cm="1">
        <f t="array" ref="CW510">$BI510 * IF($AH510&lt;=2,
SUMPRODUCT(INDEX($AR$23:$AT$61,,$AI510), INDEX($AU$23:$BA$61,,$AH510), 1 / ($BB$23:$BB$61*CU510), N($AQ$23:$AQ$61&gt;$AO510)),
SUMPRODUCT(INDEX($AR$23:$AT$46,,$AI510), INDEX($AU$23:$BA$46,,$AH510), 1 / ($BC$23:$BC$46*CU510), N($AQ$23:$AQ$46&gt;$AO510))
) / 1000</f>
        <v>0</v>
      </c>
      <c r="CX510" s="230">
        <f t="shared" si="598"/>
        <v>0</v>
      </c>
      <c r="CY510" s="238"/>
    </row>
    <row r="511" spans="1:103" s="76" customFormat="1" ht="14.25" customHeight="1" x14ac:dyDescent="0.2">
      <c r="A511" s="231" t="b">
        <f t="shared" si="564"/>
        <v>0</v>
      </c>
      <c r="B511" s="245">
        <v>489</v>
      </c>
      <c r="C511" s="258"/>
      <c r="D511" s="258"/>
      <c r="E511" s="246"/>
      <c r="F511" s="247" t="str">
        <f>IF(ISBLANK(E511), "", VLOOKUP(E511, Z!$A$2:$C$4127, 3, FALSE))</f>
        <v/>
      </c>
      <c r="G511" s="248"/>
      <c r="H511" s="248"/>
      <c r="I511" s="249"/>
      <c r="J511" s="250"/>
      <c r="K511" s="259"/>
      <c r="L511" s="260"/>
      <c r="M511" s="252" t="str" cm="1">
        <f t="array" ref="M511">INDEX(Trad, 53, $A$20)</f>
        <v>Verschmutzt</v>
      </c>
      <c r="N511" s="253"/>
      <c r="O511" s="253"/>
      <c r="P511" s="254"/>
      <c r="Q511" s="251"/>
      <c r="R511" s="251"/>
      <c r="S511" s="264">
        <f t="shared" si="573"/>
        <v>0</v>
      </c>
      <c r="T511" s="252" t="str" cm="1">
        <f t="array" ref="T511">INDEX(Trad, 52, $A$20)</f>
        <v>Sauber</v>
      </c>
      <c r="U511" s="253"/>
      <c r="V511" s="253"/>
      <c r="W511" s="254"/>
      <c r="X511" s="251"/>
      <c r="Y511" s="251"/>
      <c r="Z511" s="264">
        <f t="shared" si="574"/>
        <v>0</v>
      </c>
      <c r="AA511" s="261"/>
      <c r="AB511" s="258"/>
      <c r="AC511" s="246"/>
      <c r="AD511" s="247" t="str">
        <f>IF(ISBLANK(AC511), "", VLOOKUP(AC511, Z!$A$2:$C$4127, 3, FALSE))</f>
        <v/>
      </c>
      <c r="AE511" s="262"/>
      <c r="AF511" s="263">
        <f t="shared" si="575"/>
        <v>0</v>
      </c>
      <c r="AG511" s="238"/>
      <c r="AH511" s="229">
        <f t="shared" si="599"/>
        <v>1</v>
      </c>
      <c r="AI511" s="229">
        <f t="shared" si="600"/>
        <v>1</v>
      </c>
      <c r="AJ511" s="229">
        <f t="shared" si="601"/>
        <v>0</v>
      </c>
      <c r="AK511" s="229">
        <v>0</v>
      </c>
      <c r="AL511" s="229">
        <v>0</v>
      </c>
      <c r="AM511" s="229">
        <v>1</v>
      </c>
      <c r="AN511" s="229">
        <v>0</v>
      </c>
      <c r="AO511" s="229">
        <f t="shared" si="576"/>
        <v>-100</v>
      </c>
      <c r="AP511" s="238"/>
      <c r="AQ511" s="255"/>
      <c r="AR511" s="255"/>
      <c r="AS511" s="256"/>
      <c r="AT511" s="256"/>
      <c r="AU511" s="256"/>
      <c r="AV511" s="256"/>
      <c r="AW511" s="256"/>
      <c r="AX511" s="256"/>
      <c r="AY511" s="256"/>
      <c r="AZ511" s="256"/>
      <c r="BA511" s="256"/>
      <c r="BB511" s="256"/>
      <c r="BC511" s="256"/>
      <c r="BD511" s="238"/>
      <c r="BE511" s="229" cm="1">
        <f t="array" ref="BE511">IF(ISBLANK(R511), INDEX(Use, $AH511, 4) - AM511*INDEX(Use, $AH511, 6), R511)</f>
        <v>5</v>
      </c>
      <c r="BF511" s="229">
        <f t="shared" si="577"/>
        <v>30</v>
      </c>
      <c r="BG511" s="229">
        <f t="shared" si="565"/>
        <v>13</v>
      </c>
      <c r="BH511" s="229">
        <f t="shared" si="566"/>
        <v>0</v>
      </c>
      <c r="BI511" s="234" cm="1">
        <f t="array" ref="BI511">K511/IF($L511&gt;0, INDEX($AU$23:$BA$77, $L511+20, $AH511), 1)</f>
        <v>0</v>
      </c>
      <c r="BJ511" s="230">
        <f t="shared" si="578"/>
        <v>0</v>
      </c>
      <c r="BK511" s="229">
        <v>35</v>
      </c>
      <c r="BL511" s="230">
        <f t="shared" si="579"/>
        <v>48</v>
      </c>
      <c r="BM511" s="235">
        <f t="shared" si="580"/>
        <v>2.9108720930232557</v>
      </c>
      <c r="BN511" s="235" cm="1">
        <f t="array" ref="BN511">$BI511 * SUMPRODUCT(INDEX($AR$77:$AT$82,,$AI511),INDEX($AU$77:$BA$82,,$AH511), N($AQ$77:$AQ$82&gt;$AO511)) / BM511 / 1000</f>
        <v>0</v>
      </c>
      <c r="BO511" s="232">
        <f t="shared" si="567"/>
        <v>30</v>
      </c>
      <c r="BP511" s="230">
        <f t="shared" si="581"/>
        <v>43</v>
      </c>
      <c r="BQ511" s="235">
        <f t="shared" si="582"/>
        <v>3.2938815789473681</v>
      </c>
      <c r="BR511" s="235" cm="1">
        <f t="array" ref="BR511">$BI511 * IF($AH511&lt;=2,
SUMPRODUCT(INDEX($AR$72:$AT$76,,$AI511), INDEX($AU$72:$BA$76,,$AH511), 1 / ($BB$72:$BB$76*BQ511 + (1-$BB$72:$BB$76)*BM511), N($AQ$72:$AQ$76&gt;$AO511)),
SUMPRODUCT(INDEX($AR$67:$AT$76,,$AI511), INDEX($AU$67:$BA$76,,$AH511), 1 / ($BC$67:$BC$76*BQ511 + (1-$BC$67:$BC$76)*BM511), N($AQ$67:$AQ$76&gt;$AO511))
) / 1000</f>
        <v>0</v>
      </c>
      <c r="BS511" s="232">
        <f t="shared" si="568"/>
        <v>25</v>
      </c>
      <c r="BT511" s="230">
        <f t="shared" si="583"/>
        <v>38</v>
      </c>
      <c r="BU511" s="235">
        <f t="shared" si="584"/>
        <v>3.792954545454545</v>
      </c>
      <c r="BV511" s="235" cm="1">
        <f t="array" ref="BV511">$BI511 * IF($AH511&lt;=2,
SUMPRODUCT(INDEX($AR$67:$AT$71,,$AI511), INDEX($AU$67:$BA$71,,$AH511), 1 / ($BB$67:$BB$71*BU511 + (1-$BB$67:$BB$71)*BQ511), N($AQ$67:$AQ$71&gt;$AO511)),
SUMPRODUCT(INDEX($AR$57:$AT$66,,$AI511), INDEX($AU$57:$BA$66,,$AH511), 1 / ($BC$57:$BC$66*BU511 + (1-$BC$57:$BC$66)*BQ511), N($AQ$57:$AQ$66&gt;$AO511))
) / 1000</f>
        <v>0</v>
      </c>
      <c r="BW511" s="232">
        <f t="shared" si="569"/>
        <v>20</v>
      </c>
      <c r="BX511" s="230">
        <f t="shared" si="585"/>
        <v>33</v>
      </c>
      <c r="BY511" s="235">
        <f t="shared" si="586"/>
        <v>4.4702678571428569</v>
      </c>
      <c r="BZ511" s="235" cm="1">
        <f t="array" ref="BZ511">$BI511 * IF($AH511&lt;=2,
SUMPRODUCT(INDEX($AR$62:$AT$66,,$AI511), INDEX($AU$62:$BA$66,,$AH511), 1 / ($BB$62:$BB$66*BY511 + (1-$BB$62:$BB$66)*BU511), N($AQ$62:$AQ$66&gt;$AO511)),
SUMPRODUCT(INDEX($AR$47:$AT$56,,$AI511), INDEX($AU$47:$BA$56,,$AH511), 1 / ($BC$47:$BC$56*BY511 + (1-$BC$47:$BC$56)*BU511), N($AQ$47:$AQ$56&gt;$AO511))
) / 1000</f>
        <v>0</v>
      </c>
      <c r="CA511" s="235" cm="1">
        <f t="array" ref="CA511">$BI511 * IF($AH511&lt;=2,
SUMPRODUCT(INDEX($AR$23:$AT$61,,$AI511), INDEX($AU$23:$BA$61,,$AH511), 1 / ($BB$23:$BB$61*BY511), N($AQ$23:$AQ$61&gt;$AO511)),
SUMPRODUCT(INDEX($AR$23:$AT$46,,$AI511), INDEX($AU$23:$BA$46,,$AH511), 1 / ($BC$23:$BC$46*BY511), N($AQ$23:$AQ$46&gt;$AO511))
) / 1000</f>
        <v>0</v>
      </c>
      <c r="CB511" s="230">
        <f t="shared" si="587"/>
        <v>0</v>
      </c>
      <c r="CC511" s="238"/>
      <c r="CD511" s="229" cm="1">
        <f t="array" ref="CD511">IF(ISBLANK(Y511), INDEX(Use, $AH511, 4) - AN511*INDEX(Use, $AH511, 6) - (Q511-X511), Y511)</f>
        <v>7</v>
      </c>
      <c r="CE511" s="229">
        <f t="shared" si="588"/>
        <v>32</v>
      </c>
      <c r="CF511" s="230">
        <f t="shared" si="589"/>
        <v>0</v>
      </c>
      <c r="CG511" s="229">
        <v>35</v>
      </c>
      <c r="CH511" s="230">
        <f t="shared" si="590"/>
        <v>48</v>
      </c>
      <c r="CI511" s="235">
        <f t="shared" si="591"/>
        <v>3.0748170731707316</v>
      </c>
      <c r="CJ511" s="235" cm="1">
        <f t="array" ref="CJ511">$BI511 * SUMPRODUCT(INDEX($AR$77:$AT$82,,$AI511),INDEX($AU$77:$BA$82,,$AH511), N($AQ$77:$AQ$82&gt;$AO511)) / CI511 / 1000</f>
        <v>0</v>
      </c>
      <c r="CK511" s="232">
        <f t="shared" si="570"/>
        <v>30</v>
      </c>
      <c r="CL511" s="230">
        <f t="shared" si="592"/>
        <v>43</v>
      </c>
      <c r="CM511" s="235">
        <f t="shared" si="593"/>
        <v>3.5018750000000001</v>
      </c>
      <c r="CN511" s="235" cm="1">
        <f t="array" ref="CN511">$BI511 * IF($AH511&lt;=2,
SUMPRODUCT(INDEX($AR$72:$AT$76,,$AI511), INDEX($AU$72:$BA$76,,$AH511), 1 / ($BB$72:$BB$76*CM511 + (1-$BB$72:$BB$76)*CI511), N($AQ$72:$AQ$76&gt;$AO511)),
SUMPRODUCT(INDEX($AR$67:$AT$76,,$AI511), INDEX($AU$67:$BA$76,,$AH511), 1 / ($BC$67:$BC$76*CM511 + (1-$BC$67:$BC$76)*CI511), N($AQ$67:$AQ$76&gt;$AO511))
) / 1000</f>
        <v>0</v>
      </c>
      <c r="CO511" s="232">
        <f t="shared" si="571"/>
        <v>25</v>
      </c>
      <c r="CP511" s="230">
        <f t="shared" si="594"/>
        <v>38</v>
      </c>
      <c r="CQ511" s="235">
        <f t="shared" si="595"/>
        <v>4.0666935483870965</v>
      </c>
      <c r="CR511" s="235" cm="1">
        <f t="array" ref="CR511">$BI511 * IF($AH511&lt;=2,
SUMPRODUCT(INDEX($AR$67:$AT$71,,$AI511), INDEX($AU$67:$BA$71,,$AH511), 1 / ($BB$67:$BB$71*CQ511 + (1-$BB$67:$BB$71)*CM511), N($AQ$67:$AQ$71&gt;$AO511)),
SUMPRODUCT(INDEX($AR$57:$AT$66,,$AI511), INDEX($AU$57:$BA$66,,$AH511), 1 / ($BC$57:$BC$66*CQ511 + (1-$BC$57:$BC$66)*CM511), N($AQ$57:$AQ$66&gt;$AO511))
) / 1000</f>
        <v>0</v>
      </c>
      <c r="CS511" s="232">
        <f t="shared" si="572"/>
        <v>20</v>
      </c>
      <c r="CT511" s="230">
        <f t="shared" si="596"/>
        <v>33</v>
      </c>
      <c r="CU511" s="235">
        <f t="shared" si="597"/>
        <v>4.8487499999999999</v>
      </c>
      <c r="CV511" s="235" cm="1">
        <f t="array" ref="CV511">$BI511 * IF($AH511&lt;=2,
SUMPRODUCT(INDEX($AR$62:$AT$66,,$AI511), INDEX($AU$62:$BA$66,,$AH511), 1 / ($BB$62:$BB$66*CU511 + (1-$BB$62:$BB$66)*CQ511), N($AQ$62:$AQ$66&gt;$AO511)),
SUMPRODUCT(INDEX($AR$47:$AT$56,,$AI511), INDEX($AU$47:$BA$56,,$AH511), 1 / ($BC$47:$BC$56*CU511 + (1-$BC$47:$BC$56)*CQ511), N($AQ$47:$AQ$56&gt;$AO511))
) / 1000</f>
        <v>0</v>
      </c>
      <c r="CW511" s="235" cm="1">
        <f t="array" ref="CW511">$BI511 * IF($AH511&lt;=2,
SUMPRODUCT(INDEX($AR$23:$AT$61,,$AI511), INDEX($AU$23:$BA$61,,$AH511), 1 / ($BB$23:$BB$61*CU511), N($AQ$23:$AQ$61&gt;$AO511)),
SUMPRODUCT(INDEX($AR$23:$AT$46,,$AI511), INDEX($AU$23:$BA$46,,$AH511), 1 / ($BC$23:$BC$46*CU511), N($AQ$23:$AQ$46&gt;$AO511))
) / 1000</f>
        <v>0</v>
      </c>
      <c r="CX511" s="230">
        <f t="shared" si="598"/>
        <v>0</v>
      </c>
      <c r="CY511" s="238"/>
    </row>
    <row r="512" spans="1:103" s="76" customFormat="1" ht="14.25" customHeight="1" x14ac:dyDescent="0.2">
      <c r="A512" s="231" t="b">
        <f t="shared" si="564"/>
        <v>0</v>
      </c>
      <c r="B512" s="245">
        <v>490</v>
      </c>
      <c r="C512" s="258"/>
      <c r="D512" s="258"/>
      <c r="E512" s="246"/>
      <c r="F512" s="247" t="str">
        <f>IF(ISBLANK(E512), "", VLOOKUP(E512, Z!$A$2:$C$4127, 3, FALSE))</f>
        <v/>
      </c>
      <c r="G512" s="248"/>
      <c r="H512" s="248"/>
      <c r="I512" s="249"/>
      <c r="J512" s="250"/>
      <c r="K512" s="259"/>
      <c r="L512" s="260"/>
      <c r="M512" s="252" t="str" cm="1">
        <f t="array" ref="M512">INDEX(Trad, 53, $A$20)</f>
        <v>Verschmutzt</v>
      </c>
      <c r="N512" s="253"/>
      <c r="O512" s="253"/>
      <c r="P512" s="254"/>
      <c r="Q512" s="251"/>
      <c r="R512" s="251"/>
      <c r="S512" s="264">
        <f t="shared" si="573"/>
        <v>0</v>
      </c>
      <c r="T512" s="252" t="str" cm="1">
        <f t="array" ref="T512">INDEX(Trad, 52, $A$20)</f>
        <v>Sauber</v>
      </c>
      <c r="U512" s="253"/>
      <c r="V512" s="253"/>
      <c r="W512" s="254"/>
      <c r="X512" s="251"/>
      <c r="Y512" s="251"/>
      <c r="Z512" s="264">
        <f t="shared" si="574"/>
        <v>0</v>
      </c>
      <c r="AA512" s="261"/>
      <c r="AB512" s="258"/>
      <c r="AC512" s="246"/>
      <c r="AD512" s="247" t="str">
        <f>IF(ISBLANK(AC512), "", VLOOKUP(AC512, Z!$A$2:$C$4127, 3, FALSE))</f>
        <v/>
      </c>
      <c r="AE512" s="262"/>
      <c r="AF512" s="263">
        <f t="shared" si="575"/>
        <v>0</v>
      </c>
      <c r="AG512" s="238"/>
      <c r="AH512" s="229">
        <f t="shared" si="599"/>
        <v>1</v>
      </c>
      <c r="AI512" s="229">
        <f t="shared" si="600"/>
        <v>1</v>
      </c>
      <c r="AJ512" s="229">
        <f t="shared" si="601"/>
        <v>0</v>
      </c>
      <c r="AK512" s="229">
        <v>0</v>
      </c>
      <c r="AL512" s="229">
        <v>0</v>
      </c>
      <c r="AM512" s="229">
        <v>1</v>
      </c>
      <c r="AN512" s="229">
        <v>0</v>
      </c>
      <c r="AO512" s="229">
        <f t="shared" si="576"/>
        <v>-100</v>
      </c>
      <c r="AP512" s="238"/>
      <c r="AQ512" s="255"/>
      <c r="AR512" s="255"/>
      <c r="AS512" s="256"/>
      <c r="AT512" s="256"/>
      <c r="AU512" s="256"/>
      <c r="AV512" s="256"/>
      <c r="AW512" s="256"/>
      <c r="AX512" s="256"/>
      <c r="AY512" s="256"/>
      <c r="AZ512" s="256"/>
      <c r="BA512" s="256"/>
      <c r="BB512" s="256"/>
      <c r="BC512" s="256"/>
      <c r="BD512" s="238"/>
      <c r="BE512" s="229" cm="1">
        <f t="array" ref="BE512">IF(ISBLANK(R512), INDEX(Use, $AH512, 4) - AM512*INDEX(Use, $AH512, 6), R512)</f>
        <v>5</v>
      </c>
      <c r="BF512" s="229">
        <f t="shared" si="577"/>
        <v>30</v>
      </c>
      <c r="BG512" s="229">
        <f t="shared" si="565"/>
        <v>13</v>
      </c>
      <c r="BH512" s="229">
        <f t="shared" si="566"/>
        <v>0</v>
      </c>
      <c r="BI512" s="234" cm="1">
        <f t="array" ref="BI512">K512/IF($L512&gt;0, INDEX($AU$23:$BA$77, $L512+20, $AH512), 1)</f>
        <v>0</v>
      </c>
      <c r="BJ512" s="230">
        <f t="shared" si="578"/>
        <v>0</v>
      </c>
      <c r="BK512" s="229">
        <v>35</v>
      </c>
      <c r="BL512" s="230">
        <f t="shared" si="579"/>
        <v>48</v>
      </c>
      <c r="BM512" s="235">
        <f t="shared" si="580"/>
        <v>2.9108720930232557</v>
      </c>
      <c r="BN512" s="235" cm="1">
        <f t="array" ref="BN512">$BI512 * SUMPRODUCT(INDEX($AR$77:$AT$82,,$AI512),INDEX($AU$77:$BA$82,,$AH512), N($AQ$77:$AQ$82&gt;$AO512)) / BM512 / 1000</f>
        <v>0</v>
      </c>
      <c r="BO512" s="232">
        <f t="shared" si="567"/>
        <v>30</v>
      </c>
      <c r="BP512" s="230">
        <f t="shared" si="581"/>
        <v>43</v>
      </c>
      <c r="BQ512" s="235">
        <f t="shared" si="582"/>
        <v>3.2938815789473681</v>
      </c>
      <c r="BR512" s="235" cm="1">
        <f t="array" ref="BR512">$BI512 * IF($AH512&lt;=2,
SUMPRODUCT(INDEX($AR$72:$AT$76,,$AI512), INDEX($AU$72:$BA$76,,$AH512), 1 / ($BB$72:$BB$76*BQ512 + (1-$BB$72:$BB$76)*BM512), N($AQ$72:$AQ$76&gt;$AO512)),
SUMPRODUCT(INDEX($AR$67:$AT$76,,$AI512), INDEX($AU$67:$BA$76,,$AH512), 1 / ($BC$67:$BC$76*BQ512 + (1-$BC$67:$BC$76)*BM512), N($AQ$67:$AQ$76&gt;$AO512))
) / 1000</f>
        <v>0</v>
      </c>
      <c r="BS512" s="232">
        <f t="shared" si="568"/>
        <v>25</v>
      </c>
      <c r="BT512" s="230">
        <f t="shared" si="583"/>
        <v>38</v>
      </c>
      <c r="BU512" s="235">
        <f t="shared" si="584"/>
        <v>3.792954545454545</v>
      </c>
      <c r="BV512" s="235" cm="1">
        <f t="array" ref="BV512">$BI512 * IF($AH512&lt;=2,
SUMPRODUCT(INDEX($AR$67:$AT$71,,$AI512), INDEX($AU$67:$BA$71,,$AH512), 1 / ($BB$67:$BB$71*BU512 + (1-$BB$67:$BB$71)*BQ512), N($AQ$67:$AQ$71&gt;$AO512)),
SUMPRODUCT(INDEX($AR$57:$AT$66,,$AI512), INDEX($AU$57:$BA$66,,$AH512), 1 / ($BC$57:$BC$66*BU512 + (1-$BC$57:$BC$66)*BQ512), N($AQ$57:$AQ$66&gt;$AO512))
) / 1000</f>
        <v>0</v>
      </c>
      <c r="BW512" s="232">
        <f t="shared" si="569"/>
        <v>20</v>
      </c>
      <c r="BX512" s="230">
        <f t="shared" si="585"/>
        <v>33</v>
      </c>
      <c r="BY512" s="235">
        <f t="shared" si="586"/>
        <v>4.4702678571428569</v>
      </c>
      <c r="BZ512" s="235" cm="1">
        <f t="array" ref="BZ512">$BI512 * IF($AH512&lt;=2,
SUMPRODUCT(INDEX($AR$62:$AT$66,,$AI512), INDEX($AU$62:$BA$66,,$AH512), 1 / ($BB$62:$BB$66*BY512 + (1-$BB$62:$BB$66)*BU512), N($AQ$62:$AQ$66&gt;$AO512)),
SUMPRODUCT(INDEX($AR$47:$AT$56,,$AI512), INDEX($AU$47:$BA$56,,$AH512), 1 / ($BC$47:$BC$56*BY512 + (1-$BC$47:$BC$56)*BU512), N($AQ$47:$AQ$56&gt;$AO512))
) / 1000</f>
        <v>0</v>
      </c>
      <c r="CA512" s="235" cm="1">
        <f t="array" ref="CA512">$BI512 * IF($AH512&lt;=2,
SUMPRODUCT(INDEX($AR$23:$AT$61,,$AI512), INDEX($AU$23:$BA$61,,$AH512), 1 / ($BB$23:$BB$61*BY512), N($AQ$23:$AQ$61&gt;$AO512)),
SUMPRODUCT(INDEX($AR$23:$AT$46,,$AI512), INDEX($AU$23:$BA$46,,$AH512), 1 / ($BC$23:$BC$46*BY512), N($AQ$23:$AQ$46&gt;$AO512))
) / 1000</f>
        <v>0</v>
      </c>
      <c r="CB512" s="230">
        <f t="shared" si="587"/>
        <v>0</v>
      </c>
      <c r="CC512" s="238"/>
      <c r="CD512" s="229" cm="1">
        <f t="array" ref="CD512">IF(ISBLANK(Y512), INDEX(Use, $AH512, 4) - AN512*INDEX(Use, $AH512, 6) - (Q512-X512), Y512)</f>
        <v>7</v>
      </c>
      <c r="CE512" s="229">
        <f t="shared" si="588"/>
        <v>32</v>
      </c>
      <c r="CF512" s="230">
        <f t="shared" si="589"/>
        <v>0</v>
      </c>
      <c r="CG512" s="229">
        <v>35</v>
      </c>
      <c r="CH512" s="230">
        <f t="shared" si="590"/>
        <v>48</v>
      </c>
      <c r="CI512" s="235">
        <f t="shared" si="591"/>
        <v>3.0748170731707316</v>
      </c>
      <c r="CJ512" s="235" cm="1">
        <f t="array" ref="CJ512">$BI512 * SUMPRODUCT(INDEX($AR$77:$AT$82,,$AI512),INDEX($AU$77:$BA$82,,$AH512), N($AQ$77:$AQ$82&gt;$AO512)) / CI512 / 1000</f>
        <v>0</v>
      </c>
      <c r="CK512" s="232">
        <f t="shared" si="570"/>
        <v>30</v>
      </c>
      <c r="CL512" s="230">
        <f t="shared" si="592"/>
        <v>43</v>
      </c>
      <c r="CM512" s="235">
        <f t="shared" si="593"/>
        <v>3.5018750000000001</v>
      </c>
      <c r="CN512" s="235" cm="1">
        <f t="array" ref="CN512">$BI512 * IF($AH512&lt;=2,
SUMPRODUCT(INDEX($AR$72:$AT$76,,$AI512), INDEX($AU$72:$BA$76,,$AH512), 1 / ($BB$72:$BB$76*CM512 + (1-$BB$72:$BB$76)*CI512), N($AQ$72:$AQ$76&gt;$AO512)),
SUMPRODUCT(INDEX($AR$67:$AT$76,,$AI512), INDEX($AU$67:$BA$76,,$AH512), 1 / ($BC$67:$BC$76*CM512 + (1-$BC$67:$BC$76)*CI512), N($AQ$67:$AQ$76&gt;$AO512))
) / 1000</f>
        <v>0</v>
      </c>
      <c r="CO512" s="232">
        <f t="shared" si="571"/>
        <v>25</v>
      </c>
      <c r="CP512" s="230">
        <f t="shared" si="594"/>
        <v>38</v>
      </c>
      <c r="CQ512" s="235">
        <f t="shared" si="595"/>
        <v>4.0666935483870965</v>
      </c>
      <c r="CR512" s="235" cm="1">
        <f t="array" ref="CR512">$BI512 * IF($AH512&lt;=2,
SUMPRODUCT(INDEX($AR$67:$AT$71,,$AI512), INDEX($AU$67:$BA$71,,$AH512), 1 / ($BB$67:$BB$71*CQ512 + (1-$BB$67:$BB$71)*CM512), N($AQ$67:$AQ$71&gt;$AO512)),
SUMPRODUCT(INDEX($AR$57:$AT$66,,$AI512), INDEX($AU$57:$BA$66,,$AH512), 1 / ($BC$57:$BC$66*CQ512 + (1-$BC$57:$BC$66)*CM512), N($AQ$57:$AQ$66&gt;$AO512))
) / 1000</f>
        <v>0</v>
      </c>
      <c r="CS512" s="232">
        <f t="shared" si="572"/>
        <v>20</v>
      </c>
      <c r="CT512" s="230">
        <f t="shared" si="596"/>
        <v>33</v>
      </c>
      <c r="CU512" s="235">
        <f t="shared" si="597"/>
        <v>4.8487499999999999</v>
      </c>
      <c r="CV512" s="235" cm="1">
        <f t="array" ref="CV512">$BI512 * IF($AH512&lt;=2,
SUMPRODUCT(INDEX($AR$62:$AT$66,,$AI512), INDEX($AU$62:$BA$66,,$AH512), 1 / ($BB$62:$BB$66*CU512 + (1-$BB$62:$BB$66)*CQ512), N($AQ$62:$AQ$66&gt;$AO512)),
SUMPRODUCT(INDEX($AR$47:$AT$56,,$AI512), INDEX($AU$47:$BA$56,,$AH512), 1 / ($BC$47:$BC$56*CU512 + (1-$BC$47:$BC$56)*CQ512), N($AQ$47:$AQ$56&gt;$AO512))
) / 1000</f>
        <v>0</v>
      </c>
      <c r="CW512" s="235" cm="1">
        <f t="array" ref="CW512">$BI512 * IF($AH512&lt;=2,
SUMPRODUCT(INDEX($AR$23:$AT$61,,$AI512), INDEX($AU$23:$BA$61,,$AH512), 1 / ($BB$23:$BB$61*CU512), N($AQ$23:$AQ$61&gt;$AO512)),
SUMPRODUCT(INDEX($AR$23:$AT$46,,$AI512), INDEX($AU$23:$BA$46,,$AH512), 1 / ($BC$23:$BC$46*CU512), N($AQ$23:$AQ$46&gt;$AO512))
) / 1000</f>
        <v>0</v>
      </c>
      <c r="CX512" s="230">
        <f t="shared" si="598"/>
        <v>0</v>
      </c>
      <c r="CY512" s="238"/>
    </row>
    <row r="513" spans="1:103" s="76" customFormat="1" ht="14.25" customHeight="1" x14ac:dyDescent="0.2">
      <c r="A513" s="231" t="b">
        <f t="shared" si="564"/>
        <v>0</v>
      </c>
      <c r="B513" s="245">
        <v>491</v>
      </c>
      <c r="C513" s="258"/>
      <c r="D513" s="258"/>
      <c r="E513" s="246"/>
      <c r="F513" s="247" t="str">
        <f>IF(ISBLANK(E513), "", VLOOKUP(E513, Z!$A$2:$C$4127, 3, FALSE))</f>
        <v/>
      </c>
      <c r="G513" s="248"/>
      <c r="H513" s="248"/>
      <c r="I513" s="249"/>
      <c r="J513" s="250"/>
      <c r="K513" s="259"/>
      <c r="L513" s="260"/>
      <c r="M513" s="252" t="str" cm="1">
        <f t="array" ref="M513">INDEX(Trad, 53, $A$20)</f>
        <v>Verschmutzt</v>
      </c>
      <c r="N513" s="253"/>
      <c r="O513" s="253"/>
      <c r="P513" s="254"/>
      <c r="Q513" s="251"/>
      <c r="R513" s="251"/>
      <c r="S513" s="264">
        <f t="shared" si="573"/>
        <v>0</v>
      </c>
      <c r="T513" s="252" t="str" cm="1">
        <f t="array" ref="T513">INDEX(Trad, 52, $A$20)</f>
        <v>Sauber</v>
      </c>
      <c r="U513" s="253"/>
      <c r="V513" s="253"/>
      <c r="W513" s="254"/>
      <c r="X513" s="251"/>
      <c r="Y513" s="251"/>
      <c r="Z513" s="264">
        <f t="shared" si="574"/>
        <v>0</v>
      </c>
      <c r="AA513" s="261"/>
      <c r="AB513" s="258"/>
      <c r="AC513" s="246"/>
      <c r="AD513" s="247" t="str">
        <f>IF(ISBLANK(AC513), "", VLOOKUP(AC513, Z!$A$2:$C$4127, 3, FALSE))</f>
        <v/>
      </c>
      <c r="AE513" s="262"/>
      <c r="AF513" s="263">
        <f t="shared" si="575"/>
        <v>0</v>
      </c>
      <c r="AG513" s="238"/>
      <c r="AH513" s="229">
        <f t="shared" si="599"/>
        <v>1</v>
      </c>
      <c r="AI513" s="229">
        <f t="shared" si="600"/>
        <v>1</v>
      </c>
      <c r="AJ513" s="229">
        <f t="shared" si="601"/>
        <v>0</v>
      </c>
      <c r="AK513" s="229">
        <v>0</v>
      </c>
      <c r="AL513" s="229">
        <v>0</v>
      </c>
      <c r="AM513" s="229">
        <v>1</v>
      </c>
      <c r="AN513" s="229">
        <v>0</v>
      </c>
      <c r="AO513" s="229">
        <f t="shared" si="576"/>
        <v>-100</v>
      </c>
      <c r="AP513" s="238"/>
      <c r="AQ513" s="255"/>
      <c r="AR513" s="255"/>
      <c r="AS513" s="256"/>
      <c r="AT513" s="256"/>
      <c r="AU513" s="256"/>
      <c r="AV513" s="256"/>
      <c r="AW513" s="256"/>
      <c r="AX513" s="256"/>
      <c r="AY513" s="256"/>
      <c r="AZ513" s="256"/>
      <c r="BA513" s="256"/>
      <c r="BB513" s="256"/>
      <c r="BC513" s="256"/>
      <c r="BD513" s="238"/>
      <c r="BE513" s="229" cm="1">
        <f t="array" ref="BE513">IF(ISBLANK(R513), INDEX(Use, $AH513, 4) - AM513*INDEX(Use, $AH513, 6), R513)</f>
        <v>5</v>
      </c>
      <c r="BF513" s="229">
        <f t="shared" si="577"/>
        <v>30</v>
      </c>
      <c r="BG513" s="229">
        <f t="shared" si="565"/>
        <v>13</v>
      </c>
      <c r="BH513" s="229">
        <f t="shared" si="566"/>
        <v>0</v>
      </c>
      <c r="BI513" s="234" cm="1">
        <f t="array" ref="BI513">K513/IF($L513&gt;0, INDEX($AU$23:$BA$77, $L513+20, $AH513), 1)</f>
        <v>0</v>
      </c>
      <c r="BJ513" s="230">
        <f t="shared" si="578"/>
        <v>0</v>
      </c>
      <c r="BK513" s="229">
        <v>35</v>
      </c>
      <c r="BL513" s="230">
        <f t="shared" si="579"/>
        <v>48</v>
      </c>
      <c r="BM513" s="235">
        <f t="shared" si="580"/>
        <v>2.9108720930232557</v>
      </c>
      <c r="BN513" s="235" cm="1">
        <f t="array" ref="BN513">$BI513 * SUMPRODUCT(INDEX($AR$77:$AT$82,,$AI513),INDEX($AU$77:$BA$82,,$AH513), N($AQ$77:$AQ$82&gt;$AO513)) / BM513 / 1000</f>
        <v>0</v>
      </c>
      <c r="BO513" s="232">
        <f t="shared" si="567"/>
        <v>30</v>
      </c>
      <c r="BP513" s="230">
        <f t="shared" si="581"/>
        <v>43</v>
      </c>
      <c r="BQ513" s="235">
        <f t="shared" si="582"/>
        <v>3.2938815789473681</v>
      </c>
      <c r="BR513" s="235" cm="1">
        <f t="array" ref="BR513">$BI513 * IF($AH513&lt;=2,
SUMPRODUCT(INDEX($AR$72:$AT$76,,$AI513), INDEX($AU$72:$BA$76,,$AH513), 1 / ($BB$72:$BB$76*BQ513 + (1-$BB$72:$BB$76)*BM513), N($AQ$72:$AQ$76&gt;$AO513)),
SUMPRODUCT(INDEX($AR$67:$AT$76,,$AI513), INDEX($AU$67:$BA$76,,$AH513), 1 / ($BC$67:$BC$76*BQ513 + (1-$BC$67:$BC$76)*BM513), N($AQ$67:$AQ$76&gt;$AO513))
) / 1000</f>
        <v>0</v>
      </c>
      <c r="BS513" s="232">
        <f t="shared" si="568"/>
        <v>25</v>
      </c>
      <c r="BT513" s="230">
        <f t="shared" si="583"/>
        <v>38</v>
      </c>
      <c r="BU513" s="235">
        <f t="shared" si="584"/>
        <v>3.792954545454545</v>
      </c>
      <c r="BV513" s="235" cm="1">
        <f t="array" ref="BV513">$BI513 * IF($AH513&lt;=2,
SUMPRODUCT(INDEX($AR$67:$AT$71,,$AI513), INDEX($AU$67:$BA$71,,$AH513), 1 / ($BB$67:$BB$71*BU513 + (1-$BB$67:$BB$71)*BQ513), N($AQ$67:$AQ$71&gt;$AO513)),
SUMPRODUCT(INDEX($AR$57:$AT$66,,$AI513), INDEX($AU$57:$BA$66,,$AH513), 1 / ($BC$57:$BC$66*BU513 + (1-$BC$57:$BC$66)*BQ513), N($AQ$57:$AQ$66&gt;$AO513))
) / 1000</f>
        <v>0</v>
      </c>
      <c r="BW513" s="232">
        <f t="shared" si="569"/>
        <v>20</v>
      </c>
      <c r="BX513" s="230">
        <f t="shared" si="585"/>
        <v>33</v>
      </c>
      <c r="BY513" s="235">
        <f t="shared" si="586"/>
        <v>4.4702678571428569</v>
      </c>
      <c r="BZ513" s="235" cm="1">
        <f t="array" ref="BZ513">$BI513 * IF($AH513&lt;=2,
SUMPRODUCT(INDEX($AR$62:$AT$66,,$AI513), INDEX($AU$62:$BA$66,,$AH513), 1 / ($BB$62:$BB$66*BY513 + (1-$BB$62:$BB$66)*BU513), N($AQ$62:$AQ$66&gt;$AO513)),
SUMPRODUCT(INDEX($AR$47:$AT$56,,$AI513), INDEX($AU$47:$BA$56,,$AH513), 1 / ($BC$47:$BC$56*BY513 + (1-$BC$47:$BC$56)*BU513), N($AQ$47:$AQ$56&gt;$AO513))
) / 1000</f>
        <v>0</v>
      </c>
      <c r="CA513" s="235" cm="1">
        <f t="array" ref="CA513">$BI513 * IF($AH513&lt;=2,
SUMPRODUCT(INDEX($AR$23:$AT$61,,$AI513), INDEX($AU$23:$BA$61,,$AH513), 1 / ($BB$23:$BB$61*BY513), N($AQ$23:$AQ$61&gt;$AO513)),
SUMPRODUCT(INDEX($AR$23:$AT$46,,$AI513), INDEX($AU$23:$BA$46,,$AH513), 1 / ($BC$23:$BC$46*BY513), N($AQ$23:$AQ$46&gt;$AO513))
) / 1000</f>
        <v>0</v>
      </c>
      <c r="CB513" s="230">
        <f t="shared" si="587"/>
        <v>0</v>
      </c>
      <c r="CC513" s="238"/>
      <c r="CD513" s="229" cm="1">
        <f t="array" ref="CD513">IF(ISBLANK(Y513), INDEX(Use, $AH513, 4) - AN513*INDEX(Use, $AH513, 6) - (Q513-X513), Y513)</f>
        <v>7</v>
      </c>
      <c r="CE513" s="229">
        <f t="shared" si="588"/>
        <v>32</v>
      </c>
      <c r="CF513" s="230">
        <f t="shared" si="589"/>
        <v>0</v>
      </c>
      <c r="CG513" s="229">
        <v>35</v>
      </c>
      <c r="CH513" s="230">
        <f t="shared" si="590"/>
        <v>48</v>
      </c>
      <c r="CI513" s="235">
        <f t="shared" si="591"/>
        <v>3.0748170731707316</v>
      </c>
      <c r="CJ513" s="235" cm="1">
        <f t="array" ref="CJ513">$BI513 * SUMPRODUCT(INDEX($AR$77:$AT$82,,$AI513),INDEX($AU$77:$BA$82,,$AH513), N($AQ$77:$AQ$82&gt;$AO513)) / CI513 / 1000</f>
        <v>0</v>
      </c>
      <c r="CK513" s="232">
        <f t="shared" si="570"/>
        <v>30</v>
      </c>
      <c r="CL513" s="230">
        <f t="shared" si="592"/>
        <v>43</v>
      </c>
      <c r="CM513" s="235">
        <f t="shared" si="593"/>
        <v>3.5018750000000001</v>
      </c>
      <c r="CN513" s="235" cm="1">
        <f t="array" ref="CN513">$BI513 * IF($AH513&lt;=2,
SUMPRODUCT(INDEX($AR$72:$AT$76,,$AI513), INDEX($AU$72:$BA$76,,$AH513), 1 / ($BB$72:$BB$76*CM513 + (1-$BB$72:$BB$76)*CI513), N($AQ$72:$AQ$76&gt;$AO513)),
SUMPRODUCT(INDEX($AR$67:$AT$76,,$AI513), INDEX($AU$67:$BA$76,,$AH513), 1 / ($BC$67:$BC$76*CM513 + (1-$BC$67:$BC$76)*CI513), N($AQ$67:$AQ$76&gt;$AO513))
) / 1000</f>
        <v>0</v>
      </c>
      <c r="CO513" s="232">
        <f t="shared" si="571"/>
        <v>25</v>
      </c>
      <c r="CP513" s="230">
        <f t="shared" si="594"/>
        <v>38</v>
      </c>
      <c r="CQ513" s="235">
        <f t="shared" si="595"/>
        <v>4.0666935483870965</v>
      </c>
      <c r="CR513" s="235" cm="1">
        <f t="array" ref="CR513">$BI513 * IF($AH513&lt;=2,
SUMPRODUCT(INDEX($AR$67:$AT$71,,$AI513), INDEX($AU$67:$BA$71,,$AH513), 1 / ($BB$67:$BB$71*CQ513 + (1-$BB$67:$BB$71)*CM513), N($AQ$67:$AQ$71&gt;$AO513)),
SUMPRODUCT(INDEX($AR$57:$AT$66,,$AI513), INDEX($AU$57:$BA$66,,$AH513), 1 / ($BC$57:$BC$66*CQ513 + (1-$BC$57:$BC$66)*CM513), N($AQ$57:$AQ$66&gt;$AO513))
) / 1000</f>
        <v>0</v>
      </c>
      <c r="CS513" s="232">
        <f t="shared" si="572"/>
        <v>20</v>
      </c>
      <c r="CT513" s="230">
        <f t="shared" si="596"/>
        <v>33</v>
      </c>
      <c r="CU513" s="235">
        <f t="shared" si="597"/>
        <v>4.8487499999999999</v>
      </c>
      <c r="CV513" s="235" cm="1">
        <f t="array" ref="CV513">$BI513 * IF($AH513&lt;=2,
SUMPRODUCT(INDEX($AR$62:$AT$66,,$AI513), INDEX($AU$62:$BA$66,,$AH513), 1 / ($BB$62:$BB$66*CU513 + (1-$BB$62:$BB$66)*CQ513), N($AQ$62:$AQ$66&gt;$AO513)),
SUMPRODUCT(INDEX($AR$47:$AT$56,,$AI513), INDEX($AU$47:$BA$56,,$AH513), 1 / ($BC$47:$BC$56*CU513 + (1-$BC$47:$BC$56)*CQ513), N($AQ$47:$AQ$56&gt;$AO513))
) / 1000</f>
        <v>0</v>
      </c>
      <c r="CW513" s="235" cm="1">
        <f t="array" ref="CW513">$BI513 * IF($AH513&lt;=2,
SUMPRODUCT(INDEX($AR$23:$AT$61,,$AI513), INDEX($AU$23:$BA$61,,$AH513), 1 / ($BB$23:$BB$61*CU513), N($AQ$23:$AQ$61&gt;$AO513)),
SUMPRODUCT(INDEX($AR$23:$AT$46,,$AI513), INDEX($AU$23:$BA$46,,$AH513), 1 / ($BC$23:$BC$46*CU513), N($AQ$23:$AQ$46&gt;$AO513))
) / 1000</f>
        <v>0</v>
      </c>
      <c r="CX513" s="230">
        <f t="shared" si="598"/>
        <v>0</v>
      </c>
      <c r="CY513" s="238"/>
    </row>
    <row r="514" spans="1:103" s="76" customFormat="1" ht="14.25" customHeight="1" x14ac:dyDescent="0.2">
      <c r="A514" s="231" t="b">
        <f t="shared" si="564"/>
        <v>0</v>
      </c>
      <c r="B514" s="245">
        <v>492</v>
      </c>
      <c r="C514" s="258"/>
      <c r="D514" s="258"/>
      <c r="E514" s="246"/>
      <c r="F514" s="247" t="str">
        <f>IF(ISBLANK(E514), "", VLOOKUP(E514, Z!$A$2:$C$4127, 3, FALSE))</f>
        <v/>
      </c>
      <c r="G514" s="248"/>
      <c r="H514" s="248"/>
      <c r="I514" s="249"/>
      <c r="J514" s="250"/>
      <c r="K514" s="259"/>
      <c r="L514" s="260"/>
      <c r="M514" s="252" t="str" cm="1">
        <f t="array" ref="M514">INDEX(Trad, 53, $A$20)</f>
        <v>Verschmutzt</v>
      </c>
      <c r="N514" s="253"/>
      <c r="O514" s="253"/>
      <c r="P514" s="254"/>
      <c r="Q514" s="251"/>
      <c r="R514" s="251"/>
      <c r="S514" s="264">
        <f t="shared" si="573"/>
        <v>0</v>
      </c>
      <c r="T514" s="252" t="str" cm="1">
        <f t="array" ref="T514">INDEX(Trad, 52, $A$20)</f>
        <v>Sauber</v>
      </c>
      <c r="U514" s="253"/>
      <c r="V514" s="253"/>
      <c r="W514" s="254"/>
      <c r="X514" s="251"/>
      <c r="Y514" s="251"/>
      <c r="Z514" s="264">
        <f t="shared" si="574"/>
        <v>0</v>
      </c>
      <c r="AA514" s="261"/>
      <c r="AB514" s="258"/>
      <c r="AC514" s="246"/>
      <c r="AD514" s="247" t="str">
        <f>IF(ISBLANK(AC514), "", VLOOKUP(AC514, Z!$A$2:$C$4127, 3, FALSE))</f>
        <v/>
      </c>
      <c r="AE514" s="262"/>
      <c r="AF514" s="263">
        <f t="shared" si="575"/>
        <v>0</v>
      </c>
      <c r="AG514" s="238"/>
      <c r="AH514" s="229">
        <f t="shared" si="599"/>
        <v>1</v>
      </c>
      <c r="AI514" s="229">
        <f t="shared" si="600"/>
        <v>1</v>
      </c>
      <c r="AJ514" s="229">
        <f t="shared" si="601"/>
        <v>0</v>
      </c>
      <c r="AK514" s="229">
        <v>0</v>
      </c>
      <c r="AL514" s="229">
        <v>0</v>
      </c>
      <c r="AM514" s="229">
        <v>1</v>
      </c>
      <c r="AN514" s="229">
        <v>0</v>
      </c>
      <c r="AO514" s="229">
        <f t="shared" si="576"/>
        <v>-100</v>
      </c>
      <c r="AP514" s="238"/>
      <c r="AQ514" s="255"/>
      <c r="AR514" s="255"/>
      <c r="AS514" s="256"/>
      <c r="AT514" s="256"/>
      <c r="AU514" s="256"/>
      <c r="AV514" s="256"/>
      <c r="AW514" s="256"/>
      <c r="AX514" s="256"/>
      <c r="AY514" s="256"/>
      <c r="AZ514" s="256"/>
      <c r="BA514" s="256"/>
      <c r="BB514" s="256"/>
      <c r="BC514" s="256"/>
      <c r="BD514" s="238"/>
      <c r="BE514" s="229" cm="1">
        <f t="array" ref="BE514">IF(ISBLANK(R514), INDEX(Use, $AH514, 4) - AM514*INDEX(Use, $AH514, 6), R514)</f>
        <v>5</v>
      </c>
      <c r="BF514" s="229">
        <f t="shared" si="577"/>
        <v>30</v>
      </c>
      <c r="BG514" s="229">
        <f t="shared" si="565"/>
        <v>13</v>
      </c>
      <c r="BH514" s="229">
        <f t="shared" si="566"/>
        <v>0</v>
      </c>
      <c r="BI514" s="234" cm="1">
        <f t="array" ref="BI514">K514/IF($L514&gt;0, INDEX($AU$23:$BA$77, $L514+20, $AH514), 1)</f>
        <v>0</v>
      </c>
      <c r="BJ514" s="230">
        <f t="shared" si="578"/>
        <v>0</v>
      </c>
      <c r="BK514" s="229">
        <v>35</v>
      </c>
      <c r="BL514" s="230">
        <f t="shared" si="579"/>
        <v>48</v>
      </c>
      <c r="BM514" s="235">
        <f t="shared" si="580"/>
        <v>2.9108720930232557</v>
      </c>
      <c r="BN514" s="235" cm="1">
        <f t="array" ref="BN514">$BI514 * SUMPRODUCT(INDEX($AR$77:$AT$82,,$AI514),INDEX($AU$77:$BA$82,,$AH514), N($AQ$77:$AQ$82&gt;$AO514)) / BM514 / 1000</f>
        <v>0</v>
      </c>
      <c r="BO514" s="232">
        <f t="shared" si="567"/>
        <v>30</v>
      </c>
      <c r="BP514" s="230">
        <f t="shared" si="581"/>
        <v>43</v>
      </c>
      <c r="BQ514" s="235">
        <f t="shared" si="582"/>
        <v>3.2938815789473681</v>
      </c>
      <c r="BR514" s="235" cm="1">
        <f t="array" ref="BR514">$BI514 * IF($AH514&lt;=2,
SUMPRODUCT(INDEX($AR$72:$AT$76,,$AI514), INDEX($AU$72:$BA$76,,$AH514), 1 / ($BB$72:$BB$76*BQ514 + (1-$BB$72:$BB$76)*BM514), N($AQ$72:$AQ$76&gt;$AO514)),
SUMPRODUCT(INDEX($AR$67:$AT$76,,$AI514), INDEX($AU$67:$BA$76,,$AH514), 1 / ($BC$67:$BC$76*BQ514 + (1-$BC$67:$BC$76)*BM514), N($AQ$67:$AQ$76&gt;$AO514))
) / 1000</f>
        <v>0</v>
      </c>
      <c r="BS514" s="232">
        <f t="shared" si="568"/>
        <v>25</v>
      </c>
      <c r="BT514" s="230">
        <f t="shared" si="583"/>
        <v>38</v>
      </c>
      <c r="BU514" s="235">
        <f t="shared" si="584"/>
        <v>3.792954545454545</v>
      </c>
      <c r="BV514" s="235" cm="1">
        <f t="array" ref="BV514">$BI514 * IF($AH514&lt;=2,
SUMPRODUCT(INDEX($AR$67:$AT$71,,$AI514), INDEX($AU$67:$BA$71,,$AH514), 1 / ($BB$67:$BB$71*BU514 + (1-$BB$67:$BB$71)*BQ514), N($AQ$67:$AQ$71&gt;$AO514)),
SUMPRODUCT(INDEX($AR$57:$AT$66,,$AI514), INDEX($AU$57:$BA$66,,$AH514), 1 / ($BC$57:$BC$66*BU514 + (1-$BC$57:$BC$66)*BQ514), N($AQ$57:$AQ$66&gt;$AO514))
) / 1000</f>
        <v>0</v>
      </c>
      <c r="BW514" s="232">
        <f t="shared" si="569"/>
        <v>20</v>
      </c>
      <c r="BX514" s="230">
        <f t="shared" si="585"/>
        <v>33</v>
      </c>
      <c r="BY514" s="235">
        <f t="shared" si="586"/>
        <v>4.4702678571428569</v>
      </c>
      <c r="BZ514" s="235" cm="1">
        <f t="array" ref="BZ514">$BI514 * IF($AH514&lt;=2,
SUMPRODUCT(INDEX($AR$62:$AT$66,,$AI514), INDEX($AU$62:$BA$66,,$AH514), 1 / ($BB$62:$BB$66*BY514 + (1-$BB$62:$BB$66)*BU514), N($AQ$62:$AQ$66&gt;$AO514)),
SUMPRODUCT(INDEX($AR$47:$AT$56,,$AI514), INDEX($AU$47:$BA$56,,$AH514), 1 / ($BC$47:$BC$56*BY514 + (1-$BC$47:$BC$56)*BU514), N($AQ$47:$AQ$56&gt;$AO514))
) / 1000</f>
        <v>0</v>
      </c>
      <c r="CA514" s="235" cm="1">
        <f t="array" ref="CA514">$BI514 * IF($AH514&lt;=2,
SUMPRODUCT(INDEX($AR$23:$AT$61,,$AI514), INDEX($AU$23:$BA$61,,$AH514), 1 / ($BB$23:$BB$61*BY514), N($AQ$23:$AQ$61&gt;$AO514)),
SUMPRODUCT(INDEX($AR$23:$AT$46,,$AI514), INDEX($AU$23:$BA$46,,$AH514), 1 / ($BC$23:$BC$46*BY514), N($AQ$23:$AQ$46&gt;$AO514))
) / 1000</f>
        <v>0</v>
      </c>
      <c r="CB514" s="230">
        <f t="shared" si="587"/>
        <v>0</v>
      </c>
      <c r="CC514" s="238"/>
      <c r="CD514" s="229" cm="1">
        <f t="array" ref="CD514">IF(ISBLANK(Y514), INDEX(Use, $AH514, 4) - AN514*INDEX(Use, $AH514, 6) - (Q514-X514), Y514)</f>
        <v>7</v>
      </c>
      <c r="CE514" s="229">
        <f t="shared" si="588"/>
        <v>32</v>
      </c>
      <c r="CF514" s="230">
        <f t="shared" si="589"/>
        <v>0</v>
      </c>
      <c r="CG514" s="229">
        <v>35</v>
      </c>
      <c r="CH514" s="230">
        <f t="shared" si="590"/>
        <v>48</v>
      </c>
      <c r="CI514" s="235">
        <f t="shared" si="591"/>
        <v>3.0748170731707316</v>
      </c>
      <c r="CJ514" s="235" cm="1">
        <f t="array" ref="CJ514">$BI514 * SUMPRODUCT(INDEX($AR$77:$AT$82,,$AI514),INDEX($AU$77:$BA$82,,$AH514), N($AQ$77:$AQ$82&gt;$AO514)) / CI514 / 1000</f>
        <v>0</v>
      </c>
      <c r="CK514" s="232">
        <f t="shared" si="570"/>
        <v>30</v>
      </c>
      <c r="CL514" s="230">
        <f t="shared" si="592"/>
        <v>43</v>
      </c>
      <c r="CM514" s="235">
        <f t="shared" si="593"/>
        <v>3.5018750000000001</v>
      </c>
      <c r="CN514" s="235" cm="1">
        <f t="array" ref="CN514">$BI514 * IF($AH514&lt;=2,
SUMPRODUCT(INDEX($AR$72:$AT$76,,$AI514), INDEX($AU$72:$BA$76,,$AH514), 1 / ($BB$72:$BB$76*CM514 + (1-$BB$72:$BB$76)*CI514), N($AQ$72:$AQ$76&gt;$AO514)),
SUMPRODUCT(INDEX($AR$67:$AT$76,,$AI514), INDEX($AU$67:$BA$76,,$AH514), 1 / ($BC$67:$BC$76*CM514 + (1-$BC$67:$BC$76)*CI514), N($AQ$67:$AQ$76&gt;$AO514))
) / 1000</f>
        <v>0</v>
      </c>
      <c r="CO514" s="232">
        <f t="shared" si="571"/>
        <v>25</v>
      </c>
      <c r="CP514" s="230">
        <f t="shared" si="594"/>
        <v>38</v>
      </c>
      <c r="CQ514" s="235">
        <f t="shared" si="595"/>
        <v>4.0666935483870965</v>
      </c>
      <c r="CR514" s="235" cm="1">
        <f t="array" ref="CR514">$BI514 * IF($AH514&lt;=2,
SUMPRODUCT(INDEX($AR$67:$AT$71,,$AI514), INDEX($AU$67:$BA$71,,$AH514), 1 / ($BB$67:$BB$71*CQ514 + (1-$BB$67:$BB$71)*CM514), N($AQ$67:$AQ$71&gt;$AO514)),
SUMPRODUCT(INDEX($AR$57:$AT$66,,$AI514), INDEX($AU$57:$BA$66,,$AH514), 1 / ($BC$57:$BC$66*CQ514 + (1-$BC$57:$BC$66)*CM514), N($AQ$57:$AQ$66&gt;$AO514))
) / 1000</f>
        <v>0</v>
      </c>
      <c r="CS514" s="232">
        <f t="shared" si="572"/>
        <v>20</v>
      </c>
      <c r="CT514" s="230">
        <f t="shared" si="596"/>
        <v>33</v>
      </c>
      <c r="CU514" s="235">
        <f t="shared" si="597"/>
        <v>4.8487499999999999</v>
      </c>
      <c r="CV514" s="235" cm="1">
        <f t="array" ref="CV514">$BI514 * IF($AH514&lt;=2,
SUMPRODUCT(INDEX($AR$62:$AT$66,,$AI514), INDEX($AU$62:$BA$66,,$AH514), 1 / ($BB$62:$BB$66*CU514 + (1-$BB$62:$BB$66)*CQ514), N($AQ$62:$AQ$66&gt;$AO514)),
SUMPRODUCT(INDEX($AR$47:$AT$56,,$AI514), INDEX($AU$47:$BA$56,,$AH514), 1 / ($BC$47:$BC$56*CU514 + (1-$BC$47:$BC$56)*CQ514), N($AQ$47:$AQ$56&gt;$AO514))
) / 1000</f>
        <v>0</v>
      </c>
      <c r="CW514" s="235" cm="1">
        <f t="array" ref="CW514">$BI514 * IF($AH514&lt;=2,
SUMPRODUCT(INDEX($AR$23:$AT$61,,$AI514), INDEX($AU$23:$BA$61,,$AH514), 1 / ($BB$23:$BB$61*CU514), N($AQ$23:$AQ$61&gt;$AO514)),
SUMPRODUCT(INDEX($AR$23:$AT$46,,$AI514), INDEX($AU$23:$BA$46,,$AH514), 1 / ($BC$23:$BC$46*CU514), N($AQ$23:$AQ$46&gt;$AO514))
) / 1000</f>
        <v>0</v>
      </c>
      <c r="CX514" s="230">
        <f t="shared" si="598"/>
        <v>0</v>
      </c>
      <c r="CY514" s="238"/>
    </row>
    <row r="515" spans="1:103" s="76" customFormat="1" ht="14.25" customHeight="1" x14ac:dyDescent="0.2">
      <c r="A515" s="231" t="b">
        <f t="shared" si="564"/>
        <v>0</v>
      </c>
      <c r="B515" s="245">
        <v>493</v>
      </c>
      <c r="C515" s="258"/>
      <c r="D515" s="258"/>
      <c r="E515" s="246"/>
      <c r="F515" s="247" t="str">
        <f>IF(ISBLANK(E515), "", VLOOKUP(E515, Z!$A$2:$C$4127, 3, FALSE))</f>
        <v/>
      </c>
      <c r="G515" s="248"/>
      <c r="H515" s="248"/>
      <c r="I515" s="249"/>
      <c r="J515" s="250"/>
      <c r="K515" s="259"/>
      <c r="L515" s="260"/>
      <c r="M515" s="252" t="str" cm="1">
        <f t="array" ref="M515">INDEX(Trad, 53, $A$20)</f>
        <v>Verschmutzt</v>
      </c>
      <c r="N515" s="253"/>
      <c r="O515" s="253"/>
      <c r="P515" s="254"/>
      <c r="Q515" s="251"/>
      <c r="R515" s="251"/>
      <c r="S515" s="264">
        <f t="shared" si="573"/>
        <v>0</v>
      </c>
      <c r="T515" s="252" t="str" cm="1">
        <f t="array" ref="T515">INDEX(Trad, 52, $A$20)</f>
        <v>Sauber</v>
      </c>
      <c r="U515" s="253"/>
      <c r="V515" s="253"/>
      <c r="W515" s="254"/>
      <c r="X515" s="251"/>
      <c r="Y515" s="251"/>
      <c r="Z515" s="264">
        <f t="shared" si="574"/>
        <v>0</v>
      </c>
      <c r="AA515" s="261"/>
      <c r="AB515" s="258"/>
      <c r="AC515" s="246"/>
      <c r="AD515" s="247" t="str">
        <f>IF(ISBLANK(AC515), "", VLOOKUP(AC515, Z!$A$2:$C$4127, 3, FALSE))</f>
        <v/>
      </c>
      <c r="AE515" s="262"/>
      <c r="AF515" s="263">
        <f t="shared" si="575"/>
        <v>0</v>
      </c>
      <c r="AG515" s="238"/>
      <c r="AH515" s="229">
        <f t="shared" si="599"/>
        <v>1</v>
      </c>
      <c r="AI515" s="229">
        <f t="shared" si="600"/>
        <v>1</v>
      </c>
      <c r="AJ515" s="229">
        <f t="shared" si="601"/>
        <v>0</v>
      </c>
      <c r="AK515" s="229">
        <v>0</v>
      </c>
      <c r="AL515" s="229">
        <v>0</v>
      </c>
      <c r="AM515" s="229">
        <v>1</v>
      </c>
      <c r="AN515" s="229">
        <v>0</v>
      </c>
      <c r="AO515" s="229">
        <f t="shared" si="576"/>
        <v>-100</v>
      </c>
      <c r="AP515" s="238"/>
      <c r="AQ515" s="255"/>
      <c r="AR515" s="255"/>
      <c r="AS515" s="256"/>
      <c r="AT515" s="256"/>
      <c r="AU515" s="256"/>
      <c r="AV515" s="256"/>
      <c r="AW515" s="256"/>
      <c r="AX515" s="256"/>
      <c r="AY515" s="256"/>
      <c r="AZ515" s="256"/>
      <c r="BA515" s="256"/>
      <c r="BB515" s="256"/>
      <c r="BC515" s="256"/>
      <c r="BD515" s="238"/>
      <c r="BE515" s="229" cm="1">
        <f t="array" ref="BE515">IF(ISBLANK(R515), INDEX(Use, $AH515, 4) - AM515*INDEX(Use, $AH515, 6), R515)</f>
        <v>5</v>
      </c>
      <c r="BF515" s="229">
        <f t="shared" si="577"/>
        <v>30</v>
      </c>
      <c r="BG515" s="229">
        <f t="shared" si="565"/>
        <v>13</v>
      </c>
      <c r="BH515" s="229">
        <f t="shared" si="566"/>
        <v>0</v>
      </c>
      <c r="BI515" s="234" cm="1">
        <f t="array" ref="BI515">K515/IF($L515&gt;0, INDEX($AU$23:$BA$77, $L515+20, $AH515), 1)</f>
        <v>0</v>
      </c>
      <c r="BJ515" s="230">
        <f t="shared" si="578"/>
        <v>0</v>
      </c>
      <c r="BK515" s="229">
        <v>35</v>
      </c>
      <c r="BL515" s="230">
        <f t="shared" si="579"/>
        <v>48</v>
      </c>
      <c r="BM515" s="235">
        <f t="shared" si="580"/>
        <v>2.9108720930232557</v>
      </c>
      <c r="BN515" s="235" cm="1">
        <f t="array" ref="BN515">$BI515 * SUMPRODUCT(INDEX($AR$77:$AT$82,,$AI515),INDEX($AU$77:$BA$82,,$AH515), N($AQ$77:$AQ$82&gt;$AO515)) / BM515 / 1000</f>
        <v>0</v>
      </c>
      <c r="BO515" s="232">
        <f t="shared" si="567"/>
        <v>30</v>
      </c>
      <c r="BP515" s="230">
        <f t="shared" si="581"/>
        <v>43</v>
      </c>
      <c r="BQ515" s="235">
        <f t="shared" si="582"/>
        <v>3.2938815789473681</v>
      </c>
      <c r="BR515" s="235" cm="1">
        <f t="array" ref="BR515">$BI515 * IF($AH515&lt;=2,
SUMPRODUCT(INDEX($AR$72:$AT$76,,$AI515), INDEX($AU$72:$BA$76,,$AH515), 1 / ($BB$72:$BB$76*BQ515 + (1-$BB$72:$BB$76)*BM515), N($AQ$72:$AQ$76&gt;$AO515)),
SUMPRODUCT(INDEX($AR$67:$AT$76,,$AI515), INDEX($AU$67:$BA$76,,$AH515), 1 / ($BC$67:$BC$76*BQ515 + (1-$BC$67:$BC$76)*BM515), N($AQ$67:$AQ$76&gt;$AO515))
) / 1000</f>
        <v>0</v>
      </c>
      <c r="BS515" s="232">
        <f t="shared" si="568"/>
        <v>25</v>
      </c>
      <c r="BT515" s="230">
        <f t="shared" si="583"/>
        <v>38</v>
      </c>
      <c r="BU515" s="235">
        <f t="shared" si="584"/>
        <v>3.792954545454545</v>
      </c>
      <c r="BV515" s="235" cm="1">
        <f t="array" ref="BV515">$BI515 * IF($AH515&lt;=2,
SUMPRODUCT(INDEX($AR$67:$AT$71,,$AI515), INDEX($AU$67:$BA$71,,$AH515), 1 / ($BB$67:$BB$71*BU515 + (1-$BB$67:$BB$71)*BQ515), N($AQ$67:$AQ$71&gt;$AO515)),
SUMPRODUCT(INDEX($AR$57:$AT$66,,$AI515), INDEX($AU$57:$BA$66,,$AH515), 1 / ($BC$57:$BC$66*BU515 + (1-$BC$57:$BC$66)*BQ515), N($AQ$57:$AQ$66&gt;$AO515))
) / 1000</f>
        <v>0</v>
      </c>
      <c r="BW515" s="232">
        <f t="shared" si="569"/>
        <v>20</v>
      </c>
      <c r="BX515" s="230">
        <f t="shared" si="585"/>
        <v>33</v>
      </c>
      <c r="BY515" s="235">
        <f t="shared" si="586"/>
        <v>4.4702678571428569</v>
      </c>
      <c r="BZ515" s="235" cm="1">
        <f t="array" ref="BZ515">$BI515 * IF($AH515&lt;=2,
SUMPRODUCT(INDEX($AR$62:$AT$66,,$AI515), INDEX($AU$62:$BA$66,,$AH515), 1 / ($BB$62:$BB$66*BY515 + (1-$BB$62:$BB$66)*BU515), N($AQ$62:$AQ$66&gt;$AO515)),
SUMPRODUCT(INDEX($AR$47:$AT$56,,$AI515), INDEX($AU$47:$BA$56,,$AH515), 1 / ($BC$47:$BC$56*BY515 + (1-$BC$47:$BC$56)*BU515), N($AQ$47:$AQ$56&gt;$AO515))
) / 1000</f>
        <v>0</v>
      </c>
      <c r="CA515" s="235" cm="1">
        <f t="array" ref="CA515">$BI515 * IF($AH515&lt;=2,
SUMPRODUCT(INDEX($AR$23:$AT$61,,$AI515), INDEX($AU$23:$BA$61,,$AH515), 1 / ($BB$23:$BB$61*BY515), N($AQ$23:$AQ$61&gt;$AO515)),
SUMPRODUCT(INDEX($AR$23:$AT$46,,$AI515), INDEX($AU$23:$BA$46,,$AH515), 1 / ($BC$23:$BC$46*BY515), N($AQ$23:$AQ$46&gt;$AO515))
) / 1000</f>
        <v>0</v>
      </c>
      <c r="CB515" s="230">
        <f t="shared" si="587"/>
        <v>0</v>
      </c>
      <c r="CC515" s="238"/>
      <c r="CD515" s="229" cm="1">
        <f t="array" ref="CD515">IF(ISBLANK(Y515), INDEX(Use, $AH515, 4) - AN515*INDEX(Use, $AH515, 6) - (Q515-X515), Y515)</f>
        <v>7</v>
      </c>
      <c r="CE515" s="229">
        <f t="shared" si="588"/>
        <v>32</v>
      </c>
      <c r="CF515" s="230">
        <f t="shared" si="589"/>
        <v>0</v>
      </c>
      <c r="CG515" s="229">
        <v>35</v>
      </c>
      <c r="CH515" s="230">
        <f t="shared" si="590"/>
        <v>48</v>
      </c>
      <c r="CI515" s="235">
        <f t="shared" si="591"/>
        <v>3.0748170731707316</v>
      </c>
      <c r="CJ515" s="235" cm="1">
        <f t="array" ref="CJ515">$BI515 * SUMPRODUCT(INDEX($AR$77:$AT$82,,$AI515),INDEX($AU$77:$BA$82,,$AH515), N($AQ$77:$AQ$82&gt;$AO515)) / CI515 / 1000</f>
        <v>0</v>
      </c>
      <c r="CK515" s="232">
        <f t="shared" si="570"/>
        <v>30</v>
      </c>
      <c r="CL515" s="230">
        <f t="shared" si="592"/>
        <v>43</v>
      </c>
      <c r="CM515" s="235">
        <f t="shared" si="593"/>
        <v>3.5018750000000001</v>
      </c>
      <c r="CN515" s="235" cm="1">
        <f t="array" ref="CN515">$BI515 * IF($AH515&lt;=2,
SUMPRODUCT(INDEX($AR$72:$AT$76,,$AI515), INDEX($AU$72:$BA$76,,$AH515), 1 / ($BB$72:$BB$76*CM515 + (1-$BB$72:$BB$76)*CI515), N($AQ$72:$AQ$76&gt;$AO515)),
SUMPRODUCT(INDEX($AR$67:$AT$76,,$AI515), INDEX($AU$67:$BA$76,,$AH515), 1 / ($BC$67:$BC$76*CM515 + (1-$BC$67:$BC$76)*CI515), N($AQ$67:$AQ$76&gt;$AO515))
) / 1000</f>
        <v>0</v>
      </c>
      <c r="CO515" s="232">
        <f t="shared" si="571"/>
        <v>25</v>
      </c>
      <c r="CP515" s="230">
        <f t="shared" si="594"/>
        <v>38</v>
      </c>
      <c r="CQ515" s="235">
        <f t="shared" si="595"/>
        <v>4.0666935483870965</v>
      </c>
      <c r="CR515" s="235" cm="1">
        <f t="array" ref="CR515">$BI515 * IF($AH515&lt;=2,
SUMPRODUCT(INDEX($AR$67:$AT$71,,$AI515), INDEX($AU$67:$BA$71,,$AH515), 1 / ($BB$67:$BB$71*CQ515 + (1-$BB$67:$BB$71)*CM515), N($AQ$67:$AQ$71&gt;$AO515)),
SUMPRODUCT(INDEX($AR$57:$AT$66,,$AI515), INDEX($AU$57:$BA$66,,$AH515), 1 / ($BC$57:$BC$66*CQ515 + (1-$BC$57:$BC$66)*CM515), N($AQ$57:$AQ$66&gt;$AO515))
) / 1000</f>
        <v>0</v>
      </c>
      <c r="CS515" s="232">
        <f t="shared" si="572"/>
        <v>20</v>
      </c>
      <c r="CT515" s="230">
        <f t="shared" si="596"/>
        <v>33</v>
      </c>
      <c r="CU515" s="235">
        <f t="shared" si="597"/>
        <v>4.8487499999999999</v>
      </c>
      <c r="CV515" s="235" cm="1">
        <f t="array" ref="CV515">$BI515 * IF($AH515&lt;=2,
SUMPRODUCT(INDEX($AR$62:$AT$66,,$AI515), INDEX($AU$62:$BA$66,,$AH515), 1 / ($BB$62:$BB$66*CU515 + (1-$BB$62:$BB$66)*CQ515), N($AQ$62:$AQ$66&gt;$AO515)),
SUMPRODUCT(INDEX($AR$47:$AT$56,,$AI515), INDEX($AU$47:$BA$56,,$AH515), 1 / ($BC$47:$BC$56*CU515 + (1-$BC$47:$BC$56)*CQ515), N($AQ$47:$AQ$56&gt;$AO515))
) / 1000</f>
        <v>0</v>
      </c>
      <c r="CW515" s="235" cm="1">
        <f t="array" ref="CW515">$BI515 * IF($AH515&lt;=2,
SUMPRODUCT(INDEX($AR$23:$AT$61,,$AI515), INDEX($AU$23:$BA$61,,$AH515), 1 / ($BB$23:$BB$61*CU515), N($AQ$23:$AQ$61&gt;$AO515)),
SUMPRODUCT(INDEX($AR$23:$AT$46,,$AI515), INDEX($AU$23:$BA$46,,$AH515), 1 / ($BC$23:$BC$46*CU515), N($AQ$23:$AQ$46&gt;$AO515))
) / 1000</f>
        <v>0</v>
      </c>
      <c r="CX515" s="230">
        <f t="shared" si="598"/>
        <v>0</v>
      </c>
      <c r="CY515" s="238"/>
    </row>
    <row r="516" spans="1:103" s="76" customFormat="1" ht="14.25" customHeight="1" x14ac:dyDescent="0.2">
      <c r="A516" s="231" t="b">
        <f t="shared" si="564"/>
        <v>0</v>
      </c>
      <c r="B516" s="245">
        <v>494</v>
      </c>
      <c r="C516" s="258"/>
      <c r="D516" s="258"/>
      <c r="E516" s="246"/>
      <c r="F516" s="247" t="str">
        <f>IF(ISBLANK(E516), "", VLOOKUP(E516, Z!$A$2:$C$4127, 3, FALSE))</f>
        <v/>
      </c>
      <c r="G516" s="248"/>
      <c r="H516" s="248"/>
      <c r="I516" s="249"/>
      <c r="J516" s="250"/>
      <c r="K516" s="259"/>
      <c r="L516" s="260"/>
      <c r="M516" s="252" t="str" cm="1">
        <f t="array" ref="M516">INDEX(Trad, 53, $A$20)</f>
        <v>Verschmutzt</v>
      </c>
      <c r="N516" s="253"/>
      <c r="O516" s="253"/>
      <c r="P516" s="254"/>
      <c r="Q516" s="251"/>
      <c r="R516" s="251"/>
      <c r="S516" s="264">
        <f t="shared" si="573"/>
        <v>0</v>
      </c>
      <c r="T516" s="252" t="str" cm="1">
        <f t="array" ref="T516">INDEX(Trad, 52, $A$20)</f>
        <v>Sauber</v>
      </c>
      <c r="U516" s="253"/>
      <c r="V516" s="253"/>
      <c r="W516" s="254"/>
      <c r="X516" s="251"/>
      <c r="Y516" s="251"/>
      <c r="Z516" s="264">
        <f t="shared" si="574"/>
        <v>0</v>
      </c>
      <c r="AA516" s="261"/>
      <c r="AB516" s="258"/>
      <c r="AC516" s="246"/>
      <c r="AD516" s="247" t="str">
        <f>IF(ISBLANK(AC516), "", VLOOKUP(AC516, Z!$A$2:$C$4127, 3, FALSE))</f>
        <v/>
      </c>
      <c r="AE516" s="262"/>
      <c r="AF516" s="263">
        <f t="shared" si="575"/>
        <v>0</v>
      </c>
      <c r="AG516" s="238"/>
      <c r="AH516" s="229">
        <f t="shared" si="599"/>
        <v>1</v>
      </c>
      <c r="AI516" s="229">
        <f t="shared" si="600"/>
        <v>1</v>
      </c>
      <c r="AJ516" s="229">
        <f t="shared" si="601"/>
        <v>0</v>
      </c>
      <c r="AK516" s="229">
        <v>0</v>
      </c>
      <c r="AL516" s="229">
        <v>0</v>
      </c>
      <c r="AM516" s="229">
        <v>1</v>
      </c>
      <c r="AN516" s="229">
        <v>0</v>
      </c>
      <c r="AO516" s="229">
        <f t="shared" si="576"/>
        <v>-100</v>
      </c>
      <c r="AP516" s="238"/>
      <c r="AQ516" s="255"/>
      <c r="AR516" s="255"/>
      <c r="AS516" s="256"/>
      <c r="AT516" s="256"/>
      <c r="AU516" s="256"/>
      <c r="AV516" s="256"/>
      <c r="AW516" s="256"/>
      <c r="AX516" s="256"/>
      <c r="AY516" s="256"/>
      <c r="AZ516" s="256"/>
      <c r="BA516" s="256"/>
      <c r="BB516" s="256"/>
      <c r="BC516" s="256"/>
      <c r="BD516" s="238"/>
      <c r="BE516" s="229" cm="1">
        <f t="array" ref="BE516">IF(ISBLANK(R516), INDEX(Use, $AH516, 4) - AM516*INDEX(Use, $AH516, 6), R516)</f>
        <v>5</v>
      </c>
      <c r="BF516" s="229">
        <f t="shared" si="577"/>
        <v>30</v>
      </c>
      <c r="BG516" s="229">
        <f t="shared" si="565"/>
        <v>13</v>
      </c>
      <c r="BH516" s="229">
        <f t="shared" si="566"/>
        <v>0</v>
      </c>
      <c r="BI516" s="234" cm="1">
        <f t="array" ref="BI516">K516/IF($L516&gt;0, INDEX($AU$23:$BA$77, $L516+20, $AH516), 1)</f>
        <v>0</v>
      </c>
      <c r="BJ516" s="230">
        <f t="shared" si="578"/>
        <v>0</v>
      </c>
      <c r="BK516" s="229">
        <v>35</v>
      </c>
      <c r="BL516" s="230">
        <f t="shared" si="579"/>
        <v>48</v>
      </c>
      <c r="BM516" s="235">
        <f t="shared" si="580"/>
        <v>2.9108720930232557</v>
      </c>
      <c r="BN516" s="235" cm="1">
        <f t="array" ref="BN516">$BI516 * SUMPRODUCT(INDEX($AR$77:$AT$82,,$AI516),INDEX($AU$77:$BA$82,,$AH516), N($AQ$77:$AQ$82&gt;$AO516)) / BM516 / 1000</f>
        <v>0</v>
      </c>
      <c r="BO516" s="232">
        <f t="shared" si="567"/>
        <v>30</v>
      </c>
      <c r="BP516" s="230">
        <f t="shared" si="581"/>
        <v>43</v>
      </c>
      <c r="BQ516" s="235">
        <f t="shared" si="582"/>
        <v>3.2938815789473681</v>
      </c>
      <c r="BR516" s="235" cm="1">
        <f t="array" ref="BR516">$BI516 * IF($AH516&lt;=2,
SUMPRODUCT(INDEX($AR$72:$AT$76,,$AI516), INDEX($AU$72:$BA$76,,$AH516), 1 / ($BB$72:$BB$76*BQ516 + (1-$BB$72:$BB$76)*BM516), N($AQ$72:$AQ$76&gt;$AO516)),
SUMPRODUCT(INDEX($AR$67:$AT$76,,$AI516), INDEX($AU$67:$BA$76,,$AH516), 1 / ($BC$67:$BC$76*BQ516 + (1-$BC$67:$BC$76)*BM516), N($AQ$67:$AQ$76&gt;$AO516))
) / 1000</f>
        <v>0</v>
      </c>
      <c r="BS516" s="232">
        <f t="shared" si="568"/>
        <v>25</v>
      </c>
      <c r="BT516" s="230">
        <f t="shared" si="583"/>
        <v>38</v>
      </c>
      <c r="BU516" s="235">
        <f t="shared" si="584"/>
        <v>3.792954545454545</v>
      </c>
      <c r="BV516" s="235" cm="1">
        <f t="array" ref="BV516">$BI516 * IF($AH516&lt;=2,
SUMPRODUCT(INDEX($AR$67:$AT$71,,$AI516), INDEX($AU$67:$BA$71,,$AH516), 1 / ($BB$67:$BB$71*BU516 + (1-$BB$67:$BB$71)*BQ516), N($AQ$67:$AQ$71&gt;$AO516)),
SUMPRODUCT(INDEX($AR$57:$AT$66,,$AI516), INDEX($AU$57:$BA$66,,$AH516), 1 / ($BC$57:$BC$66*BU516 + (1-$BC$57:$BC$66)*BQ516), N($AQ$57:$AQ$66&gt;$AO516))
) / 1000</f>
        <v>0</v>
      </c>
      <c r="BW516" s="232">
        <f t="shared" si="569"/>
        <v>20</v>
      </c>
      <c r="BX516" s="230">
        <f t="shared" si="585"/>
        <v>33</v>
      </c>
      <c r="BY516" s="235">
        <f t="shared" si="586"/>
        <v>4.4702678571428569</v>
      </c>
      <c r="BZ516" s="235" cm="1">
        <f t="array" ref="BZ516">$BI516 * IF($AH516&lt;=2,
SUMPRODUCT(INDEX($AR$62:$AT$66,,$AI516), INDEX($AU$62:$BA$66,,$AH516), 1 / ($BB$62:$BB$66*BY516 + (1-$BB$62:$BB$66)*BU516), N($AQ$62:$AQ$66&gt;$AO516)),
SUMPRODUCT(INDEX($AR$47:$AT$56,,$AI516), INDEX($AU$47:$BA$56,,$AH516), 1 / ($BC$47:$BC$56*BY516 + (1-$BC$47:$BC$56)*BU516), N($AQ$47:$AQ$56&gt;$AO516))
) / 1000</f>
        <v>0</v>
      </c>
      <c r="CA516" s="235" cm="1">
        <f t="array" ref="CA516">$BI516 * IF($AH516&lt;=2,
SUMPRODUCT(INDEX($AR$23:$AT$61,,$AI516), INDEX($AU$23:$BA$61,,$AH516), 1 / ($BB$23:$BB$61*BY516), N($AQ$23:$AQ$61&gt;$AO516)),
SUMPRODUCT(INDEX($AR$23:$AT$46,,$AI516), INDEX($AU$23:$BA$46,,$AH516), 1 / ($BC$23:$BC$46*BY516), N($AQ$23:$AQ$46&gt;$AO516))
) / 1000</f>
        <v>0</v>
      </c>
      <c r="CB516" s="230">
        <f t="shared" si="587"/>
        <v>0</v>
      </c>
      <c r="CC516" s="238"/>
      <c r="CD516" s="229" cm="1">
        <f t="array" ref="CD516">IF(ISBLANK(Y516), INDEX(Use, $AH516, 4) - AN516*INDEX(Use, $AH516, 6) - (Q516-X516), Y516)</f>
        <v>7</v>
      </c>
      <c r="CE516" s="229">
        <f t="shared" si="588"/>
        <v>32</v>
      </c>
      <c r="CF516" s="230">
        <f t="shared" si="589"/>
        <v>0</v>
      </c>
      <c r="CG516" s="229">
        <v>35</v>
      </c>
      <c r="CH516" s="230">
        <f t="shared" si="590"/>
        <v>48</v>
      </c>
      <c r="CI516" s="235">
        <f t="shared" si="591"/>
        <v>3.0748170731707316</v>
      </c>
      <c r="CJ516" s="235" cm="1">
        <f t="array" ref="CJ516">$BI516 * SUMPRODUCT(INDEX($AR$77:$AT$82,,$AI516),INDEX($AU$77:$BA$82,,$AH516), N($AQ$77:$AQ$82&gt;$AO516)) / CI516 / 1000</f>
        <v>0</v>
      </c>
      <c r="CK516" s="232">
        <f t="shared" si="570"/>
        <v>30</v>
      </c>
      <c r="CL516" s="230">
        <f t="shared" si="592"/>
        <v>43</v>
      </c>
      <c r="CM516" s="235">
        <f t="shared" si="593"/>
        <v>3.5018750000000001</v>
      </c>
      <c r="CN516" s="235" cm="1">
        <f t="array" ref="CN516">$BI516 * IF($AH516&lt;=2,
SUMPRODUCT(INDEX($AR$72:$AT$76,,$AI516), INDEX($AU$72:$BA$76,,$AH516), 1 / ($BB$72:$BB$76*CM516 + (1-$BB$72:$BB$76)*CI516), N($AQ$72:$AQ$76&gt;$AO516)),
SUMPRODUCT(INDEX($AR$67:$AT$76,,$AI516), INDEX($AU$67:$BA$76,,$AH516), 1 / ($BC$67:$BC$76*CM516 + (1-$BC$67:$BC$76)*CI516), N($AQ$67:$AQ$76&gt;$AO516))
) / 1000</f>
        <v>0</v>
      </c>
      <c r="CO516" s="232">
        <f t="shared" si="571"/>
        <v>25</v>
      </c>
      <c r="CP516" s="230">
        <f t="shared" si="594"/>
        <v>38</v>
      </c>
      <c r="CQ516" s="235">
        <f t="shared" si="595"/>
        <v>4.0666935483870965</v>
      </c>
      <c r="CR516" s="235" cm="1">
        <f t="array" ref="CR516">$BI516 * IF($AH516&lt;=2,
SUMPRODUCT(INDEX($AR$67:$AT$71,,$AI516), INDEX($AU$67:$BA$71,,$AH516), 1 / ($BB$67:$BB$71*CQ516 + (1-$BB$67:$BB$71)*CM516), N($AQ$67:$AQ$71&gt;$AO516)),
SUMPRODUCT(INDEX($AR$57:$AT$66,,$AI516), INDEX($AU$57:$BA$66,,$AH516), 1 / ($BC$57:$BC$66*CQ516 + (1-$BC$57:$BC$66)*CM516), N($AQ$57:$AQ$66&gt;$AO516))
) / 1000</f>
        <v>0</v>
      </c>
      <c r="CS516" s="232">
        <f t="shared" si="572"/>
        <v>20</v>
      </c>
      <c r="CT516" s="230">
        <f t="shared" si="596"/>
        <v>33</v>
      </c>
      <c r="CU516" s="235">
        <f t="shared" si="597"/>
        <v>4.8487499999999999</v>
      </c>
      <c r="CV516" s="235" cm="1">
        <f t="array" ref="CV516">$BI516 * IF($AH516&lt;=2,
SUMPRODUCT(INDEX($AR$62:$AT$66,,$AI516), INDEX($AU$62:$BA$66,,$AH516), 1 / ($BB$62:$BB$66*CU516 + (1-$BB$62:$BB$66)*CQ516), N($AQ$62:$AQ$66&gt;$AO516)),
SUMPRODUCT(INDEX($AR$47:$AT$56,,$AI516), INDEX($AU$47:$BA$56,,$AH516), 1 / ($BC$47:$BC$56*CU516 + (1-$BC$47:$BC$56)*CQ516), N($AQ$47:$AQ$56&gt;$AO516))
) / 1000</f>
        <v>0</v>
      </c>
      <c r="CW516" s="235" cm="1">
        <f t="array" ref="CW516">$BI516 * IF($AH516&lt;=2,
SUMPRODUCT(INDEX($AR$23:$AT$61,,$AI516), INDEX($AU$23:$BA$61,,$AH516), 1 / ($BB$23:$BB$61*CU516), N($AQ$23:$AQ$61&gt;$AO516)),
SUMPRODUCT(INDEX($AR$23:$AT$46,,$AI516), INDEX($AU$23:$BA$46,,$AH516), 1 / ($BC$23:$BC$46*CU516), N($AQ$23:$AQ$46&gt;$AO516))
) / 1000</f>
        <v>0</v>
      </c>
      <c r="CX516" s="230">
        <f t="shared" si="598"/>
        <v>0</v>
      </c>
      <c r="CY516" s="238"/>
    </row>
    <row r="517" spans="1:103" s="76" customFormat="1" ht="14.25" customHeight="1" x14ac:dyDescent="0.2">
      <c r="A517" s="231" t="b">
        <f t="shared" si="564"/>
        <v>0</v>
      </c>
      <c r="B517" s="245">
        <v>495</v>
      </c>
      <c r="C517" s="258"/>
      <c r="D517" s="258"/>
      <c r="E517" s="246"/>
      <c r="F517" s="247" t="str">
        <f>IF(ISBLANK(E517), "", VLOOKUP(E517, Z!$A$2:$C$4127, 3, FALSE))</f>
        <v/>
      </c>
      <c r="G517" s="248"/>
      <c r="H517" s="248"/>
      <c r="I517" s="249"/>
      <c r="J517" s="250"/>
      <c r="K517" s="259"/>
      <c r="L517" s="260"/>
      <c r="M517" s="252" t="str" cm="1">
        <f t="array" ref="M517">INDEX(Trad, 53, $A$20)</f>
        <v>Verschmutzt</v>
      </c>
      <c r="N517" s="253"/>
      <c r="O517" s="253"/>
      <c r="P517" s="254"/>
      <c r="Q517" s="251"/>
      <c r="R517" s="251"/>
      <c r="S517" s="264">
        <f t="shared" si="573"/>
        <v>0</v>
      </c>
      <c r="T517" s="252" t="str" cm="1">
        <f t="array" ref="T517">INDEX(Trad, 52, $A$20)</f>
        <v>Sauber</v>
      </c>
      <c r="U517" s="253"/>
      <c r="V517" s="253"/>
      <c r="W517" s="254"/>
      <c r="X517" s="251"/>
      <c r="Y517" s="251"/>
      <c r="Z517" s="264">
        <f t="shared" si="574"/>
        <v>0</v>
      </c>
      <c r="AA517" s="261"/>
      <c r="AB517" s="258"/>
      <c r="AC517" s="246"/>
      <c r="AD517" s="247" t="str">
        <f>IF(ISBLANK(AC517), "", VLOOKUP(AC517, Z!$A$2:$C$4127, 3, FALSE))</f>
        <v/>
      </c>
      <c r="AE517" s="262"/>
      <c r="AF517" s="263">
        <f t="shared" si="575"/>
        <v>0</v>
      </c>
      <c r="AG517" s="238"/>
      <c r="AH517" s="229">
        <f t="shared" si="599"/>
        <v>1</v>
      </c>
      <c r="AI517" s="229">
        <f t="shared" si="600"/>
        <v>1</v>
      </c>
      <c r="AJ517" s="229">
        <f t="shared" si="601"/>
        <v>0</v>
      </c>
      <c r="AK517" s="229">
        <v>0</v>
      </c>
      <c r="AL517" s="229">
        <v>0</v>
      </c>
      <c r="AM517" s="229">
        <v>1</v>
      </c>
      <c r="AN517" s="229">
        <v>0</v>
      </c>
      <c r="AO517" s="229">
        <f t="shared" si="576"/>
        <v>-100</v>
      </c>
      <c r="AP517" s="238"/>
      <c r="AQ517" s="255"/>
      <c r="AR517" s="255"/>
      <c r="AS517" s="256"/>
      <c r="AT517" s="256"/>
      <c r="AU517" s="256"/>
      <c r="AV517" s="256"/>
      <c r="AW517" s="256"/>
      <c r="AX517" s="256"/>
      <c r="AY517" s="256"/>
      <c r="AZ517" s="256"/>
      <c r="BA517" s="256"/>
      <c r="BB517" s="256"/>
      <c r="BC517" s="256"/>
      <c r="BD517" s="238"/>
      <c r="BE517" s="229" cm="1">
        <f t="array" ref="BE517">IF(ISBLANK(R517), INDEX(Use, $AH517, 4) - AM517*INDEX(Use, $AH517, 6), R517)</f>
        <v>5</v>
      </c>
      <c r="BF517" s="229">
        <f t="shared" si="577"/>
        <v>30</v>
      </c>
      <c r="BG517" s="229">
        <f t="shared" si="565"/>
        <v>13</v>
      </c>
      <c r="BH517" s="229">
        <f t="shared" si="566"/>
        <v>0</v>
      </c>
      <c r="BI517" s="234" cm="1">
        <f t="array" ref="BI517">K517/IF($L517&gt;0, INDEX($AU$23:$BA$77, $L517+20, $AH517), 1)</f>
        <v>0</v>
      </c>
      <c r="BJ517" s="230">
        <f t="shared" si="578"/>
        <v>0</v>
      </c>
      <c r="BK517" s="229">
        <v>35</v>
      </c>
      <c r="BL517" s="230">
        <f t="shared" si="579"/>
        <v>48</v>
      </c>
      <c r="BM517" s="235">
        <f t="shared" si="580"/>
        <v>2.9108720930232557</v>
      </c>
      <c r="BN517" s="235" cm="1">
        <f t="array" ref="BN517">$BI517 * SUMPRODUCT(INDEX($AR$77:$AT$82,,$AI517),INDEX($AU$77:$BA$82,,$AH517), N($AQ$77:$AQ$82&gt;$AO517)) / BM517 / 1000</f>
        <v>0</v>
      </c>
      <c r="BO517" s="232">
        <f t="shared" si="567"/>
        <v>30</v>
      </c>
      <c r="BP517" s="230">
        <f t="shared" si="581"/>
        <v>43</v>
      </c>
      <c r="BQ517" s="235">
        <f t="shared" si="582"/>
        <v>3.2938815789473681</v>
      </c>
      <c r="BR517" s="235" cm="1">
        <f t="array" ref="BR517">$BI517 * IF($AH517&lt;=2,
SUMPRODUCT(INDEX($AR$72:$AT$76,,$AI517), INDEX($AU$72:$BA$76,,$AH517), 1 / ($BB$72:$BB$76*BQ517 + (1-$BB$72:$BB$76)*BM517), N($AQ$72:$AQ$76&gt;$AO517)),
SUMPRODUCT(INDEX($AR$67:$AT$76,,$AI517), INDEX($AU$67:$BA$76,,$AH517), 1 / ($BC$67:$BC$76*BQ517 + (1-$BC$67:$BC$76)*BM517), N($AQ$67:$AQ$76&gt;$AO517))
) / 1000</f>
        <v>0</v>
      </c>
      <c r="BS517" s="232">
        <f t="shared" si="568"/>
        <v>25</v>
      </c>
      <c r="BT517" s="230">
        <f t="shared" si="583"/>
        <v>38</v>
      </c>
      <c r="BU517" s="235">
        <f t="shared" si="584"/>
        <v>3.792954545454545</v>
      </c>
      <c r="BV517" s="235" cm="1">
        <f t="array" ref="BV517">$BI517 * IF($AH517&lt;=2,
SUMPRODUCT(INDEX($AR$67:$AT$71,,$AI517), INDEX($AU$67:$BA$71,,$AH517), 1 / ($BB$67:$BB$71*BU517 + (1-$BB$67:$BB$71)*BQ517), N($AQ$67:$AQ$71&gt;$AO517)),
SUMPRODUCT(INDEX($AR$57:$AT$66,,$AI517), INDEX($AU$57:$BA$66,,$AH517), 1 / ($BC$57:$BC$66*BU517 + (1-$BC$57:$BC$66)*BQ517), N($AQ$57:$AQ$66&gt;$AO517))
) / 1000</f>
        <v>0</v>
      </c>
      <c r="BW517" s="232">
        <f t="shared" si="569"/>
        <v>20</v>
      </c>
      <c r="BX517" s="230">
        <f t="shared" si="585"/>
        <v>33</v>
      </c>
      <c r="BY517" s="235">
        <f t="shared" si="586"/>
        <v>4.4702678571428569</v>
      </c>
      <c r="BZ517" s="235" cm="1">
        <f t="array" ref="BZ517">$BI517 * IF($AH517&lt;=2,
SUMPRODUCT(INDEX($AR$62:$AT$66,,$AI517), INDEX($AU$62:$BA$66,,$AH517), 1 / ($BB$62:$BB$66*BY517 + (1-$BB$62:$BB$66)*BU517), N($AQ$62:$AQ$66&gt;$AO517)),
SUMPRODUCT(INDEX($AR$47:$AT$56,,$AI517), INDEX($AU$47:$BA$56,,$AH517), 1 / ($BC$47:$BC$56*BY517 + (1-$BC$47:$BC$56)*BU517), N($AQ$47:$AQ$56&gt;$AO517))
) / 1000</f>
        <v>0</v>
      </c>
      <c r="CA517" s="235" cm="1">
        <f t="array" ref="CA517">$BI517 * IF($AH517&lt;=2,
SUMPRODUCT(INDEX($AR$23:$AT$61,,$AI517), INDEX($AU$23:$BA$61,,$AH517), 1 / ($BB$23:$BB$61*BY517), N($AQ$23:$AQ$61&gt;$AO517)),
SUMPRODUCT(INDEX($AR$23:$AT$46,,$AI517), INDEX($AU$23:$BA$46,,$AH517), 1 / ($BC$23:$BC$46*BY517), N($AQ$23:$AQ$46&gt;$AO517))
) / 1000</f>
        <v>0</v>
      </c>
      <c r="CB517" s="230">
        <f t="shared" si="587"/>
        <v>0</v>
      </c>
      <c r="CC517" s="238"/>
      <c r="CD517" s="229" cm="1">
        <f t="array" ref="CD517">IF(ISBLANK(Y517), INDEX(Use, $AH517, 4) - AN517*INDEX(Use, $AH517, 6) - (Q517-X517), Y517)</f>
        <v>7</v>
      </c>
      <c r="CE517" s="229">
        <f t="shared" si="588"/>
        <v>32</v>
      </c>
      <c r="CF517" s="230">
        <f t="shared" si="589"/>
        <v>0</v>
      </c>
      <c r="CG517" s="229">
        <v>35</v>
      </c>
      <c r="CH517" s="230">
        <f t="shared" si="590"/>
        <v>48</v>
      </c>
      <c r="CI517" s="235">
        <f t="shared" si="591"/>
        <v>3.0748170731707316</v>
      </c>
      <c r="CJ517" s="235" cm="1">
        <f t="array" ref="CJ517">$BI517 * SUMPRODUCT(INDEX($AR$77:$AT$82,,$AI517),INDEX($AU$77:$BA$82,,$AH517), N($AQ$77:$AQ$82&gt;$AO517)) / CI517 / 1000</f>
        <v>0</v>
      </c>
      <c r="CK517" s="232">
        <f t="shared" si="570"/>
        <v>30</v>
      </c>
      <c r="CL517" s="230">
        <f t="shared" si="592"/>
        <v>43</v>
      </c>
      <c r="CM517" s="235">
        <f t="shared" si="593"/>
        <v>3.5018750000000001</v>
      </c>
      <c r="CN517" s="235" cm="1">
        <f t="array" ref="CN517">$BI517 * IF($AH517&lt;=2,
SUMPRODUCT(INDEX($AR$72:$AT$76,,$AI517), INDEX($AU$72:$BA$76,,$AH517), 1 / ($BB$72:$BB$76*CM517 + (1-$BB$72:$BB$76)*CI517), N($AQ$72:$AQ$76&gt;$AO517)),
SUMPRODUCT(INDEX($AR$67:$AT$76,,$AI517), INDEX($AU$67:$BA$76,,$AH517), 1 / ($BC$67:$BC$76*CM517 + (1-$BC$67:$BC$76)*CI517), N($AQ$67:$AQ$76&gt;$AO517))
) / 1000</f>
        <v>0</v>
      </c>
      <c r="CO517" s="232">
        <f t="shared" si="571"/>
        <v>25</v>
      </c>
      <c r="CP517" s="230">
        <f t="shared" si="594"/>
        <v>38</v>
      </c>
      <c r="CQ517" s="235">
        <f t="shared" si="595"/>
        <v>4.0666935483870965</v>
      </c>
      <c r="CR517" s="235" cm="1">
        <f t="array" ref="CR517">$BI517 * IF($AH517&lt;=2,
SUMPRODUCT(INDEX($AR$67:$AT$71,,$AI517), INDEX($AU$67:$BA$71,,$AH517), 1 / ($BB$67:$BB$71*CQ517 + (1-$BB$67:$BB$71)*CM517), N($AQ$67:$AQ$71&gt;$AO517)),
SUMPRODUCT(INDEX($AR$57:$AT$66,,$AI517), INDEX($AU$57:$BA$66,,$AH517), 1 / ($BC$57:$BC$66*CQ517 + (1-$BC$57:$BC$66)*CM517), N($AQ$57:$AQ$66&gt;$AO517))
) / 1000</f>
        <v>0</v>
      </c>
      <c r="CS517" s="232">
        <f t="shared" si="572"/>
        <v>20</v>
      </c>
      <c r="CT517" s="230">
        <f t="shared" si="596"/>
        <v>33</v>
      </c>
      <c r="CU517" s="235">
        <f t="shared" si="597"/>
        <v>4.8487499999999999</v>
      </c>
      <c r="CV517" s="235" cm="1">
        <f t="array" ref="CV517">$BI517 * IF($AH517&lt;=2,
SUMPRODUCT(INDEX($AR$62:$AT$66,,$AI517), INDEX($AU$62:$BA$66,,$AH517), 1 / ($BB$62:$BB$66*CU517 + (1-$BB$62:$BB$66)*CQ517), N($AQ$62:$AQ$66&gt;$AO517)),
SUMPRODUCT(INDEX($AR$47:$AT$56,,$AI517), INDEX($AU$47:$BA$56,,$AH517), 1 / ($BC$47:$BC$56*CU517 + (1-$BC$47:$BC$56)*CQ517), N($AQ$47:$AQ$56&gt;$AO517))
) / 1000</f>
        <v>0</v>
      </c>
      <c r="CW517" s="235" cm="1">
        <f t="array" ref="CW517">$BI517 * IF($AH517&lt;=2,
SUMPRODUCT(INDEX($AR$23:$AT$61,,$AI517), INDEX($AU$23:$BA$61,,$AH517), 1 / ($BB$23:$BB$61*CU517), N($AQ$23:$AQ$61&gt;$AO517)),
SUMPRODUCT(INDEX($AR$23:$AT$46,,$AI517), INDEX($AU$23:$BA$46,,$AH517), 1 / ($BC$23:$BC$46*CU517), N($AQ$23:$AQ$46&gt;$AO517))
) / 1000</f>
        <v>0</v>
      </c>
      <c r="CX517" s="230">
        <f t="shared" si="598"/>
        <v>0</v>
      </c>
      <c r="CY517" s="238"/>
    </row>
    <row r="518" spans="1:103" s="76" customFormat="1" ht="14.25" customHeight="1" x14ac:dyDescent="0.2">
      <c r="A518" s="231" t="b">
        <f t="shared" si="564"/>
        <v>0</v>
      </c>
      <c r="B518" s="245">
        <v>496</v>
      </c>
      <c r="C518" s="258"/>
      <c r="D518" s="258"/>
      <c r="E518" s="246"/>
      <c r="F518" s="247" t="str">
        <f>IF(ISBLANK(E518), "", VLOOKUP(E518, Z!$A$2:$C$4127, 3, FALSE))</f>
        <v/>
      </c>
      <c r="G518" s="248"/>
      <c r="H518" s="248"/>
      <c r="I518" s="249"/>
      <c r="J518" s="250"/>
      <c r="K518" s="259"/>
      <c r="L518" s="260"/>
      <c r="M518" s="252" t="str" cm="1">
        <f t="array" ref="M518">INDEX(Trad, 53, $A$20)</f>
        <v>Verschmutzt</v>
      </c>
      <c r="N518" s="253"/>
      <c r="O518" s="253"/>
      <c r="P518" s="254"/>
      <c r="Q518" s="251"/>
      <c r="R518" s="251"/>
      <c r="S518" s="264">
        <f t="shared" si="573"/>
        <v>0</v>
      </c>
      <c r="T518" s="252" t="str" cm="1">
        <f t="array" ref="T518">INDEX(Trad, 52, $A$20)</f>
        <v>Sauber</v>
      </c>
      <c r="U518" s="253"/>
      <c r="V518" s="253"/>
      <c r="W518" s="254"/>
      <c r="X518" s="251"/>
      <c r="Y518" s="251"/>
      <c r="Z518" s="264">
        <f t="shared" si="574"/>
        <v>0</v>
      </c>
      <c r="AA518" s="261"/>
      <c r="AB518" s="258"/>
      <c r="AC518" s="246"/>
      <c r="AD518" s="247" t="str">
        <f>IF(ISBLANK(AC518), "", VLOOKUP(AC518, Z!$A$2:$C$4127, 3, FALSE))</f>
        <v/>
      </c>
      <c r="AE518" s="262"/>
      <c r="AF518" s="263">
        <f t="shared" si="575"/>
        <v>0</v>
      </c>
      <c r="AG518" s="238"/>
      <c r="AH518" s="229">
        <f t="shared" si="599"/>
        <v>1</v>
      </c>
      <c r="AI518" s="229">
        <f t="shared" si="600"/>
        <v>1</v>
      </c>
      <c r="AJ518" s="229">
        <f t="shared" si="601"/>
        <v>0</v>
      </c>
      <c r="AK518" s="229">
        <v>0</v>
      </c>
      <c r="AL518" s="229">
        <v>0</v>
      </c>
      <c r="AM518" s="229">
        <v>1</v>
      </c>
      <c r="AN518" s="229">
        <v>0</v>
      </c>
      <c r="AO518" s="229">
        <f t="shared" si="576"/>
        <v>-100</v>
      </c>
      <c r="AP518" s="238"/>
      <c r="AQ518" s="255"/>
      <c r="AR518" s="255"/>
      <c r="AS518" s="256"/>
      <c r="AT518" s="256"/>
      <c r="AU518" s="256"/>
      <c r="AV518" s="256"/>
      <c r="AW518" s="256"/>
      <c r="AX518" s="256"/>
      <c r="AY518" s="256"/>
      <c r="AZ518" s="256"/>
      <c r="BA518" s="256"/>
      <c r="BB518" s="256"/>
      <c r="BC518" s="256"/>
      <c r="BD518" s="238"/>
      <c r="BE518" s="229" cm="1">
        <f t="array" ref="BE518">IF(ISBLANK(R518), INDEX(Use, $AH518, 4) - AM518*INDEX(Use, $AH518, 6), R518)</f>
        <v>5</v>
      </c>
      <c r="BF518" s="229">
        <f t="shared" si="577"/>
        <v>30</v>
      </c>
      <c r="BG518" s="229">
        <f t="shared" si="565"/>
        <v>13</v>
      </c>
      <c r="BH518" s="229">
        <f t="shared" si="566"/>
        <v>0</v>
      </c>
      <c r="BI518" s="234" cm="1">
        <f t="array" ref="BI518">K518/IF($L518&gt;0, INDEX($AU$23:$BA$77, $L518+20, $AH518), 1)</f>
        <v>0</v>
      </c>
      <c r="BJ518" s="230">
        <f t="shared" si="578"/>
        <v>0</v>
      </c>
      <c r="BK518" s="229">
        <v>35</v>
      </c>
      <c r="BL518" s="230">
        <f t="shared" si="579"/>
        <v>48</v>
      </c>
      <c r="BM518" s="235">
        <f t="shared" si="580"/>
        <v>2.9108720930232557</v>
      </c>
      <c r="BN518" s="235" cm="1">
        <f t="array" ref="BN518">$BI518 * SUMPRODUCT(INDEX($AR$77:$AT$82,,$AI518),INDEX($AU$77:$BA$82,,$AH518), N($AQ$77:$AQ$82&gt;$AO518)) / BM518 / 1000</f>
        <v>0</v>
      </c>
      <c r="BO518" s="232">
        <f t="shared" si="567"/>
        <v>30</v>
      </c>
      <c r="BP518" s="230">
        <f t="shared" si="581"/>
        <v>43</v>
      </c>
      <c r="BQ518" s="235">
        <f t="shared" si="582"/>
        <v>3.2938815789473681</v>
      </c>
      <c r="BR518" s="235" cm="1">
        <f t="array" ref="BR518">$BI518 * IF($AH518&lt;=2,
SUMPRODUCT(INDEX($AR$72:$AT$76,,$AI518), INDEX($AU$72:$BA$76,,$AH518), 1 / ($BB$72:$BB$76*BQ518 + (1-$BB$72:$BB$76)*BM518), N($AQ$72:$AQ$76&gt;$AO518)),
SUMPRODUCT(INDEX($AR$67:$AT$76,,$AI518), INDEX($AU$67:$BA$76,,$AH518), 1 / ($BC$67:$BC$76*BQ518 + (1-$BC$67:$BC$76)*BM518), N($AQ$67:$AQ$76&gt;$AO518))
) / 1000</f>
        <v>0</v>
      </c>
      <c r="BS518" s="232">
        <f t="shared" si="568"/>
        <v>25</v>
      </c>
      <c r="BT518" s="230">
        <f t="shared" si="583"/>
        <v>38</v>
      </c>
      <c r="BU518" s="235">
        <f t="shared" si="584"/>
        <v>3.792954545454545</v>
      </c>
      <c r="BV518" s="235" cm="1">
        <f t="array" ref="BV518">$BI518 * IF($AH518&lt;=2,
SUMPRODUCT(INDEX($AR$67:$AT$71,,$AI518), INDEX($AU$67:$BA$71,,$AH518), 1 / ($BB$67:$BB$71*BU518 + (1-$BB$67:$BB$71)*BQ518), N($AQ$67:$AQ$71&gt;$AO518)),
SUMPRODUCT(INDEX($AR$57:$AT$66,,$AI518), INDEX($AU$57:$BA$66,,$AH518), 1 / ($BC$57:$BC$66*BU518 + (1-$BC$57:$BC$66)*BQ518), N($AQ$57:$AQ$66&gt;$AO518))
) / 1000</f>
        <v>0</v>
      </c>
      <c r="BW518" s="232">
        <f t="shared" si="569"/>
        <v>20</v>
      </c>
      <c r="BX518" s="230">
        <f t="shared" si="585"/>
        <v>33</v>
      </c>
      <c r="BY518" s="235">
        <f t="shared" si="586"/>
        <v>4.4702678571428569</v>
      </c>
      <c r="BZ518" s="235" cm="1">
        <f t="array" ref="BZ518">$BI518 * IF($AH518&lt;=2,
SUMPRODUCT(INDEX($AR$62:$AT$66,,$AI518), INDEX($AU$62:$BA$66,,$AH518), 1 / ($BB$62:$BB$66*BY518 + (1-$BB$62:$BB$66)*BU518), N($AQ$62:$AQ$66&gt;$AO518)),
SUMPRODUCT(INDEX($AR$47:$AT$56,,$AI518), INDEX($AU$47:$BA$56,,$AH518), 1 / ($BC$47:$BC$56*BY518 + (1-$BC$47:$BC$56)*BU518), N($AQ$47:$AQ$56&gt;$AO518))
) / 1000</f>
        <v>0</v>
      </c>
      <c r="CA518" s="235" cm="1">
        <f t="array" ref="CA518">$BI518 * IF($AH518&lt;=2,
SUMPRODUCT(INDEX($AR$23:$AT$61,,$AI518), INDEX($AU$23:$BA$61,,$AH518), 1 / ($BB$23:$BB$61*BY518), N($AQ$23:$AQ$61&gt;$AO518)),
SUMPRODUCT(INDEX($AR$23:$AT$46,,$AI518), INDEX($AU$23:$BA$46,,$AH518), 1 / ($BC$23:$BC$46*BY518), N($AQ$23:$AQ$46&gt;$AO518))
) / 1000</f>
        <v>0</v>
      </c>
      <c r="CB518" s="230">
        <f t="shared" si="587"/>
        <v>0</v>
      </c>
      <c r="CC518" s="238"/>
      <c r="CD518" s="229" cm="1">
        <f t="array" ref="CD518">IF(ISBLANK(Y518), INDEX(Use, $AH518, 4) - AN518*INDEX(Use, $AH518, 6) - (Q518-X518), Y518)</f>
        <v>7</v>
      </c>
      <c r="CE518" s="229">
        <f t="shared" si="588"/>
        <v>32</v>
      </c>
      <c r="CF518" s="230">
        <f t="shared" si="589"/>
        <v>0</v>
      </c>
      <c r="CG518" s="229">
        <v>35</v>
      </c>
      <c r="CH518" s="230">
        <f t="shared" si="590"/>
        <v>48</v>
      </c>
      <c r="CI518" s="235">
        <f t="shared" si="591"/>
        <v>3.0748170731707316</v>
      </c>
      <c r="CJ518" s="235" cm="1">
        <f t="array" ref="CJ518">$BI518 * SUMPRODUCT(INDEX($AR$77:$AT$82,,$AI518),INDEX($AU$77:$BA$82,,$AH518), N($AQ$77:$AQ$82&gt;$AO518)) / CI518 / 1000</f>
        <v>0</v>
      </c>
      <c r="CK518" s="232">
        <f t="shared" si="570"/>
        <v>30</v>
      </c>
      <c r="CL518" s="230">
        <f t="shared" si="592"/>
        <v>43</v>
      </c>
      <c r="CM518" s="235">
        <f t="shared" si="593"/>
        <v>3.5018750000000001</v>
      </c>
      <c r="CN518" s="235" cm="1">
        <f t="array" ref="CN518">$BI518 * IF($AH518&lt;=2,
SUMPRODUCT(INDEX($AR$72:$AT$76,,$AI518), INDEX($AU$72:$BA$76,,$AH518), 1 / ($BB$72:$BB$76*CM518 + (1-$BB$72:$BB$76)*CI518), N($AQ$72:$AQ$76&gt;$AO518)),
SUMPRODUCT(INDEX($AR$67:$AT$76,,$AI518), INDEX($AU$67:$BA$76,,$AH518), 1 / ($BC$67:$BC$76*CM518 + (1-$BC$67:$BC$76)*CI518), N($AQ$67:$AQ$76&gt;$AO518))
) / 1000</f>
        <v>0</v>
      </c>
      <c r="CO518" s="232">
        <f t="shared" si="571"/>
        <v>25</v>
      </c>
      <c r="CP518" s="230">
        <f t="shared" si="594"/>
        <v>38</v>
      </c>
      <c r="CQ518" s="235">
        <f t="shared" si="595"/>
        <v>4.0666935483870965</v>
      </c>
      <c r="CR518" s="235" cm="1">
        <f t="array" ref="CR518">$BI518 * IF($AH518&lt;=2,
SUMPRODUCT(INDEX($AR$67:$AT$71,,$AI518), INDEX($AU$67:$BA$71,,$AH518), 1 / ($BB$67:$BB$71*CQ518 + (1-$BB$67:$BB$71)*CM518), N($AQ$67:$AQ$71&gt;$AO518)),
SUMPRODUCT(INDEX($AR$57:$AT$66,,$AI518), INDEX($AU$57:$BA$66,,$AH518), 1 / ($BC$57:$BC$66*CQ518 + (1-$BC$57:$BC$66)*CM518), N($AQ$57:$AQ$66&gt;$AO518))
) / 1000</f>
        <v>0</v>
      </c>
      <c r="CS518" s="232">
        <f t="shared" si="572"/>
        <v>20</v>
      </c>
      <c r="CT518" s="230">
        <f t="shared" si="596"/>
        <v>33</v>
      </c>
      <c r="CU518" s="235">
        <f t="shared" si="597"/>
        <v>4.8487499999999999</v>
      </c>
      <c r="CV518" s="235" cm="1">
        <f t="array" ref="CV518">$BI518 * IF($AH518&lt;=2,
SUMPRODUCT(INDEX($AR$62:$AT$66,,$AI518), INDEX($AU$62:$BA$66,,$AH518), 1 / ($BB$62:$BB$66*CU518 + (1-$BB$62:$BB$66)*CQ518), N($AQ$62:$AQ$66&gt;$AO518)),
SUMPRODUCT(INDEX($AR$47:$AT$56,,$AI518), INDEX($AU$47:$BA$56,,$AH518), 1 / ($BC$47:$BC$56*CU518 + (1-$BC$47:$BC$56)*CQ518), N($AQ$47:$AQ$56&gt;$AO518))
) / 1000</f>
        <v>0</v>
      </c>
      <c r="CW518" s="235" cm="1">
        <f t="array" ref="CW518">$BI518 * IF($AH518&lt;=2,
SUMPRODUCT(INDEX($AR$23:$AT$61,,$AI518), INDEX($AU$23:$BA$61,,$AH518), 1 / ($BB$23:$BB$61*CU518), N($AQ$23:$AQ$61&gt;$AO518)),
SUMPRODUCT(INDEX($AR$23:$AT$46,,$AI518), INDEX($AU$23:$BA$46,,$AH518), 1 / ($BC$23:$BC$46*CU518), N($AQ$23:$AQ$46&gt;$AO518))
) / 1000</f>
        <v>0</v>
      </c>
      <c r="CX518" s="230">
        <f t="shared" si="598"/>
        <v>0</v>
      </c>
      <c r="CY518" s="238"/>
    </row>
    <row r="519" spans="1:103" s="76" customFormat="1" ht="14.25" customHeight="1" x14ac:dyDescent="0.2">
      <c r="A519" s="231" t="b">
        <f t="shared" si="564"/>
        <v>0</v>
      </c>
      <c r="B519" s="245">
        <v>497</v>
      </c>
      <c r="C519" s="258"/>
      <c r="D519" s="258"/>
      <c r="E519" s="246"/>
      <c r="F519" s="247" t="str">
        <f>IF(ISBLANK(E519), "", VLOOKUP(E519, Z!$A$2:$C$4127, 3, FALSE))</f>
        <v/>
      </c>
      <c r="G519" s="248"/>
      <c r="H519" s="248"/>
      <c r="I519" s="249"/>
      <c r="J519" s="250"/>
      <c r="K519" s="259"/>
      <c r="L519" s="260"/>
      <c r="M519" s="252" t="str" cm="1">
        <f t="array" ref="M519">INDEX(Trad, 53, $A$20)</f>
        <v>Verschmutzt</v>
      </c>
      <c r="N519" s="253"/>
      <c r="O519" s="253"/>
      <c r="P519" s="254"/>
      <c r="Q519" s="251"/>
      <c r="R519" s="251"/>
      <c r="S519" s="264">
        <f t="shared" si="573"/>
        <v>0</v>
      </c>
      <c r="T519" s="252" t="str" cm="1">
        <f t="array" ref="T519">INDEX(Trad, 52, $A$20)</f>
        <v>Sauber</v>
      </c>
      <c r="U519" s="253"/>
      <c r="V519" s="253"/>
      <c r="W519" s="254"/>
      <c r="X519" s="251"/>
      <c r="Y519" s="251"/>
      <c r="Z519" s="264">
        <f t="shared" si="574"/>
        <v>0</v>
      </c>
      <c r="AA519" s="261"/>
      <c r="AB519" s="258"/>
      <c r="AC519" s="246"/>
      <c r="AD519" s="247" t="str">
        <f>IF(ISBLANK(AC519), "", VLOOKUP(AC519, Z!$A$2:$C$4127, 3, FALSE))</f>
        <v/>
      </c>
      <c r="AE519" s="262"/>
      <c r="AF519" s="263">
        <f t="shared" si="575"/>
        <v>0</v>
      </c>
      <c r="AG519" s="238"/>
      <c r="AH519" s="229">
        <f t="shared" si="599"/>
        <v>1</v>
      </c>
      <c r="AI519" s="229">
        <f t="shared" si="600"/>
        <v>1</v>
      </c>
      <c r="AJ519" s="229">
        <f t="shared" si="601"/>
        <v>0</v>
      </c>
      <c r="AK519" s="229">
        <v>0</v>
      </c>
      <c r="AL519" s="229">
        <v>0</v>
      </c>
      <c r="AM519" s="229">
        <v>1</v>
      </c>
      <c r="AN519" s="229">
        <v>0</v>
      </c>
      <c r="AO519" s="229">
        <f t="shared" si="576"/>
        <v>-100</v>
      </c>
      <c r="AP519" s="238"/>
      <c r="AQ519" s="255"/>
      <c r="AR519" s="255"/>
      <c r="AS519" s="256"/>
      <c r="AT519" s="256"/>
      <c r="AU519" s="256"/>
      <c r="AV519" s="256"/>
      <c r="AW519" s="256"/>
      <c r="AX519" s="256"/>
      <c r="AY519" s="256"/>
      <c r="AZ519" s="256"/>
      <c r="BA519" s="256"/>
      <c r="BB519" s="256"/>
      <c r="BC519" s="256"/>
      <c r="BD519" s="238"/>
      <c r="BE519" s="229" cm="1">
        <f t="array" ref="BE519">IF(ISBLANK(R519), INDEX(Use, $AH519, 4) - AM519*INDEX(Use, $AH519, 6), R519)</f>
        <v>5</v>
      </c>
      <c r="BF519" s="229">
        <f t="shared" si="577"/>
        <v>30</v>
      </c>
      <c r="BG519" s="229">
        <f t="shared" si="565"/>
        <v>13</v>
      </c>
      <c r="BH519" s="229">
        <f t="shared" si="566"/>
        <v>0</v>
      </c>
      <c r="BI519" s="234" cm="1">
        <f t="array" ref="BI519">K519/IF($L519&gt;0, INDEX($AU$23:$BA$77, $L519+20, $AH519), 1)</f>
        <v>0</v>
      </c>
      <c r="BJ519" s="230">
        <f t="shared" si="578"/>
        <v>0</v>
      </c>
      <c r="BK519" s="229">
        <v>35</v>
      </c>
      <c r="BL519" s="230">
        <f t="shared" si="579"/>
        <v>48</v>
      </c>
      <c r="BM519" s="235">
        <f t="shared" si="580"/>
        <v>2.9108720930232557</v>
      </c>
      <c r="BN519" s="235" cm="1">
        <f t="array" ref="BN519">$BI519 * SUMPRODUCT(INDEX($AR$77:$AT$82,,$AI519),INDEX($AU$77:$BA$82,,$AH519), N($AQ$77:$AQ$82&gt;$AO519)) / BM519 / 1000</f>
        <v>0</v>
      </c>
      <c r="BO519" s="232">
        <f t="shared" si="567"/>
        <v>30</v>
      </c>
      <c r="BP519" s="230">
        <f t="shared" si="581"/>
        <v>43</v>
      </c>
      <c r="BQ519" s="235">
        <f t="shared" si="582"/>
        <v>3.2938815789473681</v>
      </c>
      <c r="BR519" s="235" cm="1">
        <f t="array" ref="BR519">$BI519 * IF($AH519&lt;=2,
SUMPRODUCT(INDEX($AR$72:$AT$76,,$AI519), INDEX($AU$72:$BA$76,,$AH519), 1 / ($BB$72:$BB$76*BQ519 + (1-$BB$72:$BB$76)*BM519), N($AQ$72:$AQ$76&gt;$AO519)),
SUMPRODUCT(INDEX($AR$67:$AT$76,,$AI519), INDEX($AU$67:$BA$76,,$AH519), 1 / ($BC$67:$BC$76*BQ519 + (1-$BC$67:$BC$76)*BM519), N($AQ$67:$AQ$76&gt;$AO519))
) / 1000</f>
        <v>0</v>
      </c>
      <c r="BS519" s="232">
        <f t="shared" si="568"/>
        <v>25</v>
      </c>
      <c r="BT519" s="230">
        <f t="shared" si="583"/>
        <v>38</v>
      </c>
      <c r="BU519" s="235">
        <f t="shared" si="584"/>
        <v>3.792954545454545</v>
      </c>
      <c r="BV519" s="235" cm="1">
        <f t="array" ref="BV519">$BI519 * IF($AH519&lt;=2,
SUMPRODUCT(INDEX($AR$67:$AT$71,,$AI519), INDEX($AU$67:$BA$71,,$AH519), 1 / ($BB$67:$BB$71*BU519 + (1-$BB$67:$BB$71)*BQ519), N($AQ$67:$AQ$71&gt;$AO519)),
SUMPRODUCT(INDEX($AR$57:$AT$66,,$AI519), INDEX($AU$57:$BA$66,,$AH519), 1 / ($BC$57:$BC$66*BU519 + (1-$BC$57:$BC$66)*BQ519), N($AQ$57:$AQ$66&gt;$AO519))
) / 1000</f>
        <v>0</v>
      </c>
      <c r="BW519" s="232">
        <f t="shared" si="569"/>
        <v>20</v>
      </c>
      <c r="BX519" s="230">
        <f t="shared" si="585"/>
        <v>33</v>
      </c>
      <c r="BY519" s="235">
        <f t="shared" si="586"/>
        <v>4.4702678571428569</v>
      </c>
      <c r="BZ519" s="235" cm="1">
        <f t="array" ref="BZ519">$BI519 * IF($AH519&lt;=2,
SUMPRODUCT(INDEX($AR$62:$AT$66,,$AI519), INDEX($AU$62:$BA$66,,$AH519), 1 / ($BB$62:$BB$66*BY519 + (1-$BB$62:$BB$66)*BU519), N($AQ$62:$AQ$66&gt;$AO519)),
SUMPRODUCT(INDEX($AR$47:$AT$56,,$AI519), INDEX($AU$47:$BA$56,,$AH519), 1 / ($BC$47:$BC$56*BY519 + (1-$BC$47:$BC$56)*BU519), N($AQ$47:$AQ$56&gt;$AO519))
) / 1000</f>
        <v>0</v>
      </c>
      <c r="CA519" s="235" cm="1">
        <f t="array" ref="CA519">$BI519 * IF($AH519&lt;=2,
SUMPRODUCT(INDEX($AR$23:$AT$61,,$AI519), INDEX($AU$23:$BA$61,,$AH519), 1 / ($BB$23:$BB$61*BY519), N($AQ$23:$AQ$61&gt;$AO519)),
SUMPRODUCT(INDEX($AR$23:$AT$46,,$AI519), INDEX($AU$23:$BA$46,,$AH519), 1 / ($BC$23:$BC$46*BY519), N($AQ$23:$AQ$46&gt;$AO519))
) / 1000</f>
        <v>0</v>
      </c>
      <c r="CB519" s="230">
        <f t="shared" si="587"/>
        <v>0</v>
      </c>
      <c r="CC519" s="238"/>
      <c r="CD519" s="229" cm="1">
        <f t="array" ref="CD519">IF(ISBLANK(Y519), INDEX(Use, $AH519, 4) - AN519*INDEX(Use, $AH519, 6) - (Q519-X519), Y519)</f>
        <v>7</v>
      </c>
      <c r="CE519" s="229">
        <f t="shared" si="588"/>
        <v>32</v>
      </c>
      <c r="CF519" s="230">
        <f t="shared" si="589"/>
        <v>0</v>
      </c>
      <c r="CG519" s="229">
        <v>35</v>
      </c>
      <c r="CH519" s="230">
        <f t="shared" si="590"/>
        <v>48</v>
      </c>
      <c r="CI519" s="235">
        <f t="shared" si="591"/>
        <v>3.0748170731707316</v>
      </c>
      <c r="CJ519" s="235" cm="1">
        <f t="array" ref="CJ519">$BI519 * SUMPRODUCT(INDEX($AR$77:$AT$82,,$AI519),INDEX($AU$77:$BA$82,,$AH519), N($AQ$77:$AQ$82&gt;$AO519)) / CI519 / 1000</f>
        <v>0</v>
      </c>
      <c r="CK519" s="232">
        <f t="shared" si="570"/>
        <v>30</v>
      </c>
      <c r="CL519" s="230">
        <f t="shared" si="592"/>
        <v>43</v>
      </c>
      <c r="CM519" s="235">
        <f t="shared" si="593"/>
        <v>3.5018750000000001</v>
      </c>
      <c r="CN519" s="235" cm="1">
        <f t="array" ref="CN519">$BI519 * IF($AH519&lt;=2,
SUMPRODUCT(INDEX($AR$72:$AT$76,,$AI519), INDEX($AU$72:$BA$76,,$AH519), 1 / ($BB$72:$BB$76*CM519 + (1-$BB$72:$BB$76)*CI519), N($AQ$72:$AQ$76&gt;$AO519)),
SUMPRODUCT(INDEX($AR$67:$AT$76,,$AI519), INDEX($AU$67:$BA$76,,$AH519), 1 / ($BC$67:$BC$76*CM519 + (1-$BC$67:$BC$76)*CI519), N($AQ$67:$AQ$76&gt;$AO519))
) / 1000</f>
        <v>0</v>
      </c>
      <c r="CO519" s="232">
        <f t="shared" si="571"/>
        <v>25</v>
      </c>
      <c r="CP519" s="230">
        <f t="shared" si="594"/>
        <v>38</v>
      </c>
      <c r="CQ519" s="235">
        <f t="shared" si="595"/>
        <v>4.0666935483870965</v>
      </c>
      <c r="CR519" s="235" cm="1">
        <f t="array" ref="CR519">$BI519 * IF($AH519&lt;=2,
SUMPRODUCT(INDEX($AR$67:$AT$71,,$AI519), INDEX($AU$67:$BA$71,,$AH519), 1 / ($BB$67:$BB$71*CQ519 + (1-$BB$67:$BB$71)*CM519), N($AQ$67:$AQ$71&gt;$AO519)),
SUMPRODUCT(INDEX($AR$57:$AT$66,,$AI519), INDEX($AU$57:$BA$66,,$AH519), 1 / ($BC$57:$BC$66*CQ519 + (1-$BC$57:$BC$66)*CM519), N($AQ$57:$AQ$66&gt;$AO519))
) / 1000</f>
        <v>0</v>
      </c>
      <c r="CS519" s="232">
        <f t="shared" si="572"/>
        <v>20</v>
      </c>
      <c r="CT519" s="230">
        <f t="shared" si="596"/>
        <v>33</v>
      </c>
      <c r="CU519" s="235">
        <f t="shared" si="597"/>
        <v>4.8487499999999999</v>
      </c>
      <c r="CV519" s="235" cm="1">
        <f t="array" ref="CV519">$BI519 * IF($AH519&lt;=2,
SUMPRODUCT(INDEX($AR$62:$AT$66,,$AI519), INDEX($AU$62:$BA$66,,$AH519), 1 / ($BB$62:$BB$66*CU519 + (1-$BB$62:$BB$66)*CQ519), N($AQ$62:$AQ$66&gt;$AO519)),
SUMPRODUCT(INDEX($AR$47:$AT$56,,$AI519), INDEX($AU$47:$BA$56,,$AH519), 1 / ($BC$47:$BC$56*CU519 + (1-$BC$47:$BC$56)*CQ519), N($AQ$47:$AQ$56&gt;$AO519))
) / 1000</f>
        <v>0</v>
      </c>
      <c r="CW519" s="235" cm="1">
        <f t="array" ref="CW519">$BI519 * IF($AH519&lt;=2,
SUMPRODUCT(INDEX($AR$23:$AT$61,,$AI519), INDEX($AU$23:$BA$61,,$AH519), 1 / ($BB$23:$BB$61*CU519), N($AQ$23:$AQ$61&gt;$AO519)),
SUMPRODUCT(INDEX($AR$23:$AT$46,,$AI519), INDEX($AU$23:$BA$46,,$AH519), 1 / ($BC$23:$BC$46*CU519), N($AQ$23:$AQ$46&gt;$AO519))
) / 1000</f>
        <v>0</v>
      </c>
      <c r="CX519" s="230">
        <f t="shared" si="598"/>
        <v>0</v>
      </c>
      <c r="CY519" s="238"/>
    </row>
    <row r="520" spans="1:103" s="76" customFormat="1" ht="14.25" customHeight="1" x14ac:dyDescent="0.2">
      <c r="A520" s="231" t="b">
        <f t="shared" si="564"/>
        <v>0</v>
      </c>
      <c r="B520" s="245">
        <v>498</v>
      </c>
      <c r="C520" s="258"/>
      <c r="D520" s="258"/>
      <c r="E520" s="246"/>
      <c r="F520" s="247" t="str">
        <f>IF(ISBLANK(E520), "", VLOOKUP(E520, Z!$A$2:$C$4127, 3, FALSE))</f>
        <v/>
      </c>
      <c r="G520" s="248"/>
      <c r="H520" s="248"/>
      <c r="I520" s="249"/>
      <c r="J520" s="250"/>
      <c r="K520" s="259"/>
      <c r="L520" s="260"/>
      <c r="M520" s="252" t="str" cm="1">
        <f t="array" ref="M520">INDEX(Trad, 53, $A$20)</f>
        <v>Verschmutzt</v>
      </c>
      <c r="N520" s="253"/>
      <c r="O520" s="253"/>
      <c r="P520" s="254"/>
      <c r="Q520" s="251"/>
      <c r="R520" s="251"/>
      <c r="S520" s="264">
        <f t="shared" si="573"/>
        <v>0</v>
      </c>
      <c r="T520" s="252" t="str" cm="1">
        <f t="array" ref="T520">INDEX(Trad, 52, $A$20)</f>
        <v>Sauber</v>
      </c>
      <c r="U520" s="253"/>
      <c r="V520" s="253"/>
      <c r="W520" s="254"/>
      <c r="X520" s="251"/>
      <c r="Y520" s="251"/>
      <c r="Z520" s="264">
        <f t="shared" si="574"/>
        <v>0</v>
      </c>
      <c r="AA520" s="261"/>
      <c r="AB520" s="258"/>
      <c r="AC520" s="246"/>
      <c r="AD520" s="247" t="str">
        <f>IF(ISBLANK(AC520), "", VLOOKUP(AC520, Z!$A$2:$C$4127, 3, FALSE))</f>
        <v/>
      </c>
      <c r="AE520" s="262"/>
      <c r="AF520" s="263">
        <f t="shared" si="575"/>
        <v>0</v>
      </c>
      <c r="AG520" s="238"/>
      <c r="AH520" s="229">
        <f t="shared" si="599"/>
        <v>1</v>
      </c>
      <c r="AI520" s="229">
        <f t="shared" si="600"/>
        <v>1</v>
      </c>
      <c r="AJ520" s="229">
        <f t="shared" si="601"/>
        <v>0</v>
      </c>
      <c r="AK520" s="229">
        <v>0</v>
      </c>
      <c r="AL520" s="229">
        <v>0</v>
      </c>
      <c r="AM520" s="229">
        <v>1</v>
      </c>
      <c r="AN520" s="229">
        <v>0</v>
      </c>
      <c r="AO520" s="229">
        <f t="shared" si="576"/>
        <v>-100</v>
      </c>
      <c r="AP520" s="238"/>
      <c r="AQ520" s="255"/>
      <c r="AR520" s="255"/>
      <c r="AS520" s="256"/>
      <c r="AT520" s="256"/>
      <c r="AU520" s="256"/>
      <c r="AV520" s="256"/>
      <c r="AW520" s="256"/>
      <c r="AX520" s="256"/>
      <c r="AY520" s="256"/>
      <c r="AZ520" s="256"/>
      <c r="BA520" s="256"/>
      <c r="BB520" s="256"/>
      <c r="BC520" s="256"/>
      <c r="BD520" s="238"/>
      <c r="BE520" s="229" cm="1">
        <f t="array" ref="BE520">IF(ISBLANK(R520), INDEX(Use, $AH520, 4) - AM520*INDEX(Use, $AH520, 6), R520)</f>
        <v>5</v>
      </c>
      <c r="BF520" s="229">
        <f t="shared" si="577"/>
        <v>30</v>
      </c>
      <c r="BG520" s="229">
        <f t="shared" si="565"/>
        <v>13</v>
      </c>
      <c r="BH520" s="229">
        <f t="shared" si="566"/>
        <v>0</v>
      </c>
      <c r="BI520" s="234" cm="1">
        <f t="array" ref="BI520">K520/IF($L520&gt;0, INDEX($AU$23:$BA$77, $L520+20, $AH520), 1)</f>
        <v>0</v>
      </c>
      <c r="BJ520" s="230">
        <f t="shared" si="578"/>
        <v>0</v>
      </c>
      <c r="BK520" s="229">
        <v>35</v>
      </c>
      <c r="BL520" s="230">
        <f t="shared" si="579"/>
        <v>48</v>
      </c>
      <c r="BM520" s="235">
        <f t="shared" si="580"/>
        <v>2.9108720930232557</v>
      </c>
      <c r="BN520" s="235" cm="1">
        <f t="array" ref="BN520">$BI520 * SUMPRODUCT(INDEX($AR$77:$AT$82,,$AI520),INDEX($AU$77:$BA$82,,$AH520), N($AQ$77:$AQ$82&gt;$AO520)) / BM520 / 1000</f>
        <v>0</v>
      </c>
      <c r="BO520" s="232">
        <f t="shared" si="567"/>
        <v>30</v>
      </c>
      <c r="BP520" s="230">
        <f t="shared" si="581"/>
        <v>43</v>
      </c>
      <c r="BQ520" s="235">
        <f t="shared" si="582"/>
        <v>3.2938815789473681</v>
      </c>
      <c r="BR520" s="235" cm="1">
        <f t="array" ref="BR520">$BI520 * IF($AH520&lt;=2,
SUMPRODUCT(INDEX($AR$72:$AT$76,,$AI520), INDEX($AU$72:$BA$76,,$AH520), 1 / ($BB$72:$BB$76*BQ520 + (1-$BB$72:$BB$76)*BM520), N($AQ$72:$AQ$76&gt;$AO520)),
SUMPRODUCT(INDEX($AR$67:$AT$76,,$AI520), INDEX($AU$67:$BA$76,,$AH520), 1 / ($BC$67:$BC$76*BQ520 + (1-$BC$67:$BC$76)*BM520), N($AQ$67:$AQ$76&gt;$AO520))
) / 1000</f>
        <v>0</v>
      </c>
      <c r="BS520" s="232">
        <f t="shared" si="568"/>
        <v>25</v>
      </c>
      <c r="BT520" s="230">
        <f t="shared" si="583"/>
        <v>38</v>
      </c>
      <c r="BU520" s="235">
        <f t="shared" si="584"/>
        <v>3.792954545454545</v>
      </c>
      <c r="BV520" s="235" cm="1">
        <f t="array" ref="BV520">$BI520 * IF($AH520&lt;=2,
SUMPRODUCT(INDEX($AR$67:$AT$71,,$AI520), INDEX($AU$67:$BA$71,,$AH520), 1 / ($BB$67:$BB$71*BU520 + (1-$BB$67:$BB$71)*BQ520), N($AQ$67:$AQ$71&gt;$AO520)),
SUMPRODUCT(INDEX($AR$57:$AT$66,,$AI520), INDEX($AU$57:$BA$66,,$AH520), 1 / ($BC$57:$BC$66*BU520 + (1-$BC$57:$BC$66)*BQ520), N($AQ$57:$AQ$66&gt;$AO520))
) / 1000</f>
        <v>0</v>
      </c>
      <c r="BW520" s="232">
        <f t="shared" si="569"/>
        <v>20</v>
      </c>
      <c r="BX520" s="230">
        <f t="shared" si="585"/>
        <v>33</v>
      </c>
      <c r="BY520" s="235">
        <f t="shared" si="586"/>
        <v>4.4702678571428569</v>
      </c>
      <c r="BZ520" s="235" cm="1">
        <f t="array" ref="BZ520">$BI520 * IF($AH520&lt;=2,
SUMPRODUCT(INDEX($AR$62:$AT$66,,$AI520), INDEX($AU$62:$BA$66,,$AH520), 1 / ($BB$62:$BB$66*BY520 + (1-$BB$62:$BB$66)*BU520), N($AQ$62:$AQ$66&gt;$AO520)),
SUMPRODUCT(INDEX($AR$47:$AT$56,,$AI520), INDEX($AU$47:$BA$56,,$AH520), 1 / ($BC$47:$BC$56*BY520 + (1-$BC$47:$BC$56)*BU520), N($AQ$47:$AQ$56&gt;$AO520))
) / 1000</f>
        <v>0</v>
      </c>
      <c r="CA520" s="235" cm="1">
        <f t="array" ref="CA520">$BI520 * IF($AH520&lt;=2,
SUMPRODUCT(INDEX($AR$23:$AT$61,,$AI520), INDEX($AU$23:$BA$61,,$AH520), 1 / ($BB$23:$BB$61*BY520), N($AQ$23:$AQ$61&gt;$AO520)),
SUMPRODUCT(INDEX($AR$23:$AT$46,,$AI520), INDEX($AU$23:$BA$46,,$AH520), 1 / ($BC$23:$BC$46*BY520), N($AQ$23:$AQ$46&gt;$AO520))
) / 1000</f>
        <v>0</v>
      </c>
      <c r="CB520" s="230">
        <f t="shared" si="587"/>
        <v>0</v>
      </c>
      <c r="CC520" s="238"/>
      <c r="CD520" s="229" cm="1">
        <f t="array" ref="CD520">IF(ISBLANK(Y520), INDEX(Use, $AH520, 4) - AN520*INDEX(Use, $AH520, 6) - (Q520-X520), Y520)</f>
        <v>7</v>
      </c>
      <c r="CE520" s="229">
        <f t="shared" si="588"/>
        <v>32</v>
      </c>
      <c r="CF520" s="230">
        <f t="shared" si="589"/>
        <v>0</v>
      </c>
      <c r="CG520" s="229">
        <v>35</v>
      </c>
      <c r="CH520" s="230">
        <f t="shared" si="590"/>
        <v>48</v>
      </c>
      <c r="CI520" s="235">
        <f t="shared" si="591"/>
        <v>3.0748170731707316</v>
      </c>
      <c r="CJ520" s="235" cm="1">
        <f t="array" ref="CJ520">$BI520 * SUMPRODUCT(INDEX($AR$77:$AT$82,,$AI520),INDEX($AU$77:$BA$82,,$AH520), N($AQ$77:$AQ$82&gt;$AO520)) / CI520 / 1000</f>
        <v>0</v>
      </c>
      <c r="CK520" s="232">
        <f t="shared" si="570"/>
        <v>30</v>
      </c>
      <c r="CL520" s="230">
        <f t="shared" si="592"/>
        <v>43</v>
      </c>
      <c r="CM520" s="235">
        <f t="shared" si="593"/>
        <v>3.5018750000000001</v>
      </c>
      <c r="CN520" s="235" cm="1">
        <f t="array" ref="CN520">$BI520 * IF($AH520&lt;=2,
SUMPRODUCT(INDEX($AR$72:$AT$76,,$AI520), INDEX($AU$72:$BA$76,,$AH520), 1 / ($BB$72:$BB$76*CM520 + (1-$BB$72:$BB$76)*CI520), N($AQ$72:$AQ$76&gt;$AO520)),
SUMPRODUCT(INDEX($AR$67:$AT$76,,$AI520), INDEX($AU$67:$BA$76,,$AH520), 1 / ($BC$67:$BC$76*CM520 + (1-$BC$67:$BC$76)*CI520), N($AQ$67:$AQ$76&gt;$AO520))
) / 1000</f>
        <v>0</v>
      </c>
      <c r="CO520" s="232">
        <f t="shared" si="571"/>
        <v>25</v>
      </c>
      <c r="CP520" s="230">
        <f t="shared" si="594"/>
        <v>38</v>
      </c>
      <c r="CQ520" s="235">
        <f t="shared" si="595"/>
        <v>4.0666935483870965</v>
      </c>
      <c r="CR520" s="235" cm="1">
        <f t="array" ref="CR520">$BI520 * IF($AH520&lt;=2,
SUMPRODUCT(INDEX($AR$67:$AT$71,,$AI520), INDEX($AU$67:$BA$71,,$AH520), 1 / ($BB$67:$BB$71*CQ520 + (1-$BB$67:$BB$71)*CM520), N($AQ$67:$AQ$71&gt;$AO520)),
SUMPRODUCT(INDEX($AR$57:$AT$66,,$AI520), INDEX($AU$57:$BA$66,,$AH520), 1 / ($BC$57:$BC$66*CQ520 + (1-$BC$57:$BC$66)*CM520), N($AQ$57:$AQ$66&gt;$AO520))
) / 1000</f>
        <v>0</v>
      </c>
      <c r="CS520" s="232">
        <f t="shared" si="572"/>
        <v>20</v>
      </c>
      <c r="CT520" s="230">
        <f t="shared" si="596"/>
        <v>33</v>
      </c>
      <c r="CU520" s="235">
        <f t="shared" si="597"/>
        <v>4.8487499999999999</v>
      </c>
      <c r="CV520" s="235" cm="1">
        <f t="array" ref="CV520">$BI520 * IF($AH520&lt;=2,
SUMPRODUCT(INDEX($AR$62:$AT$66,,$AI520), INDEX($AU$62:$BA$66,,$AH520), 1 / ($BB$62:$BB$66*CU520 + (1-$BB$62:$BB$66)*CQ520), N($AQ$62:$AQ$66&gt;$AO520)),
SUMPRODUCT(INDEX($AR$47:$AT$56,,$AI520), INDEX($AU$47:$BA$56,,$AH520), 1 / ($BC$47:$BC$56*CU520 + (1-$BC$47:$BC$56)*CQ520), N($AQ$47:$AQ$56&gt;$AO520))
) / 1000</f>
        <v>0</v>
      </c>
      <c r="CW520" s="235" cm="1">
        <f t="array" ref="CW520">$BI520 * IF($AH520&lt;=2,
SUMPRODUCT(INDEX($AR$23:$AT$61,,$AI520), INDEX($AU$23:$BA$61,,$AH520), 1 / ($BB$23:$BB$61*CU520), N($AQ$23:$AQ$61&gt;$AO520)),
SUMPRODUCT(INDEX($AR$23:$AT$46,,$AI520), INDEX($AU$23:$BA$46,,$AH520), 1 / ($BC$23:$BC$46*CU520), N($AQ$23:$AQ$46&gt;$AO520))
) / 1000</f>
        <v>0</v>
      </c>
      <c r="CX520" s="230">
        <f t="shared" si="598"/>
        <v>0</v>
      </c>
      <c r="CY520" s="238"/>
    </row>
    <row r="521" spans="1:103" s="76" customFormat="1" ht="14.25" customHeight="1" x14ac:dyDescent="0.2">
      <c r="A521" s="231" t="b">
        <f t="shared" si="564"/>
        <v>0</v>
      </c>
      <c r="B521" s="245">
        <v>499</v>
      </c>
      <c r="C521" s="258"/>
      <c r="D521" s="258"/>
      <c r="E521" s="246"/>
      <c r="F521" s="247" t="str">
        <f>IF(ISBLANK(E521), "", VLOOKUP(E521, Z!$A$2:$C$4127, 3, FALSE))</f>
        <v/>
      </c>
      <c r="G521" s="248"/>
      <c r="H521" s="248"/>
      <c r="I521" s="249"/>
      <c r="J521" s="250"/>
      <c r="K521" s="259"/>
      <c r="L521" s="260"/>
      <c r="M521" s="252" t="str" cm="1">
        <f t="array" ref="M521">INDEX(Trad, 53, $A$20)</f>
        <v>Verschmutzt</v>
      </c>
      <c r="N521" s="253"/>
      <c r="O521" s="253"/>
      <c r="P521" s="254"/>
      <c r="Q521" s="251"/>
      <c r="R521" s="251"/>
      <c r="S521" s="264">
        <f t="shared" si="573"/>
        <v>0</v>
      </c>
      <c r="T521" s="252" t="str" cm="1">
        <f t="array" ref="T521">INDEX(Trad, 52, $A$20)</f>
        <v>Sauber</v>
      </c>
      <c r="U521" s="253"/>
      <c r="V521" s="253"/>
      <c r="W521" s="254"/>
      <c r="X521" s="251"/>
      <c r="Y521" s="251"/>
      <c r="Z521" s="264">
        <f t="shared" si="574"/>
        <v>0</v>
      </c>
      <c r="AA521" s="261"/>
      <c r="AB521" s="258"/>
      <c r="AC521" s="246"/>
      <c r="AD521" s="247" t="str">
        <f>IF(ISBLANK(AC521), "", VLOOKUP(AC521, Z!$A$2:$C$4127, 3, FALSE))</f>
        <v/>
      </c>
      <c r="AE521" s="262"/>
      <c r="AF521" s="263">
        <f t="shared" si="575"/>
        <v>0</v>
      </c>
      <c r="AG521" s="238"/>
      <c r="AH521" s="229">
        <f t="shared" si="599"/>
        <v>1</v>
      </c>
      <c r="AI521" s="229">
        <f t="shared" si="600"/>
        <v>1</v>
      </c>
      <c r="AJ521" s="229">
        <f t="shared" si="601"/>
        <v>0</v>
      </c>
      <c r="AK521" s="229">
        <v>0</v>
      </c>
      <c r="AL521" s="229">
        <v>0</v>
      </c>
      <c r="AM521" s="229">
        <v>1</v>
      </c>
      <c r="AN521" s="229">
        <v>0</v>
      </c>
      <c r="AO521" s="229">
        <f t="shared" si="576"/>
        <v>-100</v>
      </c>
      <c r="AP521" s="238"/>
      <c r="AQ521" s="255"/>
      <c r="AR521" s="255"/>
      <c r="AS521" s="256"/>
      <c r="AT521" s="256"/>
      <c r="AU521" s="256"/>
      <c r="AV521" s="256"/>
      <c r="AW521" s="256"/>
      <c r="AX521" s="256"/>
      <c r="AY521" s="256"/>
      <c r="AZ521" s="256"/>
      <c r="BA521" s="256"/>
      <c r="BB521" s="256"/>
      <c r="BC521" s="256"/>
      <c r="BD521" s="238"/>
      <c r="BE521" s="229" cm="1">
        <f t="array" ref="BE521">IF(ISBLANK(R521), INDEX(Use, $AH521, 4) - AM521*INDEX(Use, $AH521, 6), R521)</f>
        <v>5</v>
      </c>
      <c r="BF521" s="229">
        <f t="shared" si="577"/>
        <v>30</v>
      </c>
      <c r="BG521" s="229">
        <f t="shared" si="565"/>
        <v>13</v>
      </c>
      <c r="BH521" s="229">
        <f t="shared" si="566"/>
        <v>0</v>
      </c>
      <c r="BI521" s="234" cm="1">
        <f t="array" ref="BI521">K521/IF($L521&gt;0, INDEX($AU$23:$BA$77, $L521+20, $AH521), 1)</f>
        <v>0</v>
      </c>
      <c r="BJ521" s="230">
        <f t="shared" si="578"/>
        <v>0</v>
      </c>
      <c r="BK521" s="229">
        <v>35</v>
      </c>
      <c r="BL521" s="230">
        <f t="shared" si="579"/>
        <v>48</v>
      </c>
      <c r="BM521" s="235">
        <f t="shared" si="580"/>
        <v>2.9108720930232557</v>
      </c>
      <c r="BN521" s="235" cm="1">
        <f t="array" ref="BN521">$BI521 * SUMPRODUCT(INDEX($AR$77:$AT$82,,$AI521),INDEX($AU$77:$BA$82,,$AH521), N($AQ$77:$AQ$82&gt;$AO521)) / BM521 / 1000</f>
        <v>0</v>
      </c>
      <c r="BO521" s="232">
        <f t="shared" si="567"/>
        <v>30</v>
      </c>
      <c r="BP521" s="230">
        <f t="shared" si="581"/>
        <v>43</v>
      </c>
      <c r="BQ521" s="235">
        <f t="shared" si="582"/>
        <v>3.2938815789473681</v>
      </c>
      <c r="BR521" s="235" cm="1">
        <f t="array" ref="BR521">$BI521 * IF($AH521&lt;=2,
SUMPRODUCT(INDEX($AR$72:$AT$76,,$AI521), INDEX($AU$72:$BA$76,,$AH521), 1 / ($BB$72:$BB$76*BQ521 + (1-$BB$72:$BB$76)*BM521), N($AQ$72:$AQ$76&gt;$AO521)),
SUMPRODUCT(INDEX($AR$67:$AT$76,,$AI521), INDEX($AU$67:$BA$76,,$AH521), 1 / ($BC$67:$BC$76*BQ521 + (1-$BC$67:$BC$76)*BM521), N($AQ$67:$AQ$76&gt;$AO521))
) / 1000</f>
        <v>0</v>
      </c>
      <c r="BS521" s="232">
        <f t="shared" si="568"/>
        <v>25</v>
      </c>
      <c r="BT521" s="230">
        <f t="shared" si="583"/>
        <v>38</v>
      </c>
      <c r="BU521" s="235">
        <f t="shared" si="584"/>
        <v>3.792954545454545</v>
      </c>
      <c r="BV521" s="235" cm="1">
        <f t="array" ref="BV521">$BI521 * IF($AH521&lt;=2,
SUMPRODUCT(INDEX($AR$67:$AT$71,,$AI521), INDEX($AU$67:$BA$71,,$AH521), 1 / ($BB$67:$BB$71*BU521 + (1-$BB$67:$BB$71)*BQ521), N($AQ$67:$AQ$71&gt;$AO521)),
SUMPRODUCT(INDEX($AR$57:$AT$66,,$AI521), INDEX($AU$57:$BA$66,,$AH521), 1 / ($BC$57:$BC$66*BU521 + (1-$BC$57:$BC$66)*BQ521), N($AQ$57:$AQ$66&gt;$AO521))
) / 1000</f>
        <v>0</v>
      </c>
      <c r="BW521" s="232">
        <f t="shared" si="569"/>
        <v>20</v>
      </c>
      <c r="BX521" s="230">
        <f t="shared" si="585"/>
        <v>33</v>
      </c>
      <c r="BY521" s="235">
        <f t="shared" si="586"/>
        <v>4.4702678571428569</v>
      </c>
      <c r="BZ521" s="235" cm="1">
        <f t="array" ref="BZ521">$BI521 * IF($AH521&lt;=2,
SUMPRODUCT(INDEX($AR$62:$AT$66,,$AI521), INDEX($AU$62:$BA$66,,$AH521), 1 / ($BB$62:$BB$66*BY521 + (1-$BB$62:$BB$66)*BU521), N($AQ$62:$AQ$66&gt;$AO521)),
SUMPRODUCT(INDEX($AR$47:$AT$56,,$AI521), INDEX($AU$47:$BA$56,,$AH521), 1 / ($BC$47:$BC$56*BY521 + (1-$BC$47:$BC$56)*BU521), N($AQ$47:$AQ$56&gt;$AO521))
) / 1000</f>
        <v>0</v>
      </c>
      <c r="CA521" s="235" cm="1">
        <f t="array" ref="CA521">$BI521 * IF($AH521&lt;=2,
SUMPRODUCT(INDEX($AR$23:$AT$61,,$AI521), INDEX($AU$23:$BA$61,,$AH521), 1 / ($BB$23:$BB$61*BY521), N($AQ$23:$AQ$61&gt;$AO521)),
SUMPRODUCT(INDEX($AR$23:$AT$46,,$AI521), INDEX($AU$23:$BA$46,,$AH521), 1 / ($BC$23:$BC$46*BY521), N($AQ$23:$AQ$46&gt;$AO521))
) / 1000</f>
        <v>0</v>
      </c>
      <c r="CB521" s="230">
        <f t="shared" si="587"/>
        <v>0</v>
      </c>
      <c r="CC521" s="238"/>
      <c r="CD521" s="229" cm="1">
        <f t="array" ref="CD521">IF(ISBLANK(Y521), INDEX(Use, $AH521, 4) - AN521*INDEX(Use, $AH521, 6) - (Q521-X521), Y521)</f>
        <v>7</v>
      </c>
      <c r="CE521" s="229">
        <f t="shared" si="588"/>
        <v>32</v>
      </c>
      <c r="CF521" s="230">
        <f t="shared" si="589"/>
        <v>0</v>
      </c>
      <c r="CG521" s="229">
        <v>35</v>
      </c>
      <c r="CH521" s="230">
        <f t="shared" si="590"/>
        <v>48</v>
      </c>
      <c r="CI521" s="235">
        <f t="shared" si="591"/>
        <v>3.0748170731707316</v>
      </c>
      <c r="CJ521" s="235" cm="1">
        <f t="array" ref="CJ521">$BI521 * SUMPRODUCT(INDEX($AR$77:$AT$82,,$AI521),INDEX($AU$77:$BA$82,,$AH521), N($AQ$77:$AQ$82&gt;$AO521)) / CI521 / 1000</f>
        <v>0</v>
      </c>
      <c r="CK521" s="232">
        <f t="shared" si="570"/>
        <v>30</v>
      </c>
      <c r="CL521" s="230">
        <f t="shared" si="592"/>
        <v>43</v>
      </c>
      <c r="CM521" s="235">
        <f t="shared" si="593"/>
        <v>3.5018750000000001</v>
      </c>
      <c r="CN521" s="235" cm="1">
        <f t="array" ref="CN521">$BI521 * IF($AH521&lt;=2,
SUMPRODUCT(INDEX($AR$72:$AT$76,,$AI521), INDEX($AU$72:$BA$76,,$AH521), 1 / ($BB$72:$BB$76*CM521 + (1-$BB$72:$BB$76)*CI521), N($AQ$72:$AQ$76&gt;$AO521)),
SUMPRODUCT(INDEX($AR$67:$AT$76,,$AI521), INDEX($AU$67:$BA$76,,$AH521), 1 / ($BC$67:$BC$76*CM521 + (1-$BC$67:$BC$76)*CI521), N($AQ$67:$AQ$76&gt;$AO521))
) / 1000</f>
        <v>0</v>
      </c>
      <c r="CO521" s="232">
        <f t="shared" si="571"/>
        <v>25</v>
      </c>
      <c r="CP521" s="230">
        <f t="shared" si="594"/>
        <v>38</v>
      </c>
      <c r="CQ521" s="235">
        <f t="shared" si="595"/>
        <v>4.0666935483870965</v>
      </c>
      <c r="CR521" s="235" cm="1">
        <f t="array" ref="CR521">$BI521 * IF($AH521&lt;=2,
SUMPRODUCT(INDEX($AR$67:$AT$71,,$AI521), INDEX($AU$67:$BA$71,,$AH521), 1 / ($BB$67:$BB$71*CQ521 + (1-$BB$67:$BB$71)*CM521), N($AQ$67:$AQ$71&gt;$AO521)),
SUMPRODUCT(INDEX($AR$57:$AT$66,,$AI521), INDEX($AU$57:$BA$66,,$AH521), 1 / ($BC$57:$BC$66*CQ521 + (1-$BC$57:$BC$66)*CM521), N($AQ$57:$AQ$66&gt;$AO521))
) / 1000</f>
        <v>0</v>
      </c>
      <c r="CS521" s="232">
        <f t="shared" si="572"/>
        <v>20</v>
      </c>
      <c r="CT521" s="230">
        <f t="shared" si="596"/>
        <v>33</v>
      </c>
      <c r="CU521" s="235">
        <f t="shared" si="597"/>
        <v>4.8487499999999999</v>
      </c>
      <c r="CV521" s="235" cm="1">
        <f t="array" ref="CV521">$BI521 * IF($AH521&lt;=2,
SUMPRODUCT(INDEX($AR$62:$AT$66,,$AI521), INDEX($AU$62:$BA$66,,$AH521), 1 / ($BB$62:$BB$66*CU521 + (1-$BB$62:$BB$66)*CQ521), N($AQ$62:$AQ$66&gt;$AO521)),
SUMPRODUCT(INDEX($AR$47:$AT$56,,$AI521), INDEX($AU$47:$BA$56,,$AH521), 1 / ($BC$47:$BC$56*CU521 + (1-$BC$47:$BC$56)*CQ521), N($AQ$47:$AQ$56&gt;$AO521))
) / 1000</f>
        <v>0</v>
      </c>
      <c r="CW521" s="235" cm="1">
        <f t="array" ref="CW521">$BI521 * IF($AH521&lt;=2,
SUMPRODUCT(INDEX($AR$23:$AT$61,,$AI521), INDEX($AU$23:$BA$61,,$AH521), 1 / ($BB$23:$BB$61*CU521), N($AQ$23:$AQ$61&gt;$AO521)),
SUMPRODUCT(INDEX($AR$23:$AT$46,,$AI521), INDEX($AU$23:$BA$46,,$AH521), 1 / ($BC$23:$BC$46*CU521), N($AQ$23:$AQ$46&gt;$AO521))
) / 1000</f>
        <v>0</v>
      </c>
      <c r="CX521" s="230">
        <f t="shared" si="598"/>
        <v>0</v>
      </c>
      <c r="CY521" s="238"/>
    </row>
    <row r="522" spans="1:103" s="76" customFormat="1" ht="14.25" customHeight="1" x14ac:dyDescent="0.2">
      <c r="A522" s="231" t="b">
        <f t="shared" si="564"/>
        <v>0</v>
      </c>
      <c r="B522" s="245">
        <v>500</v>
      </c>
      <c r="C522" s="258"/>
      <c r="D522" s="258"/>
      <c r="E522" s="246"/>
      <c r="F522" s="247" t="str">
        <f>IF(ISBLANK(E522), "", VLOOKUP(E522, Z!$A$2:$C$4127, 3, FALSE))</f>
        <v/>
      </c>
      <c r="G522" s="248"/>
      <c r="H522" s="248"/>
      <c r="I522" s="249"/>
      <c r="J522" s="250"/>
      <c r="K522" s="259"/>
      <c r="L522" s="260"/>
      <c r="M522" s="252" t="str" cm="1">
        <f t="array" ref="M522">INDEX(Trad, 53, $A$20)</f>
        <v>Verschmutzt</v>
      </c>
      <c r="N522" s="253"/>
      <c r="O522" s="253"/>
      <c r="P522" s="254"/>
      <c r="Q522" s="251"/>
      <c r="R522" s="251"/>
      <c r="S522" s="264">
        <f t="shared" si="573"/>
        <v>0</v>
      </c>
      <c r="T522" s="252" t="str" cm="1">
        <f t="array" ref="T522">INDEX(Trad, 52, $A$20)</f>
        <v>Sauber</v>
      </c>
      <c r="U522" s="253"/>
      <c r="V522" s="253"/>
      <c r="W522" s="254"/>
      <c r="X522" s="251"/>
      <c r="Y522" s="251"/>
      <c r="Z522" s="264">
        <f t="shared" si="574"/>
        <v>0</v>
      </c>
      <c r="AA522" s="261"/>
      <c r="AB522" s="258"/>
      <c r="AC522" s="246"/>
      <c r="AD522" s="247" t="str">
        <f>IF(ISBLANK(AC522), "", VLOOKUP(AC522, Z!$A$2:$C$4127, 3, FALSE))</f>
        <v/>
      </c>
      <c r="AE522" s="262"/>
      <c r="AF522" s="263">
        <f t="shared" si="575"/>
        <v>0</v>
      </c>
      <c r="AG522" s="238"/>
      <c r="AH522" s="229">
        <f t="shared" si="599"/>
        <v>1</v>
      </c>
      <c r="AI522" s="229">
        <f t="shared" si="600"/>
        <v>1</v>
      </c>
      <c r="AJ522" s="229">
        <f t="shared" si="601"/>
        <v>0</v>
      </c>
      <c r="AK522" s="229">
        <v>0</v>
      </c>
      <c r="AL522" s="229">
        <v>0</v>
      </c>
      <c r="AM522" s="229">
        <v>1</v>
      </c>
      <c r="AN522" s="229">
        <v>0</v>
      </c>
      <c r="AO522" s="229">
        <f t="shared" si="576"/>
        <v>-100</v>
      </c>
      <c r="AP522" s="238"/>
      <c r="AQ522" s="255"/>
      <c r="AR522" s="255"/>
      <c r="AS522" s="256"/>
      <c r="AT522" s="256"/>
      <c r="AU522" s="256"/>
      <c r="AV522" s="256"/>
      <c r="AW522" s="256"/>
      <c r="AX522" s="256"/>
      <c r="AY522" s="256"/>
      <c r="AZ522" s="256"/>
      <c r="BA522" s="256"/>
      <c r="BB522" s="256"/>
      <c r="BC522" s="256"/>
      <c r="BD522" s="238"/>
      <c r="BE522" s="229" cm="1">
        <f t="array" ref="BE522">IF(ISBLANK(R522), INDEX(Use, $AH522, 4) - AM522*INDEX(Use, $AH522, 6), R522)</f>
        <v>5</v>
      </c>
      <c r="BF522" s="229">
        <f t="shared" si="577"/>
        <v>30</v>
      </c>
      <c r="BG522" s="229">
        <f t="shared" si="565"/>
        <v>13</v>
      </c>
      <c r="BH522" s="229">
        <f t="shared" si="566"/>
        <v>0</v>
      </c>
      <c r="BI522" s="234" cm="1">
        <f t="array" ref="BI522">K522/IF($L522&gt;0, INDEX($AU$23:$BA$77, $L522+20, $AH522), 1)</f>
        <v>0</v>
      </c>
      <c r="BJ522" s="230">
        <f t="shared" si="578"/>
        <v>0</v>
      </c>
      <c r="BK522" s="229">
        <v>35</v>
      </c>
      <c r="BL522" s="230">
        <f t="shared" si="579"/>
        <v>48</v>
      </c>
      <c r="BM522" s="235">
        <f t="shared" si="580"/>
        <v>2.9108720930232557</v>
      </c>
      <c r="BN522" s="235" cm="1">
        <f t="array" ref="BN522">$BI522 * SUMPRODUCT(INDEX($AR$77:$AT$82,,$AI522),INDEX($AU$77:$BA$82,,$AH522), N($AQ$77:$AQ$82&gt;$AO522)) / BM522 / 1000</f>
        <v>0</v>
      </c>
      <c r="BO522" s="232">
        <f t="shared" si="567"/>
        <v>30</v>
      </c>
      <c r="BP522" s="230">
        <f t="shared" si="581"/>
        <v>43</v>
      </c>
      <c r="BQ522" s="235">
        <f t="shared" si="582"/>
        <v>3.2938815789473681</v>
      </c>
      <c r="BR522" s="235" cm="1">
        <f t="array" ref="BR522">$BI522 * IF($AH522&lt;=2,
SUMPRODUCT(INDEX($AR$72:$AT$76,,$AI522), INDEX($AU$72:$BA$76,,$AH522), 1 / ($BB$72:$BB$76*BQ522 + (1-$BB$72:$BB$76)*BM522), N($AQ$72:$AQ$76&gt;$AO522)),
SUMPRODUCT(INDEX($AR$67:$AT$76,,$AI522), INDEX($AU$67:$BA$76,,$AH522), 1 / ($BC$67:$BC$76*BQ522 + (1-$BC$67:$BC$76)*BM522), N($AQ$67:$AQ$76&gt;$AO522))
) / 1000</f>
        <v>0</v>
      </c>
      <c r="BS522" s="232">
        <f t="shared" si="568"/>
        <v>25</v>
      </c>
      <c r="BT522" s="230">
        <f t="shared" si="583"/>
        <v>38</v>
      </c>
      <c r="BU522" s="235">
        <f t="shared" si="584"/>
        <v>3.792954545454545</v>
      </c>
      <c r="BV522" s="235" cm="1">
        <f t="array" ref="BV522">$BI522 * IF($AH522&lt;=2,
SUMPRODUCT(INDEX($AR$67:$AT$71,,$AI522), INDEX($AU$67:$BA$71,,$AH522), 1 / ($BB$67:$BB$71*BU522 + (1-$BB$67:$BB$71)*BQ522), N($AQ$67:$AQ$71&gt;$AO522)),
SUMPRODUCT(INDEX($AR$57:$AT$66,,$AI522), INDEX($AU$57:$BA$66,,$AH522), 1 / ($BC$57:$BC$66*BU522 + (1-$BC$57:$BC$66)*BQ522), N($AQ$57:$AQ$66&gt;$AO522))
) / 1000</f>
        <v>0</v>
      </c>
      <c r="BW522" s="232">
        <f t="shared" si="569"/>
        <v>20</v>
      </c>
      <c r="BX522" s="230">
        <f t="shared" si="585"/>
        <v>33</v>
      </c>
      <c r="BY522" s="235">
        <f t="shared" si="586"/>
        <v>4.4702678571428569</v>
      </c>
      <c r="BZ522" s="235" cm="1">
        <f t="array" ref="BZ522">$BI522 * IF($AH522&lt;=2,
SUMPRODUCT(INDEX($AR$62:$AT$66,,$AI522), INDEX($AU$62:$BA$66,,$AH522), 1 / ($BB$62:$BB$66*BY522 + (1-$BB$62:$BB$66)*BU522), N($AQ$62:$AQ$66&gt;$AO522)),
SUMPRODUCT(INDEX($AR$47:$AT$56,,$AI522), INDEX($AU$47:$BA$56,,$AH522), 1 / ($BC$47:$BC$56*BY522 + (1-$BC$47:$BC$56)*BU522), N($AQ$47:$AQ$56&gt;$AO522))
) / 1000</f>
        <v>0</v>
      </c>
      <c r="CA522" s="235" cm="1">
        <f t="array" ref="CA522">$BI522 * IF($AH522&lt;=2,
SUMPRODUCT(INDEX($AR$23:$AT$61,,$AI522), INDEX($AU$23:$BA$61,,$AH522), 1 / ($BB$23:$BB$61*BY522), N($AQ$23:$AQ$61&gt;$AO522)),
SUMPRODUCT(INDEX($AR$23:$AT$46,,$AI522), INDEX($AU$23:$BA$46,,$AH522), 1 / ($BC$23:$BC$46*BY522), N($AQ$23:$AQ$46&gt;$AO522))
) / 1000</f>
        <v>0</v>
      </c>
      <c r="CB522" s="230">
        <f t="shared" si="587"/>
        <v>0</v>
      </c>
      <c r="CC522" s="238"/>
      <c r="CD522" s="229" cm="1">
        <f t="array" ref="CD522">IF(ISBLANK(Y522), INDEX(Use, $AH522, 4) - AN522*INDEX(Use, $AH522, 6) - (Q522-X522), Y522)</f>
        <v>7</v>
      </c>
      <c r="CE522" s="229">
        <f t="shared" si="588"/>
        <v>32</v>
      </c>
      <c r="CF522" s="230">
        <f t="shared" si="589"/>
        <v>0</v>
      </c>
      <c r="CG522" s="229">
        <v>35</v>
      </c>
      <c r="CH522" s="230">
        <f t="shared" si="590"/>
        <v>48</v>
      </c>
      <c r="CI522" s="235">
        <f t="shared" si="591"/>
        <v>3.0748170731707316</v>
      </c>
      <c r="CJ522" s="235" cm="1">
        <f t="array" ref="CJ522">$BI522 * SUMPRODUCT(INDEX($AR$77:$AT$82,,$AI522),INDEX($AU$77:$BA$82,,$AH522), N($AQ$77:$AQ$82&gt;$AO522)) / CI522 / 1000</f>
        <v>0</v>
      </c>
      <c r="CK522" s="232">
        <f t="shared" si="570"/>
        <v>30</v>
      </c>
      <c r="CL522" s="230">
        <f t="shared" si="592"/>
        <v>43</v>
      </c>
      <c r="CM522" s="235">
        <f t="shared" si="593"/>
        <v>3.5018750000000001</v>
      </c>
      <c r="CN522" s="235" cm="1">
        <f t="array" ref="CN522">$BI522 * IF($AH522&lt;=2,
SUMPRODUCT(INDEX($AR$72:$AT$76,,$AI522), INDEX($AU$72:$BA$76,,$AH522), 1 / ($BB$72:$BB$76*CM522 + (1-$BB$72:$BB$76)*CI522), N($AQ$72:$AQ$76&gt;$AO522)),
SUMPRODUCT(INDEX($AR$67:$AT$76,,$AI522), INDEX($AU$67:$BA$76,,$AH522), 1 / ($BC$67:$BC$76*CM522 + (1-$BC$67:$BC$76)*CI522), N($AQ$67:$AQ$76&gt;$AO522))
) / 1000</f>
        <v>0</v>
      </c>
      <c r="CO522" s="232">
        <f t="shared" si="571"/>
        <v>25</v>
      </c>
      <c r="CP522" s="230">
        <f t="shared" si="594"/>
        <v>38</v>
      </c>
      <c r="CQ522" s="235">
        <f t="shared" si="595"/>
        <v>4.0666935483870965</v>
      </c>
      <c r="CR522" s="235" cm="1">
        <f t="array" ref="CR522">$BI522 * IF($AH522&lt;=2,
SUMPRODUCT(INDEX($AR$67:$AT$71,,$AI522), INDEX($AU$67:$BA$71,,$AH522), 1 / ($BB$67:$BB$71*CQ522 + (1-$BB$67:$BB$71)*CM522), N($AQ$67:$AQ$71&gt;$AO522)),
SUMPRODUCT(INDEX($AR$57:$AT$66,,$AI522), INDEX($AU$57:$BA$66,,$AH522), 1 / ($BC$57:$BC$66*CQ522 + (1-$BC$57:$BC$66)*CM522), N($AQ$57:$AQ$66&gt;$AO522))
) / 1000</f>
        <v>0</v>
      </c>
      <c r="CS522" s="232">
        <f t="shared" si="572"/>
        <v>20</v>
      </c>
      <c r="CT522" s="230">
        <f t="shared" si="596"/>
        <v>33</v>
      </c>
      <c r="CU522" s="235">
        <f t="shared" si="597"/>
        <v>4.8487499999999999</v>
      </c>
      <c r="CV522" s="235" cm="1">
        <f t="array" ref="CV522">$BI522 * IF($AH522&lt;=2,
SUMPRODUCT(INDEX($AR$62:$AT$66,,$AI522), INDEX($AU$62:$BA$66,,$AH522), 1 / ($BB$62:$BB$66*CU522 + (1-$BB$62:$BB$66)*CQ522), N($AQ$62:$AQ$66&gt;$AO522)),
SUMPRODUCT(INDEX($AR$47:$AT$56,,$AI522), INDEX($AU$47:$BA$56,,$AH522), 1 / ($BC$47:$BC$56*CU522 + (1-$BC$47:$BC$56)*CQ522), N($AQ$47:$AQ$56&gt;$AO522))
) / 1000</f>
        <v>0</v>
      </c>
      <c r="CW522" s="235" cm="1">
        <f t="array" ref="CW522">$BI522 * IF($AH522&lt;=2,
SUMPRODUCT(INDEX($AR$23:$AT$61,,$AI522), INDEX($AU$23:$BA$61,,$AH522), 1 / ($BB$23:$BB$61*CU522), N($AQ$23:$AQ$61&gt;$AO522)),
SUMPRODUCT(INDEX($AR$23:$AT$46,,$AI522), INDEX($AU$23:$BA$46,,$AH522), 1 / ($BC$23:$BC$46*CU522), N($AQ$23:$AQ$46&gt;$AO522))
) / 1000</f>
        <v>0</v>
      </c>
      <c r="CX522" s="230">
        <f t="shared" si="598"/>
        <v>0</v>
      </c>
      <c r="CY522" s="238"/>
    </row>
    <row r="523" spans="1:103" s="76" customFormat="1" ht="14.25" customHeight="1" x14ac:dyDescent="0.2">
      <c r="A523" s="231" t="b">
        <f t="shared" si="564"/>
        <v>0</v>
      </c>
      <c r="B523" s="245">
        <v>501</v>
      </c>
      <c r="C523" s="258"/>
      <c r="D523" s="258"/>
      <c r="E523" s="246"/>
      <c r="F523" s="247" t="str">
        <f>IF(ISBLANK(E523), "", VLOOKUP(E523, Z!$A$2:$C$4127, 3, FALSE))</f>
        <v/>
      </c>
      <c r="G523" s="248"/>
      <c r="H523" s="248"/>
      <c r="I523" s="249"/>
      <c r="J523" s="250"/>
      <c r="K523" s="259"/>
      <c r="L523" s="260"/>
      <c r="M523" s="252" t="str" cm="1">
        <f t="array" ref="M523">INDEX(Trad, 53, $A$20)</f>
        <v>Verschmutzt</v>
      </c>
      <c r="N523" s="253"/>
      <c r="O523" s="253"/>
      <c r="P523" s="254"/>
      <c r="Q523" s="251"/>
      <c r="R523" s="251"/>
      <c r="S523" s="264">
        <f t="shared" si="573"/>
        <v>0</v>
      </c>
      <c r="T523" s="252" t="str" cm="1">
        <f t="array" ref="T523">INDEX(Trad, 52, $A$20)</f>
        <v>Sauber</v>
      </c>
      <c r="U523" s="253"/>
      <c r="V523" s="253"/>
      <c r="W523" s="254"/>
      <c r="X523" s="251"/>
      <c r="Y523" s="251"/>
      <c r="Z523" s="264">
        <f t="shared" si="574"/>
        <v>0</v>
      </c>
      <c r="AA523" s="261"/>
      <c r="AB523" s="258"/>
      <c r="AC523" s="246"/>
      <c r="AD523" s="247" t="str">
        <f>IF(ISBLANK(AC523), "", VLOOKUP(AC523, Z!$A$2:$C$4127, 3, FALSE))</f>
        <v/>
      </c>
      <c r="AE523" s="262"/>
      <c r="AF523" s="263">
        <f t="shared" si="575"/>
        <v>0</v>
      </c>
      <c r="AG523" s="238"/>
      <c r="AH523" s="229">
        <f t="shared" si="599"/>
        <v>1</v>
      </c>
      <c r="AI523" s="229">
        <f t="shared" si="600"/>
        <v>1</v>
      </c>
      <c r="AJ523" s="229">
        <f t="shared" si="601"/>
        <v>0</v>
      </c>
      <c r="AK523" s="229">
        <v>0</v>
      </c>
      <c r="AL523" s="229">
        <v>0</v>
      </c>
      <c r="AM523" s="229">
        <v>1</v>
      </c>
      <c r="AN523" s="229">
        <v>0</v>
      </c>
      <c r="AO523" s="229">
        <f t="shared" si="576"/>
        <v>-100</v>
      </c>
      <c r="AP523" s="238"/>
      <c r="AQ523" s="255"/>
      <c r="AR523" s="255"/>
      <c r="AS523" s="256"/>
      <c r="AT523" s="256"/>
      <c r="AU523" s="256"/>
      <c r="AV523" s="256"/>
      <c r="AW523" s="256"/>
      <c r="AX523" s="256"/>
      <c r="AY523" s="256"/>
      <c r="AZ523" s="256"/>
      <c r="BA523" s="256"/>
      <c r="BB523" s="256"/>
      <c r="BC523" s="256"/>
      <c r="BD523" s="238"/>
      <c r="BE523" s="229" cm="1">
        <f t="array" ref="BE523">IF(ISBLANK(R523), INDEX(Use, $AH523, 4) - AM523*INDEX(Use, $AH523, 6), R523)</f>
        <v>5</v>
      </c>
      <c r="BF523" s="229">
        <f t="shared" si="577"/>
        <v>30</v>
      </c>
      <c r="BG523" s="229">
        <f t="shared" si="565"/>
        <v>13</v>
      </c>
      <c r="BH523" s="229">
        <f t="shared" si="566"/>
        <v>0</v>
      </c>
      <c r="BI523" s="234" cm="1">
        <f t="array" ref="BI523">K523/IF($L523&gt;0, INDEX($AU$23:$BA$77, $L523+20, $AH523), 1)</f>
        <v>0</v>
      </c>
      <c r="BJ523" s="230">
        <f t="shared" si="578"/>
        <v>0</v>
      </c>
      <c r="BK523" s="229">
        <v>35</v>
      </c>
      <c r="BL523" s="230">
        <f t="shared" si="579"/>
        <v>48</v>
      </c>
      <c r="BM523" s="235">
        <f t="shared" si="580"/>
        <v>2.9108720930232557</v>
      </c>
      <c r="BN523" s="235" cm="1">
        <f t="array" ref="BN523">$BI523 * SUMPRODUCT(INDEX($AR$77:$AT$82,,$AI523),INDEX($AU$77:$BA$82,,$AH523), N($AQ$77:$AQ$82&gt;$AO523)) / BM523 / 1000</f>
        <v>0</v>
      </c>
      <c r="BO523" s="232">
        <f t="shared" si="567"/>
        <v>30</v>
      </c>
      <c r="BP523" s="230">
        <f t="shared" si="581"/>
        <v>43</v>
      </c>
      <c r="BQ523" s="235">
        <f t="shared" si="582"/>
        <v>3.2938815789473681</v>
      </c>
      <c r="BR523" s="235" cm="1">
        <f t="array" ref="BR523">$BI523 * IF($AH523&lt;=2,
SUMPRODUCT(INDEX($AR$72:$AT$76,,$AI523), INDEX($AU$72:$BA$76,,$AH523), 1 / ($BB$72:$BB$76*BQ523 + (1-$BB$72:$BB$76)*BM523), N($AQ$72:$AQ$76&gt;$AO523)),
SUMPRODUCT(INDEX($AR$67:$AT$76,,$AI523), INDEX($AU$67:$BA$76,,$AH523), 1 / ($BC$67:$BC$76*BQ523 + (1-$BC$67:$BC$76)*BM523), N($AQ$67:$AQ$76&gt;$AO523))
) / 1000</f>
        <v>0</v>
      </c>
      <c r="BS523" s="232">
        <f t="shared" si="568"/>
        <v>25</v>
      </c>
      <c r="BT523" s="230">
        <f t="shared" si="583"/>
        <v>38</v>
      </c>
      <c r="BU523" s="235">
        <f t="shared" si="584"/>
        <v>3.792954545454545</v>
      </c>
      <c r="BV523" s="235" cm="1">
        <f t="array" ref="BV523">$BI523 * IF($AH523&lt;=2,
SUMPRODUCT(INDEX($AR$67:$AT$71,,$AI523), INDEX($AU$67:$BA$71,,$AH523), 1 / ($BB$67:$BB$71*BU523 + (1-$BB$67:$BB$71)*BQ523), N($AQ$67:$AQ$71&gt;$AO523)),
SUMPRODUCT(INDEX($AR$57:$AT$66,,$AI523), INDEX($AU$57:$BA$66,,$AH523), 1 / ($BC$57:$BC$66*BU523 + (1-$BC$57:$BC$66)*BQ523), N($AQ$57:$AQ$66&gt;$AO523))
) / 1000</f>
        <v>0</v>
      </c>
      <c r="BW523" s="232">
        <f t="shared" si="569"/>
        <v>20</v>
      </c>
      <c r="BX523" s="230">
        <f t="shared" si="585"/>
        <v>33</v>
      </c>
      <c r="BY523" s="235">
        <f t="shared" si="586"/>
        <v>4.4702678571428569</v>
      </c>
      <c r="BZ523" s="235" cm="1">
        <f t="array" ref="BZ523">$BI523 * IF($AH523&lt;=2,
SUMPRODUCT(INDEX($AR$62:$AT$66,,$AI523), INDEX($AU$62:$BA$66,,$AH523), 1 / ($BB$62:$BB$66*BY523 + (1-$BB$62:$BB$66)*BU523), N($AQ$62:$AQ$66&gt;$AO523)),
SUMPRODUCT(INDEX($AR$47:$AT$56,,$AI523), INDEX($AU$47:$BA$56,,$AH523), 1 / ($BC$47:$BC$56*BY523 + (1-$BC$47:$BC$56)*BU523), N($AQ$47:$AQ$56&gt;$AO523))
) / 1000</f>
        <v>0</v>
      </c>
      <c r="CA523" s="235" cm="1">
        <f t="array" ref="CA523">$BI523 * IF($AH523&lt;=2,
SUMPRODUCT(INDEX($AR$23:$AT$61,,$AI523), INDEX($AU$23:$BA$61,,$AH523), 1 / ($BB$23:$BB$61*BY523), N($AQ$23:$AQ$61&gt;$AO523)),
SUMPRODUCT(INDEX($AR$23:$AT$46,,$AI523), INDEX($AU$23:$BA$46,,$AH523), 1 / ($BC$23:$BC$46*BY523), N($AQ$23:$AQ$46&gt;$AO523))
) / 1000</f>
        <v>0</v>
      </c>
      <c r="CB523" s="230">
        <f t="shared" si="587"/>
        <v>0</v>
      </c>
      <c r="CC523" s="238"/>
      <c r="CD523" s="229" cm="1">
        <f t="array" ref="CD523">IF(ISBLANK(Y523), INDEX(Use, $AH523, 4) - AN523*INDEX(Use, $AH523, 6) - (Q523-X523), Y523)</f>
        <v>7</v>
      </c>
      <c r="CE523" s="229">
        <f t="shared" si="588"/>
        <v>32</v>
      </c>
      <c r="CF523" s="230">
        <f t="shared" si="589"/>
        <v>0</v>
      </c>
      <c r="CG523" s="229">
        <v>35</v>
      </c>
      <c r="CH523" s="230">
        <f t="shared" si="590"/>
        <v>48</v>
      </c>
      <c r="CI523" s="235">
        <f t="shared" si="591"/>
        <v>3.0748170731707316</v>
      </c>
      <c r="CJ523" s="235" cm="1">
        <f t="array" ref="CJ523">$BI523 * SUMPRODUCT(INDEX($AR$77:$AT$82,,$AI523),INDEX($AU$77:$BA$82,,$AH523), N($AQ$77:$AQ$82&gt;$AO523)) / CI523 / 1000</f>
        <v>0</v>
      </c>
      <c r="CK523" s="232">
        <f t="shared" si="570"/>
        <v>30</v>
      </c>
      <c r="CL523" s="230">
        <f t="shared" si="592"/>
        <v>43</v>
      </c>
      <c r="CM523" s="235">
        <f t="shared" si="593"/>
        <v>3.5018750000000001</v>
      </c>
      <c r="CN523" s="235" cm="1">
        <f t="array" ref="CN523">$BI523 * IF($AH523&lt;=2,
SUMPRODUCT(INDEX($AR$72:$AT$76,,$AI523), INDEX($AU$72:$BA$76,,$AH523), 1 / ($BB$72:$BB$76*CM523 + (1-$BB$72:$BB$76)*CI523), N($AQ$72:$AQ$76&gt;$AO523)),
SUMPRODUCT(INDEX($AR$67:$AT$76,,$AI523), INDEX($AU$67:$BA$76,,$AH523), 1 / ($BC$67:$BC$76*CM523 + (1-$BC$67:$BC$76)*CI523), N($AQ$67:$AQ$76&gt;$AO523))
) / 1000</f>
        <v>0</v>
      </c>
      <c r="CO523" s="232">
        <f t="shared" si="571"/>
        <v>25</v>
      </c>
      <c r="CP523" s="230">
        <f t="shared" si="594"/>
        <v>38</v>
      </c>
      <c r="CQ523" s="235">
        <f t="shared" si="595"/>
        <v>4.0666935483870965</v>
      </c>
      <c r="CR523" s="235" cm="1">
        <f t="array" ref="CR523">$BI523 * IF($AH523&lt;=2,
SUMPRODUCT(INDEX($AR$67:$AT$71,,$AI523), INDEX($AU$67:$BA$71,,$AH523), 1 / ($BB$67:$BB$71*CQ523 + (1-$BB$67:$BB$71)*CM523), N($AQ$67:$AQ$71&gt;$AO523)),
SUMPRODUCT(INDEX($AR$57:$AT$66,,$AI523), INDEX($AU$57:$BA$66,,$AH523), 1 / ($BC$57:$BC$66*CQ523 + (1-$BC$57:$BC$66)*CM523), N($AQ$57:$AQ$66&gt;$AO523))
) / 1000</f>
        <v>0</v>
      </c>
      <c r="CS523" s="232">
        <f t="shared" si="572"/>
        <v>20</v>
      </c>
      <c r="CT523" s="230">
        <f t="shared" si="596"/>
        <v>33</v>
      </c>
      <c r="CU523" s="235">
        <f t="shared" si="597"/>
        <v>4.8487499999999999</v>
      </c>
      <c r="CV523" s="235" cm="1">
        <f t="array" ref="CV523">$BI523 * IF($AH523&lt;=2,
SUMPRODUCT(INDEX($AR$62:$AT$66,,$AI523), INDEX($AU$62:$BA$66,,$AH523), 1 / ($BB$62:$BB$66*CU523 + (1-$BB$62:$BB$66)*CQ523), N($AQ$62:$AQ$66&gt;$AO523)),
SUMPRODUCT(INDEX($AR$47:$AT$56,,$AI523), INDEX($AU$47:$BA$56,,$AH523), 1 / ($BC$47:$BC$56*CU523 + (1-$BC$47:$BC$56)*CQ523), N($AQ$47:$AQ$56&gt;$AO523))
) / 1000</f>
        <v>0</v>
      </c>
      <c r="CW523" s="235" cm="1">
        <f t="array" ref="CW523">$BI523 * IF($AH523&lt;=2,
SUMPRODUCT(INDEX($AR$23:$AT$61,,$AI523), INDEX($AU$23:$BA$61,,$AH523), 1 / ($BB$23:$BB$61*CU523), N($AQ$23:$AQ$61&gt;$AO523)),
SUMPRODUCT(INDEX($AR$23:$AT$46,,$AI523), INDEX($AU$23:$BA$46,,$AH523), 1 / ($BC$23:$BC$46*CU523), N($AQ$23:$AQ$46&gt;$AO523))
) / 1000</f>
        <v>0</v>
      </c>
      <c r="CX523" s="230">
        <f t="shared" si="598"/>
        <v>0</v>
      </c>
      <c r="CY523" s="238"/>
    </row>
    <row r="524" spans="1:103" s="76" customFormat="1" ht="14.25" customHeight="1" x14ac:dyDescent="0.2">
      <c r="A524" s="231" t="b">
        <f t="shared" si="564"/>
        <v>0</v>
      </c>
      <c r="B524" s="245">
        <v>502</v>
      </c>
      <c r="C524" s="258"/>
      <c r="D524" s="258"/>
      <c r="E524" s="246"/>
      <c r="F524" s="247" t="str">
        <f>IF(ISBLANK(E524), "", VLOOKUP(E524, Z!$A$2:$C$4127, 3, FALSE))</f>
        <v/>
      </c>
      <c r="G524" s="248"/>
      <c r="H524" s="248"/>
      <c r="I524" s="249"/>
      <c r="J524" s="250"/>
      <c r="K524" s="259"/>
      <c r="L524" s="260"/>
      <c r="M524" s="252" t="str" cm="1">
        <f t="array" ref="M524">INDEX(Trad, 53, $A$20)</f>
        <v>Verschmutzt</v>
      </c>
      <c r="N524" s="253"/>
      <c r="O524" s="253"/>
      <c r="P524" s="254"/>
      <c r="Q524" s="251"/>
      <c r="R524" s="251"/>
      <c r="S524" s="264">
        <f t="shared" si="573"/>
        <v>0</v>
      </c>
      <c r="T524" s="252" t="str" cm="1">
        <f t="array" ref="T524">INDEX(Trad, 52, $A$20)</f>
        <v>Sauber</v>
      </c>
      <c r="U524" s="253"/>
      <c r="V524" s="253"/>
      <c r="W524" s="254"/>
      <c r="X524" s="251"/>
      <c r="Y524" s="251"/>
      <c r="Z524" s="264">
        <f t="shared" si="574"/>
        <v>0</v>
      </c>
      <c r="AA524" s="261"/>
      <c r="AB524" s="258"/>
      <c r="AC524" s="246"/>
      <c r="AD524" s="247" t="str">
        <f>IF(ISBLANK(AC524), "", VLOOKUP(AC524, Z!$A$2:$C$4127, 3, FALSE))</f>
        <v/>
      </c>
      <c r="AE524" s="262"/>
      <c r="AF524" s="263">
        <f t="shared" si="575"/>
        <v>0</v>
      </c>
      <c r="AG524" s="238"/>
      <c r="AH524" s="229">
        <f t="shared" si="599"/>
        <v>1</v>
      </c>
      <c r="AI524" s="229">
        <f t="shared" si="600"/>
        <v>1</v>
      </c>
      <c r="AJ524" s="229">
        <f t="shared" si="601"/>
        <v>0</v>
      </c>
      <c r="AK524" s="229">
        <v>0</v>
      </c>
      <c r="AL524" s="229">
        <v>0</v>
      </c>
      <c r="AM524" s="229">
        <v>1</v>
      </c>
      <c r="AN524" s="229">
        <v>0</v>
      </c>
      <c r="AO524" s="229">
        <f t="shared" si="576"/>
        <v>-100</v>
      </c>
      <c r="AP524" s="238"/>
      <c r="AQ524" s="255"/>
      <c r="AR524" s="255"/>
      <c r="AS524" s="256"/>
      <c r="AT524" s="256"/>
      <c r="AU524" s="256"/>
      <c r="AV524" s="256"/>
      <c r="AW524" s="256"/>
      <c r="AX524" s="256"/>
      <c r="AY524" s="256"/>
      <c r="AZ524" s="256"/>
      <c r="BA524" s="256"/>
      <c r="BB524" s="256"/>
      <c r="BC524" s="256"/>
      <c r="BD524" s="238"/>
      <c r="BE524" s="229" cm="1">
        <f t="array" ref="BE524">IF(ISBLANK(R524), INDEX(Use, $AH524, 4) - AM524*INDEX(Use, $AH524, 6), R524)</f>
        <v>5</v>
      </c>
      <c r="BF524" s="229">
        <f t="shared" si="577"/>
        <v>30</v>
      </c>
      <c r="BG524" s="229">
        <f t="shared" si="565"/>
        <v>13</v>
      </c>
      <c r="BH524" s="229">
        <f t="shared" si="566"/>
        <v>0</v>
      </c>
      <c r="BI524" s="234" cm="1">
        <f t="array" ref="BI524">K524/IF($L524&gt;0, INDEX($AU$23:$BA$77, $L524+20, $AH524), 1)</f>
        <v>0</v>
      </c>
      <c r="BJ524" s="230">
        <f t="shared" si="578"/>
        <v>0</v>
      </c>
      <c r="BK524" s="229">
        <v>35</v>
      </c>
      <c r="BL524" s="230">
        <f t="shared" si="579"/>
        <v>48</v>
      </c>
      <c r="BM524" s="235">
        <f t="shared" si="580"/>
        <v>2.9108720930232557</v>
      </c>
      <c r="BN524" s="235" cm="1">
        <f t="array" ref="BN524">$BI524 * SUMPRODUCT(INDEX($AR$77:$AT$82,,$AI524),INDEX($AU$77:$BA$82,,$AH524), N($AQ$77:$AQ$82&gt;$AO524)) / BM524 / 1000</f>
        <v>0</v>
      </c>
      <c r="BO524" s="232">
        <f t="shared" si="567"/>
        <v>30</v>
      </c>
      <c r="BP524" s="230">
        <f t="shared" si="581"/>
        <v>43</v>
      </c>
      <c r="BQ524" s="235">
        <f t="shared" si="582"/>
        <v>3.2938815789473681</v>
      </c>
      <c r="BR524" s="235" cm="1">
        <f t="array" ref="BR524">$BI524 * IF($AH524&lt;=2,
SUMPRODUCT(INDEX($AR$72:$AT$76,,$AI524), INDEX($AU$72:$BA$76,,$AH524), 1 / ($BB$72:$BB$76*BQ524 + (1-$BB$72:$BB$76)*BM524), N($AQ$72:$AQ$76&gt;$AO524)),
SUMPRODUCT(INDEX($AR$67:$AT$76,,$AI524), INDEX($AU$67:$BA$76,,$AH524), 1 / ($BC$67:$BC$76*BQ524 + (1-$BC$67:$BC$76)*BM524), N($AQ$67:$AQ$76&gt;$AO524))
) / 1000</f>
        <v>0</v>
      </c>
      <c r="BS524" s="232">
        <f t="shared" si="568"/>
        <v>25</v>
      </c>
      <c r="BT524" s="230">
        <f t="shared" si="583"/>
        <v>38</v>
      </c>
      <c r="BU524" s="235">
        <f t="shared" si="584"/>
        <v>3.792954545454545</v>
      </c>
      <c r="BV524" s="235" cm="1">
        <f t="array" ref="BV524">$BI524 * IF($AH524&lt;=2,
SUMPRODUCT(INDEX($AR$67:$AT$71,,$AI524), INDEX($AU$67:$BA$71,,$AH524), 1 / ($BB$67:$BB$71*BU524 + (1-$BB$67:$BB$71)*BQ524), N($AQ$67:$AQ$71&gt;$AO524)),
SUMPRODUCT(INDEX($AR$57:$AT$66,,$AI524), INDEX($AU$57:$BA$66,,$AH524), 1 / ($BC$57:$BC$66*BU524 + (1-$BC$57:$BC$66)*BQ524), N($AQ$57:$AQ$66&gt;$AO524))
) / 1000</f>
        <v>0</v>
      </c>
      <c r="BW524" s="232">
        <f t="shared" si="569"/>
        <v>20</v>
      </c>
      <c r="BX524" s="230">
        <f t="shared" si="585"/>
        <v>33</v>
      </c>
      <c r="BY524" s="235">
        <f t="shared" si="586"/>
        <v>4.4702678571428569</v>
      </c>
      <c r="BZ524" s="235" cm="1">
        <f t="array" ref="BZ524">$BI524 * IF($AH524&lt;=2,
SUMPRODUCT(INDEX($AR$62:$AT$66,,$AI524), INDEX($AU$62:$BA$66,,$AH524), 1 / ($BB$62:$BB$66*BY524 + (1-$BB$62:$BB$66)*BU524), N($AQ$62:$AQ$66&gt;$AO524)),
SUMPRODUCT(INDEX($AR$47:$AT$56,,$AI524), INDEX($AU$47:$BA$56,,$AH524), 1 / ($BC$47:$BC$56*BY524 + (1-$BC$47:$BC$56)*BU524), N($AQ$47:$AQ$56&gt;$AO524))
) / 1000</f>
        <v>0</v>
      </c>
      <c r="CA524" s="235" cm="1">
        <f t="array" ref="CA524">$BI524 * IF($AH524&lt;=2,
SUMPRODUCT(INDEX($AR$23:$AT$61,,$AI524), INDEX($AU$23:$BA$61,,$AH524), 1 / ($BB$23:$BB$61*BY524), N($AQ$23:$AQ$61&gt;$AO524)),
SUMPRODUCT(INDEX($AR$23:$AT$46,,$AI524), INDEX($AU$23:$BA$46,,$AH524), 1 / ($BC$23:$BC$46*BY524), N($AQ$23:$AQ$46&gt;$AO524))
) / 1000</f>
        <v>0</v>
      </c>
      <c r="CB524" s="230">
        <f t="shared" si="587"/>
        <v>0</v>
      </c>
      <c r="CC524" s="238"/>
      <c r="CD524" s="229" cm="1">
        <f t="array" ref="CD524">IF(ISBLANK(Y524), INDEX(Use, $AH524, 4) - AN524*INDEX(Use, $AH524, 6) - (Q524-X524), Y524)</f>
        <v>7</v>
      </c>
      <c r="CE524" s="229">
        <f t="shared" si="588"/>
        <v>32</v>
      </c>
      <c r="CF524" s="230">
        <f t="shared" si="589"/>
        <v>0</v>
      </c>
      <c r="CG524" s="229">
        <v>35</v>
      </c>
      <c r="CH524" s="230">
        <f t="shared" si="590"/>
        <v>48</v>
      </c>
      <c r="CI524" s="235">
        <f t="shared" si="591"/>
        <v>3.0748170731707316</v>
      </c>
      <c r="CJ524" s="235" cm="1">
        <f t="array" ref="CJ524">$BI524 * SUMPRODUCT(INDEX($AR$77:$AT$82,,$AI524),INDEX($AU$77:$BA$82,,$AH524), N($AQ$77:$AQ$82&gt;$AO524)) / CI524 / 1000</f>
        <v>0</v>
      </c>
      <c r="CK524" s="232">
        <f t="shared" si="570"/>
        <v>30</v>
      </c>
      <c r="CL524" s="230">
        <f t="shared" si="592"/>
        <v>43</v>
      </c>
      <c r="CM524" s="235">
        <f t="shared" si="593"/>
        <v>3.5018750000000001</v>
      </c>
      <c r="CN524" s="235" cm="1">
        <f t="array" ref="CN524">$BI524 * IF($AH524&lt;=2,
SUMPRODUCT(INDEX($AR$72:$AT$76,,$AI524), INDEX($AU$72:$BA$76,,$AH524), 1 / ($BB$72:$BB$76*CM524 + (1-$BB$72:$BB$76)*CI524), N($AQ$72:$AQ$76&gt;$AO524)),
SUMPRODUCT(INDEX($AR$67:$AT$76,,$AI524), INDEX($AU$67:$BA$76,,$AH524), 1 / ($BC$67:$BC$76*CM524 + (1-$BC$67:$BC$76)*CI524), N($AQ$67:$AQ$76&gt;$AO524))
) / 1000</f>
        <v>0</v>
      </c>
      <c r="CO524" s="232">
        <f t="shared" si="571"/>
        <v>25</v>
      </c>
      <c r="CP524" s="230">
        <f t="shared" si="594"/>
        <v>38</v>
      </c>
      <c r="CQ524" s="235">
        <f t="shared" si="595"/>
        <v>4.0666935483870965</v>
      </c>
      <c r="CR524" s="235" cm="1">
        <f t="array" ref="CR524">$BI524 * IF($AH524&lt;=2,
SUMPRODUCT(INDEX($AR$67:$AT$71,,$AI524), INDEX($AU$67:$BA$71,,$AH524), 1 / ($BB$67:$BB$71*CQ524 + (1-$BB$67:$BB$71)*CM524), N($AQ$67:$AQ$71&gt;$AO524)),
SUMPRODUCT(INDEX($AR$57:$AT$66,,$AI524), INDEX($AU$57:$BA$66,,$AH524), 1 / ($BC$57:$BC$66*CQ524 + (1-$BC$57:$BC$66)*CM524), N($AQ$57:$AQ$66&gt;$AO524))
) / 1000</f>
        <v>0</v>
      </c>
      <c r="CS524" s="232">
        <f t="shared" si="572"/>
        <v>20</v>
      </c>
      <c r="CT524" s="230">
        <f t="shared" si="596"/>
        <v>33</v>
      </c>
      <c r="CU524" s="235">
        <f t="shared" si="597"/>
        <v>4.8487499999999999</v>
      </c>
      <c r="CV524" s="235" cm="1">
        <f t="array" ref="CV524">$BI524 * IF($AH524&lt;=2,
SUMPRODUCT(INDEX($AR$62:$AT$66,,$AI524), INDEX($AU$62:$BA$66,,$AH524), 1 / ($BB$62:$BB$66*CU524 + (1-$BB$62:$BB$66)*CQ524), N($AQ$62:$AQ$66&gt;$AO524)),
SUMPRODUCT(INDEX($AR$47:$AT$56,,$AI524), INDEX($AU$47:$BA$56,,$AH524), 1 / ($BC$47:$BC$56*CU524 + (1-$BC$47:$BC$56)*CQ524), N($AQ$47:$AQ$56&gt;$AO524))
) / 1000</f>
        <v>0</v>
      </c>
      <c r="CW524" s="235" cm="1">
        <f t="array" ref="CW524">$BI524 * IF($AH524&lt;=2,
SUMPRODUCT(INDEX($AR$23:$AT$61,,$AI524), INDEX($AU$23:$BA$61,,$AH524), 1 / ($BB$23:$BB$61*CU524), N($AQ$23:$AQ$61&gt;$AO524)),
SUMPRODUCT(INDEX($AR$23:$AT$46,,$AI524), INDEX($AU$23:$BA$46,,$AH524), 1 / ($BC$23:$BC$46*CU524), N($AQ$23:$AQ$46&gt;$AO524))
) / 1000</f>
        <v>0</v>
      </c>
      <c r="CX524" s="230">
        <f t="shared" si="598"/>
        <v>0</v>
      </c>
      <c r="CY524" s="238"/>
    </row>
    <row r="525" spans="1:103" s="76" customFormat="1" ht="14.25" customHeight="1" x14ac:dyDescent="0.2">
      <c r="A525" s="231" t="b">
        <f t="shared" si="564"/>
        <v>0</v>
      </c>
      <c r="B525" s="245">
        <v>503</v>
      </c>
      <c r="C525" s="258"/>
      <c r="D525" s="258"/>
      <c r="E525" s="246"/>
      <c r="F525" s="247" t="str">
        <f>IF(ISBLANK(E525), "", VLOOKUP(E525, Z!$A$2:$C$4127, 3, FALSE))</f>
        <v/>
      </c>
      <c r="G525" s="248"/>
      <c r="H525" s="248"/>
      <c r="I525" s="249"/>
      <c r="J525" s="250"/>
      <c r="K525" s="259"/>
      <c r="L525" s="260"/>
      <c r="M525" s="252" t="str" cm="1">
        <f t="array" ref="M525">INDEX(Trad, 53, $A$20)</f>
        <v>Verschmutzt</v>
      </c>
      <c r="N525" s="253"/>
      <c r="O525" s="253"/>
      <c r="P525" s="254"/>
      <c r="Q525" s="251"/>
      <c r="R525" s="251"/>
      <c r="S525" s="264">
        <f t="shared" si="573"/>
        <v>0</v>
      </c>
      <c r="T525" s="252" t="str" cm="1">
        <f t="array" ref="T525">INDEX(Trad, 52, $A$20)</f>
        <v>Sauber</v>
      </c>
      <c r="U525" s="253"/>
      <c r="V525" s="253"/>
      <c r="W525" s="254"/>
      <c r="X525" s="251"/>
      <c r="Y525" s="251"/>
      <c r="Z525" s="264">
        <f t="shared" si="574"/>
        <v>0</v>
      </c>
      <c r="AA525" s="261"/>
      <c r="AB525" s="258"/>
      <c r="AC525" s="246"/>
      <c r="AD525" s="247" t="str">
        <f>IF(ISBLANK(AC525), "", VLOOKUP(AC525, Z!$A$2:$C$4127, 3, FALSE))</f>
        <v/>
      </c>
      <c r="AE525" s="262"/>
      <c r="AF525" s="263">
        <f t="shared" si="575"/>
        <v>0</v>
      </c>
      <c r="AG525" s="238"/>
      <c r="AH525" s="229">
        <f t="shared" si="599"/>
        <v>1</v>
      </c>
      <c r="AI525" s="229">
        <f t="shared" si="600"/>
        <v>1</v>
      </c>
      <c r="AJ525" s="229">
        <f t="shared" si="601"/>
        <v>0</v>
      </c>
      <c r="AK525" s="229">
        <v>0</v>
      </c>
      <c r="AL525" s="229">
        <v>0</v>
      </c>
      <c r="AM525" s="229">
        <v>1</v>
      </c>
      <c r="AN525" s="229">
        <v>0</v>
      </c>
      <c r="AO525" s="229">
        <f t="shared" si="576"/>
        <v>-100</v>
      </c>
      <c r="AP525" s="238"/>
      <c r="AQ525" s="255"/>
      <c r="AR525" s="255"/>
      <c r="AS525" s="256"/>
      <c r="AT525" s="256"/>
      <c r="AU525" s="256"/>
      <c r="AV525" s="256"/>
      <c r="AW525" s="256"/>
      <c r="AX525" s="256"/>
      <c r="AY525" s="256"/>
      <c r="AZ525" s="256"/>
      <c r="BA525" s="256"/>
      <c r="BB525" s="256"/>
      <c r="BC525" s="256"/>
      <c r="BD525" s="238"/>
      <c r="BE525" s="229" cm="1">
        <f t="array" ref="BE525">IF(ISBLANK(R525), INDEX(Use, $AH525, 4) - AM525*INDEX(Use, $AH525, 6), R525)</f>
        <v>5</v>
      </c>
      <c r="BF525" s="229">
        <f t="shared" si="577"/>
        <v>30</v>
      </c>
      <c r="BG525" s="229">
        <f t="shared" si="565"/>
        <v>13</v>
      </c>
      <c r="BH525" s="229">
        <f t="shared" si="566"/>
        <v>0</v>
      </c>
      <c r="BI525" s="234" cm="1">
        <f t="array" ref="BI525">K525/IF($L525&gt;0, INDEX($AU$23:$BA$77, $L525+20, $AH525), 1)</f>
        <v>0</v>
      </c>
      <c r="BJ525" s="230">
        <f t="shared" si="578"/>
        <v>0</v>
      </c>
      <c r="BK525" s="229">
        <v>35</v>
      </c>
      <c r="BL525" s="230">
        <f t="shared" si="579"/>
        <v>48</v>
      </c>
      <c r="BM525" s="235">
        <f t="shared" si="580"/>
        <v>2.9108720930232557</v>
      </c>
      <c r="BN525" s="235" cm="1">
        <f t="array" ref="BN525">$BI525 * SUMPRODUCT(INDEX($AR$77:$AT$82,,$AI525),INDEX($AU$77:$BA$82,,$AH525), N($AQ$77:$AQ$82&gt;$AO525)) / BM525 / 1000</f>
        <v>0</v>
      </c>
      <c r="BO525" s="232">
        <f t="shared" si="567"/>
        <v>30</v>
      </c>
      <c r="BP525" s="230">
        <f t="shared" si="581"/>
        <v>43</v>
      </c>
      <c r="BQ525" s="235">
        <f t="shared" si="582"/>
        <v>3.2938815789473681</v>
      </c>
      <c r="BR525" s="235" cm="1">
        <f t="array" ref="BR525">$BI525 * IF($AH525&lt;=2,
SUMPRODUCT(INDEX($AR$72:$AT$76,,$AI525), INDEX($AU$72:$BA$76,,$AH525), 1 / ($BB$72:$BB$76*BQ525 + (1-$BB$72:$BB$76)*BM525), N($AQ$72:$AQ$76&gt;$AO525)),
SUMPRODUCT(INDEX($AR$67:$AT$76,,$AI525), INDEX($AU$67:$BA$76,,$AH525), 1 / ($BC$67:$BC$76*BQ525 + (1-$BC$67:$BC$76)*BM525), N($AQ$67:$AQ$76&gt;$AO525))
) / 1000</f>
        <v>0</v>
      </c>
      <c r="BS525" s="232">
        <f t="shared" si="568"/>
        <v>25</v>
      </c>
      <c r="BT525" s="230">
        <f t="shared" si="583"/>
        <v>38</v>
      </c>
      <c r="BU525" s="235">
        <f t="shared" si="584"/>
        <v>3.792954545454545</v>
      </c>
      <c r="BV525" s="235" cm="1">
        <f t="array" ref="BV525">$BI525 * IF($AH525&lt;=2,
SUMPRODUCT(INDEX($AR$67:$AT$71,,$AI525), INDEX($AU$67:$BA$71,,$AH525), 1 / ($BB$67:$BB$71*BU525 + (1-$BB$67:$BB$71)*BQ525), N($AQ$67:$AQ$71&gt;$AO525)),
SUMPRODUCT(INDEX($AR$57:$AT$66,,$AI525), INDEX($AU$57:$BA$66,,$AH525), 1 / ($BC$57:$BC$66*BU525 + (1-$BC$57:$BC$66)*BQ525), N($AQ$57:$AQ$66&gt;$AO525))
) / 1000</f>
        <v>0</v>
      </c>
      <c r="BW525" s="232">
        <f t="shared" si="569"/>
        <v>20</v>
      </c>
      <c r="BX525" s="230">
        <f t="shared" si="585"/>
        <v>33</v>
      </c>
      <c r="BY525" s="235">
        <f t="shared" si="586"/>
        <v>4.4702678571428569</v>
      </c>
      <c r="BZ525" s="235" cm="1">
        <f t="array" ref="BZ525">$BI525 * IF($AH525&lt;=2,
SUMPRODUCT(INDEX($AR$62:$AT$66,,$AI525), INDEX($AU$62:$BA$66,,$AH525), 1 / ($BB$62:$BB$66*BY525 + (1-$BB$62:$BB$66)*BU525), N($AQ$62:$AQ$66&gt;$AO525)),
SUMPRODUCT(INDEX($AR$47:$AT$56,,$AI525), INDEX($AU$47:$BA$56,,$AH525), 1 / ($BC$47:$BC$56*BY525 + (1-$BC$47:$BC$56)*BU525), N($AQ$47:$AQ$56&gt;$AO525))
) / 1000</f>
        <v>0</v>
      </c>
      <c r="CA525" s="235" cm="1">
        <f t="array" ref="CA525">$BI525 * IF($AH525&lt;=2,
SUMPRODUCT(INDEX($AR$23:$AT$61,,$AI525), INDEX($AU$23:$BA$61,,$AH525), 1 / ($BB$23:$BB$61*BY525), N($AQ$23:$AQ$61&gt;$AO525)),
SUMPRODUCT(INDEX($AR$23:$AT$46,,$AI525), INDEX($AU$23:$BA$46,,$AH525), 1 / ($BC$23:$BC$46*BY525), N($AQ$23:$AQ$46&gt;$AO525))
) / 1000</f>
        <v>0</v>
      </c>
      <c r="CB525" s="230">
        <f t="shared" si="587"/>
        <v>0</v>
      </c>
      <c r="CC525" s="238"/>
      <c r="CD525" s="229" cm="1">
        <f t="array" ref="CD525">IF(ISBLANK(Y525), INDEX(Use, $AH525, 4) - AN525*INDEX(Use, $AH525, 6) - (Q525-X525), Y525)</f>
        <v>7</v>
      </c>
      <c r="CE525" s="229">
        <f t="shared" si="588"/>
        <v>32</v>
      </c>
      <c r="CF525" s="230">
        <f t="shared" si="589"/>
        <v>0</v>
      </c>
      <c r="CG525" s="229">
        <v>35</v>
      </c>
      <c r="CH525" s="230">
        <f t="shared" si="590"/>
        <v>48</v>
      </c>
      <c r="CI525" s="235">
        <f t="shared" si="591"/>
        <v>3.0748170731707316</v>
      </c>
      <c r="CJ525" s="235" cm="1">
        <f t="array" ref="CJ525">$BI525 * SUMPRODUCT(INDEX($AR$77:$AT$82,,$AI525),INDEX($AU$77:$BA$82,,$AH525), N($AQ$77:$AQ$82&gt;$AO525)) / CI525 / 1000</f>
        <v>0</v>
      </c>
      <c r="CK525" s="232">
        <f t="shared" si="570"/>
        <v>30</v>
      </c>
      <c r="CL525" s="230">
        <f t="shared" si="592"/>
        <v>43</v>
      </c>
      <c r="CM525" s="235">
        <f t="shared" si="593"/>
        <v>3.5018750000000001</v>
      </c>
      <c r="CN525" s="235" cm="1">
        <f t="array" ref="CN525">$BI525 * IF($AH525&lt;=2,
SUMPRODUCT(INDEX($AR$72:$AT$76,,$AI525), INDEX($AU$72:$BA$76,,$AH525), 1 / ($BB$72:$BB$76*CM525 + (1-$BB$72:$BB$76)*CI525), N($AQ$72:$AQ$76&gt;$AO525)),
SUMPRODUCT(INDEX($AR$67:$AT$76,,$AI525), INDEX($AU$67:$BA$76,,$AH525), 1 / ($BC$67:$BC$76*CM525 + (1-$BC$67:$BC$76)*CI525), N($AQ$67:$AQ$76&gt;$AO525))
) / 1000</f>
        <v>0</v>
      </c>
      <c r="CO525" s="232">
        <f t="shared" si="571"/>
        <v>25</v>
      </c>
      <c r="CP525" s="230">
        <f t="shared" si="594"/>
        <v>38</v>
      </c>
      <c r="CQ525" s="235">
        <f t="shared" si="595"/>
        <v>4.0666935483870965</v>
      </c>
      <c r="CR525" s="235" cm="1">
        <f t="array" ref="CR525">$BI525 * IF($AH525&lt;=2,
SUMPRODUCT(INDEX($AR$67:$AT$71,,$AI525), INDEX($AU$67:$BA$71,,$AH525), 1 / ($BB$67:$BB$71*CQ525 + (1-$BB$67:$BB$71)*CM525), N($AQ$67:$AQ$71&gt;$AO525)),
SUMPRODUCT(INDEX($AR$57:$AT$66,,$AI525), INDEX($AU$57:$BA$66,,$AH525), 1 / ($BC$57:$BC$66*CQ525 + (1-$BC$57:$BC$66)*CM525), N($AQ$57:$AQ$66&gt;$AO525))
) / 1000</f>
        <v>0</v>
      </c>
      <c r="CS525" s="232">
        <f t="shared" si="572"/>
        <v>20</v>
      </c>
      <c r="CT525" s="230">
        <f t="shared" si="596"/>
        <v>33</v>
      </c>
      <c r="CU525" s="235">
        <f t="shared" si="597"/>
        <v>4.8487499999999999</v>
      </c>
      <c r="CV525" s="235" cm="1">
        <f t="array" ref="CV525">$BI525 * IF($AH525&lt;=2,
SUMPRODUCT(INDEX($AR$62:$AT$66,,$AI525), INDEX($AU$62:$BA$66,,$AH525), 1 / ($BB$62:$BB$66*CU525 + (1-$BB$62:$BB$66)*CQ525), N($AQ$62:$AQ$66&gt;$AO525)),
SUMPRODUCT(INDEX($AR$47:$AT$56,,$AI525), INDEX($AU$47:$BA$56,,$AH525), 1 / ($BC$47:$BC$56*CU525 + (1-$BC$47:$BC$56)*CQ525), N($AQ$47:$AQ$56&gt;$AO525))
) / 1000</f>
        <v>0</v>
      </c>
      <c r="CW525" s="235" cm="1">
        <f t="array" ref="CW525">$BI525 * IF($AH525&lt;=2,
SUMPRODUCT(INDEX($AR$23:$AT$61,,$AI525), INDEX($AU$23:$BA$61,,$AH525), 1 / ($BB$23:$BB$61*CU525), N($AQ$23:$AQ$61&gt;$AO525)),
SUMPRODUCT(INDEX($AR$23:$AT$46,,$AI525), INDEX($AU$23:$BA$46,,$AH525), 1 / ($BC$23:$BC$46*CU525), N($AQ$23:$AQ$46&gt;$AO525))
) / 1000</f>
        <v>0</v>
      </c>
      <c r="CX525" s="230">
        <f t="shared" si="598"/>
        <v>0</v>
      </c>
      <c r="CY525" s="238"/>
    </row>
    <row r="526" spans="1:103" s="76" customFormat="1" ht="14.25" customHeight="1" x14ac:dyDescent="0.2">
      <c r="A526" s="231" t="b">
        <f t="shared" si="564"/>
        <v>0</v>
      </c>
      <c r="B526" s="245">
        <v>504</v>
      </c>
      <c r="C526" s="258"/>
      <c r="D526" s="258"/>
      <c r="E526" s="246"/>
      <c r="F526" s="247" t="str">
        <f>IF(ISBLANK(E526), "", VLOOKUP(E526, Z!$A$2:$C$4127, 3, FALSE))</f>
        <v/>
      </c>
      <c r="G526" s="248"/>
      <c r="H526" s="248"/>
      <c r="I526" s="249"/>
      <c r="J526" s="250"/>
      <c r="K526" s="259"/>
      <c r="L526" s="260"/>
      <c r="M526" s="252" t="str" cm="1">
        <f t="array" ref="M526">INDEX(Trad, 53, $A$20)</f>
        <v>Verschmutzt</v>
      </c>
      <c r="N526" s="253"/>
      <c r="O526" s="253"/>
      <c r="P526" s="254"/>
      <c r="Q526" s="251"/>
      <c r="R526" s="251"/>
      <c r="S526" s="264">
        <f t="shared" si="573"/>
        <v>0</v>
      </c>
      <c r="T526" s="252" t="str" cm="1">
        <f t="array" ref="T526">INDEX(Trad, 52, $A$20)</f>
        <v>Sauber</v>
      </c>
      <c r="U526" s="253"/>
      <c r="V526" s="253"/>
      <c r="W526" s="254"/>
      <c r="X526" s="251"/>
      <c r="Y526" s="251"/>
      <c r="Z526" s="264">
        <f t="shared" si="574"/>
        <v>0</v>
      </c>
      <c r="AA526" s="261"/>
      <c r="AB526" s="258"/>
      <c r="AC526" s="246"/>
      <c r="AD526" s="247" t="str">
        <f>IF(ISBLANK(AC526), "", VLOOKUP(AC526, Z!$A$2:$C$4127, 3, FALSE))</f>
        <v/>
      </c>
      <c r="AE526" s="262"/>
      <c r="AF526" s="263">
        <f t="shared" si="575"/>
        <v>0</v>
      </c>
      <c r="AG526" s="238"/>
      <c r="AH526" s="229">
        <f t="shared" si="599"/>
        <v>1</v>
      </c>
      <c r="AI526" s="229">
        <f t="shared" si="600"/>
        <v>1</v>
      </c>
      <c r="AJ526" s="229">
        <f t="shared" si="601"/>
        <v>0</v>
      </c>
      <c r="AK526" s="229">
        <v>0</v>
      </c>
      <c r="AL526" s="229">
        <v>0</v>
      </c>
      <c r="AM526" s="229">
        <v>1</v>
      </c>
      <c r="AN526" s="229">
        <v>0</v>
      </c>
      <c r="AO526" s="229">
        <f t="shared" si="576"/>
        <v>-100</v>
      </c>
      <c r="AP526" s="238"/>
      <c r="AQ526" s="255"/>
      <c r="AR526" s="255"/>
      <c r="AS526" s="256"/>
      <c r="AT526" s="256"/>
      <c r="AU526" s="256"/>
      <c r="AV526" s="256"/>
      <c r="AW526" s="256"/>
      <c r="AX526" s="256"/>
      <c r="AY526" s="256"/>
      <c r="AZ526" s="256"/>
      <c r="BA526" s="256"/>
      <c r="BB526" s="256"/>
      <c r="BC526" s="256"/>
      <c r="BD526" s="238"/>
      <c r="BE526" s="229" cm="1">
        <f t="array" ref="BE526">IF(ISBLANK(R526), INDEX(Use, $AH526, 4) - AM526*INDEX(Use, $AH526, 6), R526)</f>
        <v>5</v>
      </c>
      <c r="BF526" s="229">
        <f t="shared" si="577"/>
        <v>30</v>
      </c>
      <c r="BG526" s="229">
        <f t="shared" si="565"/>
        <v>13</v>
      </c>
      <c r="BH526" s="229">
        <f t="shared" si="566"/>
        <v>0</v>
      </c>
      <c r="BI526" s="234" cm="1">
        <f t="array" ref="BI526">K526/IF($L526&gt;0, INDEX($AU$23:$BA$77, $L526+20, $AH526), 1)</f>
        <v>0</v>
      </c>
      <c r="BJ526" s="230">
        <f t="shared" si="578"/>
        <v>0</v>
      </c>
      <c r="BK526" s="229">
        <v>35</v>
      </c>
      <c r="BL526" s="230">
        <f t="shared" si="579"/>
        <v>48</v>
      </c>
      <c r="BM526" s="235">
        <f t="shared" si="580"/>
        <v>2.9108720930232557</v>
      </c>
      <c r="BN526" s="235" cm="1">
        <f t="array" ref="BN526">$BI526 * SUMPRODUCT(INDEX($AR$77:$AT$82,,$AI526),INDEX($AU$77:$BA$82,,$AH526), N($AQ$77:$AQ$82&gt;$AO526)) / BM526 / 1000</f>
        <v>0</v>
      </c>
      <c r="BO526" s="232">
        <f t="shared" si="567"/>
        <v>30</v>
      </c>
      <c r="BP526" s="230">
        <f t="shared" si="581"/>
        <v>43</v>
      </c>
      <c r="BQ526" s="235">
        <f t="shared" si="582"/>
        <v>3.2938815789473681</v>
      </c>
      <c r="BR526" s="235" cm="1">
        <f t="array" ref="BR526">$BI526 * IF($AH526&lt;=2,
SUMPRODUCT(INDEX($AR$72:$AT$76,,$AI526), INDEX($AU$72:$BA$76,,$AH526), 1 / ($BB$72:$BB$76*BQ526 + (1-$BB$72:$BB$76)*BM526), N($AQ$72:$AQ$76&gt;$AO526)),
SUMPRODUCT(INDEX($AR$67:$AT$76,,$AI526), INDEX($AU$67:$BA$76,,$AH526), 1 / ($BC$67:$BC$76*BQ526 + (1-$BC$67:$BC$76)*BM526), N($AQ$67:$AQ$76&gt;$AO526))
) / 1000</f>
        <v>0</v>
      </c>
      <c r="BS526" s="232">
        <f t="shared" si="568"/>
        <v>25</v>
      </c>
      <c r="BT526" s="230">
        <f t="shared" si="583"/>
        <v>38</v>
      </c>
      <c r="BU526" s="235">
        <f t="shared" si="584"/>
        <v>3.792954545454545</v>
      </c>
      <c r="BV526" s="235" cm="1">
        <f t="array" ref="BV526">$BI526 * IF($AH526&lt;=2,
SUMPRODUCT(INDEX($AR$67:$AT$71,,$AI526), INDEX($AU$67:$BA$71,,$AH526), 1 / ($BB$67:$BB$71*BU526 + (1-$BB$67:$BB$71)*BQ526), N($AQ$67:$AQ$71&gt;$AO526)),
SUMPRODUCT(INDEX($AR$57:$AT$66,,$AI526), INDEX($AU$57:$BA$66,,$AH526), 1 / ($BC$57:$BC$66*BU526 + (1-$BC$57:$BC$66)*BQ526), N($AQ$57:$AQ$66&gt;$AO526))
) / 1000</f>
        <v>0</v>
      </c>
      <c r="BW526" s="232">
        <f t="shared" si="569"/>
        <v>20</v>
      </c>
      <c r="BX526" s="230">
        <f t="shared" si="585"/>
        <v>33</v>
      </c>
      <c r="BY526" s="235">
        <f t="shared" si="586"/>
        <v>4.4702678571428569</v>
      </c>
      <c r="BZ526" s="235" cm="1">
        <f t="array" ref="BZ526">$BI526 * IF($AH526&lt;=2,
SUMPRODUCT(INDEX($AR$62:$AT$66,,$AI526), INDEX($AU$62:$BA$66,,$AH526), 1 / ($BB$62:$BB$66*BY526 + (1-$BB$62:$BB$66)*BU526), N($AQ$62:$AQ$66&gt;$AO526)),
SUMPRODUCT(INDEX($AR$47:$AT$56,,$AI526), INDEX($AU$47:$BA$56,,$AH526), 1 / ($BC$47:$BC$56*BY526 + (1-$BC$47:$BC$56)*BU526), N($AQ$47:$AQ$56&gt;$AO526))
) / 1000</f>
        <v>0</v>
      </c>
      <c r="CA526" s="235" cm="1">
        <f t="array" ref="CA526">$BI526 * IF($AH526&lt;=2,
SUMPRODUCT(INDEX($AR$23:$AT$61,,$AI526), INDEX($AU$23:$BA$61,,$AH526), 1 / ($BB$23:$BB$61*BY526), N($AQ$23:$AQ$61&gt;$AO526)),
SUMPRODUCT(INDEX($AR$23:$AT$46,,$AI526), INDEX($AU$23:$BA$46,,$AH526), 1 / ($BC$23:$BC$46*BY526), N($AQ$23:$AQ$46&gt;$AO526))
) / 1000</f>
        <v>0</v>
      </c>
      <c r="CB526" s="230">
        <f t="shared" si="587"/>
        <v>0</v>
      </c>
      <c r="CC526" s="238"/>
      <c r="CD526" s="229" cm="1">
        <f t="array" ref="CD526">IF(ISBLANK(Y526), INDEX(Use, $AH526, 4) - AN526*INDEX(Use, $AH526, 6) - (Q526-X526), Y526)</f>
        <v>7</v>
      </c>
      <c r="CE526" s="229">
        <f t="shared" si="588"/>
        <v>32</v>
      </c>
      <c r="CF526" s="230">
        <f t="shared" si="589"/>
        <v>0</v>
      </c>
      <c r="CG526" s="229">
        <v>35</v>
      </c>
      <c r="CH526" s="230">
        <f t="shared" si="590"/>
        <v>48</v>
      </c>
      <c r="CI526" s="235">
        <f t="shared" si="591"/>
        <v>3.0748170731707316</v>
      </c>
      <c r="CJ526" s="235" cm="1">
        <f t="array" ref="CJ526">$BI526 * SUMPRODUCT(INDEX($AR$77:$AT$82,,$AI526),INDEX($AU$77:$BA$82,,$AH526), N($AQ$77:$AQ$82&gt;$AO526)) / CI526 / 1000</f>
        <v>0</v>
      </c>
      <c r="CK526" s="232">
        <f t="shared" si="570"/>
        <v>30</v>
      </c>
      <c r="CL526" s="230">
        <f t="shared" si="592"/>
        <v>43</v>
      </c>
      <c r="CM526" s="235">
        <f t="shared" si="593"/>
        <v>3.5018750000000001</v>
      </c>
      <c r="CN526" s="235" cm="1">
        <f t="array" ref="CN526">$BI526 * IF($AH526&lt;=2,
SUMPRODUCT(INDEX($AR$72:$AT$76,,$AI526), INDEX($AU$72:$BA$76,,$AH526), 1 / ($BB$72:$BB$76*CM526 + (1-$BB$72:$BB$76)*CI526), N($AQ$72:$AQ$76&gt;$AO526)),
SUMPRODUCT(INDEX($AR$67:$AT$76,,$AI526), INDEX($AU$67:$BA$76,,$AH526), 1 / ($BC$67:$BC$76*CM526 + (1-$BC$67:$BC$76)*CI526), N($AQ$67:$AQ$76&gt;$AO526))
) / 1000</f>
        <v>0</v>
      </c>
      <c r="CO526" s="232">
        <f t="shared" si="571"/>
        <v>25</v>
      </c>
      <c r="CP526" s="230">
        <f t="shared" si="594"/>
        <v>38</v>
      </c>
      <c r="CQ526" s="235">
        <f t="shared" si="595"/>
        <v>4.0666935483870965</v>
      </c>
      <c r="CR526" s="235" cm="1">
        <f t="array" ref="CR526">$BI526 * IF($AH526&lt;=2,
SUMPRODUCT(INDEX($AR$67:$AT$71,,$AI526), INDEX($AU$67:$BA$71,,$AH526), 1 / ($BB$67:$BB$71*CQ526 + (1-$BB$67:$BB$71)*CM526), N($AQ$67:$AQ$71&gt;$AO526)),
SUMPRODUCT(INDEX($AR$57:$AT$66,,$AI526), INDEX($AU$57:$BA$66,,$AH526), 1 / ($BC$57:$BC$66*CQ526 + (1-$BC$57:$BC$66)*CM526), N($AQ$57:$AQ$66&gt;$AO526))
) / 1000</f>
        <v>0</v>
      </c>
      <c r="CS526" s="232">
        <f t="shared" si="572"/>
        <v>20</v>
      </c>
      <c r="CT526" s="230">
        <f t="shared" si="596"/>
        <v>33</v>
      </c>
      <c r="CU526" s="235">
        <f t="shared" si="597"/>
        <v>4.8487499999999999</v>
      </c>
      <c r="CV526" s="235" cm="1">
        <f t="array" ref="CV526">$BI526 * IF($AH526&lt;=2,
SUMPRODUCT(INDEX($AR$62:$AT$66,,$AI526), INDEX($AU$62:$BA$66,,$AH526), 1 / ($BB$62:$BB$66*CU526 + (1-$BB$62:$BB$66)*CQ526), N($AQ$62:$AQ$66&gt;$AO526)),
SUMPRODUCT(INDEX($AR$47:$AT$56,,$AI526), INDEX($AU$47:$BA$56,,$AH526), 1 / ($BC$47:$BC$56*CU526 + (1-$BC$47:$BC$56)*CQ526), N($AQ$47:$AQ$56&gt;$AO526))
) / 1000</f>
        <v>0</v>
      </c>
      <c r="CW526" s="235" cm="1">
        <f t="array" ref="CW526">$BI526 * IF($AH526&lt;=2,
SUMPRODUCT(INDEX($AR$23:$AT$61,,$AI526), INDEX($AU$23:$BA$61,,$AH526), 1 / ($BB$23:$BB$61*CU526), N($AQ$23:$AQ$61&gt;$AO526)),
SUMPRODUCT(INDEX($AR$23:$AT$46,,$AI526), INDEX($AU$23:$BA$46,,$AH526), 1 / ($BC$23:$BC$46*CU526), N($AQ$23:$AQ$46&gt;$AO526))
) / 1000</f>
        <v>0</v>
      </c>
      <c r="CX526" s="230">
        <f t="shared" si="598"/>
        <v>0</v>
      </c>
      <c r="CY526" s="238"/>
    </row>
    <row r="527" spans="1:103" s="76" customFormat="1" ht="14.25" customHeight="1" x14ac:dyDescent="0.2">
      <c r="A527" s="231" t="b">
        <f t="shared" si="564"/>
        <v>0</v>
      </c>
      <c r="B527" s="245">
        <v>505</v>
      </c>
      <c r="C527" s="258"/>
      <c r="D527" s="258"/>
      <c r="E527" s="246"/>
      <c r="F527" s="247" t="str">
        <f>IF(ISBLANK(E527), "", VLOOKUP(E527, Z!$A$2:$C$4127, 3, FALSE))</f>
        <v/>
      </c>
      <c r="G527" s="248"/>
      <c r="H527" s="248"/>
      <c r="I527" s="249"/>
      <c r="J527" s="250"/>
      <c r="K527" s="259"/>
      <c r="L527" s="260"/>
      <c r="M527" s="252" t="str" cm="1">
        <f t="array" ref="M527">INDEX(Trad, 53, $A$20)</f>
        <v>Verschmutzt</v>
      </c>
      <c r="N527" s="253"/>
      <c r="O527" s="253"/>
      <c r="P527" s="254"/>
      <c r="Q527" s="251"/>
      <c r="R527" s="251"/>
      <c r="S527" s="264">
        <f t="shared" si="573"/>
        <v>0</v>
      </c>
      <c r="T527" s="252" t="str" cm="1">
        <f t="array" ref="T527">INDEX(Trad, 52, $A$20)</f>
        <v>Sauber</v>
      </c>
      <c r="U527" s="253"/>
      <c r="V527" s="253"/>
      <c r="W527" s="254"/>
      <c r="X527" s="251"/>
      <c r="Y527" s="251"/>
      <c r="Z527" s="264">
        <f t="shared" si="574"/>
        <v>0</v>
      </c>
      <c r="AA527" s="261"/>
      <c r="AB527" s="258"/>
      <c r="AC527" s="246"/>
      <c r="AD527" s="247" t="str">
        <f>IF(ISBLANK(AC527), "", VLOOKUP(AC527, Z!$A$2:$C$4127, 3, FALSE))</f>
        <v/>
      </c>
      <c r="AE527" s="262"/>
      <c r="AF527" s="263">
        <f t="shared" si="575"/>
        <v>0</v>
      </c>
      <c r="AG527" s="238"/>
      <c r="AH527" s="229">
        <f t="shared" si="599"/>
        <v>1</v>
      </c>
      <c r="AI527" s="229">
        <f t="shared" si="600"/>
        <v>1</v>
      </c>
      <c r="AJ527" s="229">
        <f t="shared" si="601"/>
        <v>0</v>
      </c>
      <c r="AK527" s="229">
        <v>0</v>
      </c>
      <c r="AL527" s="229">
        <v>0</v>
      </c>
      <c r="AM527" s="229">
        <v>1</v>
      </c>
      <c r="AN527" s="229">
        <v>0</v>
      </c>
      <c r="AO527" s="229">
        <f t="shared" si="576"/>
        <v>-100</v>
      </c>
      <c r="AP527" s="238"/>
      <c r="AQ527" s="255"/>
      <c r="AR527" s="255"/>
      <c r="AS527" s="256"/>
      <c r="AT527" s="256"/>
      <c r="AU527" s="256"/>
      <c r="AV527" s="256"/>
      <c r="AW527" s="256"/>
      <c r="AX527" s="256"/>
      <c r="AY527" s="256"/>
      <c r="AZ527" s="256"/>
      <c r="BA527" s="256"/>
      <c r="BB527" s="256"/>
      <c r="BC527" s="256"/>
      <c r="BD527" s="238"/>
      <c r="BE527" s="229" cm="1">
        <f t="array" ref="BE527">IF(ISBLANK(R527), INDEX(Use, $AH527, 4) - AM527*INDEX(Use, $AH527, 6), R527)</f>
        <v>5</v>
      </c>
      <c r="BF527" s="229">
        <f t="shared" si="577"/>
        <v>30</v>
      </c>
      <c r="BG527" s="229">
        <f t="shared" si="565"/>
        <v>13</v>
      </c>
      <c r="BH527" s="229">
        <f t="shared" si="566"/>
        <v>0</v>
      </c>
      <c r="BI527" s="234" cm="1">
        <f t="array" ref="BI527">K527/IF($L527&gt;0, INDEX($AU$23:$BA$77, $L527+20, $AH527), 1)</f>
        <v>0</v>
      </c>
      <c r="BJ527" s="230">
        <f t="shared" si="578"/>
        <v>0</v>
      </c>
      <c r="BK527" s="229">
        <v>35</v>
      </c>
      <c r="BL527" s="230">
        <f t="shared" si="579"/>
        <v>48</v>
      </c>
      <c r="BM527" s="235">
        <f t="shared" si="580"/>
        <v>2.9108720930232557</v>
      </c>
      <c r="BN527" s="235" cm="1">
        <f t="array" ref="BN527">$BI527 * SUMPRODUCT(INDEX($AR$77:$AT$82,,$AI527),INDEX($AU$77:$BA$82,,$AH527), N($AQ$77:$AQ$82&gt;$AO527)) / BM527 / 1000</f>
        <v>0</v>
      </c>
      <c r="BO527" s="232">
        <f t="shared" si="567"/>
        <v>30</v>
      </c>
      <c r="BP527" s="230">
        <f t="shared" si="581"/>
        <v>43</v>
      </c>
      <c r="BQ527" s="235">
        <f t="shared" si="582"/>
        <v>3.2938815789473681</v>
      </c>
      <c r="BR527" s="235" cm="1">
        <f t="array" ref="BR527">$BI527 * IF($AH527&lt;=2,
SUMPRODUCT(INDEX($AR$72:$AT$76,,$AI527), INDEX($AU$72:$BA$76,,$AH527), 1 / ($BB$72:$BB$76*BQ527 + (1-$BB$72:$BB$76)*BM527), N($AQ$72:$AQ$76&gt;$AO527)),
SUMPRODUCT(INDEX($AR$67:$AT$76,,$AI527), INDEX($AU$67:$BA$76,,$AH527), 1 / ($BC$67:$BC$76*BQ527 + (1-$BC$67:$BC$76)*BM527), N($AQ$67:$AQ$76&gt;$AO527))
) / 1000</f>
        <v>0</v>
      </c>
      <c r="BS527" s="232">
        <f t="shared" si="568"/>
        <v>25</v>
      </c>
      <c r="BT527" s="230">
        <f t="shared" si="583"/>
        <v>38</v>
      </c>
      <c r="BU527" s="235">
        <f t="shared" si="584"/>
        <v>3.792954545454545</v>
      </c>
      <c r="BV527" s="235" cm="1">
        <f t="array" ref="BV527">$BI527 * IF($AH527&lt;=2,
SUMPRODUCT(INDEX($AR$67:$AT$71,,$AI527), INDEX($AU$67:$BA$71,,$AH527), 1 / ($BB$67:$BB$71*BU527 + (1-$BB$67:$BB$71)*BQ527), N($AQ$67:$AQ$71&gt;$AO527)),
SUMPRODUCT(INDEX($AR$57:$AT$66,,$AI527), INDEX($AU$57:$BA$66,,$AH527), 1 / ($BC$57:$BC$66*BU527 + (1-$BC$57:$BC$66)*BQ527), N($AQ$57:$AQ$66&gt;$AO527))
) / 1000</f>
        <v>0</v>
      </c>
      <c r="BW527" s="232">
        <f t="shared" si="569"/>
        <v>20</v>
      </c>
      <c r="BX527" s="230">
        <f t="shared" si="585"/>
        <v>33</v>
      </c>
      <c r="BY527" s="235">
        <f t="shared" si="586"/>
        <v>4.4702678571428569</v>
      </c>
      <c r="BZ527" s="235" cm="1">
        <f t="array" ref="BZ527">$BI527 * IF($AH527&lt;=2,
SUMPRODUCT(INDEX($AR$62:$AT$66,,$AI527), INDEX($AU$62:$BA$66,,$AH527), 1 / ($BB$62:$BB$66*BY527 + (1-$BB$62:$BB$66)*BU527), N($AQ$62:$AQ$66&gt;$AO527)),
SUMPRODUCT(INDEX($AR$47:$AT$56,,$AI527), INDEX($AU$47:$BA$56,,$AH527), 1 / ($BC$47:$BC$56*BY527 + (1-$BC$47:$BC$56)*BU527), N($AQ$47:$AQ$56&gt;$AO527))
) / 1000</f>
        <v>0</v>
      </c>
      <c r="CA527" s="235" cm="1">
        <f t="array" ref="CA527">$BI527 * IF($AH527&lt;=2,
SUMPRODUCT(INDEX($AR$23:$AT$61,,$AI527), INDEX($AU$23:$BA$61,,$AH527), 1 / ($BB$23:$BB$61*BY527), N($AQ$23:$AQ$61&gt;$AO527)),
SUMPRODUCT(INDEX($AR$23:$AT$46,,$AI527), INDEX($AU$23:$BA$46,,$AH527), 1 / ($BC$23:$BC$46*BY527), N($AQ$23:$AQ$46&gt;$AO527))
) / 1000</f>
        <v>0</v>
      </c>
      <c r="CB527" s="230">
        <f t="shared" si="587"/>
        <v>0</v>
      </c>
      <c r="CC527" s="238"/>
      <c r="CD527" s="229" cm="1">
        <f t="array" ref="CD527">IF(ISBLANK(Y527), INDEX(Use, $AH527, 4) - AN527*INDEX(Use, $AH527, 6) - (Q527-X527), Y527)</f>
        <v>7</v>
      </c>
      <c r="CE527" s="229">
        <f t="shared" si="588"/>
        <v>32</v>
      </c>
      <c r="CF527" s="230">
        <f t="shared" si="589"/>
        <v>0</v>
      </c>
      <c r="CG527" s="229">
        <v>35</v>
      </c>
      <c r="CH527" s="230">
        <f t="shared" si="590"/>
        <v>48</v>
      </c>
      <c r="CI527" s="235">
        <f t="shared" si="591"/>
        <v>3.0748170731707316</v>
      </c>
      <c r="CJ527" s="235" cm="1">
        <f t="array" ref="CJ527">$BI527 * SUMPRODUCT(INDEX($AR$77:$AT$82,,$AI527),INDEX($AU$77:$BA$82,,$AH527), N($AQ$77:$AQ$82&gt;$AO527)) / CI527 / 1000</f>
        <v>0</v>
      </c>
      <c r="CK527" s="232">
        <f t="shared" si="570"/>
        <v>30</v>
      </c>
      <c r="CL527" s="230">
        <f t="shared" si="592"/>
        <v>43</v>
      </c>
      <c r="CM527" s="235">
        <f t="shared" si="593"/>
        <v>3.5018750000000001</v>
      </c>
      <c r="CN527" s="235" cm="1">
        <f t="array" ref="CN527">$BI527 * IF($AH527&lt;=2,
SUMPRODUCT(INDEX($AR$72:$AT$76,,$AI527), INDEX($AU$72:$BA$76,,$AH527), 1 / ($BB$72:$BB$76*CM527 + (1-$BB$72:$BB$76)*CI527), N($AQ$72:$AQ$76&gt;$AO527)),
SUMPRODUCT(INDEX($AR$67:$AT$76,,$AI527), INDEX($AU$67:$BA$76,,$AH527), 1 / ($BC$67:$BC$76*CM527 + (1-$BC$67:$BC$76)*CI527), N($AQ$67:$AQ$76&gt;$AO527))
) / 1000</f>
        <v>0</v>
      </c>
      <c r="CO527" s="232">
        <f t="shared" si="571"/>
        <v>25</v>
      </c>
      <c r="CP527" s="230">
        <f t="shared" si="594"/>
        <v>38</v>
      </c>
      <c r="CQ527" s="235">
        <f t="shared" si="595"/>
        <v>4.0666935483870965</v>
      </c>
      <c r="CR527" s="235" cm="1">
        <f t="array" ref="CR527">$BI527 * IF($AH527&lt;=2,
SUMPRODUCT(INDEX($AR$67:$AT$71,,$AI527), INDEX($AU$67:$BA$71,,$AH527), 1 / ($BB$67:$BB$71*CQ527 + (1-$BB$67:$BB$71)*CM527), N($AQ$67:$AQ$71&gt;$AO527)),
SUMPRODUCT(INDEX($AR$57:$AT$66,,$AI527), INDEX($AU$57:$BA$66,,$AH527), 1 / ($BC$57:$BC$66*CQ527 + (1-$BC$57:$BC$66)*CM527), N($AQ$57:$AQ$66&gt;$AO527))
) / 1000</f>
        <v>0</v>
      </c>
      <c r="CS527" s="232">
        <f t="shared" si="572"/>
        <v>20</v>
      </c>
      <c r="CT527" s="230">
        <f t="shared" si="596"/>
        <v>33</v>
      </c>
      <c r="CU527" s="235">
        <f t="shared" si="597"/>
        <v>4.8487499999999999</v>
      </c>
      <c r="CV527" s="235" cm="1">
        <f t="array" ref="CV527">$BI527 * IF($AH527&lt;=2,
SUMPRODUCT(INDEX($AR$62:$AT$66,,$AI527), INDEX($AU$62:$BA$66,,$AH527), 1 / ($BB$62:$BB$66*CU527 + (1-$BB$62:$BB$66)*CQ527), N($AQ$62:$AQ$66&gt;$AO527)),
SUMPRODUCT(INDEX($AR$47:$AT$56,,$AI527), INDEX($AU$47:$BA$56,,$AH527), 1 / ($BC$47:$BC$56*CU527 + (1-$BC$47:$BC$56)*CQ527), N($AQ$47:$AQ$56&gt;$AO527))
) / 1000</f>
        <v>0</v>
      </c>
      <c r="CW527" s="235" cm="1">
        <f t="array" ref="CW527">$BI527 * IF($AH527&lt;=2,
SUMPRODUCT(INDEX($AR$23:$AT$61,,$AI527), INDEX($AU$23:$BA$61,,$AH527), 1 / ($BB$23:$BB$61*CU527), N($AQ$23:$AQ$61&gt;$AO527)),
SUMPRODUCT(INDEX($AR$23:$AT$46,,$AI527), INDEX($AU$23:$BA$46,,$AH527), 1 / ($BC$23:$BC$46*CU527), N($AQ$23:$AQ$46&gt;$AO527))
) / 1000</f>
        <v>0</v>
      </c>
      <c r="CX527" s="230">
        <f t="shared" si="598"/>
        <v>0</v>
      </c>
      <c r="CY527" s="238"/>
    </row>
    <row r="528" spans="1:103" s="76" customFormat="1" ht="14.25" customHeight="1" x14ac:dyDescent="0.2">
      <c r="A528" s="231" t="b">
        <f t="shared" si="564"/>
        <v>0</v>
      </c>
      <c r="B528" s="245">
        <v>506</v>
      </c>
      <c r="C528" s="258"/>
      <c r="D528" s="258"/>
      <c r="E528" s="246"/>
      <c r="F528" s="247" t="str">
        <f>IF(ISBLANK(E528), "", VLOOKUP(E528, Z!$A$2:$C$4127, 3, FALSE))</f>
        <v/>
      </c>
      <c r="G528" s="248"/>
      <c r="H528" s="248"/>
      <c r="I528" s="249"/>
      <c r="J528" s="250"/>
      <c r="K528" s="259"/>
      <c r="L528" s="260"/>
      <c r="M528" s="252" t="str" cm="1">
        <f t="array" ref="M528">INDEX(Trad, 53, $A$20)</f>
        <v>Verschmutzt</v>
      </c>
      <c r="N528" s="253"/>
      <c r="O528" s="253"/>
      <c r="P528" s="254"/>
      <c r="Q528" s="251"/>
      <c r="R528" s="251"/>
      <c r="S528" s="264">
        <f t="shared" si="573"/>
        <v>0</v>
      </c>
      <c r="T528" s="252" t="str" cm="1">
        <f t="array" ref="T528">INDEX(Trad, 52, $A$20)</f>
        <v>Sauber</v>
      </c>
      <c r="U528" s="253"/>
      <c r="V528" s="253"/>
      <c r="W528" s="254"/>
      <c r="X528" s="251"/>
      <c r="Y528" s="251"/>
      <c r="Z528" s="264">
        <f t="shared" si="574"/>
        <v>0</v>
      </c>
      <c r="AA528" s="261"/>
      <c r="AB528" s="258"/>
      <c r="AC528" s="246"/>
      <c r="AD528" s="247" t="str">
        <f>IF(ISBLANK(AC528), "", VLOOKUP(AC528, Z!$A$2:$C$4127, 3, FALSE))</f>
        <v/>
      </c>
      <c r="AE528" s="262"/>
      <c r="AF528" s="263">
        <f t="shared" si="575"/>
        <v>0</v>
      </c>
      <c r="AG528" s="238"/>
      <c r="AH528" s="229">
        <f t="shared" si="599"/>
        <v>1</v>
      </c>
      <c r="AI528" s="229">
        <f t="shared" si="600"/>
        <v>1</v>
      </c>
      <c r="AJ528" s="229">
        <f t="shared" si="601"/>
        <v>0</v>
      </c>
      <c r="AK528" s="229">
        <v>0</v>
      </c>
      <c r="AL528" s="229">
        <v>0</v>
      </c>
      <c r="AM528" s="229">
        <v>1</v>
      </c>
      <c r="AN528" s="229">
        <v>0</v>
      </c>
      <c r="AO528" s="229">
        <f t="shared" si="576"/>
        <v>-100</v>
      </c>
      <c r="AP528" s="238"/>
      <c r="AQ528" s="255"/>
      <c r="AR528" s="255"/>
      <c r="AS528" s="256"/>
      <c r="AT528" s="256"/>
      <c r="AU528" s="256"/>
      <c r="AV528" s="256"/>
      <c r="AW528" s="256"/>
      <c r="AX528" s="256"/>
      <c r="AY528" s="256"/>
      <c r="AZ528" s="256"/>
      <c r="BA528" s="256"/>
      <c r="BB528" s="256"/>
      <c r="BC528" s="256"/>
      <c r="BD528" s="238"/>
      <c r="BE528" s="229" cm="1">
        <f t="array" ref="BE528">IF(ISBLANK(R528), INDEX(Use, $AH528, 4) - AM528*INDEX(Use, $AH528, 6), R528)</f>
        <v>5</v>
      </c>
      <c r="BF528" s="229">
        <f t="shared" si="577"/>
        <v>30</v>
      </c>
      <c r="BG528" s="229">
        <f t="shared" si="565"/>
        <v>13</v>
      </c>
      <c r="BH528" s="229">
        <f t="shared" si="566"/>
        <v>0</v>
      </c>
      <c r="BI528" s="234" cm="1">
        <f t="array" ref="BI528">K528/IF($L528&gt;0, INDEX($AU$23:$BA$77, $L528+20, $AH528), 1)</f>
        <v>0</v>
      </c>
      <c r="BJ528" s="230">
        <f t="shared" si="578"/>
        <v>0</v>
      </c>
      <c r="BK528" s="229">
        <v>35</v>
      </c>
      <c r="BL528" s="230">
        <f t="shared" si="579"/>
        <v>48</v>
      </c>
      <c r="BM528" s="235">
        <f t="shared" si="580"/>
        <v>2.9108720930232557</v>
      </c>
      <c r="BN528" s="235" cm="1">
        <f t="array" ref="BN528">$BI528 * SUMPRODUCT(INDEX($AR$77:$AT$82,,$AI528),INDEX($AU$77:$BA$82,,$AH528), N($AQ$77:$AQ$82&gt;$AO528)) / BM528 / 1000</f>
        <v>0</v>
      </c>
      <c r="BO528" s="232">
        <f t="shared" si="567"/>
        <v>30</v>
      </c>
      <c r="BP528" s="230">
        <f t="shared" si="581"/>
        <v>43</v>
      </c>
      <c r="BQ528" s="235">
        <f t="shared" si="582"/>
        <v>3.2938815789473681</v>
      </c>
      <c r="BR528" s="235" cm="1">
        <f t="array" ref="BR528">$BI528 * IF($AH528&lt;=2,
SUMPRODUCT(INDEX($AR$72:$AT$76,,$AI528), INDEX($AU$72:$BA$76,,$AH528), 1 / ($BB$72:$BB$76*BQ528 + (1-$BB$72:$BB$76)*BM528), N($AQ$72:$AQ$76&gt;$AO528)),
SUMPRODUCT(INDEX($AR$67:$AT$76,,$AI528), INDEX($AU$67:$BA$76,,$AH528), 1 / ($BC$67:$BC$76*BQ528 + (1-$BC$67:$BC$76)*BM528), N($AQ$67:$AQ$76&gt;$AO528))
) / 1000</f>
        <v>0</v>
      </c>
      <c r="BS528" s="232">
        <f t="shared" si="568"/>
        <v>25</v>
      </c>
      <c r="BT528" s="230">
        <f t="shared" si="583"/>
        <v>38</v>
      </c>
      <c r="BU528" s="235">
        <f t="shared" si="584"/>
        <v>3.792954545454545</v>
      </c>
      <c r="BV528" s="235" cm="1">
        <f t="array" ref="BV528">$BI528 * IF($AH528&lt;=2,
SUMPRODUCT(INDEX($AR$67:$AT$71,,$AI528), INDEX($AU$67:$BA$71,,$AH528), 1 / ($BB$67:$BB$71*BU528 + (1-$BB$67:$BB$71)*BQ528), N($AQ$67:$AQ$71&gt;$AO528)),
SUMPRODUCT(INDEX($AR$57:$AT$66,,$AI528), INDEX($AU$57:$BA$66,,$AH528), 1 / ($BC$57:$BC$66*BU528 + (1-$BC$57:$BC$66)*BQ528), N($AQ$57:$AQ$66&gt;$AO528))
) / 1000</f>
        <v>0</v>
      </c>
      <c r="BW528" s="232">
        <f t="shared" si="569"/>
        <v>20</v>
      </c>
      <c r="BX528" s="230">
        <f t="shared" si="585"/>
        <v>33</v>
      </c>
      <c r="BY528" s="235">
        <f t="shared" si="586"/>
        <v>4.4702678571428569</v>
      </c>
      <c r="BZ528" s="235" cm="1">
        <f t="array" ref="BZ528">$BI528 * IF($AH528&lt;=2,
SUMPRODUCT(INDEX($AR$62:$AT$66,,$AI528), INDEX($AU$62:$BA$66,,$AH528), 1 / ($BB$62:$BB$66*BY528 + (1-$BB$62:$BB$66)*BU528), N($AQ$62:$AQ$66&gt;$AO528)),
SUMPRODUCT(INDEX($AR$47:$AT$56,,$AI528), INDEX($AU$47:$BA$56,,$AH528), 1 / ($BC$47:$BC$56*BY528 + (1-$BC$47:$BC$56)*BU528), N($AQ$47:$AQ$56&gt;$AO528))
) / 1000</f>
        <v>0</v>
      </c>
      <c r="CA528" s="235" cm="1">
        <f t="array" ref="CA528">$BI528 * IF($AH528&lt;=2,
SUMPRODUCT(INDEX($AR$23:$AT$61,,$AI528), INDEX($AU$23:$BA$61,,$AH528), 1 / ($BB$23:$BB$61*BY528), N($AQ$23:$AQ$61&gt;$AO528)),
SUMPRODUCT(INDEX($AR$23:$AT$46,,$AI528), INDEX($AU$23:$BA$46,,$AH528), 1 / ($BC$23:$BC$46*BY528), N($AQ$23:$AQ$46&gt;$AO528))
) / 1000</f>
        <v>0</v>
      </c>
      <c r="CB528" s="230">
        <f t="shared" si="587"/>
        <v>0</v>
      </c>
      <c r="CC528" s="238"/>
      <c r="CD528" s="229" cm="1">
        <f t="array" ref="CD528">IF(ISBLANK(Y528), INDEX(Use, $AH528, 4) - AN528*INDEX(Use, $AH528, 6) - (Q528-X528), Y528)</f>
        <v>7</v>
      </c>
      <c r="CE528" s="229">
        <f t="shared" si="588"/>
        <v>32</v>
      </c>
      <c r="CF528" s="230">
        <f t="shared" si="589"/>
        <v>0</v>
      </c>
      <c r="CG528" s="229">
        <v>35</v>
      </c>
      <c r="CH528" s="230">
        <f t="shared" si="590"/>
        <v>48</v>
      </c>
      <c r="CI528" s="235">
        <f t="shared" si="591"/>
        <v>3.0748170731707316</v>
      </c>
      <c r="CJ528" s="235" cm="1">
        <f t="array" ref="CJ528">$BI528 * SUMPRODUCT(INDEX($AR$77:$AT$82,,$AI528),INDEX($AU$77:$BA$82,,$AH528), N($AQ$77:$AQ$82&gt;$AO528)) / CI528 / 1000</f>
        <v>0</v>
      </c>
      <c r="CK528" s="232">
        <f t="shared" si="570"/>
        <v>30</v>
      </c>
      <c r="CL528" s="230">
        <f t="shared" si="592"/>
        <v>43</v>
      </c>
      <c r="CM528" s="235">
        <f t="shared" si="593"/>
        <v>3.5018750000000001</v>
      </c>
      <c r="CN528" s="235" cm="1">
        <f t="array" ref="CN528">$BI528 * IF($AH528&lt;=2,
SUMPRODUCT(INDEX($AR$72:$AT$76,,$AI528), INDEX($AU$72:$BA$76,,$AH528), 1 / ($BB$72:$BB$76*CM528 + (1-$BB$72:$BB$76)*CI528), N($AQ$72:$AQ$76&gt;$AO528)),
SUMPRODUCT(INDEX($AR$67:$AT$76,,$AI528), INDEX($AU$67:$BA$76,,$AH528), 1 / ($BC$67:$BC$76*CM528 + (1-$BC$67:$BC$76)*CI528), N($AQ$67:$AQ$76&gt;$AO528))
) / 1000</f>
        <v>0</v>
      </c>
      <c r="CO528" s="232">
        <f t="shared" si="571"/>
        <v>25</v>
      </c>
      <c r="CP528" s="230">
        <f t="shared" si="594"/>
        <v>38</v>
      </c>
      <c r="CQ528" s="235">
        <f t="shared" si="595"/>
        <v>4.0666935483870965</v>
      </c>
      <c r="CR528" s="235" cm="1">
        <f t="array" ref="CR528">$BI528 * IF($AH528&lt;=2,
SUMPRODUCT(INDEX($AR$67:$AT$71,,$AI528), INDEX($AU$67:$BA$71,,$AH528), 1 / ($BB$67:$BB$71*CQ528 + (1-$BB$67:$BB$71)*CM528), N($AQ$67:$AQ$71&gt;$AO528)),
SUMPRODUCT(INDEX($AR$57:$AT$66,,$AI528), INDEX($AU$57:$BA$66,,$AH528), 1 / ($BC$57:$BC$66*CQ528 + (1-$BC$57:$BC$66)*CM528), N($AQ$57:$AQ$66&gt;$AO528))
) / 1000</f>
        <v>0</v>
      </c>
      <c r="CS528" s="232">
        <f t="shared" si="572"/>
        <v>20</v>
      </c>
      <c r="CT528" s="230">
        <f t="shared" si="596"/>
        <v>33</v>
      </c>
      <c r="CU528" s="235">
        <f t="shared" si="597"/>
        <v>4.8487499999999999</v>
      </c>
      <c r="CV528" s="235" cm="1">
        <f t="array" ref="CV528">$BI528 * IF($AH528&lt;=2,
SUMPRODUCT(INDEX($AR$62:$AT$66,,$AI528), INDEX($AU$62:$BA$66,,$AH528), 1 / ($BB$62:$BB$66*CU528 + (1-$BB$62:$BB$66)*CQ528), N($AQ$62:$AQ$66&gt;$AO528)),
SUMPRODUCT(INDEX($AR$47:$AT$56,,$AI528), INDEX($AU$47:$BA$56,,$AH528), 1 / ($BC$47:$BC$56*CU528 + (1-$BC$47:$BC$56)*CQ528), N($AQ$47:$AQ$56&gt;$AO528))
) / 1000</f>
        <v>0</v>
      </c>
      <c r="CW528" s="235" cm="1">
        <f t="array" ref="CW528">$BI528 * IF($AH528&lt;=2,
SUMPRODUCT(INDEX($AR$23:$AT$61,,$AI528), INDEX($AU$23:$BA$61,,$AH528), 1 / ($BB$23:$BB$61*CU528), N($AQ$23:$AQ$61&gt;$AO528)),
SUMPRODUCT(INDEX($AR$23:$AT$46,,$AI528), INDEX($AU$23:$BA$46,,$AH528), 1 / ($BC$23:$BC$46*CU528), N($AQ$23:$AQ$46&gt;$AO528))
) / 1000</f>
        <v>0</v>
      </c>
      <c r="CX528" s="230">
        <f t="shared" si="598"/>
        <v>0</v>
      </c>
      <c r="CY528" s="238"/>
    </row>
    <row r="529" spans="1:103" s="76" customFormat="1" ht="14.25" customHeight="1" x14ac:dyDescent="0.2">
      <c r="A529" s="231" t="b">
        <f t="shared" si="564"/>
        <v>0</v>
      </c>
      <c r="B529" s="245">
        <v>507</v>
      </c>
      <c r="C529" s="258"/>
      <c r="D529" s="258"/>
      <c r="E529" s="246"/>
      <c r="F529" s="247" t="str">
        <f>IF(ISBLANK(E529), "", VLOOKUP(E529, Z!$A$2:$C$4127, 3, FALSE))</f>
        <v/>
      </c>
      <c r="G529" s="248"/>
      <c r="H529" s="248"/>
      <c r="I529" s="249"/>
      <c r="J529" s="250"/>
      <c r="K529" s="259"/>
      <c r="L529" s="260"/>
      <c r="M529" s="252" t="str" cm="1">
        <f t="array" ref="M529">INDEX(Trad, 53, $A$20)</f>
        <v>Verschmutzt</v>
      </c>
      <c r="N529" s="253"/>
      <c r="O529" s="253"/>
      <c r="P529" s="254"/>
      <c r="Q529" s="251"/>
      <c r="R529" s="251"/>
      <c r="S529" s="264">
        <f t="shared" si="573"/>
        <v>0</v>
      </c>
      <c r="T529" s="252" t="str" cm="1">
        <f t="array" ref="T529">INDEX(Trad, 52, $A$20)</f>
        <v>Sauber</v>
      </c>
      <c r="U529" s="253"/>
      <c r="V529" s="253"/>
      <c r="W529" s="254"/>
      <c r="X529" s="251"/>
      <c r="Y529" s="251"/>
      <c r="Z529" s="264">
        <f t="shared" si="574"/>
        <v>0</v>
      </c>
      <c r="AA529" s="261"/>
      <c r="AB529" s="258"/>
      <c r="AC529" s="246"/>
      <c r="AD529" s="247" t="str">
        <f>IF(ISBLANK(AC529), "", VLOOKUP(AC529, Z!$A$2:$C$4127, 3, FALSE))</f>
        <v/>
      </c>
      <c r="AE529" s="262"/>
      <c r="AF529" s="263">
        <f t="shared" si="575"/>
        <v>0</v>
      </c>
      <c r="AG529" s="238"/>
      <c r="AH529" s="229">
        <f t="shared" si="599"/>
        <v>1</v>
      </c>
      <c r="AI529" s="229">
        <f t="shared" si="600"/>
        <v>1</v>
      </c>
      <c r="AJ529" s="229">
        <f t="shared" si="601"/>
        <v>0</v>
      </c>
      <c r="AK529" s="229">
        <v>0</v>
      </c>
      <c r="AL529" s="229">
        <v>0</v>
      </c>
      <c r="AM529" s="229">
        <v>1</v>
      </c>
      <c r="AN529" s="229">
        <v>0</v>
      </c>
      <c r="AO529" s="229">
        <f t="shared" si="576"/>
        <v>-100</v>
      </c>
      <c r="AP529" s="238"/>
      <c r="AQ529" s="255"/>
      <c r="AR529" s="255"/>
      <c r="AS529" s="256"/>
      <c r="AT529" s="256"/>
      <c r="AU529" s="256"/>
      <c r="AV529" s="256"/>
      <c r="AW529" s="256"/>
      <c r="AX529" s="256"/>
      <c r="AY529" s="256"/>
      <c r="AZ529" s="256"/>
      <c r="BA529" s="256"/>
      <c r="BB529" s="256"/>
      <c r="BC529" s="256"/>
      <c r="BD529" s="238"/>
      <c r="BE529" s="229" cm="1">
        <f t="array" ref="BE529">IF(ISBLANK(R529), INDEX(Use, $AH529, 4) - AM529*INDEX(Use, $AH529, 6), R529)</f>
        <v>5</v>
      </c>
      <c r="BF529" s="229">
        <f t="shared" si="577"/>
        <v>30</v>
      </c>
      <c r="BG529" s="229">
        <f t="shared" si="565"/>
        <v>13</v>
      </c>
      <c r="BH529" s="229">
        <f t="shared" si="566"/>
        <v>0</v>
      </c>
      <c r="BI529" s="234" cm="1">
        <f t="array" ref="BI529">K529/IF($L529&gt;0, INDEX($AU$23:$BA$77, $L529+20, $AH529), 1)</f>
        <v>0</v>
      </c>
      <c r="BJ529" s="230">
        <f t="shared" si="578"/>
        <v>0</v>
      </c>
      <c r="BK529" s="229">
        <v>35</v>
      </c>
      <c r="BL529" s="230">
        <f t="shared" si="579"/>
        <v>48</v>
      </c>
      <c r="BM529" s="235">
        <f t="shared" si="580"/>
        <v>2.9108720930232557</v>
      </c>
      <c r="BN529" s="235" cm="1">
        <f t="array" ref="BN529">$BI529 * SUMPRODUCT(INDEX($AR$77:$AT$82,,$AI529),INDEX($AU$77:$BA$82,,$AH529), N($AQ$77:$AQ$82&gt;$AO529)) / BM529 / 1000</f>
        <v>0</v>
      </c>
      <c r="BO529" s="232">
        <f t="shared" si="567"/>
        <v>30</v>
      </c>
      <c r="BP529" s="230">
        <f t="shared" si="581"/>
        <v>43</v>
      </c>
      <c r="BQ529" s="235">
        <f t="shared" si="582"/>
        <v>3.2938815789473681</v>
      </c>
      <c r="BR529" s="235" cm="1">
        <f t="array" ref="BR529">$BI529 * IF($AH529&lt;=2,
SUMPRODUCT(INDEX($AR$72:$AT$76,,$AI529), INDEX($AU$72:$BA$76,,$AH529), 1 / ($BB$72:$BB$76*BQ529 + (1-$BB$72:$BB$76)*BM529), N($AQ$72:$AQ$76&gt;$AO529)),
SUMPRODUCT(INDEX($AR$67:$AT$76,,$AI529), INDEX($AU$67:$BA$76,,$AH529), 1 / ($BC$67:$BC$76*BQ529 + (1-$BC$67:$BC$76)*BM529), N($AQ$67:$AQ$76&gt;$AO529))
) / 1000</f>
        <v>0</v>
      </c>
      <c r="BS529" s="232">
        <f t="shared" si="568"/>
        <v>25</v>
      </c>
      <c r="BT529" s="230">
        <f t="shared" si="583"/>
        <v>38</v>
      </c>
      <c r="BU529" s="235">
        <f t="shared" si="584"/>
        <v>3.792954545454545</v>
      </c>
      <c r="BV529" s="235" cm="1">
        <f t="array" ref="BV529">$BI529 * IF($AH529&lt;=2,
SUMPRODUCT(INDEX($AR$67:$AT$71,,$AI529), INDEX($AU$67:$BA$71,,$AH529), 1 / ($BB$67:$BB$71*BU529 + (1-$BB$67:$BB$71)*BQ529), N($AQ$67:$AQ$71&gt;$AO529)),
SUMPRODUCT(INDEX($AR$57:$AT$66,,$AI529), INDEX($AU$57:$BA$66,,$AH529), 1 / ($BC$57:$BC$66*BU529 + (1-$BC$57:$BC$66)*BQ529), N($AQ$57:$AQ$66&gt;$AO529))
) / 1000</f>
        <v>0</v>
      </c>
      <c r="BW529" s="232">
        <f t="shared" si="569"/>
        <v>20</v>
      </c>
      <c r="BX529" s="230">
        <f t="shared" si="585"/>
        <v>33</v>
      </c>
      <c r="BY529" s="235">
        <f t="shared" si="586"/>
        <v>4.4702678571428569</v>
      </c>
      <c r="BZ529" s="235" cm="1">
        <f t="array" ref="BZ529">$BI529 * IF($AH529&lt;=2,
SUMPRODUCT(INDEX($AR$62:$AT$66,,$AI529), INDEX($AU$62:$BA$66,,$AH529), 1 / ($BB$62:$BB$66*BY529 + (1-$BB$62:$BB$66)*BU529), N($AQ$62:$AQ$66&gt;$AO529)),
SUMPRODUCT(INDEX($AR$47:$AT$56,,$AI529), INDEX($AU$47:$BA$56,,$AH529), 1 / ($BC$47:$BC$56*BY529 + (1-$BC$47:$BC$56)*BU529), N($AQ$47:$AQ$56&gt;$AO529))
) / 1000</f>
        <v>0</v>
      </c>
      <c r="CA529" s="235" cm="1">
        <f t="array" ref="CA529">$BI529 * IF($AH529&lt;=2,
SUMPRODUCT(INDEX($AR$23:$AT$61,,$AI529), INDEX($AU$23:$BA$61,,$AH529), 1 / ($BB$23:$BB$61*BY529), N($AQ$23:$AQ$61&gt;$AO529)),
SUMPRODUCT(INDEX($AR$23:$AT$46,,$AI529), INDEX($AU$23:$BA$46,,$AH529), 1 / ($BC$23:$BC$46*BY529), N($AQ$23:$AQ$46&gt;$AO529))
) / 1000</f>
        <v>0</v>
      </c>
      <c r="CB529" s="230">
        <f t="shared" si="587"/>
        <v>0</v>
      </c>
      <c r="CC529" s="238"/>
      <c r="CD529" s="229" cm="1">
        <f t="array" ref="CD529">IF(ISBLANK(Y529), INDEX(Use, $AH529, 4) - AN529*INDEX(Use, $AH529, 6) - (Q529-X529), Y529)</f>
        <v>7</v>
      </c>
      <c r="CE529" s="229">
        <f t="shared" si="588"/>
        <v>32</v>
      </c>
      <c r="CF529" s="230">
        <f t="shared" si="589"/>
        <v>0</v>
      </c>
      <c r="CG529" s="229">
        <v>35</v>
      </c>
      <c r="CH529" s="230">
        <f t="shared" si="590"/>
        <v>48</v>
      </c>
      <c r="CI529" s="235">
        <f t="shared" si="591"/>
        <v>3.0748170731707316</v>
      </c>
      <c r="CJ529" s="235" cm="1">
        <f t="array" ref="CJ529">$BI529 * SUMPRODUCT(INDEX($AR$77:$AT$82,,$AI529),INDEX($AU$77:$BA$82,,$AH529), N($AQ$77:$AQ$82&gt;$AO529)) / CI529 / 1000</f>
        <v>0</v>
      </c>
      <c r="CK529" s="232">
        <f t="shared" si="570"/>
        <v>30</v>
      </c>
      <c r="CL529" s="230">
        <f t="shared" si="592"/>
        <v>43</v>
      </c>
      <c r="CM529" s="235">
        <f t="shared" si="593"/>
        <v>3.5018750000000001</v>
      </c>
      <c r="CN529" s="235" cm="1">
        <f t="array" ref="CN529">$BI529 * IF($AH529&lt;=2,
SUMPRODUCT(INDEX($AR$72:$AT$76,,$AI529), INDEX($AU$72:$BA$76,,$AH529), 1 / ($BB$72:$BB$76*CM529 + (1-$BB$72:$BB$76)*CI529), N($AQ$72:$AQ$76&gt;$AO529)),
SUMPRODUCT(INDEX($AR$67:$AT$76,,$AI529), INDEX($AU$67:$BA$76,,$AH529), 1 / ($BC$67:$BC$76*CM529 + (1-$BC$67:$BC$76)*CI529), N($AQ$67:$AQ$76&gt;$AO529))
) / 1000</f>
        <v>0</v>
      </c>
      <c r="CO529" s="232">
        <f t="shared" si="571"/>
        <v>25</v>
      </c>
      <c r="CP529" s="230">
        <f t="shared" si="594"/>
        <v>38</v>
      </c>
      <c r="CQ529" s="235">
        <f t="shared" si="595"/>
        <v>4.0666935483870965</v>
      </c>
      <c r="CR529" s="235" cm="1">
        <f t="array" ref="CR529">$BI529 * IF($AH529&lt;=2,
SUMPRODUCT(INDEX($AR$67:$AT$71,,$AI529), INDEX($AU$67:$BA$71,,$AH529), 1 / ($BB$67:$BB$71*CQ529 + (1-$BB$67:$BB$71)*CM529), N($AQ$67:$AQ$71&gt;$AO529)),
SUMPRODUCT(INDEX($AR$57:$AT$66,,$AI529), INDEX($AU$57:$BA$66,,$AH529), 1 / ($BC$57:$BC$66*CQ529 + (1-$BC$57:$BC$66)*CM529), N($AQ$57:$AQ$66&gt;$AO529))
) / 1000</f>
        <v>0</v>
      </c>
      <c r="CS529" s="232">
        <f t="shared" si="572"/>
        <v>20</v>
      </c>
      <c r="CT529" s="230">
        <f t="shared" si="596"/>
        <v>33</v>
      </c>
      <c r="CU529" s="235">
        <f t="shared" si="597"/>
        <v>4.8487499999999999</v>
      </c>
      <c r="CV529" s="235" cm="1">
        <f t="array" ref="CV529">$BI529 * IF($AH529&lt;=2,
SUMPRODUCT(INDEX($AR$62:$AT$66,,$AI529), INDEX($AU$62:$BA$66,,$AH529), 1 / ($BB$62:$BB$66*CU529 + (1-$BB$62:$BB$66)*CQ529), N($AQ$62:$AQ$66&gt;$AO529)),
SUMPRODUCT(INDEX($AR$47:$AT$56,,$AI529), INDEX($AU$47:$BA$56,,$AH529), 1 / ($BC$47:$BC$56*CU529 + (1-$BC$47:$BC$56)*CQ529), N($AQ$47:$AQ$56&gt;$AO529))
) / 1000</f>
        <v>0</v>
      </c>
      <c r="CW529" s="235" cm="1">
        <f t="array" ref="CW529">$BI529 * IF($AH529&lt;=2,
SUMPRODUCT(INDEX($AR$23:$AT$61,,$AI529), INDEX($AU$23:$BA$61,,$AH529), 1 / ($BB$23:$BB$61*CU529), N($AQ$23:$AQ$61&gt;$AO529)),
SUMPRODUCT(INDEX($AR$23:$AT$46,,$AI529), INDEX($AU$23:$BA$46,,$AH529), 1 / ($BC$23:$BC$46*CU529), N($AQ$23:$AQ$46&gt;$AO529))
) / 1000</f>
        <v>0</v>
      </c>
      <c r="CX529" s="230">
        <f t="shared" si="598"/>
        <v>0</v>
      </c>
      <c r="CY529" s="238"/>
    </row>
    <row r="530" spans="1:103" s="76" customFormat="1" ht="14.25" customHeight="1" x14ac:dyDescent="0.2">
      <c r="A530" s="231" t="b">
        <f t="shared" si="564"/>
        <v>0</v>
      </c>
      <c r="B530" s="245">
        <v>508</v>
      </c>
      <c r="C530" s="258"/>
      <c r="D530" s="258"/>
      <c r="E530" s="246"/>
      <c r="F530" s="247" t="str">
        <f>IF(ISBLANK(E530), "", VLOOKUP(E530, Z!$A$2:$C$4127, 3, FALSE))</f>
        <v/>
      </c>
      <c r="G530" s="248"/>
      <c r="H530" s="248"/>
      <c r="I530" s="249"/>
      <c r="J530" s="250"/>
      <c r="K530" s="259"/>
      <c r="L530" s="260"/>
      <c r="M530" s="252" t="str" cm="1">
        <f t="array" ref="M530">INDEX(Trad, 53, $A$20)</f>
        <v>Verschmutzt</v>
      </c>
      <c r="N530" s="253"/>
      <c r="O530" s="253"/>
      <c r="P530" s="254"/>
      <c r="Q530" s="251"/>
      <c r="R530" s="251"/>
      <c r="S530" s="264">
        <f t="shared" si="573"/>
        <v>0</v>
      </c>
      <c r="T530" s="252" t="str" cm="1">
        <f t="array" ref="T530">INDEX(Trad, 52, $A$20)</f>
        <v>Sauber</v>
      </c>
      <c r="U530" s="253"/>
      <c r="V530" s="253"/>
      <c r="W530" s="254"/>
      <c r="X530" s="251"/>
      <c r="Y530" s="251"/>
      <c r="Z530" s="264">
        <f t="shared" si="574"/>
        <v>0</v>
      </c>
      <c r="AA530" s="261"/>
      <c r="AB530" s="258"/>
      <c r="AC530" s="246"/>
      <c r="AD530" s="247" t="str">
        <f>IF(ISBLANK(AC530), "", VLOOKUP(AC530, Z!$A$2:$C$4127, 3, FALSE))</f>
        <v/>
      </c>
      <c r="AE530" s="262"/>
      <c r="AF530" s="263">
        <f t="shared" si="575"/>
        <v>0</v>
      </c>
      <c r="AG530" s="238"/>
      <c r="AH530" s="229">
        <f t="shared" si="599"/>
        <v>1</v>
      </c>
      <c r="AI530" s="229">
        <f t="shared" si="600"/>
        <v>1</v>
      </c>
      <c r="AJ530" s="229">
        <f t="shared" si="601"/>
        <v>0</v>
      </c>
      <c r="AK530" s="229">
        <v>0</v>
      </c>
      <c r="AL530" s="229">
        <v>0</v>
      </c>
      <c r="AM530" s="229">
        <v>1</v>
      </c>
      <c r="AN530" s="229">
        <v>0</v>
      </c>
      <c r="AO530" s="229">
        <f t="shared" si="576"/>
        <v>-100</v>
      </c>
      <c r="AP530" s="238"/>
      <c r="AQ530" s="255"/>
      <c r="AR530" s="255"/>
      <c r="AS530" s="256"/>
      <c r="AT530" s="256"/>
      <c r="AU530" s="256"/>
      <c r="AV530" s="256"/>
      <c r="AW530" s="256"/>
      <c r="AX530" s="256"/>
      <c r="AY530" s="256"/>
      <c r="AZ530" s="256"/>
      <c r="BA530" s="256"/>
      <c r="BB530" s="256"/>
      <c r="BC530" s="256"/>
      <c r="BD530" s="238"/>
      <c r="BE530" s="229" cm="1">
        <f t="array" ref="BE530">IF(ISBLANK(R530), INDEX(Use, $AH530, 4) - AM530*INDEX(Use, $AH530, 6), R530)</f>
        <v>5</v>
      </c>
      <c r="BF530" s="229">
        <f t="shared" si="577"/>
        <v>30</v>
      </c>
      <c r="BG530" s="229">
        <f t="shared" si="565"/>
        <v>13</v>
      </c>
      <c r="BH530" s="229">
        <f t="shared" si="566"/>
        <v>0</v>
      </c>
      <c r="BI530" s="234" cm="1">
        <f t="array" ref="BI530">K530/IF($L530&gt;0, INDEX($AU$23:$BA$77, $L530+20, $AH530), 1)</f>
        <v>0</v>
      </c>
      <c r="BJ530" s="230">
        <f t="shared" si="578"/>
        <v>0</v>
      </c>
      <c r="BK530" s="229">
        <v>35</v>
      </c>
      <c r="BL530" s="230">
        <f t="shared" si="579"/>
        <v>48</v>
      </c>
      <c r="BM530" s="235">
        <f t="shared" si="580"/>
        <v>2.9108720930232557</v>
      </c>
      <c r="BN530" s="235" cm="1">
        <f t="array" ref="BN530">$BI530 * SUMPRODUCT(INDEX($AR$77:$AT$82,,$AI530),INDEX($AU$77:$BA$82,,$AH530), N($AQ$77:$AQ$82&gt;$AO530)) / BM530 / 1000</f>
        <v>0</v>
      </c>
      <c r="BO530" s="232">
        <f t="shared" si="567"/>
        <v>30</v>
      </c>
      <c r="BP530" s="230">
        <f t="shared" si="581"/>
        <v>43</v>
      </c>
      <c r="BQ530" s="235">
        <f t="shared" si="582"/>
        <v>3.2938815789473681</v>
      </c>
      <c r="BR530" s="235" cm="1">
        <f t="array" ref="BR530">$BI530 * IF($AH530&lt;=2,
SUMPRODUCT(INDEX($AR$72:$AT$76,,$AI530), INDEX($AU$72:$BA$76,,$AH530), 1 / ($BB$72:$BB$76*BQ530 + (1-$BB$72:$BB$76)*BM530), N($AQ$72:$AQ$76&gt;$AO530)),
SUMPRODUCT(INDEX($AR$67:$AT$76,,$AI530), INDEX($AU$67:$BA$76,,$AH530), 1 / ($BC$67:$BC$76*BQ530 + (1-$BC$67:$BC$76)*BM530), N($AQ$67:$AQ$76&gt;$AO530))
) / 1000</f>
        <v>0</v>
      </c>
      <c r="BS530" s="232">
        <f t="shared" si="568"/>
        <v>25</v>
      </c>
      <c r="BT530" s="230">
        <f t="shared" si="583"/>
        <v>38</v>
      </c>
      <c r="BU530" s="235">
        <f t="shared" si="584"/>
        <v>3.792954545454545</v>
      </c>
      <c r="BV530" s="235" cm="1">
        <f t="array" ref="BV530">$BI530 * IF($AH530&lt;=2,
SUMPRODUCT(INDEX($AR$67:$AT$71,,$AI530), INDEX($AU$67:$BA$71,,$AH530), 1 / ($BB$67:$BB$71*BU530 + (1-$BB$67:$BB$71)*BQ530), N($AQ$67:$AQ$71&gt;$AO530)),
SUMPRODUCT(INDEX($AR$57:$AT$66,,$AI530), INDEX($AU$57:$BA$66,,$AH530), 1 / ($BC$57:$BC$66*BU530 + (1-$BC$57:$BC$66)*BQ530), N($AQ$57:$AQ$66&gt;$AO530))
) / 1000</f>
        <v>0</v>
      </c>
      <c r="BW530" s="232">
        <f t="shared" si="569"/>
        <v>20</v>
      </c>
      <c r="BX530" s="230">
        <f t="shared" si="585"/>
        <v>33</v>
      </c>
      <c r="BY530" s="235">
        <f t="shared" si="586"/>
        <v>4.4702678571428569</v>
      </c>
      <c r="BZ530" s="235" cm="1">
        <f t="array" ref="BZ530">$BI530 * IF($AH530&lt;=2,
SUMPRODUCT(INDEX($AR$62:$AT$66,,$AI530), INDEX($AU$62:$BA$66,,$AH530), 1 / ($BB$62:$BB$66*BY530 + (1-$BB$62:$BB$66)*BU530), N($AQ$62:$AQ$66&gt;$AO530)),
SUMPRODUCT(INDEX($AR$47:$AT$56,,$AI530), INDEX($AU$47:$BA$56,,$AH530), 1 / ($BC$47:$BC$56*BY530 + (1-$BC$47:$BC$56)*BU530), N($AQ$47:$AQ$56&gt;$AO530))
) / 1000</f>
        <v>0</v>
      </c>
      <c r="CA530" s="235" cm="1">
        <f t="array" ref="CA530">$BI530 * IF($AH530&lt;=2,
SUMPRODUCT(INDEX($AR$23:$AT$61,,$AI530), INDEX($AU$23:$BA$61,,$AH530), 1 / ($BB$23:$BB$61*BY530), N($AQ$23:$AQ$61&gt;$AO530)),
SUMPRODUCT(INDEX($AR$23:$AT$46,,$AI530), INDEX($AU$23:$BA$46,,$AH530), 1 / ($BC$23:$BC$46*BY530), N($AQ$23:$AQ$46&gt;$AO530))
) / 1000</f>
        <v>0</v>
      </c>
      <c r="CB530" s="230">
        <f t="shared" si="587"/>
        <v>0</v>
      </c>
      <c r="CC530" s="238"/>
      <c r="CD530" s="229" cm="1">
        <f t="array" ref="CD530">IF(ISBLANK(Y530), INDEX(Use, $AH530, 4) - AN530*INDEX(Use, $AH530, 6) - (Q530-X530), Y530)</f>
        <v>7</v>
      </c>
      <c r="CE530" s="229">
        <f t="shared" si="588"/>
        <v>32</v>
      </c>
      <c r="CF530" s="230">
        <f t="shared" si="589"/>
        <v>0</v>
      </c>
      <c r="CG530" s="229">
        <v>35</v>
      </c>
      <c r="CH530" s="230">
        <f t="shared" si="590"/>
        <v>48</v>
      </c>
      <c r="CI530" s="235">
        <f t="shared" si="591"/>
        <v>3.0748170731707316</v>
      </c>
      <c r="CJ530" s="235" cm="1">
        <f t="array" ref="CJ530">$BI530 * SUMPRODUCT(INDEX($AR$77:$AT$82,,$AI530),INDEX($AU$77:$BA$82,,$AH530), N($AQ$77:$AQ$82&gt;$AO530)) / CI530 / 1000</f>
        <v>0</v>
      </c>
      <c r="CK530" s="232">
        <f t="shared" si="570"/>
        <v>30</v>
      </c>
      <c r="CL530" s="230">
        <f t="shared" si="592"/>
        <v>43</v>
      </c>
      <c r="CM530" s="235">
        <f t="shared" si="593"/>
        <v>3.5018750000000001</v>
      </c>
      <c r="CN530" s="235" cm="1">
        <f t="array" ref="CN530">$BI530 * IF($AH530&lt;=2,
SUMPRODUCT(INDEX($AR$72:$AT$76,,$AI530), INDEX($AU$72:$BA$76,,$AH530), 1 / ($BB$72:$BB$76*CM530 + (1-$BB$72:$BB$76)*CI530), N($AQ$72:$AQ$76&gt;$AO530)),
SUMPRODUCT(INDEX($AR$67:$AT$76,,$AI530), INDEX($AU$67:$BA$76,,$AH530), 1 / ($BC$67:$BC$76*CM530 + (1-$BC$67:$BC$76)*CI530), N($AQ$67:$AQ$76&gt;$AO530))
) / 1000</f>
        <v>0</v>
      </c>
      <c r="CO530" s="232">
        <f t="shared" si="571"/>
        <v>25</v>
      </c>
      <c r="CP530" s="230">
        <f t="shared" si="594"/>
        <v>38</v>
      </c>
      <c r="CQ530" s="235">
        <f t="shared" si="595"/>
        <v>4.0666935483870965</v>
      </c>
      <c r="CR530" s="235" cm="1">
        <f t="array" ref="CR530">$BI530 * IF($AH530&lt;=2,
SUMPRODUCT(INDEX($AR$67:$AT$71,,$AI530), INDEX($AU$67:$BA$71,,$AH530), 1 / ($BB$67:$BB$71*CQ530 + (1-$BB$67:$BB$71)*CM530), N($AQ$67:$AQ$71&gt;$AO530)),
SUMPRODUCT(INDEX($AR$57:$AT$66,,$AI530), INDEX($AU$57:$BA$66,,$AH530), 1 / ($BC$57:$BC$66*CQ530 + (1-$BC$57:$BC$66)*CM530), N($AQ$57:$AQ$66&gt;$AO530))
) / 1000</f>
        <v>0</v>
      </c>
      <c r="CS530" s="232">
        <f t="shared" si="572"/>
        <v>20</v>
      </c>
      <c r="CT530" s="230">
        <f t="shared" si="596"/>
        <v>33</v>
      </c>
      <c r="CU530" s="235">
        <f t="shared" si="597"/>
        <v>4.8487499999999999</v>
      </c>
      <c r="CV530" s="235" cm="1">
        <f t="array" ref="CV530">$BI530 * IF($AH530&lt;=2,
SUMPRODUCT(INDEX($AR$62:$AT$66,,$AI530), INDEX($AU$62:$BA$66,,$AH530), 1 / ($BB$62:$BB$66*CU530 + (1-$BB$62:$BB$66)*CQ530), N($AQ$62:$AQ$66&gt;$AO530)),
SUMPRODUCT(INDEX($AR$47:$AT$56,,$AI530), INDEX($AU$47:$BA$56,,$AH530), 1 / ($BC$47:$BC$56*CU530 + (1-$BC$47:$BC$56)*CQ530), N($AQ$47:$AQ$56&gt;$AO530))
) / 1000</f>
        <v>0</v>
      </c>
      <c r="CW530" s="235" cm="1">
        <f t="array" ref="CW530">$BI530 * IF($AH530&lt;=2,
SUMPRODUCT(INDEX($AR$23:$AT$61,,$AI530), INDEX($AU$23:$BA$61,,$AH530), 1 / ($BB$23:$BB$61*CU530), N($AQ$23:$AQ$61&gt;$AO530)),
SUMPRODUCT(INDEX($AR$23:$AT$46,,$AI530), INDEX($AU$23:$BA$46,,$AH530), 1 / ($BC$23:$BC$46*CU530), N($AQ$23:$AQ$46&gt;$AO530))
) / 1000</f>
        <v>0</v>
      </c>
      <c r="CX530" s="230">
        <f t="shared" si="598"/>
        <v>0</v>
      </c>
      <c r="CY530" s="238"/>
    </row>
    <row r="531" spans="1:103" s="76" customFormat="1" ht="14.25" customHeight="1" x14ac:dyDescent="0.2">
      <c r="A531" s="231" t="b">
        <f t="shared" si="564"/>
        <v>0</v>
      </c>
      <c r="B531" s="245">
        <v>509</v>
      </c>
      <c r="C531" s="258"/>
      <c r="D531" s="258"/>
      <c r="E531" s="246"/>
      <c r="F531" s="247" t="str">
        <f>IF(ISBLANK(E531), "", VLOOKUP(E531, Z!$A$2:$C$4127, 3, FALSE))</f>
        <v/>
      </c>
      <c r="G531" s="248"/>
      <c r="H531" s="248"/>
      <c r="I531" s="249"/>
      <c r="J531" s="250"/>
      <c r="K531" s="259"/>
      <c r="L531" s="260"/>
      <c r="M531" s="252" t="str" cm="1">
        <f t="array" ref="M531">INDEX(Trad, 53, $A$20)</f>
        <v>Verschmutzt</v>
      </c>
      <c r="N531" s="253"/>
      <c r="O531" s="253"/>
      <c r="P531" s="254"/>
      <c r="Q531" s="251"/>
      <c r="R531" s="251"/>
      <c r="S531" s="264">
        <f t="shared" si="573"/>
        <v>0</v>
      </c>
      <c r="T531" s="252" t="str" cm="1">
        <f t="array" ref="T531">INDEX(Trad, 52, $A$20)</f>
        <v>Sauber</v>
      </c>
      <c r="U531" s="253"/>
      <c r="V531" s="253"/>
      <c r="W531" s="254"/>
      <c r="X531" s="251"/>
      <c r="Y531" s="251"/>
      <c r="Z531" s="264">
        <f t="shared" si="574"/>
        <v>0</v>
      </c>
      <c r="AA531" s="261"/>
      <c r="AB531" s="258"/>
      <c r="AC531" s="246"/>
      <c r="AD531" s="247" t="str">
        <f>IF(ISBLANK(AC531), "", VLOOKUP(AC531, Z!$A$2:$C$4127, 3, FALSE))</f>
        <v/>
      </c>
      <c r="AE531" s="262"/>
      <c r="AF531" s="263">
        <f t="shared" si="575"/>
        <v>0</v>
      </c>
      <c r="AG531" s="238"/>
      <c r="AH531" s="229">
        <f t="shared" si="599"/>
        <v>1</v>
      </c>
      <c r="AI531" s="229">
        <f t="shared" si="600"/>
        <v>1</v>
      </c>
      <c r="AJ531" s="229">
        <f t="shared" si="601"/>
        <v>0</v>
      </c>
      <c r="AK531" s="229">
        <v>0</v>
      </c>
      <c r="AL531" s="229">
        <v>0</v>
      </c>
      <c r="AM531" s="229">
        <v>1</v>
      </c>
      <c r="AN531" s="229">
        <v>0</v>
      </c>
      <c r="AO531" s="229">
        <f t="shared" si="576"/>
        <v>-100</v>
      </c>
      <c r="AP531" s="238"/>
      <c r="AQ531" s="255"/>
      <c r="AR531" s="255"/>
      <c r="AS531" s="256"/>
      <c r="AT531" s="256"/>
      <c r="AU531" s="256"/>
      <c r="AV531" s="256"/>
      <c r="AW531" s="256"/>
      <c r="AX531" s="256"/>
      <c r="AY531" s="256"/>
      <c r="AZ531" s="256"/>
      <c r="BA531" s="256"/>
      <c r="BB531" s="256"/>
      <c r="BC531" s="256"/>
      <c r="BD531" s="238"/>
      <c r="BE531" s="229" cm="1">
        <f t="array" ref="BE531">IF(ISBLANK(R531), INDEX(Use, $AH531, 4) - AM531*INDEX(Use, $AH531, 6), R531)</f>
        <v>5</v>
      </c>
      <c r="BF531" s="229">
        <f t="shared" si="577"/>
        <v>30</v>
      </c>
      <c r="BG531" s="229">
        <f t="shared" si="565"/>
        <v>13</v>
      </c>
      <c r="BH531" s="229">
        <f t="shared" si="566"/>
        <v>0</v>
      </c>
      <c r="BI531" s="234" cm="1">
        <f t="array" ref="BI531">K531/IF($L531&gt;0, INDEX($AU$23:$BA$77, $L531+20, $AH531), 1)</f>
        <v>0</v>
      </c>
      <c r="BJ531" s="230">
        <f t="shared" si="578"/>
        <v>0</v>
      </c>
      <c r="BK531" s="229">
        <v>35</v>
      </c>
      <c r="BL531" s="230">
        <f t="shared" si="579"/>
        <v>48</v>
      </c>
      <c r="BM531" s="235">
        <f t="shared" si="580"/>
        <v>2.9108720930232557</v>
      </c>
      <c r="BN531" s="235" cm="1">
        <f t="array" ref="BN531">$BI531 * SUMPRODUCT(INDEX($AR$77:$AT$82,,$AI531),INDEX($AU$77:$BA$82,,$AH531), N($AQ$77:$AQ$82&gt;$AO531)) / BM531 / 1000</f>
        <v>0</v>
      </c>
      <c r="BO531" s="232">
        <f t="shared" si="567"/>
        <v>30</v>
      </c>
      <c r="BP531" s="230">
        <f t="shared" si="581"/>
        <v>43</v>
      </c>
      <c r="BQ531" s="235">
        <f t="shared" si="582"/>
        <v>3.2938815789473681</v>
      </c>
      <c r="BR531" s="235" cm="1">
        <f t="array" ref="BR531">$BI531 * IF($AH531&lt;=2,
SUMPRODUCT(INDEX($AR$72:$AT$76,,$AI531), INDEX($AU$72:$BA$76,,$AH531), 1 / ($BB$72:$BB$76*BQ531 + (1-$BB$72:$BB$76)*BM531), N($AQ$72:$AQ$76&gt;$AO531)),
SUMPRODUCT(INDEX($AR$67:$AT$76,,$AI531), INDEX($AU$67:$BA$76,,$AH531), 1 / ($BC$67:$BC$76*BQ531 + (1-$BC$67:$BC$76)*BM531), N($AQ$67:$AQ$76&gt;$AO531))
) / 1000</f>
        <v>0</v>
      </c>
      <c r="BS531" s="232">
        <f t="shared" si="568"/>
        <v>25</v>
      </c>
      <c r="BT531" s="230">
        <f t="shared" si="583"/>
        <v>38</v>
      </c>
      <c r="BU531" s="235">
        <f t="shared" si="584"/>
        <v>3.792954545454545</v>
      </c>
      <c r="BV531" s="235" cm="1">
        <f t="array" ref="BV531">$BI531 * IF($AH531&lt;=2,
SUMPRODUCT(INDEX($AR$67:$AT$71,,$AI531), INDEX($AU$67:$BA$71,,$AH531), 1 / ($BB$67:$BB$71*BU531 + (1-$BB$67:$BB$71)*BQ531), N($AQ$67:$AQ$71&gt;$AO531)),
SUMPRODUCT(INDEX($AR$57:$AT$66,,$AI531), INDEX($AU$57:$BA$66,,$AH531), 1 / ($BC$57:$BC$66*BU531 + (1-$BC$57:$BC$66)*BQ531), N($AQ$57:$AQ$66&gt;$AO531))
) / 1000</f>
        <v>0</v>
      </c>
      <c r="BW531" s="232">
        <f t="shared" si="569"/>
        <v>20</v>
      </c>
      <c r="BX531" s="230">
        <f t="shared" si="585"/>
        <v>33</v>
      </c>
      <c r="BY531" s="235">
        <f t="shared" si="586"/>
        <v>4.4702678571428569</v>
      </c>
      <c r="BZ531" s="235" cm="1">
        <f t="array" ref="BZ531">$BI531 * IF($AH531&lt;=2,
SUMPRODUCT(INDEX($AR$62:$AT$66,,$AI531), INDEX($AU$62:$BA$66,,$AH531), 1 / ($BB$62:$BB$66*BY531 + (1-$BB$62:$BB$66)*BU531), N($AQ$62:$AQ$66&gt;$AO531)),
SUMPRODUCT(INDEX($AR$47:$AT$56,,$AI531), INDEX($AU$47:$BA$56,,$AH531), 1 / ($BC$47:$BC$56*BY531 + (1-$BC$47:$BC$56)*BU531), N($AQ$47:$AQ$56&gt;$AO531))
) / 1000</f>
        <v>0</v>
      </c>
      <c r="CA531" s="235" cm="1">
        <f t="array" ref="CA531">$BI531 * IF($AH531&lt;=2,
SUMPRODUCT(INDEX($AR$23:$AT$61,,$AI531), INDEX($AU$23:$BA$61,,$AH531), 1 / ($BB$23:$BB$61*BY531), N($AQ$23:$AQ$61&gt;$AO531)),
SUMPRODUCT(INDEX($AR$23:$AT$46,,$AI531), INDEX($AU$23:$BA$46,,$AH531), 1 / ($BC$23:$BC$46*BY531), N($AQ$23:$AQ$46&gt;$AO531))
) / 1000</f>
        <v>0</v>
      </c>
      <c r="CB531" s="230">
        <f t="shared" si="587"/>
        <v>0</v>
      </c>
      <c r="CC531" s="238"/>
      <c r="CD531" s="229" cm="1">
        <f t="array" ref="CD531">IF(ISBLANK(Y531), INDEX(Use, $AH531, 4) - AN531*INDEX(Use, $AH531, 6) - (Q531-X531), Y531)</f>
        <v>7</v>
      </c>
      <c r="CE531" s="229">
        <f t="shared" si="588"/>
        <v>32</v>
      </c>
      <c r="CF531" s="230">
        <f t="shared" si="589"/>
        <v>0</v>
      </c>
      <c r="CG531" s="229">
        <v>35</v>
      </c>
      <c r="CH531" s="230">
        <f t="shared" si="590"/>
        <v>48</v>
      </c>
      <c r="CI531" s="235">
        <f t="shared" si="591"/>
        <v>3.0748170731707316</v>
      </c>
      <c r="CJ531" s="235" cm="1">
        <f t="array" ref="CJ531">$BI531 * SUMPRODUCT(INDEX($AR$77:$AT$82,,$AI531),INDEX($AU$77:$BA$82,,$AH531), N($AQ$77:$AQ$82&gt;$AO531)) / CI531 / 1000</f>
        <v>0</v>
      </c>
      <c r="CK531" s="232">
        <f t="shared" si="570"/>
        <v>30</v>
      </c>
      <c r="CL531" s="230">
        <f t="shared" si="592"/>
        <v>43</v>
      </c>
      <c r="CM531" s="235">
        <f t="shared" si="593"/>
        <v>3.5018750000000001</v>
      </c>
      <c r="CN531" s="235" cm="1">
        <f t="array" ref="CN531">$BI531 * IF($AH531&lt;=2,
SUMPRODUCT(INDEX($AR$72:$AT$76,,$AI531), INDEX($AU$72:$BA$76,,$AH531), 1 / ($BB$72:$BB$76*CM531 + (1-$BB$72:$BB$76)*CI531), N($AQ$72:$AQ$76&gt;$AO531)),
SUMPRODUCT(INDEX($AR$67:$AT$76,,$AI531), INDEX($AU$67:$BA$76,,$AH531), 1 / ($BC$67:$BC$76*CM531 + (1-$BC$67:$BC$76)*CI531), N($AQ$67:$AQ$76&gt;$AO531))
) / 1000</f>
        <v>0</v>
      </c>
      <c r="CO531" s="232">
        <f t="shared" si="571"/>
        <v>25</v>
      </c>
      <c r="CP531" s="230">
        <f t="shared" si="594"/>
        <v>38</v>
      </c>
      <c r="CQ531" s="235">
        <f t="shared" si="595"/>
        <v>4.0666935483870965</v>
      </c>
      <c r="CR531" s="235" cm="1">
        <f t="array" ref="CR531">$BI531 * IF($AH531&lt;=2,
SUMPRODUCT(INDEX($AR$67:$AT$71,,$AI531), INDEX($AU$67:$BA$71,,$AH531), 1 / ($BB$67:$BB$71*CQ531 + (1-$BB$67:$BB$71)*CM531), N($AQ$67:$AQ$71&gt;$AO531)),
SUMPRODUCT(INDEX($AR$57:$AT$66,,$AI531), INDEX($AU$57:$BA$66,,$AH531), 1 / ($BC$57:$BC$66*CQ531 + (1-$BC$57:$BC$66)*CM531), N($AQ$57:$AQ$66&gt;$AO531))
) / 1000</f>
        <v>0</v>
      </c>
      <c r="CS531" s="232">
        <f t="shared" si="572"/>
        <v>20</v>
      </c>
      <c r="CT531" s="230">
        <f t="shared" si="596"/>
        <v>33</v>
      </c>
      <c r="CU531" s="235">
        <f t="shared" si="597"/>
        <v>4.8487499999999999</v>
      </c>
      <c r="CV531" s="235" cm="1">
        <f t="array" ref="CV531">$BI531 * IF($AH531&lt;=2,
SUMPRODUCT(INDEX($AR$62:$AT$66,,$AI531), INDEX($AU$62:$BA$66,,$AH531), 1 / ($BB$62:$BB$66*CU531 + (1-$BB$62:$BB$66)*CQ531), N($AQ$62:$AQ$66&gt;$AO531)),
SUMPRODUCT(INDEX($AR$47:$AT$56,,$AI531), INDEX($AU$47:$BA$56,,$AH531), 1 / ($BC$47:$BC$56*CU531 + (1-$BC$47:$BC$56)*CQ531), N($AQ$47:$AQ$56&gt;$AO531))
) / 1000</f>
        <v>0</v>
      </c>
      <c r="CW531" s="235" cm="1">
        <f t="array" ref="CW531">$BI531 * IF($AH531&lt;=2,
SUMPRODUCT(INDEX($AR$23:$AT$61,,$AI531), INDEX($AU$23:$BA$61,,$AH531), 1 / ($BB$23:$BB$61*CU531), N($AQ$23:$AQ$61&gt;$AO531)),
SUMPRODUCT(INDEX($AR$23:$AT$46,,$AI531), INDEX($AU$23:$BA$46,,$AH531), 1 / ($BC$23:$BC$46*CU531), N($AQ$23:$AQ$46&gt;$AO531))
) / 1000</f>
        <v>0</v>
      </c>
      <c r="CX531" s="230">
        <f t="shared" si="598"/>
        <v>0</v>
      </c>
      <c r="CY531" s="238"/>
    </row>
    <row r="532" spans="1:103" s="76" customFormat="1" ht="14.25" customHeight="1" x14ac:dyDescent="0.2">
      <c r="A532" s="231" t="b">
        <f t="shared" si="564"/>
        <v>0</v>
      </c>
      <c r="B532" s="245">
        <v>510</v>
      </c>
      <c r="C532" s="258"/>
      <c r="D532" s="258"/>
      <c r="E532" s="246"/>
      <c r="F532" s="247" t="str">
        <f>IF(ISBLANK(E532), "", VLOOKUP(E532, Z!$A$2:$C$4127, 3, FALSE))</f>
        <v/>
      </c>
      <c r="G532" s="248"/>
      <c r="H532" s="248"/>
      <c r="I532" s="249"/>
      <c r="J532" s="250"/>
      <c r="K532" s="259"/>
      <c r="L532" s="260"/>
      <c r="M532" s="252" t="str" cm="1">
        <f t="array" ref="M532">INDEX(Trad, 53, $A$20)</f>
        <v>Verschmutzt</v>
      </c>
      <c r="N532" s="253"/>
      <c r="O532" s="253"/>
      <c r="P532" s="254"/>
      <c r="Q532" s="251"/>
      <c r="R532" s="251"/>
      <c r="S532" s="264">
        <f t="shared" si="573"/>
        <v>0</v>
      </c>
      <c r="T532" s="252" t="str" cm="1">
        <f t="array" ref="T532">INDEX(Trad, 52, $A$20)</f>
        <v>Sauber</v>
      </c>
      <c r="U532" s="253"/>
      <c r="V532" s="253"/>
      <c r="W532" s="254"/>
      <c r="X532" s="251"/>
      <c r="Y532" s="251"/>
      <c r="Z532" s="264">
        <f t="shared" si="574"/>
        <v>0</v>
      </c>
      <c r="AA532" s="261"/>
      <c r="AB532" s="258"/>
      <c r="AC532" s="246"/>
      <c r="AD532" s="247" t="str">
        <f>IF(ISBLANK(AC532), "", VLOOKUP(AC532, Z!$A$2:$C$4127, 3, FALSE))</f>
        <v/>
      </c>
      <c r="AE532" s="262"/>
      <c r="AF532" s="263">
        <f t="shared" si="575"/>
        <v>0</v>
      </c>
      <c r="AG532" s="238"/>
      <c r="AH532" s="229">
        <f t="shared" si="599"/>
        <v>1</v>
      </c>
      <c r="AI532" s="229">
        <f t="shared" si="600"/>
        <v>1</v>
      </c>
      <c r="AJ532" s="229">
        <f t="shared" si="601"/>
        <v>0</v>
      </c>
      <c r="AK532" s="229">
        <v>0</v>
      </c>
      <c r="AL532" s="229">
        <v>0</v>
      </c>
      <c r="AM532" s="229">
        <v>1</v>
      </c>
      <c r="AN532" s="229">
        <v>0</v>
      </c>
      <c r="AO532" s="229">
        <f t="shared" si="576"/>
        <v>-100</v>
      </c>
      <c r="AP532" s="238"/>
      <c r="AQ532" s="255"/>
      <c r="AR532" s="255"/>
      <c r="AS532" s="256"/>
      <c r="AT532" s="256"/>
      <c r="AU532" s="256"/>
      <c r="AV532" s="256"/>
      <c r="AW532" s="256"/>
      <c r="AX532" s="256"/>
      <c r="AY532" s="256"/>
      <c r="AZ532" s="256"/>
      <c r="BA532" s="256"/>
      <c r="BB532" s="256"/>
      <c r="BC532" s="256"/>
      <c r="BD532" s="238"/>
      <c r="BE532" s="229" cm="1">
        <f t="array" ref="BE532">IF(ISBLANK(R532), INDEX(Use, $AH532, 4) - AM532*INDEX(Use, $AH532, 6), R532)</f>
        <v>5</v>
      </c>
      <c r="BF532" s="229">
        <f t="shared" si="577"/>
        <v>30</v>
      </c>
      <c r="BG532" s="229">
        <f t="shared" si="565"/>
        <v>13</v>
      </c>
      <c r="BH532" s="229">
        <f t="shared" si="566"/>
        <v>0</v>
      </c>
      <c r="BI532" s="234" cm="1">
        <f t="array" ref="BI532">K532/IF($L532&gt;0, INDEX($AU$23:$BA$77, $L532+20, $AH532), 1)</f>
        <v>0</v>
      </c>
      <c r="BJ532" s="230">
        <f t="shared" si="578"/>
        <v>0</v>
      </c>
      <c r="BK532" s="229">
        <v>35</v>
      </c>
      <c r="BL532" s="230">
        <f t="shared" si="579"/>
        <v>48</v>
      </c>
      <c r="BM532" s="235">
        <f t="shared" si="580"/>
        <v>2.9108720930232557</v>
      </c>
      <c r="BN532" s="235" cm="1">
        <f t="array" ref="BN532">$BI532 * SUMPRODUCT(INDEX($AR$77:$AT$82,,$AI532),INDEX($AU$77:$BA$82,,$AH532), N($AQ$77:$AQ$82&gt;$AO532)) / BM532 / 1000</f>
        <v>0</v>
      </c>
      <c r="BO532" s="232">
        <f t="shared" si="567"/>
        <v>30</v>
      </c>
      <c r="BP532" s="230">
        <f t="shared" si="581"/>
        <v>43</v>
      </c>
      <c r="BQ532" s="235">
        <f t="shared" si="582"/>
        <v>3.2938815789473681</v>
      </c>
      <c r="BR532" s="235" cm="1">
        <f t="array" ref="BR532">$BI532 * IF($AH532&lt;=2,
SUMPRODUCT(INDEX($AR$72:$AT$76,,$AI532), INDEX($AU$72:$BA$76,,$AH532), 1 / ($BB$72:$BB$76*BQ532 + (1-$BB$72:$BB$76)*BM532), N($AQ$72:$AQ$76&gt;$AO532)),
SUMPRODUCT(INDEX($AR$67:$AT$76,,$AI532), INDEX($AU$67:$BA$76,,$AH532), 1 / ($BC$67:$BC$76*BQ532 + (1-$BC$67:$BC$76)*BM532), N($AQ$67:$AQ$76&gt;$AO532))
) / 1000</f>
        <v>0</v>
      </c>
      <c r="BS532" s="232">
        <f t="shared" si="568"/>
        <v>25</v>
      </c>
      <c r="BT532" s="230">
        <f t="shared" si="583"/>
        <v>38</v>
      </c>
      <c r="BU532" s="235">
        <f t="shared" si="584"/>
        <v>3.792954545454545</v>
      </c>
      <c r="BV532" s="235" cm="1">
        <f t="array" ref="BV532">$BI532 * IF($AH532&lt;=2,
SUMPRODUCT(INDEX($AR$67:$AT$71,,$AI532), INDEX($AU$67:$BA$71,,$AH532), 1 / ($BB$67:$BB$71*BU532 + (1-$BB$67:$BB$71)*BQ532), N($AQ$67:$AQ$71&gt;$AO532)),
SUMPRODUCT(INDEX($AR$57:$AT$66,,$AI532), INDEX($AU$57:$BA$66,,$AH532), 1 / ($BC$57:$BC$66*BU532 + (1-$BC$57:$BC$66)*BQ532), N($AQ$57:$AQ$66&gt;$AO532))
) / 1000</f>
        <v>0</v>
      </c>
      <c r="BW532" s="232">
        <f t="shared" si="569"/>
        <v>20</v>
      </c>
      <c r="BX532" s="230">
        <f t="shared" si="585"/>
        <v>33</v>
      </c>
      <c r="BY532" s="235">
        <f t="shared" si="586"/>
        <v>4.4702678571428569</v>
      </c>
      <c r="BZ532" s="235" cm="1">
        <f t="array" ref="BZ532">$BI532 * IF($AH532&lt;=2,
SUMPRODUCT(INDEX($AR$62:$AT$66,,$AI532), INDEX($AU$62:$BA$66,,$AH532), 1 / ($BB$62:$BB$66*BY532 + (1-$BB$62:$BB$66)*BU532), N($AQ$62:$AQ$66&gt;$AO532)),
SUMPRODUCT(INDEX($AR$47:$AT$56,,$AI532), INDEX($AU$47:$BA$56,,$AH532), 1 / ($BC$47:$BC$56*BY532 + (1-$BC$47:$BC$56)*BU532), N($AQ$47:$AQ$56&gt;$AO532))
) / 1000</f>
        <v>0</v>
      </c>
      <c r="CA532" s="235" cm="1">
        <f t="array" ref="CA532">$BI532 * IF($AH532&lt;=2,
SUMPRODUCT(INDEX($AR$23:$AT$61,,$AI532), INDEX($AU$23:$BA$61,,$AH532), 1 / ($BB$23:$BB$61*BY532), N($AQ$23:$AQ$61&gt;$AO532)),
SUMPRODUCT(INDEX($AR$23:$AT$46,,$AI532), INDEX($AU$23:$BA$46,,$AH532), 1 / ($BC$23:$BC$46*BY532), N($AQ$23:$AQ$46&gt;$AO532))
) / 1000</f>
        <v>0</v>
      </c>
      <c r="CB532" s="230">
        <f t="shared" si="587"/>
        <v>0</v>
      </c>
      <c r="CC532" s="238"/>
      <c r="CD532" s="229" cm="1">
        <f t="array" ref="CD532">IF(ISBLANK(Y532), INDEX(Use, $AH532, 4) - AN532*INDEX(Use, $AH532, 6) - (Q532-X532), Y532)</f>
        <v>7</v>
      </c>
      <c r="CE532" s="229">
        <f t="shared" si="588"/>
        <v>32</v>
      </c>
      <c r="CF532" s="230">
        <f t="shared" si="589"/>
        <v>0</v>
      </c>
      <c r="CG532" s="229">
        <v>35</v>
      </c>
      <c r="CH532" s="230">
        <f t="shared" si="590"/>
        <v>48</v>
      </c>
      <c r="CI532" s="235">
        <f t="shared" si="591"/>
        <v>3.0748170731707316</v>
      </c>
      <c r="CJ532" s="235" cm="1">
        <f t="array" ref="CJ532">$BI532 * SUMPRODUCT(INDEX($AR$77:$AT$82,,$AI532),INDEX($AU$77:$BA$82,,$AH532), N($AQ$77:$AQ$82&gt;$AO532)) / CI532 / 1000</f>
        <v>0</v>
      </c>
      <c r="CK532" s="232">
        <f t="shared" si="570"/>
        <v>30</v>
      </c>
      <c r="CL532" s="230">
        <f t="shared" si="592"/>
        <v>43</v>
      </c>
      <c r="CM532" s="235">
        <f t="shared" si="593"/>
        <v>3.5018750000000001</v>
      </c>
      <c r="CN532" s="235" cm="1">
        <f t="array" ref="CN532">$BI532 * IF($AH532&lt;=2,
SUMPRODUCT(INDEX($AR$72:$AT$76,,$AI532), INDEX($AU$72:$BA$76,,$AH532), 1 / ($BB$72:$BB$76*CM532 + (1-$BB$72:$BB$76)*CI532), N($AQ$72:$AQ$76&gt;$AO532)),
SUMPRODUCT(INDEX($AR$67:$AT$76,,$AI532), INDEX($AU$67:$BA$76,,$AH532), 1 / ($BC$67:$BC$76*CM532 + (1-$BC$67:$BC$76)*CI532), N($AQ$67:$AQ$76&gt;$AO532))
) / 1000</f>
        <v>0</v>
      </c>
      <c r="CO532" s="232">
        <f t="shared" si="571"/>
        <v>25</v>
      </c>
      <c r="CP532" s="230">
        <f t="shared" si="594"/>
        <v>38</v>
      </c>
      <c r="CQ532" s="235">
        <f t="shared" si="595"/>
        <v>4.0666935483870965</v>
      </c>
      <c r="CR532" s="235" cm="1">
        <f t="array" ref="CR532">$BI532 * IF($AH532&lt;=2,
SUMPRODUCT(INDEX($AR$67:$AT$71,,$AI532), INDEX($AU$67:$BA$71,,$AH532), 1 / ($BB$67:$BB$71*CQ532 + (1-$BB$67:$BB$71)*CM532), N($AQ$67:$AQ$71&gt;$AO532)),
SUMPRODUCT(INDEX($AR$57:$AT$66,,$AI532), INDEX($AU$57:$BA$66,,$AH532), 1 / ($BC$57:$BC$66*CQ532 + (1-$BC$57:$BC$66)*CM532), N($AQ$57:$AQ$66&gt;$AO532))
) / 1000</f>
        <v>0</v>
      </c>
      <c r="CS532" s="232">
        <f t="shared" si="572"/>
        <v>20</v>
      </c>
      <c r="CT532" s="230">
        <f t="shared" si="596"/>
        <v>33</v>
      </c>
      <c r="CU532" s="235">
        <f t="shared" si="597"/>
        <v>4.8487499999999999</v>
      </c>
      <c r="CV532" s="235" cm="1">
        <f t="array" ref="CV532">$BI532 * IF($AH532&lt;=2,
SUMPRODUCT(INDEX($AR$62:$AT$66,,$AI532), INDEX($AU$62:$BA$66,,$AH532), 1 / ($BB$62:$BB$66*CU532 + (1-$BB$62:$BB$66)*CQ532), N($AQ$62:$AQ$66&gt;$AO532)),
SUMPRODUCT(INDEX($AR$47:$AT$56,,$AI532), INDEX($AU$47:$BA$56,,$AH532), 1 / ($BC$47:$BC$56*CU532 + (1-$BC$47:$BC$56)*CQ532), N($AQ$47:$AQ$56&gt;$AO532))
) / 1000</f>
        <v>0</v>
      </c>
      <c r="CW532" s="235" cm="1">
        <f t="array" ref="CW532">$BI532 * IF($AH532&lt;=2,
SUMPRODUCT(INDEX($AR$23:$AT$61,,$AI532), INDEX($AU$23:$BA$61,,$AH532), 1 / ($BB$23:$BB$61*CU532), N($AQ$23:$AQ$61&gt;$AO532)),
SUMPRODUCT(INDEX($AR$23:$AT$46,,$AI532), INDEX($AU$23:$BA$46,,$AH532), 1 / ($BC$23:$BC$46*CU532), N($AQ$23:$AQ$46&gt;$AO532))
) / 1000</f>
        <v>0</v>
      </c>
      <c r="CX532" s="230">
        <f t="shared" si="598"/>
        <v>0</v>
      </c>
      <c r="CY532" s="238"/>
    </row>
    <row r="533" spans="1:103" s="76" customFormat="1" ht="14.25" customHeight="1" x14ac:dyDescent="0.2">
      <c r="A533" s="231" t="b">
        <f t="shared" si="564"/>
        <v>0</v>
      </c>
      <c r="B533" s="245">
        <v>511</v>
      </c>
      <c r="C533" s="258"/>
      <c r="D533" s="258"/>
      <c r="E533" s="246"/>
      <c r="F533" s="247" t="str">
        <f>IF(ISBLANK(E533), "", VLOOKUP(E533, Z!$A$2:$C$4127, 3, FALSE))</f>
        <v/>
      </c>
      <c r="G533" s="248"/>
      <c r="H533" s="248"/>
      <c r="I533" s="249"/>
      <c r="J533" s="250"/>
      <c r="K533" s="259"/>
      <c r="L533" s="260"/>
      <c r="M533" s="252" t="str" cm="1">
        <f t="array" ref="M533">INDEX(Trad, 53, $A$20)</f>
        <v>Verschmutzt</v>
      </c>
      <c r="N533" s="253"/>
      <c r="O533" s="253"/>
      <c r="P533" s="254"/>
      <c r="Q533" s="251"/>
      <c r="R533" s="251"/>
      <c r="S533" s="264">
        <f t="shared" si="573"/>
        <v>0</v>
      </c>
      <c r="T533" s="252" t="str" cm="1">
        <f t="array" ref="T533">INDEX(Trad, 52, $A$20)</f>
        <v>Sauber</v>
      </c>
      <c r="U533" s="253"/>
      <c r="V533" s="253"/>
      <c r="W533" s="254"/>
      <c r="X533" s="251"/>
      <c r="Y533" s="251"/>
      <c r="Z533" s="264">
        <f t="shared" si="574"/>
        <v>0</v>
      </c>
      <c r="AA533" s="261"/>
      <c r="AB533" s="258"/>
      <c r="AC533" s="246"/>
      <c r="AD533" s="247" t="str">
        <f>IF(ISBLANK(AC533), "", VLOOKUP(AC533, Z!$A$2:$C$4127, 3, FALSE))</f>
        <v/>
      </c>
      <c r="AE533" s="262"/>
      <c r="AF533" s="263">
        <f t="shared" si="575"/>
        <v>0</v>
      </c>
      <c r="AG533" s="238"/>
      <c r="AH533" s="229">
        <f t="shared" si="599"/>
        <v>1</v>
      </c>
      <c r="AI533" s="229">
        <f t="shared" si="600"/>
        <v>1</v>
      </c>
      <c r="AJ533" s="229">
        <f t="shared" si="601"/>
        <v>0</v>
      </c>
      <c r="AK533" s="229">
        <v>0</v>
      </c>
      <c r="AL533" s="229">
        <v>0</v>
      </c>
      <c r="AM533" s="229">
        <v>1</v>
      </c>
      <c r="AN533" s="229">
        <v>0</v>
      </c>
      <c r="AO533" s="229">
        <f t="shared" si="576"/>
        <v>-100</v>
      </c>
      <c r="AP533" s="238"/>
      <c r="AQ533" s="255"/>
      <c r="AR533" s="255"/>
      <c r="AS533" s="256"/>
      <c r="AT533" s="256"/>
      <c r="AU533" s="256"/>
      <c r="AV533" s="256"/>
      <c r="AW533" s="256"/>
      <c r="AX533" s="256"/>
      <c r="AY533" s="256"/>
      <c r="AZ533" s="256"/>
      <c r="BA533" s="256"/>
      <c r="BB533" s="256"/>
      <c r="BC533" s="256"/>
      <c r="BD533" s="238"/>
      <c r="BE533" s="229" cm="1">
        <f t="array" ref="BE533">IF(ISBLANK(R533), INDEX(Use, $AH533, 4) - AM533*INDEX(Use, $AH533, 6), R533)</f>
        <v>5</v>
      </c>
      <c r="BF533" s="229">
        <f t="shared" si="577"/>
        <v>30</v>
      </c>
      <c r="BG533" s="229">
        <f t="shared" si="565"/>
        <v>13</v>
      </c>
      <c r="BH533" s="229">
        <f t="shared" si="566"/>
        <v>0</v>
      </c>
      <c r="BI533" s="234" cm="1">
        <f t="array" ref="BI533">K533/IF($L533&gt;0, INDEX($AU$23:$BA$77, $L533+20, $AH533), 1)</f>
        <v>0</v>
      </c>
      <c r="BJ533" s="230">
        <f t="shared" si="578"/>
        <v>0</v>
      </c>
      <c r="BK533" s="229">
        <v>35</v>
      </c>
      <c r="BL533" s="230">
        <f t="shared" si="579"/>
        <v>48</v>
      </c>
      <c r="BM533" s="235">
        <f t="shared" si="580"/>
        <v>2.9108720930232557</v>
      </c>
      <c r="BN533" s="235" cm="1">
        <f t="array" ref="BN533">$BI533 * SUMPRODUCT(INDEX($AR$77:$AT$82,,$AI533),INDEX($AU$77:$BA$82,,$AH533), N($AQ$77:$AQ$82&gt;$AO533)) / BM533 / 1000</f>
        <v>0</v>
      </c>
      <c r="BO533" s="232">
        <f t="shared" si="567"/>
        <v>30</v>
      </c>
      <c r="BP533" s="230">
        <f t="shared" si="581"/>
        <v>43</v>
      </c>
      <c r="BQ533" s="235">
        <f t="shared" si="582"/>
        <v>3.2938815789473681</v>
      </c>
      <c r="BR533" s="235" cm="1">
        <f t="array" ref="BR533">$BI533 * IF($AH533&lt;=2,
SUMPRODUCT(INDEX($AR$72:$AT$76,,$AI533), INDEX($AU$72:$BA$76,,$AH533), 1 / ($BB$72:$BB$76*BQ533 + (1-$BB$72:$BB$76)*BM533), N($AQ$72:$AQ$76&gt;$AO533)),
SUMPRODUCT(INDEX($AR$67:$AT$76,,$AI533), INDEX($AU$67:$BA$76,,$AH533), 1 / ($BC$67:$BC$76*BQ533 + (1-$BC$67:$BC$76)*BM533), N($AQ$67:$AQ$76&gt;$AO533))
) / 1000</f>
        <v>0</v>
      </c>
      <c r="BS533" s="232">
        <f t="shared" si="568"/>
        <v>25</v>
      </c>
      <c r="BT533" s="230">
        <f t="shared" si="583"/>
        <v>38</v>
      </c>
      <c r="BU533" s="235">
        <f t="shared" si="584"/>
        <v>3.792954545454545</v>
      </c>
      <c r="BV533" s="235" cm="1">
        <f t="array" ref="BV533">$BI533 * IF($AH533&lt;=2,
SUMPRODUCT(INDEX($AR$67:$AT$71,,$AI533), INDEX($AU$67:$BA$71,,$AH533), 1 / ($BB$67:$BB$71*BU533 + (1-$BB$67:$BB$71)*BQ533), N($AQ$67:$AQ$71&gt;$AO533)),
SUMPRODUCT(INDEX($AR$57:$AT$66,,$AI533), INDEX($AU$57:$BA$66,,$AH533), 1 / ($BC$57:$BC$66*BU533 + (1-$BC$57:$BC$66)*BQ533), N($AQ$57:$AQ$66&gt;$AO533))
) / 1000</f>
        <v>0</v>
      </c>
      <c r="BW533" s="232">
        <f t="shared" si="569"/>
        <v>20</v>
      </c>
      <c r="BX533" s="230">
        <f t="shared" si="585"/>
        <v>33</v>
      </c>
      <c r="BY533" s="235">
        <f t="shared" si="586"/>
        <v>4.4702678571428569</v>
      </c>
      <c r="BZ533" s="235" cm="1">
        <f t="array" ref="BZ533">$BI533 * IF($AH533&lt;=2,
SUMPRODUCT(INDEX($AR$62:$AT$66,,$AI533), INDEX($AU$62:$BA$66,,$AH533), 1 / ($BB$62:$BB$66*BY533 + (1-$BB$62:$BB$66)*BU533), N($AQ$62:$AQ$66&gt;$AO533)),
SUMPRODUCT(INDEX($AR$47:$AT$56,,$AI533), INDEX($AU$47:$BA$56,,$AH533), 1 / ($BC$47:$BC$56*BY533 + (1-$BC$47:$BC$56)*BU533), N($AQ$47:$AQ$56&gt;$AO533))
) / 1000</f>
        <v>0</v>
      </c>
      <c r="CA533" s="235" cm="1">
        <f t="array" ref="CA533">$BI533 * IF($AH533&lt;=2,
SUMPRODUCT(INDEX($AR$23:$AT$61,,$AI533), INDEX($AU$23:$BA$61,,$AH533), 1 / ($BB$23:$BB$61*BY533), N($AQ$23:$AQ$61&gt;$AO533)),
SUMPRODUCT(INDEX($AR$23:$AT$46,,$AI533), INDEX($AU$23:$BA$46,,$AH533), 1 / ($BC$23:$BC$46*BY533), N($AQ$23:$AQ$46&gt;$AO533))
) / 1000</f>
        <v>0</v>
      </c>
      <c r="CB533" s="230">
        <f t="shared" si="587"/>
        <v>0</v>
      </c>
      <c r="CC533" s="238"/>
      <c r="CD533" s="229" cm="1">
        <f t="array" ref="CD533">IF(ISBLANK(Y533), INDEX(Use, $AH533, 4) - AN533*INDEX(Use, $AH533, 6) - (Q533-X533), Y533)</f>
        <v>7</v>
      </c>
      <c r="CE533" s="229">
        <f t="shared" si="588"/>
        <v>32</v>
      </c>
      <c r="CF533" s="230">
        <f t="shared" si="589"/>
        <v>0</v>
      </c>
      <c r="CG533" s="229">
        <v>35</v>
      </c>
      <c r="CH533" s="230">
        <f t="shared" si="590"/>
        <v>48</v>
      </c>
      <c r="CI533" s="235">
        <f t="shared" si="591"/>
        <v>3.0748170731707316</v>
      </c>
      <c r="CJ533" s="235" cm="1">
        <f t="array" ref="CJ533">$BI533 * SUMPRODUCT(INDEX($AR$77:$AT$82,,$AI533),INDEX($AU$77:$BA$82,,$AH533), N($AQ$77:$AQ$82&gt;$AO533)) / CI533 / 1000</f>
        <v>0</v>
      </c>
      <c r="CK533" s="232">
        <f t="shared" si="570"/>
        <v>30</v>
      </c>
      <c r="CL533" s="230">
        <f t="shared" si="592"/>
        <v>43</v>
      </c>
      <c r="CM533" s="235">
        <f t="shared" si="593"/>
        <v>3.5018750000000001</v>
      </c>
      <c r="CN533" s="235" cm="1">
        <f t="array" ref="CN533">$BI533 * IF($AH533&lt;=2,
SUMPRODUCT(INDEX($AR$72:$AT$76,,$AI533), INDEX($AU$72:$BA$76,,$AH533), 1 / ($BB$72:$BB$76*CM533 + (1-$BB$72:$BB$76)*CI533), N($AQ$72:$AQ$76&gt;$AO533)),
SUMPRODUCT(INDEX($AR$67:$AT$76,,$AI533), INDEX($AU$67:$BA$76,,$AH533), 1 / ($BC$67:$BC$76*CM533 + (1-$BC$67:$BC$76)*CI533), N($AQ$67:$AQ$76&gt;$AO533))
) / 1000</f>
        <v>0</v>
      </c>
      <c r="CO533" s="232">
        <f t="shared" si="571"/>
        <v>25</v>
      </c>
      <c r="CP533" s="230">
        <f t="shared" si="594"/>
        <v>38</v>
      </c>
      <c r="CQ533" s="235">
        <f t="shared" si="595"/>
        <v>4.0666935483870965</v>
      </c>
      <c r="CR533" s="235" cm="1">
        <f t="array" ref="CR533">$BI533 * IF($AH533&lt;=2,
SUMPRODUCT(INDEX($AR$67:$AT$71,,$AI533), INDEX($AU$67:$BA$71,,$AH533), 1 / ($BB$67:$BB$71*CQ533 + (1-$BB$67:$BB$71)*CM533), N($AQ$67:$AQ$71&gt;$AO533)),
SUMPRODUCT(INDEX($AR$57:$AT$66,,$AI533), INDEX($AU$57:$BA$66,,$AH533), 1 / ($BC$57:$BC$66*CQ533 + (1-$BC$57:$BC$66)*CM533), N($AQ$57:$AQ$66&gt;$AO533))
) / 1000</f>
        <v>0</v>
      </c>
      <c r="CS533" s="232">
        <f t="shared" si="572"/>
        <v>20</v>
      </c>
      <c r="CT533" s="230">
        <f t="shared" si="596"/>
        <v>33</v>
      </c>
      <c r="CU533" s="235">
        <f t="shared" si="597"/>
        <v>4.8487499999999999</v>
      </c>
      <c r="CV533" s="235" cm="1">
        <f t="array" ref="CV533">$BI533 * IF($AH533&lt;=2,
SUMPRODUCT(INDEX($AR$62:$AT$66,,$AI533), INDEX($AU$62:$BA$66,,$AH533), 1 / ($BB$62:$BB$66*CU533 + (1-$BB$62:$BB$66)*CQ533), N($AQ$62:$AQ$66&gt;$AO533)),
SUMPRODUCT(INDEX($AR$47:$AT$56,,$AI533), INDEX($AU$47:$BA$56,,$AH533), 1 / ($BC$47:$BC$56*CU533 + (1-$BC$47:$BC$56)*CQ533), N($AQ$47:$AQ$56&gt;$AO533))
) / 1000</f>
        <v>0</v>
      </c>
      <c r="CW533" s="235" cm="1">
        <f t="array" ref="CW533">$BI533 * IF($AH533&lt;=2,
SUMPRODUCT(INDEX($AR$23:$AT$61,,$AI533), INDEX($AU$23:$BA$61,,$AH533), 1 / ($BB$23:$BB$61*CU533), N($AQ$23:$AQ$61&gt;$AO533)),
SUMPRODUCT(INDEX($AR$23:$AT$46,,$AI533), INDEX($AU$23:$BA$46,,$AH533), 1 / ($BC$23:$BC$46*CU533), N($AQ$23:$AQ$46&gt;$AO533))
) / 1000</f>
        <v>0</v>
      </c>
      <c r="CX533" s="230">
        <f t="shared" si="598"/>
        <v>0</v>
      </c>
      <c r="CY533" s="238"/>
    </row>
    <row r="534" spans="1:103" s="76" customFormat="1" ht="14.25" customHeight="1" x14ac:dyDescent="0.2">
      <c r="A534" s="231" t="b">
        <f t="shared" ref="A534:A597" si="602">IF(OR(AND($K534&gt;80, $AH534=1), AND($K534&gt;40, $AH534=3), AND($K534&gt;30, $AH534=4),), TRUE, FALSE)</f>
        <v>0</v>
      </c>
      <c r="B534" s="245">
        <v>512</v>
      </c>
      <c r="C534" s="258"/>
      <c r="D534" s="258"/>
      <c r="E534" s="246"/>
      <c r="F534" s="247" t="str">
        <f>IF(ISBLANK(E534), "", VLOOKUP(E534, Z!$A$2:$C$4127, 3, FALSE))</f>
        <v/>
      </c>
      <c r="G534" s="248"/>
      <c r="H534" s="248"/>
      <c r="I534" s="249"/>
      <c r="J534" s="250"/>
      <c r="K534" s="259"/>
      <c r="L534" s="260"/>
      <c r="M534" s="252" t="str" cm="1">
        <f t="array" ref="M534">INDEX(Trad, 53, $A$20)</f>
        <v>Verschmutzt</v>
      </c>
      <c r="N534" s="253"/>
      <c r="O534" s="253"/>
      <c r="P534" s="254"/>
      <c r="Q534" s="251"/>
      <c r="R534" s="251"/>
      <c r="S534" s="264">
        <f t="shared" si="573"/>
        <v>0</v>
      </c>
      <c r="T534" s="252" t="str" cm="1">
        <f t="array" ref="T534">INDEX(Trad, 52, $A$20)</f>
        <v>Sauber</v>
      </c>
      <c r="U534" s="253"/>
      <c r="V534" s="253"/>
      <c r="W534" s="254"/>
      <c r="X534" s="251"/>
      <c r="Y534" s="251"/>
      <c r="Z534" s="264">
        <f t="shared" si="574"/>
        <v>0</v>
      </c>
      <c r="AA534" s="261"/>
      <c r="AB534" s="258"/>
      <c r="AC534" s="246"/>
      <c r="AD534" s="247" t="str">
        <f>IF(ISBLANK(AC534), "", VLOOKUP(AC534, Z!$A$2:$C$4127, 3, FALSE))</f>
        <v/>
      </c>
      <c r="AE534" s="262"/>
      <c r="AF534" s="263">
        <f t="shared" si="575"/>
        <v>0</v>
      </c>
      <c r="AG534" s="238"/>
      <c r="AH534" s="229">
        <f t="shared" si="599"/>
        <v>1</v>
      </c>
      <c r="AI534" s="229">
        <f t="shared" si="600"/>
        <v>1</v>
      </c>
      <c r="AJ534" s="229">
        <f t="shared" si="601"/>
        <v>0</v>
      </c>
      <c r="AK534" s="229">
        <v>0</v>
      </c>
      <c r="AL534" s="229">
        <v>0</v>
      </c>
      <c r="AM534" s="229">
        <v>1</v>
      </c>
      <c r="AN534" s="229">
        <v>0</v>
      </c>
      <c r="AO534" s="229">
        <f t="shared" si="576"/>
        <v>-100</v>
      </c>
      <c r="AP534" s="238"/>
      <c r="AQ534" s="255"/>
      <c r="AR534" s="255"/>
      <c r="AS534" s="256"/>
      <c r="AT534" s="256"/>
      <c r="AU534" s="256"/>
      <c r="AV534" s="256"/>
      <c r="AW534" s="256"/>
      <c r="AX534" s="256"/>
      <c r="AY534" s="256"/>
      <c r="AZ534" s="256"/>
      <c r="BA534" s="256"/>
      <c r="BB534" s="256"/>
      <c r="BC534" s="256"/>
      <c r="BD534" s="238"/>
      <c r="BE534" s="229" cm="1">
        <f t="array" ref="BE534">IF(ISBLANK(R534), INDEX(Use, $AH534, 4) - AM534*INDEX(Use, $AH534, 6), R534)</f>
        <v>5</v>
      </c>
      <c r="BF534" s="229">
        <f t="shared" si="577"/>
        <v>30</v>
      </c>
      <c r="BG534" s="229">
        <f t="shared" si="565"/>
        <v>13</v>
      </c>
      <c r="BH534" s="229">
        <f t="shared" si="566"/>
        <v>0</v>
      </c>
      <c r="BI534" s="234" cm="1">
        <f t="array" ref="BI534">K534/IF($L534&gt;0, INDEX($AU$23:$BA$77, $L534+20, $AH534), 1)</f>
        <v>0</v>
      </c>
      <c r="BJ534" s="230">
        <f t="shared" si="578"/>
        <v>0</v>
      </c>
      <c r="BK534" s="229">
        <v>35</v>
      </c>
      <c r="BL534" s="230">
        <f t="shared" si="579"/>
        <v>48</v>
      </c>
      <c r="BM534" s="235">
        <f t="shared" si="580"/>
        <v>2.9108720930232557</v>
      </c>
      <c r="BN534" s="235" cm="1">
        <f t="array" ref="BN534">$BI534 * SUMPRODUCT(INDEX($AR$77:$AT$82,,$AI534),INDEX($AU$77:$BA$82,,$AH534), N($AQ$77:$AQ$82&gt;$AO534)) / BM534 / 1000</f>
        <v>0</v>
      </c>
      <c r="BO534" s="232">
        <f t="shared" si="567"/>
        <v>30</v>
      </c>
      <c r="BP534" s="230">
        <f t="shared" si="581"/>
        <v>43</v>
      </c>
      <c r="BQ534" s="235">
        <f t="shared" si="582"/>
        <v>3.2938815789473681</v>
      </c>
      <c r="BR534" s="235" cm="1">
        <f t="array" ref="BR534">$BI534 * IF($AH534&lt;=2,
SUMPRODUCT(INDEX($AR$72:$AT$76,,$AI534), INDEX($AU$72:$BA$76,,$AH534), 1 / ($BB$72:$BB$76*BQ534 + (1-$BB$72:$BB$76)*BM534), N($AQ$72:$AQ$76&gt;$AO534)),
SUMPRODUCT(INDEX($AR$67:$AT$76,,$AI534), INDEX($AU$67:$BA$76,,$AH534), 1 / ($BC$67:$BC$76*BQ534 + (1-$BC$67:$BC$76)*BM534), N($AQ$67:$AQ$76&gt;$AO534))
) / 1000</f>
        <v>0</v>
      </c>
      <c r="BS534" s="232">
        <f t="shared" si="568"/>
        <v>25</v>
      </c>
      <c r="BT534" s="230">
        <f t="shared" si="583"/>
        <v>38</v>
      </c>
      <c r="BU534" s="235">
        <f t="shared" si="584"/>
        <v>3.792954545454545</v>
      </c>
      <c r="BV534" s="235" cm="1">
        <f t="array" ref="BV534">$BI534 * IF($AH534&lt;=2,
SUMPRODUCT(INDEX($AR$67:$AT$71,,$AI534), INDEX($AU$67:$BA$71,,$AH534), 1 / ($BB$67:$BB$71*BU534 + (1-$BB$67:$BB$71)*BQ534), N($AQ$67:$AQ$71&gt;$AO534)),
SUMPRODUCT(INDEX($AR$57:$AT$66,,$AI534), INDEX($AU$57:$BA$66,,$AH534), 1 / ($BC$57:$BC$66*BU534 + (1-$BC$57:$BC$66)*BQ534), N($AQ$57:$AQ$66&gt;$AO534))
) / 1000</f>
        <v>0</v>
      </c>
      <c r="BW534" s="232">
        <f t="shared" si="569"/>
        <v>20</v>
      </c>
      <c r="BX534" s="230">
        <f t="shared" si="585"/>
        <v>33</v>
      </c>
      <c r="BY534" s="235">
        <f t="shared" si="586"/>
        <v>4.4702678571428569</v>
      </c>
      <c r="BZ534" s="235" cm="1">
        <f t="array" ref="BZ534">$BI534 * IF($AH534&lt;=2,
SUMPRODUCT(INDEX($AR$62:$AT$66,,$AI534), INDEX($AU$62:$BA$66,,$AH534), 1 / ($BB$62:$BB$66*BY534 + (1-$BB$62:$BB$66)*BU534), N($AQ$62:$AQ$66&gt;$AO534)),
SUMPRODUCT(INDEX($AR$47:$AT$56,,$AI534), INDEX($AU$47:$BA$56,,$AH534), 1 / ($BC$47:$BC$56*BY534 + (1-$BC$47:$BC$56)*BU534), N($AQ$47:$AQ$56&gt;$AO534))
) / 1000</f>
        <v>0</v>
      </c>
      <c r="CA534" s="235" cm="1">
        <f t="array" ref="CA534">$BI534 * IF($AH534&lt;=2,
SUMPRODUCT(INDEX($AR$23:$AT$61,,$AI534), INDEX($AU$23:$BA$61,,$AH534), 1 / ($BB$23:$BB$61*BY534), N($AQ$23:$AQ$61&gt;$AO534)),
SUMPRODUCT(INDEX($AR$23:$AT$46,,$AI534), INDEX($AU$23:$BA$46,,$AH534), 1 / ($BC$23:$BC$46*BY534), N($AQ$23:$AQ$46&gt;$AO534))
) / 1000</f>
        <v>0</v>
      </c>
      <c r="CB534" s="230">
        <f t="shared" si="587"/>
        <v>0</v>
      </c>
      <c r="CC534" s="238"/>
      <c r="CD534" s="229" cm="1">
        <f t="array" ref="CD534">IF(ISBLANK(Y534), INDEX(Use, $AH534, 4) - AN534*INDEX(Use, $AH534, 6) - (Q534-X534), Y534)</f>
        <v>7</v>
      </c>
      <c r="CE534" s="229">
        <f t="shared" si="588"/>
        <v>32</v>
      </c>
      <c r="CF534" s="230">
        <f t="shared" si="589"/>
        <v>0</v>
      </c>
      <c r="CG534" s="229">
        <v>35</v>
      </c>
      <c r="CH534" s="230">
        <f t="shared" si="590"/>
        <v>48</v>
      </c>
      <c r="CI534" s="235">
        <f t="shared" si="591"/>
        <v>3.0748170731707316</v>
      </c>
      <c r="CJ534" s="235" cm="1">
        <f t="array" ref="CJ534">$BI534 * SUMPRODUCT(INDEX($AR$77:$AT$82,,$AI534),INDEX($AU$77:$BA$82,,$AH534), N($AQ$77:$AQ$82&gt;$AO534)) / CI534 / 1000</f>
        <v>0</v>
      </c>
      <c r="CK534" s="232">
        <f t="shared" si="570"/>
        <v>30</v>
      </c>
      <c r="CL534" s="230">
        <f t="shared" si="592"/>
        <v>43</v>
      </c>
      <c r="CM534" s="235">
        <f t="shared" si="593"/>
        <v>3.5018750000000001</v>
      </c>
      <c r="CN534" s="235" cm="1">
        <f t="array" ref="CN534">$BI534 * IF($AH534&lt;=2,
SUMPRODUCT(INDEX($AR$72:$AT$76,,$AI534), INDEX($AU$72:$BA$76,,$AH534), 1 / ($BB$72:$BB$76*CM534 + (1-$BB$72:$BB$76)*CI534), N($AQ$72:$AQ$76&gt;$AO534)),
SUMPRODUCT(INDEX($AR$67:$AT$76,,$AI534), INDEX($AU$67:$BA$76,,$AH534), 1 / ($BC$67:$BC$76*CM534 + (1-$BC$67:$BC$76)*CI534), N($AQ$67:$AQ$76&gt;$AO534))
) / 1000</f>
        <v>0</v>
      </c>
      <c r="CO534" s="232">
        <f t="shared" si="571"/>
        <v>25</v>
      </c>
      <c r="CP534" s="230">
        <f t="shared" si="594"/>
        <v>38</v>
      </c>
      <c r="CQ534" s="235">
        <f t="shared" si="595"/>
        <v>4.0666935483870965</v>
      </c>
      <c r="CR534" s="235" cm="1">
        <f t="array" ref="CR534">$BI534 * IF($AH534&lt;=2,
SUMPRODUCT(INDEX($AR$67:$AT$71,,$AI534), INDEX($AU$67:$BA$71,,$AH534), 1 / ($BB$67:$BB$71*CQ534 + (1-$BB$67:$BB$71)*CM534), N($AQ$67:$AQ$71&gt;$AO534)),
SUMPRODUCT(INDEX($AR$57:$AT$66,,$AI534), INDEX($AU$57:$BA$66,,$AH534), 1 / ($BC$57:$BC$66*CQ534 + (1-$BC$57:$BC$66)*CM534), N($AQ$57:$AQ$66&gt;$AO534))
) / 1000</f>
        <v>0</v>
      </c>
      <c r="CS534" s="232">
        <f t="shared" si="572"/>
        <v>20</v>
      </c>
      <c r="CT534" s="230">
        <f t="shared" si="596"/>
        <v>33</v>
      </c>
      <c r="CU534" s="235">
        <f t="shared" si="597"/>
        <v>4.8487499999999999</v>
      </c>
      <c r="CV534" s="235" cm="1">
        <f t="array" ref="CV534">$BI534 * IF($AH534&lt;=2,
SUMPRODUCT(INDEX($AR$62:$AT$66,,$AI534), INDEX($AU$62:$BA$66,,$AH534), 1 / ($BB$62:$BB$66*CU534 + (1-$BB$62:$BB$66)*CQ534), N($AQ$62:$AQ$66&gt;$AO534)),
SUMPRODUCT(INDEX($AR$47:$AT$56,,$AI534), INDEX($AU$47:$BA$56,,$AH534), 1 / ($BC$47:$BC$56*CU534 + (1-$BC$47:$BC$56)*CQ534), N($AQ$47:$AQ$56&gt;$AO534))
) / 1000</f>
        <v>0</v>
      </c>
      <c r="CW534" s="235" cm="1">
        <f t="array" ref="CW534">$BI534 * IF($AH534&lt;=2,
SUMPRODUCT(INDEX($AR$23:$AT$61,,$AI534), INDEX($AU$23:$BA$61,,$AH534), 1 / ($BB$23:$BB$61*CU534), N($AQ$23:$AQ$61&gt;$AO534)),
SUMPRODUCT(INDEX($AR$23:$AT$46,,$AI534), INDEX($AU$23:$BA$46,,$AH534), 1 / ($BC$23:$BC$46*CU534), N($AQ$23:$AQ$46&gt;$AO534))
) / 1000</f>
        <v>0</v>
      </c>
      <c r="CX534" s="230">
        <f t="shared" si="598"/>
        <v>0</v>
      </c>
      <c r="CY534" s="238"/>
    </row>
    <row r="535" spans="1:103" s="76" customFormat="1" ht="14.25" customHeight="1" x14ac:dyDescent="0.2">
      <c r="A535" s="231" t="b">
        <f t="shared" si="602"/>
        <v>0</v>
      </c>
      <c r="B535" s="245">
        <v>513</v>
      </c>
      <c r="C535" s="258"/>
      <c r="D535" s="258"/>
      <c r="E535" s="246"/>
      <c r="F535" s="247" t="str">
        <f>IF(ISBLANK(E535), "", VLOOKUP(E535, Z!$A$2:$C$4127, 3, FALSE))</f>
        <v/>
      </c>
      <c r="G535" s="248"/>
      <c r="H535" s="248"/>
      <c r="I535" s="249"/>
      <c r="J535" s="250"/>
      <c r="K535" s="259"/>
      <c r="L535" s="260"/>
      <c r="M535" s="252" t="str" cm="1">
        <f t="array" ref="M535">INDEX(Trad, 53, $A$20)</f>
        <v>Verschmutzt</v>
      </c>
      <c r="N535" s="253"/>
      <c r="O535" s="253"/>
      <c r="P535" s="254"/>
      <c r="Q535" s="251"/>
      <c r="R535" s="251"/>
      <c r="S535" s="264">
        <f t="shared" si="573"/>
        <v>0</v>
      </c>
      <c r="T535" s="252" t="str" cm="1">
        <f t="array" ref="T535">INDEX(Trad, 52, $A$20)</f>
        <v>Sauber</v>
      </c>
      <c r="U535" s="253"/>
      <c r="V535" s="253"/>
      <c r="W535" s="254"/>
      <c r="X535" s="251"/>
      <c r="Y535" s="251"/>
      <c r="Z535" s="264">
        <f t="shared" si="574"/>
        <v>0</v>
      </c>
      <c r="AA535" s="261"/>
      <c r="AB535" s="258"/>
      <c r="AC535" s="246"/>
      <c r="AD535" s="247" t="str">
        <f>IF(ISBLANK(AC535), "", VLOOKUP(AC535, Z!$A$2:$C$4127, 3, FALSE))</f>
        <v/>
      </c>
      <c r="AE535" s="262"/>
      <c r="AF535" s="263">
        <f t="shared" si="575"/>
        <v>0</v>
      </c>
      <c r="AG535" s="238"/>
      <c r="AH535" s="229">
        <f t="shared" si="599"/>
        <v>1</v>
      </c>
      <c r="AI535" s="229">
        <f t="shared" si="600"/>
        <v>1</v>
      </c>
      <c r="AJ535" s="229">
        <f t="shared" si="601"/>
        <v>0</v>
      </c>
      <c r="AK535" s="229">
        <v>0</v>
      </c>
      <c r="AL535" s="229">
        <v>0</v>
      </c>
      <c r="AM535" s="229">
        <v>1</v>
      </c>
      <c r="AN535" s="229">
        <v>0</v>
      </c>
      <c r="AO535" s="229">
        <f t="shared" si="576"/>
        <v>-100</v>
      </c>
      <c r="AP535" s="238"/>
      <c r="AQ535" s="255"/>
      <c r="AR535" s="255"/>
      <c r="AS535" s="256"/>
      <c r="AT535" s="256"/>
      <c r="AU535" s="256"/>
      <c r="AV535" s="256"/>
      <c r="AW535" s="256"/>
      <c r="AX535" s="256"/>
      <c r="AY535" s="256"/>
      <c r="AZ535" s="256"/>
      <c r="BA535" s="256"/>
      <c r="BB535" s="256"/>
      <c r="BC535" s="256"/>
      <c r="BD535" s="238"/>
      <c r="BE535" s="229" cm="1">
        <f t="array" ref="BE535">IF(ISBLANK(R535), INDEX(Use, $AH535, 4) - AM535*INDEX(Use, $AH535, 6), R535)</f>
        <v>5</v>
      </c>
      <c r="BF535" s="229">
        <f t="shared" si="577"/>
        <v>30</v>
      </c>
      <c r="BG535" s="229">
        <f t="shared" ref="BG535:BG598" si="603">IF($AJ535=1, 6, IF($AH535=4, 10, 13))</f>
        <v>13</v>
      </c>
      <c r="BH535" s="229">
        <f t="shared" ref="BH535:BH598" si="604">IF($AJ535=1, 9, 0)</f>
        <v>0</v>
      </c>
      <c r="BI535" s="234" cm="1">
        <f t="array" ref="BI535">K535/IF($L535&gt;0, INDEX($AU$23:$BA$77, $L535+20, $AH535), 1)</f>
        <v>0</v>
      </c>
      <c r="BJ535" s="230">
        <f t="shared" si="578"/>
        <v>0</v>
      </c>
      <c r="BK535" s="229">
        <v>35</v>
      </c>
      <c r="BL535" s="230">
        <f t="shared" si="579"/>
        <v>48</v>
      </c>
      <c r="BM535" s="235">
        <f t="shared" si="580"/>
        <v>2.9108720930232557</v>
      </c>
      <c r="BN535" s="235" cm="1">
        <f t="array" ref="BN535">$BI535 * SUMPRODUCT(INDEX($AR$77:$AT$82,,$AI535),INDEX($AU$77:$BA$82,,$AH535), N($AQ$77:$AQ$82&gt;$AO535)) / BM535 / 1000</f>
        <v>0</v>
      </c>
      <c r="BO535" s="232">
        <f t="shared" ref="BO535:BO598" si="605">IF($AH535&lt;=2, 30, 25)</f>
        <v>30</v>
      </c>
      <c r="BP535" s="230">
        <f t="shared" si="581"/>
        <v>43</v>
      </c>
      <c r="BQ535" s="235">
        <f t="shared" si="582"/>
        <v>3.2938815789473681</v>
      </c>
      <c r="BR535" s="235" cm="1">
        <f t="array" ref="BR535">$BI535 * IF($AH535&lt;=2,
SUMPRODUCT(INDEX($AR$72:$AT$76,,$AI535), INDEX($AU$72:$BA$76,,$AH535), 1 / ($BB$72:$BB$76*BQ535 + (1-$BB$72:$BB$76)*BM535), N($AQ$72:$AQ$76&gt;$AO535)),
SUMPRODUCT(INDEX($AR$67:$AT$76,,$AI535), INDEX($AU$67:$BA$76,,$AH535), 1 / ($BC$67:$BC$76*BQ535 + (1-$BC$67:$BC$76)*BM535), N($AQ$67:$AQ$76&gt;$AO535))
) / 1000</f>
        <v>0</v>
      </c>
      <c r="BS535" s="232">
        <f t="shared" ref="BS535:BS598" si="606">IF($AH535&lt;=2, 25, 15)</f>
        <v>25</v>
      </c>
      <c r="BT535" s="230">
        <f t="shared" si="583"/>
        <v>38</v>
      </c>
      <c r="BU535" s="235">
        <f t="shared" si="584"/>
        <v>3.792954545454545</v>
      </c>
      <c r="BV535" s="235" cm="1">
        <f t="array" ref="BV535">$BI535 * IF($AH535&lt;=2,
SUMPRODUCT(INDEX($AR$67:$AT$71,,$AI535), INDEX($AU$67:$BA$71,,$AH535), 1 / ($BB$67:$BB$71*BU535 + (1-$BB$67:$BB$71)*BQ535), N($AQ$67:$AQ$71&gt;$AO535)),
SUMPRODUCT(INDEX($AR$57:$AT$66,,$AI535), INDEX($AU$57:$BA$66,,$AH535), 1 / ($BC$57:$BC$66*BU535 + (1-$BC$57:$BC$66)*BQ535), N($AQ$57:$AQ$66&gt;$AO535))
) / 1000</f>
        <v>0</v>
      </c>
      <c r="BW535" s="232">
        <f t="shared" ref="BW535:BW598" si="607">IF($AH535&lt;=2, 20, 5)</f>
        <v>20</v>
      </c>
      <c r="BX535" s="230">
        <f t="shared" si="585"/>
        <v>33</v>
      </c>
      <c r="BY535" s="235">
        <f t="shared" si="586"/>
        <v>4.4702678571428569</v>
      </c>
      <c r="BZ535" s="235" cm="1">
        <f t="array" ref="BZ535">$BI535 * IF($AH535&lt;=2,
SUMPRODUCT(INDEX($AR$62:$AT$66,,$AI535), INDEX($AU$62:$BA$66,,$AH535), 1 / ($BB$62:$BB$66*BY535 + (1-$BB$62:$BB$66)*BU535), N($AQ$62:$AQ$66&gt;$AO535)),
SUMPRODUCT(INDEX($AR$47:$AT$56,,$AI535), INDEX($AU$47:$BA$56,,$AH535), 1 / ($BC$47:$BC$56*BY535 + (1-$BC$47:$BC$56)*BU535), N($AQ$47:$AQ$56&gt;$AO535))
) / 1000</f>
        <v>0</v>
      </c>
      <c r="CA535" s="235" cm="1">
        <f t="array" ref="CA535">$BI535 * IF($AH535&lt;=2,
SUMPRODUCT(INDEX($AR$23:$AT$61,,$AI535), INDEX($AU$23:$BA$61,,$AH535), 1 / ($BB$23:$BB$61*BY535), N($AQ$23:$AQ$61&gt;$AO535)),
SUMPRODUCT(INDEX($AR$23:$AT$46,,$AI535), INDEX($AU$23:$BA$46,,$AH535), 1 / ($BC$23:$BC$46*BY535), N($AQ$23:$AQ$46&gt;$AO535))
) / 1000</f>
        <v>0</v>
      </c>
      <c r="CB535" s="230">
        <f t="shared" si="587"/>
        <v>0</v>
      </c>
      <c r="CC535" s="238"/>
      <c r="CD535" s="229" cm="1">
        <f t="array" ref="CD535">IF(ISBLANK(Y535), INDEX(Use, $AH535, 4) - AN535*INDEX(Use, $AH535, 6) - (Q535-X535), Y535)</f>
        <v>7</v>
      </c>
      <c r="CE535" s="229">
        <f t="shared" si="588"/>
        <v>32</v>
      </c>
      <c r="CF535" s="230">
        <f t="shared" si="589"/>
        <v>0</v>
      </c>
      <c r="CG535" s="229">
        <v>35</v>
      </c>
      <c r="CH535" s="230">
        <f t="shared" si="590"/>
        <v>48</v>
      </c>
      <c r="CI535" s="235">
        <f t="shared" si="591"/>
        <v>3.0748170731707316</v>
      </c>
      <c r="CJ535" s="235" cm="1">
        <f t="array" ref="CJ535">$BI535 * SUMPRODUCT(INDEX($AR$77:$AT$82,,$AI535),INDEX($AU$77:$BA$82,,$AH535), N($AQ$77:$AQ$82&gt;$AO535)) / CI535 / 1000</f>
        <v>0</v>
      </c>
      <c r="CK535" s="232">
        <f t="shared" ref="CK535:CK598" si="608">IF($AH535&lt;=2, 30, 25)</f>
        <v>30</v>
      </c>
      <c r="CL535" s="230">
        <f t="shared" si="592"/>
        <v>43</v>
      </c>
      <c r="CM535" s="235">
        <f t="shared" si="593"/>
        <v>3.5018750000000001</v>
      </c>
      <c r="CN535" s="235" cm="1">
        <f t="array" ref="CN535">$BI535 * IF($AH535&lt;=2,
SUMPRODUCT(INDEX($AR$72:$AT$76,,$AI535), INDEX($AU$72:$BA$76,,$AH535), 1 / ($BB$72:$BB$76*CM535 + (1-$BB$72:$BB$76)*CI535), N($AQ$72:$AQ$76&gt;$AO535)),
SUMPRODUCT(INDEX($AR$67:$AT$76,,$AI535), INDEX($AU$67:$BA$76,,$AH535), 1 / ($BC$67:$BC$76*CM535 + (1-$BC$67:$BC$76)*CI535), N($AQ$67:$AQ$76&gt;$AO535))
) / 1000</f>
        <v>0</v>
      </c>
      <c r="CO535" s="232">
        <f t="shared" ref="CO535:CO598" si="609">IF($AH535&lt;=2, 25, 15)</f>
        <v>25</v>
      </c>
      <c r="CP535" s="230">
        <f t="shared" si="594"/>
        <v>38</v>
      </c>
      <c r="CQ535" s="235">
        <f t="shared" si="595"/>
        <v>4.0666935483870965</v>
      </c>
      <c r="CR535" s="235" cm="1">
        <f t="array" ref="CR535">$BI535 * IF($AH535&lt;=2,
SUMPRODUCT(INDEX($AR$67:$AT$71,,$AI535), INDEX($AU$67:$BA$71,,$AH535), 1 / ($BB$67:$BB$71*CQ535 + (1-$BB$67:$BB$71)*CM535), N($AQ$67:$AQ$71&gt;$AO535)),
SUMPRODUCT(INDEX($AR$57:$AT$66,,$AI535), INDEX($AU$57:$BA$66,,$AH535), 1 / ($BC$57:$BC$66*CQ535 + (1-$BC$57:$BC$66)*CM535), N($AQ$57:$AQ$66&gt;$AO535))
) / 1000</f>
        <v>0</v>
      </c>
      <c r="CS535" s="232">
        <f t="shared" ref="CS535:CS598" si="610">IF($AH535&lt;=2, 20, 5)</f>
        <v>20</v>
      </c>
      <c r="CT535" s="230">
        <f t="shared" si="596"/>
        <v>33</v>
      </c>
      <c r="CU535" s="235">
        <f t="shared" si="597"/>
        <v>4.8487499999999999</v>
      </c>
      <c r="CV535" s="235" cm="1">
        <f t="array" ref="CV535">$BI535 * IF($AH535&lt;=2,
SUMPRODUCT(INDEX($AR$62:$AT$66,,$AI535), INDEX($AU$62:$BA$66,,$AH535), 1 / ($BB$62:$BB$66*CU535 + (1-$BB$62:$BB$66)*CQ535), N($AQ$62:$AQ$66&gt;$AO535)),
SUMPRODUCT(INDEX($AR$47:$AT$56,,$AI535), INDEX($AU$47:$BA$56,,$AH535), 1 / ($BC$47:$BC$56*CU535 + (1-$BC$47:$BC$56)*CQ535), N($AQ$47:$AQ$56&gt;$AO535))
) / 1000</f>
        <v>0</v>
      </c>
      <c r="CW535" s="235" cm="1">
        <f t="array" ref="CW535">$BI535 * IF($AH535&lt;=2,
SUMPRODUCT(INDEX($AR$23:$AT$61,,$AI535), INDEX($AU$23:$BA$61,,$AH535), 1 / ($BB$23:$BB$61*CU535), N($AQ$23:$AQ$61&gt;$AO535)),
SUMPRODUCT(INDEX($AR$23:$AT$46,,$AI535), INDEX($AU$23:$BA$46,,$AH535), 1 / ($BC$23:$BC$46*CU535), N($AQ$23:$AQ$46&gt;$AO535))
) / 1000</f>
        <v>0</v>
      </c>
      <c r="CX535" s="230">
        <f t="shared" si="598"/>
        <v>0</v>
      </c>
      <c r="CY535" s="238"/>
    </row>
    <row r="536" spans="1:103" s="76" customFormat="1" ht="14.25" customHeight="1" x14ac:dyDescent="0.2">
      <c r="A536" s="231" t="b">
        <f t="shared" si="602"/>
        <v>0</v>
      </c>
      <c r="B536" s="245">
        <v>514</v>
      </c>
      <c r="C536" s="258"/>
      <c r="D536" s="258"/>
      <c r="E536" s="246"/>
      <c r="F536" s="247" t="str">
        <f>IF(ISBLANK(E536), "", VLOOKUP(E536, Z!$A$2:$C$4127, 3, FALSE))</f>
        <v/>
      </c>
      <c r="G536" s="248"/>
      <c r="H536" s="248"/>
      <c r="I536" s="249"/>
      <c r="J536" s="250"/>
      <c r="K536" s="259"/>
      <c r="L536" s="260"/>
      <c r="M536" s="252" t="str" cm="1">
        <f t="array" ref="M536">INDEX(Trad, 53, $A$20)</f>
        <v>Verschmutzt</v>
      </c>
      <c r="N536" s="253"/>
      <c r="O536" s="253"/>
      <c r="P536" s="254"/>
      <c r="Q536" s="251"/>
      <c r="R536" s="251"/>
      <c r="S536" s="264">
        <f t="shared" si="573"/>
        <v>0</v>
      </c>
      <c r="T536" s="252" t="str" cm="1">
        <f t="array" ref="T536">INDEX(Trad, 52, $A$20)</f>
        <v>Sauber</v>
      </c>
      <c r="U536" s="253"/>
      <c r="V536" s="253"/>
      <c r="W536" s="254"/>
      <c r="X536" s="251"/>
      <c r="Y536" s="251"/>
      <c r="Z536" s="264">
        <f t="shared" si="574"/>
        <v>0</v>
      </c>
      <c r="AA536" s="261"/>
      <c r="AB536" s="258"/>
      <c r="AC536" s="246"/>
      <c r="AD536" s="247" t="str">
        <f>IF(ISBLANK(AC536), "", VLOOKUP(AC536, Z!$A$2:$C$4127, 3, FALSE))</f>
        <v/>
      </c>
      <c r="AE536" s="262"/>
      <c r="AF536" s="263">
        <f t="shared" si="575"/>
        <v>0</v>
      </c>
      <c r="AG536" s="238"/>
      <c r="AH536" s="229">
        <f t="shared" si="599"/>
        <v>1</v>
      </c>
      <c r="AI536" s="229">
        <f t="shared" si="600"/>
        <v>1</v>
      </c>
      <c r="AJ536" s="229">
        <f t="shared" si="601"/>
        <v>0</v>
      </c>
      <c r="AK536" s="229">
        <v>0</v>
      </c>
      <c r="AL536" s="229">
        <v>0</v>
      </c>
      <c r="AM536" s="229">
        <v>1</v>
      </c>
      <c r="AN536" s="229">
        <v>0</v>
      </c>
      <c r="AO536" s="229">
        <f t="shared" si="576"/>
        <v>-100</v>
      </c>
      <c r="AP536" s="238"/>
      <c r="AQ536" s="255"/>
      <c r="AR536" s="255"/>
      <c r="AS536" s="256"/>
      <c r="AT536" s="256"/>
      <c r="AU536" s="256"/>
      <c r="AV536" s="256"/>
      <c r="AW536" s="256"/>
      <c r="AX536" s="256"/>
      <c r="AY536" s="256"/>
      <c r="AZ536" s="256"/>
      <c r="BA536" s="256"/>
      <c r="BB536" s="256"/>
      <c r="BC536" s="256"/>
      <c r="BD536" s="238"/>
      <c r="BE536" s="229" cm="1">
        <f t="array" ref="BE536">IF(ISBLANK(R536), INDEX(Use, $AH536, 4) - AM536*INDEX(Use, $AH536, 6), R536)</f>
        <v>5</v>
      </c>
      <c r="BF536" s="229">
        <f t="shared" si="577"/>
        <v>30</v>
      </c>
      <c r="BG536" s="229">
        <f t="shared" si="603"/>
        <v>13</v>
      </c>
      <c r="BH536" s="229">
        <f t="shared" si="604"/>
        <v>0</v>
      </c>
      <c r="BI536" s="234" cm="1">
        <f t="array" ref="BI536">K536/IF($L536&gt;0, INDEX($AU$23:$BA$77, $L536+20, $AH536), 1)</f>
        <v>0</v>
      </c>
      <c r="BJ536" s="230">
        <f t="shared" si="578"/>
        <v>0</v>
      </c>
      <c r="BK536" s="229">
        <v>35</v>
      </c>
      <c r="BL536" s="230">
        <f t="shared" si="579"/>
        <v>48</v>
      </c>
      <c r="BM536" s="235">
        <f t="shared" si="580"/>
        <v>2.9108720930232557</v>
      </c>
      <c r="BN536" s="235" cm="1">
        <f t="array" ref="BN536">$BI536 * SUMPRODUCT(INDEX($AR$77:$AT$82,,$AI536),INDEX($AU$77:$BA$82,,$AH536), N($AQ$77:$AQ$82&gt;$AO536)) / BM536 / 1000</f>
        <v>0</v>
      </c>
      <c r="BO536" s="232">
        <f t="shared" si="605"/>
        <v>30</v>
      </c>
      <c r="BP536" s="230">
        <f t="shared" si="581"/>
        <v>43</v>
      </c>
      <c r="BQ536" s="235">
        <f t="shared" si="582"/>
        <v>3.2938815789473681</v>
      </c>
      <c r="BR536" s="235" cm="1">
        <f t="array" ref="BR536">$BI536 * IF($AH536&lt;=2,
SUMPRODUCT(INDEX($AR$72:$AT$76,,$AI536), INDEX($AU$72:$BA$76,,$AH536), 1 / ($BB$72:$BB$76*BQ536 + (1-$BB$72:$BB$76)*BM536), N($AQ$72:$AQ$76&gt;$AO536)),
SUMPRODUCT(INDEX($AR$67:$AT$76,,$AI536), INDEX($AU$67:$BA$76,,$AH536), 1 / ($BC$67:$BC$76*BQ536 + (1-$BC$67:$BC$76)*BM536), N($AQ$67:$AQ$76&gt;$AO536))
) / 1000</f>
        <v>0</v>
      </c>
      <c r="BS536" s="232">
        <f t="shared" si="606"/>
        <v>25</v>
      </c>
      <c r="BT536" s="230">
        <f t="shared" si="583"/>
        <v>38</v>
      </c>
      <c r="BU536" s="235">
        <f t="shared" si="584"/>
        <v>3.792954545454545</v>
      </c>
      <c r="BV536" s="235" cm="1">
        <f t="array" ref="BV536">$BI536 * IF($AH536&lt;=2,
SUMPRODUCT(INDEX($AR$67:$AT$71,,$AI536), INDEX($AU$67:$BA$71,,$AH536), 1 / ($BB$67:$BB$71*BU536 + (1-$BB$67:$BB$71)*BQ536), N($AQ$67:$AQ$71&gt;$AO536)),
SUMPRODUCT(INDEX($AR$57:$AT$66,,$AI536), INDEX($AU$57:$BA$66,,$AH536), 1 / ($BC$57:$BC$66*BU536 + (1-$BC$57:$BC$66)*BQ536), N($AQ$57:$AQ$66&gt;$AO536))
) / 1000</f>
        <v>0</v>
      </c>
      <c r="BW536" s="232">
        <f t="shared" si="607"/>
        <v>20</v>
      </c>
      <c r="BX536" s="230">
        <f t="shared" si="585"/>
        <v>33</v>
      </c>
      <c r="BY536" s="235">
        <f t="shared" si="586"/>
        <v>4.4702678571428569</v>
      </c>
      <c r="BZ536" s="235" cm="1">
        <f t="array" ref="BZ536">$BI536 * IF($AH536&lt;=2,
SUMPRODUCT(INDEX($AR$62:$AT$66,,$AI536), INDEX($AU$62:$BA$66,,$AH536), 1 / ($BB$62:$BB$66*BY536 + (1-$BB$62:$BB$66)*BU536), N($AQ$62:$AQ$66&gt;$AO536)),
SUMPRODUCT(INDEX($AR$47:$AT$56,,$AI536), INDEX($AU$47:$BA$56,,$AH536), 1 / ($BC$47:$BC$56*BY536 + (1-$BC$47:$BC$56)*BU536), N($AQ$47:$AQ$56&gt;$AO536))
) / 1000</f>
        <v>0</v>
      </c>
      <c r="CA536" s="235" cm="1">
        <f t="array" ref="CA536">$BI536 * IF($AH536&lt;=2,
SUMPRODUCT(INDEX($AR$23:$AT$61,,$AI536), INDEX($AU$23:$BA$61,,$AH536), 1 / ($BB$23:$BB$61*BY536), N($AQ$23:$AQ$61&gt;$AO536)),
SUMPRODUCT(INDEX($AR$23:$AT$46,,$AI536), INDEX($AU$23:$BA$46,,$AH536), 1 / ($BC$23:$BC$46*BY536), N($AQ$23:$AQ$46&gt;$AO536))
) / 1000</f>
        <v>0</v>
      </c>
      <c r="CB536" s="230">
        <f t="shared" si="587"/>
        <v>0</v>
      </c>
      <c r="CC536" s="238"/>
      <c r="CD536" s="229" cm="1">
        <f t="array" ref="CD536">IF(ISBLANK(Y536), INDEX(Use, $AH536, 4) - AN536*INDEX(Use, $AH536, 6) - (Q536-X536), Y536)</f>
        <v>7</v>
      </c>
      <c r="CE536" s="229">
        <f t="shared" si="588"/>
        <v>32</v>
      </c>
      <c r="CF536" s="230">
        <f t="shared" si="589"/>
        <v>0</v>
      </c>
      <c r="CG536" s="229">
        <v>35</v>
      </c>
      <c r="CH536" s="230">
        <f t="shared" si="590"/>
        <v>48</v>
      </c>
      <c r="CI536" s="235">
        <f t="shared" si="591"/>
        <v>3.0748170731707316</v>
      </c>
      <c r="CJ536" s="235" cm="1">
        <f t="array" ref="CJ536">$BI536 * SUMPRODUCT(INDEX($AR$77:$AT$82,,$AI536),INDEX($AU$77:$BA$82,,$AH536), N($AQ$77:$AQ$82&gt;$AO536)) / CI536 / 1000</f>
        <v>0</v>
      </c>
      <c r="CK536" s="232">
        <f t="shared" si="608"/>
        <v>30</v>
      </c>
      <c r="CL536" s="230">
        <f t="shared" si="592"/>
        <v>43</v>
      </c>
      <c r="CM536" s="235">
        <f t="shared" si="593"/>
        <v>3.5018750000000001</v>
      </c>
      <c r="CN536" s="235" cm="1">
        <f t="array" ref="CN536">$BI536 * IF($AH536&lt;=2,
SUMPRODUCT(INDEX($AR$72:$AT$76,,$AI536), INDEX($AU$72:$BA$76,,$AH536), 1 / ($BB$72:$BB$76*CM536 + (1-$BB$72:$BB$76)*CI536), N($AQ$72:$AQ$76&gt;$AO536)),
SUMPRODUCT(INDEX($AR$67:$AT$76,,$AI536), INDEX($AU$67:$BA$76,,$AH536), 1 / ($BC$67:$BC$76*CM536 + (1-$BC$67:$BC$76)*CI536), N($AQ$67:$AQ$76&gt;$AO536))
) / 1000</f>
        <v>0</v>
      </c>
      <c r="CO536" s="232">
        <f t="shared" si="609"/>
        <v>25</v>
      </c>
      <c r="CP536" s="230">
        <f t="shared" si="594"/>
        <v>38</v>
      </c>
      <c r="CQ536" s="235">
        <f t="shared" si="595"/>
        <v>4.0666935483870965</v>
      </c>
      <c r="CR536" s="235" cm="1">
        <f t="array" ref="CR536">$BI536 * IF($AH536&lt;=2,
SUMPRODUCT(INDEX($AR$67:$AT$71,,$AI536), INDEX($AU$67:$BA$71,,$AH536), 1 / ($BB$67:$BB$71*CQ536 + (1-$BB$67:$BB$71)*CM536), N($AQ$67:$AQ$71&gt;$AO536)),
SUMPRODUCT(INDEX($AR$57:$AT$66,,$AI536), INDEX($AU$57:$BA$66,,$AH536), 1 / ($BC$57:$BC$66*CQ536 + (1-$BC$57:$BC$66)*CM536), N($AQ$57:$AQ$66&gt;$AO536))
) / 1000</f>
        <v>0</v>
      </c>
      <c r="CS536" s="232">
        <f t="shared" si="610"/>
        <v>20</v>
      </c>
      <c r="CT536" s="230">
        <f t="shared" si="596"/>
        <v>33</v>
      </c>
      <c r="CU536" s="235">
        <f t="shared" si="597"/>
        <v>4.8487499999999999</v>
      </c>
      <c r="CV536" s="235" cm="1">
        <f t="array" ref="CV536">$BI536 * IF($AH536&lt;=2,
SUMPRODUCT(INDEX($AR$62:$AT$66,,$AI536), INDEX($AU$62:$BA$66,,$AH536), 1 / ($BB$62:$BB$66*CU536 + (1-$BB$62:$BB$66)*CQ536), N($AQ$62:$AQ$66&gt;$AO536)),
SUMPRODUCT(INDEX($AR$47:$AT$56,,$AI536), INDEX($AU$47:$BA$56,,$AH536), 1 / ($BC$47:$BC$56*CU536 + (1-$BC$47:$BC$56)*CQ536), N($AQ$47:$AQ$56&gt;$AO536))
) / 1000</f>
        <v>0</v>
      </c>
      <c r="CW536" s="235" cm="1">
        <f t="array" ref="CW536">$BI536 * IF($AH536&lt;=2,
SUMPRODUCT(INDEX($AR$23:$AT$61,,$AI536), INDEX($AU$23:$BA$61,,$AH536), 1 / ($BB$23:$BB$61*CU536), N($AQ$23:$AQ$61&gt;$AO536)),
SUMPRODUCT(INDEX($AR$23:$AT$46,,$AI536), INDEX($AU$23:$BA$46,,$AH536), 1 / ($BC$23:$BC$46*CU536), N($AQ$23:$AQ$46&gt;$AO536))
) / 1000</f>
        <v>0</v>
      </c>
      <c r="CX536" s="230">
        <f t="shared" si="598"/>
        <v>0</v>
      </c>
      <c r="CY536" s="238"/>
    </row>
    <row r="537" spans="1:103" s="76" customFormat="1" ht="14.25" customHeight="1" x14ac:dyDescent="0.2">
      <c r="A537" s="231" t="b">
        <f t="shared" si="602"/>
        <v>0</v>
      </c>
      <c r="B537" s="245">
        <v>515</v>
      </c>
      <c r="C537" s="258"/>
      <c r="D537" s="258"/>
      <c r="E537" s="246"/>
      <c r="F537" s="247" t="str">
        <f>IF(ISBLANK(E537), "", VLOOKUP(E537, Z!$A$2:$C$4127, 3, FALSE))</f>
        <v/>
      </c>
      <c r="G537" s="248"/>
      <c r="H537" s="248"/>
      <c r="I537" s="249"/>
      <c r="J537" s="250"/>
      <c r="K537" s="259"/>
      <c r="L537" s="260"/>
      <c r="M537" s="252" t="str" cm="1">
        <f t="array" ref="M537">INDEX(Trad, 53, $A$20)</f>
        <v>Verschmutzt</v>
      </c>
      <c r="N537" s="253"/>
      <c r="O537" s="253"/>
      <c r="P537" s="254"/>
      <c r="Q537" s="251"/>
      <c r="R537" s="251"/>
      <c r="S537" s="264">
        <f t="shared" si="573"/>
        <v>0</v>
      </c>
      <c r="T537" s="252" t="str" cm="1">
        <f t="array" ref="T537">INDEX(Trad, 52, $A$20)</f>
        <v>Sauber</v>
      </c>
      <c r="U537" s="253"/>
      <c r="V537" s="253"/>
      <c r="W537" s="254"/>
      <c r="X537" s="251"/>
      <c r="Y537" s="251"/>
      <c r="Z537" s="264">
        <f t="shared" si="574"/>
        <v>0</v>
      </c>
      <c r="AA537" s="261"/>
      <c r="AB537" s="258"/>
      <c r="AC537" s="246"/>
      <c r="AD537" s="247" t="str">
        <f>IF(ISBLANK(AC537), "", VLOOKUP(AC537, Z!$A$2:$C$4127, 3, FALSE))</f>
        <v/>
      </c>
      <c r="AE537" s="262"/>
      <c r="AF537" s="263">
        <f t="shared" si="575"/>
        <v>0</v>
      </c>
      <c r="AG537" s="238"/>
      <c r="AH537" s="229">
        <f t="shared" si="599"/>
        <v>1</v>
      </c>
      <c r="AI537" s="229">
        <f t="shared" si="600"/>
        <v>1</v>
      </c>
      <c r="AJ537" s="229">
        <f t="shared" si="601"/>
        <v>0</v>
      </c>
      <c r="AK537" s="229">
        <v>0</v>
      </c>
      <c r="AL537" s="229">
        <v>0</v>
      </c>
      <c r="AM537" s="229">
        <v>1</v>
      </c>
      <c r="AN537" s="229">
        <v>0</v>
      </c>
      <c r="AO537" s="229">
        <f t="shared" si="576"/>
        <v>-100</v>
      </c>
      <c r="AP537" s="238"/>
      <c r="AQ537" s="255"/>
      <c r="AR537" s="255"/>
      <c r="AS537" s="256"/>
      <c r="AT537" s="256"/>
      <c r="AU537" s="256"/>
      <c r="AV537" s="256"/>
      <c r="AW537" s="256"/>
      <c r="AX537" s="256"/>
      <c r="AY537" s="256"/>
      <c r="AZ537" s="256"/>
      <c r="BA537" s="256"/>
      <c r="BB537" s="256"/>
      <c r="BC537" s="256"/>
      <c r="BD537" s="238"/>
      <c r="BE537" s="229" cm="1">
        <f t="array" ref="BE537">IF(ISBLANK(R537), INDEX(Use, $AH537, 4) - AM537*INDEX(Use, $AH537, 6), R537)</f>
        <v>5</v>
      </c>
      <c r="BF537" s="229">
        <f t="shared" si="577"/>
        <v>30</v>
      </c>
      <c r="BG537" s="229">
        <f t="shared" si="603"/>
        <v>13</v>
      </c>
      <c r="BH537" s="229">
        <f t="shared" si="604"/>
        <v>0</v>
      </c>
      <c r="BI537" s="234" cm="1">
        <f t="array" ref="BI537">K537/IF($L537&gt;0, INDEX($AU$23:$BA$77, $L537+20, $AH537), 1)</f>
        <v>0</v>
      </c>
      <c r="BJ537" s="230">
        <f t="shared" si="578"/>
        <v>0</v>
      </c>
      <c r="BK537" s="229">
        <v>35</v>
      </c>
      <c r="BL537" s="230">
        <f t="shared" si="579"/>
        <v>48</v>
      </c>
      <c r="BM537" s="235">
        <f t="shared" si="580"/>
        <v>2.9108720930232557</v>
      </c>
      <c r="BN537" s="235" cm="1">
        <f t="array" ref="BN537">$BI537 * SUMPRODUCT(INDEX($AR$77:$AT$82,,$AI537),INDEX($AU$77:$BA$82,,$AH537), N($AQ$77:$AQ$82&gt;$AO537)) / BM537 / 1000</f>
        <v>0</v>
      </c>
      <c r="BO537" s="232">
        <f t="shared" si="605"/>
        <v>30</v>
      </c>
      <c r="BP537" s="230">
        <f t="shared" si="581"/>
        <v>43</v>
      </c>
      <c r="BQ537" s="235">
        <f t="shared" si="582"/>
        <v>3.2938815789473681</v>
      </c>
      <c r="BR537" s="235" cm="1">
        <f t="array" ref="BR537">$BI537 * IF($AH537&lt;=2,
SUMPRODUCT(INDEX($AR$72:$AT$76,,$AI537), INDEX($AU$72:$BA$76,,$AH537), 1 / ($BB$72:$BB$76*BQ537 + (1-$BB$72:$BB$76)*BM537), N($AQ$72:$AQ$76&gt;$AO537)),
SUMPRODUCT(INDEX($AR$67:$AT$76,,$AI537), INDEX($AU$67:$BA$76,,$AH537), 1 / ($BC$67:$BC$76*BQ537 + (1-$BC$67:$BC$76)*BM537), N($AQ$67:$AQ$76&gt;$AO537))
) / 1000</f>
        <v>0</v>
      </c>
      <c r="BS537" s="232">
        <f t="shared" si="606"/>
        <v>25</v>
      </c>
      <c r="BT537" s="230">
        <f t="shared" si="583"/>
        <v>38</v>
      </c>
      <c r="BU537" s="235">
        <f t="shared" si="584"/>
        <v>3.792954545454545</v>
      </c>
      <c r="BV537" s="235" cm="1">
        <f t="array" ref="BV537">$BI537 * IF($AH537&lt;=2,
SUMPRODUCT(INDEX($AR$67:$AT$71,,$AI537), INDEX($AU$67:$BA$71,,$AH537), 1 / ($BB$67:$BB$71*BU537 + (1-$BB$67:$BB$71)*BQ537), N($AQ$67:$AQ$71&gt;$AO537)),
SUMPRODUCT(INDEX($AR$57:$AT$66,,$AI537), INDEX($AU$57:$BA$66,,$AH537), 1 / ($BC$57:$BC$66*BU537 + (1-$BC$57:$BC$66)*BQ537), N($AQ$57:$AQ$66&gt;$AO537))
) / 1000</f>
        <v>0</v>
      </c>
      <c r="BW537" s="232">
        <f t="shared" si="607"/>
        <v>20</v>
      </c>
      <c r="BX537" s="230">
        <f t="shared" si="585"/>
        <v>33</v>
      </c>
      <c r="BY537" s="235">
        <f t="shared" si="586"/>
        <v>4.4702678571428569</v>
      </c>
      <c r="BZ537" s="235" cm="1">
        <f t="array" ref="BZ537">$BI537 * IF($AH537&lt;=2,
SUMPRODUCT(INDEX($AR$62:$AT$66,,$AI537), INDEX($AU$62:$BA$66,,$AH537), 1 / ($BB$62:$BB$66*BY537 + (1-$BB$62:$BB$66)*BU537), N($AQ$62:$AQ$66&gt;$AO537)),
SUMPRODUCT(INDEX($AR$47:$AT$56,,$AI537), INDEX($AU$47:$BA$56,,$AH537), 1 / ($BC$47:$BC$56*BY537 + (1-$BC$47:$BC$56)*BU537), N($AQ$47:$AQ$56&gt;$AO537))
) / 1000</f>
        <v>0</v>
      </c>
      <c r="CA537" s="235" cm="1">
        <f t="array" ref="CA537">$BI537 * IF($AH537&lt;=2,
SUMPRODUCT(INDEX($AR$23:$AT$61,,$AI537), INDEX($AU$23:$BA$61,,$AH537), 1 / ($BB$23:$BB$61*BY537), N($AQ$23:$AQ$61&gt;$AO537)),
SUMPRODUCT(INDEX($AR$23:$AT$46,,$AI537), INDEX($AU$23:$BA$46,,$AH537), 1 / ($BC$23:$BC$46*BY537), N($AQ$23:$AQ$46&gt;$AO537))
) / 1000</f>
        <v>0</v>
      </c>
      <c r="CB537" s="230">
        <f t="shared" si="587"/>
        <v>0</v>
      </c>
      <c r="CC537" s="238"/>
      <c r="CD537" s="229" cm="1">
        <f t="array" ref="CD537">IF(ISBLANK(Y537), INDEX(Use, $AH537, 4) - AN537*INDEX(Use, $AH537, 6) - (Q537-X537), Y537)</f>
        <v>7</v>
      </c>
      <c r="CE537" s="229">
        <f t="shared" si="588"/>
        <v>32</v>
      </c>
      <c r="CF537" s="230">
        <f t="shared" si="589"/>
        <v>0</v>
      </c>
      <c r="CG537" s="229">
        <v>35</v>
      </c>
      <c r="CH537" s="230">
        <f t="shared" si="590"/>
        <v>48</v>
      </c>
      <c r="CI537" s="235">
        <f t="shared" si="591"/>
        <v>3.0748170731707316</v>
      </c>
      <c r="CJ537" s="235" cm="1">
        <f t="array" ref="CJ537">$BI537 * SUMPRODUCT(INDEX($AR$77:$AT$82,,$AI537),INDEX($AU$77:$BA$82,,$AH537), N($AQ$77:$AQ$82&gt;$AO537)) / CI537 / 1000</f>
        <v>0</v>
      </c>
      <c r="CK537" s="232">
        <f t="shared" si="608"/>
        <v>30</v>
      </c>
      <c r="CL537" s="230">
        <f t="shared" si="592"/>
        <v>43</v>
      </c>
      <c r="CM537" s="235">
        <f t="shared" si="593"/>
        <v>3.5018750000000001</v>
      </c>
      <c r="CN537" s="235" cm="1">
        <f t="array" ref="CN537">$BI537 * IF($AH537&lt;=2,
SUMPRODUCT(INDEX($AR$72:$AT$76,,$AI537), INDEX($AU$72:$BA$76,,$AH537), 1 / ($BB$72:$BB$76*CM537 + (1-$BB$72:$BB$76)*CI537), N($AQ$72:$AQ$76&gt;$AO537)),
SUMPRODUCT(INDEX($AR$67:$AT$76,,$AI537), INDEX($AU$67:$BA$76,,$AH537), 1 / ($BC$67:$BC$76*CM537 + (1-$BC$67:$BC$76)*CI537), N($AQ$67:$AQ$76&gt;$AO537))
) / 1000</f>
        <v>0</v>
      </c>
      <c r="CO537" s="232">
        <f t="shared" si="609"/>
        <v>25</v>
      </c>
      <c r="CP537" s="230">
        <f t="shared" si="594"/>
        <v>38</v>
      </c>
      <c r="CQ537" s="235">
        <f t="shared" si="595"/>
        <v>4.0666935483870965</v>
      </c>
      <c r="CR537" s="235" cm="1">
        <f t="array" ref="CR537">$BI537 * IF($AH537&lt;=2,
SUMPRODUCT(INDEX($AR$67:$AT$71,,$AI537), INDEX($AU$67:$BA$71,,$AH537), 1 / ($BB$67:$BB$71*CQ537 + (1-$BB$67:$BB$71)*CM537), N($AQ$67:$AQ$71&gt;$AO537)),
SUMPRODUCT(INDEX($AR$57:$AT$66,,$AI537), INDEX($AU$57:$BA$66,,$AH537), 1 / ($BC$57:$BC$66*CQ537 + (1-$BC$57:$BC$66)*CM537), N($AQ$57:$AQ$66&gt;$AO537))
) / 1000</f>
        <v>0</v>
      </c>
      <c r="CS537" s="232">
        <f t="shared" si="610"/>
        <v>20</v>
      </c>
      <c r="CT537" s="230">
        <f t="shared" si="596"/>
        <v>33</v>
      </c>
      <c r="CU537" s="235">
        <f t="shared" si="597"/>
        <v>4.8487499999999999</v>
      </c>
      <c r="CV537" s="235" cm="1">
        <f t="array" ref="CV537">$BI537 * IF($AH537&lt;=2,
SUMPRODUCT(INDEX($AR$62:$AT$66,,$AI537), INDEX($AU$62:$BA$66,,$AH537), 1 / ($BB$62:$BB$66*CU537 + (1-$BB$62:$BB$66)*CQ537), N($AQ$62:$AQ$66&gt;$AO537)),
SUMPRODUCT(INDEX($AR$47:$AT$56,,$AI537), INDEX($AU$47:$BA$56,,$AH537), 1 / ($BC$47:$BC$56*CU537 + (1-$BC$47:$BC$56)*CQ537), N($AQ$47:$AQ$56&gt;$AO537))
) / 1000</f>
        <v>0</v>
      </c>
      <c r="CW537" s="235" cm="1">
        <f t="array" ref="CW537">$BI537 * IF($AH537&lt;=2,
SUMPRODUCT(INDEX($AR$23:$AT$61,,$AI537), INDEX($AU$23:$BA$61,,$AH537), 1 / ($BB$23:$BB$61*CU537), N($AQ$23:$AQ$61&gt;$AO537)),
SUMPRODUCT(INDEX($AR$23:$AT$46,,$AI537), INDEX($AU$23:$BA$46,,$AH537), 1 / ($BC$23:$BC$46*CU537), N($AQ$23:$AQ$46&gt;$AO537))
) / 1000</f>
        <v>0</v>
      </c>
      <c r="CX537" s="230">
        <f t="shared" si="598"/>
        <v>0</v>
      </c>
      <c r="CY537" s="238"/>
    </row>
    <row r="538" spans="1:103" s="76" customFormat="1" ht="14.25" customHeight="1" x14ac:dyDescent="0.2">
      <c r="A538" s="231" t="b">
        <f t="shared" si="602"/>
        <v>0</v>
      </c>
      <c r="B538" s="245">
        <v>516</v>
      </c>
      <c r="C538" s="258"/>
      <c r="D538" s="258"/>
      <c r="E538" s="246"/>
      <c r="F538" s="247" t="str">
        <f>IF(ISBLANK(E538), "", VLOOKUP(E538, Z!$A$2:$C$4127, 3, FALSE))</f>
        <v/>
      </c>
      <c r="G538" s="248"/>
      <c r="H538" s="248"/>
      <c r="I538" s="249"/>
      <c r="J538" s="250"/>
      <c r="K538" s="259"/>
      <c r="L538" s="260"/>
      <c r="M538" s="252" t="str" cm="1">
        <f t="array" ref="M538">INDEX(Trad, 53, $A$20)</f>
        <v>Verschmutzt</v>
      </c>
      <c r="N538" s="253"/>
      <c r="O538" s="253"/>
      <c r="P538" s="254"/>
      <c r="Q538" s="251"/>
      <c r="R538" s="251"/>
      <c r="S538" s="264">
        <f t="shared" si="573"/>
        <v>0</v>
      </c>
      <c r="T538" s="252" t="str" cm="1">
        <f t="array" ref="T538">INDEX(Trad, 52, $A$20)</f>
        <v>Sauber</v>
      </c>
      <c r="U538" s="253"/>
      <c r="V538" s="253"/>
      <c r="W538" s="254"/>
      <c r="X538" s="251"/>
      <c r="Y538" s="251"/>
      <c r="Z538" s="264">
        <f t="shared" si="574"/>
        <v>0</v>
      </c>
      <c r="AA538" s="261"/>
      <c r="AB538" s="258"/>
      <c r="AC538" s="246"/>
      <c r="AD538" s="247" t="str">
        <f>IF(ISBLANK(AC538), "", VLOOKUP(AC538, Z!$A$2:$C$4127, 3, FALSE))</f>
        <v/>
      </c>
      <c r="AE538" s="262"/>
      <c r="AF538" s="263">
        <f t="shared" si="575"/>
        <v>0</v>
      </c>
      <c r="AG538" s="238"/>
      <c r="AH538" s="229">
        <f t="shared" si="599"/>
        <v>1</v>
      </c>
      <c r="AI538" s="229">
        <f t="shared" si="600"/>
        <v>1</v>
      </c>
      <c r="AJ538" s="229">
        <f t="shared" si="601"/>
        <v>0</v>
      </c>
      <c r="AK538" s="229">
        <v>0</v>
      </c>
      <c r="AL538" s="229">
        <v>0</v>
      </c>
      <c r="AM538" s="229">
        <v>1</v>
      </c>
      <c r="AN538" s="229">
        <v>0</v>
      </c>
      <c r="AO538" s="229">
        <f t="shared" si="576"/>
        <v>-100</v>
      </c>
      <c r="AP538" s="238"/>
      <c r="AQ538" s="255"/>
      <c r="AR538" s="255"/>
      <c r="AS538" s="256"/>
      <c r="AT538" s="256"/>
      <c r="AU538" s="256"/>
      <c r="AV538" s="256"/>
      <c r="AW538" s="256"/>
      <c r="AX538" s="256"/>
      <c r="AY538" s="256"/>
      <c r="AZ538" s="256"/>
      <c r="BA538" s="256"/>
      <c r="BB538" s="256"/>
      <c r="BC538" s="256"/>
      <c r="BD538" s="238"/>
      <c r="BE538" s="229" cm="1">
        <f t="array" ref="BE538">IF(ISBLANK(R538), INDEX(Use, $AH538, 4) - AM538*INDEX(Use, $AH538, 6), R538)</f>
        <v>5</v>
      </c>
      <c r="BF538" s="229">
        <f t="shared" si="577"/>
        <v>30</v>
      </c>
      <c r="BG538" s="229">
        <f t="shared" si="603"/>
        <v>13</v>
      </c>
      <c r="BH538" s="229">
        <f t="shared" si="604"/>
        <v>0</v>
      </c>
      <c r="BI538" s="234" cm="1">
        <f t="array" ref="BI538">K538/IF($L538&gt;0, INDEX($AU$23:$BA$77, $L538+20, $AH538), 1)</f>
        <v>0</v>
      </c>
      <c r="BJ538" s="230">
        <f t="shared" si="578"/>
        <v>0</v>
      </c>
      <c r="BK538" s="229">
        <v>35</v>
      </c>
      <c r="BL538" s="230">
        <f t="shared" si="579"/>
        <v>48</v>
      </c>
      <c r="BM538" s="235">
        <f t="shared" si="580"/>
        <v>2.9108720930232557</v>
      </c>
      <c r="BN538" s="235" cm="1">
        <f t="array" ref="BN538">$BI538 * SUMPRODUCT(INDEX($AR$77:$AT$82,,$AI538),INDEX($AU$77:$BA$82,,$AH538), N($AQ$77:$AQ$82&gt;$AO538)) / BM538 / 1000</f>
        <v>0</v>
      </c>
      <c r="BO538" s="232">
        <f t="shared" si="605"/>
        <v>30</v>
      </c>
      <c r="BP538" s="230">
        <f t="shared" si="581"/>
        <v>43</v>
      </c>
      <c r="BQ538" s="235">
        <f t="shared" si="582"/>
        <v>3.2938815789473681</v>
      </c>
      <c r="BR538" s="235" cm="1">
        <f t="array" ref="BR538">$BI538 * IF($AH538&lt;=2,
SUMPRODUCT(INDEX($AR$72:$AT$76,,$AI538), INDEX($AU$72:$BA$76,,$AH538), 1 / ($BB$72:$BB$76*BQ538 + (1-$BB$72:$BB$76)*BM538), N($AQ$72:$AQ$76&gt;$AO538)),
SUMPRODUCT(INDEX($AR$67:$AT$76,,$AI538), INDEX($AU$67:$BA$76,,$AH538), 1 / ($BC$67:$BC$76*BQ538 + (1-$BC$67:$BC$76)*BM538), N($AQ$67:$AQ$76&gt;$AO538))
) / 1000</f>
        <v>0</v>
      </c>
      <c r="BS538" s="232">
        <f t="shared" si="606"/>
        <v>25</v>
      </c>
      <c r="BT538" s="230">
        <f t="shared" si="583"/>
        <v>38</v>
      </c>
      <c r="BU538" s="235">
        <f t="shared" si="584"/>
        <v>3.792954545454545</v>
      </c>
      <c r="BV538" s="235" cm="1">
        <f t="array" ref="BV538">$BI538 * IF($AH538&lt;=2,
SUMPRODUCT(INDEX($AR$67:$AT$71,,$AI538), INDEX($AU$67:$BA$71,,$AH538), 1 / ($BB$67:$BB$71*BU538 + (1-$BB$67:$BB$71)*BQ538), N($AQ$67:$AQ$71&gt;$AO538)),
SUMPRODUCT(INDEX($AR$57:$AT$66,,$AI538), INDEX($AU$57:$BA$66,,$AH538), 1 / ($BC$57:$BC$66*BU538 + (1-$BC$57:$BC$66)*BQ538), N($AQ$57:$AQ$66&gt;$AO538))
) / 1000</f>
        <v>0</v>
      </c>
      <c r="BW538" s="232">
        <f t="shared" si="607"/>
        <v>20</v>
      </c>
      <c r="BX538" s="230">
        <f t="shared" si="585"/>
        <v>33</v>
      </c>
      <c r="BY538" s="235">
        <f t="shared" si="586"/>
        <v>4.4702678571428569</v>
      </c>
      <c r="BZ538" s="235" cm="1">
        <f t="array" ref="BZ538">$BI538 * IF($AH538&lt;=2,
SUMPRODUCT(INDEX($AR$62:$AT$66,,$AI538), INDEX($AU$62:$BA$66,,$AH538), 1 / ($BB$62:$BB$66*BY538 + (1-$BB$62:$BB$66)*BU538), N($AQ$62:$AQ$66&gt;$AO538)),
SUMPRODUCT(INDEX($AR$47:$AT$56,,$AI538), INDEX($AU$47:$BA$56,,$AH538), 1 / ($BC$47:$BC$56*BY538 + (1-$BC$47:$BC$56)*BU538), N($AQ$47:$AQ$56&gt;$AO538))
) / 1000</f>
        <v>0</v>
      </c>
      <c r="CA538" s="235" cm="1">
        <f t="array" ref="CA538">$BI538 * IF($AH538&lt;=2,
SUMPRODUCT(INDEX($AR$23:$AT$61,,$AI538), INDEX($AU$23:$BA$61,,$AH538), 1 / ($BB$23:$BB$61*BY538), N($AQ$23:$AQ$61&gt;$AO538)),
SUMPRODUCT(INDEX($AR$23:$AT$46,,$AI538), INDEX($AU$23:$BA$46,,$AH538), 1 / ($BC$23:$BC$46*BY538), N($AQ$23:$AQ$46&gt;$AO538))
) / 1000</f>
        <v>0</v>
      </c>
      <c r="CB538" s="230">
        <f t="shared" si="587"/>
        <v>0</v>
      </c>
      <c r="CC538" s="238"/>
      <c r="CD538" s="229" cm="1">
        <f t="array" ref="CD538">IF(ISBLANK(Y538), INDEX(Use, $AH538, 4) - AN538*INDEX(Use, $AH538, 6) - (Q538-X538), Y538)</f>
        <v>7</v>
      </c>
      <c r="CE538" s="229">
        <f t="shared" si="588"/>
        <v>32</v>
      </c>
      <c r="CF538" s="230">
        <f t="shared" si="589"/>
        <v>0</v>
      </c>
      <c r="CG538" s="229">
        <v>35</v>
      </c>
      <c r="CH538" s="230">
        <f t="shared" si="590"/>
        <v>48</v>
      </c>
      <c r="CI538" s="235">
        <f t="shared" si="591"/>
        <v>3.0748170731707316</v>
      </c>
      <c r="CJ538" s="235" cm="1">
        <f t="array" ref="CJ538">$BI538 * SUMPRODUCT(INDEX($AR$77:$AT$82,,$AI538),INDEX($AU$77:$BA$82,,$AH538), N($AQ$77:$AQ$82&gt;$AO538)) / CI538 / 1000</f>
        <v>0</v>
      </c>
      <c r="CK538" s="232">
        <f t="shared" si="608"/>
        <v>30</v>
      </c>
      <c r="CL538" s="230">
        <f t="shared" si="592"/>
        <v>43</v>
      </c>
      <c r="CM538" s="235">
        <f t="shared" si="593"/>
        <v>3.5018750000000001</v>
      </c>
      <c r="CN538" s="235" cm="1">
        <f t="array" ref="CN538">$BI538 * IF($AH538&lt;=2,
SUMPRODUCT(INDEX($AR$72:$AT$76,,$AI538), INDEX($AU$72:$BA$76,,$AH538), 1 / ($BB$72:$BB$76*CM538 + (1-$BB$72:$BB$76)*CI538), N($AQ$72:$AQ$76&gt;$AO538)),
SUMPRODUCT(INDEX($AR$67:$AT$76,,$AI538), INDEX($AU$67:$BA$76,,$AH538), 1 / ($BC$67:$BC$76*CM538 + (1-$BC$67:$BC$76)*CI538), N($AQ$67:$AQ$76&gt;$AO538))
) / 1000</f>
        <v>0</v>
      </c>
      <c r="CO538" s="232">
        <f t="shared" si="609"/>
        <v>25</v>
      </c>
      <c r="CP538" s="230">
        <f t="shared" si="594"/>
        <v>38</v>
      </c>
      <c r="CQ538" s="235">
        <f t="shared" si="595"/>
        <v>4.0666935483870965</v>
      </c>
      <c r="CR538" s="235" cm="1">
        <f t="array" ref="CR538">$BI538 * IF($AH538&lt;=2,
SUMPRODUCT(INDEX($AR$67:$AT$71,,$AI538), INDEX($AU$67:$BA$71,,$AH538), 1 / ($BB$67:$BB$71*CQ538 + (1-$BB$67:$BB$71)*CM538), N($AQ$67:$AQ$71&gt;$AO538)),
SUMPRODUCT(INDEX($AR$57:$AT$66,,$AI538), INDEX($AU$57:$BA$66,,$AH538), 1 / ($BC$57:$BC$66*CQ538 + (1-$BC$57:$BC$66)*CM538), N($AQ$57:$AQ$66&gt;$AO538))
) / 1000</f>
        <v>0</v>
      </c>
      <c r="CS538" s="232">
        <f t="shared" si="610"/>
        <v>20</v>
      </c>
      <c r="CT538" s="230">
        <f t="shared" si="596"/>
        <v>33</v>
      </c>
      <c r="CU538" s="235">
        <f t="shared" si="597"/>
        <v>4.8487499999999999</v>
      </c>
      <c r="CV538" s="235" cm="1">
        <f t="array" ref="CV538">$BI538 * IF($AH538&lt;=2,
SUMPRODUCT(INDEX($AR$62:$AT$66,,$AI538), INDEX($AU$62:$BA$66,,$AH538), 1 / ($BB$62:$BB$66*CU538 + (1-$BB$62:$BB$66)*CQ538), N($AQ$62:$AQ$66&gt;$AO538)),
SUMPRODUCT(INDEX($AR$47:$AT$56,,$AI538), INDEX($AU$47:$BA$56,,$AH538), 1 / ($BC$47:$BC$56*CU538 + (1-$BC$47:$BC$56)*CQ538), N($AQ$47:$AQ$56&gt;$AO538))
) / 1000</f>
        <v>0</v>
      </c>
      <c r="CW538" s="235" cm="1">
        <f t="array" ref="CW538">$BI538 * IF($AH538&lt;=2,
SUMPRODUCT(INDEX($AR$23:$AT$61,,$AI538), INDEX($AU$23:$BA$61,,$AH538), 1 / ($BB$23:$BB$61*CU538), N($AQ$23:$AQ$61&gt;$AO538)),
SUMPRODUCT(INDEX($AR$23:$AT$46,,$AI538), INDEX($AU$23:$BA$46,,$AH538), 1 / ($BC$23:$BC$46*CU538), N($AQ$23:$AQ$46&gt;$AO538))
) / 1000</f>
        <v>0</v>
      </c>
      <c r="CX538" s="230">
        <f t="shared" si="598"/>
        <v>0</v>
      </c>
      <c r="CY538" s="238"/>
    </row>
    <row r="539" spans="1:103" s="76" customFormat="1" ht="14.25" customHeight="1" x14ac:dyDescent="0.2">
      <c r="A539" s="231" t="b">
        <f t="shared" si="602"/>
        <v>0</v>
      </c>
      <c r="B539" s="245">
        <v>517</v>
      </c>
      <c r="C539" s="258"/>
      <c r="D539" s="258"/>
      <c r="E539" s="246"/>
      <c r="F539" s="247" t="str">
        <f>IF(ISBLANK(E539), "", VLOOKUP(E539, Z!$A$2:$C$4127, 3, FALSE))</f>
        <v/>
      </c>
      <c r="G539" s="248"/>
      <c r="H539" s="248"/>
      <c r="I539" s="249"/>
      <c r="J539" s="250"/>
      <c r="K539" s="259"/>
      <c r="L539" s="260"/>
      <c r="M539" s="252" t="str" cm="1">
        <f t="array" ref="M539">INDEX(Trad, 53, $A$20)</f>
        <v>Verschmutzt</v>
      </c>
      <c r="N539" s="253"/>
      <c r="O539" s="253"/>
      <c r="P539" s="254"/>
      <c r="Q539" s="251"/>
      <c r="R539" s="251"/>
      <c r="S539" s="264">
        <f t="shared" si="573"/>
        <v>0</v>
      </c>
      <c r="T539" s="252" t="str" cm="1">
        <f t="array" ref="T539">INDEX(Trad, 52, $A$20)</f>
        <v>Sauber</v>
      </c>
      <c r="U539" s="253"/>
      <c r="V539" s="253"/>
      <c r="W539" s="254"/>
      <c r="X539" s="251"/>
      <c r="Y539" s="251"/>
      <c r="Z539" s="264">
        <f t="shared" si="574"/>
        <v>0</v>
      </c>
      <c r="AA539" s="261"/>
      <c r="AB539" s="258"/>
      <c r="AC539" s="246"/>
      <c r="AD539" s="247" t="str">
        <f>IF(ISBLANK(AC539), "", VLOOKUP(AC539, Z!$A$2:$C$4127, 3, FALSE))</f>
        <v/>
      </c>
      <c r="AE539" s="262"/>
      <c r="AF539" s="263">
        <f t="shared" si="575"/>
        <v>0</v>
      </c>
      <c r="AG539" s="238"/>
      <c r="AH539" s="229">
        <f t="shared" si="599"/>
        <v>1</v>
      </c>
      <c r="AI539" s="229">
        <f t="shared" si="600"/>
        <v>1</v>
      </c>
      <c r="AJ539" s="229">
        <f t="shared" si="601"/>
        <v>0</v>
      </c>
      <c r="AK539" s="229">
        <v>0</v>
      </c>
      <c r="AL539" s="229">
        <v>0</v>
      </c>
      <c r="AM539" s="229">
        <v>1</v>
      </c>
      <c r="AN539" s="229">
        <v>0</v>
      </c>
      <c r="AO539" s="229">
        <f t="shared" si="576"/>
        <v>-100</v>
      </c>
      <c r="AP539" s="238"/>
      <c r="AQ539" s="255"/>
      <c r="AR539" s="255"/>
      <c r="AS539" s="256"/>
      <c r="AT539" s="256"/>
      <c r="AU539" s="256"/>
      <c r="AV539" s="256"/>
      <c r="AW539" s="256"/>
      <c r="AX539" s="256"/>
      <c r="AY539" s="256"/>
      <c r="AZ539" s="256"/>
      <c r="BA539" s="256"/>
      <c r="BB539" s="256"/>
      <c r="BC539" s="256"/>
      <c r="BD539" s="238"/>
      <c r="BE539" s="229" cm="1">
        <f t="array" ref="BE539">IF(ISBLANK(R539), INDEX(Use, $AH539, 4) - AM539*INDEX(Use, $AH539, 6), R539)</f>
        <v>5</v>
      </c>
      <c r="BF539" s="229">
        <f t="shared" si="577"/>
        <v>30</v>
      </c>
      <c r="BG539" s="229">
        <f t="shared" si="603"/>
        <v>13</v>
      </c>
      <c r="BH539" s="229">
        <f t="shared" si="604"/>
        <v>0</v>
      </c>
      <c r="BI539" s="234" cm="1">
        <f t="array" ref="BI539">K539/IF($L539&gt;0, INDEX($AU$23:$BA$77, $L539+20, $AH539), 1)</f>
        <v>0</v>
      </c>
      <c r="BJ539" s="230">
        <f t="shared" si="578"/>
        <v>0</v>
      </c>
      <c r="BK539" s="229">
        <v>35</v>
      </c>
      <c r="BL539" s="230">
        <f t="shared" si="579"/>
        <v>48</v>
      </c>
      <c r="BM539" s="235">
        <f t="shared" si="580"/>
        <v>2.9108720930232557</v>
      </c>
      <c r="BN539" s="235" cm="1">
        <f t="array" ref="BN539">$BI539 * SUMPRODUCT(INDEX($AR$77:$AT$82,,$AI539),INDEX($AU$77:$BA$82,,$AH539), N($AQ$77:$AQ$82&gt;$AO539)) / BM539 / 1000</f>
        <v>0</v>
      </c>
      <c r="BO539" s="232">
        <f t="shared" si="605"/>
        <v>30</v>
      </c>
      <c r="BP539" s="230">
        <f t="shared" si="581"/>
        <v>43</v>
      </c>
      <c r="BQ539" s="235">
        <f t="shared" si="582"/>
        <v>3.2938815789473681</v>
      </c>
      <c r="BR539" s="235" cm="1">
        <f t="array" ref="BR539">$BI539 * IF($AH539&lt;=2,
SUMPRODUCT(INDEX($AR$72:$AT$76,,$AI539), INDEX($AU$72:$BA$76,,$AH539), 1 / ($BB$72:$BB$76*BQ539 + (1-$BB$72:$BB$76)*BM539), N($AQ$72:$AQ$76&gt;$AO539)),
SUMPRODUCT(INDEX($AR$67:$AT$76,,$AI539), INDEX($AU$67:$BA$76,,$AH539), 1 / ($BC$67:$BC$76*BQ539 + (1-$BC$67:$BC$76)*BM539), N($AQ$67:$AQ$76&gt;$AO539))
) / 1000</f>
        <v>0</v>
      </c>
      <c r="BS539" s="232">
        <f t="shared" si="606"/>
        <v>25</v>
      </c>
      <c r="BT539" s="230">
        <f t="shared" si="583"/>
        <v>38</v>
      </c>
      <c r="BU539" s="235">
        <f t="shared" si="584"/>
        <v>3.792954545454545</v>
      </c>
      <c r="BV539" s="235" cm="1">
        <f t="array" ref="BV539">$BI539 * IF($AH539&lt;=2,
SUMPRODUCT(INDEX($AR$67:$AT$71,,$AI539), INDEX($AU$67:$BA$71,,$AH539), 1 / ($BB$67:$BB$71*BU539 + (1-$BB$67:$BB$71)*BQ539), N($AQ$67:$AQ$71&gt;$AO539)),
SUMPRODUCT(INDEX($AR$57:$AT$66,,$AI539), INDEX($AU$57:$BA$66,,$AH539), 1 / ($BC$57:$BC$66*BU539 + (1-$BC$57:$BC$66)*BQ539), N($AQ$57:$AQ$66&gt;$AO539))
) / 1000</f>
        <v>0</v>
      </c>
      <c r="BW539" s="232">
        <f t="shared" si="607"/>
        <v>20</v>
      </c>
      <c r="BX539" s="230">
        <f t="shared" si="585"/>
        <v>33</v>
      </c>
      <c r="BY539" s="235">
        <f t="shared" si="586"/>
        <v>4.4702678571428569</v>
      </c>
      <c r="BZ539" s="235" cm="1">
        <f t="array" ref="BZ539">$BI539 * IF($AH539&lt;=2,
SUMPRODUCT(INDEX($AR$62:$AT$66,,$AI539), INDEX($AU$62:$BA$66,,$AH539), 1 / ($BB$62:$BB$66*BY539 + (1-$BB$62:$BB$66)*BU539), N($AQ$62:$AQ$66&gt;$AO539)),
SUMPRODUCT(INDEX($AR$47:$AT$56,,$AI539), INDEX($AU$47:$BA$56,,$AH539), 1 / ($BC$47:$BC$56*BY539 + (1-$BC$47:$BC$56)*BU539), N($AQ$47:$AQ$56&gt;$AO539))
) / 1000</f>
        <v>0</v>
      </c>
      <c r="CA539" s="235" cm="1">
        <f t="array" ref="CA539">$BI539 * IF($AH539&lt;=2,
SUMPRODUCT(INDEX($AR$23:$AT$61,,$AI539), INDEX($AU$23:$BA$61,,$AH539), 1 / ($BB$23:$BB$61*BY539), N($AQ$23:$AQ$61&gt;$AO539)),
SUMPRODUCT(INDEX($AR$23:$AT$46,,$AI539), INDEX($AU$23:$BA$46,,$AH539), 1 / ($BC$23:$BC$46*BY539), N($AQ$23:$AQ$46&gt;$AO539))
) / 1000</f>
        <v>0</v>
      </c>
      <c r="CB539" s="230">
        <f t="shared" si="587"/>
        <v>0</v>
      </c>
      <c r="CC539" s="238"/>
      <c r="CD539" s="229" cm="1">
        <f t="array" ref="CD539">IF(ISBLANK(Y539), INDEX(Use, $AH539, 4) - AN539*INDEX(Use, $AH539, 6) - (Q539-X539), Y539)</f>
        <v>7</v>
      </c>
      <c r="CE539" s="229">
        <f t="shared" si="588"/>
        <v>32</v>
      </c>
      <c r="CF539" s="230">
        <f t="shared" si="589"/>
        <v>0</v>
      </c>
      <c r="CG539" s="229">
        <v>35</v>
      </c>
      <c r="CH539" s="230">
        <f t="shared" si="590"/>
        <v>48</v>
      </c>
      <c r="CI539" s="235">
        <f t="shared" si="591"/>
        <v>3.0748170731707316</v>
      </c>
      <c r="CJ539" s="235" cm="1">
        <f t="array" ref="CJ539">$BI539 * SUMPRODUCT(INDEX($AR$77:$AT$82,,$AI539),INDEX($AU$77:$BA$82,,$AH539), N($AQ$77:$AQ$82&gt;$AO539)) / CI539 / 1000</f>
        <v>0</v>
      </c>
      <c r="CK539" s="232">
        <f t="shared" si="608"/>
        <v>30</v>
      </c>
      <c r="CL539" s="230">
        <f t="shared" si="592"/>
        <v>43</v>
      </c>
      <c r="CM539" s="235">
        <f t="shared" si="593"/>
        <v>3.5018750000000001</v>
      </c>
      <c r="CN539" s="235" cm="1">
        <f t="array" ref="CN539">$BI539 * IF($AH539&lt;=2,
SUMPRODUCT(INDEX($AR$72:$AT$76,,$AI539), INDEX($AU$72:$BA$76,,$AH539), 1 / ($BB$72:$BB$76*CM539 + (1-$BB$72:$BB$76)*CI539), N($AQ$72:$AQ$76&gt;$AO539)),
SUMPRODUCT(INDEX($AR$67:$AT$76,,$AI539), INDEX($AU$67:$BA$76,,$AH539), 1 / ($BC$67:$BC$76*CM539 + (1-$BC$67:$BC$76)*CI539), N($AQ$67:$AQ$76&gt;$AO539))
) / 1000</f>
        <v>0</v>
      </c>
      <c r="CO539" s="232">
        <f t="shared" si="609"/>
        <v>25</v>
      </c>
      <c r="CP539" s="230">
        <f t="shared" si="594"/>
        <v>38</v>
      </c>
      <c r="CQ539" s="235">
        <f t="shared" si="595"/>
        <v>4.0666935483870965</v>
      </c>
      <c r="CR539" s="235" cm="1">
        <f t="array" ref="CR539">$BI539 * IF($AH539&lt;=2,
SUMPRODUCT(INDEX($AR$67:$AT$71,,$AI539), INDEX($AU$67:$BA$71,,$AH539), 1 / ($BB$67:$BB$71*CQ539 + (1-$BB$67:$BB$71)*CM539), N($AQ$67:$AQ$71&gt;$AO539)),
SUMPRODUCT(INDEX($AR$57:$AT$66,,$AI539), INDEX($AU$57:$BA$66,,$AH539), 1 / ($BC$57:$BC$66*CQ539 + (1-$BC$57:$BC$66)*CM539), N($AQ$57:$AQ$66&gt;$AO539))
) / 1000</f>
        <v>0</v>
      </c>
      <c r="CS539" s="232">
        <f t="shared" si="610"/>
        <v>20</v>
      </c>
      <c r="CT539" s="230">
        <f t="shared" si="596"/>
        <v>33</v>
      </c>
      <c r="CU539" s="235">
        <f t="shared" si="597"/>
        <v>4.8487499999999999</v>
      </c>
      <c r="CV539" s="235" cm="1">
        <f t="array" ref="CV539">$BI539 * IF($AH539&lt;=2,
SUMPRODUCT(INDEX($AR$62:$AT$66,,$AI539), INDEX($AU$62:$BA$66,,$AH539), 1 / ($BB$62:$BB$66*CU539 + (1-$BB$62:$BB$66)*CQ539), N($AQ$62:$AQ$66&gt;$AO539)),
SUMPRODUCT(INDEX($AR$47:$AT$56,,$AI539), INDEX($AU$47:$BA$56,,$AH539), 1 / ($BC$47:$BC$56*CU539 + (1-$BC$47:$BC$56)*CQ539), N($AQ$47:$AQ$56&gt;$AO539))
) / 1000</f>
        <v>0</v>
      </c>
      <c r="CW539" s="235" cm="1">
        <f t="array" ref="CW539">$BI539 * IF($AH539&lt;=2,
SUMPRODUCT(INDEX($AR$23:$AT$61,,$AI539), INDEX($AU$23:$BA$61,,$AH539), 1 / ($BB$23:$BB$61*CU539), N($AQ$23:$AQ$61&gt;$AO539)),
SUMPRODUCT(INDEX($AR$23:$AT$46,,$AI539), INDEX($AU$23:$BA$46,,$AH539), 1 / ($BC$23:$BC$46*CU539), N($AQ$23:$AQ$46&gt;$AO539))
) / 1000</f>
        <v>0</v>
      </c>
      <c r="CX539" s="230">
        <f t="shared" si="598"/>
        <v>0</v>
      </c>
      <c r="CY539" s="238"/>
    </row>
    <row r="540" spans="1:103" s="76" customFormat="1" ht="14.25" customHeight="1" x14ac:dyDescent="0.2">
      <c r="A540" s="231" t="b">
        <f t="shared" si="602"/>
        <v>0</v>
      </c>
      <c r="B540" s="245">
        <v>518</v>
      </c>
      <c r="C540" s="258"/>
      <c r="D540" s="258"/>
      <c r="E540" s="246"/>
      <c r="F540" s="247" t="str">
        <f>IF(ISBLANK(E540), "", VLOOKUP(E540, Z!$A$2:$C$4127, 3, FALSE))</f>
        <v/>
      </c>
      <c r="G540" s="248"/>
      <c r="H540" s="248"/>
      <c r="I540" s="249"/>
      <c r="J540" s="250"/>
      <c r="K540" s="259"/>
      <c r="L540" s="260"/>
      <c r="M540" s="252" t="str" cm="1">
        <f t="array" ref="M540">INDEX(Trad, 53, $A$20)</f>
        <v>Verschmutzt</v>
      </c>
      <c r="N540" s="253"/>
      <c r="O540" s="253"/>
      <c r="P540" s="254"/>
      <c r="Q540" s="251"/>
      <c r="R540" s="251"/>
      <c r="S540" s="264">
        <f t="shared" si="573"/>
        <v>0</v>
      </c>
      <c r="T540" s="252" t="str" cm="1">
        <f t="array" ref="T540">INDEX(Trad, 52, $A$20)</f>
        <v>Sauber</v>
      </c>
      <c r="U540" s="253"/>
      <c r="V540" s="253"/>
      <c r="W540" s="254"/>
      <c r="X540" s="251"/>
      <c r="Y540" s="251"/>
      <c r="Z540" s="264">
        <f t="shared" si="574"/>
        <v>0</v>
      </c>
      <c r="AA540" s="261"/>
      <c r="AB540" s="258"/>
      <c r="AC540" s="246"/>
      <c r="AD540" s="247" t="str">
        <f>IF(ISBLANK(AC540), "", VLOOKUP(AC540, Z!$A$2:$C$4127, 3, FALSE))</f>
        <v/>
      </c>
      <c r="AE540" s="262"/>
      <c r="AF540" s="263">
        <f t="shared" si="575"/>
        <v>0</v>
      </c>
      <c r="AG540" s="238"/>
      <c r="AH540" s="229">
        <f t="shared" si="599"/>
        <v>1</v>
      </c>
      <c r="AI540" s="229">
        <f t="shared" si="600"/>
        <v>1</v>
      </c>
      <c r="AJ540" s="229">
        <f t="shared" si="601"/>
        <v>0</v>
      </c>
      <c r="AK540" s="229">
        <v>0</v>
      </c>
      <c r="AL540" s="229">
        <v>0</v>
      </c>
      <c r="AM540" s="229">
        <v>1</v>
      </c>
      <c r="AN540" s="229">
        <v>0</v>
      </c>
      <c r="AO540" s="229">
        <f t="shared" si="576"/>
        <v>-100</v>
      </c>
      <c r="AP540" s="238"/>
      <c r="AQ540" s="255"/>
      <c r="AR540" s="255"/>
      <c r="AS540" s="256"/>
      <c r="AT540" s="256"/>
      <c r="AU540" s="256"/>
      <c r="AV540" s="256"/>
      <c r="AW540" s="256"/>
      <c r="AX540" s="256"/>
      <c r="AY540" s="256"/>
      <c r="AZ540" s="256"/>
      <c r="BA540" s="256"/>
      <c r="BB540" s="256"/>
      <c r="BC540" s="256"/>
      <c r="BD540" s="238"/>
      <c r="BE540" s="229" cm="1">
        <f t="array" ref="BE540">IF(ISBLANK(R540), INDEX(Use, $AH540, 4) - AM540*INDEX(Use, $AH540, 6), R540)</f>
        <v>5</v>
      </c>
      <c r="BF540" s="229">
        <f t="shared" si="577"/>
        <v>30</v>
      </c>
      <c r="BG540" s="229">
        <f t="shared" si="603"/>
        <v>13</v>
      </c>
      <c r="BH540" s="229">
        <f t="shared" si="604"/>
        <v>0</v>
      </c>
      <c r="BI540" s="234" cm="1">
        <f t="array" ref="BI540">K540/IF($L540&gt;0, INDEX($AU$23:$BA$77, $L540+20, $AH540), 1)</f>
        <v>0</v>
      </c>
      <c r="BJ540" s="230">
        <f t="shared" si="578"/>
        <v>0</v>
      </c>
      <c r="BK540" s="229">
        <v>35</v>
      </c>
      <c r="BL540" s="230">
        <f t="shared" si="579"/>
        <v>48</v>
      </c>
      <c r="BM540" s="235">
        <f t="shared" si="580"/>
        <v>2.9108720930232557</v>
      </c>
      <c r="BN540" s="235" cm="1">
        <f t="array" ref="BN540">$BI540 * SUMPRODUCT(INDEX($AR$77:$AT$82,,$AI540),INDEX($AU$77:$BA$82,,$AH540), N($AQ$77:$AQ$82&gt;$AO540)) / BM540 / 1000</f>
        <v>0</v>
      </c>
      <c r="BO540" s="232">
        <f t="shared" si="605"/>
        <v>30</v>
      </c>
      <c r="BP540" s="230">
        <f t="shared" si="581"/>
        <v>43</v>
      </c>
      <c r="BQ540" s="235">
        <f t="shared" si="582"/>
        <v>3.2938815789473681</v>
      </c>
      <c r="BR540" s="235" cm="1">
        <f t="array" ref="BR540">$BI540 * IF($AH540&lt;=2,
SUMPRODUCT(INDEX($AR$72:$AT$76,,$AI540), INDEX($AU$72:$BA$76,,$AH540), 1 / ($BB$72:$BB$76*BQ540 + (1-$BB$72:$BB$76)*BM540), N($AQ$72:$AQ$76&gt;$AO540)),
SUMPRODUCT(INDEX($AR$67:$AT$76,,$AI540), INDEX($AU$67:$BA$76,,$AH540), 1 / ($BC$67:$BC$76*BQ540 + (1-$BC$67:$BC$76)*BM540), N($AQ$67:$AQ$76&gt;$AO540))
) / 1000</f>
        <v>0</v>
      </c>
      <c r="BS540" s="232">
        <f t="shared" si="606"/>
        <v>25</v>
      </c>
      <c r="BT540" s="230">
        <f t="shared" si="583"/>
        <v>38</v>
      </c>
      <c r="BU540" s="235">
        <f t="shared" si="584"/>
        <v>3.792954545454545</v>
      </c>
      <c r="BV540" s="235" cm="1">
        <f t="array" ref="BV540">$BI540 * IF($AH540&lt;=2,
SUMPRODUCT(INDEX($AR$67:$AT$71,,$AI540), INDEX($AU$67:$BA$71,,$AH540), 1 / ($BB$67:$BB$71*BU540 + (1-$BB$67:$BB$71)*BQ540), N($AQ$67:$AQ$71&gt;$AO540)),
SUMPRODUCT(INDEX($AR$57:$AT$66,,$AI540), INDEX($AU$57:$BA$66,,$AH540), 1 / ($BC$57:$BC$66*BU540 + (1-$BC$57:$BC$66)*BQ540), N($AQ$57:$AQ$66&gt;$AO540))
) / 1000</f>
        <v>0</v>
      </c>
      <c r="BW540" s="232">
        <f t="shared" si="607"/>
        <v>20</v>
      </c>
      <c r="BX540" s="230">
        <f t="shared" si="585"/>
        <v>33</v>
      </c>
      <c r="BY540" s="235">
        <f t="shared" si="586"/>
        <v>4.4702678571428569</v>
      </c>
      <c r="BZ540" s="235" cm="1">
        <f t="array" ref="BZ540">$BI540 * IF($AH540&lt;=2,
SUMPRODUCT(INDEX($AR$62:$AT$66,,$AI540), INDEX($AU$62:$BA$66,,$AH540), 1 / ($BB$62:$BB$66*BY540 + (1-$BB$62:$BB$66)*BU540), N($AQ$62:$AQ$66&gt;$AO540)),
SUMPRODUCT(INDEX($AR$47:$AT$56,,$AI540), INDEX($AU$47:$BA$56,,$AH540), 1 / ($BC$47:$BC$56*BY540 + (1-$BC$47:$BC$56)*BU540), N($AQ$47:$AQ$56&gt;$AO540))
) / 1000</f>
        <v>0</v>
      </c>
      <c r="CA540" s="235" cm="1">
        <f t="array" ref="CA540">$BI540 * IF($AH540&lt;=2,
SUMPRODUCT(INDEX($AR$23:$AT$61,,$AI540), INDEX($AU$23:$BA$61,,$AH540), 1 / ($BB$23:$BB$61*BY540), N($AQ$23:$AQ$61&gt;$AO540)),
SUMPRODUCT(INDEX($AR$23:$AT$46,,$AI540), INDEX($AU$23:$BA$46,,$AH540), 1 / ($BC$23:$BC$46*BY540), N($AQ$23:$AQ$46&gt;$AO540))
) / 1000</f>
        <v>0</v>
      </c>
      <c r="CB540" s="230">
        <f t="shared" si="587"/>
        <v>0</v>
      </c>
      <c r="CC540" s="238"/>
      <c r="CD540" s="229" cm="1">
        <f t="array" ref="CD540">IF(ISBLANK(Y540), INDEX(Use, $AH540, 4) - AN540*INDEX(Use, $AH540, 6) - (Q540-X540), Y540)</f>
        <v>7</v>
      </c>
      <c r="CE540" s="229">
        <f t="shared" si="588"/>
        <v>32</v>
      </c>
      <c r="CF540" s="230">
        <f t="shared" si="589"/>
        <v>0</v>
      </c>
      <c r="CG540" s="229">
        <v>35</v>
      </c>
      <c r="CH540" s="230">
        <f t="shared" si="590"/>
        <v>48</v>
      </c>
      <c r="CI540" s="235">
        <f t="shared" si="591"/>
        <v>3.0748170731707316</v>
      </c>
      <c r="CJ540" s="235" cm="1">
        <f t="array" ref="CJ540">$BI540 * SUMPRODUCT(INDEX($AR$77:$AT$82,,$AI540),INDEX($AU$77:$BA$82,,$AH540), N($AQ$77:$AQ$82&gt;$AO540)) / CI540 / 1000</f>
        <v>0</v>
      </c>
      <c r="CK540" s="232">
        <f t="shared" si="608"/>
        <v>30</v>
      </c>
      <c r="CL540" s="230">
        <f t="shared" si="592"/>
        <v>43</v>
      </c>
      <c r="CM540" s="235">
        <f t="shared" si="593"/>
        <v>3.5018750000000001</v>
      </c>
      <c r="CN540" s="235" cm="1">
        <f t="array" ref="CN540">$BI540 * IF($AH540&lt;=2,
SUMPRODUCT(INDEX($AR$72:$AT$76,,$AI540), INDEX($AU$72:$BA$76,,$AH540), 1 / ($BB$72:$BB$76*CM540 + (1-$BB$72:$BB$76)*CI540), N($AQ$72:$AQ$76&gt;$AO540)),
SUMPRODUCT(INDEX($AR$67:$AT$76,,$AI540), INDEX($AU$67:$BA$76,,$AH540), 1 / ($BC$67:$BC$76*CM540 + (1-$BC$67:$BC$76)*CI540), N($AQ$67:$AQ$76&gt;$AO540))
) / 1000</f>
        <v>0</v>
      </c>
      <c r="CO540" s="232">
        <f t="shared" si="609"/>
        <v>25</v>
      </c>
      <c r="CP540" s="230">
        <f t="shared" si="594"/>
        <v>38</v>
      </c>
      <c r="CQ540" s="235">
        <f t="shared" si="595"/>
        <v>4.0666935483870965</v>
      </c>
      <c r="CR540" s="235" cm="1">
        <f t="array" ref="CR540">$BI540 * IF($AH540&lt;=2,
SUMPRODUCT(INDEX($AR$67:$AT$71,,$AI540), INDEX($AU$67:$BA$71,,$AH540), 1 / ($BB$67:$BB$71*CQ540 + (1-$BB$67:$BB$71)*CM540), N($AQ$67:$AQ$71&gt;$AO540)),
SUMPRODUCT(INDEX($AR$57:$AT$66,,$AI540), INDEX($AU$57:$BA$66,,$AH540), 1 / ($BC$57:$BC$66*CQ540 + (1-$BC$57:$BC$66)*CM540), N($AQ$57:$AQ$66&gt;$AO540))
) / 1000</f>
        <v>0</v>
      </c>
      <c r="CS540" s="232">
        <f t="shared" si="610"/>
        <v>20</v>
      </c>
      <c r="CT540" s="230">
        <f t="shared" si="596"/>
        <v>33</v>
      </c>
      <c r="CU540" s="235">
        <f t="shared" si="597"/>
        <v>4.8487499999999999</v>
      </c>
      <c r="CV540" s="235" cm="1">
        <f t="array" ref="CV540">$BI540 * IF($AH540&lt;=2,
SUMPRODUCT(INDEX($AR$62:$AT$66,,$AI540), INDEX($AU$62:$BA$66,,$AH540), 1 / ($BB$62:$BB$66*CU540 + (1-$BB$62:$BB$66)*CQ540), N($AQ$62:$AQ$66&gt;$AO540)),
SUMPRODUCT(INDEX($AR$47:$AT$56,,$AI540), INDEX($AU$47:$BA$56,,$AH540), 1 / ($BC$47:$BC$56*CU540 + (1-$BC$47:$BC$56)*CQ540), N($AQ$47:$AQ$56&gt;$AO540))
) / 1000</f>
        <v>0</v>
      </c>
      <c r="CW540" s="235" cm="1">
        <f t="array" ref="CW540">$BI540 * IF($AH540&lt;=2,
SUMPRODUCT(INDEX($AR$23:$AT$61,,$AI540), INDEX($AU$23:$BA$61,,$AH540), 1 / ($BB$23:$BB$61*CU540), N($AQ$23:$AQ$61&gt;$AO540)),
SUMPRODUCT(INDEX($AR$23:$AT$46,,$AI540), INDEX($AU$23:$BA$46,,$AH540), 1 / ($BC$23:$BC$46*CU540), N($AQ$23:$AQ$46&gt;$AO540))
) / 1000</f>
        <v>0</v>
      </c>
      <c r="CX540" s="230">
        <f t="shared" si="598"/>
        <v>0</v>
      </c>
      <c r="CY540" s="238"/>
    </row>
    <row r="541" spans="1:103" s="76" customFormat="1" ht="14.25" customHeight="1" x14ac:dyDescent="0.2">
      <c r="A541" s="231" t="b">
        <f t="shared" si="602"/>
        <v>0</v>
      </c>
      <c r="B541" s="245">
        <v>519</v>
      </c>
      <c r="C541" s="258"/>
      <c r="D541" s="258"/>
      <c r="E541" s="246"/>
      <c r="F541" s="247" t="str">
        <f>IF(ISBLANK(E541), "", VLOOKUP(E541, Z!$A$2:$C$4127, 3, FALSE))</f>
        <v/>
      </c>
      <c r="G541" s="248"/>
      <c r="H541" s="248"/>
      <c r="I541" s="249"/>
      <c r="J541" s="250"/>
      <c r="K541" s="259"/>
      <c r="L541" s="260"/>
      <c r="M541" s="252" t="str" cm="1">
        <f t="array" ref="M541">INDEX(Trad, 53, $A$20)</f>
        <v>Verschmutzt</v>
      </c>
      <c r="N541" s="253"/>
      <c r="O541" s="253"/>
      <c r="P541" s="254"/>
      <c r="Q541" s="251"/>
      <c r="R541" s="251"/>
      <c r="S541" s="264">
        <f t="shared" si="573"/>
        <v>0</v>
      </c>
      <c r="T541" s="252" t="str" cm="1">
        <f t="array" ref="T541">INDEX(Trad, 52, $A$20)</f>
        <v>Sauber</v>
      </c>
      <c r="U541" s="253"/>
      <c r="V541" s="253"/>
      <c r="W541" s="254"/>
      <c r="X541" s="251"/>
      <c r="Y541" s="251"/>
      <c r="Z541" s="264">
        <f t="shared" si="574"/>
        <v>0</v>
      </c>
      <c r="AA541" s="261"/>
      <c r="AB541" s="258"/>
      <c r="AC541" s="246"/>
      <c r="AD541" s="247" t="str">
        <f>IF(ISBLANK(AC541), "", VLOOKUP(AC541, Z!$A$2:$C$4127, 3, FALSE))</f>
        <v/>
      </c>
      <c r="AE541" s="262"/>
      <c r="AF541" s="263">
        <f t="shared" si="575"/>
        <v>0</v>
      </c>
      <c r="AG541" s="238"/>
      <c r="AH541" s="229">
        <f t="shared" si="599"/>
        <v>1</v>
      </c>
      <c r="AI541" s="229">
        <f t="shared" si="600"/>
        <v>1</v>
      </c>
      <c r="AJ541" s="229">
        <f t="shared" si="601"/>
        <v>0</v>
      </c>
      <c r="AK541" s="229">
        <v>0</v>
      </c>
      <c r="AL541" s="229">
        <v>0</v>
      </c>
      <c r="AM541" s="229">
        <v>1</v>
      </c>
      <c r="AN541" s="229">
        <v>0</v>
      </c>
      <c r="AO541" s="229">
        <f t="shared" si="576"/>
        <v>-100</v>
      </c>
      <c r="AP541" s="238"/>
      <c r="AQ541" s="255"/>
      <c r="AR541" s="255"/>
      <c r="AS541" s="256"/>
      <c r="AT541" s="256"/>
      <c r="AU541" s="256"/>
      <c r="AV541" s="256"/>
      <c r="AW541" s="256"/>
      <c r="AX541" s="256"/>
      <c r="AY541" s="256"/>
      <c r="AZ541" s="256"/>
      <c r="BA541" s="256"/>
      <c r="BB541" s="256"/>
      <c r="BC541" s="256"/>
      <c r="BD541" s="238"/>
      <c r="BE541" s="229" cm="1">
        <f t="array" ref="BE541">IF(ISBLANK(R541), INDEX(Use, $AH541, 4) - AM541*INDEX(Use, $AH541, 6), R541)</f>
        <v>5</v>
      </c>
      <c r="BF541" s="229">
        <f t="shared" si="577"/>
        <v>30</v>
      </c>
      <c r="BG541" s="229">
        <f t="shared" si="603"/>
        <v>13</v>
      </c>
      <c r="BH541" s="229">
        <f t="shared" si="604"/>
        <v>0</v>
      </c>
      <c r="BI541" s="234" cm="1">
        <f t="array" ref="BI541">K541/IF($L541&gt;0, INDEX($AU$23:$BA$77, $L541+20, $AH541), 1)</f>
        <v>0</v>
      </c>
      <c r="BJ541" s="230">
        <f t="shared" si="578"/>
        <v>0</v>
      </c>
      <c r="BK541" s="229">
        <v>35</v>
      </c>
      <c r="BL541" s="230">
        <f t="shared" si="579"/>
        <v>48</v>
      </c>
      <c r="BM541" s="235">
        <f t="shared" si="580"/>
        <v>2.9108720930232557</v>
      </c>
      <c r="BN541" s="235" cm="1">
        <f t="array" ref="BN541">$BI541 * SUMPRODUCT(INDEX($AR$77:$AT$82,,$AI541),INDEX($AU$77:$BA$82,,$AH541), N($AQ$77:$AQ$82&gt;$AO541)) / BM541 / 1000</f>
        <v>0</v>
      </c>
      <c r="BO541" s="232">
        <f t="shared" si="605"/>
        <v>30</v>
      </c>
      <c r="BP541" s="230">
        <f t="shared" si="581"/>
        <v>43</v>
      </c>
      <c r="BQ541" s="235">
        <f t="shared" si="582"/>
        <v>3.2938815789473681</v>
      </c>
      <c r="BR541" s="235" cm="1">
        <f t="array" ref="BR541">$BI541 * IF($AH541&lt;=2,
SUMPRODUCT(INDEX($AR$72:$AT$76,,$AI541), INDEX($AU$72:$BA$76,,$AH541), 1 / ($BB$72:$BB$76*BQ541 + (1-$BB$72:$BB$76)*BM541), N($AQ$72:$AQ$76&gt;$AO541)),
SUMPRODUCT(INDEX($AR$67:$AT$76,,$AI541), INDEX($AU$67:$BA$76,,$AH541), 1 / ($BC$67:$BC$76*BQ541 + (1-$BC$67:$BC$76)*BM541), N($AQ$67:$AQ$76&gt;$AO541))
) / 1000</f>
        <v>0</v>
      </c>
      <c r="BS541" s="232">
        <f t="shared" si="606"/>
        <v>25</v>
      </c>
      <c r="BT541" s="230">
        <f t="shared" si="583"/>
        <v>38</v>
      </c>
      <c r="BU541" s="235">
        <f t="shared" si="584"/>
        <v>3.792954545454545</v>
      </c>
      <c r="BV541" s="235" cm="1">
        <f t="array" ref="BV541">$BI541 * IF($AH541&lt;=2,
SUMPRODUCT(INDEX($AR$67:$AT$71,,$AI541), INDEX($AU$67:$BA$71,,$AH541), 1 / ($BB$67:$BB$71*BU541 + (1-$BB$67:$BB$71)*BQ541), N($AQ$67:$AQ$71&gt;$AO541)),
SUMPRODUCT(INDEX($AR$57:$AT$66,,$AI541), INDEX($AU$57:$BA$66,,$AH541), 1 / ($BC$57:$BC$66*BU541 + (1-$BC$57:$BC$66)*BQ541), N($AQ$57:$AQ$66&gt;$AO541))
) / 1000</f>
        <v>0</v>
      </c>
      <c r="BW541" s="232">
        <f t="shared" si="607"/>
        <v>20</v>
      </c>
      <c r="BX541" s="230">
        <f t="shared" si="585"/>
        <v>33</v>
      </c>
      <c r="BY541" s="235">
        <f t="shared" si="586"/>
        <v>4.4702678571428569</v>
      </c>
      <c r="BZ541" s="235" cm="1">
        <f t="array" ref="BZ541">$BI541 * IF($AH541&lt;=2,
SUMPRODUCT(INDEX($AR$62:$AT$66,,$AI541), INDEX($AU$62:$BA$66,,$AH541), 1 / ($BB$62:$BB$66*BY541 + (1-$BB$62:$BB$66)*BU541), N($AQ$62:$AQ$66&gt;$AO541)),
SUMPRODUCT(INDEX($AR$47:$AT$56,,$AI541), INDEX($AU$47:$BA$56,,$AH541), 1 / ($BC$47:$BC$56*BY541 + (1-$BC$47:$BC$56)*BU541), N($AQ$47:$AQ$56&gt;$AO541))
) / 1000</f>
        <v>0</v>
      </c>
      <c r="CA541" s="235" cm="1">
        <f t="array" ref="CA541">$BI541 * IF($AH541&lt;=2,
SUMPRODUCT(INDEX($AR$23:$AT$61,,$AI541), INDEX($AU$23:$BA$61,,$AH541), 1 / ($BB$23:$BB$61*BY541), N($AQ$23:$AQ$61&gt;$AO541)),
SUMPRODUCT(INDEX($AR$23:$AT$46,,$AI541), INDEX($AU$23:$BA$46,,$AH541), 1 / ($BC$23:$BC$46*BY541), N($AQ$23:$AQ$46&gt;$AO541))
) / 1000</f>
        <v>0</v>
      </c>
      <c r="CB541" s="230">
        <f t="shared" si="587"/>
        <v>0</v>
      </c>
      <c r="CC541" s="238"/>
      <c r="CD541" s="229" cm="1">
        <f t="array" ref="CD541">IF(ISBLANK(Y541), INDEX(Use, $AH541, 4) - AN541*INDEX(Use, $AH541, 6) - (Q541-X541), Y541)</f>
        <v>7</v>
      </c>
      <c r="CE541" s="229">
        <f t="shared" si="588"/>
        <v>32</v>
      </c>
      <c r="CF541" s="230">
        <f t="shared" si="589"/>
        <v>0</v>
      </c>
      <c r="CG541" s="229">
        <v>35</v>
      </c>
      <c r="CH541" s="230">
        <f t="shared" si="590"/>
        <v>48</v>
      </c>
      <c r="CI541" s="235">
        <f t="shared" si="591"/>
        <v>3.0748170731707316</v>
      </c>
      <c r="CJ541" s="235" cm="1">
        <f t="array" ref="CJ541">$BI541 * SUMPRODUCT(INDEX($AR$77:$AT$82,,$AI541),INDEX($AU$77:$BA$82,,$AH541), N($AQ$77:$AQ$82&gt;$AO541)) / CI541 / 1000</f>
        <v>0</v>
      </c>
      <c r="CK541" s="232">
        <f t="shared" si="608"/>
        <v>30</v>
      </c>
      <c r="CL541" s="230">
        <f t="shared" si="592"/>
        <v>43</v>
      </c>
      <c r="CM541" s="235">
        <f t="shared" si="593"/>
        <v>3.5018750000000001</v>
      </c>
      <c r="CN541" s="235" cm="1">
        <f t="array" ref="CN541">$BI541 * IF($AH541&lt;=2,
SUMPRODUCT(INDEX($AR$72:$AT$76,,$AI541), INDEX($AU$72:$BA$76,,$AH541), 1 / ($BB$72:$BB$76*CM541 + (1-$BB$72:$BB$76)*CI541), N($AQ$72:$AQ$76&gt;$AO541)),
SUMPRODUCT(INDEX($AR$67:$AT$76,,$AI541), INDEX($AU$67:$BA$76,,$AH541), 1 / ($BC$67:$BC$76*CM541 + (1-$BC$67:$BC$76)*CI541), N($AQ$67:$AQ$76&gt;$AO541))
) / 1000</f>
        <v>0</v>
      </c>
      <c r="CO541" s="232">
        <f t="shared" si="609"/>
        <v>25</v>
      </c>
      <c r="CP541" s="230">
        <f t="shared" si="594"/>
        <v>38</v>
      </c>
      <c r="CQ541" s="235">
        <f t="shared" si="595"/>
        <v>4.0666935483870965</v>
      </c>
      <c r="CR541" s="235" cm="1">
        <f t="array" ref="CR541">$BI541 * IF($AH541&lt;=2,
SUMPRODUCT(INDEX($AR$67:$AT$71,,$AI541), INDEX($AU$67:$BA$71,,$AH541), 1 / ($BB$67:$BB$71*CQ541 + (1-$BB$67:$BB$71)*CM541), N($AQ$67:$AQ$71&gt;$AO541)),
SUMPRODUCT(INDEX($AR$57:$AT$66,,$AI541), INDEX($AU$57:$BA$66,,$AH541), 1 / ($BC$57:$BC$66*CQ541 + (1-$BC$57:$BC$66)*CM541), N($AQ$57:$AQ$66&gt;$AO541))
) / 1000</f>
        <v>0</v>
      </c>
      <c r="CS541" s="232">
        <f t="shared" si="610"/>
        <v>20</v>
      </c>
      <c r="CT541" s="230">
        <f t="shared" si="596"/>
        <v>33</v>
      </c>
      <c r="CU541" s="235">
        <f t="shared" si="597"/>
        <v>4.8487499999999999</v>
      </c>
      <c r="CV541" s="235" cm="1">
        <f t="array" ref="CV541">$BI541 * IF($AH541&lt;=2,
SUMPRODUCT(INDEX($AR$62:$AT$66,,$AI541), INDEX($AU$62:$BA$66,,$AH541), 1 / ($BB$62:$BB$66*CU541 + (1-$BB$62:$BB$66)*CQ541), N($AQ$62:$AQ$66&gt;$AO541)),
SUMPRODUCT(INDEX($AR$47:$AT$56,,$AI541), INDEX($AU$47:$BA$56,,$AH541), 1 / ($BC$47:$BC$56*CU541 + (1-$BC$47:$BC$56)*CQ541), N($AQ$47:$AQ$56&gt;$AO541))
) / 1000</f>
        <v>0</v>
      </c>
      <c r="CW541" s="235" cm="1">
        <f t="array" ref="CW541">$BI541 * IF($AH541&lt;=2,
SUMPRODUCT(INDEX($AR$23:$AT$61,,$AI541), INDEX($AU$23:$BA$61,,$AH541), 1 / ($BB$23:$BB$61*CU541), N($AQ$23:$AQ$61&gt;$AO541)),
SUMPRODUCT(INDEX($AR$23:$AT$46,,$AI541), INDEX($AU$23:$BA$46,,$AH541), 1 / ($BC$23:$BC$46*CU541), N($AQ$23:$AQ$46&gt;$AO541))
) / 1000</f>
        <v>0</v>
      </c>
      <c r="CX541" s="230">
        <f t="shared" si="598"/>
        <v>0</v>
      </c>
      <c r="CY541" s="238"/>
    </row>
    <row r="542" spans="1:103" s="76" customFormat="1" ht="14.25" customHeight="1" x14ac:dyDescent="0.2">
      <c r="A542" s="231" t="b">
        <f t="shared" si="602"/>
        <v>0</v>
      </c>
      <c r="B542" s="245">
        <v>520</v>
      </c>
      <c r="C542" s="258"/>
      <c r="D542" s="258"/>
      <c r="E542" s="246"/>
      <c r="F542" s="247" t="str">
        <f>IF(ISBLANK(E542), "", VLOOKUP(E542, Z!$A$2:$C$4127, 3, FALSE))</f>
        <v/>
      </c>
      <c r="G542" s="248"/>
      <c r="H542" s="248"/>
      <c r="I542" s="249"/>
      <c r="J542" s="250"/>
      <c r="K542" s="259"/>
      <c r="L542" s="260"/>
      <c r="M542" s="252" t="str" cm="1">
        <f t="array" ref="M542">INDEX(Trad, 53, $A$20)</f>
        <v>Verschmutzt</v>
      </c>
      <c r="N542" s="253"/>
      <c r="O542" s="253"/>
      <c r="P542" s="254"/>
      <c r="Q542" s="251"/>
      <c r="R542" s="251"/>
      <c r="S542" s="264">
        <f t="shared" si="573"/>
        <v>0</v>
      </c>
      <c r="T542" s="252" t="str" cm="1">
        <f t="array" ref="T542">INDEX(Trad, 52, $A$20)</f>
        <v>Sauber</v>
      </c>
      <c r="U542" s="253"/>
      <c r="V542" s="253"/>
      <c r="W542" s="254"/>
      <c r="X542" s="251"/>
      <c r="Y542" s="251"/>
      <c r="Z542" s="264">
        <f t="shared" si="574"/>
        <v>0</v>
      </c>
      <c r="AA542" s="261"/>
      <c r="AB542" s="258"/>
      <c r="AC542" s="246"/>
      <c r="AD542" s="247" t="str">
        <f>IF(ISBLANK(AC542), "", VLOOKUP(AC542, Z!$A$2:$C$4127, 3, FALSE))</f>
        <v/>
      </c>
      <c r="AE542" s="262"/>
      <c r="AF542" s="263">
        <f t="shared" si="575"/>
        <v>0</v>
      </c>
      <c r="AG542" s="238"/>
      <c r="AH542" s="229">
        <f t="shared" si="599"/>
        <v>1</v>
      </c>
      <c r="AI542" s="229">
        <f t="shared" si="600"/>
        <v>1</v>
      </c>
      <c r="AJ542" s="229">
        <f t="shared" si="601"/>
        <v>0</v>
      </c>
      <c r="AK542" s="229">
        <v>0</v>
      </c>
      <c r="AL542" s="229">
        <v>0</v>
      </c>
      <c r="AM542" s="229">
        <v>1</v>
      </c>
      <c r="AN542" s="229">
        <v>0</v>
      </c>
      <c r="AO542" s="229">
        <f t="shared" si="576"/>
        <v>-100</v>
      </c>
      <c r="AP542" s="238"/>
      <c r="AQ542" s="255"/>
      <c r="AR542" s="255"/>
      <c r="AS542" s="256"/>
      <c r="AT542" s="256"/>
      <c r="AU542" s="256"/>
      <c r="AV542" s="256"/>
      <c r="AW542" s="256"/>
      <c r="AX542" s="256"/>
      <c r="AY542" s="256"/>
      <c r="AZ542" s="256"/>
      <c r="BA542" s="256"/>
      <c r="BB542" s="256"/>
      <c r="BC542" s="256"/>
      <c r="BD542" s="238"/>
      <c r="BE542" s="229" cm="1">
        <f t="array" ref="BE542">IF(ISBLANK(R542), INDEX(Use, $AH542, 4) - AM542*INDEX(Use, $AH542, 6), R542)</f>
        <v>5</v>
      </c>
      <c r="BF542" s="229">
        <f t="shared" si="577"/>
        <v>30</v>
      </c>
      <c r="BG542" s="229">
        <f t="shared" si="603"/>
        <v>13</v>
      </c>
      <c r="BH542" s="229">
        <f t="shared" si="604"/>
        <v>0</v>
      </c>
      <c r="BI542" s="234" cm="1">
        <f t="array" ref="BI542">K542/IF($L542&gt;0, INDEX($AU$23:$BA$77, $L542+20, $AH542), 1)</f>
        <v>0</v>
      </c>
      <c r="BJ542" s="230">
        <f t="shared" si="578"/>
        <v>0</v>
      </c>
      <c r="BK542" s="229">
        <v>35</v>
      </c>
      <c r="BL542" s="230">
        <f t="shared" si="579"/>
        <v>48</v>
      </c>
      <c r="BM542" s="235">
        <f t="shared" si="580"/>
        <v>2.9108720930232557</v>
      </c>
      <c r="BN542" s="235" cm="1">
        <f t="array" ref="BN542">$BI542 * SUMPRODUCT(INDEX($AR$77:$AT$82,,$AI542),INDEX($AU$77:$BA$82,,$AH542), N($AQ$77:$AQ$82&gt;$AO542)) / BM542 / 1000</f>
        <v>0</v>
      </c>
      <c r="BO542" s="232">
        <f t="shared" si="605"/>
        <v>30</v>
      </c>
      <c r="BP542" s="230">
        <f t="shared" si="581"/>
        <v>43</v>
      </c>
      <c r="BQ542" s="235">
        <f t="shared" si="582"/>
        <v>3.2938815789473681</v>
      </c>
      <c r="BR542" s="235" cm="1">
        <f t="array" ref="BR542">$BI542 * IF($AH542&lt;=2,
SUMPRODUCT(INDEX($AR$72:$AT$76,,$AI542), INDEX($AU$72:$BA$76,,$AH542), 1 / ($BB$72:$BB$76*BQ542 + (1-$BB$72:$BB$76)*BM542), N($AQ$72:$AQ$76&gt;$AO542)),
SUMPRODUCT(INDEX($AR$67:$AT$76,,$AI542), INDEX($AU$67:$BA$76,,$AH542), 1 / ($BC$67:$BC$76*BQ542 + (1-$BC$67:$BC$76)*BM542), N($AQ$67:$AQ$76&gt;$AO542))
) / 1000</f>
        <v>0</v>
      </c>
      <c r="BS542" s="232">
        <f t="shared" si="606"/>
        <v>25</v>
      </c>
      <c r="BT542" s="230">
        <f t="shared" si="583"/>
        <v>38</v>
      </c>
      <c r="BU542" s="235">
        <f t="shared" si="584"/>
        <v>3.792954545454545</v>
      </c>
      <c r="BV542" s="235" cm="1">
        <f t="array" ref="BV542">$BI542 * IF($AH542&lt;=2,
SUMPRODUCT(INDEX($AR$67:$AT$71,,$AI542), INDEX($AU$67:$BA$71,,$AH542), 1 / ($BB$67:$BB$71*BU542 + (1-$BB$67:$BB$71)*BQ542), N($AQ$67:$AQ$71&gt;$AO542)),
SUMPRODUCT(INDEX($AR$57:$AT$66,,$AI542), INDEX($AU$57:$BA$66,,$AH542), 1 / ($BC$57:$BC$66*BU542 + (1-$BC$57:$BC$66)*BQ542), N($AQ$57:$AQ$66&gt;$AO542))
) / 1000</f>
        <v>0</v>
      </c>
      <c r="BW542" s="232">
        <f t="shared" si="607"/>
        <v>20</v>
      </c>
      <c r="BX542" s="230">
        <f t="shared" si="585"/>
        <v>33</v>
      </c>
      <c r="BY542" s="235">
        <f t="shared" si="586"/>
        <v>4.4702678571428569</v>
      </c>
      <c r="BZ542" s="235" cm="1">
        <f t="array" ref="BZ542">$BI542 * IF($AH542&lt;=2,
SUMPRODUCT(INDEX($AR$62:$AT$66,,$AI542), INDEX($AU$62:$BA$66,,$AH542), 1 / ($BB$62:$BB$66*BY542 + (1-$BB$62:$BB$66)*BU542), N($AQ$62:$AQ$66&gt;$AO542)),
SUMPRODUCT(INDEX($AR$47:$AT$56,,$AI542), INDEX($AU$47:$BA$56,,$AH542), 1 / ($BC$47:$BC$56*BY542 + (1-$BC$47:$BC$56)*BU542), N($AQ$47:$AQ$56&gt;$AO542))
) / 1000</f>
        <v>0</v>
      </c>
      <c r="CA542" s="235" cm="1">
        <f t="array" ref="CA542">$BI542 * IF($AH542&lt;=2,
SUMPRODUCT(INDEX($AR$23:$AT$61,,$AI542), INDEX($AU$23:$BA$61,,$AH542), 1 / ($BB$23:$BB$61*BY542), N($AQ$23:$AQ$61&gt;$AO542)),
SUMPRODUCT(INDEX($AR$23:$AT$46,,$AI542), INDEX($AU$23:$BA$46,,$AH542), 1 / ($BC$23:$BC$46*BY542), N($AQ$23:$AQ$46&gt;$AO542))
) / 1000</f>
        <v>0</v>
      </c>
      <c r="CB542" s="230">
        <f t="shared" si="587"/>
        <v>0</v>
      </c>
      <c r="CC542" s="238"/>
      <c r="CD542" s="229" cm="1">
        <f t="array" ref="CD542">IF(ISBLANK(Y542), INDEX(Use, $AH542, 4) - AN542*INDEX(Use, $AH542, 6) - (Q542-X542), Y542)</f>
        <v>7</v>
      </c>
      <c r="CE542" s="229">
        <f t="shared" si="588"/>
        <v>32</v>
      </c>
      <c r="CF542" s="230">
        <f t="shared" si="589"/>
        <v>0</v>
      </c>
      <c r="CG542" s="229">
        <v>35</v>
      </c>
      <c r="CH542" s="230">
        <f t="shared" si="590"/>
        <v>48</v>
      </c>
      <c r="CI542" s="235">
        <f t="shared" si="591"/>
        <v>3.0748170731707316</v>
      </c>
      <c r="CJ542" s="235" cm="1">
        <f t="array" ref="CJ542">$BI542 * SUMPRODUCT(INDEX($AR$77:$AT$82,,$AI542),INDEX($AU$77:$BA$82,,$AH542), N($AQ$77:$AQ$82&gt;$AO542)) / CI542 / 1000</f>
        <v>0</v>
      </c>
      <c r="CK542" s="232">
        <f t="shared" si="608"/>
        <v>30</v>
      </c>
      <c r="CL542" s="230">
        <f t="shared" si="592"/>
        <v>43</v>
      </c>
      <c r="CM542" s="235">
        <f t="shared" si="593"/>
        <v>3.5018750000000001</v>
      </c>
      <c r="CN542" s="235" cm="1">
        <f t="array" ref="CN542">$BI542 * IF($AH542&lt;=2,
SUMPRODUCT(INDEX($AR$72:$AT$76,,$AI542), INDEX($AU$72:$BA$76,,$AH542), 1 / ($BB$72:$BB$76*CM542 + (1-$BB$72:$BB$76)*CI542), N($AQ$72:$AQ$76&gt;$AO542)),
SUMPRODUCT(INDEX($AR$67:$AT$76,,$AI542), INDEX($AU$67:$BA$76,,$AH542), 1 / ($BC$67:$BC$76*CM542 + (1-$BC$67:$BC$76)*CI542), N($AQ$67:$AQ$76&gt;$AO542))
) / 1000</f>
        <v>0</v>
      </c>
      <c r="CO542" s="232">
        <f t="shared" si="609"/>
        <v>25</v>
      </c>
      <c r="CP542" s="230">
        <f t="shared" si="594"/>
        <v>38</v>
      </c>
      <c r="CQ542" s="235">
        <f t="shared" si="595"/>
        <v>4.0666935483870965</v>
      </c>
      <c r="CR542" s="235" cm="1">
        <f t="array" ref="CR542">$BI542 * IF($AH542&lt;=2,
SUMPRODUCT(INDEX($AR$67:$AT$71,,$AI542), INDEX($AU$67:$BA$71,,$AH542), 1 / ($BB$67:$BB$71*CQ542 + (1-$BB$67:$BB$71)*CM542), N($AQ$67:$AQ$71&gt;$AO542)),
SUMPRODUCT(INDEX($AR$57:$AT$66,,$AI542), INDEX($AU$57:$BA$66,,$AH542), 1 / ($BC$57:$BC$66*CQ542 + (1-$BC$57:$BC$66)*CM542), N($AQ$57:$AQ$66&gt;$AO542))
) / 1000</f>
        <v>0</v>
      </c>
      <c r="CS542" s="232">
        <f t="shared" si="610"/>
        <v>20</v>
      </c>
      <c r="CT542" s="230">
        <f t="shared" si="596"/>
        <v>33</v>
      </c>
      <c r="CU542" s="235">
        <f t="shared" si="597"/>
        <v>4.8487499999999999</v>
      </c>
      <c r="CV542" s="235" cm="1">
        <f t="array" ref="CV542">$BI542 * IF($AH542&lt;=2,
SUMPRODUCT(INDEX($AR$62:$AT$66,,$AI542), INDEX($AU$62:$BA$66,,$AH542), 1 / ($BB$62:$BB$66*CU542 + (1-$BB$62:$BB$66)*CQ542), N($AQ$62:$AQ$66&gt;$AO542)),
SUMPRODUCT(INDEX($AR$47:$AT$56,,$AI542), INDEX($AU$47:$BA$56,,$AH542), 1 / ($BC$47:$BC$56*CU542 + (1-$BC$47:$BC$56)*CQ542), N($AQ$47:$AQ$56&gt;$AO542))
) / 1000</f>
        <v>0</v>
      </c>
      <c r="CW542" s="235" cm="1">
        <f t="array" ref="CW542">$BI542 * IF($AH542&lt;=2,
SUMPRODUCT(INDEX($AR$23:$AT$61,,$AI542), INDEX($AU$23:$BA$61,,$AH542), 1 / ($BB$23:$BB$61*CU542), N($AQ$23:$AQ$61&gt;$AO542)),
SUMPRODUCT(INDEX($AR$23:$AT$46,,$AI542), INDEX($AU$23:$BA$46,,$AH542), 1 / ($BC$23:$BC$46*CU542), N($AQ$23:$AQ$46&gt;$AO542))
) / 1000</f>
        <v>0</v>
      </c>
      <c r="CX542" s="230">
        <f t="shared" si="598"/>
        <v>0</v>
      </c>
      <c r="CY542" s="238"/>
    </row>
    <row r="543" spans="1:103" s="76" customFormat="1" ht="14.25" customHeight="1" x14ac:dyDescent="0.2">
      <c r="A543" s="231" t="b">
        <f t="shared" si="602"/>
        <v>0</v>
      </c>
      <c r="B543" s="245">
        <v>521</v>
      </c>
      <c r="C543" s="258"/>
      <c r="D543" s="258"/>
      <c r="E543" s="246"/>
      <c r="F543" s="247" t="str">
        <f>IF(ISBLANK(E543), "", VLOOKUP(E543, Z!$A$2:$C$4127, 3, FALSE))</f>
        <v/>
      </c>
      <c r="G543" s="248"/>
      <c r="H543" s="248"/>
      <c r="I543" s="249"/>
      <c r="J543" s="250"/>
      <c r="K543" s="259"/>
      <c r="L543" s="260"/>
      <c r="M543" s="252" t="str" cm="1">
        <f t="array" ref="M543">INDEX(Trad, 53, $A$20)</f>
        <v>Verschmutzt</v>
      </c>
      <c r="N543" s="253"/>
      <c r="O543" s="253"/>
      <c r="P543" s="254"/>
      <c r="Q543" s="251"/>
      <c r="R543" s="251"/>
      <c r="S543" s="264">
        <f t="shared" si="573"/>
        <v>0</v>
      </c>
      <c r="T543" s="252" t="str" cm="1">
        <f t="array" ref="T543">INDEX(Trad, 52, $A$20)</f>
        <v>Sauber</v>
      </c>
      <c r="U543" s="253"/>
      <c r="V543" s="253"/>
      <c r="W543" s="254"/>
      <c r="X543" s="251"/>
      <c r="Y543" s="251"/>
      <c r="Z543" s="264">
        <f t="shared" si="574"/>
        <v>0</v>
      </c>
      <c r="AA543" s="261"/>
      <c r="AB543" s="258"/>
      <c r="AC543" s="246"/>
      <c r="AD543" s="247" t="str">
        <f>IF(ISBLANK(AC543), "", VLOOKUP(AC543, Z!$A$2:$C$4127, 3, FALSE))</f>
        <v/>
      </c>
      <c r="AE543" s="262"/>
      <c r="AF543" s="263">
        <f t="shared" si="575"/>
        <v>0</v>
      </c>
      <c r="AG543" s="238"/>
      <c r="AH543" s="229">
        <f t="shared" si="599"/>
        <v>1</v>
      </c>
      <c r="AI543" s="229">
        <f t="shared" si="600"/>
        <v>1</v>
      </c>
      <c r="AJ543" s="229">
        <f t="shared" si="601"/>
        <v>0</v>
      </c>
      <c r="AK543" s="229">
        <v>0</v>
      </c>
      <c r="AL543" s="229">
        <v>0</v>
      </c>
      <c r="AM543" s="229">
        <v>1</v>
      </c>
      <c r="AN543" s="229">
        <v>0</v>
      </c>
      <c r="AO543" s="229">
        <f t="shared" si="576"/>
        <v>-100</v>
      </c>
      <c r="AP543" s="238"/>
      <c r="AQ543" s="255"/>
      <c r="AR543" s="255"/>
      <c r="AS543" s="256"/>
      <c r="AT543" s="256"/>
      <c r="AU543" s="256"/>
      <c r="AV543" s="256"/>
      <c r="AW543" s="256"/>
      <c r="AX543" s="256"/>
      <c r="AY543" s="256"/>
      <c r="AZ543" s="256"/>
      <c r="BA543" s="256"/>
      <c r="BB543" s="256"/>
      <c r="BC543" s="256"/>
      <c r="BD543" s="238"/>
      <c r="BE543" s="229" cm="1">
        <f t="array" ref="BE543">IF(ISBLANK(R543), INDEX(Use, $AH543, 4) - AM543*INDEX(Use, $AH543, 6), R543)</f>
        <v>5</v>
      </c>
      <c r="BF543" s="229">
        <f t="shared" si="577"/>
        <v>30</v>
      </c>
      <c r="BG543" s="229">
        <f t="shared" si="603"/>
        <v>13</v>
      </c>
      <c r="BH543" s="229">
        <f t="shared" si="604"/>
        <v>0</v>
      </c>
      <c r="BI543" s="234" cm="1">
        <f t="array" ref="BI543">K543/IF($L543&gt;0, INDEX($AU$23:$BA$77, $L543+20, $AH543), 1)</f>
        <v>0</v>
      </c>
      <c r="BJ543" s="230">
        <f t="shared" si="578"/>
        <v>0</v>
      </c>
      <c r="BK543" s="229">
        <v>35</v>
      </c>
      <c r="BL543" s="230">
        <f t="shared" si="579"/>
        <v>48</v>
      </c>
      <c r="BM543" s="235">
        <f t="shared" si="580"/>
        <v>2.9108720930232557</v>
      </c>
      <c r="BN543" s="235" cm="1">
        <f t="array" ref="BN543">$BI543 * SUMPRODUCT(INDEX($AR$77:$AT$82,,$AI543),INDEX($AU$77:$BA$82,,$AH543), N($AQ$77:$AQ$82&gt;$AO543)) / BM543 / 1000</f>
        <v>0</v>
      </c>
      <c r="BO543" s="232">
        <f t="shared" si="605"/>
        <v>30</v>
      </c>
      <c r="BP543" s="230">
        <f t="shared" si="581"/>
        <v>43</v>
      </c>
      <c r="BQ543" s="235">
        <f t="shared" si="582"/>
        <v>3.2938815789473681</v>
      </c>
      <c r="BR543" s="235" cm="1">
        <f t="array" ref="BR543">$BI543 * IF($AH543&lt;=2,
SUMPRODUCT(INDEX($AR$72:$AT$76,,$AI543), INDEX($AU$72:$BA$76,,$AH543), 1 / ($BB$72:$BB$76*BQ543 + (1-$BB$72:$BB$76)*BM543), N($AQ$72:$AQ$76&gt;$AO543)),
SUMPRODUCT(INDEX($AR$67:$AT$76,,$AI543), INDEX($AU$67:$BA$76,,$AH543), 1 / ($BC$67:$BC$76*BQ543 + (1-$BC$67:$BC$76)*BM543), N($AQ$67:$AQ$76&gt;$AO543))
) / 1000</f>
        <v>0</v>
      </c>
      <c r="BS543" s="232">
        <f t="shared" si="606"/>
        <v>25</v>
      </c>
      <c r="BT543" s="230">
        <f t="shared" si="583"/>
        <v>38</v>
      </c>
      <c r="BU543" s="235">
        <f t="shared" si="584"/>
        <v>3.792954545454545</v>
      </c>
      <c r="BV543" s="235" cm="1">
        <f t="array" ref="BV543">$BI543 * IF($AH543&lt;=2,
SUMPRODUCT(INDEX($AR$67:$AT$71,,$AI543), INDEX($AU$67:$BA$71,,$AH543), 1 / ($BB$67:$BB$71*BU543 + (1-$BB$67:$BB$71)*BQ543), N($AQ$67:$AQ$71&gt;$AO543)),
SUMPRODUCT(INDEX($AR$57:$AT$66,,$AI543), INDEX($AU$57:$BA$66,,$AH543), 1 / ($BC$57:$BC$66*BU543 + (1-$BC$57:$BC$66)*BQ543), N($AQ$57:$AQ$66&gt;$AO543))
) / 1000</f>
        <v>0</v>
      </c>
      <c r="BW543" s="232">
        <f t="shared" si="607"/>
        <v>20</v>
      </c>
      <c r="BX543" s="230">
        <f t="shared" si="585"/>
        <v>33</v>
      </c>
      <c r="BY543" s="235">
        <f t="shared" si="586"/>
        <v>4.4702678571428569</v>
      </c>
      <c r="BZ543" s="235" cm="1">
        <f t="array" ref="BZ543">$BI543 * IF($AH543&lt;=2,
SUMPRODUCT(INDEX($AR$62:$AT$66,,$AI543), INDEX($AU$62:$BA$66,,$AH543), 1 / ($BB$62:$BB$66*BY543 + (1-$BB$62:$BB$66)*BU543), N($AQ$62:$AQ$66&gt;$AO543)),
SUMPRODUCT(INDEX($AR$47:$AT$56,,$AI543), INDEX($AU$47:$BA$56,,$AH543), 1 / ($BC$47:$BC$56*BY543 + (1-$BC$47:$BC$56)*BU543), N($AQ$47:$AQ$56&gt;$AO543))
) / 1000</f>
        <v>0</v>
      </c>
      <c r="CA543" s="235" cm="1">
        <f t="array" ref="CA543">$BI543 * IF($AH543&lt;=2,
SUMPRODUCT(INDEX($AR$23:$AT$61,,$AI543), INDEX($AU$23:$BA$61,,$AH543), 1 / ($BB$23:$BB$61*BY543), N($AQ$23:$AQ$61&gt;$AO543)),
SUMPRODUCT(INDEX($AR$23:$AT$46,,$AI543), INDEX($AU$23:$BA$46,,$AH543), 1 / ($BC$23:$BC$46*BY543), N($AQ$23:$AQ$46&gt;$AO543))
) / 1000</f>
        <v>0</v>
      </c>
      <c r="CB543" s="230">
        <f t="shared" si="587"/>
        <v>0</v>
      </c>
      <c r="CC543" s="238"/>
      <c r="CD543" s="229" cm="1">
        <f t="array" ref="CD543">IF(ISBLANK(Y543), INDEX(Use, $AH543, 4) - AN543*INDEX(Use, $AH543, 6) - (Q543-X543), Y543)</f>
        <v>7</v>
      </c>
      <c r="CE543" s="229">
        <f t="shared" si="588"/>
        <v>32</v>
      </c>
      <c r="CF543" s="230">
        <f t="shared" si="589"/>
        <v>0</v>
      </c>
      <c r="CG543" s="229">
        <v>35</v>
      </c>
      <c r="CH543" s="230">
        <f t="shared" si="590"/>
        <v>48</v>
      </c>
      <c r="CI543" s="235">
        <f t="shared" si="591"/>
        <v>3.0748170731707316</v>
      </c>
      <c r="CJ543" s="235" cm="1">
        <f t="array" ref="CJ543">$BI543 * SUMPRODUCT(INDEX($AR$77:$AT$82,,$AI543),INDEX($AU$77:$BA$82,,$AH543), N($AQ$77:$AQ$82&gt;$AO543)) / CI543 / 1000</f>
        <v>0</v>
      </c>
      <c r="CK543" s="232">
        <f t="shared" si="608"/>
        <v>30</v>
      </c>
      <c r="CL543" s="230">
        <f t="shared" si="592"/>
        <v>43</v>
      </c>
      <c r="CM543" s="235">
        <f t="shared" si="593"/>
        <v>3.5018750000000001</v>
      </c>
      <c r="CN543" s="235" cm="1">
        <f t="array" ref="CN543">$BI543 * IF($AH543&lt;=2,
SUMPRODUCT(INDEX($AR$72:$AT$76,,$AI543), INDEX($AU$72:$BA$76,,$AH543), 1 / ($BB$72:$BB$76*CM543 + (1-$BB$72:$BB$76)*CI543), N($AQ$72:$AQ$76&gt;$AO543)),
SUMPRODUCT(INDEX($AR$67:$AT$76,,$AI543), INDEX($AU$67:$BA$76,,$AH543), 1 / ($BC$67:$BC$76*CM543 + (1-$BC$67:$BC$76)*CI543), N($AQ$67:$AQ$76&gt;$AO543))
) / 1000</f>
        <v>0</v>
      </c>
      <c r="CO543" s="232">
        <f t="shared" si="609"/>
        <v>25</v>
      </c>
      <c r="CP543" s="230">
        <f t="shared" si="594"/>
        <v>38</v>
      </c>
      <c r="CQ543" s="235">
        <f t="shared" si="595"/>
        <v>4.0666935483870965</v>
      </c>
      <c r="CR543" s="235" cm="1">
        <f t="array" ref="CR543">$BI543 * IF($AH543&lt;=2,
SUMPRODUCT(INDEX($AR$67:$AT$71,,$AI543), INDEX($AU$67:$BA$71,,$AH543), 1 / ($BB$67:$BB$71*CQ543 + (1-$BB$67:$BB$71)*CM543), N($AQ$67:$AQ$71&gt;$AO543)),
SUMPRODUCT(INDEX($AR$57:$AT$66,,$AI543), INDEX($AU$57:$BA$66,,$AH543), 1 / ($BC$57:$BC$66*CQ543 + (1-$BC$57:$BC$66)*CM543), N($AQ$57:$AQ$66&gt;$AO543))
) / 1000</f>
        <v>0</v>
      </c>
      <c r="CS543" s="232">
        <f t="shared" si="610"/>
        <v>20</v>
      </c>
      <c r="CT543" s="230">
        <f t="shared" si="596"/>
        <v>33</v>
      </c>
      <c r="CU543" s="235">
        <f t="shared" si="597"/>
        <v>4.8487499999999999</v>
      </c>
      <c r="CV543" s="235" cm="1">
        <f t="array" ref="CV543">$BI543 * IF($AH543&lt;=2,
SUMPRODUCT(INDEX($AR$62:$AT$66,,$AI543), INDEX($AU$62:$BA$66,,$AH543), 1 / ($BB$62:$BB$66*CU543 + (1-$BB$62:$BB$66)*CQ543), N($AQ$62:$AQ$66&gt;$AO543)),
SUMPRODUCT(INDEX($AR$47:$AT$56,,$AI543), INDEX($AU$47:$BA$56,,$AH543), 1 / ($BC$47:$BC$56*CU543 + (1-$BC$47:$BC$56)*CQ543), N($AQ$47:$AQ$56&gt;$AO543))
) / 1000</f>
        <v>0</v>
      </c>
      <c r="CW543" s="235" cm="1">
        <f t="array" ref="CW543">$BI543 * IF($AH543&lt;=2,
SUMPRODUCT(INDEX($AR$23:$AT$61,,$AI543), INDEX($AU$23:$BA$61,,$AH543), 1 / ($BB$23:$BB$61*CU543), N($AQ$23:$AQ$61&gt;$AO543)),
SUMPRODUCT(INDEX($AR$23:$AT$46,,$AI543), INDEX($AU$23:$BA$46,,$AH543), 1 / ($BC$23:$BC$46*CU543), N($AQ$23:$AQ$46&gt;$AO543))
) / 1000</f>
        <v>0</v>
      </c>
      <c r="CX543" s="230">
        <f t="shared" si="598"/>
        <v>0</v>
      </c>
      <c r="CY543" s="238"/>
    </row>
    <row r="544" spans="1:103" s="76" customFormat="1" ht="14.25" customHeight="1" x14ac:dyDescent="0.2">
      <c r="A544" s="231" t="b">
        <f t="shared" si="602"/>
        <v>0</v>
      </c>
      <c r="B544" s="245">
        <v>522</v>
      </c>
      <c r="C544" s="258"/>
      <c r="D544" s="258"/>
      <c r="E544" s="246"/>
      <c r="F544" s="247" t="str">
        <f>IF(ISBLANK(E544), "", VLOOKUP(E544, Z!$A$2:$C$4127, 3, FALSE))</f>
        <v/>
      </c>
      <c r="G544" s="248"/>
      <c r="H544" s="248"/>
      <c r="I544" s="249"/>
      <c r="J544" s="250"/>
      <c r="K544" s="259"/>
      <c r="L544" s="260"/>
      <c r="M544" s="252" t="str" cm="1">
        <f t="array" ref="M544">INDEX(Trad, 53, $A$20)</f>
        <v>Verschmutzt</v>
      </c>
      <c r="N544" s="253"/>
      <c r="O544" s="253"/>
      <c r="P544" s="254"/>
      <c r="Q544" s="251"/>
      <c r="R544" s="251"/>
      <c r="S544" s="264">
        <f t="shared" si="573"/>
        <v>0</v>
      </c>
      <c r="T544" s="252" t="str" cm="1">
        <f t="array" ref="T544">INDEX(Trad, 52, $A$20)</f>
        <v>Sauber</v>
      </c>
      <c r="U544" s="253"/>
      <c r="V544" s="253"/>
      <c r="W544" s="254"/>
      <c r="X544" s="251"/>
      <c r="Y544" s="251"/>
      <c r="Z544" s="264">
        <f t="shared" si="574"/>
        <v>0</v>
      </c>
      <c r="AA544" s="261"/>
      <c r="AB544" s="258"/>
      <c r="AC544" s="246"/>
      <c r="AD544" s="247" t="str">
        <f>IF(ISBLANK(AC544), "", VLOOKUP(AC544, Z!$A$2:$C$4127, 3, FALSE))</f>
        <v/>
      </c>
      <c r="AE544" s="262"/>
      <c r="AF544" s="263">
        <f t="shared" si="575"/>
        <v>0</v>
      </c>
      <c r="AG544" s="238"/>
      <c r="AH544" s="229">
        <f t="shared" si="599"/>
        <v>1</v>
      </c>
      <c r="AI544" s="229">
        <f t="shared" si="600"/>
        <v>1</v>
      </c>
      <c r="AJ544" s="229">
        <f t="shared" si="601"/>
        <v>0</v>
      </c>
      <c r="AK544" s="229">
        <v>0</v>
      </c>
      <c r="AL544" s="229">
        <v>0</v>
      </c>
      <c r="AM544" s="229">
        <v>1</v>
      </c>
      <c r="AN544" s="229">
        <v>0</v>
      </c>
      <c r="AO544" s="229">
        <f t="shared" si="576"/>
        <v>-100</v>
      </c>
      <c r="AP544" s="238"/>
      <c r="AQ544" s="255"/>
      <c r="AR544" s="255"/>
      <c r="AS544" s="256"/>
      <c r="AT544" s="256"/>
      <c r="AU544" s="256"/>
      <c r="AV544" s="256"/>
      <c r="AW544" s="256"/>
      <c r="AX544" s="256"/>
      <c r="AY544" s="256"/>
      <c r="AZ544" s="256"/>
      <c r="BA544" s="256"/>
      <c r="BB544" s="256"/>
      <c r="BC544" s="256"/>
      <c r="BD544" s="238"/>
      <c r="BE544" s="229" cm="1">
        <f t="array" ref="BE544">IF(ISBLANK(R544), INDEX(Use, $AH544, 4) - AM544*INDEX(Use, $AH544, 6), R544)</f>
        <v>5</v>
      </c>
      <c r="BF544" s="229">
        <f t="shared" si="577"/>
        <v>30</v>
      </c>
      <c r="BG544" s="229">
        <f t="shared" si="603"/>
        <v>13</v>
      </c>
      <c r="BH544" s="229">
        <f t="shared" si="604"/>
        <v>0</v>
      </c>
      <c r="BI544" s="234" cm="1">
        <f t="array" ref="BI544">K544/IF($L544&gt;0, INDEX($AU$23:$BA$77, $L544+20, $AH544), 1)</f>
        <v>0</v>
      </c>
      <c r="BJ544" s="230">
        <f t="shared" si="578"/>
        <v>0</v>
      </c>
      <c r="BK544" s="229">
        <v>35</v>
      </c>
      <c r="BL544" s="230">
        <f t="shared" si="579"/>
        <v>48</v>
      </c>
      <c r="BM544" s="235">
        <f t="shared" si="580"/>
        <v>2.9108720930232557</v>
      </c>
      <c r="BN544" s="235" cm="1">
        <f t="array" ref="BN544">$BI544 * SUMPRODUCT(INDEX($AR$77:$AT$82,,$AI544),INDEX($AU$77:$BA$82,,$AH544), N($AQ$77:$AQ$82&gt;$AO544)) / BM544 / 1000</f>
        <v>0</v>
      </c>
      <c r="BO544" s="232">
        <f t="shared" si="605"/>
        <v>30</v>
      </c>
      <c r="BP544" s="230">
        <f t="shared" si="581"/>
        <v>43</v>
      </c>
      <c r="BQ544" s="235">
        <f t="shared" si="582"/>
        <v>3.2938815789473681</v>
      </c>
      <c r="BR544" s="235" cm="1">
        <f t="array" ref="BR544">$BI544 * IF($AH544&lt;=2,
SUMPRODUCT(INDEX($AR$72:$AT$76,,$AI544), INDEX($AU$72:$BA$76,,$AH544), 1 / ($BB$72:$BB$76*BQ544 + (1-$BB$72:$BB$76)*BM544), N($AQ$72:$AQ$76&gt;$AO544)),
SUMPRODUCT(INDEX($AR$67:$AT$76,,$AI544), INDEX($AU$67:$BA$76,,$AH544), 1 / ($BC$67:$BC$76*BQ544 + (1-$BC$67:$BC$76)*BM544), N($AQ$67:$AQ$76&gt;$AO544))
) / 1000</f>
        <v>0</v>
      </c>
      <c r="BS544" s="232">
        <f t="shared" si="606"/>
        <v>25</v>
      </c>
      <c r="BT544" s="230">
        <f t="shared" si="583"/>
        <v>38</v>
      </c>
      <c r="BU544" s="235">
        <f t="shared" si="584"/>
        <v>3.792954545454545</v>
      </c>
      <c r="BV544" s="235" cm="1">
        <f t="array" ref="BV544">$BI544 * IF($AH544&lt;=2,
SUMPRODUCT(INDEX($AR$67:$AT$71,,$AI544), INDEX($AU$67:$BA$71,,$AH544), 1 / ($BB$67:$BB$71*BU544 + (1-$BB$67:$BB$71)*BQ544), N($AQ$67:$AQ$71&gt;$AO544)),
SUMPRODUCT(INDEX($AR$57:$AT$66,,$AI544), INDEX($AU$57:$BA$66,,$AH544), 1 / ($BC$57:$BC$66*BU544 + (1-$BC$57:$BC$66)*BQ544), N($AQ$57:$AQ$66&gt;$AO544))
) / 1000</f>
        <v>0</v>
      </c>
      <c r="BW544" s="232">
        <f t="shared" si="607"/>
        <v>20</v>
      </c>
      <c r="BX544" s="230">
        <f t="shared" si="585"/>
        <v>33</v>
      </c>
      <c r="BY544" s="235">
        <f t="shared" si="586"/>
        <v>4.4702678571428569</v>
      </c>
      <c r="BZ544" s="235" cm="1">
        <f t="array" ref="BZ544">$BI544 * IF($AH544&lt;=2,
SUMPRODUCT(INDEX($AR$62:$AT$66,,$AI544), INDEX($AU$62:$BA$66,,$AH544), 1 / ($BB$62:$BB$66*BY544 + (1-$BB$62:$BB$66)*BU544), N($AQ$62:$AQ$66&gt;$AO544)),
SUMPRODUCT(INDEX($AR$47:$AT$56,,$AI544), INDEX($AU$47:$BA$56,,$AH544), 1 / ($BC$47:$BC$56*BY544 + (1-$BC$47:$BC$56)*BU544), N($AQ$47:$AQ$56&gt;$AO544))
) / 1000</f>
        <v>0</v>
      </c>
      <c r="CA544" s="235" cm="1">
        <f t="array" ref="CA544">$BI544 * IF($AH544&lt;=2,
SUMPRODUCT(INDEX($AR$23:$AT$61,,$AI544), INDEX($AU$23:$BA$61,,$AH544), 1 / ($BB$23:$BB$61*BY544), N($AQ$23:$AQ$61&gt;$AO544)),
SUMPRODUCT(INDEX($AR$23:$AT$46,,$AI544), INDEX($AU$23:$BA$46,,$AH544), 1 / ($BC$23:$BC$46*BY544), N($AQ$23:$AQ$46&gt;$AO544))
) / 1000</f>
        <v>0</v>
      </c>
      <c r="CB544" s="230">
        <f t="shared" si="587"/>
        <v>0</v>
      </c>
      <c r="CC544" s="238"/>
      <c r="CD544" s="229" cm="1">
        <f t="array" ref="CD544">IF(ISBLANK(Y544), INDEX(Use, $AH544, 4) - AN544*INDEX(Use, $AH544, 6) - (Q544-X544), Y544)</f>
        <v>7</v>
      </c>
      <c r="CE544" s="229">
        <f t="shared" si="588"/>
        <v>32</v>
      </c>
      <c r="CF544" s="230">
        <f t="shared" si="589"/>
        <v>0</v>
      </c>
      <c r="CG544" s="229">
        <v>35</v>
      </c>
      <c r="CH544" s="230">
        <f t="shared" si="590"/>
        <v>48</v>
      </c>
      <c r="CI544" s="235">
        <f t="shared" si="591"/>
        <v>3.0748170731707316</v>
      </c>
      <c r="CJ544" s="235" cm="1">
        <f t="array" ref="CJ544">$BI544 * SUMPRODUCT(INDEX($AR$77:$AT$82,,$AI544),INDEX($AU$77:$BA$82,,$AH544), N($AQ$77:$AQ$82&gt;$AO544)) / CI544 / 1000</f>
        <v>0</v>
      </c>
      <c r="CK544" s="232">
        <f t="shared" si="608"/>
        <v>30</v>
      </c>
      <c r="CL544" s="230">
        <f t="shared" si="592"/>
        <v>43</v>
      </c>
      <c r="CM544" s="235">
        <f t="shared" si="593"/>
        <v>3.5018750000000001</v>
      </c>
      <c r="CN544" s="235" cm="1">
        <f t="array" ref="CN544">$BI544 * IF($AH544&lt;=2,
SUMPRODUCT(INDEX($AR$72:$AT$76,,$AI544), INDEX($AU$72:$BA$76,,$AH544), 1 / ($BB$72:$BB$76*CM544 + (1-$BB$72:$BB$76)*CI544), N($AQ$72:$AQ$76&gt;$AO544)),
SUMPRODUCT(INDEX($AR$67:$AT$76,,$AI544), INDEX($AU$67:$BA$76,,$AH544), 1 / ($BC$67:$BC$76*CM544 + (1-$BC$67:$BC$76)*CI544), N($AQ$67:$AQ$76&gt;$AO544))
) / 1000</f>
        <v>0</v>
      </c>
      <c r="CO544" s="232">
        <f t="shared" si="609"/>
        <v>25</v>
      </c>
      <c r="CP544" s="230">
        <f t="shared" si="594"/>
        <v>38</v>
      </c>
      <c r="CQ544" s="235">
        <f t="shared" si="595"/>
        <v>4.0666935483870965</v>
      </c>
      <c r="CR544" s="235" cm="1">
        <f t="array" ref="CR544">$BI544 * IF($AH544&lt;=2,
SUMPRODUCT(INDEX($AR$67:$AT$71,,$AI544), INDEX($AU$67:$BA$71,,$AH544), 1 / ($BB$67:$BB$71*CQ544 + (1-$BB$67:$BB$71)*CM544), N($AQ$67:$AQ$71&gt;$AO544)),
SUMPRODUCT(INDEX($AR$57:$AT$66,,$AI544), INDEX($AU$57:$BA$66,,$AH544), 1 / ($BC$57:$BC$66*CQ544 + (1-$BC$57:$BC$66)*CM544), N($AQ$57:$AQ$66&gt;$AO544))
) / 1000</f>
        <v>0</v>
      </c>
      <c r="CS544" s="232">
        <f t="shared" si="610"/>
        <v>20</v>
      </c>
      <c r="CT544" s="230">
        <f t="shared" si="596"/>
        <v>33</v>
      </c>
      <c r="CU544" s="235">
        <f t="shared" si="597"/>
        <v>4.8487499999999999</v>
      </c>
      <c r="CV544" s="235" cm="1">
        <f t="array" ref="CV544">$BI544 * IF($AH544&lt;=2,
SUMPRODUCT(INDEX($AR$62:$AT$66,,$AI544), INDEX($AU$62:$BA$66,,$AH544), 1 / ($BB$62:$BB$66*CU544 + (1-$BB$62:$BB$66)*CQ544), N($AQ$62:$AQ$66&gt;$AO544)),
SUMPRODUCT(INDEX($AR$47:$AT$56,,$AI544), INDEX($AU$47:$BA$56,,$AH544), 1 / ($BC$47:$BC$56*CU544 + (1-$BC$47:$BC$56)*CQ544), N($AQ$47:$AQ$56&gt;$AO544))
) / 1000</f>
        <v>0</v>
      </c>
      <c r="CW544" s="235" cm="1">
        <f t="array" ref="CW544">$BI544 * IF($AH544&lt;=2,
SUMPRODUCT(INDEX($AR$23:$AT$61,,$AI544), INDEX($AU$23:$BA$61,,$AH544), 1 / ($BB$23:$BB$61*CU544), N($AQ$23:$AQ$61&gt;$AO544)),
SUMPRODUCT(INDEX($AR$23:$AT$46,,$AI544), INDEX($AU$23:$BA$46,,$AH544), 1 / ($BC$23:$BC$46*CU544), N($AQ$23:$AQ$46&gt;$AO544))
) / 1000</f>
        <v>0</v>
      </c>
      <c r="CX544" s="230">
        <f t="shared" si="598"/>
        <v>0</v>
      </c>
      <c r="CY544" s="238"/>
    </row>
    <row r="545" spans="1:103" s="76" customFormat="1" ht="14.25" customHeight="1" x14ac:dyDescent="0.2">
      <c r="A545" s="231" t="b">
        <f t="shared" si="602"/>
        <v>0</v>
      </c>
      <c r="B545" s="245">
        <v>523</v>
      </c>
      <c r="C545" s="258"/>
      <c r="D545" s="258"/>
      <c r="E545" s="246"/>
      <c r="F545" s="247" t="str">
        <f>IF(ISBLANK(E545), "", VLOOKUP(E545, Z!$A$2:$C$4127, 3, FALSE))</f>
        <v/>
      </c>
      <c r="G545" s="248"/>
      <c r="H545" s="248"/>
      <c r="I545" s="249"/>
      <c r="J545" s="250"/>
      <c r="K545" s="259"/>
      <c r="L545" s="260"/>
      <c r="M545" s="252" t="str" cm="1">
        <f t="array" ref="M545">INDEX(Trad, 53, $A$20)</f>
        <v>Verschmutzt</v>
      </c>
      <c r="N545" s="253"/>
      <c r="O545" s="253"/>
      <c r="P545" s="254"/>
      <c r="Q545" s="251"/>
      <c r="R545" s="251"/>
      <c r="S545" s="264">
        <f t="shared" si="573"/>
        <v>0</v>
      </c>
      <c r="T545" s="252" t="str" cm="1">
        <f t="array" ref="T545">INDEX(Trad, 52, $A$20)</f>
        <v>Sauber</v>
      </c>
      <c r="U545" s="253"/>
      <c r="V545" s="253"/>
      <c r="W545" s="254"/>
      <c r="X545" s="251"/>
      <c r="Y545" s="251"/>
      <c r="Z545" s="264">
        <f t="shared" si="574"/>
        <v>0</v>
      </c>
      <c r="AA545" s="261"/>
      <c r="AB545" s="258"/>
      <c r="AC545" s="246"/>
      <c r="AD545" s="247" t="str">
        <f>IF(ISBLANK(AC545), "", VLOOKUP(AC545, Z!$A$2:$C$4127, 3, FALSE))</f>
        <v/>
      </c>
      <c r="AE545" s="262"/>
      <c r="AF545" s="263">
        <f t="shared" si="575"/>
        <v>0</v>
      </c>
      <c r="AG545" s="238"/>
      <c r="AH545" s="229">
        <f t="shared" si="599"/>
        <v>1</v>
      </c>
      <c r="AI545" s="229">
        <f t="shared" si="600"/>
        <v>1</v>
      </c>
      <c r="AJ545" s="229">
        <f t="shared" si="601"/>
        <v>0</v>
      </c>
      <c r="AK545" s="229">
        <v>0</v>
      </c>
      <c r="AL545" s="229">
        <v>0</v>
      </c>
      <c r="AM545" s="229">
        <v>1</v>
      </c>
      <c r="AN545" s="229">
        <v>0</v>
      </c>
      <c r="AO545" s="229">
        <f t="shared" si="576"/>
        <v>-100</v>
      </c>
      <c r="AP545" s="238"/>
      <c r="AQ545" s="255"/>
      <c r="AR545" s="255"/>
      <c r="AS545" s="256"/>
      <c r="AT545" s="256"/>
      <c r="AU545" s="256"/>
      <c r="AV545" s="256"/>
      <c r="AW545" s="256"/>
      <c r="AX545" s="256"/>
      <c r="AY545" s="256"/>
      <c r="AZ545" s="256"/>
      <c r="BA545" s="256"/>
      <c r="BB545" s="256"/>
      <c r="BC545" s="256"/>
      <c r="BD545" s="238"/>
      <c r="BE545" s="229" cm="1">
        <f t="array" ref="BE545">IF(ISBLANK(R545), INDEX(Use, $AH545, 4) - AM545*INDEX(Use, $AH545, 6), R545)</f>
        <v>5</v>
      </c>
      <c r="BF545" s="229">
        <f t="shared" si="577"/>
        <v>30</v>
      </c>
      <c r="BG545" s="229">
        <f t="shared" si="603"/>
        <v>13</v>
      </c>
      <c r="BH545" s="229">
        <f t="shared" si="604"/>
        <v>0</v>
      </c>
      <c r="BI545" s="234" cm="1">
        <f t="array" ref="BI545">K545/IF($L545&gt;0, INDEX($AU$23:$BA$77, $L545+20, $AH545), 1)</f>
        <v>0</v>
      </c>
      <c r="BJ545" s="230">
        <f t="shared" si="578"/>
        <v>0</v>
      </c>
      <c r="BK545" s="229">
        <v>35</v>
      </c>
      <c r="BL545" s="230">
        <f t="shared" si="579"/>
        <v>48</v>
      </c>
      <c r="BM545" s="235">
        <f t="shared" si="580"/>
        <v>2.9108720930232557</v>
      </c>
      <c r="BN545" s="235" cm="1">
        <f t="array" ref="BN545">$BI545 * SUMPRODUCT(INDEX($AR$77:$AT$82,,$AI545),INDEX($AU$77:$BA$82,,$AH545), N($AQ$77:$AQ$82&gt;$AO545)) / BM545 / 1000</f>
        <v>0</v>
      </c>
      <c r="BO545" s="232">
        <f t="shared" si="605"/>
        <v>30</v>
      </c>
      <c r="BP545" s="230">
        <f t="shared" si="581"/>
        <v>43</v>
      </c>
      <c r="BQ545" s="235">
        <f t="shared" si="582"/>
        <v>3.2938815789473681</v>
      </c>
      <c r="BR545" s="235" cm="1">
        <f t="array" ref="BR545">$BI545 * IF($AH545&lt;=2,
SUMPRODUCT(INDEX($AR$72:$AT$76,,$AI545), INDEX($AU$72:$BA$76,,$AH545), 1 / ($BB$72:$BB$76*BQ545 + (1-$BB$72:$BB$76)*BM545), N($AQ$72:$AQ$76&gt;$AO545)),
SUMPRODUCT(INDEX($AR$67:$AT$76,,$AI545), INDEX($AU$67:$BA$76,,$AH545), 1 / ($BC$67:$BC$76*BQ545 + (1-$BC$67:$BC$76)*BM545), N($AQ$67:$AQ$76&gt;$AO545))
) / 1000</f>
        <v>0</v>
      </c>
      <c r="BS545" s="232">
        <f t="shared" si="606"/>
        <v>25</v>
      </c>
      <c r="BT545" s="230">
        <f t="shared" si="583"/>
        <v>38</v>
      </c>
      <c r="BU545" s="235">
        <f t="shared" si="584"/>
        <v>3.792954545454545</v>
      </c>
      <c r="BV545" s="235" cm="1">
        <f t="array" ref="BV545">$BI545 * IF($AH545&lt;=2,
SUMPRODUCT(INDEX($AR$67:$AT$71,,$AI545), INDEX($AU$67:$BA$71,,$AH545), 1 / ($BB$67:$BB$71*BU545 + (1-$BB$67:$BB$71)*BQ545), N($AQ$67:$AQ$71&gt;$AO545)),
SUMPRODUCT(INDEX($AR$57:$AT$66,,$AI545), INDEX($AU$57:$BA$66,,$AH545), 1 / ($BC$57:$BC$66*BU545 + (1-$BC$57:$BC$66)*BQ545), N($AQ$57:$AQ$66&gt;$AO545))
) / 1000</f>
        <v>0</v>
      </c>
      <c r="BW545" s="232">
        <f t="shared" si="607"/>
        <v>20</v>
      </c>
      <c r="BX545" s="230">
        <f t="shared" si="585"/>
        <v>33</v>
      </c>
      <c r="BY545" s="235">
        <f t="shared" si="586"/>
        <v>4.4702678571428569</v>
      </c>
      <c r="BZ545" s="235" cm="1">
        <f t="array" ref="BZ545">$BI545 * IF($AH545&lt;=2,
SUMPRODUCT(INDEX($AR$62:$AT$66,,$AI545), INDEX($AU$62:$BA$66,,$AH545), 1 / ($BB$62:$BB$66*BY545 + (1-$BB$62:$BB$66)*BU545), N($AQ$62:$AQ$66&gt;$AO545)),
SUMPRODUCT(INDEX($AR$47:$AT$56,,$AI545), INDEX($AU$47:$BA$56,,$AH545), 1 / ($BC$47:$BC$56*BY545 + (1-$BC$47:$BC$56)*BU545), N($AQ$47:$AQ$56&gt;$AO545))
) / 1000</f>
        <v>0</v>
      </c>
      <c r="CA545" s="235" cm="1">
        <f t="array" ref="CA545">$BI545 * IF($AH545&lt;=2,
SUMPRODUCT(INDEX($AR$23:$AT$61,,$AI545), INDEX($AU$23:$BA$61,,$AH545), 1 / ($BB$23:$BB$61*BY545), N($AQ$23:$AQ$61&gt;$AO545)),
SUMPRODUCT(INDEX($AR$23:$AT$46,,$AI545), INDEX($AU$23:$BA$46,,$AH545), 1 / ($BC$23:$BC$46*BY545), N($AQ$23:$AQ$46&gt;$AO545))
) / 1000</f>
        <v>0</v>
      </c>
      <c r="CB545" s="230">
        <f t="shared" si="587"/>
        <v>0</v>
      </c>
      <c r="CC545" s="238"/>
      <c r="CD545" s="229" cm="1">
        <f t="array" ref="CD545">IF(ISBLANK(Y545), INDEX(Use, $AH545, 4) - AN545*INDEX(Use, $AH545, 6) - (Q545-X545), Y545)</f>
        <v>7</v>
      </c>
      <c r="CE545" s="229">
        <f t="shared" si="588"/>
        <v>32</v>
      </c>
      <c r="CF545" s="230">
        <f t="shared" si="589"/>
        <v>0</v>
      </c>
      <c r="CG545" s="229">
        <v>35</v>
      </c>
      <c r="CH545" s="230">
        <f t="shared" si="590"/>
        <v>48</v>
      </c>
      <c r="CI545" s="235">
        <f t="shared" si="591"/>
        <v>3.0748170731707316</v>
      </c>
      <c r="CJ545" s="235" cm="1">
        <f t="array" ref="CJ545">$BI545 * SUMPRODUCT(INDEX($AR$77:$AT$82,,$AI545),INDEX($AU$77:$BA$82,,$AH545), N($AQ$77:$AQ$82&gt;$AO545)) / CI545 / 1000</f>
        <v>0</v>
      </c>
      <c r="CK545" s="232">
        <f t="shared" si="608"/>
        <v>30</v>
      </c>
      <c r="CL545" s="230">
        <f t="shared" si="592"/>
        <v>43</v>
      </c>
      <c r="CM545" s="235">
        <f t="shared" si="593"/>
        <v>3.5018750000000001</v>
      </c>
      <c r="CN545" s="235" cm="1">
        <f t="array" ref="CN545">$BI545 * IF($AH545&lt;=2,
SUMPRODUCT(INDEX($AR$72:$AT$76,,$AI545), INDEX($AU$72:$BA$76,,$AH545), 1 / ($BB$72:$BB$76*CM545 + (1-$BB$72:$BB$76)*CI545), N($AQ$72:$AQ$76&gt;$AO545)),
SUMPRODUCT(INDEX($AR$67:$AT$76,,$AI545), INDEX($AU$67:$BA$76,,$AH545), 1 / ($BC$67:$BC$76*CM545 + (1-$BC$67:$BC$76)*CI545), N($AQ$67:$AQ$76&gt;$AO545))
) / 1000</f>
        <v>0</v>
      </c>
      <c r="CO545" s="232">
        <f t="shared" si="609"/>
        <v>25</v>
      </c>
      <c r="CP545" s="230">
        <f t="shared" si="594"/>
        <v>38</v>
      </c>
      <c r="CQ545" s="235">
        <f t="shared" si="595"/>
        <v>4.0666935483870965</v>
      </c>
      <c r="CR545" s="235" cm="1">
        <f t="array" ref="CR545">$BI545 * IF($AH545&lt;=2,
SUMPRODUCT(INDEX($AR$67:$AT$71,,$AI545), INDEX($AU$67:$BA$71,,$AH545), 1 / ($BB$67:$BB$71*CQ545 + (1-$BB$67:$BB$71)*CM545), N($AQ$67:$AQ$71&gt;$AO545)),
SUMPRODUCT(INDEX($AR$57:$AT$66,,$AI545), INDEX($AU$57:$BA$66,,$AH545), 1 / ($BC$57:$BC$66*CQ545 + (1-$BC$57:$BC$66)*CM545), N($AQ$57:$AQ$66&gt;$AO545))
) / 1000</f>
        <v>0</v>
      </c>
      <c r="CS545" s="232">
        <f t="shared" si="610"/>
        <v>20</v>
      </c>
      <c r="CT545" s="230">
        <f t="shared" si="596"/>
        <v>33</v>
      </c>
      <c r="CU545" s="235">
        <f t="shared" si="597"/>
        <v>4.8487499999999999</v>
      </c>
      <c r="CV545" s="235" cm="1">
        <f t="array" ref="CV545">$BI545 * IF($AH545&lt;=2,
SUMPRODUCT(INDEX($AR$62:$AT$66,,$AI545), INDEX($AU$62:$BA$66,,$AH545), 1 / ($BB$62:$BB$66*CU545 + (1-$BB$62:$BB$66)*CQ545), N($AQ$62:$AQ$66&gt;$AO545)),
SUMPRODUCT(INDEX($AR$47:$AT$56,,$AI545), INDEX($AU$47:$BA$56,,$AH545), 1 / ($BC$47:$BC$56*CU545 + (1-$BC$47:$BC$56)*CQ545), N($AQ$47:$AQ$56&gt;$AO545))
) / 1000</f>
        <v>0</v>
      </c>
      <c r="CW545" s="235" cm="1">
        <f t="array" ref="CW545">$BI545 * IF($AH545&lt;=2,
SUMPRODUCT(INDEX($AR$23:$AT$61,,$AI545), INDEX($AU$23:$BA$61,,$AH545), 1 / ($BB$23:$BB$61*CU545), N($AQ$23:$AQ$61&gt;$AO545)),
SUMPRODUCT(INDEX($AR$23:$AT$46,,$AI545), INDEX($AU$23:$BA$46,,$AH545), 1 / ($BC$23:$BC$46*CU545), N($AQ$23:$AQ$46&gt;$AO545))
) / 1000</f>
        <v>0</v>
      </c>
      <c r="CX545" s="230">
        <f t="shared" si="598"/>
        <v>0</v>
      </c>
      <c r="CY545" s="238"/>
    </row>
    <row r="546" spans="1:103" s="76" customFormat="1" ht="14.25" customHeight="1" x14ac:dyDescent="0.2">
      <c r="A546" s="231" t="b">
        <f t="shared" si="602"/>
        <v>0</v>
      </c>
      <c r="B546" s="245">
        <v>524</v>
      </c>
      <c r="C546" s="258"/>
      <c r="D546" s="258"/>
      <c r="E546" s="246"/>
      <c r="F546" s="247" t="str">
        <f>IF(ISBLANK(E546), "", VLOOKUP(E546, Z!$A$2:$C$4127, 3, FALSE))</f>
        <v/>
      </c>
      <c r="G546" s="248"/>
      <c r="H546" s="248"/>
      <c r="I546" s="249"/>
      <c r="J546" s="250"/>
      <c r="K546" s="259"/>
      <c r="L546" s="260"/>
      <c r="M546" s="252" t="str" cm="1">
        <f t="array" ref="M546">INDEX(Trad, 53, $A$20)</f>
        <v>Verschmutzt</v>
      </c>
      <c r="N546" s="253"/>
      <c r="O546" s="253"/>
      <c r="P546" s="254"/>
      <c r="Q546" s="251"/>
      <c r="R546" s="251"/>
      <c r="S546" s="264">
        <f t="shared" si="573"/>
        <v>0</v>
      </c>
      <c r="T546" s="252" t="str" cm="1">
        <f t="array" ref="T546">INDEX(Trad, 52, $A$20)</f>
        <v>Sauber</v>
      </c>
      <c r="U546" s="253"/>
      <c r="V546" s="253"/>
      <c r="W546" s="254"/>
      <c r="X546" s="251"/>
      <c r="Y546" s="251"/>
      <c r="Z546" s="264">
        <f t="shared" si="574"/>
        <v>0</v>
      </c>
      <c r="AA546" s="261"/>
      <c r="AB546" s="258"/>
      <c r="AC546" s="246"/>
      <c r="AD546" s="247" t="str">
        <f>IF(ISBLANK(AC546), "", VLOOKUP(AC546, Z!$A$2:$C$4127, 3, FALSE))</f>
        <v/>
      </c>
      <c r="AE546" s="262"/>
      <c r="AF546" s="263">
        <f t="shared" si="575"/>
        <v>0</v>
      </c>
      <c r="AG546" s="238"/>
      <c r="AH546" s="229">
        <f t="shared" si="599"/>
        <v>1</v>
      </c>
      <c r="AI546" s="229">
        <f t="shared" si="600"/>
        <v>1</v>
      </c>
      <c r="AJ546" s="229">
        <f t="shared" si="601"/>
        <v>0</v>
      </c>
      <c r="AK546" s="229">
        <v>0</v>
      </c>
      <c r="AL546" s="229">
        <v>0</v>
      </c>
      <c r="AM546" s="229">
        <v>1</v>
      </c>
      <c r="AN546" s="229">
        <v>0</v>
      </c>
      <c r="AO546" s="229">
        <f t="shared" si="576"/>
        <v>-100</v>
      </c>
      <c r="AP546" s="238"/>
      <c r="AQ546" s="255"/>
      <c r="AR546" s="255"/>
      <c r="AS546" s="256"/>
      <c r="AT546" s="256"/>
      <c r="AU546" s="256"/>
      <c r="AV546" s="256"/>
      <c r="AW546" s="256"/>
      <c r="AX546" s="256"/>
      <c r="AY546" s="256"/>
      <c r="AZ546" s="256"/>
      <c r="BA546" s="256"/>
      <c r="BB546" s="256"/>
      <c r="BC546" s="256"/>
      <c r="BD546" s="238"/>
      <c r="BE546" s="229" cm="1">
        <f t="array" ref="BE546">IF(ISBLANK(R546), INDEX(Use, $AH546, 4) - AM546*INDEX(Use, $AH546, 6), R546)</f>
        <v>5</v>
      </c>
      <c r="BF546" s="229">
        <f t="shared" si="577"/>
        <v>30</v>
      </c>
      <c r="BG546" s="229">
        <f t="shared" si="603"/>
        <v>13</v>
      </c>
      <c r="BH546" s="229">
        <f t="shared" si="604"/>
        <v>0</v>
      </c>
      <c r="BI546" s="234" cm="1">
        <f t="array" ref="BI546">K546/IF($L546&gt;0, INDEX($AU$23:$BA$77, $L546+20, $AH546), 1)</f>
        <v>0</v>
      </c>
      <c r="BJ546" s="230">
        <f t="shared" si="578"/>
        <v>0</v>
      </c>
      <c r="BK546" s="229">
        <v>35</v>
      </c>
      <c r="BL546" s="230">
        <f t="shared" si="579"/>
        <v>48</v>
      </c>
      <c r="BM546" s="235">
        <f t="shared" si="580"/>
        <v>2.9108720930232557</v>
      </c>
      <c r="BN546" s="235" cm="1">
        <f t="array" ref="BN546">$BI546 * SUMPRODUCT(INDEX($AR$77:$AT$82,,$AI546),INDEX($AU$77:$BA$82,,$AH546), N($AQ$77:$AQ$82&gt;$AO546)) / BM546 / 1000</f>
        <v>0</v>
      </c>
      <c r="BO546" s="232">
        <f t="shared" si="605"/>
        <v>30</v>
      </c>
      <c r="BP546" s="230">
        <f t="shared" si="581"/>
        <v>43</v>
      </c>
      <c r="BQ546" s="235">
        <f t="shared" si="582"/>
        <v>3.2938815789473681</v>
      </c>
      <c r="BR546" s="235" cm="1">
        <f t="array" ref="BR546">$BI546 * IF($AH546&lt;=2,
SUMPRODUCT(INDEX($AR$72:$AT$76,,$AI546), INDEX($AU$72:$BA$76,,$AH546), 1 / ($BB$72:$BB$76*BQ546 + (1-$BB$72:$BB$76)*BM546), N($AQ$72:$AQ$76&gt;$AO546)),
SUMPRODUCT(INDEX($AR$67:$AT$76,,$AI546), INDEX($AU$67:$BA$76,,$AH546), 1 / ($BC$67:$BC$76*BQ546 + (1-$BC$67:$BC$76)*BM546), N($AQ$67:$AQ$76&gt;$AO546))
) / 1000</f>
        <v>0</v>
      </c>
      <c r="BS546" s="232">
        <f t="shared" si="606"/>
        <v>25</v>
      </c>
      <c r="BT546" s="230">
        <f t="shared" si="583"/>
        <v>38</v>
      </c>
      <c r="BU546" s="235">
        <f t="shared" si="584"/>
        <v>3.792954545454545</v>
      </c>
      <c r="BV546" s="235" cm="1">
        <f t="array" ref="BV546">$BI546 * IF($AH546&lt;=2,
SUMPRODUCT(INDEX($AR$67:$AT$71,,$AI546), INDEX($AU$67:$BA$71,,$AH546), 1 / ($BB$67:$BB$71*BU546 + (1-$BB$67:$BB$71)*BQ546), N($AQ$67:$AQ$71&gt;$AO546)),
SUMPRODUCT(INDEX($AR$57:$AT$66,,$AI546), INDEX($AU$57:$BA$66,,$AH546), 1 / ($BC$57:$BC$66*BU546 + (1-$BC$57:$BC$66)*BQ546), N($AQ$57:$AQ$66&gt;$AO546))
) / 1000</f>
        <v>0</v>
      </c>
      <c r="BW546" s="232">
        <f t="shared" si="607"/>
        <v>20</v>
      </c>
      <c r="BX546" s="230">
        <f t="shared" si="585"/>
        <v>33</v>
      </c>
      <c r="BY546" s="235">
        <f t="shared" si="586"/>
        <v>4.4702678571428569</v>
      </c>
      <c r="BZ546" s="235" cm="1">
        <f t="array" ref="BZ546">$BI546 * IF($AH546&lt;=2,
SUMPRODUCT(INDEX($AR$62:$AT$66,,$AI546), INDEX($AU$62:$BA$66,,$AH546), 1 / ($BB$62:$BB$66*BY546 + (1-$BB$62:$BB$66)*BU546), N($AQ$62:$AQ$66&gt;$AO546)),
SUMPRODUCT(INDEX($AR$47:$AT$56,,$AI546), INDEX($AU$47:$BA$56,,$AH546), 1 / ($BC$47:$BC$56*BY546 + (1-$BC$47:$BC$56)*BU546), N($AQ$47:$AQ$56&gt;$AO546))
) / 1000</f>
        <v>0</v>
      </c>
      <c r="CA546" s="235" cm="1">
        <f t="array" ref="CA546">$BI546 * IF($AH546&lt;=2,
SUMPRODUCT(INDEX($AR$23:$AT$61,,$AI546), INDEX($AU$23:$BA$61,,$AH546), 1 / ($BB$23:$BB$61*BY546), N($AQ$23:$AQ$61&gt;$AO546)),
SUMPRODUCT(INDEX($AR$23:$AT$46,,$AI546), INDEX($AU$23:$BA$46,,$AH546), 1 / ($BC$23:$BC$46*BY546), N($AQ$23:$AQ$46&gt;$AO546))
) / 1000</f>
        <v>0</v>
      </c>
      <c r="CB546" s="230">
        <f t="shared" si="587"/>
        <v>0</v>
      </c>
      <c r="CC546" s="238"/>
      <c r="CD546" s="229" cm="1">
        <f t="array" ref="CD546">IF(ISBLANK(Y546), INDEX(Use, $AH546, 4) - AN546*INDEX(Use, $AH546, 6) - (Q546-X546), Y546)</f>
        <v>7</v>
      </c>
      <c r="CE546" s="229">
        <f t="shared" si="588"/>
        <v>32</v>
      </c>
      <c r="CF546" s="230">
        <f t="shared" si="589"/>
        <v>0</v>
      </c>
      <c r="CG546" s="229">
        <v>35</v>
      </c>
      <c r="CH546" s="230">
        <f t="shared" si="590"/>
        <v>48</v>
      </c>
      <c r="CI546" s="235">
        <f t="shared" si="591"/>
        <v>3.0748170731707316</v>
      </c>
      <c r="CJ546" s="235" cm="1">
        <f t="array" ref="CJ546">$BI546 * SUMPRODUCT(INDEX($AR$77:$AT$82,,$AI546),INDEX($AU$77:$BA$82,,$AH546), N($AQ$77:$AQ$82&gt;$AO546)) / CI546 / 1000</f>
        <v>0</v>
      </c>
      <c r="CK546" s="232">
        <f t="shared" si="608"/>
        <v>30</v>
      </c>
      <c r="CL546" s="230">
        <f t="shared" si="592"/>
        <v>43</v>
      </c>
      <c r="CM546" s="235">
        <f t="shared" si="593"/>
        <v>3.5018750000000001</v>
      </c>
      <c r="CN546" s="235" cm="1">
        <f t="array" ref="CN546">$BI546 * IF($AH546&lt;=2,
SUMPRODUCT(INDEX($AR$72:$AT$76,,$AI546), INDEX($AU$72:$BA$76,,$AH546), 1 / ($BB$72:$BB$76*CM546 + (1-$BB$72:$BB$76)*CI546), N($AQ$72:$AQ$76&gt;$AO546)),
SUMPRODUCT(INDEX($AR$67:$AT$76,,$AI546), INDEX($AU$67:$BA$76,,$AH546), 1 / ($BC$67:$BC$76*CM546 + (1-$BC$67:$BC$76)*CI546), N($AQ$67:$AQ$76&gt;$AO546))
) / 1000</f>
        <v>0</v>
      </c>
      <c r="CO546" s="232">
        <f t="shared" si="609"/>
        <v>25</v>
      </c>
      <c r="CP546" s="230">
        <f t="shared" si="594"/>
        <v>38</v>
      </c>
      <c r="CQ546" s="235">
        <f t="shared" si="595"/>
        <v>4.0666935483870965</v>
      </c>
      <c r="CR546" s="235" cm="1">
        <f t="array" ref="CR546">$BI546 * IF($AH546&lt;=2,
SUMPRODUCT(INDEX($AR$67:$AT$71,,$AI546), INDEX($AU$67:$BA$71,,$AH546), 1 / ($BB$67:$BB$71*CQ546 + (1-$BB$67:$BB$71)*CM546), N($AQ$67:$AQ$71&gt;$AO546)),
SUMPRODUCT(INDEX($AR$57:$AT$66,,$AI546), INDEX($AU$57:$BA$66,,$AH546), 1 / ($BC$57:$BC$66*CQ546 + (1-$BC$57:$BC$66)*CM546), N($AQ$57:$AQ$66&gt;$AO546))
) / 1000</f>
        <v>0</v>
      </c>
      <c r="CS546" s="232">
        <f t="shared" si="610"/>
        <v>20</v>
      </c>
      <c r="CT546" s="230">
        <f t="shared" si="596"/>
        <v>33</v>
      </c>
      <c r="CU546" s="235">
        <f t="shared" si="597"/>
        <v>4.8487499999999999</v>
      </c>
      <c r="CV546" s="235" cm="1">
        <f t="array" ref="CV546">$BI546 * IF($AH546&lt;=2,
SUMPRODUCT(INDEX($AR$62:$AT$66,,$AI546), INDEX($AU$62:$BA$66,,$AH546), 1 / ($BB$62:$BB$66*CU546 + (1-$BB$62:$BB$66)*CQ546), N($AQ$62:$AQ$66&gt;$AO546)),
SUMPRODUCT(INDEX($AR$47:$AT$56,,$AI546), INDEX($AU$47:$BA$56,,$AH546), 1 / ($BC$47:$BC$56*CU546 + (1-$BC$47:$BC$56)*CQ546), N($AQ$47:$AQ$56&gt;$AO546))
) / 1000</f>
        <v>0</v>
      </c>
      <c r="CW546" s="235" cm="1">
        <f t="array" ref="CW546">$BI546 * IF($AH546&lt;=2,
SUMPRODUCT(INDEX($AR$23:$AT$61,,$AI546), INDEX($AU$23:$BA$61,,$AH546), 1 / ($BB$23:$BB$61*CU546), N($AQ$23:$AQ$61&gt;$AO546)),
SUMPRODUCT(INDEX($AR$23:$AT$46,,$AI546), INDEX($AU$23:$BA$46,,$AH546), 1 / ($BC$23:$BC$46*CU546), N($AQ$23:$AQ$46&gt;$AO546))
) / 1000</f>
        <v>0</v>
      </c>
      <c r="CX546" s="230">
        <f t="shared" si="598"/>
        <v>0</v>
      </c>
      <c r="CY546" s="238"/>
    </row>
    <row r="547" spans="1:103" s="76" customFormat="1" ht="14.25" customHeight="1" x14ac:dyDescent="0.2">
      <c r="A547" s="231" t="b">
        <f t="shared" si="602"/>
        <v>0</v>
      </c>
      <c r="B547" s="245">
        <v>525</v>
      </c>
      <c r="C547" s="258"/>
      <c r="D547" s="258"/>
      <c r="E547" s="246"/>
      <c r="F547" s="247" t="str">
        <f>IF(ISBLANK(E547), "", VLOOKUP(E547, Z!$A$2:$C$4127, 3, FALSE))</f>
        <v/>
      </c>
      <c r="G547" s="248"/>
      <c r="H547" s="248"/>
      <c r="I547" s="249"/>
      <c r="J547" s="250"/>
      <c r="K547" s="259"/>
      <c r="L547" s="260"/>
      <c r="M547" s="252" t="str" cm="1">
        <f t="array" ref="M547">INDEX(Trad, 53, $A$20)</f>
        <v>Verschmutzt</v>
      </c>
      <c r="N547" s="253"/>
      <c r="O547" s="253"/>
      <c r="P547" s="254"/>
      <c r="Q547" s="251"/>
      <c r="R547" s="251"/>
      <c r="S547" s="264">
        <f t="shared" si="573"/>
        <v>0</v>
      </c>
      <c r="T547" s="252" t="str" cm="1">
        <f t="array" ref="T547">INDEX(Trad, 52, $A$20)</f>
        <v>Sauber</v>
      </c>
      <c r="U547" s="253"/>
      <c r="V547" s="253"/>
      <c r="W547" s="254"/>
      <c r="X547" s="251"/>
      <c r="Y547" s="251"/>
      <c r="Z547" s="264">
        <f t="shared" si="574"/>
        <v>0</v>
      </c>
      <c r="AA547" s="261"/>
      <c r="AB547" s="258"/>
      <c r="AC547" s="246"/>
      <c r="AD547" s="247" t="str">
        <f>IF(ISBLANK(AC547), "", VLOOKUP(AC547, Z!$A$2:$C$4127, 3, FALSE))</f>
        <v/>
      </c>
      <c r="AE547" s="262"/>
      <c r="AF547" s="263">
        <f t="shared" si="575"/>
        <v>0</v>
      </c>
      <c r="AG547" s="238"/>
      <c r="AH547" s="229">
        <f t="shared" si="599"/>
        <v>1</v>
      </c>
      <c r="AI547" s="229">
        <f t="shared" si="600"/>
        <v>1</v>
      </c>
      <c r="AJ547" s="229">
        <f t="shared" si="601"/>
        <v>0</v>
      </c>
      <c r="AK547" s="229">
        <v>0</v>
      </c>
      <c r="AL547" s="229">
        <v>0</v>
      </c>
      <c r="AM547" s="229">
        <v>1</v>
      </c>
      <c r="AN547" s="229">
        <v>0</v>
      </c>
      <c r="AO547" s="229">
        <f t="shared" si="576"/>
        <v>-100</v>
      </c>
      <c r="AP547" s="238"/>
      <c r="AQ547" s="255"/>
      <c r="AR547" s="255"/>
      <c r="AS547" s="256"/>
      <c r="AT547" s="256"/>
      <c r="AU547" s="256"/>
      <c r="AV547" s="256"/>
      <c r="AW547" s="256"/>
      <c r="AX547" s="256"/>
      <c r="AY547" s="256"/>
      <c r="AZ547" s="256"/>
      <c r="BA547" s="256"/>
      <c r="BB547" s="256"/>
      <c r="BC547" s="256"/>
      <c r="BD547" s="238"/>
      <c r="BE547" s="229" cm="1">
        <f t="array" ref="BE547">IF(ISBLANK(R547), INDEX(Use, $AH547, 4) - AM547*INDEX(Use, $AH547, 6), R547)</f>
        <v>5</v>
      </c>
      <c r="BF547" s="229">
        <f t="shared" si="577"/>
        <v>30</v>
      </c>
      <c r="BG547" s="229">
        <f t="shared" si="603"/>
        <v>13</v>
      </c>
      <c r="BH547" s="229">
        <f t="shared" si="604"/>
        <v>0</v>
      </c>
      <c r="BI547" s="234" cm="1">
        <f t="array" ref="BI547">K547/IF($L547&gt;0, INDEX($AU$23:$BA$77, $L547+20, $AH547), 1)</f>
        <v>0</v>
      </c>
      <c r="BJ547" s="230">
        <f t="shared" si="578"/>
        <v>0</v>
      </c>
      <c r="BK547" s="229">
        <v>35</v>
      </c>
      <c r="BL547" s="230">
        <f t="shared" si="579"/>
        <v>48</v>
      </c>
      <c r="BM547" s="235">
        <f t="shared" si="580"/>
        <v>2.9108720930232557</v>
      </c>
      <c r="BN547" s="235" cm="1">
        <f t="array" ref="BN547">$BI547 * SUMPRODUCT(INDEX($AR$77:$AT$82,,$AI547),INDEX($AU$77:$BA$82,,$AH547), N($AQ$77:$AQ$82&gt;$AO547)) / BM547 / 1000</f>
        <v>0</v>
      </c>
      <c r="BO547" s="232">
        <f t="shared" si="605"/>
        <v>30</v>
      </c>
      <c r="BP547" s="230">
        <f t="shared" si="581"/>
        <v>43</v>
      </c>
      <c r="BQ547" s="235">
        <f t="shared" si="582"/>
        <v>3.2938815789473681</v>
      </c>
      <c r="BR547" s="235" cm="1">
        <f t="array" ref="BR547">$BI547 * IF($AH547&lt;=2,
SUMPRODUCT(INDEX($AR$72:$AT$76,,$AI547), INDEX($AU$72:$BA$76,,$AH547), 1 / ($BB$72:$BB$76*BQ547 + (1-$BB$72:$BB$76)*BM547), N($AQ$72:$AQ$76&gt;$AO547)),
SUMPRODUCT(INDEX($AR$67:$AT$76,,$AI547), INDEX($AU$67:$BA$76,,$AH547), 1 / ($BC$67:$BC$76*BQ547 + (1-$BC$67:$BC$76)*BM547), N($AQ$67:$AQ$76&gt;$AO547))
) / 1000</f>
        <v>0</v>
      </c>
      <c r="BS547" s="232">
        <f t="shared" si="606"/>
        <v>25</v>
      </c>
      <c r="BT547" s="230">
        <f t="shared" si="583"/>
        <v>38</v>
      </c>
      <c r="BU547" s="235">
        <f t="shared" si="584"/>
        <v>3.792954545454545</v>
      </c>
      <c r="BV547" s="235" cm="1">
        <f t="array" ref="BV547">$BI547 * IF($AH547&lt;=2,
SUMPRODUCT(INDEX($AR$67:$AT$71,,$AI547), INDEX($AU$67:$BA$71,,$AH547), 1 / ($BB$67:$BB$71*BU547 + (1-$BB$67:$BB$71)*BQ547), N($AQ$67:$AQ$71&gt;$AO547)),
SUMPRODUCT(INDEX($AR$57:$AT$66,,$AI547), INDEX($AU$57:$BA$66,,$AH547), 1 / ($BC$57:$BC$66*BU547 + (1-$BC$57:$BC$66)*BQ547), N($AQ$57:$AQ$66&gt;$AO547))
) / 1000</f>
        <v>0</v>
      </c>
      <c r="BW547" s="232">
        <f t="shared" si="607"/>
        <v>20</v>
      </c>
      <c r="BX547" s="230">
        <f t="shared" si="585"/>
        <v>33</v>
      </c>
      <c r="BY547" s="235">
        <f t="shared" si="586"/>
        <v>4.4702678571428569</v>
      </c>
      <c r="BZ547" s="235" cm="1">
        <f t="array" ref="BZ547">$BI547 * IF($AH547&lt;=2,
SUMPRODUCT(INDEX($AR$62:$AT$66,,$AI547), INDEX($AU$62:$BA$66,,$AH547), 1 / ($BB$62:$BB$66*BY547 + (1-$BB$62:$BB$66)*BU547), N($AQ$62:$AQ$66&gt;$AO547)),
SUMPRODUCT(INDEX($AR$47:$AT$56,,$AI547), INDEX($AU$47:$BA$56,,$AH547), 1 / ($BC$47:$BC$56*BY547 + (1-$BC$47:$BC$56)*BU547), N($AQ$47:$AQ$56&gt;$AO547))
) / 1000</f>
        <v>0</v>
      </c>
      <c r="CA547" s="235" cm="1">
        <f t="array" ref="CA547">$BI547 * IF($AH547&lt;=2,
SUMPRODUCT(INDEX($AR$23:$AT$61,,$AI547), INDEX($AU$23:$BA$61,,$AH547), 1 / ($BB$23:$BB$61*BY547), N($AQ$23:$AQ$61&gt;$AO547)),
SUMPRODUCT(INDEX($AR$23:$AT$46,,$AI547), INDEX($AU$23:$BA$46,,$AH547), 1 / ($BC$23:$BC$46*BY547), N($AQ$23:$AQ$46&gt;$AO547))
) / 1000</f>
        <v>0</v>
      </c>
      <c r="CB547" s="230">
        <f t="shared" si="587"/>
        <v>0</v>
      </c>
      <c r="CC547" s="238"/>
      <c r="CD547" s="229" cm="1">
        <f t="array" ref="CD547">IF(ISBLANK(Y547), INDEX(Use, $AH547, 4) - AN547*INDEX(Use, $AH547, 6) - (Q547-X547), Y547)</f>
        <v>7</v>
      </c>
      <c r="CE547" s="229">
        <f t="shared" si="588"/>
        <v>32</v>
      </c>
      <c r="CF547" s="230">
        <f t="shared" si="589"/>
        <v>0</v>
      </c>
      <c r="CG547" s="229">
        <v>35</v>
      </c>
      <c r="CH547" s="230">
        <f t="shared" si="590"/>
        <v>48</v>
      </c>
      <c r="CI547" s="235">
        <f t="shared" si="591"/>
        <v>3.0748170731707316</v>
      </c>
      <c r="CJ547" s="235" cm="1">
        <f t="array" ref="CJ547">$BI547 * SUMPRODUCT(INDEX($AR$77:$AT$82,,$AI547),INDEX($AU$77:$BA$82,,$AH547), N($AQ$77:$AQ$82&gt;$AO547)) / CI547 / 1000</f>
        <v>0</v>
      </c>
      <c r="CK547" s="232">
        <f t="shared" si="608"/>
        <v>30</v>
      </c>
      <c r="CL547" s="230">
        <f t="shared" si="592"/>
        <v>43</v>
      </c>
      <c r="CM547" s="235">
        <f t="shared" si="593"/>
        <v>3.5018750000000001</v>
      </c>
      <c r="CN547" s="235" cm="1">
        <f t="array" ref="CN547">$BI547 * IF($AH547&lt;=2,
SUMPRODUCT(INDEX($AR$72:$AT$76,,$AI547), INDEX($AU$72:$BA$76,,$AH547), 1 / ($BB$72:$BB$76*CM547 + (1-$BB$72:$BB$76)*CI547), N($AQ$72:$AQ$76&gt;$AO547)),
SUMPRODUCT(INDEX($AR$67:$AT$76,,$AI547), INDEX($AU$67:$BA$76,,$AH547), 1 / ($BC$67:$BC$76*CM547 + (1-$BC$67:$BC$76)*CI547), N($AQ$67:$AQ$76&gt;$AO547))
) / 1000</f>
        <v>0</v>
      </c>
      <c r="CO547" s="232">
        <f t="shared" si="609"/>
        <v>25</v>
      </c>
      <c r="CP547" s="230">
        <f t="shared" si="594"/>
        <v>38</v>
      </c>
      <c r="CQ547" s="235">
        <f t="shared" si="595"/>
        <v>4.0666935483870965</v>
      </c>
      <c r="CR547" s="235" cm="1">
        <f t="array" ref="CR547">$BI547 * IF($AH547&lt;=2,
SUMPRODUCT(INDEX($AR$67:$AT$71,,$AI547), INDEX($AU$67:$BA$71,,$AH547), 1 / ($BB$67:$BB$71*CQ547 + (1-$BB$67:$BB$71)*CM547), N($AQ$67:$AQ$71&gt;$AO547)),
SUMPRODUCT(INDEX($AR$57:$AT$66,,$AI547), INDEX($AU$57:$BA$66,,$AH547), 1 / ($BC$57:$BC$66*CQ547 + (1-$BC$57:$BC$66)*CM547), N($AQ$57:$AQ$66&gt;$AO547))
) / 1000</f>
        <v>0</v>
      </c>
      <c r="CS547" s="232">
        <f t="shared" si="610"/>
        <v>20</v>
      </c>
      <c r="CT547" s="230">
        <f t="shared" si="596"/>
        <v>33</v>
      </c>
      <c r="CU547" s="235">
        <f t="shared" si="597"/>
        <v>4.8487499999999999</v>
      </c>
      <c r="CV547" s="235" cm="1">
        <f t="array" ref="CV547">$BI547 * IF($AH547&lt;=2,
SUMPRODUCT(INDEX($AR$62:$AT$66,,$AI547), INDEX($AU$62:$BA$66,,$AH547), 1 / ($BB$62:$BB$66*CU547 + (1-$BB$62:$BB$66)*CQ547), N($AQ$62:$AQ$66&gt;$AO547)),
SUMPRODUCT(INDEX($AR$47:$AT$56,,$AI547), INDEX($AU$47:$BA$56,,$AH547), 1 / ($BC$47:$BC$56*CU547 + (1-$BC$47:$BC$56)*CQ547), N($AQ$47:$AQ$56&gt;$AO547))
) / 1000</f>
        <v>0</v>
      </c>
      <c r="CW547" s="235" cm="1">
        <f t="array" ref="CW547">$BI547 * IF($AH547&lt;=2,
SUMPRODUCT(INDEX($AR$23:$AT$61,,$AI547), INDEX($AU$23:$BA$61,,$AH547), 1 / ($BB$23:$BB$61*CU547), N($AQ$23:$AQ$61&gt;$AO547)),
SUMPRODUCT(INDEX($AR$23:$AT$46,,$AI547), INDEX($AU$23:$BA$46,,$AH547), 1 / ($BC$23:$BC$46*CU547), N($AQ$23:$AQ$46&gt;$AO547))
) / 1000</f>
        <v>0</v>
      </c>
      <c r="CX547" s="230">
        <f t="shared" si="598"/>
        <v>0</v>
      </c>
      <c r="CY547" s="238"/>
    </row>
    <row r="548" spans="1:103" s="76" customFormat="1" ht="14.25" customHeight="1" x14ac:dyDescent="0.2">
      <c r="A548" s="231" t="b">
        <f t="shared" si="602"/>
        <v>0</v>
      </c>
      <c r="B548" s="245">
        <v>526</v>
      </c>
      <c r="C548" s="258"/>
      <c r="D548" s="258"/>
      <c r="E548" s="246"/>
      <c r="F548" s="247" t="str">
        <f>IF(ISBLANK(E548), "", VLOOKUP(E548, Z!$A$2:$C$4127, 3, FALSE))</f>
        <v/>
      </c>
      <c r="G548" s="248"/>
      <c r="H548" s="248"/>
      <c r="I548" s="249"/>
      <c r="J548" s="250"/>
      <c r="K548" s="259"/>
      <c r="L548" s="260"/>
      <c r="M548" s="252" t="str" cm="1">
        <f t="array" ref="M548">INDEX(Trad, 53, $A$20)</f>
        <v>Verschmutzt</v>
      </c>
      <c r="N548" s="253"/>
      <c r="O548" s="253"/>
      <c r="P548" s="254"/>
      <c r="Q548" s="251"/>
      <c r="R548" s="251"/>
      <c r="S548" s="264">
        <f t="shared" si="573"/>
        <v>0</v>
      </c>
      <c r="T548" s="252" t="str" cm="1">
        <f t="array" ref="T548">INDEX(Trad, 52, $A$20)</f>
        <v>Sauber</v>
      </c>
      <c r="U548" s="253"/>
      <c r="V548" s="253"/>
      <c r="W548" s="254"/>
      <c r="X548" s="251"/>
      <c r="Y548" s="251"/>
      <c r="Z548" s="264">
        <f t="shared" si="574"/>
        <v>0</v>
      </c>
      <c r="AA548" s="261"/>
      <c r="AB548" s="258"/>
      <c r="AC548" s="246"/>
      <c r="AD548" s="247" t="str">
        <f>IF(ISBLANK(AC548), "", VLOOKUP(AC548, Z!$A$2:$C$4127, 3, FALSE))</f>
        <v/>
      </c>
      <c r="AE548" s="262"/>
      <c r="AF548" s="263">
        <f t="shared" si="575"/>
        <v>0</v>
      </c>
      <c r="AG548" s="238"/>
      <c r="AH548" s="229">
        <f t="shared" si="599"/>
        <v>1</v>
      </c>
      <c r="AI548" s="229">
        <f t="shared" si="600"/>
        <v>1</v>
      </c>
      <c r="AJ548" s="229">
        <f t="shared" si="601"/>
        <v>0</v>
      </c>
      <c r="AK548" s="229">
        <v>0</v>
      </c>
      <c r="AL548" s="229">
        <v>0</v>
      </c>
      <c r="AM548" s="229">
        <v>1</v>
      </c>
      <c r="AN548" s="229">
        <v>0</v>
      </c>
      <c r="AO548" s="229">
        <f t="shared" si="576"/>
        <v>-100</v>
      </c>
      <c r="AP548" s="238"/>
      <c r="AQ548" s="255"/>
      <c r="AR548" s="255"/>
      <c r="AS548" s="256"/>
      <c r="AT548" s="256"/>
      <c r="AU548" s="256"/>
      <c r="AV548" s="256"/>
      <c r="AW548" s="256"/>
      <c r="AX548" s="256"/>
      <c r="AY548" s="256"/>
      <c r="AZ548" s="256"/>
      <c r="BA548" s="256"/>
      <c r="BB548" s="256"/>
      <c r="BC548" s="256"/>
      <c r="BD548" s="238"/>
      <c r="BE548" s="229" cm="1">
        <f t="array" ref="BE548">IF(ISBLANK(R548), INDEX(Use, $AH548, 4) - AM548*INDEX(Use, $AH548, 6), R548)</f>
        <v>5</v>
      </c>
      <c r="BF548" s="229">
        <f t="shared" si="577"/>
        <v>30</v>
      </c>
      <c r="BG548" s="229">
        <f t="shared" si="603"/>
        <v>13</v>
      </c>
      <c r="BH548" s="229">
        <f t="shared" si="604"/>
        <v>0</v>
      </c>
      <c r="BI548" s="234" cm="1">
        <f t="array" ref="BI548">K548/IF($L548&gt;0, INDEX($AU$23:$BA$77, $L548+20, $AH548), 1)</f>
        <v>0</v>
      </c>
      <c r="BJ548" s="230">
        <f t="shared" si="578"/>
        <v>0</v>
      </c>
      <c r="BK548" s="229">
        <v>35</v>
      </c>
      <c r="BL548" s="230">
        <f t="shared" si="579"/>
        <v>48</v>
      </c>
      <c r="BM548" s="235">
        <f t="shared" si="580"/>
        <v>2.9108720930232557</v>
      </c>
      <c r="BN548" s="235" cm="1">
        <f t="array" ref="BN548">$BI548 * SUMPRODUCT(INDEX($AR$77:$AT$82,,$AI548),INDEX($AU$77:$BA$82,,$AH548), N($AQ$77:$AQ$82&gt;$AO548)) / BM548 / 1000</f>
        <v>0</v>
      </c>
      <c r="BO548" s="232">
        <f t="shared" si="605"/>
        <v>30</v>
      </c>
      <c r="BP548" s="230">
        <f t="shared" si="581"/>
        <v>43</v>
      </c>
      <c r="BQ548" s="235">
        <f t="shared" si="582"/>
        <v>3.2938815789473681</v>
      </c>
      <c r="BR548" s="235" cm="1">
        <f t="array" ref="BR548">$BI548 * IF($AH548&lt;=2,
SUMPRODUCT(INDEX($AR$72:$AT$76,,$AI548), INDEX($AU$72:$BA$76,,$AH548), 1 / ($BB$72:$BB$76*BQ548 + (1-$BB$72:$BB$76)*BM548), N($AQ$72:$AQ$76&gt;$AO548)),
SUMPRODUCT(INDEX($AR$67:$AT$76,,$AI548), INDEX($AU$67:$BA$76,,$AH548), 1 / ($BC$67:$BC$76*BQ548 + (1-$BC$67:$BC$76)*BM548), N($AQ$67:$AQ$76&gt;$AO548))
) / 1000</f>
        <v>0</v>
      </c>
      <c r="BS548" s="232">
        <f t="shared" si="606"/>
        <v>25</v>
      </c>
      <c r="BT548" s="230">
        <f t="shared" si="583"/>
        <v>38</v>
      </c>
      <c r="BU548" s="235">
        <f t="shared" si="584"/>
        <v>3.792954545454545</v>
      </c>
      <c r="BV548" s="235" cm="1">
        <f t="array" ref="BV548">$BI548 * IF($AH548&lt;=2,
SUMPRODUCT(INDEX($AR$67:$AT$71,,$AI548), INDEX($AU$67:$BA$71,,$AH548), 1 / ($BB$67:$BB$71*BU548 + (1-$BB$67:$BB$71)*BQ548), N($AQ$67:$AQ$71&gt;$AO548)),
SUMPRODUCT(INDEX($AR$57:$AT$66,,$AI548), INDEX($AU$57:$BA$66,,$AH548), 1 / ($BC$57:$BC$66*BU548 + (1-$BC$57:$BC$66)*BQ548), N($AQ$57:$AQ$66&gt;$AO548))
) / 1000</f>
        <v>0</v>
      </c>
      <c r="BW548" s="232">
        <f t="shared" si="607"/>
        <v>20</v>
      </c>
      <c r="BX548" s="230">
        <f t="shared" si="585"/>
        <v>33</v>
      </c>
      <c r="BY548" s="235">
        <f t="shared" si="586"/>
        <v>4.4702678571428569</v>
      </c>
      <c r="BZ548" s="235" cm="1">
        <f t="array" ref="BZ548">$BI548 * IF($AH548&lt;=2,
SUMPRODUCT(INDEX($AR$62:$AT$66,,$AI548), INDEX($AU$62:$BA$66,,$AH548), 1 / ($BB$62:$BB$66*BY548 + (1-$BB$62:$BB$66)*BU548), N($AQ$62:$AQ$66&gt;$AO548)),
SUMPRODUCT(INDEX($AR$47:$AT$56,,$AI548), INDEX($AU$47:$BA$56,,$AH548), 1 / ($BC$47:$BC$56*BY548 + (1-$BC$47:$BC$56)*BU548), N($AQ$47:$AQ$56&gt;$AO548))
) / 1000</f>
        <v>0</v>
      </c>
      <c r="CA548" s="235" cm="1">
        <f t="array" ref="CA548">$BI548 * IF($AH548&lt;=2,
SUMPRODUCT(INDEX($AR$23:$AT$61,,$AI548), INDEX($AU$23:$BA$61,,$AH548), 1 / ($BB$23:$BB$61*BY548), N($AQ$23:$AQ$61&gt;$AO548)),
SUMPRODUCT(INDEX($AR$23:$AT$46,,$AI548), INDEX($AU$23:$BA$46,,$AH548), 1 / ($BC$23:$BC$46*BY548), N($AQ$23:$AQ$46&gt;$AO548))
) / 1000</f>
        <v>0</v>
      </c>
      <c r="CB548" s="230">
        <f t="shared" si="587"/>
        <v>0</v>
      </c>
      <c r="CC548" s="238"/>
      <c r="CD548" s="229" cm="1">
        <f t="array" ref="CD548">IF(ISBLANK(Y548), INDEX(Use, $AH548, 4) - AN548*INDEX(Use, $AH548, 6) - (Q548-X548), Y548)</f>
        <v>7</v>
      </c>
      <c r="CE548" s="229">
        <f t="shared" si="588"/>
        <v>32</v>
      </c>
      <c r="CF548" s="230">
        <f t="shared" si="589"/>
        <v>0</v>
      </c>
      <c r="CG548" s="229">
        <v>35</v>
      </c>
      <c r="CH548" s="230">
        <f t="shared" si="590"/>
        <v>48</v>
      </c>
      <c r="CI548" s="235">
        <f t="shared" si="591"/>
        <v>3.0748170731707316</v>
      </c>
      <c r="CJ548" s="235" cm="1">
        <f t="array" ref="CJ548">$BI548 * SUMPRODUCT(INDEX($AR$77:$AT$82,,$AI548),INDEX($AU$77:$BA$82,,$AH548), N($AQ$77:$AQ$82&gt;$AO548)) / CI548 / 1000</f>
        <v>0</v>
      </c>
      <c r="CK548" s="232">
        <f t="shared" si="608"/>
        <v>30</v>
      </c>
      <c r="CL548" s="230">
        <f t="shared" si="592"/>
        <v>43</v>
      </c>
      <c r="CM548" s="235">
        <f t="shared" si="593"/>
        <v>3.5018750000000001</v>
      </c>
      <c r="CN548" s="235" cm="1">
        <f t="array" ref="CN548">$BI548 * IF($AH548&lt;=2,
SUMPRODUCT(INDEX($AR$72:$AT$76,,$AI548), INDEX($AU$72:$BA$76,,$AH548), 1 / ($BB$72:$BB$76*CM548 + (1-$BB$72:$BB$76)*CI548), N($AQ$72:$AQ$76&gt;$AO548)),
SUMPRODUCT(INDEX($AR$67:$AT$76,,$AI548), INDEX($AU$67:$BA$76,,$AH548), 1 / ($BC$67:$BC$76*CM548 + (1-$BC$67:$BC$76)*CI548), N($AQ$67:$AQ$76&gt;$AO548))
) / 1000</f>
        <v>0</v>
      </c>
      <c r="CO548" s="232">
        <f t="shared" si="609"/>
        <v>25</v>
      </c>
      <c r="CP548" s="230">
        <f t="shared" si="594"/>
        <v>38</v>
      </c>
      <c r="CQ548" s="235">
        <f t="shared" si="595"/>
        <v>4.0666935483870965</v>
      </c>
      <c r="CR548" s="235" cm="1">
        <f t="array" ref="CR548">$BI548 * IF($AH548&lt;=2,
SUMPRODUCT(INDEX($AR$67:$AT$71,,$AI548), INDEX($AU$67:$BA$71,,$AH548), 1 / ($BB$67:$BB$71*CQ548 + (1-$BB$67:$BB$71)*CM548), N($AQ$67:$AQ$71&gt;$AO548)),
SUMPRODUCT(INDEX($AR$57:$AT$66,,$AI548), INDEX($AU$57:$BA$66,,$AH548), 1 / ($BC$57:$BC$66*CQ548 + (1-$BC$57:$BC$66)*CM548), N($AQ$57:$AQ$66&gt;$AO548))
) / 1000</f>
        <v>0</v>
      </c>
      <c r="CS548" s="232">
        <f t="shared" si="610"/>
        <v>20</v>
      </c>
      <c r="CT548" s="230">
        <f t="shared" si="596"/>
        <v>33</v>
      </c>
      <c r="CU548" s="235">
        <f t="shared" si="597"/>
        <v>4.8487499999999999</v>
      </c>
      <c r="CV548" s="235" cm="1">
        <f t="array" ref="CV548">$BI548 * IF($AH548&lt;=2,
SUMPRODUCT(INDEX($AR$62:$AT$66,,$AI548), INDEX($AU$62:$BA$66,,$AH548), 1 / ($BB$62:$BB$66*CU548 + (1-$BB$62:$BB$66)*CQ548), N($AQ$62:$AQ$66&gt;$AO548)),
SUMPRODUCT(INDEX($AR$47:$AT$56,,$AI548), INDEX($AU$47:$BA$56,,$AH548), 1 / ($BC$47:$BC$56*CU548 + (1-$BC$47:$BC$56)*CQ548), N($AQ$47:$AQ$56&gt;$AO548))
) / 1000</f>
        <v>0</v>
      </c>
      <c r="CW548" s="235" cm="1">
        <f t="array" ref="CW548">$BI548 * IF($AH548&lt;=2,
SUMPRODUCT(INDEX($AR$23:$AT$61,,$AI548), INDEX($AU$23:$BA$61,,$AH548), 1 / ($BB$23:$BB$61*CU548), N($AQ$23:$AQ$61&gt;$AO548)),
SUMPRODUCT(INDEX($AR$23:$AT$46,,$AI548), INDEX($AU$23:$BA$46,,$AH548), 1 / ($BC$23:$BC$46*CU548), N($AQ$23:$AQ$46&gt;$AO548))
) / 1000</f>
        <v>0</v>
      </c>
      <c r="CX548" s="230">
        <f t="shared" si="598"/>
        <v>0</v>
      </c>
      <c r="CY548" s="238"/>
    </row>
    <row r="549" spans="1:103" s="76" customFormat="1" ht="14.25" customHeight="1" x14ac:dyDescent="0.2">
      <c r="A549" s="231" t="b">
        <f t="shared" si="602"/>
        <v>0</v>
      </c>
      <c r="B549" s="245">
        <v>527</v>
      </c>
      <c r="C549" s="258"/>
      <c r="D549" s="258"/>
      <c r="E549" s="246"/>
      <c r="F549" s="247" t="str">
        <f>IF(ISBLANK(E549), "", VLOOKUP(E549, Z!$A$2:$C$4127, 3, FALSE))</f>
        <v/>
      </c>
      <c r="G549" s="248"/>
      <c r="H549" s="248"/>
      <c r="I549" s="249"/>
      <c r="J549" s="250"/>
      <c r="K549" s="259"/>
      <c r="L549" s="260"/>
      <c r="M549" s="252" t="str" cm="1">
        <f t="array" ref="M549">INDEX(Trad, 53, $A$20)</f>
        <v>Verschmutzt</v>
      </c>
      <c r="N549" s="253"/>
      <c r="O549" s="253"/>
      <c r="P549" s="254"/>
      <c r="Q549" s="251"/>
      <c r="R549" s="251"/>
      <c r="S549" s="264">
        <f t="shared" si="573"/>
        <v>0</v>
      </c>
      <c r="T549" s="252" t="str" cm="1">
        <f t="array" ref="T549">INDEX(Trad, 52, $A$20)</f>
        <v>Sauber</v>
      </c>
      <c r="U549" s="253"/>
      <c r="V549" s="253"/>
      <c r="W549" s="254"/>
      <c r="X549" s="251"/>
      <c r="Y549" s="251"/>
      <c r="Z549" s="264">
        <f t="shared" si="574"/>
        <v>0</v>
      </c>
      <c r="AA549" s="261"/>
      <c r="AB549" s="258"/>
      <c r="AC549" s="246"/>
      <c r="AD549" s="247" t="str">
        <f>IF(ISBLANK(AC549), "", VLOOKUP(AC549, Z!$A$2:$C$4127, 3, FALSE))</f>
        <v/>
      </c>
      <c r="AE549" s="262"/>
      <c r="AF549" s="263">
        <f t="shared" si="575"/>
        <v>0</v>
      </c>
      <c r="AG549" s="238"/>
      <c r="AH549" s="229">
        <f t="shared" si="599"/>
        <v>1</v>
      </c>
      <c r="AI549" s="229">
        <f t="shared" si="600"/>
        <v>1</v>
      </c>
      <c r="AJ549" s="229">
        <f t="shared" si="601"/>
        <v>0</v>
      </c>
      <c r="AK549" s="229">
        <v>0</v>
      </c>
      <c r="AL549" s="229">
        <v>0</v>
      </c>
      <c r="AM549" s="229">
        <v>1</v>
      </c>
      <c r="AN549" s="229">
        <v>0</v>
      </c>
      <c r="AO549" s="229">
        <f t="shared" si="576"/>
        <v>-100</v>
      </c>
      <c r="AP549" s="238"/>
      <c r="AQ549" s="255"/>
      <c r="AR549" s="255"/>
      <c r="AS549" s="256"/>
      <c r="AT549" s="256"/>
      <c r="AU549" s="256"/>
      <c r="AV549" s="256"/>
      <c r="AW549" s="256"/>
      <c r="AX549" s="256"/>
      <c r="AY549" s="256"/>
      <c r="AZ549" s="256"/>
      <c r="BA549" s="256"/>
      <c r="BB549" s="256"/>
      <c r="BC549" s="256"/>
      <c r="BD549" s="238"/>
      <c r="BE549" s="229" cm="1">
        <f t="array" ref="BE549">IF(ISBLANK(R549), INDEX(Use, $AH549, 4) - AM549*INDEX(Use, $AH549, 6), R549)</f>
        <v>5</v>
      </c>
      <c r="BF549" s="229">
        <f t="shared" si="577"/>
        <v>30</v>
      </c>
      <c r="BG549" s="229">
        <f t="shared" si="603"/>
        <v>13</v>
      </c>
      <c r="BH549" s="229">
        <f t="shared" si="604"/>
        <v>0</v>
      </c>
      <c r="BI549" s="234" cm="1">
        <f t="array" ref="BI549">K549/IF($L549&gt;0, INDEX($AU$23:$BA$77, $L549+20, $AH549), 1)</f>
        <v>0</v>
      </c>
      <c r="BJ549" s="230">
        <f t="shared" si="578"/>
        <v>0</v>
      </c>
      <c r="BK549" s="229">
        <v>35</v>
      </c>
      <c r="BL549" s="230">
        <f t="shared" si="579"/>
        <v>48</v>
      </c>
      <c r="BM549" s="235">
        <f t="shared" si="580"/>
        <v>2.9108720930232557</v>
      </c>
      <c r="BN549" s="235" cm="1">
        <f t="array" ref="BN549">$BI549 * SUMPRODUCT(INDEX($AR$77:$AT$82,,$AI549),INDEX($AU$77:$BA$82,,$AH549), N($AQ$77:$AQ$82&gt;$AO549)) / BM549 / 1000</f>
        <v>0</v>
      </c>
      <c r="BO549" s="232">
        <f t="shared" si="605"/>
        <v>30</v>
      </c>
      <c r="BP549" s="230">
        <f t="shared" si="581"/>
        <v>43</v>
      </c>
      <c r="BQ549" s="235">
        <f t="shared" si="582"/>
        <v>3.2938815789473681</v>
      </c>
      <c r="BR549" s="235" cm="1">
        <f t="array" ref="BR549">$BI549 * IF($AH549&lt;=2,
SUMPRODUCT(INDEX($AR$72:$AT$76,,$AI549), INDEX($AU$72:$BA$76,,$AH549), 1 / ($BB$72:$BB$76*BQ549 + (1-$BB$72:$BB$76)*BM549), N($AQ$72:$AQ$76&gt;$AO549)),
SUMPRODUCT(INDEX($AR$67:$AT$76,,$AI549), INDEX($AU$67:$BA$76,,$AH549), 1 / ($BC$67:$BC$76*BQ549 + (1-$BC$67:$BC$76)*BM549), N($AQ$67:$AQ$76&gt;$AO549))
) / 1000</f>
        <v>0</v>
      </c>
      <c r="BS549" s="232">
        <f t="shared" si="606"/>
        <v>25</v>
      </c>
      <c r="BT549" s="230">
        <f t="shared" si="583"/>
        <v>38</v>
      </c>
      <c r="BU549" s="235">
        <f t="shared" si="584"/>
        <v>3.792954545454545</v>
      </c>
      <c r="BV549" s="235" cm="1">
        <f t="array" ref="BV549">$BI549 * IF($AH549&lt;=2,
SUMPRODUCT(INDEX($AR$67:$AT$71,,$AI549), INDEX($AU$67:$BA$71,,$AH549), 1 / ($BB$67:$BB$71*BU549 + (1-$BB$67:$BB$71)*BQ549), N($AQ$67:$AQ$71&gt;$AO549)),
SUMPRODUCT(INDEX($AR$57:$AT$66,,$AI549), INDEX($AU$57:$BA$66,,$AH549), 1 / ($BC$57:$BC$66*BU549 + (1-$BC$57:$BC$66)*BQ549), N($AQ$57:$AQ$66&gt;$AO549))
) / 1000</f>
        <v>0</v>
      </c>
      <c r="BW549" s="232">
        <f t="shared" si="607"/>
        <v>20</v>
      </c>
      <c r="BX549" s="230">
        <f t="shared" si="585"/>
        <v>33</v>
      </c>
      <c r="BY549" s="235">
        <f t="shared" si="586"/>
        <v>4.4702678571428569</v>
      </c>
      <c r="BZ549" s="235" cm="1">
        <f t="array" ref="BZ549">$BI549 * IF($AH549&lt;=2,
SUMPRODUCT(INDEX($AR$62:$AT$66,,$AI549), INDEX($AU$62:$BA$66,,$AH549), 1 / ($BB$62:$BB$66*BY549 + (1-$BB$62:$BB$66)*BU549), N($AQ$62:$AQ$66&gt;$AO549)),
SUMPRODUCT(INDEX($AR$47:$AT$56,,$AI549), INDEX($AU$47:$BA$56,,$AH549), 1 / ($BC$47:$BC$56*BY549 + (1-$BC$47:$BC$56)*BU549), N($AQ$47:$AQ$56&gt;$AO549))
) / 1000</f>
        <v>0</v>
      </c>
      <c r="CA549" s="235" cm="1">
        <f t="array" ref="CA549">$BI549 * IF($AH549&lt;=2,
SUMPRODUCT(INDEX($AR$23:$AT$61,,$AI549), INDEX($AU$23:$BA$61,,$AH549), 1 / ($BB$23:$BB$61*BY549), N($AQ$23:$AQ$61&gt;$AO549)),
SUMPRODUCT(INDEX($AR$23:$AT$46,,$AI549), INDEX($AU$23:$BA$46,,$AH549), 1 / ($BC$23:$BC$46*BY549), N($AQ$23:$AQ$46&gt;$AO549))
) / 1000</f>
        <v>0</v>
      </c>
      <c r="CB549" s="230">
        <f t="shared" si="587"/>
        <v>0</v>
      </c>
      <c r="CC549" s="238"/>
      <c r="CD549" s="229" cm="1">
        <f t="array" ref="CD549">IF(ISBLANK(Y549), INDEX(Use, $AH549, 4) - AN549*INDEX(Use, $AH549, 6) - (Q549-X549), Y549)</f>
        <v>7</v>
      </c>
      <c r="CE549" s="229">
        <f t="shared" si="588"/>
        <v>32</v>
      </c>
      <c r="CF549" s="230">
        <f t="shared" si="589"/>
        <v>0</v>
      </c>
      <c r="CG549" s="229">
        <v>35</v>
      </c>
      <c r="CH549" s="230">
        <f t="shared" si="590"/>
        <v>48</v>
      </c>
      <c r="CI549" s="235">
        <f t="shared" si="591"/>
        <v>3.0748170731707316</v>
      </c>
      <c r="CJ549" s="235" cm="1">
        <f t="array" ref="CJ549">$BI549 * SUMPRODUCT(INDEX($AR$77:$AT$82,,$AI549),INDEX($AU$77:$BA$82,,$AH549), N($AQ$77:$AQ$82&gt;$AO549)) / CI549 / 1000</f>
        <v>0</v>
      </c>
      <c r="CK549" s="232">
        <f t="shared" si="608"/>
        <v>30</v>
      </c>
      <c r="CL549" s="230">
        <f t="shared" si="592"/>
        <v>43</v>
      </c>
      <c r="CM549" s="235">
        <f t="shared" si="593"/>
        <v>3.5018750000000001</v>
      </c>
      <c r="CN549" s="235" cm="1">
        <f t="array" ref="CN549">$BI549 * IF($AH549&lt;=2,
SUMPRODUCT(INDEX($AR$72:$AT$76,,$AI549), INDEX($AU$72:$BA$76,,$AH549), 1 / ($BB$72:$BB$76*CM549 + (1-$BB$72:$BB$76)*CI549), N($AQ$72:$AQ$76&gt;$AO549)),
SUMPRODUCT(INDEX($AR$67:$AT$76,,$AI549), INDEX($AU$67:$BA$76,,$AH549), 1 / ($BC$67:$BC$76*CM549 + (1-$BC$67:$BC$76)*CI549), N($AQ$67:$AQ$76&gt;$AO549))
) / 1000</f>
        <v>0</v>
      </c>
      <c r="CO549" s="232">
        <f t="shared" si="609"/>
        <v>25</v>
      </c>
      <c r="CP549" s="230">
        <f t="shared" si="594"/>
        <v>38</v>
      </c>
      <c r="CQ549" s="235">
        <f t="shared" si="595"/>
        <v>4.0666935483870965</v>
      </c>
      <c r="CR549" s="235" cm="1">
        <f t="array" ref="CR549">$BI549 * IF($AH549&lt;=2,
SUMPRODUCT(INDEX($AR$67:$AT$71,,$AI549), INDEX($AU$67:$BA$71,,$AH549), 1 / ($BB$67:$BB$71*CQ549 + (1-$BB$67:$BB$71)*CM549), N($AQ$67:$AQ$71&gt;$AO549)),
SUMPRODUCT(INDEX($AR$57:$AT$66,,$AI549), INDEX($AU$57:$BA$66,,$AH549), 1 / ($BC$57:$BC$66*CQ549 + (1-$BC$57:$BC$66)*CM549), N($AQ$57:$AQ$66&gt;$AO549))
) / 1000</f>
        <v>0</v>
      </c>
      <c r="CS549" s="232">
        <f t="shared" si="610"/>
        <v>20</v>
      </c>
      <c r="CT549" s="230">
        <f t="shared" si="596"/>
        <v>33</v>
      </c>
      <c r="CU549" s="235">
        <f t="shared" si="597"/>
        <v>4.8487499999999999</v>
      </c>
      <c r="CV549" s="235" cm="1">
        <f t="array" ref="CV549">$BI549 * IF($AH549&lt;=2,
SUMPRODUCT(INDEX($AR$62:$AT$66,,$AI549), INDEX($AU$62:$BA$66,,$AH549), 1 / ($BB$62:$BB$66*CU549 + (1-$BB$62:$BB$66)*CQ549), N($AQ$62:$AQ$66&gt;$AO549)),
SUMPRODUCT(INDEX($AR$47:$AT$56,,$AI549), INDEX($AU$47:$BA$56,,$AH549), 1 / ($BC$47:$BC$56*CU549 + (1-$BC$47:$BC$56)*CQ549), N($AQ$47:$AQ$56&gt;$AO549))
) / 1000</f>
        <v>0</v>
      </c>
      <c r="CW549" s="235" cm="1">
        <f t="array" ref="CW549">$BI549 * IF($AH549&lt;=2,
SUMPRODUCT(INDEX($AR$23:$AT$61,,$AI549), INDEX($AU$23:$BA$61,,$AH549), 1 / ($BB$23:$BB$61*CU549), N($AQ$23:$AQ$61&gt;$AO549)),
SUMPRODUCT(INDEX($AR$23:$AT$46,,$AI549), INDEX($AU$23:$BA$46,,$AH549), 1 / ($BC$23:$BC$46*CU549), N($AQ$23:$AQ$46&gt;$AO549))
) / 1000</f>
        <v>0</v>
      </c>
      <c r="CX549" s="230">
        <f t="shared" si="598"/>
        <v>0</v>
      </c>
      <c r="CY549" s="238"/>
    </row>
    <row r="550" spans="1:103" s="76" customFormat="1" ht="14.25" customHeight="1" x14ac:dyDescent="0.2">
      <c r="A550" s="231" t="b">
        <f t="shared" si="602"/>
        <v>0</v>
      </c>
      <c r="B550" s="245">
        <v>528</v>
      </c>
      <c r="C550" s="258"/>
      <c r="D550" s="258"/>
      <c r="E550" s="246"/>
      <c r="F550" s="247" t="str">
        <f>IF(ISBLANK(E550), "", VLOOKUP(E550, Z!$A$2:$C$4127, 3, FALSE))</f>
        <v/>
      </c>
      <c r="G550" s="248"/>
      <c r="H550" s="248"/>
      <c r="I550" s="249"/>
      <c r="J550" s="250"/>
      <c r="K550" s="259"/>
      <c r="L550" s="260"/>
      <c r="M550" s="252" t="str" cm="1">
        <f t="array" ref="M550">INDEX(Trad, 53, $A$20)</f>
        <v>Verschmutzt</v>
      </c>
      <c r="N550" s="253"/>
      <c r="O550" s="253"/>
      <c r="P550" s="254"/>
      <c r="Q550" s="251"/>
      <c r="R550" s="251"/>
      <c r="S550" s="264">
        <f t="shared" si="573"/>
        <v>0</v>
      </c>
      <c r="T550" s="252" t="str" cm="1">
        <f t="array" ref="T550">INDEX(Trad, 52, $A$20)</f>
        <v>Sauber</v>
      </c>
      <c r="U550" s="253"/>
      <c r="V550" s="253"/>
      <c r="W550" s="254"/>
      <c r="X550" s="251"/>
      <c r="Y550" s="251"/>
      <c r="Z550" s="264">
        <f t="shared" si="574"/>
        <v>0</v>
      </c>
      <c r="AA550" s="261"/>
      <c r="AB550" s="258"/>
      <c r="AC550" s="246"/>
      <c r="AD550" s="247" t="str">
        <f>IF(ISBLANK(AC550), "", VLOOKUP(AC550, Z!$A$2:$C$4127, 3, FALSE))</f>
        <v/>
      </c>
      <c r="AE550" s="262"/>
      <c r="AF550" s="263">
        <f t="shared" si="575"/>
        <v>0</v>
      </c>
      <c r="AG550" s="238"/>
      <c r="AH550" s="229">
        <f t="shared" si="599"/>
        <v>1</v>
      </c>
      <c r="AI550" s="229">
        <f t="shared" si="600"/>
        <v>1</v>
      </c>
      <c r="AJ550" s="229">
        <f t="shared" si="601"/>
        <v>0</v>
      </c>
      <c r="AK550" s="229">
        <v>0</v>
      </c>
      <c r="AL550" s="229">
        <v>0</v>
      </c>
      <c r="AM550" s="229">
        <v>1</v>
      </c>
      <c r="AN550" s="229">
        <v>0</v>
      </c>
      <c r="AO550" s="229">
        <f t="shared" si="576"/>
        <v>-100</v>
      </c>
      <c r="AP550" s="238"/>
      <c r="AQ550" s="255"/>
      <c r="AR550" s="255"/>
      <c r="AS550" s="256"/>
      <c r="AT550" s="256"/>
      <c r="AU550" s="256"/>
      <c r="AV550" s="256"/>
      <c r="AW550" s="256"/>
      <c r="AX550" s="256"/>
      <c r="AY550" s="256"/>
      <c r="AZ550" s="256"/>
      <c r="BA550" s="256"/>
      <c r="BB550" s="256"/>
      <c r="BC550" s="256"/>
      <c r="BD550" s="238"/>
      <c r="BE550" s="229" cm="1">
        <f t="array" ref="BE550">IF(ISBLANK(R550), INDEX(Use, $AH550, 4) - AM550*INDEX(Use, $AH550, 6), R550)</f>
        <v>5</v>
      </c>
      <c r="BF550" s="229">
        <f t="shared" si="577"/>
        <v>30</v>
      </c>
      <c r="BG550" s="229">
        <f t="shared" si="603"/>
        <v>13</v>
      </c>
      <c r="BH550" s="229">
        <f t="shared" si="604"/>
        <v>0</v>
      </c>
      <c r="BI550" s="234" cm="1">
        <f t="array" ref="BI550">K550/IF($L550&gt;0, INDEX($AU$23:$BA$77, $L550+20, $AH550), 1)</f>
        <v>0</v>
      </c>
      <c r="BJ550" s="230">
        <f t="shared" si="578"/>
        <v>0</v>
      </c>
      <c r="BK550" s="229">
        <v>35</v>
      </c>
      <c r="BL550" s="230">
        <f t="shared" si="579"/>
        <v>48</v>
      </c>
      <c r="BM550" s="235">
        <f t="shared" si="580"/>
        <v>2.9108720930232557</v>
      </c>
      <c r="BN550" s="235" cm="1">
        <f t="array" ref="BN550">$BI550 * SUMPRODUCT(INDEX($AR$77:$AT$82,,$AI550),INDEX($AU$77:$BA$82,,$AH550), N($AQ$77:$AQ$82&gt;$AO550)) / BM550 / 1000</f>
        <v>0</v>
      </c>
      <c r="BO550" s="232">
        <f t="shared" si="605"/>
        <v>30</v>
      </c>
      <c r="BP550" s="230">
        <f t="shared" si="581"/>
        <v>43</v>
      </c>
      <c r="BQ550" s="235">
        <f t="shared" si="582"/>
        <v>3.2938815789473681</v>
      </c>
      <c r="BR550" s="235" cm="1">
        <f t="array" ref="BR550">$BI550 * IF($AH550&lt;=2,
SUMPRODUCT(INDEX($AR$72:$AT$76,,$AI550), INDEX($AU$72:$BA$76,,$AH550), 1 / ($BB$72:$BB$76*BQ550 + (1-$BB$72:$BB$76)*BM550), N($AQ$72:$AQ$76&gt;$AO550)),
SUMPRODUCT(INDEX($AR$67:$AT$76,,$AI550), INDEX($AU$67:$BA$76,,$AH550), 1 / ($BC$67:$BC$76*BQ550 + (1-$BC$67:$BC$76)*BM550), N($AQ$67:$AQ$76&gt;$AO550))
) / 1000</f>
        <v>0</v>
      </c>
      <c r="BS550" s="232">
        <f t="shared" si="606"/>
        <v>25</v>
      </c>
      <c r="BT550" s="230">
        <f t="shared" si="583"/>
        <v>38</v>
      </c>
      <c r="BU550" s="235">
        <f t="shared" si="584"/>
        <v>3.792954545454545</v>
      </c>
      <c r="BV550" s="235" cm="1">
        <f t="array" ref="BV550">$BI550 * IF($AH550&lt;=2,
SUMPRODUCT(INDEX($AR$67:$AT$71,,$AI550), INDEX($AU$67:$BA$71,,$AH550), 1 / ($BB$67:$BB$71*BU550 + (1-$BB$67:$BB$71)*BQ550), N($AQ$67:$AQ$71&gt;$AO550)),
SUMPRODUCT(INDEX($AR$57:$AT$66,,$AI550), INDEX($AU$57:$BA$66,,$AH550), 1 / ($BC$57:$BC$66*BU550 + (1-$BC$57:$BC$66)*BQ550), N($AQ$57:$AQ$66&gt;$AO550))
) / 1000</f>
        <v>0</v>
      </c>
      <c r="BW550" s="232">
        <f t="shared" si="607"/>
        <v>20</v>
      </c>
      <c r="BX550" s="230">
        <f t="shared" si="585"/>
        <v>33</v>
      </c>
      <c r="BY550" s="235">
        <f t="shared" si="586"/>
        <v>4.4702678571428569</v>
      </c>
      <c r="BZ550" s="235" cm="1">
        <f t="array" ref="BZ550">$BI550 * IF($AH550&lt;=2,
SUMPRODUCT(INDEX($AR$62:$AT$66,,$AI550), INDEX($AU$62:$BA$66,,$AH550), 1 / ($BB$62:$BB$66*BY550 + (1-$BB$62:$BB$66)*BU550), N($AQ$62:$AQ$66&gt;$AO550)),
SUMPRODUCT(INDEX($AR$47:$AT$56,,$AI550), INDEX($AU$47:$BA$56,,$AH550), 1 / ($BC$47:$BC$56*BY550 + (1-$BC$47:$BC$56)*BU550), N($AQ$47:$AQ$56&gt;$AO550))
) / 1000</f>
        <v>0</v>
      </c>
      <c r="CA550" s="235" cm="1">
        <f t="array" ref="CA550">$BI550 * IF($AH550&lt;=2,
SUMPRODUCT(INDEX($AR$23:$AT$61,,$AI550), INDEX($AU$23:$BA$61,,$AH550), 1 / ($BB$23:$BB$61*BY550), N($AQ$23:$AQ$61&gt;$AO550)),
SUMPRODUCT(INDEX($AR$23:$AT$46,,$AI550), INDEX($AU$23:$BA$46,,$AH550), 1 / ($BC$23:$BC$46*BY550), N($AQ$23:$AQ$46&gt;$AO550))
) / 1000</f>
        <v>0</v>
      </c>
      <c r="CB550" s="230">
        <f t="shared" si="587"/>
        <v>0</v>
      </c>
      <c r="CC550" s="238"/>
      <c r="CD550" s="229" cm="1">
        <f t="array" ref="CD550">IF(ISBLANK(Y550), INDEX(Use, $AH550, 4) - AN550*INDEX(Use, $AH550, 6) - (Q550-X550), Y550)</f>
        <v>7</v>
      </c>
      <c r="CE550" s="229">
        <f t="shared" si="588"/>
        <v>32</v>
      </c>
      <c r="CF550" s="230">
        <f t="shared" si="589"/>
        <v>0</v>
      </c>
      <c r="CG550" s="229">
        <v>35</v>
      </c>
      <c r="CH550" s="230">
        <f t="shared" si="590"/>
        <v>48</v>
      </c>
      <c r="CI550" s="235">
        <f t="shared" si="591"/>
        <v>3.0748170731707316</v>
      </c>
      <c r="CJ550" s="235" cm="1">
        <f t="array" ref="CJ550">$BI550 * SUMPRODUCT(INDEX($AR$77:$AT$82,,$AI550),INDEX($AU$77:$BA$82,,$AH550), N($AQ$77:$AQ$82&gt;$AO550)) / CI550 / 1000</f>
        <v>0</v>
      </c>
      <c r="CK550" s="232">
        <f t="shared" si="608"/>
        <v>30</v>
      </c>
      <c r="CL550" s="230">
        <f t="shared" si="592"/>
        <v>43</v>
      </c>
      <c r="CM550" s="235">
        <f t="shared" si="593"/>
        <v>3.5018750000000001</v>
      </c>
      <c r="CN550" s="235" cm="1">
        <f t="array" ref="CN550">$BI550 * IF($AH550&lt;=2,
SUMPRODUCT(INDEX($AR$72:$AT$76,,$AI550), INDEX($AU$72:$BA$76,,$AH550), 1 / ($BB$72:$BB$76*CM550 + (1-$BB$72:$BB$76)*CI550), N($AQ$72:$AQ$76&gt;$AO550)),
SUMPRODUCT(INDEX($AR$67:$AT$76,,$AI550), INDEX($AU$67:$BA$76,,$AH550), 1 / ($BC$67:$BC$76*CM550 + (1-$BC$67:$BC$76)*CI550), N($AQ$67:$AQ$76&gt;$AO550))
) / 1000</f>
        <v>0</v>
      </c>
      <c r="CO550" s="232">
        <f t="shared" si="609"/>
        <v>25</v>
      </c>
      <c r="CP550" s="230">
        <f t="shared" si="594"/>
        <v>38</v>
      </c>
      <c r="CQ550" s="235">
        <f t="shared" si="595"/>
        <v>4.0666935483870965</v>
      </c>
      <c r="CR550" s="235" cm="1">
        <f t="array" ref="CR550">$BI550 * IF($AH550&lt;=2,
SUMPRODUCT(INDEX($AR$67:$AT$71,,$AI550), INDEX($AU$67:$BA$71,,$AH550), 1 / ($BB$67:$BB$71*CQ550 + (1-$BB$67:$BB$71)*CM550), N($AQ$67:$AQ$71&gt;$AO550)),
SUMPRODUCT(INDEX($AR$57:$AT$66,,$AI550), INDEX($AU$57:$BA$66,,$AH550), 1 / ($BC$57:$BC$66*CQ550 + (1-$BC$57:$BC$66)*CM550), N($AQ$57:$AQ$66&gt;$AO550))
) / 1000</f>
        <v>0</v>
      </c>
      <c r="CS550" s="232">
        <f t="shared" si="610"/>
        <v>20</v>
      </c>
      <c r="CT550" s="230">
        <f t="shared" si="596"/>
        <v>33</v>
      </c>
      <c r="CU550" s="235">
        <f t="shared" si="597"/>
        <v>4.8487499999999999</v>
      </c>
      <c r="CV550" s="235" cm="1">
        <f t="array" ref="CV550">$BI550 * IF($AH550&lt;=2,
SUMPRODUCT(INDEX($AR$62:$AT$66,,$AI550), INDEX($AU$62:$BA$66,,$AH550), 1 / ($BB$62:$BB$66*CU550 + (1-$BB$62:$BB$66)*CQ550), N($AQ$62:$AQ$66&gt;$AO550)),
SUMPRODUCT(INDEX($AR$47:$AT$56,,$AI550), INDEX($AU$47:$BA$56,,$AH550), 1 / ($BC$47:$BC$56*CU550 + (1-$BC$47:$BC$56)*CQ550), N($AQ$47:$AQ$56&gt;$AO550))
) / 1000</f>
        <v>0</v>
      </c>
      <c r="CW550" s="235" cm="1">
        <f t="array" ref="CW550">$BI550 * IF($AH550&lt;=2,
SUMPRODUCT(INDEX($AR$23:$AT$61,,$AI550), INDEX($AU$23:$BA$61,,$AH550), 1 / ($BB$23:$BB$61*CU550), N($AQ$23:$AQ$61&gt;$AO550)),
SUMPRODUCT(INDEX($AR$23:$AT$46,,$AI550), INDEX($AU$23:$BA$46,,$AH550), 1 / ($BC$23:$BC$46*CU550), N($AQ$23:$AQ$46&gt;$AO550))
) / 1000</f>
        <v>0</v>
      </c>
      <c r="CX550" s="230">
        <f t="shared" si="598"/>
        <v>0</v>
      </c>
      <c r="CY550" s="238"/>
    </row>
    <row r="551" spans="1:103" s="76" customFormat="1" ht="14.25" customHeight="1" x14ac:dyDescent="0.2">
      <c r="A551" s="231" t="b">
        <f t="shared" si="602"/>
        <v>0</v>
      </c>
      <c r="B551" s="245">
        <v>529</v>
      </c>
      <c r="C551" s="258"/>
      <c r="D551" s="258"/>
      <c r="E551" s="246"/>
      <c r="F551" s="247" t="str">
        <f>IF(ISBLANK(E551), "", VLOOKUP(E551, Z!$A$2:$C$4127, 3, FALSE))</f>
        <v/>
      </c>
      <c r="G551" s="248"/>
      <c r="H551" s="248"/>
      <c r="I551" s="249"/>
      <c r="J551" s="250"/>
      <c r="K551" s="259"/>
      <c r="L551" s="260"/>
      <c r="M551" s="252" t="str" cm="1">
        <f t="array" ref="M551">INDEX(Trad, 53, $A$20)</f>
        <v>Verschmutzt</v>
      </c>
      <c r="N551" s="253"/>
      <c r="O551" s="253"/>
      <c r="P551" s="254"/>
      <c r="Q551" s="251"/>
      <c r="R551" s="251"/>
      <c r="S551" s="264">
        <f t="shared" si="573"/>
        <v>0</v>
      </c>
      <c r="T551" s="252" t="str" cm="1">
        <f t="array" ref="T551">INDEX(Trad, 52, $A$20)</f>
        <v>Sauber</v>
      </c>
      <c r="U551" s="253"/>
      <c r="V551" s="253"/>
      <c r="W551" s="254"/>
      <c r="X551" s="251"/>
      <c r="Y551" s="251"/>
      <c r="Z551" s="264">
        <f t="shared" si="574"/>
        <v>0</v>
      </c>
      <c r="AA551" s="261"/>
      <c r="AB551" s="258"/>
      <c r="AC551" s="246"/>
      <c r="AD551" s="247" t="str">
        <f>IF(ISBLANK(AC551), "", VLOOKUP(AC551, Z!$A$2:$C$4127, 3, FALSE))</f>
        <v/>
      </c>
      <c r="AE551" s="262"/>
      <c r="AF551" s="263">
        <f t="shared" si="575"/>
        <v>0</v>
      </c>
      <c r="AG551" s="238"/>
      <c r="AH551" s="229">
        <f t="shared" si="599"/>
        <v>1</v>
      </c>
      <c r="AI551" s="229">
        <f t="shared" si="600"/>
        <v>1</v>
      </c>
      <c r="AJ551" s="229">
        <f t="shared" si="601"/>
        <v>0</v>
      </c>
      <c r="AK551" s="229">
        <v>0</v>
      </c>
      <c r="AL551" s="229">
        <v>0</v>
      </c>
      <c r="AM551" s="229">
        <v>1</v>
      </c>
      <c r="AN551" s="229">
        <v>0</v>
      </c>
      <c r="AO551" s="229">
        <f t="shared" si="576"/>
        <v>-100</v>
      </c>
      <c r="AP551" s="238"/>
      <c r="AQ551" s="255"/>
      <c r="AR551" s="255"/>
      <c r="AS551" s="256"/>
      <c r="AT551" s="256"/>
      <c r="AU551" s="256"/>
      <c r="AV551" s="256"/>
      <c r="AW551" s="256"/>
      <c r="AX551" s="256"/>
      <c r="AY551" s="256"/>
      <c r="AZ551" s="256"/>
      <c r="BA551" s="256"/>
      <c r="BB551" s="256"/>
      <c r="BC551" s="256"/>
      <c r="BD551" s="238"/>
      <c r="BE551" s="229" cm="1">
        <f t="array" ref="BE551">IF(ISBLANK(R551), INDEX(Use, $AH551, 4) - AM551*INDEX(Use, $AH551, 6), R551)</f>
        <v>5</v>
      </c>
      <c r="BF551" s="229">
        <f t="shared" si="577"/>
        <v>30</v>
      </c>
      <c r="BG551" s="229">
        <f t="shared" si="603"/>
        <v>13</v>
      </c>
      <c r="BH551" s="229">
        <f t="shared" si="604"/>
        <v>0</v>
      </c>
      <c r="BI551" s="234" cm="1">
        <f t="array" ref="BI551">K551/IF($L551&gt;0, INDEX($AU$23:$BA$77, $L551+20, $AH551), 1)</f>
        <v>0</v>
      </c>
      <c r="BJ551" s="230">
        <f t="shared" si="578"/>
        <v>0</v>
      </c>
      <c r="BK551" s="229">
        <v>35</v>
      </c>
      <c r="BL551" s="230">
        <f t="shared" si="579"/>
        <v>48</v>
      </c>
      <c r="BM551" s="235">
        <f t="shared" si="580"/>
        <v>2.9108720930232557</v>
      </c>
      <c r="BN551" s="235" cm="1">
        <f t="array" ref="BN551">$BI551 * SUMPRODUCT(INDEX($AR$77:$AT$82,,$AI551),INDEX($AU$77:$BA$82,,$AH551), N($AQ$77:$AQ$82&gt;$AO551)) / BM551 / 1000</f>
        <v>0</v>
      </c>
      <c r="BO551" s="232">
        <f t="shared" si="605"/>
        <v>30</v>
      </c>
      <c r="BP551" s="230">
        <f t="shared" si="581"/>
        <v>43</v>
      </c>
      <c r="BQ551" s="235">
        <f t="shared" si="582"/>
        <v>3.2938815789473681</v>
      </c>
      <c r="BR551" s="235" cm="1">
        <f t="array" ref="BR551">$BI551 * IF($AH551&lt;=2,
SUMPRODUCT(INDEX($AR$72:$AT$76,,$AI551), INDEX($AU$72:$BA$76,,$AH551), 1 / ($BB$72:$BB$76*BQ551 + (1-$BB$72:$BB$76)*BM551), N($AQ$72:$AQ$76&gt;$AO551)),
SUMPRODUCT(INDEX($AR$67:$AT$76,,$AI551), INDEX($AU$67:$BA$76,,$AH551), 1 / ($BC$67:$BC$76*BQ551 + (1-$BC$67:$BC$76)*BM551), N($AQ$67:$AQ$76&gt;$AO551))
) / 1000</f>
        <v>0</v>
      </c>
      <c r="BS551" s="232">
        <f t="shared" si="606"/>
        <v>25</v>
      </c>
      <c r="BT551" s="230">
        <f t="shared" si="583"/>
        <v>38</v>
      </c>
      <c r="BU551" s="235">
        <f t="shared" si="584"/>
        <v>3.792954545454545</v>
      </c>
      <c r="BV551" s="235" cm="1">
        <f t="array" ref="BV551">$BI551 * IF($AH551&lt;=2,
SUMPRODUCT(INDEX($AR$67:$AT$71,,$AI551), INDEX($AU$67:$BA$71,,$AH551), 1 / ($BB$67:$BB$71*BU551 + (1-$BB$67:$BB$71)*BQ551), N($AQ$67:$AQ$71&gt;$AO551)),
SUMPRODUCT(INDEX($AR$57:$AT$66,,$AI551), INDEX($AU$57:$BA$66,,$AH551), 1 / ($BC$57:$BC$66*BU551 + (1-$BC$57:$BC$66)*BQ551), N($AQ$57:$AQ$66&gt;$AO551))
) / 1000</f>
        <v>0</v>
      </c>
      <c r="BW551" s="232">
        <f t="shared" si="607"/>
        <v>20</v>
      </c>
      <c r="BX551" s="230">
        <f t="shared" si="585"/>
        <v>33</v>
      </c>
      <c r="BY551" s="235">
        <f t="shared" si="586"/>
        <v>4.4702678571428569</v>
      </c>
      <c r="BZ551" s="235" cm="1">
        <f t="array" ref="BZ551">$BI551 * IF($AH551&lt;=2,
SUMPRODUCT(INDEX($AR$62:$AT$66,,$AI551), INDEX($AU$62:$BA$66,,$AH551), 1 / ($BB$62:$BB$66*BY551 + (1-$BB$62:$BB$66)*BU551), N($AQ$62:$AQ$66&gt;$AO551)),
SUMPRODUCT(INDEX($AR$47:$AT$56,,$AI551), INDEX($AU$47:$BA$56,,$AH551), 1 / ($BC$47:$BC$56*BY551 + (1-$BC$47:$BC$56)*BU551), N($AQ$47:$AQ$56&gt;$AO551))
) / 1000</f>
        <v>0</v>
      </c>
      <c r="CA551" s="235" cm="1">
        <f t="array" ref="CA551">$BI551 * IF($AH551&lt;=2,
SUMPRODUCT(INDEX($AR$23:$AT$61,,$AI551), INDEX($AU$23:$BA$61,,$AH551), 1 / ($BB$23:$BB$61*BY551), N($AQ$23:$AQ$61&gt;$AO551)),
SUMPRODUCT(INDEX($AR$23:$AT$46,,$AI551), INDEX($AU$23:$BA$46,,$AH551), 1 / ($BC$23:$BC$46*BY551), N($AQ$23:$AQ$46&gt;$AO551))
) / 1000</f>
        <v>0</v>
      </c>
      <c r="CB551" s="230">
        <f t="shared" si="587"/>
        <v>0</v>
      </c>
      <c r="CC551" s="238"/>
      <c r="CD551" s="229" cm="1">
        <f t="array" ref="CD551">IF(ISBLANK(Y551), INDEX(Use, $AH551, 4) - AN551*INDEX(Use, $AH551, 6) - (Q551-X551), Y551)</f>
        <v>7</v>
      </c>
      <c r="CE551" s="229">
        <f t="shared" si="588"/>
        <v>32</v>
      </c>
      <c r="CF551" s="230">
        <f t="shared" si="589"/>
        <v>0</v>
      </c>
      <c r="CG551" s="229">
        <v>35</v>
      </c>
      <c r="CH551" s="230">
        <f t="shared" si="590"/>
        <v>48</v>
      </c>
      <c r="CI551" s="235">
        <f t="shared" si="591"/>
        <v>3.0748170731707316</v>
      </c>
      <c r="CJ551" s="235" cm="1">
        <f t="array" ref="CJ551">$BI551 * SUMPRODUCT(INDEX($AR$77:$AT$82,,$AI551),INDEX($AU$77:$BA$82,,$AH551), N($AQ$77:$AQ$82&gt;$AO551)) / CI551 / 1000</f>
        <v>0</v>
      </c>
      <c r="CK551" s="232">
        <f t="shared" si="608"/>
        <v>30</v>
      </c>
      <c r="CL551" s="230">
        <f t="shared" si="592"/>
        <v>43</v>
      </c>
      <c r="CM551" s="235">
        <f t="shared" si="593"/>
        <v>3.5018750000000001</v>
      </c>
      <c r="CN551" s="235" cm="1">
        <f t="array" ref="CN551">$BI551 * IF($AH551&lt;=2,
SUMPRODUCT(INDEX($AR$72:$AT$76,,$AI551), INDEX($AU$72:$BA$76,,$AH551), 1 / ($BB$72:$BB$76*CM551 + (1-$BB$72:$BB$76)*CI551), N($AQ$72:$AQ$76&gt;$AO551)),
SUMPRODUCT(INDEX($AR$67:$AT$76,,$AI551), INDEX($AU$67:$BA$76,,$AH551), 1 / ($BC$67:$BC$76*CM551 + (1-$BC$67:$BC$76)*CI551), N($AQ$67:$AQ$76&gt;$AO551))
) / 1000</f>
        <v>0</v>
      </c>
      <c r="CO551" s="232">
        <f t="shared" si="609"/>
        <v>25</v>
      </c>
      <c r="CP551" s="230">
        <f t="shared" si="594"/>
        <v>38</v>
      </c>
      <c r="CQ551" s="235">
        <f t="shared" si="595"/>
        <v>4.0666935483870965</v>
      </c>
      <c r="CR551" s="235" cm="1">
        <f t="array" ref="CR551">$BI551 * IF($AH551&lt;=2,
SUMPRODUCT(INDEX($AR$67:$AT$71,,$AI551), INDEX($AU$67:$BA$71,,$AH551), 1 / ($BB$67:$BB$71*CQ551 + (1-$BB$67:$BB$71)*CM551), N($AQ$67:$AQ$71&gt;$AO551)),
SUMPRODUCT(INDEX($AR$57:$AT$66,,$AI551), INDEX($AU$57:$BA$66,,$AH551), 1 / ($BC$57:$BC$66*CQ551 + (1-$BC$57:$BC$66)*CM551), N($AQ$57:$AQ$66&gt;$AO551))
) / 1000</f>
        <v>0</v>
      </c>
      <c r="CS551" s="232">
        <f t="shared" si="610"/>
        <v>20</v>
      </c>
      <c r="CT551" s="230">
        <f t="shared" si="596"/>
        <v>33</v>
      </c>
      <c r="CU551" s="235">
        <f t="shared" si="597"/>
        <v>4.8487499999999999</v>
      </c>
      <c r="CV551" s="235" cm="1">
        <f t="array" ref="CV551">$BI551 * IF($AH551&lt;=2,
SUMPRODUCT(INDEX($AR$62:$AT$66,,$AI551), INDEX($AU$62:$BA$66,,$AH551), 1 / ($BB$62:$BB$66*CU551 + (1-$BB$62:$BB$66)*CQ551), N($AQ$62:$AQ$66&gt;$AO551)),
SUMPRODUCT(INDEX($AR$47:$AT$56,,$AI551), INDEX($AU$47:$BA$56,,$AH551), 1 / ($BC$47:$BC$56*CU551 + (1-$BC$47:$BC$56)*CQ551), N($AQ$47:$AQ$56&gt;$AO551))
) / 1000</f>
        <v>0</v>
      </c>
      <c r="CW551" s="235" cm="1">
        <f t="array" ref="CW551">$BI551 * IF($AH551&lt;=2,
SUMPRODUCT(INDEX($AR$23:$AT$61,,$AI551), INDEX($AU$23:$BA$61,,$AH551), 1 / ($BB$23:$BB$61*CU551), N($AQ$23:$AQ$61&gt;$AO551)),
SUMPRODUCT(INDEX($AR$23:$AT$46,,$AI551), INDEX($AU$23:$BA$46,,$AH551), 1 / ($BC$23:$BC$46*CU551), N($AQ$23:$AQ$46&gt;$AO551))
) / 1000</f>
        <v>0</v>
      </c>
      <c r="CX551" s="230">
        <f t="shared" si="598"/>
        <v>0</v>
      </c>
      <c r="CY551" s="238"/>
    </row>
    <row r="552" spans="1:103" s="76" customFormat="1" ht="14.25" customHeight="1" x14ac:dyDescent="0.2">
      <c r="A552" s="231" t="b">
        <f t="shared" si="602"/>
        <v>0</v>
      </c>
      <c r="B552" s="245">
        <v>530</v>
      </c>
      <c r="C552" s="258"/>
      <c r="D552" s="258"/>
      <c r="E552" s="246"/>
      <c r="F552" s="247" t="str">
        <f>IF(ISBLANK(E552), "", VLOOKUP(E552, Z!$A$2:$C$4127, 3, FALSE))</f>
        <v/>
      </c>
      <c r="G552" s="248"/>
      <c r="H552" s="248"/>
      <c r="I552" s="249"/>
      <c r="J552" s="250"/>
      <c r="K552" s="259"/>
      <c r="L552" s="260"/>
      <c r="M552" s="252" t="str" cm="1">
        <f t="array" ref="M552">INDEX(Trad, 53, $A$20)</f>
        <v>Verschmutzt</v>
      </c>
      <c r="N552" s="253"/>
      <c r="O552" s="253"/>
      <c r="P552" s="254"/>
      <c r="Q552" s="251"/>
      <c r="R552" s="251"/>
      <c r="S552" s="264">
        <f t="shared" si="573"/>
        <v>0</v>
      </c>
      <c r="T552" s="252" t="str" cm="1">
        <f t="array" ref="T552">INDEX(Trad, 52, $A$20)</f>
        <v>Sauber</v>
      </c>
      <c r="U552" s="253"/>
      <c r="V552" s="253"/>
      <c r="W552" s="254"/>
      <c r="X552" s="251"/>
      <c r="Y552" s="251"/>
      <c r="Z552" s="264">
        <f t="shared" si="574"/>
        <v>0</v>
      </c>
      <c r="AA552" s="261"/>
      <c r="AB552" s="258"/>
      <c r="AC552" s="246"/>
      <c r="AD552" s="247" t="str">
        <f>IF(ISBLANK(AC552), "", VLOOKUP(AC552, Z!$A$2:$C$4127, 3, FALSE))</f>
        <v/>
      </c>
      <c r="AE552" s="262"/>
      <c r="AF552" s="263">
        <f t="shared" si="575"/>
        <v>0</v>
      </c>
      <c r="AG552" s="238"/>
      <c r="AH552" s="229">
        <f t="shared" si="599"/>
        <v>1</v>
      </c>
      <c r="AI552" s="229">
        <f t="shared" si="600"/>
        <v>1</v>
      </c>
      <c r="AJ552" s="229">
        <f t="shared" si="601"/>
        <v>0</v>
      </c>
      <c r="AK552" s="229">
        <v>0</v>
      </c>
      <c r="AL552" s="229">
        <v>0</v>
      </c>
      <c r="AM552" s="229">
        <v>1</v>
      </c>
      <c r="AN552" s="229">
        <v>0</v>
      </c>
      <c r="AO552" s="229">
        <f t="shared" si="576"/>
        <v>-100</v>
      </c>
      <c r="AP552" s="238"/>
      <c r="AQ552" s="255"/>
      <c r="AR552" s="255"/>
      <c r="AS552" s="256"/>
      <c r="AT552" s="256"/>
      <c r="AU552" s="256"/>
      <c r="AV552" s="256"/>
      <c r="AW552" s="256"/>
      <c r="AX552" s="256"/>
      <c r="AY552" s="256"/>
      <c r="AZ552" s="256"/>
      <c r="BA552" s="256"/>
      <c r="BB552" s="256"/>
      <c r="BC552" s="256"/>
      <c r="BD552" s="238"/>
      <c r="BE552" s="229" cm="1">
        <f t="array" ref="BE552">IF(ISBLANK(R552), INDEX(Use, $AH552, 4) - AM552*INDEX(Use, $AH552, 6), R552)</f>
        <v>5</v>
      </c>
      <c r="BF552" s="229">
        <f t="shared" si="577"/>
        <v>30</v>
      </c>
      <c r="BG552" s="229">
        <f t="shared" si="603"/>
        <v>13</v>
      </c>
      <c r="BH552" s="229">
        <f t="shared" si="604"/>
        <v>0</v>
      </c>
      <c r="BI552" s="234" cm="1">
        <f t="array" ref="BI552">K552/IF($L552&gt;0, INDEX($AU$23:$BA$77, $L552+20, $AH552), 1)</f>
        <v>0</v>
      </c>
      <c r="BJ552" s="230">
        <f t="shared" si="578"/>
        <v>0</v>
      </c>
      <c r="BK552" s="229">
        <v>35</v>
      </c>
      <c r="BL552" s="230">
        <f t="shared" si="579"/>
        <v>48</v>
      </c>
      <c r="BM552" s="235">
        <f t="shared" si="580"/>
        <v>2.9108720930232557</v>
      </c>
      <c r="BN552" s="235" cm="1">
        <f t="array" ref="BN552">$BI552 * SUMPRODUCT(INDEX($AR$77:$AT$82,,$AI552),INDEX($AU$77:$BA$82,,$AH552), N($AQ$77:$AQ$82&gt;$AO552)) / BM552 / 1000</f>
        <v>0</v>
      </c>
      <c r="BO552" s="232">
        <f t="shared" si="605"/>
        <v>30</v>
      </c>
      <c r="BP552" s="230">
        <f t="shared" si="581"/>
        <v>43</v>
      </c>
      <c r="BQ552" s="235">
        <f t="shared" si="582"/>
        <v>3.2938815789473681</v>
      </c>
      <c r="BR552" s="235" cm="1">
        <f t="array" ref="BR552">$BI552 * IF($AH552&lt;=2,
SUMPRODUCT(INDEX($AR$72:$AT$76,,$AI552), INDEX($AU$72:$BA$76,,$AH552), 1 / ($BB$72:$BB$76*BQ552 + (1-$BB$72:$BB$76)*BM552), N($AQ$72:$AQ$76&gt;$AO552)),
SUMPRODUCT(INDEX($AR$67:$AT$76,,$AI552), INDEX($AU$67:$BA$76,,$AH552), 1 / ($BC$67:$BC$76*BQ552 + (1-$BC$67:$BC$76)*BM552), N($AQ$67:$AQ$76&gt;$AO552))
) / 1000</f>
        <v>0</v>
      </c>
      <c r="BS552" s="232">
        <f t="shared" si="606"/>
        <v>25</v>
      </c>
      <c r="BT552" s="230">
        <f t="shared" si="583"/>
        <v>38</v>
      </c>
      <c r="BU552" s="235">
        <f t="shared" si="584"/>
        <v>3.792954545454545</v>
      </c>
      <c r="BV552" s="235" cm="1">
        <f t="array" ref="BV552">$BI552 * IF($AH552&lt;=2,
SUMPRODUCT(INDEX($AR$67:$AT$71,,$AI552), INDEX($AU$67:$BA$71,,$AH552), 1 / ($BB$67:$BB$71*BU552 + (1-$BB$67:$BB$71)*BQ552), N($AQ$67:$AQ$71&gt;$AO552)),
SUMPRODUCT(INDEX($AR$57:$AT$66,,$AI552), INDEX($AU$57:$BA$66,,$AH552), 1 / ($BC$57:$BC$66*BU552 + (1-$BC$57:$BC$66)*BQ552), N($AQ$57:$AQ$66&gt;$AO552))
) / 1000</f>
        <v>0</v>
      </c>
      <c r="BW552" s="232">
        <f t="shared" si="607"/>
        <v>20</v>
      </c>
      <c r="BX552" s="230">
        <f t="shared" si="585"/>
        <v>33</v>
      </c>
      <c r="BY552" s="235">
        <f t="shared" si="586"/>
        <v>4.4702678571428569</v>
      </c>
      <c r="BZ552" s="235" cm="1">
        <f t="array" ref="BZ552">$BI552 * IF($AH552&lt;=2,
SUMPRODUCT(INDEX($AR$62:$AT$66,,$AI552), INDEX($AU$62:$BA$66,,$AH552), 1 / ($BB$62:$BB$66*BY552 + (1-$BB$62:$BB$66)*BU552), N($AQ$62:$AQ$66&gt;$AO552)),
SUMPRODUCT(INDEX($AR$47:$AT$56,,$AI552), INDEX($AU$47:$BA$56,,$AH552), 1 / ($BC$47:$BC$56*BY552 + (1-$BC$47:$BC$56)*BU552), N($AQ$47:$AQ$56&gt;$AO552))
) / 1000</f>
        <v>0</v>
      </c>
      <c r="CA552" s="235" cm="1">
        <f t="array" ref="CA552">$BI552 * IF($AH552&lt;=2,
SUMPRODUCT(INDEX($AR$23:$AT$61,,$AI552), INDEX($AU$23:$BA$61,,$AH552), 1 / ($BB$23:$BB$61*BY552), N($AQ$23:$AQ$61&gt;$AO552)),
SUMPRODUCT(INDEX($AR$23:$AT$46,,$AI552), INDEX($AU$23:$BA$46,,$AH552), 1 / ($BC$23:$BC$46*BY552), N($AQ$23:$AQ$46&gt;$AO552))
) / 1000</f>
        <v>0</v>
      </c>
      <c r="CB552" s="230">
        <f t="shared" si="587"/>
        <v>0</v>
      </c>
      <c r="CC552" s="238"/>
      <c r="CD552" s="229" cm="1">
        <f t="array" ref="CD552">IF(ISBLANK(Y552), INDEX(Use, $AH552, 4) - AN552*INDEX(Use, $AH552, 6) - (Q552-X552), Y552)</f>
        <v>7</v>
      </c>
      <c r="CE552" s="229">
        <f t="shared" si="588"/>
        <v>32</v>
      </c>
      <c r="CF552" s="230">
        <f t="shared" si="589"/>
        <v>0</v>
      </c>
      <c r="CG552" s="229">
        <v>35</v>
      </c>
      <c r="CH552" s="230">
        <f t="shared" si="590"/>
        <v>48</v>
      </c>
      <c r="CI552" s="235">
        <f t="shared" si="591"/>
        <v>3.0748170731707316</v>
      </c>
      <c r="CJ552" s="235" cm="1">
        <f t="array" ref="CJ552">$BI552 * SUMPRODUCT(INDEX($AR$77:$AT$82,,$AI552),INDEX($AU$77:$BA$82,,$AH552), N($AQ$77:$AQ$82&gt;$AO552)) / CI552 / 1000</f>
        <v>0</v>
      </c>
      <c r="CK552" s="232">
        <f t="shared" si="608"/>
        <v>30</v>
      </c>
      <c r="CL552" s="230">
        <f t="shared" si="592"/>
        <v>43</v>
      </c>
      <c r="CM552" s="235">
        <f t="shared" si="593"/>
        <v>3.5018750000000001</v>
      </c>
      <c r="CN552" s="235" cm="1">
        <f t="array" ref="CN552">$BI552 * IF($AH552&lt;=2,
SUMPRODUCT(INDEX($AR$72:$AT$76,,$AI552), INDEX($AU$72:$BA$76,,$AH552), 1 / ($BB$72:$BB$76*CM552 + (1-$BB$72:$BB$76)*CI552), N($AQ$72:$AQ$76&gt;$AO552)),
SUMPRODUCT(INDEX($AR$67:$AT$76,,$AI552), INDEX($AU$67:$BA$76,,$AH552), 1 / ($BC$67:$BC$76*CM552 + (1-$BC$67:$BC$76)*CI552), N($AQ$67:$AQ$76&gt;$AO552))
) / 1000</f>
        <v>0</v>
      </c>
      <c r="CO552" s="232">
        <f t="shared" si="609"/>
        <v>25</v>
      </c>
      <c r="CP552" s="230">
        <f t="shared" si="594"/>
        <v>38</v>
      </c>
      <c r="CQ552" s="235">
        <f t="shared" si="595"/>
        <v>4.0666935483870965</v>
      </c>
      <c r="CR552" s="235" cm="1">
        <f t="array" ref="CR552">$BI552 * IF($AH552&lt;=2,
SUMPRODUCT(INDEX($AR$67:$AT$71,,$AI552), INDEX($AU$67:$BA$71,,$AH552), 1 / ($BB$67:$BB$71*CQ552 + (1-$BB$67:$BB$71)*CM552), N($AQ$67:$AQ$71&gt;$AO552)),
SUMPRODUCT(INDEX($AR$57:$AT$66,,$AI552), INDEX($AU$57:$BA$66,,$AH552), 1 / ($BC$57:$BC$66*CQ552 + (1-$BC$57:$BC$66)*CM552), N($AQ$57:$AQ$66&gt;$AO552))
) / 1000</f>
        <v>0</v>
      </c>
      <c r="CS552" s="232">
        <f t="shared" si="610"/>
        <v>20</v>
      </c>
      <c r="CT552" s="230">
        <f t="shared" si="596"/>
        <v>33</v>
      </c>
      <c r="CU552" s="235">
        <f t="shared" si="597"/>
        <v>4.8487499999999999</v>
      </c>
      <c r="CV552" s="235" cm="1">
        <f t="array" ref="CV552">$BI552 * IF($AH552&lt;=2,
SUMPRODUCT(INDEX($AR$62:$AT$66,,$AI552), INDEX($AU$62:$BA$66,,$AH552), 1 / ($BB$62:$BB$66*CU552 + (1-$BB$62:$BB$66)*CQ552), N($AQ$62:$AQ$66&gt;$AO552)),
SUMPRODUCT(INDEX($AR$47:$AT$56,,$AI552), INDEX($AU$47:$BA$56,,$AH552), 1 / ($BC$47:$BC$56*CU552 + (1-$BC$47:$BC$56)*CQ552), N($AQ$47:$AQ$56&gt;$AO552))
) / 1000</f>
        <v>0</v>
      </c>
      <c r="CW552" s="235" cm="1">
        <f t="array" ref="CW552">$BI552 * IF($AH552&lt;=2,
SUMPRODUCT(INDEX($AR$23:$AT$61,,$AI552), INDEX($AU$23:$BA$61,,$AH552), 1 / ($BB$23:$BB$61*CU552), N($AQ$23:$AQ$61&gt;$AO552)),
SUMPRODUCT(INDEX($AR$23:$AT$46,,$AI552), INDEX($AU$23:$BA$46,,$AH552), 1 / ($BC$23:$BC$46*CU552), N($AQ$23:$AQ$46&gt;$AO552))
) / 1000</f>
        <v>0</v>
      </c>
      <c r="CX552" s="230">
        <f t="shared" si="598"/>
        <v>0</v>
      </c>
      <c r="CY552" s="238"/>
    </row>
    <row r="553" spans="1:103" s="76" customFormat="1" ht="14.25" customHeight="1" x14ac:dyDescent="0.2">
      <c r="A553" s="231" t="b">
        <f t="shared" si="602"/>
        <v>0</v>
      </c>
      <c r="B553" s="245">
        <v>531</v>
      </c>
      <c r="C553" s="258"/>
      <c r="D553" s="258"/>
      <c r="E553" s="246"/>
      <c r="F553" s="247" t="str">
        <f>IF(ISBLANK(E553), "", VLOOKUP(E553, Z!$A$2:$C$4127, 3, FALSE))</f>
        <v/>
      </c>
      <c r="G553" s="248"/>
      <c r="H553" s="248"/>
      <c r="I553" s="249"/>
      <c r="J553" s="250"/>
      <c r="K553" s="259"/>
      <c r="L553" s="260"/>
      <c r="M553" s="252" t="str" cm="1">
        <f t="array" ref="M553">INDEX(Trad, 53, $A$20)</f>
        <v>Verschmutzt</v>
      </c>
      <c r="N553" s="253"/>
      <c r="O553" s="253"/>
      <c r="P553" s="254"/>
      <c r="Q553" s="251"/>
      <c r="R553" s="251"/>
      <c r="S553" s="264">
        <f t="shared" si="573"/>
        <v>0</v>
      </c>
      <c r="T553" s="252" t="str" cm="1">
        <f t="array" ref="T553">INDEX(Trad, 52, $A$20)</f>
        <v>Sauber</v>
      </c>
      <c r="U553" s="253"/>
      <c r="V553" s="253"/>
      <c r="W553" s="254"/>
      <c r="X553" s="251"/>
      <c r="Y553" s="251"/>
      <c r="Z553" s="264">
        <f t="shared" si="574"/>
        <v>0</v>
      </c>
      <c r="AA553" s="261"/>
      <c r="AB553" s="258"/>
      <c r="AC553" s="246"/>
      <c r="AD553" s="247" t="str">
        <f>IF(ISBLANK(AC553), "", VLOOKUP(AC553, Z!$A$2:$C$4127, 3, FALSE))</f>
        <v/>
      </c>
      <c r="AE553" s="262"/>
      <c r="AF553" s="263">
        <f t="shared" si="575"/>
        <v>0</v>
      </c>
      <c r="AG553" s="238"/>
      <c r="AH553" s="229">
        <f t="shared" si="599"/>
        <v>1</v>
      </c>
      <c r="AI553" s="229">
        <f t="shared" si="600"/>
        <v>1</v>
      </c>
      <c r="AJ553" s="229">
        <f t="shared" si="601"/>
        <v>0</v>
      </c>
      <c r="AK553" s="229">
        <v>0</v>
      </c>
      <c r="AL553" s="229">
        <v>0</v>
      </c>
      <c r="AM553" s="229">
        <v>1</v>
      </c>
      <c r="AN553" s="229">
        <v>0</v>
      </c>
      <c r="AO553" s="229">
        <f t="shared" si="576"/>
        <v>-100</v>
      </c>
      <c r="AP553" s="238"/>
      <c r="AQ553" s="255"/>
      <c r="AR553" s="255"/>
      <c r="AS553" s="256"/>
      <c r="AT553" s="256"/>
      <c r="AU553" s="256"/>
      <c r="AV553" s="256"/>
      <c r="AW553" s="256"/>
      <c r="AX553" s="256"/>
      <c r="AY553" s="256"/>
      <c r="AZ553" s="256"/>
      <c r="BA553" s="256"/>
      <c r="BB553" s="256"/>
      <c r="BC553" s="256"/>
      <c r="BD553" s="238"/>
      <c r="BE553" s="229" cm="1">
        <f t="array" ref="BE553">IF(ISBLANK(R553), INDEX(Use, $AH553, 4) - AM553*INDEX(Use, $AH553, 6), R553)</f>
        <v>5</v>
      </c>
      <c r="BF553" s="229">
        <f t="shared" si="577"/>
        <v>30</v>
      </c>
      <c r="BG553" s="229">
        <f t="shared" si="603"/>
        <v>13</v>
      </c>
      <c r="BH553" s="229">
        <f t="shared" si="604"/>
        <v>0</v>
      </c>
      <c r="BI553" s="234" cm="1">
        <f t="array" ref="BI553">K553/IF($L553&gt;0, INDEX($AU$23:$BA$77, $L553+20, $AH553), 1)</f>
        <v>0</v>
      </c>
      <c r="BJ553" s="230">
        <f t="shared" si="578"/>
        <v>0</v>
      </c>
      <c r="BK553" s="229">
        <v>35</v>
      </c>
      <c r="BL553" s="230">
        <f t="shared" si="579"/>
        <v>48</v>
      </c>
      <c r="BM553" s="235">
        <f t="shared" si="580"/>
        <v>2.9108720930232557</v>
      </c>
      <c r="BN553" s="235" cm="1">
        <f t="array" ref="BN553">$BI553 * SUMPRODUCT(INDEX($AR$77:$AT$82,,$AI553),INDEX($AU$77:$BA$82,,$AH553), N($AQ$77:$AQ$82&gt;$AO553)) / BM553 / 1000</f>
        <v>0</v>
      </c>
      <c r="BO553" s="232">
        <f t="shared" si="605"/>
        <v>30</v>
      </c>
      <c r="BP553" s="230">
        <f t="shared" si="581"/>
        <v>43</v>
      </c>
      <c r="BQ553" s="235">
        <f t="shared" si="582"/>
        <v>3.2938815789473681</v>
      </c>
      <c r="BR553" s="235" cm="1">
        <f t="array" ref="BR553">$BI553 * IF($AH553&lt;=2,
SUMPRODUCT(INDEX($AR$72:$AT$76,,$AI553), INDEX($AU$72:$BA$76,,$AH553), 1 / ($BB$72:$BB$76*BQ553 + (1-$BB$72:$BB$76)*BM553), N($AQ$72:$AQ$76&gt;$AO553)),
SUMPRODUCT(INDEX($AR$67:$AT$76,,$AI553), INDEX($AU$67:$BA$76,,$AH553), 1 / ($BC$67:$BC$76*BQ553 + (1-$BC$67:$BC$76)*BM553), N($AQ$67:$AQ$76&gt;$AO553))
) / 1000</f>
        <v>0</v>
      </c>
      <c r="BS553" s="232">
        <f t="shared" si="606"/>
        <v>25</v>
      </c>
      <c r="BT553" s="230">
        <f t="shared" si="583"/>
        <v>38</v>
      </c>
      <c r="BU553" s="235">
        <f t="shared" si="584"/>
        <v>3.792954545454545</v>
      </c>
      <c r="BV553" s="235" cm="1">
        <f t="array" ref="BV553">$BI553 * IF($AH553&lt;=2,
SUMPRODUCT(INDEX($AR$67:$AT$71,,$AI553), INDEX($AU$67:$BA$71,,$AH553), 1 / ($BB$67:$BB$71*BU553 + (1-$BB$67:$BB$71)*BQ553), N($AQ$67:$AQ$71&gt;$AO553)),
SUMPRODUCT(INDEX($AR$57:$AT$66,,$AI553), INDEX($AU$57:$BA$66,,$AH553), 1 / ($BC$57:$BC$66*BU553 + (1-$BC$57:$BC$66)*BQ553), N($AQ$57:$AQ$66&gt;$AO553))
) / 1000</f>
        <v>0</v>
      </c>
      <c r="BW553" s="232">
        <f t="shared" si="607"/>
        <v>20</v>
      </c>
      <c r="BX553" s="230">
        <f t="shared" si="585"/>
        <v>33</v>
      </c>
      <c r="BY553" s="235">
        <f t="shared" si="586"/>
        <v>4.4702678571428569</v>
      </c>
      <c r="BZ553" s="235" cm="1">
        <f t="array" ref="BZ553">$BI553 * IF($AH553&lt;=2,
SUMPRODUCT(INDEX($AR$62:$AT$66,,$AI553), INDEX($AU$62:$BA$66,,$AH553), 1 / ($BB$62:$BB$66*BY553 + (1-$BB$62:$BB$66)*BU553), N($AQ$62:$AQ$66&gt;$AO553)),
SUMPRODUCT(INDEX($AR$47:$AT$56,,$AI553), INDEX($AU$47:$BA$56,,$AH553), 1 / ($BC$47:$BC$56*BY553 + (1-$BC$47:$BC$56)*BU553), N($AQ$47:$AQ$56&gt;$AO553))
) / 1000</f>
        <v>0</v>
      </c>
      <c r="CA553" s="235" cm="1">
        <f t="array" ref="CA553">$BI553 * IF($AH553&lt;=2,
SUMPRODUCT(INDEX($AR$23:$AT$61,,$AI553), INDEX($AU$23:$BA$61,,$AH553), 1 / ($BB$23:$BB$61*BY553), N($AQ$23:$AQ$61&gt;$AO553)),
SUMPRODUCT(INDEX($AR$23:$AT$46,,$AI553), INDEX($AU$23:$BA$46,,$AH553), 1 / ($BC$23:$BC$46*BY553), N($AQ$23:$AQ$46&gt;$AO553))
) / 1000</f>
        <v>0</v>
      </c>
      <c r="CB553" s="230">
        <f t="shared" si="587"/>
        <v>0</v>
      </c>
      <c r="CC553" s="238"/>
      <c r="CD553" s="229" cm="1">
        <f t="array" ref="CD553">IF(ISBLANK(Y553), INDEX(Use, $AH553, 4) - AN553*INDEX(Use, $AH553, 6) - (Q553-X553), Y553)</f>
        <v>7</v>
      </c>
      <c r="CE553" s="229">
        <f t="shared" si="588"/>
        <v>32</v>
      </c>
      <c r="CF553" s="230">
        <f t="shared" si="589"/>
        <v>0</v>
      </c>
      <c r="CG553" s="229">
        <v>35</v>
      </c>
      <c r="CH553" s="230">
        <f t="shared" si="590"/>
        <v>48</v>
      </c>
      <c r="CI553" s="235">
        <f t="shared" si="591"/>
        <v>3.0748170731707316</v>
      </c>
      <c r="CJ553" s="235" cm="1">
        <f t="array" ref="CJ553">$BI553 * SUMPRODUCT(INDEX($AR$77:$AT$82,,$AI553),INDEX($AU$77:$BA$82,,$AH553), N($AQ$77:$AQ$82&gt;$AO553)) / CI553 / 1000</f>
        <v>0</v>
      </c>
      <c r="CK553" s="232">
        <f t="shared" si="608"/>
        <v>30</v>
      </c>
      <c r="CL553" s="230">
        <f t="shared" si="592"/>
        <v>43</v>
      </c>
      <c r="CM553" s="235">
        <f t="shared" si="593"/>
        <v>3.5018750000000001</v>
      </c>
      <c r="CN553" s="235" cm="1">
        <f t="array" ref="CN553">$BI553 * IF($AH553&lt;=2,
SUMPRODUCT(INDEX($AR$72:$AT$76,,$AI553), INDEX($AU$72:$BA$76,,$AH553), 1 / ($BB$72:$BB$76*CM553 + (1-$BB$72:$BB$76)*CI553), N($AQ$72:$AQ$76&gt;$AO553)),
SUMPRODUCT(INDEX($AR$67:$AT$76,,$AI553), INDEX($AU$67:$BA$76,,$AH553), 1 / ($BC$67:$BC$76*CM553 + (1-$BC$67:$BC$76)*CI553), N($AQ$67:$AQ$76&gt;$AO553))
) / 1000</f>
        <v>0</v>
      </c>
      <c r="CO553" s="232">
        <f t="shared" si="609"/>
        <v>25</v>
      </c>
      <c r="CP553" s="230">
        <f t="shared" si="594"/>
        <v>38</v>
      </c>
      <c r="CQ553" s="235">
        <f t="shared" si="595"/>
        <v>4.0666935483870965</v>
      </c>
      <c r="CR553" s="235" cm="1">
        <f t="array" ref="CR553">$BI553 * IF($AH553&lt;=2,
SUMPRODUCT(INDEX($AR$67:$AT$71,,$AI553), INDEX($AU$67:$BA$71,,$AH553), 1 / ($BB$67:$BB$71*CQ553 + (1-$BB$67:$BB$71)*CM553), N($AQ$67:$AQ$71&gt;$AO553)),
SUMPRODUCT(INDEX($AR$57:$AT$66,,$AI553), INDEX($AU$57:$BA$66,,$AH553), 1 / ($BC$57:$BC$66*CQ553 + (1-$BC$57:$BC$66)*CM553), N($AQ$57:$AQ$66&gt;$AO553))
) / 1000</f>
        <v>0</v>
      </c>
      <c r="CS553" s="232">
        <f t="shared" si="610"/>
        <v>20</v>
      </c>
      <c r="CT553" s="230">
        <f t="shared" si="596"/>
        <v>33</v>
      </c>
      <c r="CU553" s="235">
        <f t="shared" si="597"/>
        <v>4.8487499999999999</v>
      </c>
      <c r="CV553" s="235" cm="1">
        <f t="array" ref="CV553">$BI553 * IF($AH553&lt;=2,
SUMPRODUCT(INDEX($AR$62:$AT$66,,$AI553), INDEX($AU$62:$BA$66,,$AH553), 1 / ($BB$62:$BB$66*CU553 + (1-$BB$62:$BB$66)*CQ553), N($AQ$62:$AQ$66&gt;$AO553)),
SUMPRODUCT(INDEX($AR$47:$AT$56,,$AI553), INDEX($AU$47:$BA$56,,$AH553), 1 / ($BC$47:$BC$56*CU553 + (1-$BC$47:$BC$56)*CQ553), N($AQ$47:$AQ$56&gt;$AO553))
) / 1000</f>
        <v>0</v>
      </c>
      <c r="CW553" s="235" cm="1">
        <f t="array" ref="CW553">$BI553 * IF($AH553&lt;=2,
SUMPRODUCT(INDEX($AR$23:$AT$61,,$AI553), INDEX($AU$23:$BA$61,,$AH553), 1 / ($BB$23:$BB$61*CU553), N($AQ$23:$AQ$61&gt;$AO553)),
SUMPRODUCT(INDEX($AR$23:$AT$46,,$AI553), INDEX($AU$23:$BA$46,,$AH553), 1 / ($BC$23:$BC$46*CU553), N($AQ$23:$AQ$46&gt;$AO553))
) / 1000</f>
        <v>0</v>
      </c>
      <c r="CX553" s="230">
        <f t="shared" si="598"/>
        <v>0</v>
      </c>
      <c r="CY553" s="238"/>
    </row>
    <row r="554" spans="1:103" s="76" customFormat="1" ht="14.25" customHeight="1" x14ac:dyDescent="0.2">
      <c r="A554" s="231" t="b">
        <f t="shared" si="602"/>
        <v>0</v>
      </c>
      <c r="B554" s="245">
        <v>532</v>
      </c>
      <c r="C554" s="258"/>
      <c r="D554" s="258"/>
      <c r="E554" s="246"/>
      <c r="F554" s="247" t="str">
        <f>IF(ISBLANK(E554), "", VLOOKUP(E554, Z!$A$2:$C$4127, 3, FALSE))</f>
        <v/>
      </c>
      <c r="G554" s="248"/>
      <c r="H554" s="248"/>
      <c r="I554" s="249"/>
      <c r="J554" s="250"/>
      <c r="K554" s="259"/>
      <c r="L554" s="260"/>
      <c r="M554" s="252" t="str" cm="1">
        <f t="array" ref="M554">INDEX(Trad, 53, $A$20)</f>
        <v>Verschmutzt</v>
      </c>
      <c r="N554" s="253"/>
      <c r="O554" s="253"/>
      <c r="P554" s="254"/>
      <c r="Q554" s="251"/>
      <c r="R554" s="251"/>
      <c r="S554" s="264">
        <f t="shared" si="573"/>
        <v>0</v>
      </c>
      <c r="T554" s="252" t="str" cm="1">
        <f t="array" ref="T554">INDEX(Trad, 52, $A$20)</f>
        <v>Sauber</v>
      </c>
      <c r="U554" s="253"/>
      <c r="V554" s="253"/>
      <c r="W554" s="254"/>
      <c r="X554" s="251"/>
      <c r="Y554" s="251"/>
      <c r="Z554" s="264">
        <f t="shared" si="574"/>
        <v>0</v>
      </c>
      <c r="AA554" s="261"/>
      <c r="AB554" s="258"/>
      <c r="AC554" s="246"/>
      <c r="AD554" s="247" t="str">
        <f>IF(ISBLANK(AC554), "", VLOOKUP(AC554, Z!$A$2:$C$4127, 3, FALSE))</f>
        <v/>
      </c>
      <c r="AE554" s="262"/>
      <c r="AF554" s="263">
        <f t="shared" si="575"/>
        <v>0</v>
      </c>
      <c r="AG554" s="238"/>
      <c r="AH554" s="229">
        <f t="shared" si="599"/>
        <v>1</v>
      </c>
      <c r="AI554" s="229">
        <f t="shared" si="600"/>
        <v>1</v>
      </c>
      <c r="AJ554" s="229">
        <f t="shared" si="601"/>
        <v>0</v>
      </c>
      <c r="AK554" s="229">
        <v>0</v>
      </c>
      <c r="AL554" s="229">
        <v>0</v>
      </c>
      <c r="AM554" s="229">
        <v>1</v>
      </c>
      <c r="AN554" s="229">
        <v>0</v>
      </c>
      <c r="AO554" s="229">
        <f t="shared" si="576"/>
        <v>-100</v>
      </c>
      <c r="AP554" s="238"/>
      <c r="AQ554" s="255"/>
      <c r="AR554" s="255"/>
      <c r="AS554" s="256"/>
      <c r="AT554" s="256"/>
      <c r="AU554" s="256"/>
      <c r="AV554" s="256"/>
      <c r="AW554" s="256"/>
      <c r="AX554" s="256"/>
      <c r="AY554" s="256"/>
      <c r="AZ554" s="256"/>
      <c r="BA554" s="256"/>
      <c r="BB554" s="256"/>
      <c r="BC554" s="256"/>
      <c r="BD554" s="238"/>
      <c r="BE554" s="229" cm="1">
        <f t="array" ref="BE554">IF(ISBLANK(R554), INDEX(Use, $AH554, 4) - AM554*INDEX(Use, $AH554, 6), R554)</f>
        <v>5</v>
      </c>
      <c r="BF554" s="229">
        <f t="shared" si="577"/>
        <v>30</v>
      </c>
      <c r="BG554" s="229">
        <f t="shared" si="603"/>
        <v>13</v>
      </c>
      <c r="BH554" s="229">
        <f t="shared" si="604"/>
        <v>0</v>
      </c>
      <c r="BI554" s="234" cm="1">
        <f t="array" ref="BI554">K554/IF($L554&gt;0, INDEX($AU$23:$BA$77, $L554+20, $AH554), 1)</f>
        <v>0</v>
      </c>
      <c r="BJ554" s="230">
        <f t="shared" si="578"/>
        <v>0</v>
      </c>
      <c r="BK554" s="229">
        <v>35</v>
      </c>
      <c r="BL554" s="230">
        <f t="shared" si="579"/>
        <v>48</v>
      </c>
      <c r="BM554" s="235">
        <f t="shared" si="580"/>
        <v>2.9108720930232557</v>
      </c>
      <c r="BN554" s="235" cm="1">
        <f t="array" ref="BN554">$BI554 * SUMPRODUCT(INDEX($AR$77:$AT$82,,$AI554),INDEX($AU$77:$BA$82,,$AH554), N($AQ$77:$AQ$82&gt;$AO554)) / BM554 / 1000</f>
        <v>0</v>
      </c>
      <c r="BO554" s="232">
        <f t="shared" si="605"/>
        <v>30</v>
      </c>
      <c r="BP554" s="230">
        <f t="shared" si="581"/>
        <v>43</v>
      </c>
      <c r="BQ554" s="235">
        <f t="shared" si="582"/>
        <v>3.2938815789473681</v>
      </c>
      <c r="BR554" s="235" cm="1">
        <f t="array" ref="BR554">$BI554 * IF($AH554&lt;=2,
SUMPRODUCT(INDEX($AR$72:$AT$76,,$AI554), INDEX($AU$72:$BA$76,,$AH554), 1 / ($BB$72:$BB$76*BQ554 + (1-$BB$72:$BB$76)*BM554), N($AQ$72:$AQ$76&gt;$AO554)),
SUMPRODUCT(INDEX($AR$67:$AT$76,,$AI554), INDEX($AU$67:$BA$76,,$AH554), 1 / ($BC$67:$BC$76*BQ554 + (1-$BC$67:$BC$76)*BM554), N($AQ$67:$AQ$76&gt;$AO554))
) / 1000</f>
        <v>0</v>
      </c>
      <c r="BS554" s="232">
        <f t="shared" si="606"/>
        <v>25</v>
      </c>
      <c r="BT554" s="230">
        <f t="shared" si="583"/>
        <v>38</v>
      </c>
      <c r="BU554" s="235">
        <f t="shared" si="584"/>
        <v>3.792954545454545</v>
      </c>
      <c r="BV554" s="235" cm="1">
        <f t="array" ref="BV554">$BI554 * IF($AH554&lt;=2,
SUMPRODUCT(INDEX($AR$67:$AT$71,,$AI554), INDEX($AU$67:$BA$71,,$AH554), 1 / ($BB$67:$BB$71*BU554 + (1-$BB$67:$BB$71)*BQ554), N($AQ$67:$AQ$71&gt;$AO554)),
SUMPRODUCT(INDEX($AR$57:$AT$66,,$AI554), INDEX($AU$57:$BA$66,,$AH554), 1 / ($BC$57:$BC$66*BU554 + (1-$BC$57:$BC$66)*BQ554), N($AQ$57:$AQ$66&gt;$AO554))
) / 1000</f>
        <v>0</v>
      </c>
      <c r="BW554" s="232">
        <f t="shared" si="607"/>
        <v>20</v>
      </c>
      <c r="BX554" s="230">
        <f t="shared" si="585"/>
        <v>33</v>
      </c>
      <c r="BY554" s="235">
        <f t="shared" si="586"/>
        <v>4.4702678571428569</v>
      </c>
      <c r="BZ554" s="235" cm="1">
        <f t="array" ref="BZ554">$BI554 * IF($AH554&lt;=2,
SUMPRODUCT(INDEX($AR$62:$AT$66,,$AI554), INDEX($AU$62:$BA$66,,$AH554), 1 / ($BB$62:$BB$66*BY554 + (1-$BB$62:$BB$66)*BU554), N($AQ$62:$AQ$66&gt;$AO554)),
SUMPRODUCT(INDEX($AR$47:$AT$56,,$AI554), INDEX($AU$47:$BA$56,,$AH554), 1 / ($BC$47:$BC$56*BY554 + (1-$BC$47:$BC$56)*BU554), N($AQ$47:$AQ$56&gt;$AO554))
) / 1000</f>
        <v>0</v>
      </c>
      <c r="CA554" s="235" cm="1">
        <f t="array" ref="CA554">$BI554 * IF($AH554&lt;=2,
SUMPRODUCT(INDEX($AR$23:$AT$61,,$AI554), INDEX($AU$23:$BA$61,,$AH554), 1 / ($BB$23:$BB$61*BY554), N($AQ$23:$AQ$61&gt;$AO554)),
SUMPRODUCT(INDEX($AR$23:$AT$46,,$AI554), INDEX($AU$23:$BA$46,,$AH554), 1 / ($BC$23:$BC$46*BY554), N($AQ$23:$AQ$46&gt;$AO554))
) / 1000</f>
        <v>0</v>
      </c>
      <c r="CB554" s="230">
        <f t="shared" si="587"/>
        <v>0</v>
      </c>
      <c r="CC554" s="238"/>
      <c r="CD554" s="229" cm="1">
        <f t="array" ref="CD554">IF(ISBLANK(Y554), INDEX(Use, $AH554, 4) - AN554*INDEX(Use, $AH554, 6) - (Q554-X554), Y554)</f>
        <v>7</v>
      </c>
      <c r="CE554" s="229">
        <f t="shared" si="588"/>
        <v>32</v>
      </c>
      <c r="CF554" s="230">
        <f t="shared" si="589"/>
        <v>0</v>
      </c>
      <c r="CG554" s="229">
        <v>35</v>
      </c>
      <c r="CH554" s="230">
        <f t="shared" si="590"/>
        <v>48</v>
      </c>
      <c r="CI554" s="235">
        <f t="shared" si="591"/>
        <v>3.0748170731707316</v>
      </c>
      <c r="CJ554" s="235" cm="1">
        <f t="array" ref="CJ554">$BI554 * SUMPRODUCT(INDEX($AR$77:$AT$82,,$AI554),INDEX($AU$77:$BA$82,,$AH554), N($AQ$77:$AQ$82&gt;$AO554)) / CI554 / 1000</f>
        <v>0</v>
      </c>
      <c r="CK554" s="232">
        <f t="shared" si="608"/>
        <v>30</v>
      </c>
      <c r="CL554" s="230">
        <f t="shared" si="592"/>
        <v>43</v>
      </c>
      <c r="CM554" s="235">
        <f t="shared" si="593"/>
        <v>3.5018750000000001</v>
      </c>
      <c r="CN554" s="235" cm="1">
        <f t="array" ref="CN554">$BI554 * IF($AH554&lt;=2,
SUMPRODUCT(INDEX($AR$72:$AT$76,,$AI554), INDEX($AU$72:$BA$76,,$AH554), 1 / ($BB$72:$BB$76*CM554 + (1-$BB$72:$BB$76)*CI554), N($AQ$72:$AQ$76&gt;$AO554)),
SUMPRODUCT(INDEX($AR$67:$AT$76,,$AI554), INDEX($AU$67:$BA$76,,$AH554), 1 / ($BC$67:$BC$76*CM554 + (1-$BC$67:$BC$76)*CI554), N($AQ$67:$AQ$76&gt;$AO554))
) / 1000</f>
        <v>0</v>
      </c>
      <c r="CO554" s="232">
        <f t="shared" si="609"/>
        <v>25</v>
      </c>
      <c r="CP554" s="230">
        <f t="shared" si="594"/>
        <v>38</v>
      </c>
      <c r="CQ554" s="235">
        <f t="shared" si="595"/>
        <v>4.0666935483870965</v>
      </c>
      <c r="CR554" s="235" cm="1">
        <f t="array" ref="CR554">$BI554 * IF($AH554&lt;=2,
SUMPRODUCT(INDEX($AR$67:$AT$71,,$AI554), INDEX($AU$67:$BA$71,,$AH554), 1 / ($BB$67:$BB$71*CQ554 + (1-$BB$67:$BB$71)*CM554), N($AQ$67:$AQ$71&gt;$AO554)),
SUMPRODUCT(INDEX($AR$57:$AT$66,,$AI554), INDEX($AU$57:$BA$66,,$AH554), 1 / ($BC$57:$BC$66*CQ554 + (1-$BC$57:$BC$66)*CM554), N($AQ$57:$AQ$66&gt;$AO554))
) / 1000</f>
        <v>0</v>
      </c>
      <c r="CS554" s="232">
        <f t="shared" si="610"/>
        <v>20</v>
      </c>
      <c r="CT554" s="230">
        <f t="shared" si="596"/>
        <v>33</v>
      </c>
      <c r="CU554" s="235">
        <f t="shared" si="597"/>
        <v>4.8487499999999999</v>
      </c>
      <c r="CV554" s="235" cm="1">
        <f t="array" ref="CV554">$BI554 * IF($AH554&lt;=2,
SUMPRODUCT(INDEX($AR$62:$AT$66,,$AI554), INDEX($AU$62:$BA$66,,$AH554), 1 / ($BB$62:$BB$66*CU554 + (1-$BB$62:$BB$66)*CQ554), N($AQ$62:$AQ$66&gt;$AO554)),
SUMPRODUCT(INDEX($AR$47:$AT$56,,$AI554), INDEX($AU$47:$BA$56,,$AH554), 1 / ($BC$47:$BC$56*CU554 + (1-$BC$47:$BC$56)*CQ554), N($AQ$47:$AQ$56&gt;$AO554))
) / 1000</f>
        <v>0</v>
      </c>
      <c r="CW554" s="235" cm="1">
        <f t="array" ref="CW554">$BI554 * IF($AH554&lt;=2,
SUMPRODUCT(INDEX($AR$23:$AT$61,,$AI554), INDEX($AU$23:$BA$61,,$AH554), 1 / ($BB$23:$BB$61*CU554), N($AQ$23:$AQ$61&gt;$AO554)),
SUMPRODUCT(INDEX($AR$23:$AT$46,,$AI554), INDEX($AU$23:$BA$46,,$AH554), 1 / ($BC$23:$BC$46*CU554), N($AQ$23:$AQ$46&gt;$AO554))
) / 1000</f>
        <v>0</v>
      </c>
      <c r="CX554" s="230">
        <f t="shared" si="598"/>
        <v>0</v>
      </c>
      <c r="CY554" s="238"/>
    </row>
    <row r="555" spans="1:103" s="76" customFormat="1" ht="14.25" customHeight="1" x14ac:dyDescent="0.2">
      <c r="A555" s="231" t="b">
        <f t="shared" si="602"/>
        <v>0</v>
      </c>
      <c r="B555" s="245">
        <v>533</v>
      </c>
      <c r="C555" s="258"/>
      <c r="D555" s="258"/>
      <c r="E555" s="246"/>
      <c r="F555" s="247" t="str">
        <f>IF(ISBLANK(E555), "", VLOOKUP(E555, Z!$A$2:$C$4127, 3, FALSE))</f>
        <v/>
      </c>
      <c r="G555" s="248"/>
      <c r="H555" s="248"/>
      <c r="I555" s="249"/>
      <c r="J555" s="250"/>
      <c r="K555" s="259"/>
      <c r="L555" s="260"/>
      <c r="M555" s="252" t="str" cm="1">
        <f t="array" ref="M555">INDEX(Trad, 53, $A$20)</f>
        <v>Verschmutzt</v>
      </c>
      <c r="N555" s="253"/>
      <c r="O555" s="253"/>
      <c r="P555" s="254"/>
      <c r="Q555" s="251"/>
      <c r="R555" s="251"/>
      <c r="S555" s="264">
        <f t="shared" si="573"/>
        <v>0</v>
      </c>
      <c r="T555" s="252" t="str" cm="1">
        <f t="array" ref="T555">INDEX(Trad, 52, $A$20)</f>
        <v>Sauber</v>
      </c>
      <c r="U555" s="253"/>
      <c r="V555" s="253"/>
      <c r="W555" s="254"/>
      <c r="X555" s="251"/>
      <c r="Y555" s="251"/>
      <c r="Z555" s="264">
        <f t="shared" si="574"/>
        <v>0</v>
      </c>
      <c r="AA555" s="261"/>
      <c r="AB555" s="258"/>
      <c r="AC555" s="246"/>
      <c r="AD555" s="247" t="str">
        <f>IF(ISBLANK(AC555), "", VLOOKUP(AC555, Z!$A$2:$C$4127, 3, FALSE))</f>
        <v/>
      </c>
      <c r="AE555" s="262"/>
      <c r="AF555" s="263">
        <f t="shared" si="575"/>
        <v>0</v>
      </c>
      <c r="AG555" s="238"/>
      <c r="AH555" s="229">
        <f t="shared" si="599"/>
        <v>1</v>
      </c>
      <c r="AI555" s="229">
        <f t="shared" si="600"/>
        <v>1</v>
      </c>
      <c r="AJ555" s="229">
        <f t="shared" si="601"/>
        <v>0</v>
      </c>
      <c r="AK555" s="229">
        <v>0</v>
      </c>
      <c r="AL555" s="229">
        <v>0</v>
      </c>
      <c r="AM555" s="229">
        <v>1</v>
      </c>
      <c r="AN555" s="229">
        <v>0</v>
      </c>
      <c r="AO555" s="229">
        <f t="shared" si="576"/>
        <v>-100</v>
      </c>
      <c r="AP555" s="238"/>
      <c r="AQ555" s="255"/>
      <c r="AR555" s="255"/>
      <c r="AS555" s="256"/>
      <c r="AT555" s="256"/>
      <c r="AU555" s="256"/>
      <c r="AV555" s="256"/>
      <c r="AW555" s="256"/>
      <c r="AX555" s="256"/>
      <c r="AY555" s="256"/>
      <c r="AZ555" s="256"/>
      <c r="BA555" s="256"/>
      <c r="BB555" s="256"/>
      <c r="BC555" s="256"/>
      <c r="BD555" s="238"/>
      <c r="BE555" s="229" cm="1">
        <f t="array" ref="BE555">IF(ISBLANK(R555), INDEX(Use, $AH555, 4) - AM555*INDEX(Use, $AH555, 6), R555)</f>
        <v>5</v>
      </c>
      <c r="BF555" s="229">
        <f t="shared" si="577"/>
        <v>30</v>
      </c>
      <c r="BG555" s="229">
        <f t="shared" si="603"/>
        <v>13</v>
      </c>
      <c r="BH555" s="229">
        <f t="shared" si="604"/>
        <v>0</v>
      </c>
      <c r="BI555" s="234" cm="1">
        <f t="array" ref="BI555">K555/IF($L555&gt;0, INDEX($AU$23:$BA$77, $L555+20, $AH555), 1)</f>
        <v>0</v>
      </c>
      <c r="BJ555" s="230">
        <f t="shared" si="578"/>
        <v>0</v>
      </c>
      <c r="BK555" s="229">
        <v>35</v>
      </c>
      <c r="BL555" s="230">
        <f t="shared" si="579"/>
        <v>48</v>
      </c>
      <c r="BM555" s="235">
        <f t="shared" si="580"/>
        <v>2.9108720930232557</v>
      </c>
      <c r="BN555" s="235" cm="1">
        <f t="array" ref="BN555">$BI555 * SUMPRODUCT(INDEX($AR$77:$AT$82,,$AI555),INDEX($AU$77:$BA$82,,$AH555), N($AQ$77:$AQ$82&gt;$AO555)) / BM555 / 1000</f>
        <v>0</v>
      </c>
      <c r="BO555" s="232">
        <f t="shared" si="605"/>
        <v>30</v>
      </c>
      <c r="BP555" s="230">
        <f t="shared" si="581"/>
        <v>43</v>
      </c>
      <c r="BQ555" s="235">
        <f t="shared" si="582"/>
        <v>3.2938815789473681</v>
      </c>
      <c r="BR555" s="235" cm="1">
        <f t="array" ref="BR555">$BI555 * IF($AH555&lt;=2,
SUMPRODUCT(INDEX($AR$72:$AT$76,,$AI555), INDEX($AU$72:$BA$76,,$AH555), 1 / ($BB$72:$BB$76*BQ555 + (1-$BB$72:$BB$76)*BM555), N($AQ$72:$AQ$76&gt;$AO555)),
SUMPRODUCT(INDEX($AR$67:$AT$76,,$AI555), INDEX($AU$67:$BA$76,,$AH555), 1 / ($BC$67:$BC$76*BQ555 + (1-$BC$67:$BC$76)*BM555), N($AQ$67:$AQ$76&gt;$AO555))
) / 1000</f>
        <v>0</v>
      </c>
      <c r="BS555" s="232">
        <f t="shared" si="606"/>
        <v>25</v>
      </c>
      <c r="BT555" s="230">
        <f t="shared" si="583"/>
        <v>38</v>
      </c>
      <c r="BU555" s="235">
        <f t="shared" si="584"/>
        <v>3.792954545454545</v>
      </c>
      <c r="BV555" s="235" cm="1">
        <f t="array" ref="BV555">$BI555 * IF($AH555&lt;=2,
SUMPRODUCT(INDEX($AR$67:$AT$71,,$AI555), INDEX($AU$67:$BA$71,,$AH555), 1 / ($BB$67:$BB$71*BU555 + (1-$BB$67:$BB$71)*BQ555), N($AQ$67:$AQ$71&gt;$AO555)),
SUMPRODUCT(INDEX($AR$57:$AT$66,,$AI555), INDEX($AU$57:$BA$66,,$AH555), 1 / ($BC$57:$BC$66*BU555 + (1-$BC$57:$BC$66)*BQ555), N($AQ$57:$AQ$66&gt;$AO555))
) / 1000</f>
        <v>0</v>
      </c>
      <c r="BW555" s="232">
        <f t="shared" si="607"/>
        <v>20</v>
      </c>
      <c r="BX555" s="230">
        <f t="shared" si="585"/>
        <v>33</v>
      </c>
      <c r="BY555" s="235">
        <f t="shared" si="586"/>
        <v>4.4702678571428569</v>
      </c>
      <c r="BZ555" s="235" cm="1">
        <f t="array" ref="BZ555">$BI555 * IF($AH555&lt;=2,
SUMPRODUCT(INDEX($AR$62:$AT$66,,$AI555), INDEX($AU$62:$BA$66,,$AH555), 1 / ($BB$62:$BB$66*BY555 + (1-$BB$62:$BB$66)*BU555), N($AQ$62:$AQ$66&gt;$AO555)),
SUMPRODUCT(INDEX($AR$47:$AT$56,,$AI555), INDEX($AU$47:$BA$56,,$AH555), 1 / ($BC$47:$BC$56*BY555 + (1-$BC$47:$BC$56)*BU555), N($AQ$47:$AQ$56&gt;$AO555))
) / 1000</f>
        <v>0</v>
      </c>
      <c r="CA555" s="235" cm="1">
        <f t="array" ref="CA555">$BI555 * IF($AH555&lt;=2,
SUMPRODUCT(INDEX($AR$23:$AT$61,,$AI555), INDEX($AU$23:$BA$61,,$AH555), 1 / ($BB$23:$BB$61*BY555), N($AQ$23:$AQ$61&gt;$AO555)),
SUMPRODUCT(INDEX($AR$23:$AT$46,,$AI555), INDEX($AU$23:$BA$46,,$AH555), 1 / ($BC$23:$BC$46*BY555), N($AQ$23:$AQ$46&gt;$AO555))
) / 1000</f>
        <v>0</v>
      </c>
      <c r="CB555" s="230">
        <f t="shared" si="587"/>
        <v>0</v>
      </c>
      <c r="CC555" s="238"/>
      <c r="CD555" s="229" cm="1">
        <f t="array" ref="CD555">IF(ISBLANK(Y555), INDEX(Use, $AH555, 4) - AN555*INDEX(Use, $AH555, 6) - (Q555-X555), Y555)</f>
        <v>7</v>
      </c>
      <c r="CE555" s="229">
        <f t="shared" si="588"/>
        <v>32</v>
      </c>
      <c r="CF555" s="230">
        <f t="shared" si="589"/>
        <v>0</v>
      </c>
      <c r="CG555" s="229">
        <v>35</v>
      </c>
      <c r="CH555" s="230">
        <f t="shared" si="590"/>
        <v>48</v>
      </c>
      <c r="CI555" s="235">
        <f t="shared" si="591"/>
        <v>3.0748170731707316</v>
      </c>
      <c r="CJ555" s="235" cm="1">
        <f t="array" ref="CJ555">$BI555 * SUMPRODUCT(INDEX($AR$77:$AT$82,,$AI555),INDEX($AU$77:$BA$82,,$AH555), N($AQ$77:$AQ$82&gt;$AO555)) / CI555 / 1000</f>
        <v>0</v>
      </c>
      <c r="CK555" s="232">
        <f t="shared" si="608"/>
        <v>30</v>
      </c>
      <c r="CL555" s="230">
        <f t="shared" si="592"/>
        <v>43</v>
      </c>
      <c r="CM555" s="235">
        <f t="shared" si="593"/>
        <v>3.5018750000000001</v>
      </c>
      <c r="CN555" s="235" cm="1">
        <f t="array" ref="CN555">$BI555 * IF($AH555&lt;=2,
SUMPRODUCT(INDEX($AR$72:$AT$76,,$AI555), INDEX($AU$72:$BA$76,,$AH555), 1 / ($BB$72:$BB$76*CM555 + (1-$BB$72:$BB$76)*CI555), N($AQ$72:$AQ$76&gt;$AO555)),
SUMPRODUCT(INDEX($AR$67:$AT$76,,$AI555), INDEX($AU$67:$BA$76,,$AH555), 1 / ($BC$67:$BC$76*CM555 + (1-$BC$67:$BC$76)*CI555), N($AQ$67:$AQ$76&gt;$AO555))
) / 1000</f>
        <v>0</v>
      </c>
      <c r="CO555" s="232">
        <f t="shared" si="609"/>
        <v>25</v>
      </c>
      <c r="CP555" s="230">
        <f t="shared" si="594"/>
        <v>38</v>
      </c>
      <c r="CQ555" s="235">
        <f t="shared" si="595"/>
        <v>4.0666935483870965</v>
      </c>
      <c r="CR555" s="235" cm="1">
        <f t="array" ref="CR555">$BI555 * IF($AH555&lt;=2,
SUMPRODUCT(INDEX($AR$67:$AT$71,,$AI555), INDEX($AU$67:$BA$71,,$AH555), 1 / ($BB$67:$BB$71*CQ555 + (1-$BB$67:$BB$71)*CM555), N($AQ$67:$AQ$71&gt;$AO555)),
SUMPRODUCT(INDEX($AR$57:$AT$66,,$AI555), INDEX($AU$57:$BA$66,,$AH555), 1 / ($BC$57:$BC$66*CQ555 + (1-$BC$57:$BC$66)*CM555), N($AQ$57:$AQ$66&gt;$AO555))
) / 1000</f>
        <v>0</v>
      </c>
      <c r="CS555" s="232">
        <f t="shared" si="610"/>
        <v>20</v>
      </c>
      <c r="CT555" s="230">
        <f t="shared" si="596"/>
        <v>33</v>
      </c>
      <c r="CU555" s="235">
        <f t="shared" si="597"/>
        <v>4.8487499999999999</v>
      </c>
      <c r="CV555" s="235" cm="1">
        <f t="array" ref="CV555">$BI555 * IF($AH555&lt;=2,
SUMPRODUCT(INDEX($AR$62:$AT$66,,$AI555), INDEX($AU$62:$BA$66,,$AH555), 1 / ($BB$62:$BB$66*CU555 + (1-$BB$62:$BB$66)*CQ555), N($AQ$62:$AQ$66&gt;$AO555)),
SUMPRODUCT(INDEX($AR$47:$AT$56,,$AI555), INDEX($AU$47:$BA$56,,$AH555), 1 / ($BC$47:$BC$56*CU555 + (1-$BC$47:$BC$56)*CQ555), N($AQ$47:$AQ$56&gt;$AO555))
) / 1000</f>
        <v>0</v>
      </c>
      <c r="CW555" s="235" cm="1">
        <f t="array" ref="CW555">$BI555 * IF($AH555&lt;=2,
SUMPRODUCT(INDEX($AR$23:$AT$61,,$AI555), INDEX($AU$23:$BA$61,,$AH555), 1 / ($BB$23:$BB$61*CU555), N($AQ$23:$AQ$61&gt;$AO555)),
SUMPRODUCT(INDEX($AR$23:$AT$46,,$AI555), INDEX($AU$23:$BA$46,,$AH555), 1 / ($BC$23:$BC$46*CU555), N($AQ$23:$AQ$46&gt;$AO555))
) / 1000</f>
        <v>0</v>
      </c>
      <c r="CX555" s="230">
        <f t="shared" si="598"/>
        <v>0</v>
      </c>
      <c r="CY555" s="238"/>
    </row>
    <row r="556" spans="1:103" s="76" customFormat="1" ht="14.25" customHeight="1" x14ac:dyDescent="0.2">
      <c r="A556" s="231" t="b">
        <f t="shared" si="602"/>
        <v>0</v>
      </c>
      <c r="B556" s="245">
        <v>534</v>
      </c>
      <c r="C556" s="258"/>
      <c r="D556" s="258"/>
      <c r="E556" s="246"/>
      <c r="F556" s="247" t="str">
        <f>IF(ISBLANK(E556), "", VLOOKUP(E556, Z!$A$2:$C$4127, 3, FALSE))</f>
        <v/>
      </c>
      <c r="G556" s="248"/>
      <c r="H556" s="248"/>
      <c r="I556" s="249"/>
      <c r="J556" s="250"/>
      <c r="K556" s="259"/>
      <c r="L556" s="260"/>
      <c r="M556" s="252" t="str" cm="1">
        <f t="array" ref="M556">INDEX(Trad, 53, $A$20)</f>
        <v>Verschmutzt</v>
      </c>
      <c r="N556" s="253"/>
      <c r="O556" s="253"/>
      <c r="P556" s="254"/>
      <c r="Q556" s="251"/>
      <c r="R556" s="251"/>
      <c r="S556" s="264">
        <f t="shared" si="573"/>
        <v>0</v>
      </c>
      <c r="T556" s="252" t="str" cm="1">
        <f t="array" ref="T556">INDEX(Trad, 52, $A$20)</f>
        <v>Sauber</v>
      </c>
      <c r="U556" s="253"/>
      <c r="V556" s="253"/>
      <c r="W556" s="254"/>
      <c r="X556" s="251"/>
      <c r="Y556" s="251"/>
      <c r="Z556" s="264">
        <f t="shared" si="574"/>
        <v>0</v>
      </c>
      <c r="AA556" s="261"/>
      <c r="AB556" s="258"/>
      <c r="AC556" s="246"/>
      <c r="AD556" s="247" t="str">
        <f>IF(ISBLANK(AC556), "", VLOOKUP(AC556, Z!$A$2:$C$4127, 3, FALSE))</f>
        <v/>
      </c>
      <c r="AE556" s="262"/>
      <c r="AF556" s="263">
        <f t="shared" si="575"/>
        <v>0</v>
      </c>
      <c r="AG556" s="238"/>
      <c r="AH556" s="229">
        <f t="shared" si="599"/>
        <v>1</v>
      </c>
      <c r="AI556" s="229">
        <f t="shared" si="600"/>
        <v>1</v>
      </c>
      <c r="AJ556" s="229">
        <f t="shared" si="601"/>
        <v>0</v>
      </c>
      <c r="AK556" s="229">
        <v>0</v>
      </c>
      <c r="AL556" s="229">
        <v>0</v>
      </c>
      <c r="AM556" s="229">
        <v>1</v>
      </c>
      <c r="AN556" s="229">
        <v>0</v>
      </c>
      <c r="AO556" s="229">
        <f t="shared" si="576"/>
        <v>-100</v>
      </c>
      <c r="AP556" s="238"/>
      <c r="AQ556" s="255"/>
      <c r="AR556" s="255"/>
      <c r="AS556" s="256"/>
      <c r="AT556" s="256"/>
      <c r="AU556" s="256"/>
      <c r="AV556" s="256"/>
      <c r="AW556" s="256"/>
      <c r="AX556" s="256"/>
      <c r="AY556" s="256"/>
      <c r="AZ556" s="256"/>
      <c r="BA556" s="256"/>
      <c r="BB556" s="256"/>
      <c r="BC556" s="256"/>
      <c r="BD556" s="238"/>
      <c r="BE556" s="229" cm="1">
        <f t="array" ref="BE556">IF(ISBLANK(R556), INDEX(Use, $AH556, 4) - AM556*INDEX(Use, $AH556, 6), R556)</f>
        <v>5</v>
      </c>
      <c r="BF556" s="229">
        <f t="shared" si="577"/>
        <v>30</v>
      </c>
      <c r="BG556" s="229">
        <f t="shared" si="603"/>
        <v>13</v>
      </c>
      <c r="BH556" s="229">
        <f t="shared" si="604"/>
        <v>0</v>
      </c>
      <c r="BI556" s="234" cm="1">
        <f t="array" ref="BI556">K556/IF($L556&gt;0, INDEX($AU$23:$BA$77, $L556+20, $AH556), 1)</f>
        <v>0</v>
      </c>
      <c r="BJ556" s="230">
        <f t="shared" si="578"/>
        <v>0</v>
      </c>
      <c r="BK556" s="229">
        <v>35</v>
      </c>
      <c r="BL556" s="230">
        <f t="shared" si="579"/>
        <v>48</v>
      </c>
      <c r="BM556" s="235">
        <f t="shared" si="580"/>
        <v>2.9108720930232557</v>
      </c>
      <c r="BN556" s="235" cm="1">
        <f t="array" ref="BN556">$BI556 * SUMPRODUCT(INDEX($AR$77:$AT$82,,$AI556),INDEX($AU$77:$BA$82,,$AH556), N($AQ$77:$AQ$82&gt;$AO556)) / BM556 / 1000</f>
        <v>0</v>
      </c>
      <c r="BO556" s="232">
        <f t="shared" si="605"/>
        <v>30</v>
      </c>
      <c r="BP556" s="230">
        <f t="shared" si="581"/>
        <v>43</v>
      </c>
      <c r="BQ556" s="235">
        <f t="shared" si="582"/>
        <v>3.2938815789473681</v>
      </c>
      <c r="BR556" s="235" cm="1">
        <f t="array" ref="BR556">$BI556 * IF($AH556&lt;=2,
SUMPRODUCT(INDEX($AR$72:$AT$76,,$AI556), INDEX($AU$72:$BA$76,,$AH556), 1 / ($BB$72:$BB$76*BQ556 + (1-$BB$72:$BB$76)*BM556), N($AQ$72:$AQ$76&gt;$AO556)),
SUMPRODUCT(INDEX($AR$67:$AT$76,,$AI556), INDEX($AU$67:$BA$76,,$AH556), 1 / ($BC$67:$BC$76*BQ556 + (1-$BC$67:$BC$76)*BM556), N($AQ$67:$AQ$76&gt;$AO556))
) / 1000</f>
        <v>0</v>
      </c>
      <c r="BS556" s="232">
        <f t="shared" si="606"/>
        <v>25</v>
      </c>
      <c r="BT556" s="230">
        <f t="shared" si="583"/>
        <v>38</v>
      </c>
      <c r="BU556" s="235">
        <f t="shared" si="584"/>
        <v>3.792954545454545</v>
      </c>
      <c r="BV556" s="235" cm="1">
        <f t="array" ref="BV556">$BI556 * IF($AH556&lt;=2,
SUMPRODUCT(INDEX($AR$67:$AT$71,,$AI556), INDEX($AU$67:$BA$71,,$AH556), 1 / ($BB$67:$BB$71*BU556 + (1-$BB$67:$BB$71)*BQ556), N($AQ$67:$AQ$71&gt;$AO556)),
SUMPRODUCT(INDEX($AR$57:$AT$66,,$AI556), INDEX($AU$57:$BA$66,,$AH556), 1 / ($BC$57:$BC$66*BU556 + (1-$BC$57:$BC$66)*BQ556), N($AQ$57:$AQ$66&gt;$AO556))
) / 1000</f>
        <v>0</v>
      </c>
      <c r="BW556" s="232">
        <f t="shared" si="607"/>
        <v>20</v>
      </c>
      <c r="BX556" s="230">
        <f t="shared" si="585"/>
        <v>33</v>
      </c>
      <c r="BY556" s="235">
        <f t="shared" si="586"/>
        <v>4.4702678571428569</v>
      </c>
      <c r="BZ556" s="235" cm="1">
        <f t="array" ref="BZ556">$BI556 * IF($AH556&lt;=2,
SUMPRODUCT(INDEX($AR$62:$AT$66,,$AI556), INDEX($AU$62:$BA$66,,$AH556), 1 / ($BB$62:$BB$66*BY556 + (1-$BB$62:$BB$66)*BU556), N($AQ$62:$AQ$66&gt;$AO556)),
SUMPRODUCT(INDEX($AR$47:$AT$56,,$AI556), INDEX($AU$47:$BA$56,,$AH556), 1 / ($BC$47:$BC$56*BY556 + (1-$BC$47:$BC$56)*BU556), N($AQ$47:$AQ$56&gt;$AO556))
) / 1000</f>
        <v>0</v>
      </c>
      <c r="CA556" s="235" cm="1">
        <f t="array" ref="CA556">$BI556 * IF($AH556&lt;=2,
SUMPRODUCT(INDEX($AR$23:$AT$61,,$AI556), INDEX($AU$23:$BA$61,,$AH556), 1 / ($BB$23:$BB$61*BY556), N($AQ$23:$AQ$61&gt;$AO556)),
SUMPRODUCT(INDEX($AR$23:$AT$46,,$AI556), INDEX($AU$23:$BA$46,,$AH556), 1 / ($BC$23:$BC$46*BY556), N($AQ$23:$AQ$46&gt;$AO556))
) / 1000</f>
        <v>0</v>
      </c>
      <c r="CB556" s="230">
        <f t="shared" si="587"/>
        <v>0</v>
      </c>
      <c r="CC556" s="238"/>
      <c r="CD556" s="229" cm="1">
        <f t="array" ref="CD556">IF(ISBLANK(Y556), INDEX(Use, $AH556, 4) - AN556*INDEX(Use, $AH556, 6) - (Q556-X556), Y556)</f>
        <v>7</v>
      </c>
      <c r="CE556" s="229">
        <f t="shared" si="588"/>
        <v>32</v>
      </c>
      <c r="CF556" s="230">
        <f t="shared" si="589"/>
        <v>0</v>
      </c>
      <c r="CG556" s="229">
        <v>35</v>
      </c>
      <c r="CH556" s="230">
        <f t="shared" si="590"/>
        <v>48</v>
      </c>
      <c r="CI556" s="235">
        <f t="shared" si="591"/>
        <v>3.0748170731707316</v>
      </c>
      <c r="CJ556" s="235" cm="1">
        <f t="array" ref="CJ556">$BI556 * SUMPRODUCT(INDEX($AR$77:$AT$82,,$AI556),INDEX($AU$77:$BA$82,,$AH556), N($AQ$77:$AQ$82&gt;$AO556)) / CI556 / 1000</f>
        <v>0</v>
      </c>
      <c r="CK556" s="232">
        <f t="shared" si="608"/>
        <v>30</v>
      </c>
      <c r="CL556" s="230">
        <f t="shared" si="592"/>
        <v>43</v>
      </c>
      <c r="CM556" s="235">
        <f t="shared" si="593"/>
        <v>3.5018750000000001</v>
      </c>
      <c r="CN556" s="235" cm="1">
        <f t="array" ref="CN556">$BI556 * IF($AH556&lt;=2,
SUMPRODUCT(INDEX($AR$72:$AT$76,,$AI556), INDEX($AU$72:$BA$76,,$AH556), 1 / ($BB$72:$BB$76*CM556 + (1-$BB$72:$BB$76)*CI556), N($AQ$72:$AQ$76&gt;$AO556)),
SUMPRODUCT(INDEX($AR$67:$AT$76,,$AI556), INDEX($AU$67:$BA$76,,$AH556), 1 / ($BC$67:$BC$76*CM556 + (1-$BC$67:$BC$76)*CI556), N($AQ$67:$AQ$76&gt;$AO556))
) / 1000</f>
        <v>0</v>
      </c>
      <c r="CO556" s="232">
        <f t="shared" si="609"/>
        <v>25</v>
      </c>
      <c r="CP556" s="230">
        <f t="shared" si="594"/>
        <v>38</v>
      </c>
      <c r="CQ556" s="235">
        <f t="shared" si="595"/>
        <v>4.0666935483870965</v>
      </c>
      <c r="CR556" s="235" cm="1">
        <f t="array" ref="CR556">$BI556 * IF($AH556&lt;=2,
SUMPRODUCT(INDEX($AR$67:$AT$71,,$AI556), INDEX($AU$67:$BA$71,,$AH556), 1 / ($BB$67:$BB$71*CQ556 + (1-$BB$67:$BB$71)*CM556), N($AQ$67:$AQ$71&gt;$AO556)),
SUMPRODUCT(INDEX($AR$57:$AT$66,,$AI556), INDEX($AU$57:$BA$66,,$AH556), 1 / ($BC$57:$BC$66*CQ556 + (1-$BC$57:$BC$66)*CM556), N($AQ$57:$AQ$66&gt;$AO556))
) / 1000</f>
        <v>0</v>
      </c>
      <c r="CS556" s="232">
        <f t="shared" si="610"/>
        <v>20</v>
      </c>
      <c r="CT556" s="230">
        <f t="shared" si="596"/>
        <v>33</v>
      </c>
      <c r="CU556" s="235">
        <f t="shared" si="597"/>
        <v>4.8487499999999999</v>
      </c>
      <c r="CV556" s="235" cm="1">
        <f t="array" ref="CV556">$BI556 * IF($AH556&lt;=2,
SUMPRODUCT(INDEX($AR$62:$AT$66,,$AI556), INDEX($AU$62:$BA$66,,$AH556), 1 / ($BB$62:$BB$66*CU556 + (1-$BB$62:$BB$66)*CQ556), N($AQ$62:$AQ$66&gt;$AO556)),
SUMPRODUCT(INDEX($AR$47:$AT$56,,$AI556), INDEX($AU$47:$BA$56,,$AH556), 1 / ($BC$47:$BC$56*CU556 + (1-$BC$47:$BC$56)*CQ556), N($AQ$47:$AQ$56&gt;$AO556))
) / 1000</f>
        <v>0</v>
      </c>
      <c r="CW556" s="235" cm="1">
        <f t="array" ref="CW556">$BI556 * IF($AH556&lt;=2,
SUMPRODUCT(INDEX($AR$23:$AT$61,,$AI556), INDEX($AU$23:$BA$61,,$AH556), 1 / ($BB$23:$BB$61*CU556), N($AQ$23:$AQ$61&gt;$AO556)),
SUMPRODUCT(INDEX($AR$23:$AT$46,,$AI556), INDEX($AU$23:$BA$46,,$AH556), 1 / ($BC$23:$BC$46*CU556), N($AQ$23:$AQ$46&gt;$AO556))
) / 1000</f>
        <v>0</v>
      </c>
      <c r="CX556" s="230">
        <f t="shared" si="598"/>
        <v>0</v>
      </c>
      <c r="CY556" s="238"/>
    </row>
    <row r="557" spans="1:103" s="76" customFormat="1" ht="14.25" customHeight="1" x14ac:dyDescent="0.2">
      <c r="A557" s="231" t="b">
        <f t="shared" si="602"/>
        <v>0</v>
      </c>
      <c r="B557" s="245">
        <v>535</v>
      </c>
      <c r="C557" s="258"/>
      <c r="D557" s="258"/>
      <c r="E557" s="246"/>
      <c r="F557" s="247" t="str">
        <f>IF(ISBLANK(E557), "", VLOOKUP(E557, Z!$A$2:$C$4127, 3, FALSE))</f>
        <v/>
      </c>
      <c r="G557" s="248"/>
      <c r="H557" s="248"/>
      <c r="I557" s="249"/>
      <c r="J557" s="250"/>
      <c r="K557" s="259"/>
      <c r="L557" s="260"/>
      <c r="M557" s="252" t="str" cm="1">
        <f t="array" ref="M557">INDEX(Trad, 53, $A$20)</f>
        <v>Verschmutzt</v>
      </c>
      <c r="N557" s="253"/>
      <c r="O557" s="253"/>
      <c r="P557" s="254"/>
      <c r="Q557" s="251"/>
      <c r="R557" s="251"/>
      <c r="S557" s="264">
        <f t="shared" si="573"/>
        <v>0</v>
      </c>
      <c r="T557" s="252" t="str" cm="1">
        <f t="array" ref="T557">INDEX(Trad, 52, $A$20)</f>
        <v>Sauber</v>
      </c>
      <c r="U557" s="253"/>
      <c r="V557" s="253"/>
      <c r="W557" s="254"/>
      <c r="X557" s="251"/>
      <c r="Y557" s="251"/>
      <c r="Z557" s="264">
        <f t="shared" si="574"/>
        <v>0</v>
      </c>
      <c r="AA557" s="261"/>
      <c r="AB557" s="258"/>
      <c r="AC557" s="246"/>
      <c r="AD557" s="247" t="str">
        <f>IF(ISBLANK(AC557), "", VLOOKUP(AC557, Z!$A$2:$C$4127, 3, FALSE))</f>
        <v/>
      </c>
      <c r="AE557" s="262"/>
      <c r="AF557" s="263">
        <f t="shared" si="575"/>
        <v>0</v>
      </c>
      <c r="AG557" s="238"/>
      <c r="AH557" s="229">
        <f t="shared" si="599"/>
        <v>1</v>
      </c>
      <c r="AI557" s="229">
        <f t="shared" si="600"/>
        <v>1</v>
      </c>
      <c r="AJ557" s="229">
        <f t="shared" si="601"/>
        <v>0</v>
      </c>
      <c r="AK557" s="229">
        <v>0</v>
      </c>
      <c r="AL557" s="229">
        <v>0</v>
      </c>
      <c r="AM557" s="229">
        <v>1</v>
      </c>
      <c r="AN557" s="229">
        <v>0</v>
      </c>
      <c r="AO557" s="229">
        <f t="shared" si="576"/>
        <v>-100</v>
      </c>
      <c r="AP557" s="238"/>
      <c r="AQ557" s="255"/>
      <c r="AR557" s="255"/>
      <c r="AS557" s="256"/>
      <c r="AT557" s="256"/>
      <c r="AU557" s="256"/>
      <c r="AV557" s="256"/>
      <c r="AW557" s="256"/>
      <c r="AX557" s="256"/>
      <c r="AY557" s="256"/>
      <c r="AZ557" s="256"/>
      <c r="BA557" s="256"/>
      <c r="BB557" s="256"/>
      <c r="BC557" s="256"/>
      <c r="BD557" s="238"/>
      <c r="BE557" s="229" cm="1">
        <f t="array" ref="BE557">IF(ISBLANK(R557), INDEX(Use, $AH557, 4) - AM557*INDEX(Use, $AH557, 6), R557)</f>
        <v>5</v>
      </c>
      <c r="BF557" s="229">
        <f t="shared" si="577"/>
        <v>30</v>
      </c>
      <c r="BG557" s="229">
        <f t="shared" si="603"/>
        <v>13</v>
      </c>
      <c r="BH557" s="229">
        <f t="shared" si="604"/>
        <v>0</v>
      </c>
      <c r="BI557" s="234" cm="1">
        <f t="array" ref="BI557">K557/IF($L557&gt;0, INDEX($AU$23:$BA$77, $L557+20, $AH557), 1)</f>
        <v>0</v>
      </c>
      <c r="BJ557" s="230">
        <f t="shared" si="578"/>
        <v>0</v>
      </c>
      <c r="BK557" s="229">
        <v>35</v>
      </c>
      <c r="BL557" s="230">
        <f t="shared" si="579"/>
        <v>48</v>
      </c>
      <c r="BM557" s="235">
        <f t="shared" si="580"/>
        <v>2.9108720930232557</v>
      </c>
      <c r="BN557" s="235" cm="1">
        <f t="array" ref="BN557">$BI557 * SUMPRODUCT(INDEX($AR$77:$AT$82,,$AI557),INDEX($AU$77:$BA$82,,$AH557), N($AQ$77:$AQ$82&gt;$AO557)) / BM557 / 1000</f>
        <v>0</v>
      </c>
      <c r="BO557" s="232">
        <f t="shared" si="605"/>
        <v>30</v>
      </c>
      <c r="BP557" s="230">
        <f t="shared" si="581"/>
        <v>43</v>
      </c>
      <c r="BQ557" s="235">
        <f t="shared" si="582"/>
        <v>3.2938815789473681</v>
      </c>
      <c r="BR557" s="235" cm="1">
        <f t="array" ref="BR557">$BI557 * IF($AH557&lt;=2,
SUMPRODUCT(INDEX($AR$72:$AT$76,,$AI557), INDEX($AU$72:$BA$76,,$AH557), 1 / ($BB$72:$BB$76*BQ557 + (1-$BB$72:$BB$76)*BM557), N($AQ$72:$AQ$76&gt;$AO557)),
SUMPRODUCT(INDEX($AR$67:$AT$76,,$AI557), INDEX($AU$67:$BA$76,,$AH557), 1 / ($BC$67:$BC$76*BQ557 + (1-$BC$67:$BC$76)*BM557), N($AQ$67:$AQ$76&gt;$AO557))
) / 1000</f>
        <v>0</v>
      </c>
      <c r="BS557" s="232">
        <f t="shared" si="606"/>
        <v>25</v>
      </c>
      <c r="BT557" s="230">
        <f t="shared" si="583"/>
        <v>38</v>
      </c>
      <c r="BU557" s="235">
        <f t="shared" si="584"/>
        <v>3.792954545454545</v>
      </c>
      <c r="BV557" s="235" cm="1">
        <f t="array" ref="BV557">$BI557 * IF($AH557&lt;=2,
SUMPRODUCT(INDEX($AR$67:$AT$71,,$AI557), INDEX($AU$67:$BA$71,,$AH557), 1 / ($BB$67:$BB$71*BU557 + (1-$BB$67:$BB$71)*BQ557), N($AQ$67:$AQ$71&gt;$AO557)),
SUMPRODUCT(INDEX($AR$57:$AT$66,,$AI557), INDEX($AU$57:$BA$66,,$AH557), 1 / ($BC$57:$BC$66*BU557 + (1-$BC$57:$BC$66)*BQ557), N($AQ$57:$AQ$66&gt;$AO557))
) / 1000</f>
        <v>0</v>
      </c>
      <c r="BW557" s="232">
        <f t="shared" si="607"/>
        <v>20</v>
      </c>
      <c r="BX557" s="230">
        <f t="shared" si="585"/>
        <v>33</v>
      </c>
      <c r="BY557" s="235">
        <f t="shared" si="586"/>
        <v>4.4702678571428569</v>
      </c>
      <c r="BZ557" s="235" cm="1">
        <f t="array" ref="BZ557">$BI557 * IF($AH557&lt;=2,
SUMPRODUCT(INDEX($AR$62:$AT$66,,$AI557), INDEX($AU$62:$BA$66,,$AH557), 1 / ($BB$62:$BB$66*BY557 + (1-$BB$62:$BB$66)*BU557), N($AQ$62:$AQ$66&gt;$AO557)),
SUMPRODUCT(INDEX($AR$47:$AT$56,,$AI557), INDEX($AU$47:$BA$56,,$AH557), 1 / ($BC$47:$BC$56*BY557 + (1-$BC$47:$BC$56)*BU557), N($AQ$47:$AQ$56&gt;$AO557))
) / 1000</f>
        <v>0</v>
      </c>
      <c r="CA557" s="235" cm="1">
        <f t="array" ref="CA557">$BI557 * IF($AH557&lt;=2,
SUMPRODUCT(INDEX($AR$23:$AT$61,,$AI557), INDEX($AU$23:$BA$61,,$AH557), 1 / ($BB$23:$BB$61*BY557), N($AQ$23:$AQ$61&gt;$AO557)),
SUMPRODUCT(INDEX($AR$23:$AT$46,,$AI557), INDEX($AU$23:$BA$46,,$AH557), 1 / ($BC$23:$BC$46*BY557), N($AQ$23:$AQ$46&gt;$AO557))
) / 1000</f>
        <v>0</v>
      </c>
      <c r="CB557" s="230">
        <f t="shared" si="587"/>
        <v>0</v>
      </c>
      <c r="CC557" s="238"/>
      <c r="CD557" s="229" cm="1">
        <f t="array" ref="CD557">IF(ISBLANK(Y557), INDEX(Use, $AH557, 4) - AN557*INDEX(Use, $AH557, 6) - (Q557-X557), Y557)</f>
        <v>7</v>
      </c>
      <c r="CE557" s="229">
        <f t="shared" si="588"/>
        <v>32</v>
      </c>
      <c r="CF557" s="230">
        <f t="shared" si="589"/>
        <v>0</v>
      </c>
      <c r="CG557" s="229">
        <v>35</v>
      </c>
      <c r="CH557" s="230">
        <f t="shared" si="590"/>
        <v>48</v>
      </c>
      <c r="CI557" s="235">
        <f t="shared" si="591"/>
        <v>3.0748170731707316</v>
      </c>
      <c r="CJ557" s="235" cm="1">
        <f t="array" ref="CJ557">$BI557 * SUMPRODUCT(INDEX($AR$77:$AT$82,,$AI557),INDEX($AU$77:$BA$82,,$AH557), N($AQ$77:$AQ$82&gt;$AO557)) / CI557 / 1000</f>
        <v>0</v>
      </c>
      <c r="CK557" s="232">
        <f t="shared" si="608"/>
        <v>30</v>
      </c>
      <c r="CL557" s="230">
        <f t="shared" si="592"/>
        <v>43</v>
      </c>
      <c r="CM557" s="235">
        <f t="shared" si="593"/>
        <v>3.5018750000000001</v>
      </c>
      <c r="CN557" s="235" cm="1">
        <f t="array" ref="CN557">$BI557 * IF($AH557&lt;=2,
SUMPRODUCT(INDEX($AR$72:$AT$76,,$AI557), INDEX($AU$72:$BA$76,,$AH557), 1 / ($BB$72:$BB$76*CM557 + (1-$BB$72:$BB$76)*CI557), N($AQ$72:$AQ$76&gt;$AO557)),
SUMPRODUCT(INDEX($AR$67:$AT$76,,$AI557), INDEX($AU$67:$BA$76,,$AH557), 1 / ($BC$67:$BC$76*CM557 + (1-$BC$67:$BC$76)*CI557), N($AQ$67:$AQ$76&gt;$AO557))
) / 1000</f>
        <v>0</v>
      </c>
      <c r="CO557" s="232">
        <f t="shared" si="609"/>
        <v>25</v>
      </c>
      <c r="CP557" s="230">
        <f t="shared" si="594"/>
        <v>38</v>
      </c>
      <c r="CQ557" s="235">
        <f t="shared" si="595"/>
        <v>4.0666935483870965</v>
      </c>
      <c r="CR557" s="235" cm="1">
        <f t="array" ref="CR557">$BI557 * IF($AH557&lt;=2,
SUMPRODUCT(INDEX($AR$67:$AT$71,,$AI557), INDEX($AU$67:$BA$71,,$AH557), 1 / ($BB$67:$BB$71*CQ557 + (1-$BB$67:$BB$71)*CM557), N($AQ$67:$AQ$71&gt;$AO557)),
SUMPRODUCT(INDEX($AR$57:$AT$66,,$AI557), INDEX($AU$57:$BA$66,,$AH557), 1 / ($BC$57:$BC$66*CQ557 + (1-$BC$57:$BC$66)*CM557), N($AQ$57:$AQ$66&gt;$AO557))
) / 1000</f>
        <v>0</v>
      </c>
      <c r="CS557" s="232">
        <f t="shared" si="610"/>
        <v>20</v>
      </c>
      <c r="CT557" s="230">
        <f t="shared" si="596"/>
        <v>33</v>
      </c>
      <c r="CU557" s="235">
        <f t="shared" si="597"/>
        <v>4.8487499999999999</v>
      </c>
      <c r="CV557" s="235" cm="1">
        <f t="array" ref="CV557">$BI557 * IF($AH557&lt;=2,
SUMPRODUCT(INDEX($AR$62:$AT$66,,$AI557), INDEX($AU$62:$BA$66,,$AH557), 1 / ($BB$62:$BB$66*CU557 + (1-$BB$62:$BB$66)*CQ557), N($AQ$62:$AQ$66&gt;$AO557)),
SUMPRODUCT(INDEX($AR$47:$AT$56,,$AI557), INDEX($AU$47:$BA$56,,$AH557), 1 / ($BC$47:$BC$56*CU557 + (1-$BC$47:$BC$56)*CQ557), N($AQ$47:$AQ$56&gt;$AO557))
) / 1000</f>
        <v>0</v>
      </c>
      <c r="CW557" s="235" cm="1">
        <f t="array" ref="CW557">$BI557 * IF($AH557&lt;=2,
SUMPRODUCT(INDEX($AR$23:$AT$61,,$AI557), INDEX($AU$23:$BA$61,,$AH557), 1 / ($BB$23:$BB$61*CU557), N($AQ$23:$AQ$61&gt;$AO557)),
SUMPRODUCT(INDEX($AR$23:$AT$46,,$AI557), INDEX($AU$23:$BA$46,,$AH557), 1 / ($BC$23:$BC$46*CU557), N($AQ$23:$AQ$46&gt;$AO557))
) / 1000</f>
        <v>0</v>
      </c>
      <c r="CX557" s="230">
        <f t="shared" si="598"/>
        <v>0</v>
      </c>
      <c r="CY557" s="238"/>
    </row>
    <row r="558" spans="1:103" s="76" customFormat="1" ht="14.25" customHeight="1" x14ac:dyDescent="0.2">
      <c r="A558" s="231" t="b">
        <f t="shared" si="602"/>
        <v>0</v>
      </c>
      <c r="B558" s="245">
        <v>536</v>
      </c>
      <c r="C558" s="258"/>
      <c r="D558" s="258"/>
      <c r="E558" s="246"/>
      <c r="F558" s="247" t="str">
        <f>IF(ISBLANK(E558), "", VLOOKUP(E558, Z!$A$2:$C$4127, 3, FALSE))</f>
        <v/>
      </c>
      <c r="G558" s="248"/>
      <c r="H558" s="248"/>
      <c r="I558" s="249"/>
      <c r="J558" s="250"/>
      <c r="K558" s="259"/>
      <c r="L558" s="260"/>
      <c r="M558" s="252" t="str" cm="1">
        <f t="array" ref="M558">INDEX(Trad, 53, $A$20)</f>
        <v>Verschmutzt</v>
      </c>
      <c r="N558" s="253"/>
      <c r="O558" s="253"/>
      <c r="P558" s="254"/>
      <c r="Q558" s="251"/>
      <c r="R558" s="251"/>
      <c r="S558" s="264">
        <f t="shared" si="573"/>
        <v>0</v>
      </c>
      <c r="T558" s="252" t="str" cm="1">
        <f t="array" ref="T558">INDEX(Trad, 52, $A$20)</f>
        <v>Sauber</v>
      </c>
      <c r="U558" s="253"/>
      <c r="V558" s="253"/>
      <c r="W558" s="254"/>
      <c r="X558" s="251"/>
      <c r="Y558" s="251"/>
      <c r="Z558" s="264">
        <f t="shared" si="574"/>
        <v>0</v>
      </c>
      <c r="AA558" s="261"/>
      <c r="AB558" s="258"/>
      <c r="AC558" s="246"/>
      <c r="AD558" s="247" t="str">
        <f>IF(ISBLANK(AC558), "", VLOOKUP(AC558, Z!$A$2:$C$4127, 3, FALSE))</f>
        <v/>
      </c>
      <c r="AE558" s="262"/>
      <c r="AF558" s="263">
        <f t="shared" si="575"/>
        <v>0</v>
      </c>
      <c r="AG558" s="238"/>
      <c r="AH558" s="229">
        <f t="shared" si="599"/>
        <v>1</v>
      </c>
      <c r="AI558" s="229">
        <f t="shared" si="600"/>
        <v>1</v>
      </c>
      <c r="AJ558" s="229">
        <f t="shared" si="601"/>
        <v>0</v>
      </c>
      <c r="AK558" s="229">
        <v>0</v>
      </c>
      <c r="AL558" s="229">
        <v>0</v>
      </c>
      <c r="AM558" s="229">
        <v>1</v>
      </c>
      <c r="AN558" s="229">
        <v>0</v>
      </c>
      <c r="AO558" s="229">
        <f t="shared" si="576"/>
        <v>-100</v>
      </c>
      <c r="AP558" s="238"/>
      <c r="AQ558" s="255"/>
      <c r="AR558" s="255"/>
      <c r="AS558" s="256"/>
      <c r="AT558" s="256"/>
      <c r="AU558" s="256"/>
      <c r="AV558" s="256"/>
      <c r="AW558" s="256"/>
      <c r="AX558" s="256"/>
      <c r="AY558" s="256"/>
      <c r="AZ558" s="256"/>
      <c r="BA558" s="256"/>
      <c r="BB558" s="256"/>
      <c r="BC558" s="256"/>
      <c r="BD558" s="238"/>
      <c r="BE558" s="229" cm="1">
        <f t="array" ref="BE558">IF(ISBLANK(R558), INDEX(Use, $AH558, 4) - AM558*INDEX(Use, $AH558, 6), R558)</f>
        <v>5</v>
      </c>
      <c r="BF558" s="229">
        <f t="shared" si="577"/>
        <v>30</v>
      </c>
      <c r="BG558" s="229">
        <f t="shared" si="603"/>
        <v>13</v>
      </c>
      <c r="BH558" s="229">
        <f t="shared" si="604"/>
        <v>0</v>
      </c>
      <c r="BI558" s="234" cm="1">
        <f t="array" ref="BI558">K558/IF($L558&gt;0, INDEX($AU$23:$BA$77, $L558+20, $AH558), 1)</f>
        <v>0</v>
      </c>
      <c r="BJ558" s="230">
        <f t="shared" si="578"/>
        <v>0</v>
      </c>
      <c r="BK558" s="229">
        <v>35</v>
      </c>
      <c r="BL558" s="230">
        <f t="shared" si="579"/>
        <v>48</v>
      </c>
      <c r="BM558" s="235">
        <f t="shared" si="580"/>
        <v>2.9108720930232557</v>
      </c>
      <c r="BN558" s="235" cm="1">
        <f t="array" ref="BN558">$BI558 * SUMPRODUCT(INDEX($AR$77:$AT$82,,$AI558),INDEX($AU$77:$BA$82,,$AH558), N($AQ$77:$AQ$82&gt;$AO558)) / BM558 / 1000</f>
        <v>0</v>
      </c>
      <c r="BO558" s="232">
        <f t="shared" si="605"/>
        <v>30</v>
      </c>
      <c r="BP558" s="230">
        <f t="shared" si="581"/>
        <v>43</v>
      </c>
      <c r="BQ558" s="235">
        <f t="shared" si="582"/>
        <v>3.2938815789473681</v>
      </c>
      <c r="BR558" s="235" cm="1">
        <f t="array" ref="BR558">$BI558 * IF($AH558&lt;=2,
SUMPRODUCT(INDEX($AR$72:$AT$76,,$AI558), INDEX($AU$72:$BA$76,,$AH558), 1 / ($BB$72:$BB$76*BQ558 + (1-$BB$72:$BB$76)*BM558), N($AQ$72:$AQ$76&gt;$AO558)),
SUMPRODUCT(INDEX($AR$67:$AT$76,,$AI558), INDEX($AU$67:$BA$76,,$AH558), 1 / ($BC$67:$BC$76*BQ558 + (1-$BC$67:$BC$76)*BM558), N($AQ$67:$AQ$76&gt;$AO558))
) / 1000</f>
        <v>0</v>
      </c>
      <c r="BS558" s="232">
        <f t="shared" si="606"/>
        <v>25</v>
      </c>
      <c r="BT558" s="230">
        <f t="shared" si="583"/>
        <v>38</v>
      </c>
      <c r="BU558" s="235">
        <f t="shared" si="584"/>
        <v>3.792954545454545</v>
      </c>
      <c r="BV558" s="235" cm="1">
        <f t="array" ref="BV558">$BI558 * IF($AH558&lt;=2,
SUMPRODUCT(INDEX($AR$67:$AT$71,,$AI558), INDEX($AU$67:$BA$71,,$AH558), 1 / ($BB$67:$BB$71*BU558 + (1-$BB$67:$BB$71)*BQ558), N($AQ$67:$AQ$71&gt;$AO558)),
SUMPRODUCT(INDEX($AR$57:$AT$66,,$AI558), INDEX($AU$57:$BA$66,,$AH558), 1 / ($BC$57:$BC$66*BU558 + (1-$BC$57:$BC$66)*BQ558), N($AQ$57:$AQ$66&gt;$AO558))
) / 1000</f>
        <v>0</v>
      </c>
      <c r="BW558" s="232">
        <f t="shared" si="607"/>
        <v>20</v>
      </c>
      <c r="BX558" s="230">
        <f t="shared" si="585"/>
        <v>33</v>
      </c>
      <c r="BY558" s="235">
        <f t="shared" si="586"/>
        <v>4.4702678571428569</v>
      </c>
      <c r="BZ558" s="235" cm="1">
        <f t="array" ref="BZ558">$BI558 * IF($AH558&lt;=2,
SUMPRODUCT(INDEX($AR$62:$AT$66,,$AI558), INDEX($AU$62:$BA$66,,$AH558), 1 / ($BB$62:$BB$66*BY558 + (1-$BB$62:$BB$66)*BU558), N($AQ$62:$AQ$66&gt;$AO558)),
SUMPRODUCT(INDEX($AR$47:$AT$56,,$AI558), INDEX($AU$47:$BA$56,,$AH558), 1 / ($BC$47:$BC$56*BY558 + (1-$BC$47:$BC$56)*BU558), N($AQ$47:$AQ$56&gt;$AO558))
) / 1000</f>
        <v>0</v>
      </c>
      <c r="CA558" s="235" cm="1">
        <f t="array" ref="CA558">$BI558 * IF($AH558&lt;=2,
SUMPRODUCT(INDEX($AR$23:$AT$61,,$AI558), INDEX($AU$23:$BA$61,,$AH558), 1 / ($BB$23:$BB$61*BY558), N($AQ$23:$AQ$61&gt;$AO558)),
SUMPRODUCT(INDEX($AR$23:$AT$46,,$AI558), INDEX($AU$23:$BA$46,,$AH558), 1 / ($BC$23:$BC$46*BY558), N($AQ$23:$AQ$46&gt;$AO558))
) / 1000</f>
        <v>0</v>
      </c>
      <c r="CB558" s="230">
        <f t="shared" si="587"/>
        <v>0</v>
      </c>
      <c r="CC558" s="238"/>
      <c r="CD558" s="229" cm="1">
        <f t="array" ref="CD558">IF(ISBLANK(Y558), INDEX(Use, $AH558, 4) - AN558*INDEX(Use, $AH558, 6) - (Q558-X558), Y558)</f>
        <v>7</v>
      </c>
      <c r="CE558" s="229">
        <f t="shared" si="588"/>
        <v>32</v>
      </c>
      <c r="CF558" s="230">
        <f t="shared" si="589"/>
        <v>0</v>
      </c>
      <c r="CG558" s="229">
        <v>35</v>
      </c>
      <c r="CH558" s="230">
        <f t="shared" si="590"/>
        <v>48</v>
      </c>
      <c r="CI558" s="235">
        <f t="shared" si="591"/>
        <v>3.0748170731707316</v>
      </c>
      <c r="CJ558" s="235" cm="1">
        <f t="array" ref="CJ558">$BI558 * SUMPRODUCT(INDEX($AR$77:$AT$82,,$AI558),INDEX($AU$77:$BA$82,,$AH558), N($AQ$77:$AQ$82&gt;$AO558)) / CI558 / 1000</f>
        <v>0</v>
      </c>
      <c r="CK558" s="232">
        <f t="shared" si="608"/>
        <v>30</v>
      </c>
      <c r="CL558" s="230">
        <f t="shared" si="592"/>
        <v>43</v>
      </c>
      <c r="CM558" s="235">
        <f t="shared" si="593"/>
        <v>3.5018750000000001</v>
      </c>
      <c r="CN558" s="235" cm="1">
        <f t="array" ref="CN558">$BI558 * IF($AH558&lt;=2,
SUMPRODUCT(INDEX($AR$72:$AT$76,,$AI558), INDEX($AU$72:$BA$76,,$AH558), 1 / ($BB$72:$BB$76*CM558 + (1-$BB$72:$BB$76)*CI558), N($AQ$72:$AQ$76&gt;$AO558)),
SUMPRODUCT(INDEX($AR$67:$AT$76,,$AI558), INDEX($AU$67:$BA$76,,$AH558), 1 / ($BC$67:$BC$76*CM558 + (1-$BC$67:$BC$76)*CI558), N($AQ$67:$AQ$76&gt;$AO558))
) / 1000</f>
        <v>0</v>
      </c>
      <c r="CO558" s="232">
        <f t="shared" si="609"/>
        <v>25</v>
      </c>
      <c r="CP558" s="230">
        <f t="shared" si="594"/>
        <v>38</v>
      </c>
      <c r="CQ558" s="235">
        <f t="shared" si="595"/>
        <v>4.0666935483870965</v>
      </c>
      <c r="CR558" s="235" cm="1">
        <f t="array" ref="CR558">$BI558 * IF($AH558&lt;=2,
SUMPRODUCT(INDEX($AR$67:$AT$71,,$AI558), INDEX($AU$67:$BA$71,,$AH558), 1 / ($BB$67:$BB$71*CQ558 + (1-$BB$67:$BB$71)*CM558), N($AQ$67:$AQ$71&gt;$AO558)),
SUMPRODUCT(INDEX($AR$57:$AT$66,,$AI558), INDEX($AU$57:$BA$66,,$AH558), 1 / ($BC$57:$BC$66*CQ558 + (1-$BC$57:$BC$66)*CM558), N($AQ$57:$AQ$66&gt;$AO558))
) / 1000</f>
        <v>0</v>
      </c>
      <c r="CS558" s="232">
        <f t="shared" si="610"/>
        <v>20</v>
      </c>
      <c r="CT558" s="230">
        <f t="shared" si="596"/>
        <v>33</v>
      </c>
      <c r="CU558" s="235">
        <f t="shared" si="597"/>
        <v>4.8487499999999999</v>
      </c>
      <c r="CV558" s="235" cm="1">
        <f t="array" ref="CV558">$BI558 * IF($AH558&lt;=2,
SUMPRODUCT(INDEX($AR$62:$AT$66,,$AI558), INDEX($AU$62:$BA$66,,$AH558), 1 / ($BB$62:$BB$66*CU558 + (1-$BB$62:$BB$66)*CQ558), N($AQ$62:$AQ$66&gt;$AO558)),
SUMPRODUCT(INDEX($AR$47:$AT$56,,$AI558), INDEX($AU$47:$BA$56,,$AH558), 1 / ($BC$47:$BC$56*CU558 + (1-$BC$47:$BC$56)*CQ558), N($AQ$47:$AQ$56&gt;$AO558))
) / 1000</f>
        <v>0</v>
      </c>
      <c r="CW558" s="235" cm="1">
        <f t="array" ref="CW558">$BI558 * IF($AH558&lt;=2,
SUMPRODUCT(INDEX($AR$23:$AT$61,,$AI558), INDEX($AU$23:$BA$61,,$AH558), 1 / ($BB$23:$BB$61*CU558), N($AQ$23:$AQ$61&gt;$AO558)),
SUMPRODUCT(INDEX($AR$23:$AT$46,,$AI558), INDEX($AU$23:$BA$46,,$AH558), 1 / ($BC$23:$BC$46*CU558), N($AQ$23:$AQ$46&gt;$AO558))
) / 1000</f>
        <v>0</v>
      </c>
      <c r="CX558" s="230">
        <f t="shared" si="598"/>
        <v>0</v>
      </c>
      <c r="CY558" s="238"/>
    </row>
    <row r="559" spans="1:103" s="76" customFormat="1" ht="14.25" customHeight="1" x14ac:dyDescent="0.2">
      <c r="A559" s="231" t="b">
        <f t="shared" si="602"/>
        <v>0</v>
      </c>
      <c r="B559" s="245">
        <v>537</v>
      </c>
      <c r="C559" s="258"/>
      <c r="D559" s="258"/>
      <c r="E559" s="246"/>
      <c r="F559" s="247" t="str">
        <f>IF(ISBLANK(E559), "", VLOOKUP(E559, Z!$A$2:$C$4127, 3, FALSE))</f>
        <v/>
      </c>
      <c r="G559" s="248"/>
      <c r="H559" s="248"/>
      <c r="I559" s="249"/>
      <c r="J559" s="250"/>
      <c r="K559" s="259"/>
      <c r="L559" s="260"/>
      <c r="M559" s="252" t="str" cm="1">
        <f t="array" ref="M559">INDEX(Trad, 53, $A$20)</f>
        <v>Verschmutzt</v>
      </c>
      <c r="N559" s="253"/>
      <c r="O559" s="253"/>
      <c r="P559" s="254"/>
      <c r="Q559" s="251"/>
      <c r="R559" s="251"/>
      <c r="S559" s="264">
        <f t="shared" si="573"/>
        <v>0</v>
      </c>
      <c r="T559" s="252" t="str" cm="1">
        <f t="array" ref="T559">INDEX(Trad, 52, $A$20)</f>
        <v>Sauber</v>
      </c>
      <c r="U559" s="253"/>
      <c r="V559" s="253"/>
      <c r="W559" s="254"/>
      <c r="X559" s="251"/>
      <c r="Y559" s="251"/>
      <c r="Z559" s="264">
        <f t="shared" si="574"/>
        <v>0</v>
      </c>
      <c r="AA559" s="261"/>
      <c r="AB559" s="258"/>
      <c r="AC559" s="246"/>
      <c r="AD559" s="247" t="str">
        <f>IF(ISBLANK(AC559), "", VLOOKUP(AC559, Z!$A$2:$C$4127, 3, FALSE))</f>
        <v/>
      </c>
      <c r="AE559" s="262"/>
      <c r="AF559" s="263">
        <f t="shared" si="575"/>
        <v>0</v>
      </c>
      <c r="AG559" s="238"/>
      <c r="AH559" s="229">
        <f t="shared" si="599"/>
        <v>1</v>
      </c>
      <c r="AI559" s="229">
        <f t="shared" si="600"/>
        <v>1</v>
      </c>
      <c r="AJ559" s="229">
        <f t="shared" si="601"/>
        <v>0</v>
      </c>
      <c r="AK559" s="229">
        <v>0</v>
      </c>
      <c r="AL559" s="229">
        <v>0</v>
      </c>
      <c r="AM559" s="229">
        <v>1</v>
      </c>
      <c r="AN559" s="229">
        <v>0</v>
      </c>
      <c r="AO559" s="229">
        <f t="shared" si="576"/>
        <v>-100</v>
      </c>
      <c r="AP559" s="238"/>
      <c r="AQ559" s="255"/>
      <c r="AR559" s="255"/>
      <c r="AS559" s="256"/>
      <c r="AT559" s="256"/>
      <c r="AU559" s="256"/>
      <c r="AV559" s="256"/>
      <c r="AW559" s="256"/>
      <c r="AX559" s="256"/>
      <c r="AY559" s="256"/>
      <c r="AZ559" s="256"/>
      <c r="BA559" s="256"/>
      <c r="BB559" s="256"/>
      <c r="BC559" s="256"/>
      <c r="BD559" s="238"/>
      <c r="BE559" s="229" cm="1">
        <f t="array" ref="BE559">IF(ISBLANK(R559), INDEX(Use, $AH559, 4) - AM559*INDEX(Use, $AH559, 6), R559)</f>
        <v>5</v>
      </c>
      <c r="BF559" s="229">
        <f t="shared" si="577"/>
        <v>30</v>
      </c>
      <c r="BG559" s="229">
        <f t="shared" si="603"/>
        <v>13</v>
      </c>
      <c r="BH559" s="229">
        <f t="shared" si="604"/>
        <v>0</v>
      </c>
      <c r="BI559" s="234" cm="1">
        <f t="array" ref="BI559">K559/IF($L559&gt;0, INDEX($AU$23:$BA$77, $L559+20, $AH559), 1)</f>
        <v>0</v>
      </c>
      <c r="BJ559" s="230">
        <f t="shared" si="578"/>
        <v>0</v>
      </c>
      <c r="BK559" s="229">
        <v>35</v>
      </c>
      <c r="BL559" s="230">
        <f t="shared" si="579"/>
        <v>48</v>
      </c>
      <c r="BM559" s="235">
        <f t="shared" si="580"/>
        <v>2.9108720930232557</v>
      </c>
      <c r="BN559" s="235" cm="1">
        <f t="array" ref="BN559">$BI559 * SUMPRODUCT(INDEX($AR$77:$AT$82,,$AI559),INDEX($AU$77:$BA$82,,$AH559), N($AQ$77:$AQ$82&gt;$AO559)) / BM559 / 1000</f>
        <v>0</v>
      </c>
      <c r="BO559" s="232">
        <f t="shared" si="605"/>
        <v>30</v>
      </c>
      <c r="BP559" s="230">
        <f t="shared" si="581"/>
        <v>43</v>
      </c>
      <c r="BQ559" s="235">
        <f t="shared" si="582"/>
        <v>3.2938815789473681</v>
      </c>
      <c r="BR559" s="235" cm="1">
        <f t="array" ref="BR559">$BI559 * IF($AH559&lt;=2,
SUMPRODUCT(INDEX($AR$72:$AT$76,,$AI559), INDEX($AU$72:$BA$76,,$AH559), 1 / ($BB$72:$BB$76*BQ559 + (1-$BB$72:$BB$76)*BM559), N($AQ$72:$AQ$76&gt;$AO559)),
SUMPRODUCT(INDEX($AR$67:$AT$76,,$AI559), INDEX($AU$67:$BA$76,,$AH559), 1 / ($BC$67:$BC$76*BQ559 + (1-$BC$67:$BC$76)*BM559), N($AQ$67:$AQ$76&gt;$AO559))
) / 1000</f>
        <v>0</v>
      </c>
      <c r="BS559" s="232">
        <f t="shared" si="606"/>
        <v>25</v>
      </c>
      <c r="BT559" s="230">
        <f t="shared" si="583"/>
        <v>38</v>
      </c>
      <c r="BU559" s="235">
        <f t="shared" si="584"/>
        <v>3.792954545454545</v>
      </c>
      <c r="BV559" s="235" cm="1">
        <f t="array" ref="BV559">$BI559 * IF($AH559&lt;=2,
SUMPRODUCT(INDEX($AR$67:$AT$71,,$AI559), INDEX($AU$67:$BA$71,,$AH559), 1 / ($BB$67:$BB$71*BU559 + (1-$BB$67:$BB$71)*BQ559), N($AQ$67:$AQ$71&gt;$AO559)),
SUMPRODUCT(INDEX($AR$57:$AT$66,,$AI559), INDEX($AU$57:$BA$66,,$AH559), 1 / ($BC$57:$BC$66*BU559 + (1-$BC$57:$BC$66)*BQ559), N($AQ$57:$AQ$66&gt;$AO559))
) / 1000</f>
        <v>0</v>
      </c>
      <c r="BW559" s="232">
        <f t="shared" si="607"/>
        <v>20</v>
      </c>
      <c r="BX559" s="230">
        <f t="shared" si="585"/>
        <v>33</v>
      </c>
      <c r="BY559" s="235">
        <f t="shared" si="586"/>
        <v>4.4702678571428569</v>
      </c>
      <c r="BZ559" s="235" cm="1">
        <f t="array" ref="BZ559">$BI559 * IF($AH559&lt;=2,
SUMPRODUCT(INDEX($AR$62:$AT$66,,$AI559), INDEX($AU$62:$BA$66,,$AH559), 1 / ($BB$62:$BB$66*BY559 + (1-$BB$62:$BB$66)*BU559), N($AQ$62:$AQ$66&gt;$AO559)),
SUMPRODUCT(INDEX($AR$47:$AT$56,,$AI559), INDEX($AU$47:$BA$56,,$AH559), 1 / ($BC$47:$BC$56*BY559 + (1-$BC$47:$BC$56)*BU559), N($AQ$47:$AQ$56&gt;$AO559))
) / 1000</f>
        <v>0</v>
      </c>
      <c r="CA559" s="235" cm="1">
        <f t="array" ref="CA559">$BI559 * IF($AH559&lt;=2,
SUMPRODUCT(INDEX($AR$23:$AT$61,,$AI559), INDEX($AU$23:$BA$61,,$AH559), 1 / ($BB$23:$BB$61*BY559), N($AQ$23:$AQ$61&gt;$AO559)),
SUMPRODUCT(INDEX($AR$23:$AT$46,,$AI559), INDEX($AU$23:$BA$46,,$AH559), 1 / ($BC$23:$BC$46*BY559), N($AQ$23:$AQ$46&gt;$AO559))
) / 1000</f>
        <v>0</v>
      </c>
      <c r="CB559" s="230">
        <f t="shared" si="587"/>
        <v>0</v>
      </c>
      <c r="CC559" s="238"/>
      <c r="CD559" s="229" cm="1">
        <f t="array" ref="CD559">IF(ISBLANK(Y559), INDEX(Use, $AH559, 4) - AN559*INDEX(Use, $AH559, 6) - (Q559-X559), Y559)</f>
        <v>7</v>
      </c>
      <c r="CE559" s="229">
        <f t="shared" si="588"/>
        <v>32</v>
      </c>
      <c r="CF559" s="230">
        <f t="shared" si="589"/>
        <v>0</v>
      </c>
      <c r="CG559" s="229">
        <v>35</v>
      </c>
      <c r="CH559" s="230">
        <f t="shared" si="590"/>
        <v>48</v>
      </c>
      <c r="CI559" s="235">
        <f t="shared" si="591"/>
        <v>3.0748170731707316</v>
      </c>
      <c r="CJ559" s="235" cm="1">
        <f t="array" ref="CJ559">$BI559 * SUMPRODUCT(INDEX($AR$77:$AT$82,,$AI559),INDEX($AU$77:$BA$82,,$AH559), N($AQ$77:$AQ$82&gt;$AO559)) / CI559 / 1000</f>
        <v>0</v>
      </c>
      <c r="CK559" s="232">
        <f t="shared" si="608"/>
        <v>30</v>
      </c>
      <c r="CL559" s="230">
        <f t="shared" si="592"/>
        <v>43</v>
      </c>
      <c r="CM559" s="235">
        <f t="shared" si="593"/>
        <v>3.5018750000000001</v>
      </c>
      <c r="CN559" s="235" cm="1">
        <f t="array" ref="CN559">$BI559 * IF($AH559&lt;=2,
SUMPRODUCT(INDEX($AR$72:$AT$76,,$AI559), INDEX($AU$72:$BA$76,,$AH559), 1 / ($BB$72:$BB$76*CM559 + (1-$BB$72:$BB$76)*CI559), N($AQ$72:$AQ$76&gt;$AO559)),
SUMPRODUCT(INDEX($AR$67:$AT$76,,$AI559), INDEX($AU$67:$BA$76,,$AH559), 1 / ($BC$67:$BC$76*CM559 + (1-$BC$67:$BC$76)*CI559), N($AQ$67:$AQ$76&gt;$AO559))
) / 1000</f>
        <v>0</v>
      </c>
      <c r="CO559" s="232">
        <f t="shared" si="609"/>
        <v>25</v>
      </c>
      <c r="CP559" s="230">
        <f t="shared" si="594"/>
        <v>38</v>
      </c>
      <c r="CQ559" s="235">
        <f t="shared" si="595"/>
        <v>4.0666935483870965</v>
      </c>
      <c r="CR559" s="235" cm="1">
        <f t="array" ref="CR559">$BI559 * IF($AH559&lt;=2,
SUMPRODUCT(INDEX($AR$67:$AT$71,,$AI559), INDEX($AU$67:$BA$71,,$AH559), 1 / ($BB$67:$BB$71*CQ559 + (1-$BB$67:$BB$71)*CM559), N($AQ$67:$AQ$71&gt;$AO559)),
SUMPRODUCT(INDEX($AR$57:$AT$66,,$AI559), INDEX($AU$57:$BA$66,,$AH559), 1 / ($BC$57:$BC$66*CQ559 + (1-$BC$57:$BC$66)*CM559), N($AQ$57:$AQ$66&gt;$AO559))
) / 1000</f>
        <v>0</v>
      </c>
      <c r="CS559" s="232">
        <f t="shared" si="610"/>
        <v>20</v>
      </c>
      <c r="CT559" s="230">
        <f t="shared" si="596"/>
        <v>33</v>
      </c>
      <c r="CU559" s="235">
        <f t="shared" si="597"/>
        <v>4.8487499999999999</v>
      </c>
      <c r="CV559" s="235" cm="1">
        <f t="array" ref="CV559">$BI559 * IF($AH559&lt;=2,
SUMPRODUCT(INDEX($AR$62:$AT$66,,$AI559), INDEX($AU$62:$BA$66,,$AH559), 1 / ($BB$62:$BB$66*CU559 + (1-$BB$62:$BB$66)*CQ559), N($AQ$62:$AQ$66&gt;$AO559)),
SUMPRODUCT(INDEX($AR$47:$AT$56,,$AI559), INDEX($AU$47:$BA$56,,$AH559), 1 / ($BC$47:$BC$56*CU559 + (1-$BC$47:$BC$56)*CQ559), N($AQ$47:$AQ$56&gt;$AO559))
) / 1000</f>
        <v>0</v>
      </c>
      <c r="CW559" s="235" cm="1">
        <f t="array" ref="CW559">$BI559 * IF($AH559&lt;=2,
SUMPRODUCT(INDEX($AR$23:$AT$61,,$AI559), INDEX($AU$23:$BA$61,,$AH559), 1 / ($BB$23:$BB$61*CU559), N($AQ$23:$AQ$61&gt;$AO559)),
SUMPRODUCT(INDEX($AR$23:$AT$46,,$AI559), INDEX($AU$23:$BA$46,,$AH559), 1 / ($BC$23:$BC$46*CU559), N($AQ$23:$AQ$46&gt;$AO559))
) / 1000</f>
        <v>0</v>
      </c>
      <c r="CX559" s="230">
        <f t="shared" si="598"/>
        <v>0</v>
      </c>
      <c r="CY559" s="238"/>
    </row>
    <row r="560" spans="1:103" s="76" customFormat="1" ht="14.25" customHeight="1" x14ac:dyDescent="0.2">
      <c r="A560" s="231" t="b">
        <f t="shared" si="602"/>
        <v>0</v>
      </c>
      <c r="B560" s="245">
        <v>538</v>
      </c>
      <c r="C560" s="258"/>
      <c r="D560" s="258"/>
      <c r="E560" s="246"/>
      <c r="F560" s="247" t="str">
        <f>IF(ISBLANK(E560), "", VLOOKUP(E560, Z!$A$2:$C$4127, 3, FALSE))</f>
        <v/>
      </c>
      <c r="G560" s="248"/>
      <c r="H560" s="248"/>
      <c r="I560" s="249"/>
      <c r="J560" s="250"/>
      <c r="K560" s="259"/>
      <c r="L560" s="260"/>
      <c r="M560" s="252" t="str" cm="1">
        <f t="array" ref="M560">INDEX(Trad, 53, $A$20)</f>
        <v>Verschmutzt</v>
      </c>
      <c r="N560" s="253"/>
      <c r="O560" s="253"/>
      <c r="P560" s="254"/>
      <c r="Q560" s="251"/>
      <c r="R560" s="251"/>
      <c r="S560" s="264">
        <f t="shared" si="573"/>
        <v>0</v>
      </c>
      <c r="T560" s="252" t="str" cm="1">
        <f t="array" ref="T560">INDEX(Trad, 52, $A$20)</f>
        <v>Sauber</v>
      </c>
      <c r="U560" s="253"/>
      <c r="V560" s="253"/>
      <c r="W560" s="254"/>
      <c r="X560" s="251"/>
      <c r="Y560" s="251"/>
      <c r="Z560" s="264">
        <f t="shared" si="574"/>
        <v>0</v>
      </c>
      <c r="AA560" s="261"/>
      <c r="AB560" s="258"/>
      <c r="AC560" s="246"/>
      <c r="AD560" s="247" t="str">
        <f>IF(ISBLANK(AC560), "", VLOOKUP(AC560, Z!$A$2:$C$4127, 3, FALSE))</f>
        <v/>
      </c>
      <c r="AE560" s="262"/>
      <c r="AF560" s="263">
        <f t="shared" si="575"/>
        <v>0</v>
      </c>
      <c r="AG560" s="238"/>
      <c r="AH560" s="229">
        <f t="shared" si="599"/>
        <v>1</v>
      </c>
      <c r="AI560" s="229">
        <f t="shared" si="600"/>
        <v>1</v>
      </c>
      <c r="AJ560" s="229">
        <f t="shared" si="601"/>
        <v>0</v>
      </c>
      <c r="AK560" s="229">
        <v>0</v>
      </c>
      <c r="AL560" s="229">
        <v>0</v>
      </c>
      <c r="AM560" s="229">
        <v>1</v>
      </c>
      <c r="AN560" s="229">
        <v>0</v>
      </c>
      <c r="AO560" s="229">
        <f t="shared" si="576"/>
        <v>-100</v>
      </c>
      <c r="AP560" s="238"/>
      <c r="AQ560" s="255"/>
      <c r="AR560" s="255"/>
      <c r="AS560" s="256"/>
      <c r="AT560" s="256"/>
      <c r="AU560" s="256"/>
      <c r="AV560" s="256"/>
      <c r="AW560" s="256"/>
      <c r="AX560" s="256"/>
      <c r="AY560" s="256"/>
      <c r="AZ560" s="256"/>
      <c r="BA560" s="256"/>
      <c r="BB560" s="256"/>
      <c r="BC560" s="256"/>
      <c r="BD560" s="238"/>
      <c r="BE560" s="229" cm="1">
        <f t="array" ref="BE560">IF(ISBLANK(R560), INDEX(Use, $AH560, 4) - AM560*INDEX(Use, $AH560, 6), R560)</f>
        <v>5</v>
      </c>
      <c r="BF560" s="229">
        <f t="shared" si="577"/>
        <v>30</v>
      </c>
      <c r="BG560" s="229">
        <f t="shared" si="603"/>
        <v>13</v>
      </c>
      <c r="BH560" s="229">
        <f t="shared" si="604"/>
        <v>0</v>
      </c>
      <c r="BI560" s="234" cm="1">
        <f t="array" ref="BI560">K560/IF($L560&gt;0, INDEX($AU$23:$BA$77, $L560+20, $AH560), 1)</f>
        <v>0</v>
      </c>
      <c r="BJ560" s="230">
        <f t="shared" si="578"/>
        <v>0</v>
      </c>
      <c r="BK560" s="229">
        <v>35</v>
      </c>
      <c r="BL560" s="230">
        <f t="shared" si="579"/>
        <v>48</v>
      </c>
      <c r="BM560" s="235">
        <f t="shared" si="580"/>
        <v>2.9108720930232557</v>
      </c>
      <c r="BN560" s="235" cm="1">
        <f t="array" ref="BN560">$BI560 * SUMPRODUCT(INDEX($AR$77:$AT$82,,$AI560),INDEX($AU$77:$BA$82,,$AH560), N($AQ$77:$AQ$82&gt;$AO560)) / BM560 / 1000</f>
        <v>0</v>
      </c>
      <c r="BO560" s="232">
        <f t="shared" si="605"/>
        <v>30</v>
      </c>
      <c r="BP560" s="230">
        <f t="shared" si="581"/>
        <v>43</v>
      </c>
      <c r="BQ560" s="235">
        <f t="shared" si="582"/>
        <v>3.2938815789473681</v>
      </c>
      <c r="BR560" s="235" cm="1">
        <f t="array" ref="BR560">$BI560 * IF($AH560&lt;=2,
SUMPRODUCT(INDEX($AR$72:$AT$76,,$AI560), INDEX($AU$72:$BA$76,,$AH560), 1 / ($BB$72:$BB$76*BQ560 + (1-$BB$72:$BB$76)*BM560), N($AQ$72:$AQ$76&gt;$AO560)),
SUMPRODUCT(INDEX($AR$67:$AT$76,,$AI560), INDEX($AU$67:$BA$76,,$AH560), 1 / ($BC$67:$BC$76*BQ560 + (1-$BC$67:$BC$76)*BM560), N($AQ$67:$AQ$76&gt;$AO560))
) / 1000</f>
        <v>0</v>
      </c>
      <c r="BS560" s="232">
        <f t="shared" si="606"/>
        <v>25</v>
      </c>
      <c r="BT560" s="230">
        <f t="shared" si="583"/>
        <v>38</v>
      </c>
      <c r="BU560" s="235">
        <f t="shared" si="584"/>
        <v>3.792954545454545</v>
      </c>
      <c r="BV560" s="235" cm="1">
        <f t="array" ref="BV560">$BI560 * IF($AH560&lt;=2,
SUMPRODUCT(INDEX($AR$67:$AT$71,,$AI560), INDEX($AU$67:$BA$71,,$AH560), 1 / ($BB$67:$BB$71*BU560 + (1-$BB$67:$BB$71)*BQ560), N($AQ$67:$AQ$71&gt;$AO560)),
SUMPRODUCT(INDEX($AR$57:$AT$66,,$AI560), INDEX($AU$57:$BA$66,,$AH560), 1 / ($BC$57:$BC$66*BU560 + (1-$BC$57:$BC$66)*BQ560), N($AQ$57:$AQ$66&gt;$AO560))
) / 1000</f>
        <v>0</v>
      </c>
      <c r="BW560" s="232">
        <f t="shared" si="607"/>
        <v>20</v>
      </c>
      <c r="BX560" s="230">
        <f t="shared" si="585"/>
        <v>33</v>
      </c>
      <c r="BY560" s="235">
        <f t="shared" si="586"/>
        <v>4.4702678571428569</v>
      </c>
      <c r="BZ560" s="235" cm="1">
        <f t="array" ref="BZ560">$BI560 * IF($AH560&lt;=2,
SUMPRODUCT(INDEX($AR$62:$AT$66,,$AI560), INDEX($AU$62:$BA$66,,$AH560), 1 / ($BB$62:$BB$66*BY560 + (1-$BB$62:$BB$66)*BU560), N($AQ$62:$AQ$66&gt;$AO560)),
SUMPRODUCT(INDEX($AR$47:$AT$56,,$AI560), INDEX($AU$47:$BA$56,,$AH560), 1 / ($BC$47:$BC$56*BY560 + (1-$BC$47:$BC$56)*BU560), N($AQ$47:$AQ$56&gt;$AO560))
) / 1000</f>
        <v>0</v>
      </c>
      <c r="CA560" s="235" cm="1">
        <f t="array" ref="CA560">$BI560 * IF($AH560&lt;=2,
SUMPRODUCT(INDEX($AR$23:$AT$61,,$AI560), INDEX($AU$23:$BA$61,,$AH560), 1 / ($BB$23:$BB$61*BY560), N($AQ$23:$AQ$61&gt;$AO560)),
SUMPRODUCT(INDEX($AR$23:$AT$46,,$AI560), INDEX($AU$23:$BA$46,,$AH560), 1 / ($BC$23:$BC$46*BY560), N($AQ$23:$AQ$46&gt;$AO560))
) / 1000</f>
        <v>0</v>
      </c>
      <c r="CB560" s="230">
        <f t="shared" si="587"/>
        <v>0</v>
      </c>
      <c r="CC560" s="238"/>
      <c r="CD560" s="229" cm="1">
        <f t="array" ref="CD560">IF(ISBLANK(Y560), INDEX(Use, $AH560, 4) - AN560*INDEX(Use, $AH560, 6) - (Q560-X560), Y560)</f>
        <v>7</v>
      </c>
      <c r="CE560" s="229">
        <f t="shared" si="588"/>
        <v>32</v>
      </c>
      <c r="CF560" s="230">
        <f t="shared" si="589"/>
        <v>0</v>
      </c>
      <c r="CG560" s="229">
        <v>35</v>
      </c>
      <c r="CH560" s="230">
        <f t="shared" si="590"/>
        <v>48</v>
      </c>
      <c r="CI560" s="235">
        <f t="shared" si="591"/>
        <v>3.0748170731707316</v>
      </c>
      <c r="CJ560" s="235" cm="1">
        <f t="array" ref="CJ560">$BI560 * SUMPRODUCT(INDEX($AR$77:$AT$82,,$AI560),INDEX($AU$77:$BA$82,,$AH560), N($AQ$77:$AQ$82&gt;$AO560)) / CI560 / 1000</f>
        <v>0</v>
      </c>
      <c r="CK560" s="232">
        <f t="shared" si="608"/>
        <v>30</v>
      </c>
      <c r="CL560" s="230">
        <f t="shared" si="592"/>
        <v>43</v>
      </c>
      <c r="CM560" s="235">
        <f t="shared" si="593"/>
        <v>3.5018750000000001</v>
      </c>
      <c r="CN560" s="235" cm="1">
        <f t="array" ref="CN560">$BI560 * IF($AH560&lt;=2,
SUMPRODUCT(INDEX($AR$72:$AT$76,,$AI560), INDEX($AU$72:$BA$76,,$AH560), 1 / ($BB$72:$BB$76*CM560 + (1-$BB$72:$BB$76)*CI560), N($AQ$72:$AQ$76&gt;$AO560)),
SUMPRODUCT(INDEX($AR$67:$AT$76,,$AI560), INDEX($AU$67:$BA$76,,$AH560), 1 / ($BC$67:$BC$76*CM560 + (1-$BC$67:$BC$76)*CI560), N($AQ$67:$AQ$76&gt;$AO560))
) / 1000</f>
        <v>0</v>
      </c>
      <c r="CO560" s="232">
        <f t="shared" si="609"/>
        <v>25</v>
      </c>
      <c r="CP560" s="230">
        <f t="shared" si="594"/>
        <v>38</v>
      </c>
      <c r="CQ560" s="235">
        <f t="shared" si="595"/>
        <v>4.0666935483870965</v>
      </c>
      <c r="CR560" s="235" cm="1">
        <f t="array" ref="CR560">$BI560 * IF($AH560&lt;=2,
SUMPRODUCT(INDEX($AR$67:$AT$71,,$AI560), INDEX($AU$67:$BA$71,,$AH560), 1 / ($BB$67:$BB$71*CQ560 + (1-$BB$67:$BB$71)*CM560), N($AQ$67:$AQ$71&gt;$AO560)),
SUMPRODUCT(INDEX($AR$57:$AT$66,,$AI560), INDEX($AU$57:$BA$66,,$AH560), 1 / ($BC$57:$BC$66*CQ560 + (1-$BC$57:$BC$66)*CM560), N($AQ$57:$AQ$66&gt;$AO560))
) / 1000</f>
        <v>0</v>
      </c>
      <c r="CS560" s="232">
        <f t="shared" si="610"/>
        <v>20</v>
      </c>
      <c r="CT560" s="230">
        <f t="shared" si="596"/>
        <v>33</v>
      </c>
      <c r="CU560" s="235">
        <f t="shared" si="597"/>
        <v>4.8487499999999999</v>
      </c>
      <c r="CV560" s="235" cm="1">
        <f t="array" ref="CV560">$BI560 * IF($AH560&lt;=2,
SUMPRODUCT(INDEX($AR$62:$AT$66,,$AI560), INDEX($AU$62:$BA$66,,$AH560), 1 / ($BB$62:$BB$66*CU560 + (1-$BB$62:$BB$66)*CQ560), N($AQ$62:$AQ$66&gt;$AO560)),
SUMPRODUCT(INDEX($AR$47:$AT$56,,$AI560), INDEX($AU$47:$BA$56,,$AH560), 1 / ($BC$47:$BC$56*CU560 + (1-$BC$47:$BC$56)*CQ560), N($AQ$47:$AQ$56&gt;$AO560))
) / 1000</f>
        <v>0</v>
      </c>
      <c r="CW560" s="235" cm="1">
        <f t="array" ref="CW560">$BI560 * IF($AH560&lt;=2,
SUMPRODUCT(INDEX($AR$23:$AT$61,,$AI560), INDEX($AU$23:$BA$61,,$AH560), 1 / ($BB$23:$BB$61*CU560), N($AQ$23:$AQ$61&gt;$AO560)),
SUMPRODUCT(INDEX($AR$23:$AT$46,,$AI560), INDEX($AU$23:$BA$46,,$AH560), 1 / ($BC$23:$BC$46*CU560), N($AQ$23:$AQ$46&gt;$AO560))
) / 1000</f>
        <v>0</v>
      </c>
      <c r="CX560" s="230">
        <f t="shared" si="598"/>
        <v>0</v>
      </c>
      <c r="CY560" s="238"/>
    </row>
    <row r="561" spans="1:103" s="76" customFormat="1" ht="14.25" customHeight="1" x14ac:dyDescent="0.2">
      <c r="A561" s="231" t="b">
        <f t="shared" si="602"/>
        <v>0</v>
      </c>
      <c r="B561" s="245">
        <v>539</v>
      </c>
      <c r="C561" s="258"/>
      <c r="D561" s="258"/>
      <c r="E561" s="246"/>
      <c r="F561" s="247" t="str">
        <f>IF(ISBLANK(E561), "", VLOOKUP(E561, Z!$A$2:$C$4127, 3, FALSE))</f>
        <v/>
      </c>
      <c r="G561" s="248"/>
      <c r="H561" s="248"/>
      <c r="I561" s="249"/>
      <c r="J561" s="250"/>
      <c r="K561" s="259"/>
      <c r="L561" s="260"/>
      <c r="M561" s="252" t="str" cm="1">
        <f t="array" ref="M561">INDEX(Trad, 53, $A$20)</f>
        <v>Verschmutzt</v>
      </c>
      <c r="N561" s="253"/>
      <c r="O561" s="253"/>
      <c r="P561" s="254"/>
      <c r="Q561" s="251"/>
      <c r="R561" s="251"/>
      <c r="S561" s="264">
        <f t="shared" si="573"/>
        <v>0</v>
      </c>
      <c r="T561" s="252" t="str" cm="1">
        <f t="array" ref="T561">INDEX(Trad, 52, $A$20)</f>
        <v>Sauber</v>
      </c>
      <c r="U561" s="253"/>
      <c r="V561" s="253"/>
      <c r="W561" s="254"/>
      <c r="X561" s="251"/>
      <c r="Y561" s="251"/>
      <c r="Z561" s="264">
        <f t="shared" si="574"/>
        <v>0</v>
      </c>
      <c r="AA561" s="261"/>
      <c r="AB561" s="258"/>
      <c r="AC561" s="246"/>
      <c r="AD561" s="247" t="str">
        <f>IF(ISBLANK(AC561), "", VLOOKUP(AC561, Z!$A$2:$C$4127, 3, FALSE))</f>
        <v/>
      </c>
      <c r="AE561" s="262"/>
      <c r="AF561" s="263">
        <f t="shared" si="575"/>
        <v>0</v>
      </c>
      <c r="AG561" s="238"/>
      <c r="AH561" s="229">
        <f t="shared" si="599"/>
        <v>1</v>
      </c>
      <c r="AI561" s="229">
        <f t="shared" si="600"/>
        <v>1</v>
      </c>
      <c r="AJ561" s="229">
        <f t="shared" si="601"/>
        <v>0</v>
      </c>
      <c r="AK561" s="229">
        <v>0</v>
      </c>
      <c r="AL561" s="229">
        <v>0</v>
      </c>
      <c r="AM561" s="229">
        <v>1</v>
      </c>
      <c r="AN561" s="229">
        <v>0</v>
      </c>
      <c r="AO561" s="229">
        <f t="shared" si="576"/>
        <v>-100</v>
      </c>
      <c r="AP561" s="238"/>
      <c r="AQ561" s="255"/>
      <c r="AR561" s="255"/>
      <c r="AS561" s="256"/>
      <c r="AT561" s="256"/>
      <c r="AU561" s="256"/>
      <c r="AV561" s="256"/>
      <c r="AW561" s="256"/>
      <c r="AX561" s="256"/>
      <c r="AY561" s="256"/>
      <c r="AZ561" s="256"/>
      <c r="BA561" s="256"/>
      <c r="BB561" s="256"/>
      <c r="BC561" s="256"/>
      <c r="BD561" s="238"/>
      <c r="BE561" s="229" cm="1">
        <f t="array" ref="BE561">IF(ISBLANK(R561), INDEX(Use, $AH561, 4) - AM561*INDEX(Use, $AH561, 6), R561)</f>
        <v>5</v>
      </c>
      <c r="BF561" s="229">
        <f t="shared" si="577"/>
        <v>30</v>
      </c>
      <c r="BG561" s="229">
        <f t="shared" si="603"/>
        <v>13</v>
      </c>
      <c r="BH561" s="229">
        <f t="shared" si="604"/>
        <v>0</v>
      </c>
      <c r="BI561" s="234" cm="1">
        <f t="array" ref="BI561">K561/IF($L561&gt;0, INDEX($AU$23:$BA$77, $L561+20, $AH561), 1)</f>
        <v>0</v>
      </c>
      <c r="BJ561" s="230">
        <f t="shared" si="578"/>
        <v>0</v>
      </c>
      <c r="BK561" s="229">
        <v>35</v>
      </c>
      <c r="BL561" s="230">
        <f t="shared" si="579"/>
        <v>48</v>
      </c>
      <c r="BM561" s="235">
        <f t="shared" si="580"/>
        <v>2.9108720930232557</v>
      </c>
      <c r="BN561" s="235" cm="1">
        <f t="array" ref="BN561">$BI561 * SUMPRODUCT(INDEX($AR$77:$AT$82,,$AI561),INDEX($AU$77:$BA$82,,$AH561), N($AQ$77:$AQ$82&gt;$AO561)) / BM561 / 1000</f>
        <v>0</v>
      </c>
      <c r="BO561" s="232">
        <f t="shared" si="605"/>
        <v>30</v>
      </c>
      <c r="BP561" s="230">
        <f t="shared" si="581"/>
        <v>43</v>
      </c>
      <c r="BQ561" s="235">
        <f t="shared" si="582"/>
        <v>3.2938815789473681</v>
      </c>
      <c r="BR561" s="235" cm="1">
        <f t="array" ref="BR561">$BI561 * IF($AH561&lt;=2,
SUMPRODUCT(INDEX($AR$72:$AT$76,,$AI561), INDEX($AU$72:$BA$76,,$AH561), 1 / ($BB$72:$BB$76*BQ561 + (1-$BB$72:$BB$76)*BM561), N($AQ$72:$AQ$76&gt;$AO561)),
SUMPRODUCT(INDEX($AR$67:$AT$76,,$AI561), INDEX($AU$67:$BA$76,,$AH561), 1 / ($BC$67:$BC$76*BQ561 + (1-$BC$67:$BC$76)*BM561), N($AQ$67:$AQ$76&gt;$AO561))
) / 1000</f>
        <v>0</v>
      </c>
      <c r="BS561" s="232">
        <f t="shared" si="606"/>
        <v>25</v>
      </c>
      <c r="BT561" s="230">
        <f t="shared" si="583"/>
        <v>38</v>
      </c>
      <c r="BU561" s="235">
        <f t="shared" si="584"/>
        <v>3.792954545454545</v>
      </c>
      <c r="BV561" s="235" cm="1">
        <f t="array" ref="BV561">$BI561 * IF($AH561&lt;=2,
SUMPRODUCT(INDEX($AR$67:$AT$71,,$AI561), INDEX($AU$67:$BA$71,,$AH561), 1 / ($BB$67:$BB$71*BU561 + (1-$BB$67:$BB$71)*BQ561), N($AQ$67:$AQ$71&gt;$AO561)),
SUMPRODUCT(INDEX($AR$57:$AT$66,,$AI561), INDEX($AU$57:$BA$66,,$AH561), 1 / ($BC$57:$BC$66*BU561 + (1-$BC$57:$BC$66)*BQ561), N($AQ$57:$AQ$66&gt;$AO561))
) / 1000</f>
        <v>0</v>
      </c>
      <c r="BW561" s="232">
        <f t="shared" si="607"/>
        <v>20</v>
      </c>
      <c r="BX561" s="230">
        <f t="shared" si="585"/>
        <v>33</v>
      </c>
      <c r="BY561" s="235">
        <f t="shared" si="586"/>
        <v>4.4702678571428569</v>
      </c>
      <c r="BZ561" s="235" cm="1">
        <f t="array" ref="BZ561">$BI561 * IF($AH561&lt;=2,
SUMPRODUCT(INDEX($AR$62:$AT$66,,$AI561), INDEX($AU$62:$BA$66,,$AH561), 1 / ($BB$62:$BB$66*BY561 + (1-$BB$62:$BB$66)*BU561), N($AQ$62:$AQ$66&gt;$AO561)),
SUMPRODUCT(INDEX($AR$47:$AT$56,,$AI561), INDEX($AU$47:$BA$56,,$AH561), 1 / ($BC$47:$BC$56*BY561 + (1-$BC$47:$BC$56)*BU561), N($AQ$47:$AQ$56&gt;$AO561))
) / 1000</f>
        <v>0</v>
      </c>
      <c r="CA561" s="235" cm="1">
        <f t="array" ref="CA561">$BI561 * IF($AH561&lt;=2,
SUMPRODUCT(INDEX($AR$23:$AT$61,,$AI561), INDEX($AU$23:$BA$61,,$AH561), 1 / ($BB$23:$BB$61*BY561), N($AQ$23:$AQ$61&gt;$AO561)),
SUMPRODUCT(INDEX($AR$23:$AT$46,,$AI561), INDEX($AU$23:$BA$46,,$AH561), 1 / ($BC$23:$BC$46*BY561), N($AQ$23:$AQ$46&gt;$AO561))
) / 1000</f>
        <v>0</v>
      </c>
      <c r="CB561" s="230">
        <f t="shared" si="587"/>
        <v>0</v>
      </c>
      <c r="CC561" s="238"/>
      <c r="CD561" s="229" cm="1">
        <f t="array" ref="CD561">IF(ISBLANK(Y561), INDEX(Use, $AH561, 4) - AN561*INDEX(Use, $AH561, 6) - (Q561-X561), Y561)</f>
        <v>7</v>
      </c>
      <c r="CE561" s="229">
        <f t="shared" si="588"/>
        <v>32</v>
      </c>
      <c r="CF561" s="230">
        <f t="shared" si="589"/>
        <v>0</v>
      </c>
      <c r="CG561" s="229">
        <v>35</v>
      </c>
      <c r="CH561" s="230">
        <f t="shared" si="590"/>
        <v>48</v>
      </c>
      <c r="CI561" s="235">
        <f t="shared" si="591"/>
        <v>3.0748170731707316</v>
      </c>
      <c r="CJ561" s="235" cm="1">
        <f t="array" ref="CJ561">$BI561 * SUMPRODUCT(INDEX($AR$77:$AT$82,,$AI561),INDEX($AU$77:$BA$82,,$AH561), N($AQ$77:$AQ$82&gt;$AO561)) / CI561 / 1000</f>
        <v>0</v>
      </c>
      <c r="CK561" s="232">
        <f t="shared" si="608"/>
        <v>30</v>
      </c>
      <c r="CL561" s="230">
        <f t="shared" si="592"/>
        <v>43</v>
      </c>
      <c r="CM561" s="235">
        <f t="shared" si="593"/>
        <v>3.5018750000000001</v>
      </c>
      <c r="CN561" s="235" cm="1">
        <f t="array" ref="CN561">$BI561 * IF($AH561&lt;=2,
SUMPRODUCT(INDEX($AR$72:$AT$76,,$AI561), INDEX($AU$72:$BA$76,,$AH561), 1 / ($BB$72:$BB$76*CM561 + (1-$BB$72:$BB$76)*CI561), N($AQ$72:$AQ$76&gt;$AO561)),
SUMPRODUCT(INDEX($AR$67:$AT$76,,$AI561), INDEX($AU$67:$BA$76,,$AH561), 1 / ($BC$67:$BC$76*CM561 + (1-$BC$67:$BC$76)*CI561), N($AQ$67:$AQ$76&gt;$AO561))
) / 1000</f>
        <v>0</v>
      </c>
      <c r="CO561" s="232">
        <f t="shared" si="609"/>
        <v>25</v>
      </c>
      <c r="CP561" s="230">
        <f t="shared" si="594"/>
        <v>38</v>
      </c>
      <c r="CQ561" s="235">
        <f t="shared" si="595"/>
        <v>4.0666935483870965</v>
      </c>
      <c r="CR561" s="235" cm="1">
        <f t="array" ref="CR561">$BI561 * IF($AH561&lt;=2,
SUMPRODUCT(INDEX($AR$67:$AT$71,,$AI561), INDEX($AU$67:$BA$71,,$AH561), 1 / ($BB$67:$BB$71*CQ561 + (1-$BB$67:$BB$71)*CM561), N($AQ$67:$AQ$71&gt;$AO561)),
SUMPRODUCT(INDEX($AR$57:$AT$66,,$AI561), INDEX($AU$57:$BA$66,,$AH561), 1 / ($BC$57:$BC$66*CQ561 + (1-$BC$57:$BC$66)*CM561), N($AQ$57:$AQ$66&gt;$AO561))
) / 1000</f>
        <v>0</v>
      </c>
      <c r="CS561" s="232">
        <f t="shared" si="610"/>
        <v>20</v>
      </c>
      <c r="CT561" s="230">
        <f t="shared" si="596"/>
        <v>33</v>
      </c>
      <c r="CU561" s="235">
        <f t="shared" si="597"/>
        <v>4.8487499999999999</v>
      </c>
      <c r="CV561" s="235" cm="1">
        <f t="array" ref="CV561">$BI561 * IF($AH561&lt;=2,
SUMPRODUCT(INDEX($AR$62:$AT$66,,$AI561), INDEX($AU$62:$BA$66,,$AH561), 1 / ($BB$62:$BB$66*CU561 + (1-$BB$62:$BB$66)*CQ561), N($AQ$62:$AQ$66&gt;$AO561)),
SUMPRODUCT(INDEX($AR$47:$AT$56,,$AI561), INDEX($AU$47:$BA$56,,$AH561), 1 / ($BC$47:$BC$56*CU561 + (1-$BC$47:$BC$56)*CQ561), N($AQ$47:$AQ$56&gt;$AO561))
) / 1000</f>
        <v>0</v>
      </c>
      <c r="CW561" s="235" cm="1">
        <f t="array" ref="CW561">$BI561 * IF($AH561&lt;=2,
SUMPRODUCT(INDEX($AR$23:$AT$61,,$AI561), INDEX($AU$23:$BA$61,,$AH561), 1 / ($BB$23:$BB$61*CU561), N($AQ$23:$AQ$61&gt;$AO561)),
SUMPRODUCT(INDEX($AR$23:$AT$46,,$AI561), INDEX($AU$23:$BA$46,,$AH561), 1 / ($BC$23:$BC$46*CU561), N($AQ$23:$AQ$46&gt;$AO561))
) / 1000</f>
        <v>0</v>
      </c>
      <c r="CX561" s="230">
        <f t="shared" si="598"/>
        <v>0</v>
      </c>
      <c r="CY561" s="238"/>
    </row>
    <row r="562" spans="1:103" s="76" customFormat="1" ht="14.25" customHeight="1" x14ac:dyDescent="0.2">
      <c r="A562" s="231" t="b">
        <f t="shared" si="602"/>
        <v>0</v>
      </c>
      <c r="B562" s="245">
        <v>540</v>
      </c>
      <c r="C562" s="258"/>
      <c r="D562" s="258"/>
      <c r="E562" s="246"/>
      <c r="F562" s="247" t="str">
        <f>IF(ISBLANK(E562), "", VLOOKUP(E562, Z!$A$2:$C$4127, 3, FALSE))</f>
        <v/>
      </c>
      <c r="G562" s="248"/>
      <c r="H562" s="248"/>
      <c r="I562" s="249"/>
      <c r="J562" s="250"/>
      <c r="K562" s="259"/>
      <c r="L562" s="260"/>
      <c r="M562" s="252" t="str" cm="1">
        <f t="array" ref="M562">INDEX(Trad, 53, $A$20)</f>
        <v>Verschmutzt</v>
      </c>
      <c r="N562" s="253"/>
      <c r="O562" s="253"/>
      <c r="P562" s="254"/>
      <c r="Q562" s="251"/>
      <c r="R562" s="251"/>
      <c r="S562" s="264">
        <f t="shared" si="573"/>
        <v>0</v>
      </c>
      <c r="T562" s="252" t="str" cm="1">
        <f t="array" ref="T562">INDEX(Trad, 52, $A$20)</f>
        <v>Sauber</v>
      </c>
      <c r="U562" s="253"/>
      <c r="V562" s="253"/>
      <c r="W562" s="254"/>
      <c r="X562" s="251"/>
      <c r="Y562" s="251"/>
      <c r="Z562" s="264">
        <f t="shared" si="574"/>
        <v>0</v>
      </c>
      <c r="AA562" s="261"/>
      <c r="AB562" s="258"/>
      <c r="AC562" s="246"/>
      <c r="AD562" s="247" t="str">
        <f>IF(ISBLANK(AC562), "", VLOOKUP(AC562, Z!$A$2:$C$4127, 3, FALSE))</f>
        <v/>
      </c>
      <c r="AE562" s="262"/>
      <c r="AF562" s="263">
        <f t="shared" si="575"/>
        <v>0</v>
      </c>
      <c r="AG562" s="238"/>
      <c r="AH562" s="229">
        <f t="shared" si="599"/>
        <v>1</v>
      </c>
      <c r="AI562" s="229">
        <f t="shared" si="600"/>
        <v>1</v>
      </c>
      <c r="AJ562" s="229">
        <f t="shared" si="601"/>
        <v>0</v>
      </c>
      <c r="AK562" s="229">
        <v>0</v>
      </c>
      <c r="AL562" s="229">
        <v>0</v>
      </c>
      <c r="AM562" s="229">
        <v>1</v>
      </c>
      <c r="AN562" s="229">
        <v>0</v>
      </c>
      <c r="AO562" s="229">
        <f t="shared" si="576"/>
        <v>-100</v>
      </c>
      <c r="AP562" s="238"/>
      <c r="AQ562" s="255"/>
      <c r="AR562" s="255"/>
      <c r="AS562" s="256"/>
      <c r="AT562" s="256"/>
      <c r="AU562" s="256"/>
      <c r="AV562" s="256"/>
      <c r="AW562" s="256"/>
      <c r="AX562" s="256"/>
      <c r="AY562" s="256"/>
      <c r="AZ562" s="256"/>
      <c r="BA562" s="256"/>
      <c r="BB562" s="256"/>
      <c r="BC562" s="256"/>
      <c r="BD562" s="238"/>
      <c r="BE562" s="229" cm="1">
        <f t="array" ref="BE562">IF(ISBLANK(R562), INDEX(Use, $AH562, 4) - AM562*INDEX(Use, $AH562, 6), R562)</f>
        <v>5</v>
      </c>
      <c r="BF562" s="229">
        <f t="shared" si="577"/>
        <v>30</v>
      </c>
      <c r="BG562" s="229">
        <f t="shared" si="603"/>
        <v>13</v>
      </c>
      <c r="BH562" s="229">
        <f t="shared" si="604"/>
        <v>0</v>
      </c>
      <c r="BI562" s="234" cm="1">
        <f t="array" ref="BI562">K562/IF($L562&gt;0, INDEX($AU$23:$BA$77, $L562+20, $AH562), 1)</f>
        <v>0</v>
      </c>
      <c r="BJ562" s="230">
        <f t="shared" si="578"/>
        <v>0</v>
      </c>
      <c r="BK562" s="229">
        <v>35</v>
      </c>
      <c r="BL562" s="230">
        <f t="shared" si="579"/>
        <v>48</v>
      </c>
      <c r="BM562" s="235">
        <f t="shared" si="580"/>
        <v>2.9108720930232557</v>
      </c>
      <c r="BN562" s="235" cm="1">
        <f t="array" ref="BN562">$BI562 * SUMPRODUCT(INDEX($AR$77:$AT$82,,$AI562),INDEX($AU$77:$BA$82,,$AH562), N($AQ$77:$AQ$82&gt;$AO562)) / BM562 / 1000</f>
        <v>0</v>
      </c>
      <c r="BO562" s="232">
        <f t="shared" si="605"/>
        <v>30</v>
      </c>
      <c r="BP562" s="230">
        <f t="shared" si="581"/>
        <v>43</v>
      </c>
      <c r="BQ562" s="235">
        <f t="shared" si="582"/>
        <v>3.2938815789473681</v>
      </c>
      <c r="BR562" s="235" cm="1">
        <f t="array" ref="BR562">$BI562 * IF($AH562&lt;=2,
SUMPRODUCT(INDEX($AR$72:$AT$76,,$AI562), INDEX($AU$72:$BA$76,,$AH562), 1 / ($BB$72:$BB$76*BQ562 + (1-$BB$72:$BB$76)*BM562), N($AQ$72:$AQ$76&gt;$AO562)),
SUMPRODUCT(INDEX($AR$67:$AT$76,,$AI562), INDEX($AU$67:$BA$76,,$AH562), 1 / ($BC$67:$BC$76*BQ562 + (1-$BC$67:$BC$76)*BM562), N($AQ$67:$AQ$76&gt;$AO562))
) / 1000</f>
        <v>0</v>
      </c>
      <c r="BS562" s="232">
        <f t="shared" si="606"/>
        <v>25</v>
      </c>
      <c r="BT562" s="230">
        <f t="shared" si="583"/>
        <v>38</v>
      </c>
      <c r="BU562" s="235">
        <f t="shared" si="584"/>
        <v>3.792954545454545</v>
      </c>
      <c r="BV562" s="235" cm="1">
        <f t="array" ref="BV562">$BI562 * IF($AH562&lt;=2,
SUMPRODUCT(INDEX($AR$67:$AT$71,,$AI562), INDEX($AU$67:$BA$71,,$AH562), 1 / ($BB$67:$BB$71*BU562 + (1-$BB$67:$BB$71)*BQ562), N($AQ$67:$AQ$71&gt;$AO562)),
SUMPRODUCT(INDEX($AR$57:$AT$66,,$AI562), INDEX($AU$57:$BA$66,,$AH562), 1 / ($BC$57:$BC$66*BU562 + (1-$BC$57:$BC$66)*BQ562), N($AQ$57:$AQ$66&gt;$AO562))
) / 1000</f>
        <v>0</v>
      </c>
      <c r="BW562" s="232">
        <f t="shared" si="607"/>
        <v>20</v>
      </c>
      <c r="BX562" s="230">
        <f t="shared" si="585"/>
        <v>33</v>
      </c>
      <c r="BY562" s="235">
        <f t="shared" si="586"/>
        <v>4.4702678571428569</v>
      </c>
      <c r="BZ562" s="235" cm="1">
        <f t="array" ref="BZ562">$BI562 * IF($AH562&lt;=2,
SUMPRODUCT(INDEX($AR$62:$AT$66,,$AI562), INDEX($AU$62:$BA$66,,$AH562), 1 / ($BB$62:$BB$66*BY562 + (1-$BB$62:$BB$66)*BU562), N($AQ$62:$AQ$66&gt;$AO562)),
SUMPRODUCT(INDEX($AR$47:$AT$56,,$AI562), INDEX($AU$47:$BA$56,,$AH562), 1 / ($BC$47:$BC$56*BY562 + (1-$BC$47:$BC$56)*BU562), N($AQ$47:$AQ$56&gt;$AO562))
) / 1000</f>
        <v>0</v>
      </c>
      <c r="CA562" s="235" cm="1">
        <f t="array" ref="CA562">$BI562 * IF($AH562&lt;=2,
SUMPRODUCT(INDEX($AR$23:$AT$61,,$AI562), INDEX($AU$23:$BA$61,,$AH562), 1 / ($BB$23:$BB$61*BY562), N($AQ$23:$AQ$61&gt;$AO562)),
SUMPRODUCT(INDEX($AR$23:$AT$46,,$AI562), INDEX($AU$23:$BA$46,,$AH562), 1 / ($BC$23:$BC$46*BY562), N($AQ$23:$AQ$46&gt;$AO562))
) / 1000</f>
        <v>0</v>
      </c>
      <c r="CB562" s="230">
        <f t="shared" si="587"/>
        <v>0</v>
      </c>
      <c r="CC562" s="238"/>
      <c r="CD562" s="229" cm="1">
        <f t="array" ref="CD562">IF(ISBLANK(Y562), INDEX(Use, $AH562, 4) - AN562*INDEX(Use, $AH562, 6) - (Q562-X562), Y562)</f>
        <v>7</v>
      </c>
      <c r="CE562" s="229">
        <f t="shared" si="588"/>
        <v>32</v>
      </c>
      <c r="CF562" s="230">
        <f t="shared" si="589"/>
        <v>0</v>
      </c>
      <c r="CG562" s="229">
        <v>35</v>
      </c>
      <c r="CH562" s="230">
        <f t="shared" si="590"/>
        <v>48</v>
      </c>
      <c r="CI562" s="235">
        <f t="shared" si="591"/>
        <v>3.0748170731707316</v>
      </c>
      <c r="CJ562" s="235" cm="1">
        <f t="array" ref="CJ562">$BI562 * SUMPRODUCT(INDEX($AR$77:$AT$82,,$AI562),INDEX($AU$77:$BA$82,,$AH562), N($AQ$77:$AQ$82&gt;$AO562)) / CI562 / 1000</f>
        <v>0</v>
      </c>
      <c r="CK562" s="232">
        <f t="shared" si="608"/>
        <v>30</v>
      </c>
      <c r="CL562" s="230">
        <f t="shared" si="592"/>
        <v>43</v>
      </c>
      <c r="CM562" s="235">
        <f t="shared" si="593"/>
        <v>3.5018750000000001</v>
      </c>
      <c r="CN562" s="235" cm="1">
        <f t="array" ref="CN562">$BI562 * IF($AH562&lt;=2,
SUMPRODUCT(INDEX($AR$72:$AT$76,,$AI562), INDEX($AU$72:$BA$76,,$AH562), 1 / ($BB$72:$BB$76*CM562 + (1-$BB$72:$BB$76)*CI562), N($AQ$72:$AQ$76&gt;$AO562)),
SUMPRODUCT(INDEX($AR$67:$AT$76,,$AI562), INDEX($AU$67:$BA$76,,$AH562), 1 / ($BC$67:$BC$76*CM562 + (1-$BC$67:$BC$76)*CI562), N($AQ$67:$AQ$76&gt;$AO562))
) / 1000</f>
        <v>0</v>
      </c>
      <c r="CO562" s="232">
        <f t="shared" si="609"/>
        <v>25</v>
      </c>
      <c r="CP562" s="230">
        <f t="shared" si="594"/>
        <v>38</v>
      </c>
      <c r="CQ562" s="235">
        <f t="shared" si="595"/>
        <v>4.0666935483870965</v>
      </c>
      <c r="CR562" s="235" cm="1">
        <f t="array" ref="CR562">$BI562 * IF($AH562&lt;=2,
SUMPRODUCT(INDEX($AR$67:$AT$71,,$AI562), INDEX($AU$67:$BA$71,,$AH562), 1 / ($BB$67:$BB$71*CQ562 + (1-$BB$67:$BB$71)*CM562), N($AQ$67:$AQ$71&gt;$AO562)),
SUMPRODUCT(INDEX($AR$57:$AT$66,,$AI562), INDEX($AU$57:$BA$66,,$AH562), 1 / ($BC$57:$BC$66*CQ562 + (1-$BC$57:$BC$66)*CM562), N($AQ$57:$AQ$66&gt;$AO562))
) / 1000</f>
        <v>0</v>
      </c>
      <c r="CS562" s="232">
        <f t="shared" si="610"/>
        <v>20</v>
      </c>
      <c r="CT562" s="230">
        <f t="shared" si="596"/>
        <v>33</v>
      </c>
      <c r="CU562" s="235">
        <f t="shared" si="597"/>
        <v>4.8487499999999999</v>
      </c>
      <c r="CV562" s="235" cm="1">
        <f t="array" ref="CV562">$BI562 * IF($AH562&lt;=2,
SUMPRODUCT(INDEX($AR$62:$AT$66,,$AI562), INDEX($AU$62:$BA$66,,$AH562), 1 / ($BB$62:$BB$66*CU562 + (1-$BB$62:$BB$66)*CQ562), N($AQ$62:$AQ$66&gt;$AO562)),
SUMPRODUCT(INDEX($AR$47:$AT$56,,$AI562), INDEX($AU$47:$BA$56,,$AH562), 1 / ($BC$47:$BC$56*CU562 + (1-$BC$47:$BC$56)*CQ562), N($AQ$47:$AQ$56&gt;$AO562))
) / 1000</f>
        <v>0</v>
      </c>
      <c r="CW562" s="235" cm="1">
        <f t="array" ref="CW562">$BI562 * IF($AH562&lt;=2,
SUMPRODUCT(INDEX($AR$23:$AT$61,,$AI562), INDEX($AU$23:$BA$61,,$AH562), 1 / ($BB$23:$BB$61*CU562), N($AQ$23:$AQ$61&gt;$AO562)),
SUMPRODUCT(INDEX($AR$23:$AT$46,,$AI562), INDEX($AU$23:$BA$46,,$AH562), 1 / ($BC$23:$BC$46*CU562), N($AQ$23:$AQ$46&gt;$AO562))
) / 1000</f>
        <v>0</v>
      </c>
      <c r="CX562" s="230">
        <f t="shared" si="598"/>
        <v>0</v>
      </c>
      <c r="CY562" s="238"/>
    </row>
    <row r="563" spans="1:103" s="76" customFormat="1" ht="14.25" customHeight="1" x14ac:dyDescent="0.2">
      <c r="A563" s="231" t="b">
        <f t="shared" si="602"/>
        <v>0</v>
      </c>
      <c r="B563" s="245">
        <v>541</v>
      </c>
      <c r="C563" s="258"/>
      <c r="D563" s="258"/>
      <c r="E563" s="246"/>
      <c r="F563" s="247" t="str">
        <f>IF(ISBLANK(E563), "", VLOOKUP(E563, Z!$A$2:$C$4127, 3, FALSE))</f>
        <v/>
      </c>
      <c r="G563" s="248"/>
      <c r="H563" s="248"/>
      <c r="I563" s="249"/>
      <c r="J563" s="250"/>
      <c r="K563" s="259"/>
      <c r="L563" s="260"/>
      <c r="M563" s="252" t="str" cm="1">
        <f t="array" ref="M563">INDEX(Trad, 53, $A$20)</f>
        <v>Verschmutzt</v>
      </c>
      <c r="N563" s="253"/>
      <c r="O563" s="253"/>
      <c r="P563" s="254"/>
      <c r="Q563" s="251"/>
      <c r="R563" s="251"/>
      <c r="S563" s="264">
        <f t="shared" si="573"/>
        <v>0</v>
      </c>
      <c r="T563" s="252" t="str" cm="1">
        <f t="array" ref="T563">INDEX(Trad, 52, $A$20)</f>
        <v>Sauber</v>
      </c>
      <c r="U563" s="253"/>
      <c r="V563" s="253"/>
      <c r="W563" s="254"/>
      <c r="X563" s="251"/>
      <c r="Y563" s="251"/>
      <c r="Z563" s="264">
        <f t="shared" si="574"/>
        <v>0</v>
      </c>
      <c r="AA563" s="261"/>
      <c r="AB563" s="258"/>
      <c r="AC563" s="246"/>
      <c r="AD563" s="247" t="str">
        <f>IF(ISBLANK(AC563), "", VLOOKUP(AC563, Z!$A$2:$C$4127, 3, FALSE))</f>
        <v/>
      </c>
      <c r="AE563" s="262"/>
      <c r="AF563" s="263">
        <f t="shared" si="575"/>
        <v>0</v>
      </c>
      <c r="AG563" s="238"/>
      <c r="AH563" s="229">
        <f t="shared" si="599"/>
        <v>1</v>
      </c>
      <c r="AI563" s="229">
        <f t="shared" si="600"/>
        <v>1</v>
      </c>
      <c r="AJ563" s="229">
        <f t="shared" si="601"/>
        <v>0</v>
      </c>
      <c r="AK563" s="229">
        <v>0</v>
      </c>
      <c r="AL563" s="229">
        <v>0</v>
      </c>
      <c r="AM563" s="229">
        <v>1</v>
      </c>
      <c r="AN563" s="229">
        <v>0</v>
      </c>
      <c r="AO563" s="229">
        <f t="shared" si="576"/>
        <v>-100</v>
      </c>
      <c r="AP563" s="238"/>
      <c r="AQ563" s="255"/>
      <c r="AR563" s="255"/>
      <c r="AS563" s="256"/>
      <c r="AT563" s="256"/>
      <c r="AU563" s="256"/>
      <c r="AV563" s="256"/>
      <c r="AW563" s="256"/>
      <c r="AX563" s="256"/>
      <c r="AY563" s="256"/>
      <c r="AZ563" s="256"/>
      <c r="BA563" s="256"/>
      <c r="BB563" s="256"/>
      <c r="BC563" s="256"/>
      <c r="BD563" s="238"/>
      <c r="BE563" s="229" cm="1">
        <f t="array" ref="BE563">IF(ISBLANK(R563), INDEX(Use, $AH563, 4) - AM563*INDEX(Use, $AH563, 6), R563)</f>
        <v>5</v>
      </c>
      <c r="BF563" s="229">
        <f t="shared" si="577"/>
        <v>30</v>
      </c>
      <c r="BG563" s="229">
        <f t="shared" si="603"/>
        <v>13</v>
      </c>
      <c r="BH563" s="229">
        <f t="shared" si="604"/>
        <v>0</v>
      </c>
      <c r="BI563" s="234" cm="1">
        <f t="array" ref="BI563">K563/IF($L563&gt;0, INDEX($AU$23:$BA$77, $L563+20, $AH563), 1)</f>
        <v>0</v>
      </c>
      <c r="BJ563" s="230">
        <f t="shared" si="578"/>
        <v>0</v>
      </c>
      <c r="BK563" s="229">
        <v>35</v>
      </c>
      <c r="BL563" s="230">
        <f t="shared" si="579"/>
        <v>48</v>
      </c>
      <c r="BM563" s="235">
        <f t="shared" si="580"/>
        <v>2.9108720930232557</v>
      </c>
      <c r="BN563" s="235" cm="1">
        <f t="array" ref="BN563">$BI563 * SUMPRODUCT(INDEX($AR$77:$AT$82,,$AI563),INDEX($AU$77:$BA$82,,$AH563), N($AQ$77:$AQ$82&gt;$AO563)) / BM563 / 1000</f>
        <v>0</v>
      </c>
      <c r="BO563" s="232">
        <f t="shared" si="605"/>
        <v>30</v>
      </c>
      <c r="BP563" s="230">
        <f t="shared" si="581"/>
        <v>43</v>
      </c>
      <c r="BQ563" s="235">
        <f t="shared" si="582"/>
        <v>3.2938815789473681</v>
      </c>
      <c r="BR563" s="235" cm="1">
        <f t="array" ref="BR563">$BI563 * IF($AH563&lt;=2,
SUMPRODUCT(INDEX($AR$72:$AT$76,,$AI563), INDEX($AU$72:$BA$76,,$AH563), 1 / ($BB$72:$BB$76*BQ563 + (1-$BB$72:$BB$76)*BM563), N($AQ$72:$AQ$76&gt;$AO563)),
SUMPRODUCT(INDEX($AR$67:$AT$76,,$AI563), INDEX($AU$67:$BA$76,,$AH563), 1 / ($BC$67:$BC$76*BQ563 + (1-$BC$67:$BC$76)*BM563), N($AQ$67:$AQ$76&gt;$AO563))
) / 1000</f>
        <v>0</v>
      </c>
      <c r="BS563" s="232">
        <f t="shared" si="606"/>
        <v>25</v>
      </c>
      <c r="BT563" s="230">
        <f t="shared" si="583"/>
        <v>38</v>
      </c>
      <c r="BU563" s="235">
        <f t="shared" si="584"/>
        <v>3.792954545454545</v>
      </c>
      <c r="BV563" s="235" cm="1">
        <f t="array" ref="BV563">$BI563 * IF($AH563&lt;=2,
SUMPRODUCT(INDEX($AR$67:$AT$71,,$AI563), INDEX($AU$67:$BA$71,,$AH563), 1 / ($BB$67:$BB$71*BU563 + (1-$BB$67:$BB$71)*BQ563), N($AQ$67:$AQ$71&gt;$AO563)),
SUMPRODUCT(INDEX($AR$57:$AT$66,,$AI563), INDEX($AU$57:$BA$66,,$AH563), 1 / ($BC$57:$BC$66*BU563 + (1-$BC$57:$BC$66)*BQ563), N($AQ$57:$AQ$66&gt;$AO563))
) / 1000</f>
        <v>0</v>
      </c>
      <c r="BW563" s="232">
        <f t="shared" si="607"/>
        <v>20</v>
      </c>
      <c r="BX563" s="230">
        <f t="shared" si="585"/>
        <v>33</v>
      </c>
      <c r="BY563" s="235">
        <f t="shared" si="586"/>
        <v>4.4702678571428569</v>
      </c>
      <c r="BZ563" s="235" cm="1">
        <f t="array" ref="BZ563">$BI563 * IF($AH563&lt;=2,
SUMPRODUCT(INDEX($AR$62:$AT$66,,$AI563), INDEX($AU$62:$BA$66,,$AH563), 1 / ($BB$62:$BB$66*BY563 + (1-$BB$62:$BB$66)*BU563), N($AQ$62:$AQ$66&gt;$AO563)),
SUMPRODUCT(INDEX($AR$47:$AT$56,,$AI563), INDEX($AU$47:$BA$56,,$AH563), 1 / ($BC$47:$BC$56*BY563 + (1-$BC$47:$BC$56)*BU563), N($AQ$47:$AQ$56&gt;$AO563))
) / 1000</f>
        <v>0</v>
      </c>
      <c r="CA563" s="235" cm="1">
        <f t="array" ref="CA563">$BI563 * IF($AH563&lt;=2,
SUMPRODUCT(INDEX($AR$23:$AT$61,,$AI563), INDEX($AU$23:$BA$61,,$AH563), 1 / ($BB$23:$BB$61*BY563), N($AQ$23:$AQ$61&gt;$AO563)),
SUMPRODUCT(INDEX($AR$23:$AT$46,,$AI563), INDEX($AU$23:$BA$46,,$AH563), 1 / ($BC$23:$BC$46*BY563), N($AQ$23:$AQ$46&gt;$AO563))
) / 1000</f>
        <v>0</v>
      </c>
      <c r="CB563" s="230">
        <f t="shared" si="587"/>
        <v>0</v>
      </c>
      <c r="CC563" s="238"/>
      <c r="CD563" s="229" cm="1">
        <f t="array" ref="CD563">IF(ISBLANK(Y563), INDEX(Use, $AH563, 4) - AN563*INDEX(Use, $AH563, 6) - (Q563-X563), Y563)</f>
        <v>7</v>
      </c>
      <c r="CE563" s="229">
        <f t="shared" si="588"/>
        <v>32</v>
      </c>
      <c r="CF563" s="230">
        <f t="shared" si="589"/>
        <v>0</v>
      </c>
      <c r="CG563" s="229">
        <v>35</v>
      </c>
      <c r="CH563" s="230">
        <f t="shared" si="590"/>
        <v>48</v>
      </c>
      <c r="CI563" s="235">
        <f t="shared" si="591"/>
        <v>3.0748170731707316</v>
      </c>
      <c r="CJ563" s="235" cm="1">
        <f t="array" ref="CJ563">$BI563 * SUMPRODUCT(INDEX($AR$77:$AT$82,,$AI563),INDEX($AU$77:$BA$82,,$AH563), N($AQ$77:$AQ$82&gt;$AO563)) / CI563 / 1000</f>
        <v>0</v>
      </c>
      <c r="CK563" s="232">
        <f t="shared" si="608"/>
        <v>30</v>
      </c>
      <c r="CL563" s="230">
        <f t="shared" si="592"/>
        <v>43</v>
      </c>
      <c r="CM563" s="235">
        <f t="shared" si="593"/>
        <v>3.5018750000000001</v>
      </c>
      <c r="CN563" s="235" cm="1">
        <f t="array" ref="CN563">$BI563 * IF($AH563&lt;=2,
SUMPRODUCT(INDEX($AR$72:$AT$76,,$AI563), INDEX($AU$72:$BA$76,,$AH563), 1 / ($BB$72:$BB$76*CM563 + (1-$BB$72:$BB$76)*CI563), N($AQ$72:$AQ$76&gt;$AO563)),
SUMPRODUCT(INDEX($AR$67:$AT$76,,$AI563), INDEX($AU$67:$BA$76,,$AH563), 1 / ($BC$67:$BC$76*CM563 + (1-$BC$67:$BC$76)*CI563), N($AQ$67:$AQ$76&gt;$AO563))
) / 1000</f>
        <v>0</v>
      </c>
      <c r="CO563" s="232">
        <f t="shared" si="609"/>
        <v>25</v>
      </c>
      <c r="CP563" s="230">
        <f t="shared" si="594"/>
        <v>38</v>
      </c>
      <c r="CQ563" s="235">
        <f t="shared" si="595"/>
        <v>4.0666935483870965</v>
      </c>
      <c r="CR563" s="235" cm="1">
        <f t="array" ref="CR563">$BI563 * IF($AH563&lt;=2,
SUMPRODUCT(INDEX($AR$67:$AT$71,,$AI563), INDEX($AU$67:$BA$71,,$AH563), 1 / ($BB$67:$BB$71*CQ563 + (1-$BB$67:$BB$71)*CM563), N($AQ$67:$AQ$71&gt;$AO563)),
SUMPRODUCT(INDEX($AR$57:$AT$66,,$AI563), INDEX($AU$57:$BA$66,,$AH563), 1 / ($BC$57:$BC$66*CQ563 + (1-$BC$57:$BC$66)*CM563), N($AQ$57:$AQ$66&gt;$AO563))
) / 1000</f>
        <v>0</v>
      </c>
      <c r="CS563" s="232">
        <f t="shared" si="610"/>
        <v>20</v>
      </c>
      <c r="CT563" s="230">
        <f t="shared" si="596"/>
        <v>33</v>
      </c>
      <c r="CU563" s="235">
        <f t="shared" si="597"/>
        <v>4.8487499999999999</v>
      </c>
      <c r="CV563" s="235" cm="1">
        <f t="array" ref="CV563">$BI563 * IF($AH563&lt;=2,
SUMPRODUCT(INDEX($AR$62:$AT$66,,$AI563), INDEX($AU$62:$BA$66,,$AH563), 1 / ($BB$62:$BB$66*CU563 + (1-$BB$62:$BB$66)*CQ563), N($AQ$62:$AQ$66&gt;$AO563)),
SUMPRODUCT(INDEX($AR$47:$AT$56,,$AI563), INDEX($AU$47:$BA$56,,$AH563), 1 / ($BC$47:$BC$56*CU563 + (1-$BC$47:$BC$56)*CQ563), N($AQ$47:$AQ$56&gt;$AO563))
) / 1000</f>
        <v>0</v>
      </c>
      <c r="CW563" s="235" cm="1">
        <f t="array" ref="CW563">$BI563 * IF($AH563&lt;=2,
SUMPRODUCT(INDEX($AR$23:$AT$61,,$AI563), INDEX($AU$23:$BA$61,,$AH563), 1 / ($BB$23:$BB$61*CU563), N($AQ$23:$AQ$61&gt;$AO563)),
SUMPRODUCT(INDEX($AR$23:$AT$46,,$AI563), INDEX($AU$23:$BA$46,,$AH563), 1 / ($BC$23:$BC$46*CU563), N($AQ$23:$AQ$46&gt;$AO563))
) / 1000</f>
        <v>0</v>
      </c>
      <c r="CX563" s="230">
        <f t="shared" si="598"/>
        <v>0</v>
      </c>
      <c r="CY563" s="238"/>
    </row>
    <row r="564" spans="1:103" s="76" customFormat="1" ht="14.25" customHeight="1" x14ac:dyDescent="0.2">
      <c r="A564" s="231" t="b">
        <f t="shared" si="602"/>
        <v>0</v>
      </c>
      <c r="B564" s="245">
        <v>542</v>
      </c>
      <c r="C564" s="258"/>
      <c r="D564" s="258"/>
      <c r="E564" s="246"/>
      <c r="F564" s="247" t="str">
        <f>IF(ISBLANK(E564), "", VLOOKUP(E564, Z!$A$2:$C$4127, 3, FALSE))</f>
        <v/>
      </c>
      <c r="G564" s="248"/>
      <c r="H564" s="248"/>
      <c r="I564" s="249"/>
      <c r="J564" s="250"/>
      <c r="K564" s="259"/>
      <c r="L564" s="260"/>
      <c r="M564" s="252" t="str" cm="1">
        <f t="array" ref="M564">INDEX(Trad, 53, $A$20)</f>
        <v>Verschmutzt</v>
      </c>
      <c r="N564" s="253"/>
      <c r="O564" s="253"/>
      <c r="P564" s="254"/>
      <c r="Q564" s="251"/>
      <c r="R564" s="251"/>
      <c r="S564" s="264">
        <f t="shared" si="573"/>
        <v>0</v>
      </c>
      <c r="T564" s="252" t="str" cm="1">
        <f t="array" ref="T564">INDEX(Trad, 52, $A$20)</f>
        <v>Sauber</v>
      </c>
      <c r="U564" s="253"/>
      <c r="V564" s="253"/>
      <c r="W564" s="254"/>
      <c r="X564" s="251"/>
      <c r="Y564" s="251"/>
      <c r="Z564" s="264">
        <f t="shared" si="574"/>
        <v>0</v>
      </c>
      <c r="AA564" s="261"/>
      <c r="AB564" s="258"/>
      <c r="AC564" s="246"/>
      <c r="AD564" s="247" t="str">
        <f>IF(ISBLANK(AC564), "", VLOOKUP(AC564, Z!$A$2:$C$4127, 3, FALSE))</f>
        <v/>
      </c>
      <c r="AE564" s="262"/>
      <c r="AF564" s="263">
        <f t="shared" si="575"/>
        <v>0</v>
      </c>
      <c r="AG564" s="238"/>
      <c r="AH564" s="229">
        <f t="shared" si="599"/>
        <v>1</v>
      </c>
      <c r="AI564" s="229">
        <f t="shared" si="600"/>
        <v>1</v>
      </c>
      <c r="AJ564" s="229">
        <f t="shared" si="601"/>
        <v>0</v>
      </c>
      <c r="AK564" s="229">
        <v>0</v>
      </c>
      <c r="AL564" s="229">
        <v>0</v>
      </c>
      <c r="AM564" s="229">
        <v>1</v>
      </c>
      <c r="AN564" s="229">
        <v>0</v>
      </c>
      <c r="AO564" s="229">
        <f t="shared" si="576"/>
        <v>-100</v>
      </c>
      <c r="AP564" s="238"/>
      <c r="AQ564" s="255"/>
      <c r="AR564" s="255"/>
      <c r="AS564" s="256"/>
      <c r="AT564" s="256"/>
      <c r="AU564" s="256"/>
      <c r="AV564" s="256"/>
      <c r="AW564" s="256"/>
      <c r="AX564" s="256"/>
      <c r="AY564" s="256"/>
      <c r="AZ564" s="256"/>
      <c r="BA564" s="256"/>
      <c r="BB564" s="256"/>
      <c r="BC564" s="256"/>
      <c r="BD564" s="238"/>
      <c r="BE564" s="229" cm="1">
        <f t="array" ref="BE564">IF(ISBLANK(R564), INDEX(Use, $AH564, 4) - AM564*INDEX(Use, $AH564, 6), R564)</f>
        <v>5</v>
      </c>
      <c r="BF564" s="229">
        <f t="shared" si="577"/>
        <v>30</v>
      </c>
      <c r="BG564" s="229">
        <f t="shared" si="603"/>
        <v>13</v>
      </c>
      <c r="BH564" s="229">
        <f t="shared" si="604"/>
        <v>0</v>
      </c>
      <c r="BI564" s="234" cm="1">
        <f t="array" ref="BI564">K564/IF($L564&gt;0, INDEX($AU$23:$BA$77, $L564+20, $AH564), 1)</f>
        <v>0</v>
      </c>
      <c r="BJ564" s="230">
        <f t="shared" si="578"/>
        <v>0</v>
      </c>
      <c r="BK564" s="229">
        <v>35</v>
      </c>
      <c r="BL564" s="230">
        <f t="shared" si="579"/>
        <v>48</v>
      </c>
      <c r="BM564" s="235">
        <f t="shared" si="580"/>
        <v>2.9108720930232557</v>
      </c>
      <c r="BN564" s="235" cm="1">
        <f t="array" ref="BN564">$BI564 * SUMPRODUCT(INDEX($AR$77:$AT$82,,$AI564),INDEX($AU$77:$BA$82,,$AH564), N($AQ$77:$AQ$82&gt;$AO564)) / BM564 / 1000</f>
        <v>0</v>
      </c>
      <c r="BO564" s="232">
        <f t="shared" si="605"/>
        <v>30</v>
      </c>
      <c r="BP564" s="230">
        <f t="shared" si="581"/>
        <v>43</v>
      </c>
      <c r="BQ564" s="235">
        <f t="shared" si="582"/>
        <v>3.2938815789473681</v>
      </c>
      <c r="BR564" s="235" cm="1">
        <f t="array" ref="BR564">$BI564 * IF($AH564&lt;=2,
SUMPRODUCT(INDEX($AR$72:$AT$76,,$AI564), INDEX($AU$72:$BA$76,,$AH564), 1 / ($BB$72:$BB$76*BQ564 + (1-$BB$72:$BB$76)*BM564), N($AQ$72:$AQ$76&gt;$AO564)),
SUMPRODUCT(INDEX($AR$67:$AT$76,,$AI564), INDEX($AU$67:$BA$76,,$AH564), 1 / ($BC$67:$BC$76*BQ564 + (1-$BC$67:$BC$76)*BM564), N($AQ$67:$AQ$76&gt;$AO564))
) / 1000</f>
        <v>0</v>
      </c>
      <c r="BS564" s="232">
        <f t="shared" si="606"/>
        <v>25</v>
      </c>
      <c r="BT564" s="230">
        <f t="shared" si="583"/>
        <v>38</v>
      </c>
      <c r="BU564" s="235">
        <f t="shared" si="584"/>
        <v>3.792954545454545</v>
      </c>
      <c r="BV564" s="235" cm="1">
        <f t="array" ref="BV564">$BI564 * IF($AH564&lt;=2,
SUMPRODUCT(INDEX($AR$67:$AT$71,,$AI564), INDEX($AU$67:$BA$71,,$AH564), 1 / ($BB$67:$BB$71*BU564 + (1-$BB$67:$BB$71)*BQ564), N($AQ$67:$AQ$71&gt;$AO564)),
SUMPRODUCT(INDEX($AR$57:$AT$66,,$AI564), INDEX($AU$57:$BA$66,,$AH564), 1 / ($BC$57:$BC$66*BU564 + (1-$BC$57:$BC$66)*BQ564), N($AQ$57:$AQ$66&gt;$AO564))
) / 1000</f>
        <v>0</v>
      </c>
      <c r="BW564" s="232">
        <f t="shared" si="607"/>
        <v>20</v>
      </c>
      <c r="BX564" s="230">
        <f t="shared" si="585"/>
        <v>33</v>
      </c>
      <c r="BY564" s="235">
        <f t="shared" si="586"/>
        <v>4.4702678571428569</v>
      </c>
      <c r="BZ564" s="235" cm="1">
        <f t="array" ref="BZ564">$BI564 * IF($AH564&lt;=2,
SUMPRODUCT(INDEX($AR$62:$AT$66,,$AI564), INDEX($AU$62:$BA$66,,$AH564), 1 / ($BB$62:$BB$66*BY564 + (1-$BB$62:$BB$66)*BU564), N($AQ$62:$AQ$66&gt;$AO564)),
SUMPRODUCT(INDEX($AR$47:$AT$56,,$AI564), INDEX($AU$47:$BA$56,,$AH564), 1 / ($BC$47:$BC$56*BY564 + (1-$BC$47:$BC$56)*BU564), N($AQ$47:$AQ$56&gt;$AO564))
) / 1000</f>
        <v>0</v>
      </c>
      <c r="CA564" s="235" cm="1">
        <f t="array" ref="CA564">$BI564 * IF($AH564&lt;=2,
SUMPRODUCT(INDEX($AR$23:$AT$61,,$AI564), INDEX($AU$23:$BA$61,,$AH564), 1 / ($BB$23:$BB$61*BY564), N($AQ$23:$AQ$61&gt;$AO564)),
SUMPRODUCT(INDEX($AR$23:$AT$46,,$AI564), INDEX($AU$23:$BA$46,,$AH564), 1 / ($BC$23:$BC$46*BY564), N($AQ$23:$AQ$46&gt;$AO564))
) / 1000</f>
        <v>0</v>
      </c>
      <c r="CB564" s="230">
        <f t="shared" si="587"/>
        <v>0</v>
      </c>
      <c r="CC564" s="238"/>
      <c r="CD564" s="229" cm="1">
        <f t="array" ref="CD564">IF(ISBLANK(Y564), INDEX(Use, $AH564, 4) - AN564*INDEX(Use, $AH564, 6) - (Q564-X564), Y564)</f>
        <v>7</v>
      </c>
      <c r="CE564" s="229">
        <f t="shared" si="588"/>
        <v>32</v>
      </c>
      <c r="CF564" s="230">
        <f t="shared" si="589"/>
        <v>0</v>
      </c>
      <c r="CG564" s="229">
        <v>35</v>
      </c>
      <c r="CH564" s="230">
        <f t="shared" si="590"/>
        <v>48</v>
      </c>
      <c r="CI564" s="235">
        <f t="shared" si="591"/>
        <v>3.0748170731707316</v>
      </c>
      <c r="CJ564" s="235" cm="1">
        <f t="array" ref="CJ564">$BI564 * SUMPRODUCT(INDEX($AR$77:$AT$82,,$AI564),INDEX($AU$77:$BA$82,,$AH564), N($AQ$77:$AQ$82&gt;$AO564)) / CI564 / 1000</f>
        <v>0</v>
      </c>
      <c r="CK564" s="232">
        <f t="shared" si="608"/>
        <v>30</v>
      </c>
      <c r="CL564" s="230">
        <f t="shared" si="592"/>
        <v>43</v>
      </c>
      <c r="CM564" s="235">
        <f t="shared" si="593"/>
        <v>3.5018750000000001</v>
      </c>
      <c r="CN564" s="235" cm="1">
        <f t="array" ref="CN564">$BI564 * IF($AH564&lt;=2,
SUMPRODUCT(INDEX($AR$72:$AT$76,,$AI564), INDEX($AU$72:$BA$76,,$AH564), 1 / ($BB$72:$BB$76*CM564 + (1-$BB$72:$BB$76)*CI564), N($AQ$72:$AQ$76&gt;$AO564)),
SUMPRODUCT(INDEX($AR$67:$AT$76,,$AI564), INDEX($AU$67:$BA$76,,$AH564), 1 / ($BC$67:$BC$76*CM564 + (1-$BC$67:$BC$76)*CI564), N($AQ$67:$AQ$76&gt;$AO564))
) / 1000</f>
        <v>0</v>
      </c>
      <c r="CO564" s="232">
        <f t="shared" si="609"/>
        <v>25</v>
      </c>
      <c r="CP564" s="230">
        <f t="shared" si="594"/>
        <v>38</v>
      </c>
      <c r="CQ564" s="235">
        <f t="shared" si="595"/>
        <v>4.0666935483870965</v>
      </c>
      <c r="CR564" s="235" cm="1">
        <f t="array" ref="CR564">$BI564 * IF($AH564&lt;=2,
SUMPRODUCT(INDEX($AR$67:$AT$71,,$AI564), INDEX($AU$67:$BA$71,,$AH564), 1 / ($BB$67:$BB$71*CQ564 + (1-$BB$67:$BB$71)*CM564), N($AQ$67:$AQ$71&gt;$AO564)),
SUMPRODUCT(INDEX($AR$57:$AT$66,,$AI564), INDEX($AU$57:$BA$66,,$AH564), 1 / ($BC$57:$BC$66*CQ564 + (1-$BC$57:$BC$66)*CM564), N($AQ$57:$AQ$66&gt;$AO564))
) / 1000</f>
        <v>0</v>
      </c>
      <c r="CS564" s="232">
        <f t="shared" si="610"/>
        <v>20</v>
      </c>
      <c r="CT564" s="230">
        <f t="shared" si="596"/>
        <v>33</v>
      </c>
      <c r="CU564" s="235">
        <f t="shared" si="597"/>
        <v>4.8487499999999999</v>
      </c>
      <c r="CV564" s="235" cm="1">
        <f t="array" ref="CV564">$BI564 * IF($AH564&lt;=2,
SUMPRODUCT(INDEX($AR$62:$AT$66,,$AI564), INDEX($AU$62:$BA$66,,$AH564), 1 / ($BB$62:$BB$66*CU564 + (1-$BB$62:$BB$66)*CQ564), N($AQ$62:$AQ$66&gt;$AO564)),
SUMPRODUCT(INDEX($AR$47:$AT$56,,$AI564), INDEX($AU$47:$BA$56,,$AH564), 1 / ($BC$47:$BC$56*CU564 + (1-$BC$47:$BC$56)*CQ564), N($AQ$47:$AQ$56&gt;$AO564))
) / 1000</f>
        <v>0</v>
      </c>
      <c r="CW564" s="235" cm="1">
        <f t="array" ref="CW564">$BI564 * IF($AH564&lt;=2,
SUMPRODUCT(INDEX($AR$23:$AT$61,,$AI564), INDEX($AU$23:$BA$61,,$AH564), 1 / ($BB$23:$BB$61*CU564), N($AQ$23:$AQ$61&gt;$AO564)),
SUMPRODUCT(INDEX($AR$23:$AT$46,,$AI564), INDEX($AU$23:$BA$46,,$AH564), 1 / ($BC$23:$BC$46*CU564), N($AQ$23:$AQ$46&gt;$AO564))
) / 1000</f>
        <v>0</v>
      </c>
      <c r="CX564" s="230">
        <f t="shared" si="598"/>
        <v>0</v>
      </c>
      <c r="CY564" s="238"/>
    </row>
    <row r="565" spans="1:103" s="76" customFormat="1" ht="14.25" customHeight="1" x14ac:dyDescent="0.2">
      <c r="A565" s="231" t="b">
        <f t="shared" si="602"/>
        <v>0</v>
      </c>
      <c r="B565" s="245">
        <v>543</v>
      </c>
      <c r="C565" s="258"/>
      <c r="D565" s="258"/>
      <c r="E565" s="246"/>
      <c r="F565" s="247" t="str">
        <f>IF(ISBLANK(E565), "", VLOOKUP(E565, Z!$A$2:$C$4127, 3, FALSE))</f>
        <v/>
      </c>
      <c r="G565" s="248"/>
      <c r="H565" s="248"/>
      <c r="I565" s="249"/>
      <c r="J565" s="250"/>
      <c r="K565" s="259"/>
      <c r="L565" s="260"/>
      <c r="M565" s="252" t="str" cm="1">
        <f t="array" ref="M565">INDEX(Trad, 53, $A$20)</f>
        <v>Verschmutzt</v>
      </c>
      <c r="N565" s="253"/>
      <c r="O565" s="253"/>
      <c r="P565" s="254"/>
      <c r="Q565" s="251"/>
      <c r="R565" s="251"/>
      <c r="S565" s="264">
        <f t="shared" si="573"/>
        <v>0</v>
      </c>
      <c r="T565" s="252" t="str" cm="1">
        <f t="array" ref="T565">INDEX(Trad, 52, $A$20)</f>
        <v>Sauber</v>
      </c>
      <c r="U565" s="253"/>
      <c r="V565" s="253"/>
      <c r="W565" s="254"/>
      <c r="X565" s="251"/>
      <c r="Y565" s="251"/>
      <c r="Z565" s="264">
        <f t="shared" si="574"/>
        <v>0</v>
      </c>
      <c r="AA565" s="261"/>
      <c r="AB565" s="258"/>
      <c r="AC565" s="246"/>
      <c r="AD565" s="247" t="str">
        <f>IF(ISBLANK(AC565), "", VLOOKUP(AC565, Z!$A$2:$C$4127, 3, FALSE))</f>
        <v/>
      </c>
      <c r="AE565" s="262"/>
      <c r="AF565" s="263">
        <f t="shared" si="575"/>
        <v>0</v>
      </c>
      <c r="AG565" s="238"/>
      <c r="AH565" s="229">
        <f t="shared" si="599"/>
        <v>1</v>
      </c>
      <c r="AI565" s="229">
        <f t="shared" si="600"/>
        <v>1</v>
      </c>
      <c r="AJ565" s="229">
        <f t="shared" si="601"/>
        <v>0</v>
      </c>
      <c r="AK565" s="229">
        <v>0</v>
      </c>
      <c r="AL565" s="229">
        <v>0</v>
      </c>
      <c r="AM565" s="229">
        <v>1</v>
      </c>
      <c r="AN565" s="229">
        <v>0</v>
      </c>
      <c r="AO565" s="229">
        <f t="shared" si="576"/>
        <v>-100</v>
      </c>
      <c r="AP565" s="238"/>
      <c r="AQ565" s="255"/>
      <c r="AR565" s="255"/>
      <c r="AS565" s="256"/>
      <c r="AT565" s="256"/>
      <c r="AU565" s="256"/>
      <c r="AV565" s="256"/>
      <c r="AW565" s="256"/>
      <c r="AX565" s="256"/>
      <c r="AY565" s="256"/>
      <c r="AZ565" s="256"/>
      <c r="BA565" s="256"/>
      <c r="BB565" s="256"/>
      <c r="BC565" s="256"/>
      <c r="BD565" s="238"/>
      <c r="BE565" s="229" cm="1">
        <f t="array" ref="BE565">IF(ISBLANK(R565), INDEX(Use, $AH565, 4) - AM565*INDEX(Use, $AH565, 6), R565)</f>
        <v>5</v>
      </c>
      <c r="BF565" s="229">
        <f t="shared" si="577"/>
        <v>30</v>
      </c>
      <c r="BG565" s="229">
        <f t="shared" si="603"/>
        <v>13</v>
      </c>
      <c r="BH565" s="229">
        <f t="shared" si="604"/>
        <v>0</v>
      </c>
      <c r="BI565" s="234" cm="1">
        <f t="array" ref="BI565">K565/IF($L565&gt;0, INDEX($AU$23:$BA$77, $L565+20, $AH565), 1)</f>
        <v>0</v>
      </c>
      <c r="BJ565" s="230">
        <f t="shared" si="578"/>
        <v>0</v>
      </c>
      <c r="BK565" s="229">
        <v>35</v>
      </c>
      <c r="BL565" s="230">
        <f t="shared" si="579"/>
        <v>48</v>
      </c>
      <c r="BM565" s="235">
        <f t="shared" si="580"/>
        <v>2.9108720930232557</v>
      </c>
      <c r="BN565" s="235" cm="1">
        <f t="array" ref="BN565">$BI565 * SUMPRODUCT(INDEX($AR$77:$AT$82,,$AI565),INDEX($AU$77:$BA$82,,$AH565), N($AQ$77:$AQ$82&gt;$AO565)) / BM565 / 1000</f>
        <v>0</v>
      </c>
      <c r="BO565" s="232">
        <f t="shared" si="605"/>
        <v>30</v>
      </c>
      <c r="BP565" s="230">
        <f t="shared" si="581"/>
        <v>43</v>
      </c>
      <c r="BQ565" s="235">
        <f t="shared" si="582"/>
        <v>3.2938815789473681</v>
      </c>
      <c r="BR565" s="235" cm="1">
        <f t="array" ref="BR565">$BI565 * IF($AH565&lt;=2,
SUMPRODUCT(INDEX($AR$72:$AT$76,,$AI565), INDEX($AU$72:$BA$76,,$AH565), 1 / ($BB$72:$BB$76*BQ565 + (1-$BB$72:$BB$76)*BM565), N($AQ$72:$AQ$76&gt;$AO565)),
SUMPRODUCT(INDEX($AR$67:$AT$76,,$AI565), INDEX($AU$67:$BA$76,,$AH565), 1 / ($BC$67:$BC$76*BQ565 + (1-$BC$67:$BC$76)*BM565), N($AQ$67:$AQ$76&gt;$AO565))
) / 1000</f>
        <v>0</v>
      </c>
      <c r="BS565" s="232">
        <f t="shared" si="606"/>
        <v>25</v>
      </c>
      <c r="BT565" s="230">
        <f t="shared" si="583"/>
        <v>38</v>
      </c>
      <c r="BU565" s="235">
        <f t="shared" si="584"/>
        <v>3.792954545454545</v>
      </c>
      <c r="BV565" s="235" cm="1">
        <f t="array" ref="BV565">$BI565 * IF($AH565&lt;=2,
SUMPRODUCT(INDEX($AR$67:$AT$71,,$AI565), INDEX($AU$67:$BA$71,,$AH565), 1 / ($BB$67:$BB$71*BU565 + (1-$BB$67:$BB$71)*BQ565), N($AQ$67:$AQ$71&gt;$AO565)),
SUMPRODUCT(INDEX($AR$57:$AT$66,,$AI565), INDEX($AU$57:$BA$66,,$AH565), 1 / ($BC$57:$BC$66*BU565 + (1-$BC$57:$BC$66)*BQ565), N($AQ$57:$AQ$66&gt;$AO565))
) / 1000</f>
        <v>0</v>
      </c>
      <c r="BW565" s="232">
        <f t="shared" si="607"/>
        <v>20</v>
      </c>
      <c r="BX565" s="230">
        <f t="shared" si="585"/>
        <v>33</v>
      </c>
      <c r="BY565" s="235">
        <f t="shared" si="586"/>
        <v>4.4702678571428569</v>
      </c>
      <c r="BZ565" s="235" cm="1">
        <f t="array" ref="BZ565">$BI565 * IF($AH565&lt;=2,
SUMPRODUCT(INDEX($AR$62:$AT$66,,$AI565), INDEX($AU$62:$BA$66,,$AH565), 1 / ($BB$62:$BB$66*BY565 + (1-$BB$62:$BB$66)*BU565), N($AQ$62:$AQ$66&gt;$AO565)),
SUMPRODUCT(INDEX($AR$47:$AT$56,,$AI565), INDEX($AU$47:$BA$56,,$AH565), 1 / ($BC$47:$BC$56*BY565 + (1-$BC$47:$BC$56)*BU565), N($AQ$47:$AQ$56&gt;$AO565))
) / 1000</f>
        <v>0</v>
      </c>
      <c r="CA565" s="235" cm="1">
        <f t="array" ref="CA565">$BI565 * IF($AH565&lt;=2,
SUMPRODUCT(INDEX($AR$23:$AT$61,,$AI565), INDEX($AU$23:$BA$61,,$AH565), 1 / ($BB$23:$BB$61*BY565), N($AQ$23:$AQ$61&gt;$AO565)),
SUMPRODUCT(INDEX($AR$23:$AT$46,,$AI565), INDEX($AU$23:$BA$46,,$AH565), 1 / ($BC$23:$BC$46*BY565), N($AQ$23:$AQ$46&gt;$AO565))
) / 1000</f>
        <v>0</v>
      </c>
      <c r="CB565" s="230">
        <f t="shared" si="587"/>
        <v>0</v>
      </c>
      <c r="CC565" s="238"/>
      <c r="CD565" s="229" cm="1">
        <f t="array" ref="CD565">IF(ISBLANK(Y565), INDEX(Use, $AH565, 4) - AN565*INDEX(Use, $AH565, 6) - (Q565-X565), Y565)</f>
        <v>7</v>
      </c>
      <c r="CE565" s="229">
        <f t="shared" si="588"/>
        <v>32</v>
      </c>
      <c r="CF565" s="230">
        <f t="shared" si="589"/>
        <v>0</v>
      </c>
      <c r="CG565" s="229">
        <v>35</v>
      </c>
      <c r="CH565" s="230">
        <f t="shared" si="590"/>
        <v>48</v>
      </c>
      <c r="CI565" s="235">
        <f t="shared" si="591"/>
        <v>3.0748170731707316</v>
      </c>
      <c r="CJ565" s="235" cm="1">
        <f t="array" ref="CJ565">$BI565 * SUMPRODUCT(INDEX($AR$77:$AT$82,,$AI565),INDEX($AU$77:$BA$82,,$AH565), N($AQ$77:$AQ$82&gt;$AO565)) / CI565 / 1000</f>
        <v>0</v>
      </c>
      <c r="CK565" s="232">
        <f t="shared" si="608"/>
        <v>30</v>
      </c>
      <c r="CL565" s="230">
        <f t="shared" si="592"/>
        <v>43</v>
      </c>
      <c r="CM565" s="235">
        <f t="shared" si="593"/>
        <v>3.5018750000000001</v>
      </c>
      <c r="CN565" s="235" cm="1">
        <f t="array" ref="CN565">$BI565 * IF($AH565&lt;=2,
SUMPRODUCT(INDEX($AR$72:$AT$76,,$AI565), INDEX($AU$72:$BA$76,,$AH565), 1 / ($BB$72:$BB$76*CM565 + (1-$BB$72:$BB$76)*CI565), N($AQ$72:$AQ$76&gt;$AO565)),
SUMPRODUCT(INDEX($AR$67:$AT$76,,$AI565), INDEX($AU$67:$BA$76,,$AH565), 1 / ($BC$67:$BC$76*CM565 + (1-$BC$67:$BC$76)*CI565), N($AQ$67:$AQ$76&gt;$AO565))
) / 1000</f>
        <v>0</v>
      </c>
      <c r="CO565" s="232">
        <f t="shared" si="609"/>
        <v>25</v>
      </c>
      <c r="CP565" s="230">
        <f t="shared" si="594"/>
        <v>38</v>
      </c>
      <c r="CQ565" s="235">
        <f t="shared" si="595"/>
        <v>4.0666935483870965</v>
      </c>
      <c r="CR565" s="235" cm="1">
        <f t="array" ref="CR565">$BI565 * IF($AH565&lt;=2,
SUMPRODUCT(INDEX($AR$67:$AT$71,,$AI565), INDEX($AU$67:$BA$71,,$AH565), 1 / ($BB$67:$BB$71*CQ565 + (1-$BB$67:$BB$71)*CM565), N($AQ$67:$AQ$71&gt;$AO565)),
SUMPRODUCT(INDEX($AR$57:$AT$66,,$AI565), INDEX($AU$57:$BA$66,,$AH565), 1 / ($BC$57:$BC$66*CQ565 + (1-$BC$57:$BC$66)*CM565), N($AQ$57:$AQ$66&gt;$AO565))
) / 1000</f>
        <v>0</v>
      </c>
      <c r="CS565" s="232">
        <f t="shared" si="610"/>
        <v>20</v>
      </c>
      <c r="CT565" s="230">
        <f t="shared" si="596"/>
        <v>33</v>
      </c>
      <c r="CU565" s="235">
        <f t="shared" si="597"/>
        <v>4.8487499999999999</v>
      </c>
      <c r="CV565" s="235" cm="1">
        <f t="array" ref="CV565">$BI565 * IF($AH565&lt;=2,
SUMPRODUCT(INDEX($AR$62:$AT$66,,$AI565), INDEX($AU$62:$BA$66,,$AH565), 1 / ($BB$62:$BB$66*CU565 + (1-$BB$62:$BB$66)*CQ565), N($AQ$62:$AQ$66&gt;$AO565)),
SUMPRODUCT(INDEX($AR$47:$AT$56,,$AI565), INDEX($AU$47:$BA$56,,$AH565), 1 / ($BC$47:$BC$56*CU565 + (1-$BC$47:$BC$56)*CQ565), N($AQ$47:$AQ$56&gt;$AO565))
) / 1000</f>
        <v>0</v>
      </c>
      <c r="CW565" s="235" cm="1">
        <f t="array" ref="CW565">$BI565 * IF($AH565&lt;=2,
SUMPRODUCT(INDEX($AR$23:$AT$61,,$AI565), INDEX($AU$23:$BA$61,,$AH565), 1 / ($BB$23:$BB$61*CU565), N($AQ$23:$AQ$61&gt;$AO565)),
SUMPRODUCT(INDEX($AR$23:$AT$46,,$AI565), INDEX($AU$23:$BA$46,,$AH565), 1 / ($BC$23:$BC$46*CU565), N($AQ$23:$AQ$46&gt;$AO565))
) / 1000</f>
        <v>0</v>
      </c>
      <c r="CX565" s="230">
        <f t="shared" si="598"/>
        <v>0</v>
      </c>
      <c r="CY565" s="238"/>
    </row>
    <row r="566" spans="1:103" s="76" customFormat="1" ht="14.25" customHeight="1" x14ac:dyDescent="0.2">
      <c r="A566" s="231" t="b">
        <f t="shared" si="602"/>
        <v>0</v>
      </c>
      <c r="B566" s="245">
        <v>544</v>
      </c>
      <c r="C566" s="258"/>
      <c r="D566" s="258"/>
      <c r="E566" s="246"/>
      <c r="F566" s="247" t="str">
        <f>IF(ISBLANK(E566), "", VLOOKUP(E566, Z!$A$2:$C$4127, 3, FALSE))</f>
        <v/>
      </c>
      <c r="G566" s="248"/>
      <c r="H566" s="248"/>
      <c r="I566" s="249"/>
      <c r="J566" s="250"/>
      <c r="K566" s="259"/>
      <c r="L566" s="260"/>
      <c r="M566" s="252" t="str" cm="1">
        <f t="array" ref="M566">INDEX(Trad, 53, $A$20)</f>
        <v>Verschmutzt</v>
      </c>
      <c r="N566" s="253"/>
      <c r="O566" s="253"/>
      <c r="P566" s="254"/>
      <c r="Q566" s="251"/>
      <c r="R566" s="251"/>
      <c r="S566" s="264">
        <f t="shared" si="573"/>
        <v>0</v>
      </c>
      <c r="T566" s="252" t="str" cm="1">
        <f t="array" ref="T566">INDEX(Trad, 52, $A$20)</f>
        <v>Sauber</v>
      </c>
      <c r="U566" s="253"/>
      <c r="V566" s="253"/>
      <c r="W566" s="254"/>
      <c r="X566" s="251"/>
      <c r="Y566" s="251"/>
      <c r="Z566" s="264">
        <f t="shared" si="574"/>
        <v>0</v>
      </c>
      <c r="AA566" s="261"/>
      <c r="AB566" s="258"/>
      <c r="AC566" s="246"/>
      <c r="AD566" s="247" t="str">
        <f>IF(ISBLANK(AC566), "", VLOOKUP(AC566, Z!$A$2:$C$4127, 3, FALSE))</f>
        <v/>
      </c>
      <c r="AE566" s="262"/>
      <c r="AF566" s="263">
        <f t="shared" si="575"/>
        <v>0</v>
      </c>
      <c r="AG566" s="238"/>
      <c r="AH566" s="229">
        <f t="shared" si="599"/>
        <v>1</v>
      </c>
      <c r="AI566" s="229">
        <f t="shared" si="600"/>
        <v>1</v>
      </c>
      <c r="AJ566" s="229">
        <f t="shared" si="601"/>
        <v>0</v>
      </c>
      <c r="AK566" s="229">
        <v>0</v>
      </c>
      <c r="AL566" s="229">
        <v>0</v>
      </c>
      <c r="AM566" s="229">
        <v>1</v>
      </c>
      <c r="AN566" s="229">
        <v>0</v>
      </c>
      <c r="AO566" s="229">
        <f t="shared" si="576"/>
        <v>-100</v>
      </c>
      <c r="AP566" s="238"/>
      <c r="AQ566" s="255"/>
      <c r="AR566" s="255"/>
      <c r="AS566" s="256"/>
      <c r="AT566" s="256"/>
      <c r="AU566" s="256"/>
      <c r="AV566" s="256"/>
      <c r="AW566" s="256"/>
      <c r="AX566" s="256"/>
      <c r="AY566" s="256"/>
      <c r="AZ566" s="256"/>
      <c r="BA566" s="256"/>
      <c r="BB566" s="256"/>
      <c r="BC566" s="256"/>
      <c r="BD566" s="238"/>
      <c r="BE566" s="229" cm="1">
        <f t="array" ref="BE566">IF(ISBLANK(R566), INDEX(Use, $AH566, 4) - AM566*INDEX(Use, $AH566, 6), R566)</f>
        <v>5</v>
      </c>
      <c r="BF566" s="229">
        <f t="shared" si="577"/>
        <v>30</v>
      </c>
      <c r="BG566" s="229">
        <f t="shared" si="603"/>
        <v>13</v>
      </c>
      <c r="BH566" s="229">
        <f t="shared" si="604"/>
        <v>0</v>
      </c>
      <c r="BI566" s="234" cm="1">
        <f t="array" ref="BI566">K566/IF($L566&gt;0, INDEX($AU$23:$BA$77, $L566+20, $AH566), 1)</f>
        <v>0</v>
      </c>
      <c r="BJ566" s="230">
        <f t="shared" si="578"/>
        <v>0</v>
      </c>
      <c r="BK566" s="229">
        <v>35</v>
      </c>
      <c r="BL566" s="230">
        <f t="shared" si="579"/>
        <v>48</v>
      </c>
      <c r="BM566" s="235">
        <f t="shared" si="580"/>
        <v>2.9108720930232557</v>
      </c>
      <c r="BN566" s="235" cm="1">
        <f t="array" ref="BN566">$BI566 * SUMPRODUCT(INDEX($AR$77:$AT$82,,$AI566),INDEX($AU$77:$BA$82,,$AH566), N($AQ$77:$AQ$82&gt;$AO566)) / BM566 / 1000</f>
        <v>0</v>
      </c>
      <c r="BO566" s="232">
        <f t="shared" si="605"/>
        <v>30</v>
      </c>
      <c r="BP566" s="230">
        <f t="shared" si="581"/>
        <v>43</v>
      </c>
      <c r="BQ566" s="235">
        <f t="shared" si="582"/>
        <v>3.2938815789473681</v>
      </c>
      <c r="BR566" s="235" cm="1">
        <f t="array" ref="BR566">$BI566 * IF($AH566&lt;=2,
SUMPRODUCT(INDEX($AR$72:$AT$76,,$AI566), INDEX($AU$72:$BA$76,,$AH566), 1 / ($BB$72:$BB$76*BQ566 + (1-$BB$72:$BB$76)*BM566), N($AQ$72:$AQ$76&gt;$AO566)),
SUMPRODUCT(INDEX($AR$67:$AT$76,,$AI566), INDEX($AU$67:$BA$76,,$AH566), 1 / ($BC$67:$BC$76*BQ566 + (1-$BC$67:$BC$76)*BM566), N($AQ$67:$AQ$76&gt;$AO566))
) / 1000</f>
        <v>0</v>
      </c>
      <c r="BS566" s="232">
        <f t="shared" si="606"/>
        <v>25</v>
      </c>
      <c r="BT566" s="230">
        <f t="shared" si="583"/>
        <v>38</v>
      </c>
      <c r="BU566" s="235">
        <f t="shared" si="584"/>
        <v>3.792954545454545</v>
      </c>
      <c r="BV566" s="235" cm="1">
        <f t="array" ref="BV566">$BI566 * IF($AH566&lt;=2,
SUMPRODUCT(INDEX($AR$67:$AT$71,,$AI566), INDEX($AU$67:$BA$71,,$AH566), 1 / ($BB$67:$BB$71*BU566 + (1-$BB$67:$BB$71)*BQ566), N($AQ$67:$AQ$71&gt;$AO566)),
SUMPRODUCT(INDEX($AR$57:$AT$66,,$AI566), INDEX($AU$57:$BA$66,,$AH566), 1 / ($BC$57:$BC$66*BU566 + (1-$BC$57:$BC$66)*BQ566), N($AQ$57:$AQ$66&gt;$AO566))
) / 1000</f>
        <v>0</v>
      </c>
      <c r="BW566" s="232">
        <f t="shared" si="607"/>
        <v>20</v>
      </c>
      <c r="BX566" s="230">
        <f t="shared" si="585"/>
        <v>33</v>
      </c>
      <c r="BY566" s="235">
        <f t="shared" si="586"/>
        <v>4.4702678571428569</v>
      </c>
      <c r="BZ566" s="235" cm="1">
        <f t="array" ref="BZ566">$BI566 * IF($AH566&lt;=2,
SUMPRODUCT(INDEX($AR$62:$AT$66,,$AI566), INDEX($AU$62:$BA$66,,$AH566), 1 / ($BB$62:$BB$66*BY566 + (1-$BB$62:$BB$66)*BU566), N($AQ$62:$AQ$66&gt;$AO566)),
SUMPRODUCT(INDEX($AR$47:$AT$56,,$AI566), INDEX($AU$47:$BA$56,,$AH566), 1 / ($BC$47:$BC$56*BY566 + (1-$BC$47:$BC$56)*BU566), N($AQ$47:$AQ$56&gt;$AO566))
) / 1000</f>
        <v>0</v>
      </c>
      <c r="CA566" s="235" cm="1">
        <f t="array" ref="CA566">$BI566 * IF($AH566&lt;=2,
SUMPRODUCT(INDEX($AR$23:$AT$61,,$AI566), INDEX($AU$23:$BA$61,,$AH566), 1 / ($BB$23:$BB$61*BY566), N($AQ$23:$AQ$61&gt;$AO566)),
SUMPRODUCT(INDEX($AR$23:$AT$46,,$AI566), INDEX($AU$23:$BA$46,,$AH566), 1 / ($BC$23:$BC$46*BY566), N($AQ$23:$AQ$46&gt;$AO566))
) / 1000</f>
        <v>0</v>
      </c>
      <c r="CB566" s="230">
        <f t="shared" si="587"/>
        <v>0</v>
      </c>
      <c r="CC566" s="238"/>
      <c r="CD566" s="229" cm="1">
        <f t="array" ref="CD566">IF(ISBLANK(Y566), INDEX(Use, $AH566, 4) - AN566*INDEX(Use, $AH566, 6) - (Q566-X566), Y566)</f>
        <v>7</v>
      </c>
      <c r="CE566" s="229">
        <f t="shared" si="588"/>
        <v>32</v>
      </c>
      <c r="CF566" s="230">
        <f t="shared" si="589"/>
        <v>0</v>
      </c>
      <c r="CG566" s="229">
        <v>35</v>
      </c>
      <c r="CH566" s="230">
        <f t="shared" si="590"/>
        <v>48</v>
      </c>
      <c r="CI566" s="235">
        <f t="shared" si="591"/>
        <v>3.0748170731707316</v>
      </c>
      <c r="CJ566" s="235" cm="1">
        <f t="array" ref="CJ566">$BI566 * SUMPRODUCT(INDEX($AR$77:$AT$82,,$AI566),INDEX($AU$77:$BA$82,,$AH566), N($AQ$77:$AQ$82&gt;$AO566)) / CI566 / 1000</f>
        <v>0</v>
      </c>
      <c r="CK566" s="232">
        <f t="shared" si="608"/>
        <v>30</v>
      </c>
      <c r="CL566" s="230">
        <f t="shared" si="592"/>
        <v>43</v>
      </c>
      <c r="CM566" s="235">
        <f t="shared" si="593"/>
        <v>3.5018750000000001</v>
      </c>
      <c r="CN566" s="235" cm="1">
        <f t="array" ref="CN566">$BI566 * IF($AH566&lt;=2,
SUMPRODUCT(INDEX($AR$72:$AT$76,,$AI566), INDEX($AU$72:$BA$76,,$AH566), 1 / ($BB$72:$BB$76*CM566 + (1-$BB$72:$BB$76)*CI566), N($AQ$72:$AQ$76&gt;$AO566)),
SUMPRODUCT(INDEX($AR$67:$AT$76,,$AI566), INDEX($AU$67:$BA$76,,$AH566), 1 / ($BC$67:$BC$76*CM566 + (1-$BC$67:$BC$76)*CI566), N($AQ$67:$AQ$76&gt;$AO566))
) / 1000</f>
        <v>0</v>
      </c>
      <c r="CO566" s="232">
        <f t="shared" si="609"/>
        <v>25</v>
      </c>
      <c r="CP566" s="230">
        <f t="shared" si="594"/>
        <v>38</v>
      </c>
      <c r="CQ566" s="235">
        <f t="shared" si="595"/>
        <v>4.0666935483870965</v>
      </c>
      <c r="CR566" s="235" cm="1">
        <f t="array" ref="CR566">$BI566 * IF($AH566&lt;=2,
SUMPRODUCT(INDEX($AR$67:$AT$71,,$AI566), INDEX($AU$67:$BA$71,,$AH566), 1 / ($BB$67:$BB$71*CQ566 + (1-$BB$67:$BB$71)*CM566), N($AQ$67:$AQ$71&gt;$AO566)),
SUMPRODUCT(INDEX($AR$57:$AT$66,,$AI566), INDEX($AU$57:$BA$66,,$AH566), 1 / ($BC$57:$BC$66*CQ566 + (1-$BC$57:$BC$66)*CM566), N($AQ$57:$AQ$66&gt;$AO566))
) / 1000</f>
        <v>0</v>
      </c>
      <c r="CS566" s="232">
        <f t="shared" si="610"/>
        <v>20</v>
      </c>
      <c r="CT566" s="230">
        <f t="shared" si="596"/>
        <v>33</v>
      </c>
      <c r="CU566" s="235">
        <f t="shared" si="597"/>
        <v>4.8487499999999999</v>
      </c>
      <c r="CV566" s="235" cm="1">
        <f t="array" ref="CV566">$BI566 * IF($AH566&lt;=2,
SUMPRODUCT(INDEX($AR$62:$AT$66,,$AI566), INDEX($AU$62:$BA$66,,$AH566), 1 / ($BB$62:$BB$66*CU566 + (1-$BB$62:$BB$66)*CQ566), N($AQ$62:$AQ$66&gt;$AO566)),
SUMPRODUCT(INDEX($AR$47:$AT$56,,$AI566), INDEX($AU$47:$BA$56,,$AH566), 1 / ($BC$47:$BC$56*CU566 + (1-$BC$47:$BC$56)*CQ566), N($AQ$47:$AQ$56&gt;$AO566))
) / 1000</f>
        <v>0</v>
      </c>
      <c r="CW566" s="235" cm="1">
        <f t="array" ref="CW566">$BI566 * IF($AH566&lt;=2,
SUMPRODUCT(INDEX($AR$23:$AT$61,,$AI566), INDEX($AU$23:$BA$61,,$AH566), 1 / ($BB$23:$BB$61*CU566), N($AQ$23:$AQ$61&gt;$AO566)),
SUMPRODUCT(INDEX($AR$23:$AT$46,,$AI566), INDEX($AU$23:$BA$46,,$AH566), 1 / ($BC$23:$BC$46*CU566), N($AQ$23:$AQ$46&gt;$AO566))
) / 1000</f>
        <v>0</v>
      </c>
      <c r="CX566" s="230">
        <f t="shared" si="598"/>
        <v>0</v>
      </c>
      <c r="CY566" s="238"/>
    </row>
    <row r="567" spans="1:103" s="76" customFormat="1" ht="14.25" customHeight="1" x14ac:dyDescent="0.2">
      <c r="A567" s="231" t="b">
        <f t="shared" si="602"/>
        <v>0</v>
      </c>
      <c r="B567" s="245">
        <v>545</v>
      </c>
      <c r="C567" s="258"/>
      <c r="D567" s="258"/>
      <c r="E567" s="246"/>
      <c r="F567" s="247" t="str">
        <f>IF(ISBLANK(E567), "", VLOOKUP(E567, Z!$A$2:$C$4127, 3, FALSE))</f>
        <v/>
      </c>
      <c r="G567" s="248"/>
      <c r="H567" s="248"/>
      <c r="I567" s="249"/>
      <c r="J567" s="250"/>
      <c r="K567" s="259"/>
      <c r="L567" s="260"/>
      <c r="M567" s="252" t="str" cm="1">
        <f t="array" ref="M567">INDEX(Trad, 53, $A$20)</f>
        <v>Verschmutzt</v>
      </c>
      <c r="N567" s="253"/>
      <c r="O567" s="253"/>
      <c r="P567" s="254"/>
      <c r="Q567" s="251"/>
      <c r="R567" s="251"/>
      <c r="S567" s="264">
        <f t="shared" si="573"/>
        <v>0</v>
      </c>
      <c r="T567" s="252" t="str" cm="1">
        <f t="array" ref="T567">INDEX(Trad, 52, $A$20)</f>
        <v>Sauber</v>
      </c>
      <c r="U567" s="253"/>
      <c r="V567" s="253"/>
      <c r="W567" s="254"/>
      <c r="X567" s="251"/>
      <c r="Y567" s="251"/>
      <c r="Z567" s="264">
        <f t="shared" si="574"/>
        <v>0</v>
      </c>
      <c r="AA567" s="261"/>
      <c r="AB567" s="258"/>
      <c r="AC567" s="246"/>
      <c r="AD567" s="247" t="str">
        <f>IF(ISBLANK(AC567), "", VLOOKUP(AC567, Z!$A$2:$C$4127, 3, FALSE))</f>
        <v/>
      </c>
      <c r="AE567" s="262"/>
      <c r="AF567" s="263">
        <f t="shared" si="575"/>
        <v>0</v>
      </c>
      <c r="AG567" s="238"/>
      <c r="AH567" s="229">
        <f t="shared" si="599"/>
        <v>1</v>
      </c>
      <c r="AI567" s="229">
        <f t="shared" si="600"/>
        <v>1</v>
      </c>
      <c r="AJ567" s="229">
        <f t="shared" si="601"/>
        <v>0</v>
      </c>
      <c r="AK567" s="229">
        <v>0</v>
      </c>
      <c r="AL567" s="229">
        <v>0</v>
      </c>
      <c r="AM567" s="229">
        <v>1</v>
      </c>
      <c r="AN567" s="229">
        <v>0</v>
      </c>
      <c r="AO567" s="229">
        <f t="shared" si="576"/>
        <v>-100</v>
      </c>
      <c r="AP567" s="238"/>
      <c r="AQ567" s="255"/>
      <c r="AR567" s="255"/>
      <c r="AS567" s="256"/>
      <c r="AT567" s="256"/>
      <c r="AU567" s="256"/>
      <c r="AV567" s="256"/>
      <c r="AW567" s="256"/>
      <c r="AX567" s="256"/>
      <c r="AY567" s="256"/>
      <c r="AZ567" s="256"/>
      <c r="BA567" s="256"/>
      <c r="BB567" s="256"/>
      <c r="BC567" s="256"/>
      <c r="BD567" s="238"/>
      <c r="BE567" s="229" cm="1">
        <f t="array" ref="BE567">IF(ISBLANK(R567), INDEX(Use, $AH567, 4) - AM567*INDEX(Use, $AH567, 6), R567)</f>
        <v>5</v>
      </c>
      <c r="BF567" s="229">
        <f t="shared" si="577"/>
        <v>30</v>
      </c>
      <c r="BG567" s="229">
        <f t="shared" si="603"/>
        <v>13</v>
      </c>
      <c r="BH567" s="229">
        <f t="shared" si="604"/>
        <v>0</v>
      </c>
      <c r="BI567" s="234" cm="1">
        <f t="array" ref="BI567">K567/IF($L567&gt;0, INDEX($AU$23:$BA$77, $L567+20, $AH567), 1)</f>
        <v>0</v>
      </c>
      <c r="BJ567" s="230">
        <f t="shared" si="578"/>
        <v>0</v>
      </c>
      <c r="BK567" s="229">
        <v>35</v>
      </c>
      <c r="BL567" s="230">
        <f t="shared" si="579"/>
        <v>48</v>
      </c>
      <c r="BM567" s="235">
        <f t="shared" si="580"/>
        <v>2.9108720930232557</v>
      </c>
      <c r="BN567" s="235" cm="1">
        <f t="array" ref="BN567">$BI567 * SUMPRODUCT(INDEX($AR$77:$AT$82,,$AI567),INDEX($AU$77:$BA$82,,$AH567), N($AQ$77:$AQ$82&gt;$AO567)) / BM567 / 1000</f>
        <v>0</v>
      </c>
      <c r="BO567" s="232">
        <f t="shared" si="605"/>
        <v>30</v>
      </c>
      <c r="BP567" s="230">
        <f t="shared" si="581"/>
        <v>43</v>
      </c>
      <c r="BQ567" s="235">
        <f t="shared" si="582"/>
        <v>3.2938815789473681</v>
      </c>
      <c r="BR567" s="235" cm="1">
        <f t="array" ref="BR567">$BI567 * IF($AH567&lt;=2,
SUMPRODUCT(INDEX($AR$72:$AT$76,,$AI567), INDEX($AU$72:$BA$76,,$AH567), 1 / ($BB$72:$BB$76*BQ567 + (1-$BB$72:$BB$76)*BM567), N($AQ$72:$AQ$76&gt;$AO567)),
SUMPRODUCT(INDEX($AR$67:$AT$76,,$AI567), INDEX($AU$67:$BA$76,,$AH567), 1 / ($BC$67:$BC$76*BQ567 + (1-$BC$67:$BC$76)*BM567), N($AQ$67:$AQ$76&gt;$AO567))
) / 1000</f>
        <v>0</v>
      </c>
      <c r="BS567" s="232">
        <f t="shared" si="606"/>
        <v>25</v>
      </c>
      <c r="BT567" s="230">
        <f t="shared" si="583"/>
        <v>38</v>
      </c>
      <c r="BU567" s="235">
        <f t="shared" si="584"/>
        <v>3.792954545454545</v>
      </c>
      <c r="BV567" s="235" cm="1">
        <f t="array" ref="BV567">$BI567 * IF($AH567&lt;=2,
SUMPRODUCT(INDEX($AR$67:$AT$71,,$AI567), INDEX($AU$67:$BA$71,,$AH567), 1 / ($BB$67:$BB$71*BU567 + (1-$BB$67:$BB$71)*BQ567), N($AQ$67:$AQ$71&gt;$AO567)),
SUMPRODUCT(INDEX($AR$57:$AT$66,,$AI567), INDEX($AU$57:$BA$66,,$AH567), 1 / ($BC$57:$BC$66*BU567 + (1-$BC$57:$BC$66)*BQ567), N($AQ$57:$AQ$66&gt;$AO567))
) / 1000</f>
        <v>0</v>
      </c>
      <c r="BW567" s="232">
        <f t="shared" si="607"/>
        <v>20</v>
      </c>
      <c r="BX567" s="230">
        <f t="shared" si="585"/>
        <v>33</v>
      </c>
      <c r="BY567" s="235">
        <f t="shared" si="586"/>
        <v>4.4702678571428569</v>
      </c>
      <c r="BZ567" s="235" cm="1">
        <f t="array" ref="BZ567">$BI567 * IF($AH567&lt;=2,
SUMPRODUCT(INDEX($AR$62:$AT$66,,$AI567), INDEX($AU$62:$BA$66,,$AH567), 1 / ($BB$62:$BB$66*BY567 + (1-$BB$62:$BB$66)*BU567), N($AQ$62:$AQ$66&gt;$AO567)),
SUMPRODUCT(INDEX($AR$47:$AT$56,,$AI567), INDEX($AU$47:$BA$56,,$AH567), 1 / ($BC$47:$BC$56*BY567 + (1-$BC$47:$BC$56)*BU567), N($AQ$47:$AQ$56&gt;$AO567))
) / 1000</f>
        <v>0</v>
      </c>
      <c r="CA567" s="235" cm="1">
        <f t="array" ref="CA567">$BI567 * IF($AH567&lt;=2,
SUMPRODUCT(INDEX($AR$23:$AT$61,,$AI567), INDEX($AU$23:$BA$61,,$AH567), 1 / ($BB$23:$BB$61*BY567), N($AQ$23:$AQ$61&gt;$AO567)),
SUMPRODUCT(INDEX($AR$23:$AT$46,,$AI567), INDEX($AU$23:$BA$46,,$AH567), 1 / ($BC$23:$BC$46*BY567), N($AQ$23:$AQ$46&gt;$AO567))
) / 1000</f>
        <v>0</v>
      </c>
      <c r="CB567" s="230">
        <f t="shared" si="587"/>
        <v>0</v>
      </c>
      <c r="CC567" s="238"/>
      <c r="CD567" s="229" cm="1">
        <f t="array" ref="CD567">IF(ISBLANK(Y567), INDEX(Use, $AH567, 4) - AN567*INDEX(Use, $AH567, 6) - (Q567-X567), Y567)</f>
        <v>7</v>
      </c>
      <c r="CE567" s="229">
        <f t="shared" si="588"/>
        <v>32</v>
      </c>
      <c r="CF567" s="230">
        <f t="shared" si="589"/>
        <v>0</v>
      </c>
      <c r="CG567" s="229">
        <v>35</v>
      </c>
      <c r="CH567" s="230">
        <f t="shared" si="590"/>
        <v>48</v>
      </c>
      <c r="CI567" s="235">
        <f t="shared" si="591"/>
        <v>3.0748170731707316</v>
      </c>
      <c r="CJ567" s="235" cm="1">
        <f t="array" ref="CJ567">$BI567 * SUMPRODUCT(INDEX($AR$77:$AT$82,,$AI567),INDEX($AU$77:$BA$82,,$AH567), N($AQ$77:$AQ$82&gt;$AO567)) / CI567 / 1000</f>
        <v>0</v>
      </c>
      <c r="CK567" s="232">
        <f t="shared" si="608"/>
        <v>30</v>
      </c>
      <c r="CL567" s="230">
        <f t="shared" si="592"/>
        <v>43</v>
      </c>
      <c r="CM567" s="235">
        <f t="shared" si="593"/>
        <v>3.5018750000000001</v>
      </c>
      <c r="CN567" s="235" cm="1">
        <f t="array" ref="CN567">$BI567 * IF($AH567&lt;=2,
SUMPRODUCT(INDEX($AR$72:$AT$76,,$AI567), INDEX($AU$72:$BA$76,,$AH567), 1 / ($BB$72:$BB$76*CM567 + (1-$BB$72:$BB$76)*CI567), N($AQ$72:$AQ$76&gt;$AO567)),
SUMPRODUCT(INDEX($AR$67:$AT$76,,$AI567), INDEX($AU$67:$BA$76,,$AH567), 1 / ($BC$67:$BC$76*CM567 + (1-$BC$67:$BC$76)*CI567), N($AQ$67:$AQ$76&gt;$AO567))
) / 1000</f>
        <v>0</v>
      </c>
      <c r="CO567" s="232">
        <f t="shared" si="609"/>
        <v>25</v>
      </c>
      <c r="CP567" s="230">
        <f t="shared" si="594"/>
        <v>38</v>
      </c>
      <c r="CQ567" s="235">
        <f t="shared" si="595"/>
        <v>4.0666935483870965</v>
      </c>
      <c r="CR567" s="235" cm="1">
        <f t="array" ref="CR567">$BI567 * IF($AH567&lt;=2,
SUMPRODUCT(INDEX($AR$67:$AT$71,,$AI567), INDEX($AU$67:$BA$71,,$AH567), 1 / ($BB$67:$BB$71*CQ567 + (1-$BB$67:$BB$71)*CM567), N($AQ$67:$AQ$71&gt;$AO567)),
SUMPRODUCT(INDEX($AR$57:$AT$66,,$AI567), INDEX($AU$57:$BA$66,,$AH567), 1 / ($BC$57:$BC$66*CQ567 + (1-$BC$57:$BC$66)*CM567), N($AQ$57:$AQ$66&gt;$AO567))
) / 1000</f>
        <v>0</v>
      </c>
      <c r="CS567" s="232">
        <f t="shared" si="610"/>
        <v>20</v>
      </c>
      <c r="CT567" s="230">
        <f t="shared" si="596"/>
        <v>33</v>
      </c>
      <c r="CU567" s="235">
        <f t="shared" si="597"/>
        <v>4.8487499999999999</v>
      </c>
      <c r="CV567" s="235" cm="1">
        <f t="array" ref="CV567">$BI567 * IF($AH567&lt;=2,
SUMPRODUCT(INDEX($AR$62:$AT$66,,$AI567), INDEX($AU$62:$BA$66,,$AH567), 1 / ($BB$62:$BB$66*CU567 + (1-$BB$62:$BB$66)*CQ567), N($AQ$62:$AQ$66&gt;$AO567)),
SUMPRODUCT(INDEX($AR$47:$AT$56,,$AI567), INDEX($AU$47:$BA$56,,$AH567), 1 / ($BC$47:$BC$56*CU567 + (1-$BC$47:$BC$56)*CQ567), N($AQ$47:$AQ$56&gt;$AO567))
) / 1000</f>
        <v>0</v>
      </c>
      <c r="CW567" s="235" cm="1">
        <f t="array" ref="CW567">$BI567 * IF($AH567&lt;=2,
SUMPRODUCT(INDEX($AR$23:$AT$61,,$AI567), INDEX($AU$23:$BA$61,,$AH567), 1 / ($BB$23:$BB$61*CU567), N($AQ$23:$AQ$61&gt;$AO567)),
SUMPRODUCT(INDEX($AR$23:$AT$46,,$AI567), INDEX($AU$23:$BA$46,,$AH567), 1 / ($BC$23:$BC$46*CU567), N($AQ$23:$AQ$46&gt;$AO567))
) / 1000</f>
        <v>0</v>
      </c>
      <c r="CX567" s="230">
        <f t="shared" si="598"/>
        <v>0</v>
      </c>
      <c r="CY567" s="238"/>
    </row>
    <row r="568" spans="1:103" s="76" customFormat="1" ht="14.25" customHeight="1" x14ac:dyDescent="0.2">
      <c r="A568" s="231" t="b">
        <f t="shared" si="602"/>
        <v>0</v>
      </c>
      <c r="B568" s="245">
        <v>546</v>
      </c>
      <c r="C568" s="258"/>
      <c r="D568" s="258"/>
      <c r="E568" s="246"/>
      <c r="F568" s="247" t="str">
        <f>IF(ISBLANK(E568), "", VLOOKUP(E568, Z!$A$2:$C$4127, 3, FALSE))</f>
        <v/>
      </c>
      <c r="G568" s="248"/>
      <c r="H568" s="248"/>
      <c r="I568" s="249"/>
      <c r="J568" s="250"/>
      <c r="K568" s="259"/>
      <c r="L568" s="260"/>
      <c r="M568" s="252" t="str" cm="1">
        <f t="array" ref="M568">INDEX(Trad, 53, $A$20)</f>
        <v>Verschmutzt</v>
      </c>
      <c r="N568" s="253"/>
      <c r="O568" s="253"/>
      <c r="P568" s="254"/>
      <c r="Q568" s="251"/>
      <c r="R568" s="251"/>
      <c r="S568" s="264">
        <f t="shared" si="573"/>
        <v>0</v>
      </c>
      <c r="T568" s="252" t="str" cm="1">
        <f t="array" ref="T568">INDEX(Trad, 52, $A$20)</f>
        <v>Sauber</v>
      </c>
      <c r="U568" s="253"/>
      <c r="V568" s="253"/>
      <c r="W568" s="254"/>
      <c r="X568" s="251"/>
      <c r="Y568" s="251"/>
      <c r="Z568" s="264">
        <f t="shared" si="574"/>
        <v>0</v>
      </c>
      <c r="AA568" s="261"/>
      <c r="AB568" s="258"/>
      <c r="AC568" s="246"/>
      <c r="AD568" s="247" t="str">
        <f>IF(ISBLANK(AC568), "", VLOOKUP(AC568, Z!$A$2:$C$4127, 3, FALSE))</f>
        <v/>
      </c>
      <c r="AE568" s="262"/>
      <c r="AF568" s="263">
        <f t="shared" si="575"/>
        <v>0</v>
      </c>
      <c r="AG568" s="238"/>
      <c r="AH568" s="229">
        <f t="shared" si="599"/>
        <v>1</v>
      </c>
      <c r="AI568" s="229">
        <f t="shared" si="600"/>
        <v>1</v>
      </c>
      <c r="AJ568" s="229">
        <f t="shared" si="601"/>
        <v>0</v>
      </c>
      <c r="AK568" s="229">
        <v>0</v>
      </c>
      <c r="AL568" s="229">
        <v>0</v>
      </c>
      <c r="AM568" s="229">
        <v>1</v>
      </c>
      <c r="AN568" s="229">
        <v>0</v>
      </c>
      <c r="AO568" s="229">
        <f t="shared" si="576"/>
        <v>-100</v>
      </c>
      <c r="AP568" s="238"/>
      <c r="AQ568" s="255"/>
      <c r="AR568" s="255"/>
      <c r="AS568" s="256"/>
      <c r="AT568" s="256"/>
      <c r="AU568" s="256"/>
      <c r="AV568" s="256"/>
      <c r="AW568" s="256"/>
      <c r="AX568" s="256"/>
      <c r="AY568" s="256"/>
      <c r="AZ568" s="256"/>
      <c r="BA568" s="256"/>
      <c r="BB568" s="256"/>
      <c r="BC568" s="256"/>
      <c r="BD568" s="238"/>
      <c r="BE568" s="229" cm="1">
        <f t="array" ref="BE568">IF(ISBLANK(R568), INDEX(Use, $AH568, 4) - AM568*INDEX(Use, $AH568, 6), R568)</f>
        <v>5</v>
      </c>
      <c r="BF568" s="229">
        <f t="shared" si="577"/>
        <v>30</v>
      </c>
      <c r="BG568" s="229">
        <f t="shared" si="603"/>
        <v>13</v>
      </c>
      <c r="BH568" s="229">
        <f t="shared" si="604"/>
        <v>0</v>
      </c>
      <c r="BI568" s="234" cm="1">
        <f t="array" ref="BI568">K568/IF($L568&gt;0, INDEX($AU$23:$BA$77, $L568+20, $AH568), 1)</f>
        <v>0</v>
      </c>
      <c r="BJ568" s="230">
        <f t="shared" si="578"/>
        <v>0</v>
      </c>
      <c r="BK568" s="229">
        <v>35</v>
      </c>
      <c r="BL568" s="230">
        <f t="shared" si="579"/>
        <v>48</v>
      </c>
      <c r="BM568" s="235">
        <f t="shared" si="580"/>
        <v>2.9108720930232557</v>
      </c>
      <c r="BN568" s="235" cm="1">
        <f t="array" ref="BN568">$BI568 * SUMPRODUCT(INDEX($AR$77:$AT$82,,$AI568),INDEX($AU$77:$BA$82,,$AH568), N($AQ$77:$AQ$82&gt;$AO568)) / BM568 / 1000</f>
        <v>0</v>
      </c>
      <c r="BO568" s="232">
        <f t="shared" si="605"/>
        <v>30</v>
      </c>
      <c r="BP568" s="230">
        <f t="shared" si="581"/>
        <v>43</v>
      </c>
      <c r="BQ568" s="235">
        <f t="shared" si="582"/>
        <v>3.2938815789473681</v>
      </c>
      <c r="BR568" s="235" cm="1">
        <f t="array" ref="BR568">$BI568 * IF($AH568&lt;=2,
SUMPRODUCT(INDEX($AR$72:$AT$76,,$AI568), INDEX($AU$72:$BA$76,,$AH568), 1 / ($BB$72:$BB$76*BQ568 + (1-$BB$72:$BB$76)*BM568), N($AQ$72:$AQ$76&gt;$AO568)),
SUMPRODUCT(INDEX($AR$67:$AT$76,,$AI568), INDEX($AU$67:$BA$76,,$AH568), 1 / ($BC$67:$BC$76*BQ568 + (1-$BC$67:$BC$76)*BM568), N($AQ$67:$AQ$76&gt;$AO568))
) / 1000</f>
        <v>0</v>
      </c>
      <c r="BS568" s="232">
        <f t="shared" si="606"/>
        <v>25</v>
      </c>
      <c r="BT568" s="230">
        <f t="shared" si="583"/>
        <v>38</v>
      </c>
      <c r="BU568" s="235">
        <f t="shared" si="584"/>
        <v>3.792954545454545</v>
      </c>
      <c r="BV568" s="235" cm="1">
        <f t="array" ref="BV568">$BI568 * IF($AH568&lt;=2,
SUMPRODUCT(INDEX($AR$67:$AT$71,,$AI568), INDEX($AU$67:$BA$71,,$AH568), 1 / ($BB$67:$BB$71*BU568 + (1-$BB$67:$BB$71)*BQ568), N($AQ$67:$AQ$71&gt;$AO568)),
SUMPRODUCT(INDEX($AR$57:$AT$66,,$AI568), INDEX($AU$57:$BA$66,,$AH568), 1 / ($BC$57:$BC$66*BU568 + (1-$BC$57:$BC$66)*BQ568), N($AQ$57:$AQ$66&gt;$AO568))
) / 1000</f>
        <v>0</v>
      </c>
      <c r="BW568" s="232">
        <f t="shared" si="607"/>
        <v>20</v>
      </c>
      <c r="BX568" s="230">
        <f t="shared" si="585"/>
        <v>33</v>
      </c>
      <c r="BY568" s="235">
        <f t="shared" si="586"/>
        <v>4.4702678571428569</v>
      </c>
      <c r="BZ568" s="235" cm="1">
        <f t="array" ref="BZ568">$BI568 * IF($AH568&lt;=2,
SUMPRODUCT(INDEX($AR$62:$AT$66,,$AI568), INDEX($AU$62:$BA$66,,$AH568), 1 / ($BB$62:$BB$66*BY568 + (1-$BB$62:$BB$66)*BU568), N($AQ$62:$AQ$66&gt;$AO568)),
SUMPRODUCT(INDEX($AR$47:$AT$56,,$AI568), INDEX($AU$47:$BA$56,,$AH568), 1 / ($BC$47:$BC$56*BY568 + (1-$BC$47:$BC$56)*BU568), N($AQ$47:$AQ$56&gt;$AO568))
) / 1000</f>
        <v>0</v>
      </c>
      <c r="CA568" s="235" cm="1">
        <f t="array" ref="CA568">$BI568 * IF($AH568&lt;=2,
SUMPRODUCT(INDEX($AR$23:$AT$61,,$AI568), INDEX($AU$23:$BA$61,,$AH568), 1 / ($BB$23:$BB$61*BY568), N($AQ$23:$AQ$61&gt;$AO568)),
SUMPRODUCT(INDEX($AR$23:$AT$46,,$AI568), INDEX($AU$23:$BA$46,,$AH568), 1 / ($BC$23:$BC$46*BY568), N($AQ$23:$AQ$46&gt;$AO568))
) / 1000</f>
        <v>0</v>
      </c>
      <c r="CB568" s="230">
        <f t="shared" si="587"/>
        <v>0</v>
      </c>
      <c r="CC568" s="238"/>
      <c r="CD568" s="229" cm="1">
        <f t="array" ref="CD568">IF(ISBLANK(Y568), INDEX(Use, $AH568, 4) - AN568*INDEX(Use, $AH568, 6) - (Q568-X568), Y568)</f>
        <v>7</v>
      </c>
      <c r="CE568" s="229">
        <f t="shared" si="588"/>
        <v>32</v>
      </c>
      <c r="CF568" s="230">
        <f t="shared" si="589"/>
        <v>0</v>
      </c>
      <c r="CG568" s="229">
        <v>35</v>
      </c>
      <c r="CH568" s="230">
        <f t="shared" si="590"/>
        <v>48</v>
      </c>
      <c r="CI568" s="235">
        <f t="shared" si="591"/>
        <v>3.0748170731707316</v>
      </c>
      <c r="CJ568" s="235" cm="1">
        <f t="array" ref="CJ568">$BI568 * SUMPRODUCT(INDEX($AR$77:$AT$82,,$AI568),INDEX($AU$77:$BA$82,,$AH568), N($AQ$77:$AQ$82&gt;$AO568)) / CI568 / 1000</f>
        <v>0</v>
      </c>
      <c r="CK568" s="232">
        <f t="shared" si="608"/>
        <v>30</v>
      </c>
      <c r="CL568" s="230">
        <f t="shared" si="592"/>
        <v>43</v>
      </c>
      <c r="CM568" s="235">
        <f t="shared" si="593"/>
        <v>3.5018750000000001</v>
      </c>
      <c r="CN568" s="235" cm="1">
        <f t="array" ref="CN568">$BI568 * IF($AH568&lt;=2,
SUMPRODUCT(INDEX($AR$72:$AT$76,,$AI568), INDEX($AU$72:$BA$76,,$AH568), 1 / ($BB$72:$BB$76*CM568 + (1-$BB$72:$BB$76)*CI568), N($AQ$72:$AQ$76&gt;$AO568)),
SUMPRODUCT(INDEX($AR$67:$AT$76,,$AI568), INDEX($AU$67:$BA$76,,$AH568), 1 / ($BC$67:$BC$76*CM568 + (1-$BC$67:$BC$76)*CI568), N($AQ$67:$AQ$76&gt;$AO568))
) / 1000</f>
        <v>0</v>
      </c>
      <c r="CO568" s="232">
        <f t="shared" si="609"/>
        <v>25</v>
      </c>
      <c r="CP568" s="230">
        <f t="shared" si="594"/>
        <v>38</v>
      </c>
      <c r="CQ568" s="235">
        <f t="shared" si="595"/>
        <v>4.0666935483870965</v>
      </c>
      <c r="CR568" s="235" cm="1">
        <f t="array" ref="CR568">$BI568 * IF($AH568&lt;=2,
SUMPRODUCT(INDEX($AR$67:$AT$71,,$AI568), INDEX($AU$67:$BA$71,,$AH568), 1 / ($BB$67:$BB$71*CQ568 + (1-$BB$67:$BB$71)*CM568), N($AQ$67:$AQ$71&gt;$AO568)),
SUMPRODUCT(INDEX($AR$57:$AT$66,,$AI568), INDEX($AU$57:$BA$66,,$AH568), 1 / ($BC$57:$BC$66*CQ568 + (1-$BC$57:$BC$66)*CM568), N($AQ$57:$AQ$66&gt;$AO568))
) / 1000</f>
        <v>0</v>
      </c>
      <c r="CS568" s="232">
        <f t="shared" si="610"/>
        <v>20</v>
      </c>
      <c r="CT568" s="230">
        <f t="shared" si="596"/>
        <v>33</v>
      </c>
      <c r="CU568" s="235">
        <f t="shared" si="597"/>
        <v>4.8487499999999999</v>
      </c>
      <c r="CV568" s="235" cm="1">
        <f t="array" ref="CV568">$BI568 * IF($AH568&lt;=2,
SUMPRODUCT(INDEX($AR$62:$AT$66,,$AI568), INDEX($AU$62:$BA$66,,$AH568), 1 / ($BB$62:$BB$66*CU568 + (1-$BB$62:$BB$66)*CQ568), N($AQ$62:$AQ$66&gt;$AO568)),
SUMPRODUCT(INDEX($AR$47:$AT$56,,$AI568), INDEX($AU$47:$BA$56,,$AH568), 1 / ($BC$47:$BC$56*CU568 + (1-$BC$47:$BC$56)*CQ568), N($AQ$47:$AQ$56&gt;$AO568))
) / 1000</f>
        <v>0</v>
      </c>
      <c r="CW568" s="235" cm="1">
        <f t="array" ref="CW568">$BI568 * IF($AH568&lt;=2,
SUMPRODUCT(INDEX($AR$23:$AT$61,,$AI568), INDEX($AU$23:$BA$61,,$AH568), 1 / ($BB$23:$BB$61*CU568), N($AQ$23:$AQ$61&gt;$AO568)),
SUMPRODUCT(INDEX($AR$23:$AT$46,,$AI568), INDEX($AU$23:$BA$46,,$AH568), 1 / ($BC$23:$BC$46*CU568), N($AQ$23:$AQ$46&gt;$AO568))
) / 1000</f>
        <v>0</v>
      </c>
      <c r="CX568" s="230">
        <f t="shared" si="598"/>
        <v>0</v>
      </c>
      <c r="CY568" s="238"/>
    </row>
    <row r="569" spans="1:103" s="76" customFormat="1" ht="14.25" customHeight="1" x14ac:dyDescent="0.2">
      <c r="A569" s="231" t="b">
        <f t="shared" si="602"/>
        <v>0</v>
      </c>
      <c r="B569" s="245">
        <v>547</v>
      </c>
      <c r="C569" s="258"/>
      <c r="D569" s="258"/>
      <c r="E569" s="246"/>
      <c r="F569" s="247" t="str">
        <f>IF(ISBLANK(E569), "", VLOOKUP(E569, Z!$A$2:$C$4127, 3, FALSE))</f>
        <v/>
      </c>
      <c r="G569" s="248"/>
      <c r="H569" s="248"/>
      <c r="I569" s="249"/>
      <c r="J569" s="250"/>
      <c r="K569" s="259"/>
      <c r="L569" s="260"/>
      <c r="M569" s="252" t="str" cm="1">
        <f t="array" ref="M569">INDEX(Trad, 53, $A$20)</f>
        <v>Verschmutzt</v>
      </c>
      <c r="N569" s="253"/>
      <c r="O569" s="253"/>
      <c r="P569" s="254"/>
      <c r="Q569" s="251"/>
      <c r="R569" s="251"/>
      <c r="S569" s="264">
        <f t="shared" si="573"/>
        <v>0</v>
      </c>
      <c r="T569" s="252" t="str" cm="1">
        <f t="array" ref="T569">INDEX(Trad, 52, $A$20)</f>
        <v>Sauber</v>
      </c>
      <c r="U569" s="253"/>
      <c r="V569" s="253"/>
      <c r="W569" s="254"/>
      <c r="X569" s="251"/>
      <c r="Y569" s="251"/>
      <c r="Z569" s="264">
        <f t="shared" si="574"/>
        <v>0</v>
      </c>
      <c r="AA569" s="261"/>
      <c r="AB569" s="258"/>
      <c r="AC569" s="246"/>
      <c r="AD569" s="247" t="str">
        <f>IF(ISBLANK(AC569), "", VLOOKUP(AC569, Z!$A$2:$C$4127, 3, FALSE))</f>
        <v/>
      </c>
      <c r="AE569" s="262"/>
      <c r="AF569" s="263">
        <f t="shared" si="575"/>
        <v>0</v>
      </c>
      <c r="AG569" s="238"/>
      <c r="AH569" s="229">
        <f t="shared" si="599"/>
        <v>1</v>
      </c>
      <c r="AI569" s="229">
        <f t="shared" si="600"/>
        <v>1</v>
      </c>
      <c r="AJ569" s="229">
        <f t="shared" si="601"/>
        <v>0</v>
      </c>
      <c r="AK569" s="229">
        <v>0</v>
      </c>
      <c r="AL569" s="229">
        <v>0</v>
      </c>
      <c r="AM569" s="229">
        <v>1</v>
      </c>
      <c r="AN569" s="229">
        <v>0</v>
      </c>
      <c r="AO569" s="229">
        <f t="shared" si="576"/>
        <v>-100</v>
      </c>
      <c r="AP569" s="238"/>
      <c r="AQ569" s="255"/>
      <c r="AR569" s="255"/>
      <c r="AS569" s="256"/>
      <c r="AT569" s="256"/>
      <c r="AU569" s="256"/>
      <c r="AV569" s="256"/>
      <c r="AW569" s="256"/>
      <c r="AX569" s="256"/>
      <c r="AY569" s="256"/>
      <c r="AZ569" s="256"/>
      <c r="BA569" s="256"/>
      <c r="BB569" s="256"/>
      <c r="BC569" s="256"/>
      <c r="BD569" s="238"/>
      <c r="BE569" s="229" cm="1">
        <f t="array" ref="BE569">IF(ISBLANK(R569), INDEX(Use, $AH569, 4) - AM569*INDEX(Use, $AH569, 6), R569)</f>
        <v>5</v>
      </c>
      <c r="BF569" s="229">
        <f t="shared" si="577"/>
        <v>30</v>
      </c>
      <c r="BG569" s="229">
        <f t="shared" si="603"/>
        <v>13</v>
      </c>
      <c r="BH569" s="229">
        <f t="shared" si="604"/>
        <v>0</v>
      </c>
      <c r="BI569" s="234" cm="1">
        <f t="array" ref="BI569">K569/IF($L569&gt;0, INDEX($AU$23:$BA$77, $L569+20, $AH569), 1)</f>
        <v>0</v>
      </c>
      <c r="BJ569" s="230">
        <f t="shared" si="578"/>
        <v>0</v>
      </c>
      <c r="BK569" s="229">
        <v>35</v>
      </c>
      <c r="BL569" s="230">
        <f t="shared" si="579"/>
        <v>48</v>
      </c>
      <c r="BM569" s="235">
        <f t="shared" si="580"/>
        <v>2.9108720930232557</v>
      </c>
      <c r="BN569" s="235" cm="1">
        <f t="array" ref="BN569">$BI569 * SUMPRODUCT(INDEX($AR$77:$AT$82,,$AI569),INDEX($AU$77:$BA$82,,$AH569), N($AQ$77:$AQ$82&gt;$AO569)) / BM569 / 1000</f>
        <v>0</v>
      </c>
      <c r="BO569" s="232">
        <f t="shared" si="605"/>
        <v>30</v>
      </c>
      <c r="BP569" s="230">
        <f t="shared" si="581"/>
        <v>43</v>
      </c>
      <c r="BQ569" s="235">
        <f t="shared" si="582"/>
        <v>3.2938815789473681</v>
      </c>
      <c r="BR569" s="235" cm="1">
        <f t="array" ref="BR569">$BI569 * IF($AH569&lt;=2,
SUMPRODUCT(INDEX($AR$72:$AT$76,,$AI569), INDEX($AU$72:$BA$76,,$AH569), 1 / ($BB$72:$BB$76*BQ569 + (1-$BB$72:$BB$76)*BM569), N($AQ$72:$AQ$76&gt;$AO569)),
SUMPRODUCT(INDEX($AR$67:$AT$76,,$AI569), INDEX($AU$67:$BA$76,,$AH569), 1 / ($BC$67:$BC$76*BQ569 + (1-$BC$67:$BC$76)*BM569), N($AQ$67:$AQ$76&gt;$AO569))
) / 1000</f>
        <v>0</v>
      </c>
      <c r="BS569" s="232">
        <f t="shared" si="606"/>
        <v>25</v>
      </c>
      <c r="BT569" s="230">
        <f t="shared" si="583"/>
        <v>38</v>
      </c>
      <c r="BU569" s="235">
        <f t="shared" si="584"/>
        <v>3.792954545454545</v>
      </c>
      <c r="BV569" s="235" cm="1">
        <f t="array" ref="BV569">$BI569 * IF($AH569&lt;=2,
SUMPRODUCT(INDEX($AR$67:$AT$71,,$AI569), INDEX($AU$67:$BA$71,,$AH569), 1 / ($BB$67:$BB$71*BU569 + (1-$BB$67:$BB$71)*BQ569), N($AQ$67:$AQ$71&gt;$AO569)),
SUMPRODUCT(INDEX($AR$57:$AT$66,,$AI569), INDEX($AU$57:$BA$66,,$AH569), 1 / ($BC$57:$BC$66*BU569 + (1-$BC$57:$BC$66)*BQ569), N($AQ$57:$AQ$66&gt;$AO569))
) / 1000</f>
        <v>0</v>
      </c>
      <c r="BW569" s="232">
        <f t="shared" si="607"/>
        <v>20</v>
      </c>
      <c r="BX569" s="230">
        <f t="shared" si="585"/>
        <v>33</v>
      </c>
      <c r="BY569" s="235">
        <f t="shared" si="586"/>
        <v>4.4702678571428569</v>
      </c>
      <c r="BZ569" s="235" cm="1">
        <f t="array" ref="BZ569">$BI569 * IF($AH569&lt;=2,
SUMPRODUCT(INDEX($AR$62:$AT$66,,$AI569), INDEX($AU$62:$BA$66,,$AH569), 1 / ($BB$62:$BB$66*BY569 + (1-$BB$62:$BB$66)*BU569), N($AQ$62:$AQ$66&gt;$AO569)),
SUMPRODUCT(INDEX($AR$47:$AT$56,,$AI569), INDEX($AU$47:$BA$56,,$AH569), 1 / ($BC$47:$BC$56*BY569 + (1-$BC$47:$BC$56)*BU569), N($AQ$47:$AQ$56&gt;$AO569))
) / 1000</f>
        <v>0</v>
      </c>
      <c r="CA569" s="235" cm="1">
        <f t="array" ref="CA569">$BI569 * IF($AH569&lt;=2,
SUMPRODUCT(INDEX($AR$23:$AT$61,,$AI569), INDEX($AU$23:$BA$61,,$AH569), 1 / ($BB$23:$BB$61*BY569), N($AQ$23:$AQ$61&gt;$AO569)),
SUMPRODUCT(INDEX($AR$23:$AT$46,,$AI569), INDEX($AU$23:$BA$46,,$AH569), 1 / ($BC$23:$BC$46*BY569), N($AQ$23:$AQ$46&gt;$AO569))
) / 1000</f>
        <v>0</v>
      </c>
      <c r="CB569" s="230">
        <f t="shared" si="587"/>
        <v>0</v>
      </c>
      <c r="CC569" s="238"/>
      <c r="CD569" s="229" cm="1">
        <f t="array" ref="CD569">IF(ISBLANK(Y569), INDEX(Use, $AH569, 4) - AN569*INDEX(Use, $AH569, 6) - (Q569-X569), Y569)</f>
        <v>7</v>
      </c>
      <c r="CE569" s="229">
        <f t="shared" si="588"/>
        <v>32</v>
      </c>
      <c r="CF569" s="230">
        <f t="shared" si="589"/>
        <v>0</v>
      </c>
      <c r="CG569" s="229">
        <v>35</v>
      </c>
      <c r="CH569" s="230">
        <f t="shared" si="590"/>
        <v>48</v>
      </c>
      <c r="CI569" s="235">
        <f t="shared" si="591"/>
        <v>3.0748170731707316</v>
      </c>
      <c r="CJ569" s="235" cm="1">
        <f t="array" ref="CJ569">$BI569 * SUMPRODUCT(INDEX($AR$77:$AT$82,,$AI569),INDEX($AU$77:$BA$82,,$AH569), N($AQ$77:$AQ$82&gt;$AO569)) / CI569 / 1000</f>
        <v>0</v>
      </c>
      <c r="CK569" s="232">
        <f t="shared" si="608"/>
        <v>30</v>
      </c>
      <c r="CL569" s="230">
        <f t="shared" si="592"/>
        <v>43</v>
      </c>
      <c r="CM569" s="235">
        <f t="shared" si="593"/>
        <v>3.5018750000000001</v>
      </c>
      <c r="CN569" s="235" cm="1">
        <f t="array" ref="CN569">$BI569 * IF($AH569&lt;=2,
SUMPRODUCT(INDEX($AR$72:$AT$76,,$AI569), INDEX($AU$72:$BA$76,,$AH569), 1 / ($BB$72:$BB$76*CM569 + (1-$BB$72:$BB$76)*CI569), N($AQ$72:$AQ$76&gt;$AO569)),
SUMPRODUCT(INDEX($AR$67:$AT$76,,$AI569), INDEX($AU$67:$BA$76,,$AH569), 1 / ($BC$67:$BC$76*CM569 + (1-$BC$67:$BC$76)*CI569), N($AQ$67:$AQ$76&gt;$AO569))
) / 1000</f>
        <v>0</v>
      </c>
      <c r="CO569" s="232">
        <f t="shared" si="609"/>
        <v>25</v>
      </c>
      <c r="CP569" s="230">
        <f t="shared" si="594"/>
        <v>38</v>
      </c>
      <c r="CQ569" s="235">
        <f t="shared" si="595"/>
        <v>4.0666935483870965</v>
      </c>
      <c r="CR569" s="235" cm="1">
        <f t="array" ref="CR569">$BI569 * IF($AH569&lt;=2,
SUMPRODUCT(INDEX($AR$67:$AT$71,,$AI569), INDEX($AU$67:$BA$71,,$AH569), 1 / ($BB$67:$BB$71*CQ569 + (1-$BB$67:$BB$71)*CM569), N($AQ$67:$AQ$71&gt;$AO569)),
SUMPRODUCT(INDEX($AR$57:$AT$66,,$AI569), INDEX($AU$57:$BA$66,,$AH569), 1 / ($BC$57:$BC$66*CQ569 + (1-$BC$57:$BC$66)*CM569), N($AQ$57:$AQ$66&gt;$AO569))
) / 1000</f>
        <v>0</v>
      </c>
      <c r="CS569" s="232">
        <f t="shared" si="610"/>
        <v>20</v>
      </c>
      <c r="CT569" s="230">
        <f t="shared" si="596"/>
        <v>33</v>
      </c>
      <c r="CU569" s="235">
        <f t="shared" si="597"/>
        <v>4.8487499999999999</v>
      </c>
      <c r="CV569" s="235" cm="1">
        <f t="array" ref="CV569">$BI569 * IF($AH569&lt;=2,
SUMPRODUCT(INDEX($AR$62:$AT$66,,$AI569), INDEX($AU$62:$BA$66,,$AH569), 1 / ($BB$62:$BB$66*CU569 + (1-$BB$62:$BB$66)*CQ569), N($AQ$62:$AQ$66&gt;$AO569)),
SUMPRODUCT(INDEX($AR$47:$AT$56,,$AI569), INDEX($AU$47:$BA$56,,$AH569), 1 / ($BC$47:$BC$56*CU569 + (1-$BC$47:$BC$56)*CQ569), N($AQ$47:$AQ$56&gt;$AO569))
) / 1000</f>
        <v>0</v>
      </c>
      <c r="CW569" s="235" cm="1">
        <f t="array" ref="CW569">$BI569 * IF($AH569&lt;=2,
SUMPRODUCT(INDEX($AR$23:$AT$61,,$AI569), INDEX($AU$23:$BA$61,,$AH569), 1 / ($BB$23:$BB$61*CU569), N($AQ$23:$AQ$61&gt;$AO569)),
SUMPRODUCT(INDEX($AR$23:$AT$46,,$AI569), INDEX($AU$23:$BA$46,,$AH569), 1 / ($BC$23:$BC$46*CU569), N($AQ$23:$AQ$46&gt;$AO569))
) / 1000</f>
        <v>0</v>
      </c>
      <c r="CX569" s="230">
        <f t="shared" si="598"/>
        <v>0</v>
      </c>
      <c r="CY569" s="238"/>
    </row>
    <row r="570" spans="1:103" s="76" customFormat="1" ht="14.25" customHeight="1" x14ac:dyDescent="0.2">
      <c r="A570" s="231" t="b">
        <f t="shared" si="602"/>
        <v>0</v>
      </c>
      <c r="B570" s="245">
        <v>548</v>
      </c>
      <c r="C570" s="258"/>
      <c r="D570" s="258"/>
      <c r="E570" s="246"/>
      <c r="F570" s="247" t="str">
        <f>IF(ISBLANK(E570), "", VLOOKUP(E570, Z!$A$2:$C$4127, 3, FALSE))</f>
        <v/>
      </c>
      <c r="G570" s="248"/>
      <c r="H570" s="248"/>
      <c r="I570" s="249"/>
      <c r="J570" s="250"/>
      <c r="K570" s="259"/>
      <c r="L570" s="260"/>
      <c r="M570" s="252" t="str" cm="1">
        <f t="array" ref="M570">INDEX(Trad, 53, $A$20)</f>
        <v>Verschmutzt</v>
      </c>
      <c r="N570" s="253"/>
      <c r="O570" s="253"/>
      <c r="P570" s="254"/>
      <c r="Q570" s="251"/>
      <c r="R570" s="251"/>
      <c r="S570" s="264">
        <f t="shared" si="573"/>
        <v>0</v>
      </c>
      <c r="T570" s="252" t="str" cm="1">
        <f t="array" ref="T570">INDEX(Trad, 52, $A$20)</f>
        <v>Sauber</v>
      </c>
      <c r="U570" s="253"/>
      <c r="V570" s="253"/>
      <c r="W570" s="254"/>
      <c r="X570" s="251"/>
      <c r="Y570" s="251"/>
      <c r="Z570" s="264">
        <f t="shared" si="574"/>
        <v>0</v>
      </c>
      <c r="AA570" s="261"/>
      <c r="AB570" s="258"/>
      <c r="AC570" s="246"/>
      <c r="AD570" s="247" t="str">
        <f>IF(ISBLANK(AC570), "", VLOOKUP(AC570, Z!$A$2:$C$4127, 3, FALSE))</f>
        <v/>
      </c>
      <c r="AE570" s="262"/>
      <c r="AF570" s="263">
        <f t="shared" si="575"/>
        <v>0</v>
      </c>
      <c r="AG570" s="238"/>
      <c r="AH570" s="229">
        <f t="shared" si="599"/>
        <v>1</v>
      </c>
      <c r="AI570" s="229">
        <f t="shared" si="600"/>
        <v>1</v>
      </c>
      <c r="AJ570" s="229">
        <f t="shared" si="601"/>
        <v>0</v>
      </c>
      <c r="AK570" s="229">
        <v>0</v>
      </c>
      <c r="AL570" s="229">
        <v>0</v>
      </c>
      <c r="AM570" s="229">
        <v>1</v>
      </c>
      <c r="AN570" s="229">
        <v>0</v>
      </c>
      <c r="AO570" s="229">
        <f t="shared" si="576"/>
        <v>-100</v>
      </c>
      <c r="AP570" s="238"/>
      <c r="AQ570" s="255"/>
      <c r="AR570" s="255"/>
      <c r="AS570" s="256"/>
      <c r="AT570" s="256"/>
      <c r="AU570" s="256"/>
      <c r="AV570" s="256"/>
      <c r="AW570" s="256"/>
      <c r="AX570" s="256"/>
      <c r="AY570" s="256"/>
      <c r="AZ570" s="256"/>
      <c r="BA570" s="256"/>
      <c r="BB570" s="256"/>
      <c r="BC570" s="256"/>
      <c r="BD570" s="238"/>
      <c r="BE570" s="229" cm="1">
        <f t="array" ref="BE570">IF(ISBLANK(R570), INDEX(Use, $AH570, 4) - AM570*INDEX(Use, $AH570, 6), R570)</f>
        <v>5</v>
      </c>
      <c r="BF570" s="229">
        <f t="shared" si="577"/>
        <v>30</v>
      </c>
      <c r="BG570" s="229">
        <f t="shared" si="603"/>
        <v>13</v>
      </c>
      <c r="BH570" s="229">
        <f t="shared" si="604"/>
        <v>0</v>
      </c>
      <c r="BI570" s="234" cm="1">
        <f t="array" ref="BI570">K570/IF($L570&gt;0, INDEX($AU$23:$BA$77, $L570+20, $AH570), 1)</f>
        <v>0</v>
      </c>
      <c r="BJ570" s="230">
        <f t="shared" si="578"/>
        <v>0</v>
      </c>
      <c r="BK570" s="229">
        <v>35</v>
      </c>
      <c r="BL570" s="230">
        <f t="shared" si="579"/>
        <v>48</v>
      </c>
      <c r="BM570" s="235">
        <f t="shared" si="580"/>
        <v>2.9108720930232557</v>
      </c>
      <c r="BN570" s="235" cm="1">
        <f t="array" ref="BN570">$BI570 * SUMPRODUCT(INDEX($AR$77:$AT$82,,$AI570),INDEX($AU$77:$BA$82,,$AH570), N($AQ$77:$AQ$82&gt;$AO570)) / BM570 / 1000</f>
        <v>0</v>
      </c>
      <c r="BO570" s="232">
        <f t="shared" si="605"/>
        <v>30</v>
      </c>
      <c r="BP570" s="230">
        <f t="shared" si="581"/>
        <v>43</v>
      </c>
      <c r="BQ570" s="235">
        <f t="shared" si="582"/>
        <v>3.2938815789473681</v>
      </c>
      <c r="BR570" s="235" cm="1">
        <f t="array" ref="BR570">$BI570 * IF($AH570&lt;=2,
SUMPRODUCT(INDEX($AR$72:$AT$76,,$AI570), INDEX($AU$72:$BA$76,,$AH570), 1 / ($BB$72:$BB$76*BQ570 + (1-$BB$72:$BB$76)*BM570), N($AQ$72:$AQ$76&gt;$AO570)),
SUMPRODUCT(INDEX($AR$67:$AT$76,,$AI570), INDEX($AU$67:$BA$76,,$AH570), 1 / ($BC$67:$BC$76*BQ570 + (1-$BC$67:$BC$76)*BM570), N($AQ$67:$AQ$76&gt;$AO570))
) / 1000</f>
        <v>0</v>
      </c>
      <c r="BS570" s="232">
        <f t="shared" si="606"/>
        <v>25</v>
      </c>
      <c r="BT570" s="230">
        <f t="shared" si="583"/>
        <v>38</v>
      </c>
      <c r="BU570" s="235">
        <f t="shared" si="584"/>
        <v>3.792954545454545</v>
      </c>
      <c r="BV570" s="235" cm="1">
        <f t="array" ref="BV570">$BI570 * IF($AH570&lt;=2,
SUMPRODUCT(INDEX($AR$67:$AT$71,,$AI570), INDEX($AU$67:$BA$71,,$AH570), 1 / ($BB$67:$BB$71*BU570 + (1-$BB$67:$BB$71)*BQ570), N($AQ$67:$AQ$71&gt;$AO570)),
SUMPRODUCT(INDEX($AR$57:$AT$66,,$AI570), INDEX($AU$57:$BA$66,,$AH570), 1 / ($BC$57:$BC$66*BU570 + (1-$BC$57:$BC$66)*BQ570), N($AQ$57:$AQ$66&gt;$AO570))
) / 1000</f>
        <v>0</v>
      </c>
      <c r="BW570" s="232">
        <f t="shared" si="607"/>
        <v>20</v>
      </c>
      <c r="BX570" s="230">
        <f t="shared" si="585"/>
        <v>33</v>
      </c>
      <c r="BY570" s="235">
        <f t="shared" si="586"/>
        <v>4.4702678571428569</v>
      </c>
      <c r="BZ570" s="235" cm="1">
        <f t="array" ref="BZ570">$BI570 * IF($AH570&lt;=2,
SUMPRODUCT(INDEX($AR$62:$AT$66,,$AI570), INDEX($AU$62:$BA$66,,$AH570), 1 / ($BB$62:$BB$66*BY570 + (1-$BB$62:$BB$66)*BU570), N($AQ$62:$AQ$66&gt;$AO570)),
SUMPRODUCT(INDEX($AR$47:$AT$56,,$AI570), INDEX($AU$47:$BA$56,,$AH570), 1 / ($BC$47:$BC$56*BY570 + (1-$BC$47:$BC$56)*BU570), N($AQ$47:$AQ$56&gt;$AO570))
) / 1000</f>
        <v>0</v>
      </c>
      <c r="CA570" s="235" cm="1">
        <f t="array" ref="CA570">$BI570 * IF($AH570&lt;=2,
SUMPRODUCT(INDEX($AR$23:$AT$61,,$AI570), INDEX($AU$23:$BA$61,,$AH570), 1 / ($BB$23:$BB$61*BY570), N($AQ$23:$AQ$61&gt;$AO570)),
SUMPRODUCT(INDEX($AR$23:$AT$46,,$AI570), INDEX($AU$23:$BA$46,,$AH570), 1 / ($BC$23:$BC$46*BY570), N($AQ$23:$AQ$46&gt;$AO570))
) / 1000</f>
        <v>0</v>
      </c>
      <c r="CB570" s="230">
        <f t="shared" si="587"/>
        <v>0</v>
      </c>
      <c r="CC570" s="238"/>
      <c r="CD570" s="229" cm="1">
        <f t="array" ref="CD570">IF(ISBLANK(Y570), INDEX(Use, $AH570, 4) - AN570*INDEX(Use, $AH570, 6) - (Q570-X570), Y570)</f>
        <v>7</v>
      </c>
      <c r="CE570" s="229">
        <f t="shared" si="588"/>
        <v>32</v>
      </c>
      <c r="CF570" s="230">
        <f t="shared" si="589"/>
        <v>0</v>
      </c>
      <c r="CG570" s="229">
        <v>35</v>
      </c>
      <c r="CH570" s="230">
        <f t="shared" si="590"/>
        <v>48</v>
      </c>
      <c r="CI570" s="235">
        <f t="shared" si="591"/>
        <v>3.0748170731707316</v>
      </c>
      <c r="CJ570" s="235" cm="1">
        <f t="array" ref="CJ570">$BI570 * SUMPRODUCT(INDEX($AR$77:$AT$82,,$AI570),INDEX($AU$77:$BA$82,,$AH570), N($AQ$77:$AQ$82&gt;$AO570)) / CI570 / 1000</f>
        <v>0</v>
      </c>
      <c r="CK570" s="232">
        <f t="shared" si="608"/>
        <v>30</v>
      </c>
      <c r="CL570" s="230">
        <f t="shared" si="592"/>
        <v>43</v>
      </c>
      <c r="CM570" s="235">
        <f t="shared" si="593"/>
        <v>3.5018750000000001</v>
      </c>
      <c r="CN570" s="235" cm="1">
        <f t="array" ref="CN570">$BI570 * IF($AH570&lt;=2,
SUMPRODUCT(INDEX($AR$72:$AT$76,,$AI570), INDEX($AU$72:$BA$76,,$AH570), 1 / ($BB$72:$BB$76*CM570 + (1-$BB$72:$BB$76)*CI570), N($AQ$72:$AQ$76&gt;$AO570)),
SUMPRODUCT(INDEX($AR$67:$AT$76,,$AI570), INDEX($AU$67:$BA$76,,$AH570), 1 / ($BC$67:$BC$76*CM570 + (1-$BC$67:$BC$76)*CI570), N($AQ$67:$AQ$76&gt;$AO570))
) / 1000</f>
        <v>0</v>
      </c>
      <c r="CO570" s="232">
        <f t="shared" si="609"/>
        <v>25</v>
      </c>
      <c r="CP570" s="230">
        <f t="shared" si="594"/>
        <v>38</v>
      </c>
      <c r="CQ570" s="235">
        <f t="shared" si="595"/>
        <v>4.0666935483870965</v>
      </c>
      <c r="CR570" s="235" cm="1">
        <f t="array" ref="CR570">$BI570 * IF($AH570&lt;=2,
SUMPRODUCT(INDEX($AR$67:$AT$71,,$AI570), INDEX($AU$67:$BA$71,,$AH570), 1 / ($BB$67:$BB$71*CQ570 + (1-$BB$67:$BB$71)*CM570), N($AQ$67:$AQ$71&gt;$AO570)),
SUMPRODUCT(INDEX($AR$57:$AT$66,,$AI570), INDEX($AU$57:$BA$66,,$AH570), 1 / ($BC$57:$BC$66*CQ570 + (1-$BC$57:$BC$66)*CM570), N($AQ$57:$AQ$66&gt;$AO570))
) / 1000</f>
        <v>0</v>
      </c>
      <c r="CS570" s="232">
        <f t="shared" si="610"/>
        <v>20</v>
      </c>
      <c r="CT570" s="230">
        <f t="shared" si="596"/>
        <v>33</v>
      </c>
      <c r="CU570" s="235">
        <f t="shared" si="597"/>
        <v>4.8487499999999999</v>
      </c>
      <c r="CV570" s="235" cm="1">
        <f t="array" ref="CV570">$BI570 * IF($AH570&lt;=2,
SUMPRODUCT(INDEX($AR$62:$AT$66,,$AI570), INDEX($AU$62:$BA$66,,$AH570), 1 / ($BB$62:$BB$66*CU570 + (1-$BB$62:$BB$66)*CQ570), N($AQ$62:$AQ$66&gt;$AO570)),
SUMPRODUCT(INDEX($AR$47:$AT$56,,$AI570), INDEX($AU$47:$BA$56,,$AH570), 1 / ($BC$47:$BC$56*CU570 + (1-$BC$47:$BC$56)*CQ570), N($AQ$47:$AQ$56&gt;$AO570))
) / 1000</f>
        <v>0</v>
      </c>
      <c r="CW570" s="235" cm="1">
        <f t="array" ref="CW570">$BI570 * IF($AH570&lt;=2,
SUMPRODUCT(INDEX($AR$23:$AT$61,,$AI570), INDEX($AU$23:$BA$61,,$AH570), 1 / ($BB$23:$BB$61*CU570), N($AQ$23:$AQ$61&gt;$AO570)),
SUMPRODUCT(INDEX($AR$23:$AT$46,,$AI570), INDEX($AU$23:$BA$46,,$AH570), 1 / ($BC$23:$BC$46*CU570), N($AQ$23:$AQ$46&gt;$AO570))
) / 1000</f>
        <v>0</v>
      </c>
      <c r="CX570" s="230">
        <f t="shared" si="598"/>
        <v>0</v>
      </c>
      <c r="CY570" s="238"/>
    </row>
    <row r="571" spans="1:103" s="76" customFormat="1" ht="14.25" customHeight="1" x14ac:dyDescent="0.2">
      <c r="A571" s="231" t="b">
        <f t="shared" si="602"/>
        <v>0</v>
      </c>
      <c r="B571" s="245">
        <v>549</v>
      </c>
      <c r="C571" s="258"/>
      <c r="D571" s="258"/>
      <c r="E571" s="246"/>
      <c r="F571" s="247" t="str">
        <f>IF(ISBLANK(E571), "", VLOOKUP(E571, Z!$A$2:$C$4127, 3, FALSE))</f>
        <v/>
      </c>
      <c r="G571" s="248"/>
      <c r="H571" s="248"/>
      <c r="I571" s="249"/>
      <c r="J571" s="250"/>
      <c r="K571" s="259"/>
      <c r="L571" s="260"/>
      <c r="M571" s="252" t="str" cm="1">
        <f t="array" ref="M571">INDEX(Trad, 53, $A$20)</f>
        <v>Verschmutzt</v>
      </c>
      <c r="N571" s="253"/>
      <c r="O571" s="253"/>
      <c r="P571" s="254"/>
      <c r="Q571" s="251"/>
      <c r="R571" s="251"/>
      <c r="S571" s="264">
        <f t="shared" ref="S571:S634" si="611">CB571*1000</f>
        <v>0</v>
      </c>
      <c r="T571" s="252" t="str" cm="1">
        <f t="array" ref="T571">INDEX(Trad, 52, $A$20)</f>
        <v>Sauber</v>
      </c>
      <c r="U571" s="253"/>
      <c r="V571" s="253"/>
      <c r="W571" s="254"/>
      <c r="X571" s="251"/>
      <c r="Y571" s="251"/>
      <c r="Z571" s="264">
        <f t="shared" ref="Z571:Z634" si="612">CX571*1000</f>
        <v>0</v>
      </c>
      <c r="AA571" s="261"/>
      <c r="AB571" s="258"/>
      <c r="AC571" s="246"/>
      <c r="AD571" s="247" t="str">
        <f>IF(ISBLANK(AC571), "", VLOOKUP(AC571, Z!$A$2:$C$4127, 3, FALSE))</f>
        <v/>
      </c>
      <c r="AE571" s="262"/>
      <c r="AF571" s="263">
        <f t="shared" ref="AF571:AF634" si="613">0.75*AP$23*(S571-Z571)</f>
        <v>0</v>
      </c>
      <c r="AG571" s="238"/>
      <c r="AH571" s="229">
        <f t="shared" si="599"/>
        <v>1</v>
      </c>
      <c r="AI571" s="229">
        <f t="shared" si="600"/>
        <v>1</v>
      </c>
      <c r="AJ571" s="229">
        <f t="shared" si="601"/>
        <v>0</v>
      </c>
      <c r="AK571" s="229">
        <v>0</v>
      </c>
      <c r="AL571" s="229">
        <v>0</v>
      </c>
      <c r="AM571" s="229">
        <v>1</v>
      </c>
      <c r="AN571" s="229">
        <v>0</v>
      </c>
      <c r="AO571" s="229">
        <f t="shared" ref="AO571:AO634" si="614">IF(AND(J571="x", AH571=5), 11, IF(AND(J571="x", AH571=6), 19, -100))</f>
        <v>-100</v>
      </c>
      <c r="AP571" s="238"/>
      <c r="AQ571" s="255"/>
      <c r="AR571" s="255"/>
      <c r="AS571" s="256"/>
      <c r="AT571" s="256"/>
      <c r="AU571" s="256"/>
      <c r="AV571" s="256"/>
      <c r="AW571" s="256"/>
      <c r="AX571" s="256"/>
      <c r="AY571" s="256"/>
      <c r="AZ571" s="256"/>
      <c r="BA571" s="256"/>
      <c r="BB571" s="256"/>
      <c r="BC571" s="256"/>
      <c r="BD571" s="238"/>
      <c r="BE571" s="229" cm="1">
        <f t="array" ref="BE571">IF(ISBLANK(R571), INDEX(Use, $AH571, 4) - AM571*INDEX(Use, $AH571, 6), R571)</f>
        <v>5</v>
      </c>
      <c r="BF571" s="229">
        <f t="shared" ref="BF571:BF634" si="615">MAX(25, BE571+25)</f>
        <v>30</v>
      </c>
      <c r="BG571" s="229">
        <f t="shared" si="603"/>
        <v>13</v>
      </c>
      <c r="BH571" s="229">
        <f t="shared" si="604"/>
        <v>0</v>
      </c>
      <c r="BI571" s="234" cm="1">
        <f t="array" ref="BI571">K571/IF($L571&gt;0, INDEX($AU$23:$BA$77, $L571+20, $AH571), 1)</f>
        <v>0</v>
      </c>
      <c r="BJ571" s="230">
        <f t="shared" ref="BJ571:BJ634" si="616">P571 /  IF(AH571&lt;=2, 0.7 + 0.3 * (O571-20)/(35-20), 0.4 + 0.6 * (O571-5)/(35-5))</f>
        <v>0</v>
      </c>
      <c r="BK571" s="229">
        <v>35</v>
      </c>
      <c r="BL571" s="230">
        <f t="shared" ref="BL571:BL634" si="617">MAX($N571, MAX($BF571, $BK571 + $BG571 + $BH571 + 0.35*$AK571*$BG571 + BJ571))</f>
        <v>48</v>
      </c>
      <c r="BM571" s="235">
        <f t="shared" ref="BM571:BM634" si="618">0.45*($BE571+273.15)/(BL571-$BE571)</f>
        <v>2.9108720930232557</v>
      </c>
      <c r="BN571" s="235" cm="1">
        <f t="array" ref="BN571">$BI571 * SUMPRODUCT(INDEX($AR$77:$AT$82,,$AI571),INDEX($AU$77:$BA$82,,$AH571), N($AQ$77:$AQ$82&gt;$AO571)) / BM571 / 1000</f>
        <v>0</v>
      </c>
      <c r="BO571" s="232">
        <f t="shared" si="605"/>
        <v>30</v>
      </c>
      <c r="BP571" s="230">
        <f t="shared" ref="BP571:BP634" si="619">MAX($N571, MAX($BF571, BO571 + $BG571 + $BH571 + IF($AH571&lt;=2, (BO571-20)/(35-20), 0.6+0.4*(BO571-5)/(35-5))*0.35*$AK571*$BG571) + IF($AH571&lt;=2,0.9,0.8)*$BJ571)</f>
        <v>43</v>
      </c>
      <c r="BQ571" s="235">
        <f t="shared" ref="BQ571:BQ634" si="620">0.45*($BE571+273.15)/(BP571-$BE571)</f>
        <v>3.2938815789473681</v>
      </c>
      <c r="BR571" s="235" cm="1">
        <f t="array" ref="BR571">$BI571 * IF($AH571&lt;=2,
SUMPRODUCT(INDEX($AR$72:$AT$76,,$AI571), INDEX($AU$72:$BA$76,,$AH571), 1 / ($BB$72:$BB$76*BQ571 + (1-$BB$72:$BB$76)*BM571), N($AQ$72:$AQ$76&gt;$AO571)),
SUMPRODUCT(INDEX($AR$67:$AT$76,,$AI571), INDEX($AU$67:$BA$76,,$AH571), 1 / ($BC$67:$BC$76*BQ571 + (1-$BC$67:$BC$76)*BM571), N($AQ$67:$AQ$76&gt;$AO571))
) / 1000</f>
        <v>0</v>
      </c>
      <c r="BS571" s="232">
        <f t="shared" si="606"/>
        <v>25</v>
      </c>
      <c r="BT571" s="230">
        <f t="shared" ref="BT571:BT634" si="621">MAX($N571, MAX($BF571, BS571 + $BG571 + $BH571 + IF($AH571&lt;=2, (BS571-20)/(35-20), 0.6+0.4*(BS571-5)/(35-5))*0.35*$AK571*$BG571) + IF($AH571&lt;=2,0.8,0.6)*$BJ571)</f>
        <v>38</v>
      </c>
      <c r="BU571" s="235">
        <f t="shared" ref="BU571:BU634" si="622">0.45*($BE571+273.15)/(BT571-$BE571)</f>
        <v>3.792954545454545</v>
      </c>
      <c r="BV571" s="235" cm="1">
        <f t="array" ref="BV571">$BI571 * IF($AH571&lt;=2,
SUMPRODUCT(INDEX($AR$67:$AT$71,,$AI571), INDEX($AU$67:$BA$71,,$AH571), 1 / ($BB$67:$BB$71*BU571 + (1-$BB$67:$BB$71)*BQ571), N($AQ$67:$AQ$71&gt;$AO571)),
SUMPRODUCT(INDEX($AR$57:$AT$66,,$AI571), INDEX($AU$57:$BA$66,,$AH571), 1 / ($BC$57:$BC$66*BU571 + (1-$BC$57:$BC$66)*BQ571), N($AQ$57:$AQ$66&gt;$AO571))
) / 1000</f>
        <v>0</v>
      </c>
      <c r="BW571" s="232">
        <f t="shared" si="607"/>
        <v>20</v>
      </c>
      <c r="BX571" s="230">
        <f t="shared" ref="BX571:BX634" si="623">MAX($N571, MAX($BF571, BW571 + $BG571 + $BH571 + IF($AH571&lt;=2, (BW571-20)/(35-20), 0.6+0.4*(BW571-5)/(35-5))*0.35*$AK571*$BG571) + IF($AH571&lt;=2,0.7,0.4)*$BJ571)</f>
        <v>33</v>
      </c>
      <c r="BY571" s="235">
        <f t="shared" ref="BY571:BY634" si="624">0.45*($BE571+273.15)/(BX571-$BE571)</f>
        <v>4.4702678571428569</v>
      </c>
      <c r="BZ571" s="235" cm="1">
        <f t="array" ref="BZ571">$BI571 * IF($AH571&lt;=2,
SUMPRODUCT(INDEX($AR$62:$AT$66,,$AI571), INDEX($AU$62:$BA$66,,$AH571), 1 / ($BB$62:$BB$66*BY571 + (1-$BB$62:$BB$66)*BU571), N($AQ$62:$AQ$66&gt;$AO571)),
SUMPRODUCT(INDEX($AR$47:$AT$56,,$AI571), INDEX($AU$47:$BA$56,,$AH571), 1 / ($BC$47:$BC$56*BY571 + (1-$BC$47:$BC$56)*BU571), N($AQ$47:$AQ$56&gt;$AO571))
) / 1000</f>
        <v>0</v>
      </c>
      <c r="CA571" s="235" cm="1">
        <f t="array" ref="CA571">$BI571 * IF($AH571&lt;=2,
SUMPRODUCT(INDEX($AR$23:$AT$61,,$AI571), INDEX($AU$23:$BA$61,,$AH571), 1 / ($BB$23:$BB$61*BY571), N($AQ$23:$AQ$61&gt;$AO571)),
SUMPRODUCT(INDEX($AR$23:$AT$46,,$AI571), INDEX($AU$23:$BA$46,,$AH571), 1 / ($BC$23:$BC$46*BY571), N($AQ$23:$AQ$46&gt;$AO571))
) / 1000</f>
        <v>0</v>
      </c>
      <c r="CB571" s="230">
        <f t="shared" ref="CB571:CB634" si="625">BN571+BR571+BV571+BZ571+CA571</f>
        <v>0</v>
      </c>
      <c r="CC571" s="238"/>
      <c r="CD571" s="229" cm="1">
        <f t="array" ref="CD571">IF(ISBLANK(Y571), INDEX(Use, $AH571, 4) - AN571*INDEX(Use, $AH571, 6) - (Q571-X571), Y571)</f>
        <v>7</v>
      </c>
      <c r="CE571" s="229">
        <f t="shared" ref="CE571:CE634" si="626">MAX(25, CD571+25)</f>
        <v>32</v>
      </c>
      <c r="CF571" s="230">
        <f t="shared" ref="CF571:CF634" si="627">W571 /  IF(AH571&lt;=2, 0.7 + 0.3 * (V571-20)/(35-20), 0.4 + 0.6 * (V571-5)/(35-5))</f>
        <v>0</v>
      </c>
      <c r="CG571" s="229">
        <v>35</v>
      </c>
      <c r="CH571" s="230">
        <f t="shared" ref="CH571:CH634" si="628">MAX($U571, MAX($CE571, $BK571 + $BG571 + $BH571 + 0.35*$AL571*$BG571 + CF571))</f>
        <v>48</v>
      </c>
      <c r="CI571" s="235">
        <f t="shared" ref="CI571:CI634" si="629">0.45*($CD571+273.15)/(CH571-$CD571)</f>
        <v>3.0748170731707316</v>
      </c>
      <c r="CJ571" s="235" cm="1">
        <f t="array" ref="CJ571">$BI571 * SUMPRODUCT(INDEX($AR$77:$AT$82,,$AI571),INDEX($AU$77:$BA$82,,$AH571), N($AQ$77:$AQ$82&gt;$AO571)) / CI571 / 1000</f>
        <v>0</v>
      </c>
      <c r="CK571" s="232">
        <f t="shared" si="608"/>
        <v>30</v>
      </c>
      <c r="CL571" s="230">
        <f t="shared" ref="CL571:CL634" si="630">MAX($U571, MAX($CE571, CK571 + $BG571 + $BH571 + IF($AH571&lt;=2, (CK571-20)/(35-20), 0.6+0.4*(CK571-5)/(35-5))*0.35*$AL571*$BG571) + IF($AH571&lt;=2,0.9,0.8)*$CF571)</f>
        <v>43</v>
      </c>
      <c r="CM571" s="235">
        <f t="shared" ref="CM571:CM634" si="631">0.45*($CD571+273.15)/(CL571-$CD571)</f>
        <v>3.5018750000000001</v>
      </c>
      <c r="CN571" s="235" cm="1">
        <f t="array" ref="CN571">$BI571 * IF($AH571&lt;=2,
SUMPRODUCT(INDEX($AR$72:$AT$76,,$AI571), INDEX($AU$72:$BA$76,,$AH571), 1 / ($BB$72:$BB$76*CM571 + (1-$BB$72:$BB$76)*CI571), N($AQ$72:$AQ$76&gt;$AO571)),
SUMPRODUCT(INDEX($AR$67:$AT$76,,$AI571), INDEX($AU$67:$BA$76,,$AH571), 1 / ($BC$67:$BC$76*CM571 + (1-$BC$67:$BC$76)*CI571), N($AQ$67:$AQ$76&gt;$AO571))
) / 1000</f>
        <v>0</v>
      </c>
      <c r="CO571" s="232">
        <f t="shared" si="609"/>
        <v>25</v>
      </c>
      <c r="CP571" s="230">
        <f t="shared" ref="CP571:CP634" si="632">MAX($U571, MAX($CE571, CO571 + $BG571 + $BH571 + IF($AH571&lt;=2, (CO571-20)/(35-20), 0.6+0.4*(CO571-5)/(35-5))*0.35*$AL571*$BG571) + IF($AH571&lt;=2,0.8,0.6)*$CF571)</f>
        <v>38</v>
      </c>
      <c r="CQ571" s="235">
        <f t="shared" ref="CQ571:CQ634" si="633">0.45*($CD571+273.15)/(CP571-$CD571)</f>
        <v>4.0666935483870965</v>
      </c>
      <c r="CR571" s="235" cm="1">
        <f t="array" ref="CR571">$BI571 * IF($AH571&lt;=2,
SUMPRODUCT(INDEX($AR$67:$AT$71,,$AI571), INDEX($AU$67:$BA$71,,$AH571), 1 / ($BB$67:$BB$71*CQ571 + (1-$BB$67:$BB$71)*CM571), N($AQ$67:$AQ$71&gt;$AO571)),
SUMPRODUCT(INDEX($AR$57:$AT$66,,$AI571), INDEX($AU$57:$BA$66,,$AH571), 1 / ($BC$57:$BC$66*CQ571 + (1-$BC$57:$BC$66)*CM571), N($AQ$57:$AQ$66&gt;$AO571))
) / 1000</f>
        <v>0</v>
      </c>
      <c r="CS571" s="232">
        <f t="shared" si="610"/>
        <v>20</v>
      </c>
      <c r="CT571" s="230">
        <f t="shared" ref="CT571:CT634" si="634">MAX($U571, MAX($CE571, CS571 + $BG571 + $BH571 + IF($AH571&lt;=2, (CS571-20)/(35-20), 0.6+0.4*(CS571-5)/(35-5))*0.35*$AL571*$BG571) + IF($AH571&lt;=2,0.7,0.4)*$CF571)</f>
        <v>33</v>
      </c>
      <c r="CU571" s="235">
        <f t="shared" ref="CU571:CU634" si="635">0.45*($CD571+273.15)/(CT571-$CD571)</f>
        <v>4.8487499999999999</v>
      </c>
      <c r="CV571" s="235" cm="1">
        <f t="array" ref="CV571">$BI571 * IF($AH571&lt;=2,
SUMPRODUCT(INDEX($AR$62:$AT$66,,$AI571), INDEX($AU$62:$BA$66,,$AH571), 1 / ($BB$62:$BB$66*CU571 + (1-$BB$62:$BB$66)*CQ571), N($AQ$62:$AQ$66&gt;$AO571)),
SUMPRODUCT(INDEX($AR$47:$AT$56,,$AI571), INDEX($AU$47:$BA$56,,$AH571), 1 / ($BC$47:$BC$56*CU571 + (1-$BC$47:$BC$56)*CQ571), N($AQ$47:$AQ$56&gt;$AO571))
) / 1000</f>
        <v>0</v>
      </c>
      <c r="CW571" s="235" cm="1">
        <f t="array" ref="CW571">$BI571 * IF($AH571&lt;=2,
SUMPRODUCT(INDEX($AR$23:$AT$61,,$AI571), INDEX($AU$23:$BA$61,,$AH571), 1 / ($BB$23:$BB$61*CU571), N($AQ$23:$AQ$61&gt;$AO571)),
SUMPRODUCT(INDEX($AR$23:$AT$46,,$AI571), INDEX($AU$23:$BA$46,,$AH571), 1 / ($BC$23:$BC$46*CU571), N($AQ$23:$AQ$46&gt;$AO571))
) / 1000</f>
        <v>0</v>
      </c>
      <c r="CX571" s="230">
        <f t="shared" ref="CX571:CX634" si="636">CJ571+CN571+CR571+CV571+CW571</f>
        <v>0</v>
      </c>
      <c r="CY571" s="238"/>
    </row>
    <row r="572" spans="1:103" s="76" customFormat="1" ht="14.25" customHeight="1" x14ac:dyDescent="0.2">
      <c r="A572" s="231" t="b">
        <f t="shared" si="602"/>
        <v>0</v>
      </c>
      <c r="B572" s="245">
        <v>550</v>
      </c>
      <c r="C572" s="258"/>
      <c r="D572" s="258"/>
      <c r="E572" s="246"/>
      <c r="F572" s="247" t="str">
        <f>IF(ISBLANK(E572), "", VLOOKUP(E572, Z!$A$2:$C$4127, 3, FALSE))</f>
        <v/>
      </c>
      <c r="G572" s="248"/>
      <c r="H572" s="248"/>
      <c r="I572" s="249"/>
      <c r="J572" s="250"/>
      <c r="K572" s="259"/>
      <c r="L572" s="260"/>
      <c r="M572" s="252" t="str" cm="1">
        <f t="array" ref="M572">INDEX(Trad, 53, $A$20)</f>
        <v>Verschmutzt</v>
      </c>
      <c r="N572" s="253"/>
      <c r="O572" s="253"/>
      <c r="P572" s="254"/>
      <c r="Q572" s="251"/>
      <c r="R572" s="251"/>
      <c r="S572" s="264">
        <f t="shared" si="611"/>
        <v>0</v>
      </c>
      <c r="T572" s="252" t="str" cm="1">
        <f t="array" ref="T572">INDEX(Trad, 52, $A$20)</f>
        <v>Sauber</v>
      </c>
      <c r="U572" s="253"/>
      <c r="V572" s="253"/>
      <c r="W572" s="254"/>
      <c r="X572" s="251"/>
      <c r="Y572" s="251"/>
      <c r="Z572" s="264">
        <f t="shared" si="612"/>
        <v>0</v>
      </c>
      <c r="AA572" s="261"/>
      <c r="AB572" s="258"/>
      <c r="AC572" s="246"/>
      <c r="AD572" s="247" t="str">
        <f>IF(ISBLANK(AC572), "", VLOOKUP(AC572, Z!$A$2:$C$4127, 3, FALSE))</f>
        <v/>
      </c>
      <c r="AE572" s="262"/>
      <c r="AF572" s="263">
        <f t="shared" si="613"/>
        <v>0</v>
      </c>
      <c r="AG572" s="238"/>
      <c r="AH572" s="229">
        <f t="shared" ref="AH572:AH635" si="637">IF(ISBLANK(H572), 1, IFERROR(MATCH(H572, INDEX(Use,,1), 0), IFERROR(MATCH(H572, INDEX(Use,,2), 0), MATCH(H572, INDEX(Use,,3), 0))))</f>
        <v>1</v>
      </c>
      <c r="AI572" s="229">
        <f t="shared" ref="AI572:AI635" si="638">IF(ISBLANK(G572), 1, IFERROR(MATCH(G572, INDEX(Loc,,1), 0), IFERROR(MATCH(G572, INDEX(Loc,,2), 0), MATCH(G572, INDEX(Loc,,3), 0))))</f>
        <v>1</v>
      </c>
      <c r="AJ572" s="229">
        <f t="shared" ref="AJ572:AJ635" si="639">_xlfn.IFNA(IF(IFERROR(MATCH(I572, INDEX(Medium,,1), 0), IFERROR(MATCH(I572, INDEX(Medium,,2), 0), MATCH(I572, INDEX(Medium,,3), 0))) = 2, 1, 0), 0)</f>
        <v>0</v>
      </c>
      <c r="AK572" s="229">
        <v>0</v>
      </c>
      <c r="AL572" s="229">
        <v>0</v>
      </c>
      <c r="AM572" s="229">
        <v>1</v>
      </c>
      <c r="AN572" s="229">
        <v>0</v>
      </c>
      <c r="AO572" s="229">
        <f t="shared" si="614"/>
        <v>-100</v>
      </c>
      <c r="AP572" s="238"/>
      <c r="AQ572" s="255"/>
      <c r="AR572" s="255"/>
      <c r="AS572" s="256"/>
      <c r="AT572" s="256"/>
      <c r="AU572" s="256"/>
      <c r="AV572" s="256"/>
      <c r="AW572" s="256"/>
      <c r="AX572" s="256"/>
      <c r="AY572" s="256"/>
      <c r="AZ572" s="256"/>
      <c r="BA572" s="256"/>
      <c r="BB572" s="256"/>
      <c r="BC572" s="256"/>
      <c r="BD572" s="238"/>
      <c r="BE572" s="229" cm="1">
        <f t="array" ref="BE572">IF(ISBLANK(R572), INDEX(Use, $AH572, 4) - AM572*INDEX(Use, $AH572, 6), R572)</f>
        <v>5</v>
      </c>
      <c r="BF572" s="229">
        <f t="shared" si="615"/>
        <v>30</v>
      </c>
      <c r="BG572" s="229">
        <f t="shared" si="603"/>
        <v>13</v>
      </c>
      <c r="BH572" s="229">
        <f t="shared" si="604"/>
        <v>0</v>
      </c>
      <c r="BI572" s="234" cm="1">
        <f t="array" ref="BI572">K572/IF($L572&gt;0, INDEX($AU$23:$BA$77, $L572+20, $AH572), 1)</f>
        <v>0</v>
      </c>
      <c r="BJ572" s="230">
        <f t="shared" si="616"/>
        <v>0</v>
      </c>
      <c r="BK572" s="229">
        <v>35</v>
      </c>
      <c r="BL572" s="230">
        <f t="shared" si="617"/>
        <v>48</v>
      </c>
      <c r="BM572" s="235">
        <f t="shared" si="618"/>
        <v>2.9108720930232557</v>
      </c>
      <c r="BN572" s="235" cm="1">
        <f t="array" ref="BN572">$BI572 * SUMPRODUCT(INDEX($AR$77:$AT$82,,$AI572),INDEX($AU$77:$BA$82,,$AH572), N($AQ$77:$AQ$82&gt;$AO572)) / BM572 / 1000</f>
        <v>0</v>
      </c>
      <c r="BO572" s="232">
        <f t="shared" si="605"/>
        <v>30</v>
      </c>
      <c r="BP572" s="230">
        <f t="shared" si="619"/>
        <v>43</v>
      </c>
      <c r="BQ572" s="235">
        <f t="shared" si="620"/>
        <v>3.2938815789473681</v>
      </c>
      <c r="BR572" s="235" cm="1">
        <f t="array" ref="BR572">$BI572 * IF($AH572&lt;=2,
SUMPRODUCT(INDEX($AR$72:$AT$76,,$AI572), INDEX($AU$72:$BA$76,,$AH572), 1 / ($BB$72:$BB$76*BQ572 + (1-$BB$72:$BB$76)*BM572), N($AQ$72:$AQ$76&gt;$AO572)),
SUMPRODUCT(INDEX($AR$67:$AT$76,,$AI572), INDEX($AU$67:$BA$76,,$AH572), 1 / ($BC$67:$BC$76*BQ572 + (1-$BC$67:$BC$76)*BM572), N($AQ$67:$AQ$76&gt;$AO572))
) / 1000</f>
        <v>0</v>
      </c>
      <c r="BS572" s="232">
        <f t="shared" si="606"/>
        <v>25</v>
      </c>
      <c r="BT572" s="230">
        <f t="shared" si="621"/>
        <v>38</v>
      </c>
      <c r="BU572" s="235">
        <f t="shared" si="622"/>
        <v>3.792954545454545</v>
      </c>
      <c r="BV572" s="235" cm="1">
        <f t="array" ref="BV572">$BI572 * IF($AH572&lt;=2,
SUMPRODUCT(INDEX($AR$67:$AT$71,,$AI572), INDEX($AU$67:$BA$71,,$AH572), 1 / ($BB$67:$BB$71*BU572 + (1-$BB$67:$BB$71)*BQ572), N($AQ$67:$AQ$71&gt;$AO572)),
SUMPRODUCT(INDEX($AR$57:$AT$66,,$AI572), INDEX($AU$57:$BA$66,,$AH572), 1 / ($BC$57:$BC$66*BU572 + (1-$BC$57:$BC$66)*BQ572), N($AQ$57:$AQ$66&gt;$AO572))
) / 1000</f>
        <v>0</v>
      </c>
      <c r="BW572" s="232">
        <f t="shared" si="607"/>
        <v>20</v>
      </c>
      <c r="BX572" s="230">
        <f t="shared" si="623"/>
        <v>33</v>
      </c>
      <c r="BY572" s="235">
        <f t="shared" si="624"/>
        <v>4.4702678571428569</v>
      </c>
      <c r="BZ572" s="235" cm="1">
        <f t="array" ref="BZ572">$BI572 * IF($AH572&lt;=2,
SUMPRODUCT(INDEX($AR$62:$AT$66,,$AI572), INDEX($AU$62:$BA$66,,$AH572), 1 / ($BB$62:$BB$66*BY572 + (1-$BB$62:$BB$66)*BU572), N($AQ$62:$AQ$66&gt;$AO572)),
SUMPRODUCT(INDEX($AR$47:$AT$56,,$AI572), INDEX($AU$47:$BA$56,,$AH572), 1 / ($BC$47:$BC$56*BY572 + (1-$BC$47:$BC$56)*BU572), N($AQ$47:$AQ$56&gt;$AO572))
) / 1000</f>
        <v>0</v>
      </c>
      <c r="CA572" s="235" cm="1">
        <f t="array" ref="CA572">$BI572 * IF($AH572&lt;=2,
SUMPRODUCT(INDEX($AR$23:$AT$61,,$AI572), INDEX($AU$23:$BA$61,,$AH572), 1 / ($BB$23:$BB$61*BY572), N($AQ$23:$AQ$61&gt;$AO572)),
SUMPRODUCT(INDEX($AR$23:$AT$46,,$AI572), INDEX($AU$23:$BA$46,,$AH572), 1 / ($BC$23:$BC$46*BY572), N($AQ$23:$AQ$46&gt;$AO572))
) / 1000</f>
        <v>0</v>
      </c>
      <c r="CB572" s="230">
        <f t="shared" si="625"/>
        <v>0</v>
      </c>
      <c r="CC572" s="238"/>
      <c r="CD572" s="229" cm="1">
        <f t="array" ref="CD572">IF(ISBLANK(Y572), INDEX(Use, $AH572, 4) - AN572*INDEX(Use, $AH572, 6) - (Q572-X572), Y572)</f>
        <v>7</v>
      </c>
      <c r="CE572" s="229">
        <f t="shared" si="626"/>
        <v>32</v>
      </c>
      <c r="CF572" s="230">
        <f t="shared" si="627"/>
        <v>0</v>
      </c>
      <c r="CG572" s="229">
        <v>35</v>
      </c>
      <c r="CH572" s="230">
        <f t="shared" si="628"/>
        <v>48</v>
      </c>
      <c r="CI572" s="235">
        <f t="shared" si="629"/>
        <v>3.0748170731707316</v>
      </c>
      <c r="CJ572" s="235" cm="1">
        <f t="array" ref="CJ572">$BI572 * SUMPRODUCT(INDEX($AR$77:$AT$82,,$AI572),INDEX($AU$77:$BA$82,,$AH572), N($AQ$77:$AQ$82&gt;$AO572)) / CI572 / 1000</f>
        <v>0</v>
      </c>
      <c r="CK572" s="232">
        <f t="shared" si="608"/>
        <v>30</v>
      </c>
      <c r="CL572" s="230">
        <f t="shared" si="630"/>
        <v>43</v>
      </c>
      <c r="CM572" s="235">
        <f t="shared" si="631"/>
        <v>3.5018750000000001</v>
      </c>
      <c r="CN572" s="235" cm="1">
        <f t="array" ref="CN572">$BI572 * IF($AH572&lt;=2,
SUMPRODUCT(INDEX($AR$72:$AT$76,,$AI572), INDEX($AU$72:$BA$76,,$AH572), 1 / ($BB$72:$BB$76*CM572 + (1-$BB$72:$BB$76)*CI572), N($AQ$72:$AQ$76&gt;$AO572)),
SUMPRODUCT(INDEX($AR$67:$AT$76,,$AI572), INDEX($AU$67:$BA$76,,$AH572), 1 / ($BC$67:$BC$76*CM572 + (1-$BC$67:$BC$76)*CI572), N($AQ$67:$AQ$76&gt;$AO572))
) / 1000</f>
        <v>0</v>
      </c>
      <c r="CO572" s="232">
        <f t="shared" si="609"/>
        <v>25</v>
      </c>
      <c r="CP572" s="230">
        <f t="shared" si="632"/>
        <v>38</v>
      </c>
      <c r="CQ572" s="235">
        <f t="shared" si="633"/>
        <v>4.0666935483870965</v>
      </c>
      <c r="CR572" s="235" cm="1">
        <f t="array" ref="CR572">$BI572 * IF($AH572&lt;=2,
SUMPRODUCT(INDEX($AR$67:$AT$71,,$AI572), INDEX($AU$67:$BA$71,,$AH572), 1 / ($BB$67:$BB$71*CQ572 + (1-$BB$67:$BB$71)*CM572), N($AQ$67:$AQ$71&gt;$AO572)),
SUMPRODUCT(INDEX($AR$57:$AT$66,,$AI572), INDEX($AU$57:$BA$66,,$AH572), 1 / ($BC$57:$BC$66*CQ572 + (1-$BC$57:$BC$66)*CM572), N($AQ$57:$AQ$66&gt;$AO572))
) / 1000</f>
        <v>0</v>
      </c>
      <c r="CS572" s="232">
        <f t="shared" si="610"/>
        <v>20</v>
      </c>
      <c r="CT572" s="230">
        <f t="shared" si="634"/>
        <v>33</v>
      </c>
      <c r="CU572" s="235">
        <f t="shared" si="635"/>
        <v>4.8487499999999999</v>
      </c>
      <c r="CV572" s="235" cm="1">
        <f t="array" ref="CV572">$BI572 * IF($AH572&lt;=2,
SUMPRODUCT(INDEX($AR$62:$AT$66,,$AI572), INDEX($AU$62:$BA$66,,$AH572), 1 / ($BB$62:$BB$66*CU572 + (1-$BB$62:$BB$66)*CQ572), N($AQ$62:$AQ$66&gt;$AO572)),
SUMPRODUCT(INDEX($AR$47:$AT$56,,$AI572), INDEX($AU$47:$BA$56,,$AH572), 1 / ($BC$47:$BC$56*CU572 + (1-$BC$47:$BC$56)*CQ572), N($AQ$47:$AQ$56&gt;$AO572))
) / 1000</f>
        <v>0</v>
      </c>
      <c r="CW572" s="235" cm="1">
        <f t="array" ref="CW572">$BI572 * IF($AH572&lt;=2,
SUMPRODUCT(INDEX($AR$23:$AT$61,,$AI572), INDEX($AU$23:$BA$61,,$AH572), 1 / ($BB$23:$BB$61*CU572), N($AQ$23:$AQ$61&gt;$AO572)),
SUMPRODUCT(INDEX($AR$23:$AT$46,,$AI572), INDEX($AU$23:$BA$46,,$AH572), 1 / ($BC$23:$BC$46*CU572), N($AQ$23:$AQ$46&gt;$AO572))
) / 1000</f>
        <v>0</v>
      </c>
      <c r="CX572" s="230">
        <f t="shared" si="636"/>
        <v>0</v>
      </c>
      <c r="CY572" s="238"/>
    </row>
    <row r="573" spans="1:103" s="76" customFormat="1" ht="14.25" customHeight="1" x14ac:dyDescent="0.2">
      <c r="A573" s="231" t="b">
        <f t="shared" si="602"/>
        <v>0</v>
      </c>
      <c r="B573" s="245">
        <v>551</v>
      </c>
      <c r="C573" s="258"/>
      <c r="D573" s="258"/>
      <c r="E573" s="246"/>
      <c r="F573" s="247" t="str">
        <f>IF(ISBLANK(E573), "", VLOOKUP(E573, Z!$A$2:$C$4127, 3, FALSE))</f>
        <v/>
      </c>
      <c r="G573" s="248"/>
      <c r="H573" s="248"/>
      <c r="I573" s="249"/>
      <c r="J573" s="250"/>
      <c r="K573" s="259"/>
      <c r="L573" s="260"/>
      <c r="M573" s="252" t="str" cm="1">
        <f t="array" ref="M573">INDEX(Trad, 53, $A$20)</f>
        <v>Verschmutzt</v>
      </c>
      <c r="N573" s="253"/>
      <c r="O573" s="253"/>
      <c r="P573" s="254"/>
      <c r="Q573" s="251"/>
      <c r="R573" s="251"/>
      <c r="S573" s="264">
        <f t="shared" si="611"/>
        <v>0</v>
      </c>
      <c r="T573" s="252" t="str" cm="1">
        <f t="array" ref="T573">INDEX(Trad, 52, $A$20)</f>
        <v>Sauber</v>
      </c>
      <c r="U573" s="253"/>
      <c r="V573" s="253"/>
      <c r="W573" s="254"/>
      <c r="X573" s="251"/>
      <c r="Y573" s="251"/>
      <c r="Z573" s="264">
        <f t="shared" si="612"/>
        <v>0</v>
      </c>
      <c r="AA573" s="261"/>
      <c r="AB573" s="258"/>
      <c r="AC573" s="246"/>
      <c r="AD573" s="247" t="str">
        <f>IF(ISBLANK(AC573), "", VLOOKUP(AC573, Z!$A$2:$C$4127, 3, FALSE))</f>
        <v/>
      </c>
      <c r="AE573" s="262"/>
      <c r="AF573" s="263">
        <f t="shared" si="613"/>
        <v>0</v>
      </c>
      <c r="AG573" s="238"/>
      <c r="AH573" s="229">
        <f t="shared" si="637"/>
        <v>1</v>
      </c>
      <c r="AI573" s="229">
        <f t="shared" si="638"/>
        <v>1</v>
      </c>
      <c r="AJ573" s="229">
        <f t="shared" si="639"/>
        <v>0</v>
      </c>
      <c r="AK573" s="229">
        <v>0</v>
      </c>
      <c r="AL573" s="229">
        <v>0</v>
      </c>
      <c r="AM573" s="229">
        <v>1</v>
      </c>
      <c r="AN573" s="229">
        <v>0</v>
      </c>
      <c r="AO573" s="229">
        <f t="shared" si="614"/>
        <v>-100</v>
      </c>
      <c r="AP573" s="238"/>
      <c r="AQ573" s="255"/>
      <c r="AR573" s="255"/>
      <c r="AS573" s="256"/>
      <c r="AT573" s="256"/>
      <c r="AU573" s="256"/>
      <c r="AV573" s="256"/>
      <c r="AW573" s="256"/>
      <c r="AX573" s="256"/>
      <c r="AY573" s="256"/>
      <c r="AZ573" s="256"/>
      <c r="BA573" s="256"/>
      <c r="BB573" s="256"/>
      <c r="BC573" s="256"/>
      <c r="BD573" s="238"/>
      <c r="BE573" s="229" cm="1">
        <f t="array" ref="BE573">IF(ISBLANK(R573), INDEX(Use, $AH573, 4) - AM573*INDEX(Use, $AH573, 6), R573)</f>
        <v>5</v>
      </c>
      <c r="BF573" s="229">
        <f t="shared" si="615"/>
        <v>30</v>
      </c>
      <c r="BG573" s="229">
        <f t="shared" si="603"/>
        <v>13</v>
      </c>
      <c r="BH573" s="229">
        <f t="shared" si="604"/>
        <v>0</v>
      </c>
      <c r="BI573" s="234" cm="1">
        <f t="array" ref="BI573">K573/IF($L573&gt;0, INDEX($AU$23:$BA$77, $L573+20, $AH573), 1)</f>
        <v>0</v>
      </c>
      <c r="BJ573" s="230">
        <f t="shared" si="616"/>
        <v>0</v>
      </c>
      <c r="BK573" s="229">
        <v>35</v>
      </c>
      <c r="BL573" s="230">
        <f t="shared" si="617"/>
        <v>48</v>
      </c>
      <c r="BM573" s="235">
        <f t="shared" si="618"/>
        <v>2.9108720930232557</v>
      </c>
      <c r="BN573" s="235" cm="1">
        <f t="array" ref="BN573">$BI573 * SUMPRODUCT(INDEX($AR$77:$AT$82,,$AI573),INDEX($AU$77:$BA$82,,$AH573), N($AQ$77:$AQ$82&gt;$AO573)) / BM573 / 1000</f>
        <v>0</v>
      </c>
      <c r="BO573" s="232">
        <f t="shared" si="605"/>
        <v>30</v>
      </c>
      <c r="BP573" s="230">
        <f t="shared" si="619"/>
        <v>43</v>
      </c>
      <c r="BQ573" s="235">
        <f t="shared" si="620"/>
        <v>3.2938815789473681</v>
      </c>
      <c r="BR573" s="235" cm="1">
        <f t="array" ref="BR573">$BI573 * IF($AH573&lt;=2,
SUMPRODUCT(INDEX($AR$72:$AT$76,,$AI573), INDEX($AU$72:$BA$76,,$AH573), 1 / ($BB$72:$BB$76*BQ573 + (1-$BB$72:$BB$76)*BM573), N($AQ$72:$AQ$76&gt;$AO573)),
SUMPRODUCT(INDEX($AR$67:$AT$76,,$AI573), INDEX($AU$67:$BA$76,,$AH573), 1 / ($BC$67:$BC$76*BQ573 + (1-$BC$67:$BC$76)*BM573), N($AQ$67:$AQ$76&gt;$AO573))
) / 1000</f>
        <v>0</v>
      </c>
      <c r="BS573" s="232">
        <f t="shared" si="606"/>
        <v>25</v>
      </c>
      <c r="BT573" s="230">
        <f t="shared" si="621"/>
        <v>38</v>
      </c>
      <c r="BU573" s="235">
        <f t="shared" si="622"/>
        <v>3.792954545454545</v>
      </c>
      <c r="BV573" s="235" cm="1">
        <f t="array" ref="BV573">$BI573 * IF($AH573&lt;=2,
SUMPRODUCT(INDEX($AR$67:$AT$71,,$AI573), INDEX($AU$67:$BA$71,,$AH573), 1 / ($BB$67:$BB$71*BU573 + (1-$BB$67:$BB$71)*BQ573), N($AQ$67:$AQ$71&gt;$AO573)),
SUMPRODUCT(INDEX($AR$57:$AT$66,,$AI573), INDEX($AU$57:$BA$66,,$AH573), 1 / ($BC$57:$BC$66*BU573 + (1-$BC$57:$BC$66)*BQ573), N($AQ$57:$AQ$66&gt;$AO573))
) / 1000</f>
        <v>0</v>
      </c>
      <c r="BW573" s="232">
        <f t="shared" si="607"/>
        <v>20</v>
      </c>
      <c r="BX573" s="230">
        <f t="shared" si="623"/>
        <v>33</v>
      </c>
      <c r="BY573" s="235">
        <f t="shared" si="624"/>
        <v>4.4702678571428569</v>
      </c>
      <c r="BZ573" s="235" cm="1">
        <f t="array" ref="BZ573">$BI573 * IF($AH573&lt;=2,
SUMPRODUCT(INDEX($AR$62:$AT$66,,$AI573), INDEX($AU$62:$BA$66,,$AH573), 1 / ($BB$62:$BB$66*BY573 + (1-$BB$62:$BB$66)*BU573), N($AQ$62:$AQ$66&gt;$AO573)),
SUMPRODUCT(INDEX($AR$47:$AT$56,,$AI573), INDEX($AU$47:$BA$56,,$AH573), 1 / ($BC$47:$BC$56*BY573 + (1-$BC$47:$BC$56)*BU573), N($AQ$47:$AQ$56&gt;$AO573))
) / 1000</f>
        <v>0</v>
      </c>
      <c r="CA573" s="235" cm="1">
        <f t="array" ref="CA573">$BI573 * IF($AH573&lt;=2,
SUMPRODUCT(INDEX($AR$23:$AT$61,,$AI573), INDEX($AU$23:$BA$61,,$AH573), 1 / ($BB$23:$BB$61*BY573), N($AQ$23:$AQ$61&gt;$AO573)),
SUMPRODUCT(INDEX($AR$23:$AT$46,,$AI573), INDEX($AU$23:$BA$46,,$AH573), 1 / ($BC$23:$BC$46*BY573), N($AQ$23:$AQ$46&gt;$AO573))
) / 1000</f>
        <v>0</v>
      </c>
      <c r="CB573" s="230">
        <f t="shared" si="625"/>
        <v>0</v>
      </c>
      <c r="CC573" s="238"/>
      <c r="CD573" s="229" cm="1">
        <f t="array" ref="CD573">IF(ISBLANK(Y573), INDEX(Use, $AH573, 4) - AN573*INDEX(Use, $AH573, 6) - (Q573-X573), Y573)</f>
        <v>7</v>
      </c>
      <c r="CE573" s="229">
        <f t="shared" si="626"/>
        <v>32</v>
      </c>
      <c r="CF573" s="230">
        <f t="shared" si="627"/>
        <v>0</v>
      </c>
      <c r="CG573" s="229">
        <v>35</v>
      </c>
      <c r="CH573" s="230">
        <f t="shared" si="628"/>
        <v>48</v>
      </c>
      <c r="CI573" s="235">
        <f t="shared" si="629"/>
        <v>3.0748170731707316</v>
      </c>
      <c r="CJ573" s="235" cm="1">
        <f t="array" ref="CJ573">$BI573 * SUMPRODUCT(INDEX($AR$77:$AT$82,,$AI573),INDEX($AU$77:$BA$82,,$AH573), N($AQ$77:$AQ$82&gt;$AO573)) / CI573 / 1000</f>
        <v>0</v>
      </c>
      <c r="CK573" s="232">
        <f t="shared" si="608"/>
        <v>30</v>
      </c>
      <c r="CL573" s="230">
        <f t="shared" si="630"/>
        <v>43</v>
      </c>
      <c r="CM573" s="235">
        <f t="shared" si="631"/>
        <v>3.5018750000000001</v>
      </c>
      <c r="CN573" s="235" cm="1">
        <f t="array" ref="CN573">$BI573 * IF($AH573&lt;=2,
SUMPRODUCT(INDEX($AR$72:$AT$76,,$AI573), INDEX($AU$72:$BA$76,,$AH573), 1 / ($BB$72:$BB$76*CM573 + (1-$BB$72:$BB$76)*CI573), N($AQ$72:$AQ$76&gt;$AO573)),
SUMPRODUCT(INDEX($AR$67:$AT$76,,$AI573), INDEX($AU$67:$BA$76,,$AH573), 1 / ($BC$67:$BC$76*CM573 + (1-$BC$67:$BC$76)*CI573), N($AQ$67:$AQ$76&gt;$AO573))
) / 1000</f>
        <v>0</v>
      </c>
      <c r="CO573" s="232">
        <f t="shared" si="609"/>
        <v>25</v>
      </c>
      <c r="CP573" s="230">
        <f t="shared" si="632"/>
        <v>38</v>
      </c>
      <c r="CQ573" s="235">
        <f t="shared" si="633"/>
        <v>4.0666935483870965</v>
      </c>
      <c r="CR573" s="235" cm="1">
        <f t="array" ref="CR573">$BI573 * IF($AH573&lt;=2,
SUMPRODUCT(INDEX($AR$67:$AT$71,,$AI573), INDEX($AU$67:$BA$71,,$AH573), 1 / ($BB$67:$BB$71*CQ573 + (1-$BB$67:$BB$71)*CM573), N($AQ$67:$AQ$71&gt;$AO573)),
SUMPRODUCT(INDEX($AR$57:$AT$66,,$AI573), INDEX($AU$57:$BA$66,,$AH573), 1 / ($BC$57:$BC$66*CQ573 + (1-$BC$57:$BC$66)*CM573), N($AQ$57:$AQ$66&gt;$AO573))
) / 1000</f>
        <v>0</v>
      </c>
      <c r="CS573" s="232">
        <f t="shared" si="610"/>
        <v>20</v>
      </c>
      <c r="CT573" s="230">
        <f t="shared" si="634"/>
        <v>33</v>
      </c>
      <c r="CU573" s="235">
        <f t="shared" si="635"/>
        <v>4.8487499999999999</v>
      </c>
      <c r="CV573" s="235" cm="1">
        <f t="array" ref="CV573">$BI573 * IF($AH573&lt;=2,
SUMPRODUCT(INDEX($AR$62:$AT$66,,$AI573), INDEX($AU$62:$BA$66,,$AH573), 1 / ($BB$62:$BB$66*CU573 + (1-$BB$62:$BB$66)*CQ573), N($AQ$62:$AQ$66&gt;$AO573)),
SUMPRODUCT(INDEX($AR$47:$AT$56,,$AI573), INDEX($AU$47:$BA$56,,$AH573), 1 / ($BC$47:$BC$56*CU573 + (1-$BC$47:$BC$56)*CQ573), N($AQ$47:$AQ$56&gt;$AO573))
) / 1000</f>
        <v>0</v>
      </c>
      <c r="CW573" s="235" cm="1">
        <f t="array" ref="CW573">$BI573 * IF($AH573&lt;=2,
SUMPRODUCT(INDEX($AR$23:$AT$61,,$AI573), INDEX($AU$23:$BA$61,,$AH573), 1 / ($BB$23:$BB$61*CU573), N($AQ$23:$AQ$61&gt;$AO573)),
SUMPRODUCT(INDEX($AR$23:$AT$46,,$AI573), INDEX($AU$23:$BA$46,,$AH573), 1 / ($BC$23:$BC$46*CU573), N($AQ$23:$AQ$46&gt;$AO573))
) / 1000</f>
        <v>0</v>
      </c>
      <c r="CX573" s="230">
        <f t="shared" si="636"/>
        <v>0</v>
      </c>
      <c r="CY573" s="238"/>
    </row>
    <row r="574" spans="1:103" s="76" customFormat="1" ht="14.25" customHeight="1" x14ac:dyDescent="0.2">
      <c r="A574" s="231" t="b">
        <f t="shared" si="602"/>
        <v>0</v>
      </c>
      <c r="B574" s="245">
        <v>552</v>
      </c>
      <c r="C574" s="258"/>
      <c r="D574" s="258"/>
      <c r="E574" s="246"/>
      <c r="F574" s="247" t="str">
        <f>IF(ISBLANK(E574), "", VLOOKUP(E574, Z!$A$2:$C$4127, 3, FALSE))</f>
        <v/>
      </c>
      <c r="G574" s="248"/>
      <c r="H574" s="248"/>
      <c r="I574" s="249"/>
      <c r="J574" s="250"/>
      <c r="K574" s="259"/>
      <c r="L574" s="260"/>
      <c r="M574" s="252" t="str" cm="1">
        <f t="array" ref="M574">INDEX(Trad, 53, $A$20)</f>
        <v>Verschmutzt</v>
      </c>
      <c r="N574" s="253"/>
      <c r="O574" s="253"/>
      <c r="P574" s="254"/>
      <c r="Q574" s="251"/>
      <c r="R574" s="251"/>
      <c r="S574" s="264">
        <f t="shared" si="611"/>
        <v>0</v>
      </c>
      <c r="T574" s="252" t="str" cm="1">
        <f t="array" ref="T574">INDEX(Trad, 52, $A$20)</f>
        <v>Sauber</v>
      </c>
      <c r="U574" s="253"/>
      <c r="V574" s="253"/>
      <c r="W574" s="254"/>
      <c r="X574" s="251"/>
      <c r="Y574" s="251"/>
      <c r="Z574" s="264">
        <f t="shared" si="612"/>
        <v>0</v>
      </c>
      <c r="AA574" s="261"/>
      <c r="AB574" s="258"/>
      <c r="AC574" s="246"/>
      <c r="AD574" s="247" t="str">
        <f>IF(ISBLANK(AC574), "", VLOOKUP(AC574, Z!$A$2:$C$4127, 3, FALSE))</f>
        <v/>
      </c>
      <c r="AE574" s="262"/>
      <c r="AF574" s="263">
        <f t="shared" si="613"/>
        <v>0</v>
      </c>
      <c r="AG574" s="238"/>
      <c r="AH574" s="229">
        <f t="shared" si="637"/>
        <v>1</v>
      </c>
      <c r="AI574" s="229">
        <f t="shared" si="638"/>
        <v>1</v>
      </c>
      <c r="AJ574" s="229">
        <f t="shared" si="639"/>
        <v>0</v>
      </c>
      <c r="AK574" s="229">
        <v>0</v>
      </c>
      <c r="AL574" s="229">
        <v>0</v>
      </c>
      <c r="AM574" s="229">
        <v>1</v>
      </c>
      <c r="AN574" s="229">
        <v>0</v>
      </c>
      <c r="AO574" s="229">
        <f t="shared" si="614"/>
        <v>-100</v>
      </c>
      <c r="AP574" s="238"/>
      <c r="AQ574" s="255"/>
      <c r="AR574" s="255"/>
      <c r="AS574" s="256"/>
      <c r="AT574" s="256"/>
      <c r="AU574" s="256"/>
      <c r="AV574" s="256"/>
      <c r="AW574" s="256"/>
      <c r="AX574" s="256"/>
      <c r="AY574" s="256"/>
      <c r="AZ574" s="256"/>
      <c r="BA574" s="256"/>
      <c r="BB574" s="256"/>
      <c r="BC574" s="256"/>
      <c r="BD574" s="238"/>
      <c r="BE574" s="229" cm="1">
        <f t="array" ref="BE574">IF(ISBLANK(R574), INDEX(Use, $AH574, 4) - AM574*INDEX(Use, $AH574, 6), R574)</f>
        <v>5</v>
      </c>
      <c r="BF574" s="229">
        <f t="shared" si="615"/>
        <v>30</v>
      </c>
      <c r="BG574" s="229">
        <f t="shared" si="603"/>
        <v>13</v>
      </c>
      <c r="BH574" s="229">
        <f t="shared" si="604"/>
        <v>0</v>
      </c>
      <c r="BI574" s="234" cm="1">
        <f t="array" ref="BI574">K574/IF($L574&gt;0, INDEX($AU$23:$BA$77, $L574+20, $AH574), 1)</f>
        <v>0</v>
      </c>
      <c r="BJ574" s="230">
        <f t="shared" si="616"/>
        <v>0</v>
      </c>
      <c r="BK574" s="229">
        <v>35</v>
      </c>
      <c r="BL574" s="230">
        <f t="shared" si="617"/>
        <v>48</v>
      </c>
      <c r="BM574" s="235">
        <f t="shared" si="618"/>
        <v>2.9108720930232557</v>
      </c>
      <c r="BN574" s="235" cm="1">
        <f t="array" ref="BN574">$BI574 * SUMPRODUCT(INDEX($AR$77:$AT$82,,$AI574),INDEX($AU$77:$BA$82,,$AH574), N($AQ$77:$AQ$82&gt;$AO574)) / BM574 / 1000</f>
        <v>0</v>
      </c>
      <c r="BO574" s="232">
        <f t="shared" si="605"/>
        <v>30</v>
      </c>
      <c r="BP574" s="230">
        <f t="shared" si="619"/>
        <v>43</v>
      </c>
      <c r="BQ574" s="235">
        <f t="shared" si="620"/>
        <v>3.2938815789473681</v>
      </c>
      <c r="BR574" s="235" cm="1">
        <f t="array" ref="BR574">$BI574 * IF($AH574&lt;=2,
SUMPRODUCT(INDEX($AR$72:$AT$76,,$AI574), INDEX($AU$72:$BA$76,,$AH574), 1 / ($BB$72:$BB$76*BQ574 + (1-$BB$72:$BB$76)*BM574), N($AQ$72:$AQ$76&gt;$AO574)),
SUMPRODUCT(INDEX($AR$67:$AT$76,,$AI574), INDEX($AU$67:$BA$76,,$AH574), 1 / ($BC$67:$BC$76*BQ574 + (1-$BC$67:$BC$76)*BM574), N($AQ$67:$AQ$76&gt;$AO574))
) / 1000</f>
        <v>0</v>
      </c>
      <c r="BS574" s="232">
        <f t="shared" si="606"/>
        <v>25</v>
      </c>
      <c r="BT574" s="230">
        <f t="shared" si="621"/>
        <v>38</v>
      </c>
      <c r="BU574" s="235">
        <f t="shared" si="622"/>
        <v>3.792954545454545</v>
      </c>
      <c r="BV574" s="235" cm="1">
        <f t="array" ref="BV574">$BI574 * IF($AH574&lt;=2,
SUMPRODUCT(INDEX($AR$67:$AT$71,,$AI574), INDEX($AU$67:$BA$71,,$AH574), 1 / ($BB$67:$BB$71*BU574 + (1-$BB$67:$BB$71)*BQ574), N($AQ$67:$AQ$71&gt;$AO574)),
SUMPRODUCT(INDEX($AR$57:$AT$66,,$AI574), INDEX($AU$57:$BA$66,,$AH574), 1 / ($BC$57:$BC$66*BU574 + (1-$BC$57:$BC$66)*BQ574), N($AQ$57:$AQ$66&gt;$AO574))
) / 1000</f>
        <v>0</v>
      </c>
      <c r="BW574" s="232">
        <f t="shared" si="607"/>
        <v>20</v>
      </c>
      <c r="BX574" s="230">
        <f t="shared" si="623"/>
        <v>33</v>
      </c>
      <c r="BY574" s="235">
        <f t="shared" si="624"/>
        <v>4.4702678571428569</v>
      </c>
      <c r="BZ574" s="235" cm="1">
        <f t="array" ref="BZ574">$BI574 * IF($AH574&lt;=2,
SUMPRODUCT(INDEX($AR$62:$AT$66,,$AI574), INDEX($AU$62:$BA$66,,$AH574), 1 / ($BB$62:$BB$66*BY574 + (1-$BB$62:$BB$66)*BU574), N($AQ$62:$AQ$66&gt;$AO574)),
SUMPRODUCT(INDEX($AR$47:$AT$56,,$AI574), INDEX($AU$47:$BA$56,,$AH574), 1 / ($BC$47:$BC$56*BY574 + (1-$BC$47:$BC$56)*BU574), N($AQ$47:$AQ$56&gt;$AO574))
) / 1000</f>
        <v>0</v>
      </c>
      <c r="CA574" s="235" cm="1">
        <f t="array" ref="CA574">$BI574 * IF($AH574&lt;=2,
SUMPRODUCT(INDEX($AR$23:$AT$61,,$AI574), INDEX($AU$23:$BA$61,,$AH574), 1 / ($BB$23:$BB$61*BY574), N($AQ$23:$AQ$61&gt;$AO574)),
SUMPRODUCT(INDEX($AR$23:$AT$46,,$AI574), INDEX($AU$23:$BA$46,,$AH574), 1 / ($BC$23:$BC$46*BY574), N($AQ$23:$AQ$46&gt;$AO574))
) / 1000</f>
        <v>0</v>
      </c>
      <c r="CB574" s="230">
        <f t="shared" si="625"/>
        <v>0</v>
      </c>
      <c r="CC574" s="238"/>
      <c r="CD574" s="229" cm="1">
        <f t="array" ref="CD574">IF(ISBLANK(Y574), INDEX(Use, $AH574, 4) - AN574*INDEX(Use, $AH574, 6) - (Q574-X574), Y574)</f>
        <v>7</v>
      </c>
      <c r="CE574" s="229">
        <f t="shared" si="626"/>
        <v>32</v>
      </c>
      <c r="CF574" s="230">
        <f t="shared" si="627"/>
        <v>0</v>
      </c>
      <c r="CG574" s="229">
        <v>35</v>
      </c>
      <c r="CH574" s="230">
        <f t="shared" si="628"/>
        <v>48</v>
      </c>
      <c r="CI574" s="235">
        <f t="shared" si="629"/>
        <v>3.0748170731707316</v>
      </c>
      <c r="CJ574" s="235" cm="1">
        <f t="array" ref="CJ574">$BI574 * SUMPRODUCT(INDEX($AR$77:$AT$82,,$AI574),INDEX($AU$77:$BA$82,,$AH574), N($AQ$77:$AQ$82&gt;$AO574)) / CI574 / 1000</f>
        <v>0</v>
      </c>
      <c r="CK574" s="232">
        <f t="shared" si="608"/>
        <v>30</v>
      </c>
      <c r="CL574" s="230">
        <f t="shared" si="630"/>
        <v>43</v>
      </c>
      <c r="CM574" s="235">
        <f t="shared" si="631"/>
        <v>3.5018750000000001</v>
      </c>
      <c r="CN574" s="235" cm="1">
        <f t="array" ref="CN574">$BI574 * IF($AH574&lt;=2,
SUMPRODUCT(INDEX($AR$72:$AT$76,,$AI574), INDEX($AU$72:$BA$76,,$AH574), 1 / ($BB$72:$BB$76*CM574 + (1-$BB$72:$BB$76)*CI574), N($AQ$72:$AQ$76&gt;$AO574)),
SUMPRODUCT(INDEX($AR$67:$AT$76,,$AI574), INDEX($AU$67:$BA$76,,$AH574), 1 / ($BC$67:$BC$76*CM574 + (1-$BC$67:$BC$76)*CI574), N($AQ$67:$AQ$76&gt;$AO574))
) / 1000</f>
        <v>0</v>
      </c>
      <c r="CO574" s="232">
        <f t="shared" si="609"/>
        <v>25</v>
      </c>
      <c r="CP574" s="230">
        <f t="shared" si="632"/>
        <v>38</v>
      </c>
      <c r="CQ574" s="235">
        <f t="shared" si="633"/>
        <v>4.0666935483870965</v>
      </c>
      <c r="CR574" s="235" cm="1">
        <f t="array" ref="CR574">$BI574 * IF($AH574&lt;=2,
SUMPRODUCT(INDEX($AR$67:$AT$71,,$AI574), INDEX($AU$67:$BA$71,,$AH574), 1 / ($BB$67:$BB$71*CQ574 + (1-$BB$67:$BB$71)*CM574), N($AQ$67:$AQ$71&gt;$AO574)),
SUMPRODUCT(INDEX($AR$57:$AT$66,,$AI574), INDEX($AU$57:$BA$66,,$AH574), 1 / ($BC$57:$BC$66*CQ574 + (1-$BC$57:$BC$66)*CM574), N($AQ$57:$AQ$66&gt;$AO574))
) / 1000</f>
        <v>0</v>
      </c>
      <c r="CS574" s="232">
        <f t="shared" si="610"/>
        <v>20</v>
      </c>
      <c r="CT574" s="230">
        <f t="shared" si="634"/>
        <v>33</v>
      </c>
      <c r="CU574" s="235">
        <f t="shared" si="635"/>
        <v>4.8487499999999999</v>
      </c>
      <c r="CV574" s="235" cm="1">
        <f t="array" ref="CV574">$BI574 * IF($AH574&lt;=2,
SUMPRODUCT(INDEX($AR$62:$AT$66,,$AI574), INDEX($AU$62:$BA$66,,$AH574), 1 / ($BB$62:$BB$66*CU574 + (1-$BB$62:$BB$66)*CQ574), N($AQ$62:$AQ$66&gt;$AO574)),
SUMPRODUCT(INDEX($AR$47:$AT$56,,$AI574), INDEX($AU$47:$BA$56,,$AH574), 1 / ($BC$47:$BC$56*CU574 + (1-$BC$47:$BC$56)*CQ574), N($AQ$47:$AQ$56&gt;$AO574))
) / 1000</f>
        <v>0</v>
      </c>
      <c r="CW574" s="235" cm="1">
        <f t="array" ref="CW574">$BI574 * IF($AH574&lt;=2,
SUMPRODUCT(INDEX($AR$23:$AT$61,,$AI574), INDEX($AU$23:$BA$61,,$AH574), 1 / ($BB$23:$BB$61*CU574), N($AQ$23:$AQ$61&gt;$AO574)),
SUMPRODUCT(INDEX($AR$23:$AT$46,,$AI574), INDEX($AU$23:$BA$46,,$AH574), 1 / ($BC$23:$BC$46*CU574), N($AQ$23:$AQ$46&gt;$AO574))
) / 1000</f>
        <v>0</v>
      </c>
      <c r="CX574" s="230">
        <f t="shared" si="636"/>
        <v>0</v>
      </c>
      <c r="CY574" s="238"/>
    </row>
    <row r="575" spans="1:103" s="76" customFormat="1" ht="14.25" customHeight="1" x14ac:dyDescent="0.2">
      <c r="A575" s="231" t="b">
        <f t="shared" si="602"/>
        <v>0</v>
      </c>
      <c r="B575" s="245">
        <v>553</v>
      </c>
      <c r="C575" s="258"/>
      <c r="D575" s="258"/>
      <c r="E575" s="246"/>
      <c r="F575" s="247" t="str">
        <f>IF(ISBLANK(E575), "", VLOOKUP(E575, Z!$A$2:$C$4127, 3, FALSE))</f>
        <v/>
      </c>
      <c r="G575" s="248"/>
      <c r="H575" s="248"/>
      <c r="I575" s="249"/>
      <c r="J575" s="250"/>
      <c r="K575" s="259"/>
      <c r="L575" s="260"/>
      <c r="M575" s="252" t="str" cm="1">
        <f t="array" ref="M575">INDEX(Trad, 53, $A$20)</f>
        <v>Verschmutzt</v>
      </c>
      <c r="N575" s="253"/>
      <c r="O575" s="253"/>
      <c r="P575" s="254"/>
      <c r="Q575" s="251"/>
      <c r="R575" s="251"/>
      <c r="S575" s="264">
        <f t="shared" si="611"/>
        <v>0</v>
      </c>
      <c r="T575" s="252" t="str" cm="1">
        <f t="array" ref="T575">INDEX(Trad, 52, $A$20)</f>
        <v>Sauber</v>
      </c>
      <c r="U575" s="253"/>
      <c r="V575" s="253"/>
      <c r="W575" s="254"/>
      <c r="X575" s="251"/>
      <c r="Y575" s="251"/>
      <c r="Z575" s="264">
        <f t="shared" si="612"/>
        <v>0</v>
      </c>
      <c r="AA575" s="261"/>
      <c r="AB575" s="258"/>
      <c r="AC575" s="246"/>
      <c r="AD575" s="247" t="str">
        <f>IF(ISBLANK(AC575), "", VLOOKUP(AC575, Z!$A$2:$C$4127, 3, FALSE))</f>
        <v/>
      </c>
      <c r="AE575" s="262"/>
      <c r="AF575" s="263">
        <f t="shared" si="613"/>
        <v>0</v>
      </c>
      <c r="AG575" s="238"/>
      <c r="AH575" s="229">
        <f t="shared" si="637"/>
        <v>1</v>
      </c>
      <c r="AI575" s="229">
        <f t="shared" si="638"/>
        <v>1</v>
      </c>
      <c r="AJ575" s="229">
        <f t="shared" si="639"/>
        <v>0</v>
      </c>
      <c r="AK575" s="229">
        <v>0</v>
      </c>
      <c r="AL575" s="229">
        <v>0</v>
      </c>
      <c r="AM575" s="229">
        <v>1</v>
      </c>
      <c r="AN575" s="229">
        <v>0</v>
      </c>
      <c r="AO575" s="229">
        <f t="shared" si="614"/>
        <v>-100</v>
      </c>
      <c r="AP575" s="238"/>
      <c r="AQ575" s="255"/>
      <c r="AR575" s="255"/>
      <c r="AS575" s="256"/>
      <c r="AT575" s="256"/>
      <c r="AU575" s="256"/>
      <c r="AV575" s="256"/>
      <c r="AW575" s="256"/>
      <c r="AX575" s="256"/>
      <c r="AY575" s="256"/>
      <c r="AZ575" s="256"/>
      <c r="BA575" s="256"/>
      <c r="BB575" s="256"/>
      <c r="BC575" s="256"/>
      <c r="BD575" s="238"/>
      <c r="BE575" s="229" cm="1">
        <f t="array" ref="BE575">IF(ISBLANK(R575), INDEX(Use, $AH575, 4) - AM575*INDEX(Use, $AH575, 6), R575)</f>
        <v>5</v>
      </c>
      <c r="BF575" s="229">
        <f t="shared" si="615"/>
        <v>30</v>
      </c>
      <c r="BG575" s="229">
        <f t="shared" si="603"/>
        <v>13</v>
      </c>
      <c r="BH575" s="229">
        <f t="shared" si="604"/>
        <v>0</v>
      </c>
      <c r="BI575" s="234" cm="1">
        <f t="array" ref="BI575">K575/IF($L575&gt;0, INDEX($AU$23:$BA$77, $L575+20, $AH575), 1)</f>
        <v>0</v>
      </c>
      <c r="BJ575" s="230">
        <f t="shared" si="616"/>
        <v>0</v>
      </c>
      <c r="BK575" s="229">
        <v>35</v>
      </c>
      <c r="BL575" s="230">
        <f t="shared" si="617"/>
        <v>48</v>
      </c>
      <c r="BM575" s="235">
        <f t="shared" si="618"/>
        <v>2.9108720930232557</v>
      </c>
      <c r="BN575" s="235" cm="1">
        <f t="array" ref="BN575">$BI575 * SUMPRODUCT(INDEX($AR$77:$AT$82,,$AI575),INDEX($AU$77:$BA$82,,$AH575), N($AQ$77:$AQ$82&gt;$AO575)) / BM575 / 1000</f>
        <v>0</v>
      </c>
      <c r="BO575" s="232">
        <f t="shared" si="605"/>
        <v>30</v>
      </c>
      <c r="BP575" s="230">
        <f t="shared" si="619"/>
        <v>43</v>
      </c>
      <c r="BQ575" s="235">
        <f t="shared" si="620"/>
        <v>3.2938815789473681</v>
      </c>
      <c r="BR575" s="235" cm="1">
        <f t="array" ref="BR575">$BI575 * IF($AH575&lt;=2,
SUMPRODUCT(INDEX($AR$72:$AT$76,,$AI575), INDEX($AU$72:$BA$76,,$AH575), 1 / ($BB$72:$BB$76*BQ575 + (1-$BB$72:$BB$76)*BM575), N($AQ$72:$AQ$76&gt;$AO575)),
SUMPRODUCT(INDEX($AR$67:$AT$76,,$AI575), INDEX($AU$67:$BA$76,,$AH575), 1 / ($BC$67:$BC$76*BQ575 + (1-$BC$67:$BC$76)*BM575), N($AQ$67:$AQ$76&gt;$AO575))
) / 1000</f>
        <v>0</v>
      </c>
      <c r="BS575" s="232">
        <f t="shared" si="606"/>
        <v>25</v>
      </c>
      <c r="BT575" s="230">
        <f t="shared" si="621"/>
        <v>38</v>
      </c>
      <c r="BU575" s="235">
        <f t="shared" si="622"/>
        <v>3.792954545454545</v>
      </c>
      <c r="BV575" s="235" cm="1">
        <f t="array" ref="BV575">$BI575 * IF($AH575&lt;=2,
SUMPRODUCT(INDEX($AR$67:$AT$71,,$AI575), INDEX($AU$67:$BA$71,,$AH575), 1 / ($BB$67:$BB$71*BU575 + (1-$BB$67:$BB$71)*BQ575), N($AQ$67:$AQ$71&gt;$AO575)),
SUMPRODUCT(INDEX($AR$57:$AT$66,,$AI575), INDEX($AU$57:$BA$66,,$AH575), 1 / ($BC$57:$BC$66*BU575 + (1-$BC$57:$BC$66)*BQ575), N($AQ$57:$AQ$66&gt;$AO575))
) / 1000</f>
        <v>0</v>
      </c>
      <c r="BW575" s="232">
        <f t="shared" si="607"/>
        <v>20</v>
      </c>
      <c r="BX575" s="230">
        <f t="shared" si="623"/>
        <v>33</v>
      </c>
      <c r="BY575" s="235">
        <f t="shared" si="624"/>
        <v>4.4702678571428569</v>
      </c>
      <c r="BZ575" s="235" cm="1">
        <f t="array" ref="BZ575">$BI575 * IF($AH575&lt;=2,
SUMPRODUCT(INDEX($AR$62:$AT$66,,$AI575), INDEX($AU$62:$BA$66,,$AH575), 1 / ($BB$62:$BB$66*BY575 + (1-$BB$62:$BB$66)*BU575), N($AQ$62:$AQ$66&gt;$AO575)),
SUMPRODUCT(INDEX($AR$47:$AT$56,,$AI575), INDEX($AU$47:$BA$56,,$AH575), 1 / ($BC$47:$BC$56*BY575 + (1-$BC$47:$BC$56)*BU575), N($AQ$47:$AQ$56&gt;$AO575))
) / 1000</f>
        <v>0</v>
      </c>
      <c r="CA575" s="235" cm="1">
        <f t="array" ref="CA575">$BI575 * IF($AH575&lt;=2,
SUMPRODUCT(INDEX($AR$23:$AT$61,,$AI575), INDEX($AU$23:$BA$61,,$AH575), 1 / ($BB$23:$BB$61*BY575), N($AQ$23:$AQ$61&gt;$AO575)),
SUMPRODUCT(INDEX($AR$23:$AT$46,,$AI575), INDEX($AU$23:$BA$46,,$AH575), 1 / ($BC$23:$BC$46*BY575), N($AQ$23:$AQ$46&gt;$AO575))
) / 1000</f>
        <v>0</v>
      </c>
      <c r="CB575" s="230">
        <f t="shared" si="625"/>
        <v>0</v>
      </c>
      <c r="CC575" s="238"/>
      <c r="CD575" s="229" cm="1">
        <f t="array" ref="CD575">IF(ISBLANK(Y575), INDEX(Use, $AH575, 4) - AN575*INDEX(Use, $AH575, 6) - (Q575-X575), Y575)</f>
        <v>7</v>
      </c>
      <c r="CE575" s="229">
        <f t="shared" si="626"/>
        <v>32</v>
      </c>
      <c r="CF575" s="230">
        <f t="shared" si="627"/>
        <v>0</v>
      </c>
      <c r="CG575" s="229">
        <v>35</v>
      </c>
      <c r="CH575" s="230">
        <f t="shared" si="628"/>
        <v>48</v>
      </c>
      <c r="CI575" s="235">
        <f t="shared" si="629"/>
        <v>3.0748170731707316</v>
      </c>
      <c r="CJ575" s="235" cm="1">
        <f t="array" ref="CJ575">$BI575 * SUMPRODUCT(INDEX($AR$77:$AT$82,,$AI575),INDEX($AU$77:$BA$82,,$AH575), N($AQ$77:$AQ$82&gt;$AO575)) / CI575 / 1000</f>
        <v>0</v>
      </c>
      <c r="CK575" s="232">
        <f t="shared" si="608"/>
        <v>30</v>
      </c>
      <c r="CL575" s="230">
        <f t="shared" si="630"/>
        <v>43</v>
      </c>
      <c r="CM575" s="235">
        <f t="shared" si="631"/>
        <v>3.5018750000000001</v>
      </c>
      <c r="CN575" s="235" cm="1">
        <f t="array" ref="CN575">$BI575 * IF($AH575&lt;=2,
SUMPRODUCT(INDEX($AR$72:$AT$76,,$AI575), INDEX($AU$72:$BA$76,,$AH575), 1 / ($BB$72:$BB$76*CM575 + (1-$BB$72:$BB$76)*CI575), N($AQ$72:$AQ$76&gt;$AO575)),
SUMPRODUCT(INDEX($AR$67:$AT$76,,$AI575), INDEX($AU$67:$BA$76,,$AH575), 1 / ($BC$67:$BC$76*CM575 + (1-$BC$67:$BC$76)*CI575), N($AQ$67:$AQ$76&gt;$AO575))
) / 1000</f>
        <v>0</v>
      </c>
      <c r="CO575" s="232">
        <f t="shared" si="609"/>
        <v>25</v>
      </c>
      <c r="CP575" s="230">
        <f t="shared" si="632"/>
        <v>38</v>
      </c>
      <c r="CQ575" s="235">
        <f t="shared" si="633"/>
        <v>4.0666935483870965</v>
      </c>
      <c r="CR575" s="235" cm="1">
        <f t="array" ref="CR575">$BI575 * IF($AH575&lt;=2,
SUMPRODUCT(INDEX($AR$67:$AT$71,,$AI575), INDEX($AU$67:$BA$71,,$AH575), 1 / ($BB$67:$BB$71*CQ575 + (1-$BB$67:$BB$71)*CM575), N($AQ$67:$AQ$71&gt;$AO575)),
SUMPRODUCT(INDEX($AR$57:$AT$66,,$AI575), INDEX($AU$57:$BA$66,,$AH575), 1 / ($BC$57:$BC$66*CQ575 + (1-$BC$57:$BC$66)*CM575), N($AQ$57:$AQ$66&gt;$AO575))
) / 1000</f>
        <v>0</v>
      </c>
      <c r="CS575" s="232">
        <f t="shared" si="610"/>
        <v>20</v>
      </c>
      <c r="CT575" s="230">
        <f t="shared" si="634"/>
        <v>33</v>
      </c>
      <c r="CU575" s="235">
        <f t="shared" si="635"/>
        <v>4.8487499999999999</v>
      </c>
      <c r="CV575" s="235" cm="1">
        <f t="array" ref="CV575">$BI575 * IF($AH575&lt;=2,
SUMPRODUCT(INDEX($AR$62:$AT$66,,$AI575), INDEX($AU$62:$BA$66,,$AH575), 1 / ($BB$62:$BB$66*CU575 + (1-$BB$62:$BB$66)*CQ575), N($AQ$62:$AQ$66&gt;$AO575)),
SUMPRODUCT(INDEX($AR$47:$AT$56,,$AI575), INDEX($AU$47:$BA$56,,$AH575), 1 / ($BC$47:$BC$56*CU575 + (1-$BC$47:$BC$56)*CQ575), N($AQ$47:$AQ$56&gt;$AO575))
) / 1000</f>
        <v>0</v>
      </c>
      <c r="CW575" s="235" cm="1">
        <f t="array" ref="CW575">$BI575 * IF($AH575&lt;=2,
SUMPRODUCT(INDEX($AR$23:$AT$61,,$AI575), INDEX($AU$23:$BA$61,,$AH575), 1 / ($BB$23:$BB$61*CU575), N($AQ$23:$AQ$61&gt;$AO575)),
SUMPRODUCT(INDEX($AR$23:$AT$46,,$AI575), INDEX($AU$23:$BA$46,,$AH575), 1 / ($BC$23:$BC$46*CU575), N($AQ$23:$AQ$46&gt;$AO575))
) / 1000</f>
        <v>0</v>
      </c>
      <c r="CX575" s="230">
        <f t="shared" si="636"/>
        <v>0</v>
      </c>
      <c r="CY575" s="238"/>
    </row>
    <row r="576" spans="1:103" s="76" customFormat="1" ht="14.25" customHeight="1" x14ac:dyDescent="0.2">
      <c r="A576" s="231" t="b">
        <f t="shared" si="602"/>
        <v>0</v>
      </c>
      <c r="B576" s="245">
        <v>554</v>
      </c>
      <c r="C576" s="258"/>
      <c r="D576" s="258"/>
      <c r="E576" s="246"/>
      <c r="F576" s="247" t="str">
        <f>IF(ISBLANK(E576), "", VLOOKUP(E576, Z!$A$2:$C$4127, 3, FALSE))</f>
        <v/>
      </c>
      <c r="G576" s="248"/>
      <c r="H576" s="248"/>
      <c r="I576" s="249"/>
      <c r="J576" s="250"/>
      <c r="K576" s="259"/>
      <c r="L576" s="260"/>
      <c r="M576" s="252" t="str" cm="1">
        <f t="array" ref="M576">INDEX(Trad, 53, $A$20)</f>
        <v>Verschmutzt</v>
      </c>
      <c r="N576" s="253"/>
      <c r="O576" s="253"/>
      <c r="P576" s="254"/>
      <c r="Q576" s="251"/>
      <c r="R576" s="251"/>
      <c r="S576" s="264">
        <f t="shared" si="611"/>
        <v>0</v>
      </c>
      <c r="T576" s="252" t="str" cm="1">
        <f t="array" ref="T576">INDEX(Trad, 52, $A$20)</f>
        <v>Sauber</v>
      </c>
      <c r="U576" s="253"/>
      <c r="V576" s="253"/>
      <c r="W576" s="254"/>
      <c r="X576" s="251"/>
      <c r="Y576" s="251"/>
      <c r="Z576" s="264">
        <f t="shared" si="612"/>
        <v>0</v>
      </c>
      <c r="AA576" s="261"/>
      <c r="AB576" s="258"/>
      <c r="AC576" s="246"/>
      <c r="AD576" s="247" t="str">
        <f>IF(ISBLANK(AC576), "", VLOOKUP(AC576, Z!$A$2:$C$4127, 3, FALSE))</f>
        <v/>
      </c>
      <c r="AE576" s="262"/>
      <c r="AF576" s="263">
        <f t="shared" si="613"/>
        <v>0</v>
      </c>
      <c r="AG576" s="238"/>
      <c r="AH576" s="229">
        <f t="shared" si="637"/>
        <v>1</v>
      </c>
      <c r="AI576" s="229">
        <f t="shared" si="638"/>
        <v>1</v>
      </c>
      <c r="AJ576" s="229">
        <f t="shared" si="639"/>
        <v>0</v>
      </c>
      <c r="AK576" s="229">
        <v>0</v>
      </c>
      <c r="AL576" s="229">
        <v>0</v>
      </c>
      <c r="AM576" s="229">
        <v>1</v>
      </c>
      <c r="AN576" s="229">
        <v>0</v>
      </c>
      <c r="AO576" s="229">
        <f t="shared" si="614"/>
        <v>-100</v>
      </c>
      <c r="AP576" s="238"/>
      <c r="AQ576" s="255"/>
      <c r="AR576" s="255"/>
      <c r="AS576" s="256"/>
      <c r="AT576" s="256"/>
      <c r="AU576" s="256"/>
      <c r="AV576" s="256"/>
      <c r="AW576" s="256"/>
      <c r="AX576" s="256"/>
      <c r="AY576" s="256"/>
      <c r="AZ576" s="256"/>
      <c r="BA576" s="256"/>
      <c r="BB576" s="256"/>
      <c r="BC576" s="256"/>
      <c r="BD576" s="238"/>
      <c r="BE576" s="229" cm="1">
        <f t="array" ref="BE576">IF(ISBLANK(R576), INDEX(Use, $AH576, 4) - AM576*INDEX(Use, $AH576, 6), R576)</f>
        <v>5</v>
      </c>
      <c r="BF576" s="229">
        <f t="shared" si="615"/>
        <v>30</v>
      </c>
      <c r="BG576" s="229">
        <f t="shared" si="603"/>
        <v>13</v>
      </c>
      <c r="BH576" s="229">
        <f t="shared" si="604"/>
        <v>0</v>
      </c>
      <c r="BI576" s="234" cm="1">
        <f t="array" ref="BI576">K576/IF($L576&gt;0, INDEX($AU$23:$BA$77, $L576+20, $AH576), 1)</f>
        <v>0</v>
      </c>
      <c r="BJ576" s="230">
        <f t="shared" si="616"/>
        <v>0</v>
      </c>
      <c r="BK576" s="229">
        <v>35</v>
      </c>
      <c r="BL576" s="230">
        <f t="shared" si="617"/>
        <v>48</v>
      </c>
      <c r="BM576" s="235">
        <f t="shared" si="618"/>
        <v>2.9108720930232557</v>
      </c>
      <c r="BN576" s="235" cm="1">
        <f t="array" ref="BN576">$BI576 * SUMPRODUCT(INDEX($AR$77:$AT$82,,$AI576),INDEX($AU$77:$BA$82,,$AH576), N($AQ$77:$AQ$82&gt;$AO576)) / BM576 / 1000</f>
        <v>0</v>
      </c>
      <c r="BO576" s="232">
        <f t="shared" si="605"/>
        <v>30</v>
      </c>
      <c r="BP576" s="230">
        <f t="shared" si="619"/>
        <v>43</v>
      </c>
      <c r="BQ576" s="235">
        <f t="shared" si="620"/>
        <v>3.2938815789473681</v>
      </c>
      <c r="BR576" s="235" cm="1">
        <f t="array" ref="BR576">$BI576 * IF($AH576&lt;=2,
SUMPRODUCT(INDEX($AR$72:$AT$76,,$AI576), INDEX($AU$72:$BA$76,,$AH576), 1 / ($BB$72:$BB$76*BQ576 + (1-$BB$72:$BB$76)*BM576), N($AQ$72:$AQ$76&gt;$AO576)),
SUMPRODUCT(INDEX($AR$67:$AT$76,,$AI576), INDEX($AU$67:$BA$76,,$AH576), 1 / ($BC$67:$BC$76*BQ576 + (1-$BC$67:$BC$76)*BM576), N($AQ$67:$AQ$76&gt;$AO576))
) / 1000</f>
        <v>0</v>
      </c>
      <c r="BS576" s="232">
        <f t="shared" si="606"/>
        <v>25</v>
      </c>
      <c r="BT576" s="230">
        <f t="shared" si="621"/>
        <v>38</v>
      </c>
      <c r="BU576" s="235">
        <f t="shared" si="622"/>
        <v>3.792954545454545</v>
      </c>
      <c r="BV576" s="235" cm="1">
        <f t="array" ref="BV576">$BI576 * IF($AH576&lt;=2,
SUMPRODUCT(INDEX($AR$67:$AT$71,,$AI576), INDEX($AU$67:$BA$71,,$AH576), 1 / ($BB$67:$BB$71*BU576 + (1-$BB$67:$BB$71)*BQ576), N($AQ$67:$AQ$71&gt;$AO576)),
SUMPRODUCT(INDEX($AR$57:$AT$66,,$AI576), INDEX($AU$57:$BA$66,,$AH576), 1 / ($BC$57:$BC$66*BU576 + (1-$BC$57:$BC$66)*BQ576), N($AQ$57:$AQ$66&gt;$AO576))
) / 1000</f>
        <v>0</v>
      </c>
      <c r="BW576" s="232">
        <f t="shared" si="607"/>
        <v>20</v>
      </c>
      <c r="BX576" s="230">
        <f t="shared" si="623"/>
        <v>33</v>
      </c>
      <c r="BY576" s="235">
        <f t="shared" si="624"/>
        <v>4.4702678571428569</v>
      </c>
      <c r="BZ576" s="235" cm="1">
        <f t="array" ref="BZ576">$BI576 * IF($AH576&lt;=2,
SUMPRODUCT(INDEX($AR$62:$AT$66,,$AI576), INDEX($AU$62:$BA$66,,$AH576), 1 / ($BB$62:$BB$66*BY576 + (1-$BB$62:$BB$66)*BU576), N($AQ$62:$AQ$66&gt;$AO576)),
SUMPRODUCT(INDEX($AR$47:$AT$56,,$AI576), INDEX($AU$47:$BA$56,,$AH576), 1 / ($BC$47:$BC$56*BY576 + (1-$BC$47:$BC$56)*BU576), N($AQ$47:$AQ$56&gt;$AO576))
) / 1000</f>
        <v>0</v>
      </c>
      <c r="CA576" s="235" cm="1">
        <f t="array" ref="CA576">$BI576 * IF($AH576&lt;=2,
SUMPRODUCT(INDEX($AR$23:$AT$61,,$AI576), INDEX($AU$23:$BA$61,,$AH576), 1 / ($BB$23:$BB$61*BY576), N($AQ$23:$AQ$61&gt;$AO576)),
SUMPRODUCT(INDEX($AR$23:$AT$46,,$AI576), INDEX($AU$23:$BA$46,,$AH576), 1 / ($BC$23:$BC$46*BY576), N($AQ$23:$AQ$46&gt;$AO576))
) / 1000</f>
        <v>0</v>
      </c>
      <c r="CB576" s="230">
        <f t="shared" si="625"/>
        <v>0</v>
      </c>
      <c r="CC576" s="238"/>
      <c r="CD576" s="229" cm="1">
        <f t="array" ref="CD576">IF(ISBLANK(Y576), INDEX(Use, $AH576, 4) - AN576*INDEX(Use, $AH576, 6) - (Q576-X576), Y576)</f>
        <v>7</v>
      </c>
      <c r="CE576" s="229">
        <f t="shared" si="626"/>
        <v>32</v>
      </c>
      <c r="CF576" s="230">
        <f t="shared" si="627"/>
        <v>0</v>
      </c>
      <c r="CG576" s="229">
        <v>35</v>
      </c>
      <c r="CH576" s="230">
        <f t="shared" si="628"/>
        <v>48</v>
      </c>
      <c r="CI576" s="235">
        <f t="shared" si="629"/>
        <v>3.0748170731707316</v>
      </c>
      <c r="CJ576" s="235" cm="1">
        <f t="array" ref="CJ576">$BI576 * SUMPRODUCT(INDEX($AR$77:$AT$82,,$AI576),INDEX($AU$77:$BA$82,,$AH576), N($AQ$77:$AQ$82&gt;$AO576)) / CI576 / 1000</f>
        <v>0</v>
      </c>
      <c r="CK576" s="232">
        <f t="shared" si="608"/>
        <v>30</v>
      </c>
      <c r="CL576" s="230">
        <f t="shared" si="630"/>
        <v>43</v>
      </c>
      <c r="CM576" s="235">
        <f t="shared" si="631"/>
        <v>3.5018750000000001</v>
      </c>
      <c r="CN576" s="235" cm="1">
        <f t="array" ref="CN576">$BI576 * IF($AH576&lt;=2,
SUMPRODUCT(INDEX($AR$72:$AT$76,,$AI576), INDEX($AU$72:$BA$76,,$AH576), 1 / ($BB$72:$BB$76*CM576 + (1-$BB$72:$BB$76)*CI576), N($AQ$72:$AQ$76&gt;$AO576)),
SUMPRODUCT(INDEX($AR$67:$AT$76,,$AI576), INDEX($AU$67:$BA$76,,$AH576), 1 / ($BC$67:$BC$76*CM576 + (1-$BC$67:$BC$76)*CI576), N($AQ$67:$AQ$76&gt;$AO576))
) / 1000</f>
        <v>0</v>
      </c>
      <c r="CO576" s="232">
        <f t="shared" si="609"/>
        <v>25</v>
      </c>
      <c r="CP576" s="230">
        <f t="shared" si="632"/>
        <v>38</v>
      </c>
      <c r="CQ576" s="235">
        <f t="shared" si="633"/>
        <v>4.0666935483870965</v>
      </c>
      <c r="CR576" s="235" cm="1">
        <f t="array" ref="CR576">$BI576 * IF($AH576&lt;=2,
SUMPRODUCT(INDEX($AR$67:$AT$71,,$AI576), INDEX($AU$67:$BA$71,,$AH576), 1 / ($BB$67:$BB$71*CQ576 + (1-$BB$67:$BB$71)*CM576), N($AQ$67:$AQ$71&gt;$AO576)),
SUMPRODUCT(INDEX($AR$57:$AT$66,,$AI576), INDEX($AU$57:$BA$66,,$AH576), 1 / ($BC$57:$BC$66*CQ576 + (1-$BC$57:$BC$66)*CM576), N($AQ$57:$AQ$66&gt;$AO576))
) / 1000</f>
        <v>0</v>
      </c>
      <c r="CS576" s="232">
        <f t="shared" si="610"/>
        <v>20</v>
      </c>
      <c r="CT576" s="230">
        <f t="shared" si="634"/>
        <v>33</v>
      </c>
      <c r="CU576" s="235">
        <f t="shared" si="635"/>
        <v>4.8487499999999999</v>
      </c>
      <c r="CV576" s="235" cm="1">
        <f t="array" ref="CV576">$BI576 * IF($AH576&lt;=2,
SUMPRODUCT(INDEX($AR$62:$AT$66,,$AI576), INDEX($AU$62:$BA$66,,$AH576), 1 / ($BB$62:$BB$66*CU576 + (1-$BB$62:$BB$66)*CQ576), N($AQ$62:$AQ$66&gt;$AO576)),
SUMPRODUCT(INDEX($AR$47:$AT$56,,$AI576), INDEX($AU$47:$BA$56,,$AH576), 1 / ($BC$47:$BC$56*CU576 + (1-$BC$47:$BC$56)*CQ576), N($AQ$47:$AQ$56&gt;$AO576))
) / 1000</f>
        <v>0</v>
      </c>
      <c r="CW576" s="235" cm="1">
        <f t="array" ref="CW576">$BI576 * IF($AH576&lt;=2,
SUMPRODUCT(INDEX($AR$23:$AT$61,,$AI576), INDEX($AU$23:$BA$61,,$AH576), 1 / ($BB$23:$BB$61*CU576), N($AQ$23:$AQ$61&gt;$AO576)),
SUMPRODUCT(INDEX($AR$23:$AT$46,,$AI576), INDEX($AU$23:$BA$46,,$AH576), 1 / ($BC$23:$BC$46*CU576), N($AQ$23:$AQ$46&gt;$AO576))
) / 1000</f>
        <v>0</v>
      </c>
      <c r="CX576" s="230">
        <f t="shared" si="636"/>
        <v>0</v>
      </c>
      <c r="CY576" s="238"/>
    </row>
    <row r="577" spans="1:103" s="76" customFormat="1" ht="14.25" customHeight="1" x14ac:dyDescent="0.2">
      <c r="A577" s="231" t="b">
        <f t="shared" si="602"/>
        <v>0</v>
      </c>
      <c r="B577" s="245">
        <v>555</v>
      </c>
      <c r="C577" s="258"/>
      <c r="D577" s="258"/>
      <c r="E577" s="246"/>
      <c r="F577" s="247" t="str">
        <f>IF(ISBLANK(E577), "", VLOOKUP(E577, Z!$A$2:$C$4127, 3, FALSE))</f>
        <v/>
      </c>
      <c r="G577" s="248"/>
      <c r="H577" s="248"/>
      <c r="I577" s="249"/>
      <c r="J577" s="250"/>
      <c r="K577" s="259"/>
      <c r="L577" s="260"/>
      <c r="M577" s="252" t="str" cm="1">
        <f t="array" ref="M577">INDEX(Trad, 53, $A$20)</f>
        <v>Verschmutzt</v>
      </c>
      <c r="N577" s="253"/>
      <c r="O577" s="253"/>
      <c r="P577" s="254"/>
      <c r="Q577" s="251"/>
      <c r="R577" s="251"/>
      <c r="S577" s="264">
        <f t="shared" si="611"/>
        <v>0</v>
      </c>
      <c r="T577" s="252" t="str" cm="1">
        <f t="array" ref="T577">INDEX(Trad, 52, $A$20)</f>
        <v>Sauber</v>
      </c>
      <c r="U577" s="253"/>
      <c r="V577" s="253"/>
      <c r="W577" s="254"/>
      <c r="X577" s="251"/>
      <c r="Y577" s="251"/>
      <c r="Z577" s="264">
        <f t="shared" si="612"/>
        <v>0</v>
      </c>
      <c r="AA577" s="261"/>
      <c r="AB577" s="258"/>
      <c r="AC577" s="246"/>
      <c r="AD577" s="247" t="str">
        <f>IF(ISBLANK(AC577), "", VLOOKUP(AC577, Z!$A$2:$C$4127, 3, FALSE))</f>
        <v/>
      </c>
      <c r="AE577" s="262"/>
      <c r="AF577" s="263">
        <f t="shared" si="613"/>
        <v>0</v>
      </c>
      <c r="AG577" s="238"/>
      <c r="AH577" s="229">
        <f t="shared" si="637"/>
        <v>1</v>
      </c>
      <c r="AI577" s="229">
        <f t="shared" si="638"/>
        <v>1</v>
      </c>
      <c r="AJ577" s="229">
        <f t="shared" si="639"/>
        <v>0</v>
      </c>
      <c r="AK577" s="229">
        <v>0</v>
      </c>
      <c r="AL577" s="229">
        <v>0</v>
      </c>
      <c r="AM577" s="229">
        <v>1</v>
      </c>
      <c r="AN577" s="229">
        <v>0</v>
      </c>
      <c r="AO577" s="229">
        <f t="shared" si="614"/>
        <v>-100</v>
      </c>
      <c r="AP577" s="238"/>
      <c r="AQ577" s="255"/>
      <c r="AR577" s="255"/>
      <c r="AS577" s="256"/>
      <c r="AT577" s="256"/>
      <c r="AU577" s="256"/>
      <c r="AV577" s="256"/>
      <c r="AW577" s="256"/>
      <c r="AX577" s="256"/>
      <c r="AY577" s="256"/>
      <c r="AZ577" s="256"/>
      <c r="BA577" s="256"/>
      <c r="BB577" s="256"/>
      <c r="BC577" s="256"/>
      <c r="BD577" s="238"/>
      <c r="BE577" s="229" cm="1">
        <f t="array" ref="BE577">IF(ISBLANK(R577), INDEX(Use, $AH577, 4) - AM577*INDEX(Use, $AH577, 6), R577)</f>
        <v>5</v>
      </c>
      <c r="BF577" s="229">
        <f t="shared" si="615"/>
        <v>30</v>
      </c>
      <c r="BG577" s="229">
        <f t="shared" si="603"/>
        <v>13</v>
      </c>
      <c r="BH577" s="229">
        <f t="shared" si="604"/>
        <v>0</v>
      </c>
      <c r="BI577" s="234" cm="1">
        <f t="array" ref="BI577">K577/IF($L577&gt;0, INDEX($AU$23:$BA$77, $L577+20, $AH577), 1)</f>
        <v>0</v>
      </c>
      <c r="BJ577" s="230">
        <f t="shared" si="616"/>
        <v>0</v>
      </c>
      <c r="BK577" s="229">
        <v>35</v>
      </c>
      <c r="BL577" s="230">
        <f t="shared" si="617"/>
        <v>48</v>
      </c>
      <c r="BM577" s="235">
        <f t="shared" si="618"/>
        <v>2.9108720930232557</v>
      </c>
      <c r="BN577" s="235" cm="1">
        <f t="array" ref="BN577">$BI577 * SUMPRODUCT(INDEX($AR$77:$AT$82,,$AI577),INDEX($AU$77:$BA$82,,$AH577), N($AQ$77:$AQ$82&gt;$AO577)) / BM577 / 1000</f>
        <v>0</v>
      </c>
      <c r="BO577" s="232">
        <f t="shared" si="605"/>
        <v>30</v>
      </c>
      <c r="BP577" s="230">
        <f t="shared" si="619"/>
        <v>43</v>
      </c>
      <c r="BQ577" s="235">
        <f t="shared" si="620"/>
        <v>3.2938815789473681</v>
      </c>
      <c r="BR577" s="235" cm="1">
        <f t="array" ref="BR577">$BI577 * IF($AH577&lt;=2,
SUMPRODUCT(INDEX($AR$72:$AT$76,,$AI577), INDEX($AU$72:$BA$76,,$AH577), 1 / ($BB$72:$BB$76*BQ577 + (1-$BB$72:$BB$76)*BM577), N($AQ$72:$AQ$76&gt;$AO577)),
SUMPRODUCT(INDEX($AR$67:$AT$76,,$AI577), INDEX($AU$67:$BA$76,,$AH577), 1 / ($BC$67:$BC$76*BQ577 + (1-$BC$67:$BC$76)*BM577), N($AQ$67:$AQ$76&gt;$AO577))
) / 1000</f>
        <v>0</v>
      </c>
      <c r="BS577" s="232">
        <f t="shared" si="606"/>
        <v>25</v>
      </c>
      <c r="BT577" s="230">
        <f t="shared" si="621"/>
        <v>38</v>
      </c>
      <c r="BU577" s="235">
        <f t="shared" si="622"/>
        <v>3.792954545454545</v>
      </c>
      <c r="BV577" s="235" cm="1">
        <f t="array" ref="BV577">$BI577 * IF($AH577&lt;=2,
SUMPRODUCT(INDEX($AR$67:$AT$71,,$AI577), INDEX($AU$67:$BA$71,,$AH577), 1 / ($BB$67:$BB$71*BU577 + (1-$BB$67:$BB$71)*BQ577), N($AQ$67:$AQ$71&gt;$AO577)),
SUMPRODUCT(INDEX($AR$57:$AT$66,,$AI577), INDEX($AU$57:$BA$66,,$AH577), 1 / ($BC$57:$BC$66*BU577 + (1-$BC$57:$BC$66)*BQ577), N($AQ$57:$AQ$66&gt;$AO577))
) / 1000</f>
        <v>0</v>
      </c>
      <c r="BW577" s="232">
        <f t="shared" si="607"/>
        <v>20</v>
      </c>
      <c r="BX577" s="230">
        <f t="shared" si="623"/>
        <v>33</v>
      </c>
      <c r="BY577" s="235">
        <f t="shared" si="624"/>
        <v>4.4702678571428569</v>
      </c>
      <c r="BZ577" s="235" cm="1">
        <f t="array" ref="BZ577">$BI577 * IF($AH577&lt;=2,
SUMPRODUCT(INDEX($AR$62:$AT$66,,$AI577), INDEX($AU$62:$BA$66,,$AH577), 1 / ($BB$62:$BB$66*BY577 + (1-$BB$62:$BB$66)*BU577), N($AQ$62:$AQ$66&gt;$AO577)),
SUMPRODUCT(INDEX($AR$47:$AT$56,,$AI577), INDEX($AU$47:$BA$56,,$AH577), 1 / ($BC$47:$BC$56*BY577 + (1-$BC$47:$BC$56)*BU577), N($AQ$47:$AQ$56&gt;$AO577))
) / 1000</f>
        <v>0</v>
      </c>
      <c r="CA577" s="235" cm="1">
        <f t="array" ref="CA577">$BI577 * IF($AH577&lt;=2,
SUMPRODUCT(INDEX($AR$23:$AT$61,,$AI577), INDEX($AU$23:$BA$61,,$AH577), 1 / ($BB$23:$BB$61*BY577), N($AQ$23:$AQ$61&gt;$AO577)),
SUMPRODUCT(INDEX($AR$23:$AT$46,,$AI577), INDEX($AU$23:$BA$46,,$AH577), 1 / ($BC$23:$BC$46*BY577), N($AQ$23:$AQ$46&gt;$AO577))
) / 1000</f>
        <v>0</v>
      </c>
      <c r="CB577" s="230">
        <f t="shared" si="625"/>
        <v>0</v>
      </c>
      <c r="CC577" s="238"/>
      <c r="CD577" s="229" cm="1">
        <f t="array" ref="CD577">IF(ISBLANK(Y577), INDEX(Use, $AH577, 4) - AN577*INDEX(Use, $AH577, 6) - (Q577-X577), Y577)</f>
        <v>7</v>
      </c>
      <c r="CE577" s="229">
        <f t="shared" si="626"/>
        <v>32</v>
      </c>
      <c r="CF577" s="230">
        <f t="shared" si="627"/>
        <v>0</v>
      </c>
      <c r="CG577" s="229">
        <v>35</v>
      </c>
      <c r="CH577" s="230">
        <f t="shared" si="628"/>
        <v>48</v>
      </c>
      <c r="CI577" s="235">
        <f t="shared" si="629"/>
        <v>3.0748170731707316</v>
      </c>
      <c r="CJ577" s="235" cm="1">
        <f t="array" ref="CJ577">$BI577 * SUMPRODUCT(INDEX($AR$77:$AT$82,,$AI577),INDEX($AU$77:$BA$82,,$AH577), N($AQ$77:$AQ$82&gt;$AO577)) / CI577 / 1000</f>
        <v>0</v>
      </c>
      <c r="CK577" s="232">
        <f t="shared" si="608"/>
        <v>30</v>
      </c>
      <c r="CL577" s="230">
        <f t="shared" si="630"/>
        <v>43</v>
      </c>
      <c r="CM577" s="235">
        <f t="shared" si="631"/>
        <v>3.5018750000000001</v>
      </c>
      <c r="CN577" s="235" cm="1">
        <f t="array" ref="CN577">$BI577 * IF($AH577&lt;=2,
SUMPRODUCT(INDEX($AR$72:$AT$76,,$AI577), INDEX($AU$72:$BA$76,,$AH577), 1 / ($BB$72:$BB$76*CM577 + (1-$BB$72:$BB$76)*CI577), N($AQ$72:$AQ$76&gt;$AO577)),
SUMPRODUCT(INDEX($AR$67:$AT$76,,$AI577), INDEX($AU$67:$BA$76,,$AH577), 1 / ($BC$67:$BC$76*CM577 + (1-$BC$67:$BC$76)*CI577), N($AQ$67:$AQ$76&gt;$AO577))
) / 1000</f>
        <v>0</v>
      </c>
      <c r="CO577" s="232">
        <f t="shared" si="609"/>
        <v>25</v>
      </c>
      <c r="CP577" s="230">
        <f t="shared" si="632"/>
        <v>38</v>
      </c>
      <c r="CQ577" s="235">
        <f t="shared" si="633"/>
        <v>4.0666935483870965</v>
      </c>
      <c r="CR577" s="235" cm="1">
        <f t="array" ref="CR577">$BI577 * IF($AH577&lt;=2,
SUMPRODUCT(INDEX($AR$67:$AT$71,,$AI577), INDEX($AU$67:$BA$71,,$AH577), 1 / ($BB$67:$BB$71*CQ577 + (1-$BB$67:$BB$71)*CM577), N($AQ$67:$AQ$71&gt;$AO577)),
SUMPRODUCT(INDEX($AR$57:$AT$66,,$AI577), INDEX($AU$57:$BA$66,,$AH577), 1 / ($BC$57:$BC$66*CQ577 + (1-$BC$57:$BC$66)*CM577), N($AQ$57:$AQ$66&gt;$AO577))
) / 1000</f>
        <v>0</v>
      </c>
      <c r="CS577" s="232">
        <f t="shared" si="610"/>
        <v>20</v>
      </c>
      <c r="CT577" s="230">
        <f t="shared" si="634"/>
        <v>33</v>
      </c>
      <c r="CU577" s="235">
        <f t="shared" si="635"/>
        <v>4.8487499999999999</v>
      </c>
      <c r="CV577" s="235" cm="1">
        <f t="array" ref="CV577">$BI577 * IF($AH577&lt;=2,
SUMPRODUCT(INDEX($AR$62:$AT$66,,$AI577), INDEX($AU$62:$BA$66,,$AH577), 1 / ($BB$62:$BB$66*CU577 + (1-$BB$62:$BB$66)*CQ577), N($AQ$62:$AQ$66&gt;$AO577)),
SUMPRODUCT(INDEX($AR$47:$AT$56,,$AI577), INDEX($AU$47:$BA$56,,$AH577), 1 / ($BC$47:$BC$56*CU577 + (1-$BC$47:$BC$56)*CQ577), N($AQ$47:$AQ$56&gt;$AO577))
) / 1000</f>
        <v>0</v>
      </c>
      <c r="CW577" s="235" cm="1">
        <f t="array" ref="CW577">$BI577 * IF($AH577&lt;=2,
SUMPRODUCT(INDEX($AR$23:$AT$61,,$AI577), INDEX($AU$23:$BA$61,,$AH577), 1 / ($BB$23:$BB$61*CU577), N($AQ$23:$AQ$61&gt;$AO577)),
SUMPRODUCT(INDEX($AR$23:$AT$46,,$AI577), INDEX($AU$23:$BA$46,,$AH577), 1 / ($BC$23:$BC$46*CU577), N($AQ$23:$AQ$46&gt;$AO577))
) / 1000</f>
        <v>0</v>
      </c>
      <c r="CX577" s="230">
        <f t="shared" si="636"/>
        <v>0</v>
      </c>
      <c r="CY577" s="238"/>
    </row>
    <row r="578" spans="1:103" s="76" customFormat="1" ht="14.25" customHeight="1" x14ac:dyDescent="0.2">
      <c r="A578" s="231" t="b">
        <f t="shared" si="602"/>
        <v>0</v>
      </c>
      <c r="B578" s="245">
        <v>556</v>
      </c>
      <c r="C578" s="258"/>
      <c r="D578" s="258"/>
      <c r="E578" s="246"/>
      <c r="F578" s="247" t="str">
        <f>IF(ISBLANK(E578), "", VLOOKUP(E578, Z!$A$2:$C$4127, 3, FALSE))</f>
        <v/>
      </c>
      <c r="G578" s="248"/>
      <c r="H578" s="248"/>
      <c r="I578" s="249"/>
      <c r="J578" s="250"/>
      <c r="K578" s="259"/>
      <c r="L578" s="260"/>
      <c r="M578" s="252" t="str" cm="1">
        <f t="array" ref="M578">INDEX(Trad, 53, $A$20)</f>
        <v>Verschmutzt</v>
      </c>
      <c r="N578" s="253"/>
      <c r="O578" s="253"/>
      <c r="P578" s="254"/>
      <c r="Q578" s="251"/>
      <c r="R578" s="251"/>
      <c r="S578" s="264">
        <f t="shared" si="611"/>
        <v>0</v>
      </c>
      <c r="T578" s="252" t="str" cm="1">
        <f t="array" ref="T578">INDEX(Trad, 52, $A$20)</f>
        <v>Sauber</v>
      </c>
      <c r="U578" s="253"/>
      <c r="V578" s="253"/>
      <c r="W578" s="254"/>
      <c r="X578" s="251"/>
      <c r="Y578" s="251"/>
      <c r="Z578" s="264">
        <f t="shared" si="612"/>
        <v>0</v>
      </c>
      <c r="AA578" s="261"/>
      <c r="AB578" s="258"/>
      <c r="AC578" s="246"/>
      <c r="AD578" s="247" t="str">
        <f>IF(ISBLANK(AC578), "", VLOOKUP(AC578, Z!$A$2:$C$4127, 3, FALSE))</f>
        <v/>
      </c>
      <c r="AE578" s="262"/>
      <c r="AF578" s="263">
        <f t="shared" si="613"/>
        <v>0</v>
      </c>
      <c r="AG578" s="238"/>
      <c r="AH578" s="229">
        <f t="shared" si="637"/>
        <v>1</v>
      </c>
      <c r="AI578" s="229">
        <f t="shared" si="638"/>
        <v>1</v>
      </c>
      <c r="AJ578" s="229">
        <f t="shared" si="639"/>
        <v>0</v>
      </c>
      <c r="AK578" s="229">
        <v>0</v>
      </c>
      <c r="AL578" s="229">
        <v>0</v>
      </c>
      <c r="AM578" s="229">
        <v>1</v>
      </c>
      <c r="AN578" s="229">
        <v>0</v>
      </c>
      <c r="AO578" s="229">
        <f t="shared" si="614"/>
        <v>-100</v>
      </c>
      <c r="AP578" s="238"/>
      <c r="AQ578" s="255"/>
      <c r="AR578" s="255"/>
      <c r="AS578" s="256"/>
      <c r="AT578" s="256"/>
      <c r="AU578" s="256"/>
      <c r="AV578" s="256"/>
      <c r="AW578" s="256"/>
      <c r="AX578" s="256"/>
      <c r="AY578" s="256"/>
      <c r="AZ578" s="256"/>
      <c r="BA578" s="256"/>
      <c r="BB578" s="256"/>
      <c r="BC578" s="256"/>
      <c r="BD578" s="238"/>
      <c r="BE578" s="229" cm="1">
        <f t="array" ref="BE578">IF(ISBLANK(R578), INDEX(Use, $AH578, 4) - AM578*INDEX(Use, $AH578, 6), R578)</f>
        <v>5</v>
      </c>
      <c r="BF578" s="229">
        <f t="shared" si="615"/>
        <v>30</v>
      </c>
      <c r="BG578" s="229">
        <f t="shared" si="603"/>
        <v>13</v>
      </c>
      <c r="BH578" s="229">
        <f t="shared" si="604"/>
        <v>0</v>
      </c>
      <c r="BI578" s="234" cm="1">
        <f t="array" ref="BI578">K578/IF($L578&gt;0, INDEX($AU$23:$BA$77, $L578+20, $AH578), 1)</f>
        <v>0</v>
      </c>
      <c r="BJ578" s="230">
        <f t="shared" si="616"/>
        <v>0</v>
      </c>
      <c r="BK578" s="229">
        <v>35</v>
      </c>
      <c r="BL578" s="230">
        <f t="shared" si="617"/>
        <v>48</v>
      </c>
      <c r="BM578" s="235">
        <f t="shared" si="618"/>
        <v>2.9108720930232557</v>
      </c>
      <c r="BN578" s="235" cm="1">
        <f t="array" ref="BN578">$BI578 * SUMPRODUCT(INDEX($AR$77:$AT$82,,$AI578),INDEX($AU$77:$BA$82,,$AH578), N($AQ$77:$AQ$82&gt;$AO578)) / BM578 / 1000</f>
        <v>0</v>
      </c>
      <c r="BO578" s="232">
        <f t="shared" si="605"/>
        <v>30</v>
      </c>
      <c r="BP578" s="230">
        <f t="shared" si="619"/>
        <v>43</v>
      </c>
      <c r="BQ578" s="235">
        <f t="shared" si="620"/>
        <v>3.2938815789473681</v>
      </c>
      <c r="BR578" s="235" cm="1">
        <f t="array" ref="BR578">$BI578 * IF($AH578&lt;=2,
SUMPRODUCT(INDEX($AR$72:$AT$76,,$AI578), INDEX($AU$72:$BA$76,,$AH578), 1 / ($BB$72:$BB$76*BQ578 + (1-$BB$72:$BB$76)*BM578), N($AQ$72:$AQ$76&gt;$AO578)),
SUMPRODUCT(INDEX($AR$67:$AT$76,,$AI578), INDEX($AU$67:$BA$76,,$AH578), 1 / ($BC$67:$BC$76*BQ578 + (1-$BC$67:$BC$76)*BM578), N($AQ$67:$AQ$76&gt;$AO578))
) / 1000</f>
        <v>0</v>
      </c>
      <c r="BS578" s="232">
        <f t="shared" si="606"/>
        <v>25</v>
      </c>
      <c r="BT578" s="230">
        <f t="shared" si="621"/>
        <v>38</v>
      </c>
      <c r="BU578" s="235">
        <f t="shared" si="622"/>
        <v>3.792954545454545</v>
      </c>
      <c r="BV578" s="235" cm="1">
        <f t="array" ref="BV578">$BI578 * IF($AH578&lt;=2,
SUMPRODUCT(INDEX($AR$67:$AT$71,,$AI578), INDEX($AU$67:$BA$71,,$AH578), 1 / ($BB$67:$BB$71*BU578 + (1-$BB$67:$BB$71)*BQ578), N($AQ$67:$AQ$71&gt;$AO578)),
SUMPRODUCT(INDEX($AR$57:$AT$66,,$AI578), INDEX($AU$57:$BA$66,,$AH578), 1 / ($BC$57:$BC$66*BU578 + (1-$BC$57:$BC$66)*BQ578), N($AQ$57:$AQ$66&gt;$AO578))
) / 1000</f>
        <v>0</v>
      </c>
      <c r="BW578" s="232">
        <f t="shared" si="607"/>
        <v>20</v>
      </c>
      <c r="BX578" s="230">
        <f t="shared" si="623"/>
        <v>33</v>
      </c>
      <c r="BY578" s="235">
        <f t="shared" si="624"/>
        <v>4.4702678571428569</v>
      </c>
      <c r="BZ578" s="235" cm="1">
        <f t="array" ref="BZ578">$BI578 * IF($AH578&lt;=2,
SUMPRODUCT(INDEX($AR$62:$AT$66,,$AI578), INDEX($AU$62:$BA$66,,$AH578), 1 / ($BB$62:$BB$66*BY578 + (1-$BB$62:$BB$66)*BU578), N($AQ$62:$AQ$66&gt;$AO578)),
SUMPRODUCT(INDEX($AR$47:$AT$56,,$AI578), INDEX($AU$47:$BA$56,,$AH578), 1 / ($BC$47:$BC$56*BY578 + (1-$BC$47:$BC$56)*BU578), N($AQ$47:$AQ$56&gt;$AO578))
) / 1000</f>
        <v>0</v>
      </c>
      <c r="CA578" s="235" cm="1">
        <f t="array" ref="CA578">$BI578 * IF($AH578&lt;=2,
SUMPRODUCT(INDEX($AR$23:$AT$61,,$AI578), INDEX($AU$23:$BA$61,,$AH578), 1 / ($BB$23:$BB$61*BY578), N($AQ$23:$AQ$61&gt;$AO578)),
SUMPRODUCT(INDEX($AR$23:$AT$46,,$AI578), INDEX($AU$23:$BA$46,,$AH578), 1 / ($BC$23:$BC$46*BY578), N($AQ$23:$AQ$46&gt;$AO578))
) / 1000</f>
        <v>0</v>
      </c>
      <c r="CB578" s="230">
        <f t="shared" si="625"/>
        <v>0</v>
      </c>
      <c r="CC578" s="238"/>
      <c r="CD578" s="229" cm="1">
        <f t="array" ref="CD578">IF(ISBLANK(Y578), INDEX(Use, $AH578, 4) - AN578*INDEX(Use, $AH578, 6) - (Q578-X578), Y578)</f>
        <v>7</v>
      </c>
      <c r="CE578" s="229">
        <f t="shared" si="626"/>
        <v>32</v>
      </c>
      <c r="CF578" s="230">
        <f t="shared" si="627"/>
        <v>0</v>
      </c>
      <c r="CG578" s="229">
        <v>35</v>
      </c>
      <c r="CH578" s="230">
        <f t="shared" si="628"/>
        <v>48</v>
      </c>
      <c r="CI578" s="235">
        <f t="shared" si="629"/>
        <v>3.0748170731707316</v>
      </c>
      <c r="CJ578" s="235" cm="1">
        <f t="array" ref="CJ578">$BI578 * SUMPRODUCT(INDEX($AR$77:$AT$82,,$AI578),INDEX($AU$77:$BA$82,,$AH578), N($AQ$77:$AQ$82&gt;$AO578)) / CI578 / 1000</f>
        <v>0</v>
      </c>
      <c r="CK578" s="232">
        <f t="shared" si="608"/>
        <v>30</v>
      </c>
      <c r="CL578" s="230">
        <f t="shared" si="630"/>
        <v>43</v>
      </c>
      <c r="CM578" s="235">
        <f t="shared" si="631"/>
        <v>3.5018750000000001</v>
      </c>
      <c r="CN578" s="235" cm="1">
        <f t="array" ref="CN578">$BI578 * IF($AH578&lt;=2,
SUMPRODUCT(INDEX($AR$72:$AT$76,,$AI578), INDEX($AU$72:$BA$76,,$AH578), 1 / ($BB$72:$BB$76*CM578 + (1-$BB$72:$BB$76)*CI578), N($AQ$72:$AQ$76&gt;$AO578)),
SUMPRODUCT(INDEX($AR$67:$AT$76,,$AI578), INDEX($AU$67:$BA$76,,$AH578), 1 / ($BC$67:$BC$76*CM578 + (1-$BC$67:$BC$76)*CI578), N($AQ$67:$AQ$76&gt;$AO578))
) / 1000</f>
        <v>0</v>
      </c>
      <c r="CO578" s="232">
        <f t="shared" si="609"/>
        <v>25</v>
      </c>
      <c r="CP578" s="230">
        <f t="shared" si="632"/>
        <v>38</v>
      </c>
      <c r="CQ578" s="235">
        <f t="shared" si="633"/>
        <v>4.0666935483870965</v>
      </c>
      <c r="CR578" s="235" cm="1">
        <f t="array" ref="CR578">$BI578 * IF($AH578&lt;=2,
SUMPRODUCT(INDEX($AR$67:$AT$71,,$AI578), INDEX($AU$67:$BA$71,,$AH578), 1 / ($BB$67:$BB$71*CQ578 + (1-$BB$67:$BB$71)*CM578), N($AQ$67:$AQ$71&gt;$AO578)),
SUMPRODUCT(INDEX($AR$57:$AT$66,,$AI578), INDEX($AU$57:$BA$66,,$AH578), 1 / ($BC$57:$BC$66*CQ578 + (1-$BC$57:$BC$66)*CM578), N($AQ$57:$AQ$66&gt;$AO578))
) / 1000</f>
        <v>0</v>
      </c>
      <c r="CS578" s="232">
        <f t="shared" si="610"/>
        <v>20</v>
      </c>
      <c r="CT578" s="230">
        <f t="shared" si="634"/>
        <v>33</v>
      </c>
      <c r="CU578" s="235">
        <f t="shared" si="635"/>
        <v>4.8487499999999999</v>
      </c>
      <c r="CV578" s="235" cm="1">
        <f t="array" ref="CV578">$BI578 * IF($AH578&lt;=2,
SUMPRODUCT(INDEX($AR$62:$AT$66,,$AI578), INDEX($AU$62:$BA$66,,$AH578), 1 / ($BB$62:$BB$66*CU578 + (1-$BB$62:$BB$66)*CQ578), N($AQ$62:$AQ$66&gt;$AO578)),
SUMPRODUCT(INDEX($AR$47:$AT$56,,$AI578), INDEX($AU$47:$BA$56,,$AH578), 1 / ($BC$47:$BC$56*CU578 + (1-$BC$47:$BC$56)*CQ578), N($AQ$47:$AQ$56&gt;$AO578))
) / 1000</f>
        <v>0</v>
      </c>
      <c r="CW578" s="235" cm="1">
        <f t="array" ref="CW578">$BI578 * IF($AH578&lt;=2,
SUMPRODUCT(INDEX($AR$23:$AT$61,,$AI578), INDEX($AU$23:$BA$61,,$AH578), 1 / ($BB$23:$BB$61*CU578), N($AQ$23:$AQ$61&gt;$AO578)),
SUMPRODUCT(INDEX($AR$23:$AT$46,,$AI578), INDEX($AU$23:$BA$46,,$AH578), 1 / ($BC$23:$BC$46*CU578), N($AQ$23:$AQ$46&gt;$AO578))
) / 1000</f>
        <v>0</v>
      </c>
      <c r="CX578" s="230">
        <f t="shared" si="636"/>
        <v>0</v>
      </c>
      <c r="CY578" s="238"/>
    </row>
    <row r="579" spans="1:103" s="76" customFormat="1" ht="14.25" customHeight="1" x14ac:dyDescent="0.2">
      <c r="A579" s="231" t="b">
        <f t="shared" si="602"/>
        <v>0</v>
      </c>
      <c r="B579" s="245">
        <v>557</v>
      </c>
      <c r="C579" s="258"/>
      <c r="D579" s="258"/>
      <c r="E579" s="246"/>
      <c r="F579" s="247" t="str">
        <f>IF(ISBLANK(E579), "", VLOOKUP(E579, Z!$A$2:$C$4127, 3, FALSE))</f>
        <v/>
      </c>
      <c r="G579" s="248"/>
      <c r="H579" s="248"/>
      <c r="I579" s="249"/>
      <c r="J579" s="250"/>
      <c r="K579" s="259"/>
      <c r="L579" s="260"/>
      <c r="M579" s="252" t="str" cm="1">
        <f t="array" ref="M579">INDEX(Trad, 53, $A$20)</f>
        <v>Verschmutzt</v>
      </c>
      <c r="N579" s="253"/>
      <c r="O579" s="253"/>
      <c r="P579" s="254"/>
      <c r="Q579" s="251"/>
      <c r="R579" s="251"/>
      <c r="S579" s="264">
        <f t="shared" si="611"/>
        <v>0</v>
      </c>
      <c r="T579" s="252" t="str" cm="1">
        <f t="array" ref="T579">INDEX(Trad, 52, $A$20)</f>
        <v>Sauber</v>
      </c>
      <c r="U579" s="253"/>
      <c r="V579" s="253"/>
      <c r="W579" s="254"/>
      <c r="X579" s="251"/>
      <c r="Y579" s="251"/>
      <c r="Z579" s="264">
        <f t="shared" si="612"/>
        <v>0</v>
      </c>
      <c r="AA579" s="261"/>
      <c r="AB579" s="258"/>
      <c r="AC579" s="246"/>
      <c r="AD579" s="247" t="str">
        <f>IF(ISBLANK(AC579), "", VLOOKUP(AC579, Z!$A$2:$C$4127, 3, FALSE))</f>
        <v/>
      </c>
      <c r="AE579" s="262"/>
      <c r="AF579" s="263">
        <f t="shared" si="613"/>
        <v>0</v>
      </c>
      <c r="AG579" s="238"/>
      <c r="AH579" s="229">
        <f t="shared" si="637"/>
        <v>1</v>
      </c>
      <c r="AI579" s="229">
        <f t="shared" si="638"/>
        <v>1</v>
      </c>
      <c r="AJ579" s="229">
        <f t="shared" si="639"/>
        <v>0</v>
      </c>
      <c r="AK579" s="229">
        <v>0</v>
      </c>
      <c r="AL579" s="229">
        <v>0</v>
      </c>
      <c r="AM579" s="229">
        <v>1</v>
      </c>
      <c r="AN579" s="229">
        <v>0</v>
      </c>
      <c r="AO579" s="229">
        <f t="shared" si="614"/>
        <v>-100</v>
      </c>
      <c r="AP579" s="238"/>
      <c r="AQ579" s="255"/>
      <c r="AR579" s="255"/>
      <c r="AS579" s="256"/>
      <c r="AT579" s="256"/>
      <c r="AU579" s="256"/>
      <c r="AV579" s="256"/>
      <c r="AW579" s="256"/>
      <c r="AX579" s="256"/>
      <c r="AY579" s="256"/>
      <c r="AZ579" s="256"/>
      <c r="BA579" s="256"/>
      <c r="BB579" s="256"/>
      <c r="BC579" s="256"/>
      <c r="BD579" s="238"/>
      <c r="BE579" s="229" cm="1">
        <f t="array" ref="BE579">IF(ISBLANK(R579), INDEX(Use, $AH579, 4) - AM579*INDEX(Use, $AH579, 6), R579)</f>
        <v>5</v>
      </c>
      <c r="BF579" s="229">
        <f t="shared" si="615"/>
        <v>30</v>
      </c>
      <c r="BG579" s="229">
        <f t="shared" si="603"/>
        <v>13</v>
      </c>
      <c r="BH579" s="229">
        <f t="shared" si="604"/>
        <v>0</v>
      </c>
      <c r="BI579" s="234" cm="1">
        <f t="array" ref="BI579">K579/IF($L579&gt;0, INDEX($AU$23:$BA$77, $L579+20, $AH579), 1)</f>
        <v>0</v>
      </c>
      <c r="BJ579" s="230">
        <f t="shared" si="616"/>
        <v>0</v>
      </c>
      <c r="BK579" s="229">
        <v>35</v>
      </c>
      <c r="BL579" s="230">
        <f t="shared" si="617"/>
        <v>48</v>
      </c>
      <c r="BM579" s="235">
        <f t="shared" si="618"/>
        <v>2.9108720930232557</v>
      </c>
      <c r="BN579" s="235" cm="1">
        <f t="array" ref="BN579">$BI579 * SUMPRODUCT(INDEX($AR$77:$AT$82,,$AI579),INDEX($AU$77:$BA$82,,$AH579), N($AQ$77:$AQ$82&gt;$AO579)) / BM579 / 1000</f>
        <v>0</v>
      </c>
      <c r="BO579" s="232">
        <f t="shared" si="605"/>
        <v>30</v>
      </c>
      <c r="BP579" s="230">
        <f t="shared" si="619"/>
        <v>43</v>
      </c>
      <c r="BQ579" s="235">
        <f t="shared" si="620"/>
        <v>3.2938815789473681</v>
      </c>
      <c r="BR579" s="235" cm="1">
        <f t="array" ref="BR579">$BI579 * IF($AH579&lt;=2,
SUMPRODUCT(INDEX($AR$72:$AT$76,,$AI579), INDEX($AU$72:$BA$76,,$AH579), 1 / ($BB$72:$BB$76*BQ579 + (1-$BB$72:$BB$76)*BM579), N($AQ$72:$AQ$76&gt;$AO579)),
SUMPRODUCT(INDEX($AR$67:$AT$76,,$AI579), INDEX($AU$67:$BA$76,,$AH579), 1 / ($BC$67:$BC$76*BQ579 + (1-$BC$67:$BC$76)*BM579), N($AQ$67:$AQ$76&gt;$AO579))
) / 1000</f>
        <v>0</v>
      </c>
      <c r="BS579" s="232">
        <f t="shared" si="606"/>
        <v>25</v>
      </c>
      <c r="BT579" s="230">
        <f t="shared" si="621"/>
        <v>38</v>
      </c>
      <c r="BU579" s="235">
        <f t="shared" si="622"/>
        <v>3.792954545454545</v>
      </c>
      <c r="BV579" s="235" cm="1">
        <f t="array" ref="BV579">$BI579 * IF($AH579&lt;=2,
SUMPRODUCT(INDEX($AR$67:$AT$71,,$AI579), INDEX($AU$67:$BA$71,,$AH579), 1 / ($BB$67:$BB$71*BU579 + (1-$BB$67:$BB$71)*BQ579), N($AQ$67:$AQ$71&gt;$AO579)),
SUMPRODUCT(INDEX($AR$57:$AT$66,,$AI579), INDEX($AU$57:$BA$66,,$AH579), 1 / ($BC$57:$BC$66*BU579 + (1-$BC$57:$BC$66)*BQ579), N($AQ$57:$AQ$66&gt;$AO579))
) / 1000</f>
        <v>0</v>
      </c>
      <c r="BW579" s="232">
        <f t="shared" si="607"/>
        <v>20</v>
      </c>
      <c r="BX579" s="230">
        <f t="shared" si="623"/>
        <v>33</v>
      </c>
      <c r="BY579" s="235">
        <f t="shared" si="624"/>
        <v>4.4702678571428569</v>
      </c>
      <c r="BZ579" s="235" cm="1">
        <f t="array" ref="BZ579">$BI579 * IF($AH579&lt;=2,
SUMPRODUCT(INDEX($AR$62:$AT$66,,$AI579), INDEX($AU$62:$BA$66,,$AH579), 1 / ($BB$62:$BB$66*BY579 + (1-$BB$62:$BB$66)*BU579), N($AQ$62:$AQ$66&gt;$AO579)),
SUMPRODUCT(INDEX($AR$47:$AT$56,,$AI579), INDEX($AU$47:$BA$56,,$AH579), 1 / ($BC$47:$BC$56*BY579 + (1-$BC$47:$BC$56)*BU579), N($AQ$47:$AQ$56&gt;$AO579))
) / 1000</f>
        <v>0</v>
      </c>
      <c r="CA579" s="235" cm="1">
        <f t="array" ref="CA579">$BI579 * IF($AH579&lt;=2,
SUMPRODUCT(INDEX($AR$23:$AT$61,,$AI579), INDEX($AU$23:$BA$61,,$AH579), 1 / ($BB$23:$BB$61*BY579), N($AQ$23:$AQ$61&gt;$AO579)),
SUMPRODUCT(INDEX($AR$23:$AT$46,,$AI579), INDEX($AU$23:$BA$46,,$AH579), 1 / ($BC$23:$BC$46*BY579), N($AQ$23:$AQ$46&gt;$AO579))
) / 1000</f>
        <v>0</v>
      </c>
      <c r="CB579" s="230">
        <f t="shared" si="625"/>
        <v>0</v>
      </c>
      <c r="CC579" s="238"/>
      <c r="CD579" s="229" cm="1">
        <f t="array" ref="CD579">IF(ISBLANK(Y579), INDEX(Use, $AH579, 4) - AN579*INDEX(Use, $AH579, 6) - (Q579-X579), Y579)</f>
        <v>7</v>
      </c>
      <c r="CE579" s="229">
        <f t="shared" si="626"/>
        <v>32</v>
      </c>
      <c r="CF579" s="230">
        <f t="shared" si="627"/>
        <v>0</v>
      </c>
      <c r="CG579" s="229">
        <v>35</v>
      </c>
      <c r="CH579" s="230">
        <f t="shared" si="628"/>
        <v>48</v>
      </c>
      <c r="CI579" s="235">
        <f t="shared" si="629"/>
        <v>3.0748170731707316</v>
      </c>
      <c r="CJ579" s="235" cm="1">
        <f t="array" ref="CJ579">$BI579 * SUMPRODUCT(INDEX($AR$77:$AT$82,,$AI579),INDEX($AU$77:$BA$82,,$AH579), N($AQ$77:$AQ$82&gt;$AO579)) / CI579 / 1000</f>
        <v>0</v>
      </c>
      <c r="CK579" s="232">
        <f t="shared" si="608"/>
        <v>30</v>
      </c>
      <c r="CL579" s="230">
        <f t="shared" si="630"/>
        <v>43</v>
      </c>
      <c r="CM579" s="235">
        <f t="shared" si="631"/>
        <v>3.5018750000000001</v>
      </c>
      <c r="CN579" s="235" cm="1">
        <f t="array" ref="CN579">$BI579 * IF($AH579&lt;=2,
SUMPRODUCT(INDEX($AR$72:$AT$76,,$AI579), INDEX($AU$72:$BA$76,,$AH579), 1 / ($BB$72:$BB$76*CM579 + (1-$BB$72:$BB$76)*CI579), N($AQ$72:$AQ$76&gt;$AO579)),
SUMPRODUCT(INDEX($AR$67:$AT$76,,$AI579), INDEX($AU$67:$BA$76,,$AH579), 1 / ($BC$67:$BC$76*CM579 + (1-$BC$67:$BC$76)*CI579), N($AQ$67:$AQ$76&gt;$AO579))
) / 1000</f>
        <v>0</v>
      </c>
      <c r="CO579" s="232">
        <f t="shared" si="609"/>
        <v>25</v>
      </c>
      <c r="CP579" s="230">
        <f t="shared" si="632"/>
        <v>38</v>
      </c>
      <c r="CQ579" s="235">
        <f t="shared" si="633"/>
        <v>4.0666935483870965</v>
      </c>
      <c r="CR579" s="235" cm="1">
        <f t="array" ref="CR579">$BI579 * IF($AH579&lt;=2,
SUMPRODUCT(INDEX($AR$67:$AT$71,,$AI579), INDEX($AU$67:$BA$71,,$AH579), 1 / ($BB$67:$BB$71*CQ579 + (1-$BB$67:$BB$71)*CM579), N($AQ$67:$AQ$71&gt;$AO579)),
SUMPRODUCT(INDEX($AR$57:$AT$66,,$AI579), INDEX($AU$57:$BA$66,,$AH579), 1 / ($BC$57:$BC$66*CQ579 + (1-$BC$57:$BC$66)*CM579), N($AQ$57:$AQ$66&gt;$AO579))
) / 1000</f>
        <v>0</v>
      </c>
      <c r="CS579" s="232">
        <f t="shared" si="610"/>
        <v>20</v>
      </c>
      <c r="CT579" s="230">
        <f t="shared" si="634"/>
        <v>33</v>
      </c>
      <c r="CU579" s="235">
        <f t="shared" si="635"/>
        <v>4.8487499999999999</v>
      </c>
      <c r="CV579" s="235" cm="1">
        <f t="array" ref="CV579">$BI579 * IF($AH579&lt;=2,
SUMPRODUCT(INDEX($AR$62:$AT$66,,$AI579), INDEX($AU$62:$BA$66,,$AH579), 1 / ($BB$62:$BB$66*CU579 + (1-$BB$62:$BB$66)*CQ579), N($AQ$62:$AQ$66&gt;$AO579)),
SUMPRODUCT(INDEX($AR$47:$AT$56,,$AI579), INDEX($AU$47:$BA$56,,$AH579), 1 / ($BC$47:$BC$56*CU579 + (1-$BC$47:$BC$56)*CQ579), N($AQ$47:$AQ$56&gt;$AO579))
) / 1000</f>
        <v>0</v>
      </c>
      <c r="CW579" s="235" cm="1">
        <f t="array" ref="CW579">$BI579 * IF($AH579&lt;=2,
SUMPRODUCT(INDEX($AR$23:$AT$61,,$AI579), INDEX($AU$23:$BA$61,,$AH579), 1 / ($BB$23:$BB$61*CU579), N($AQ$23:$AQ$61&gt;$AO579)),
SUMPRODUCT(INDEX($AR$23:$AT$46,,$AI579), INDEX($AU$23:$BA$46,,$AH579), 1 / ($BC$23:$BC$46*CU579), N($AQ$23:$AQ$46&gt;$AO579))
) / 1000</f>
        <v>0</v>
      </c>
      <c r="CX579" s="230">
        <f t="shared" si="636"/>
        <v>0</v>
      </c>
      <c r="CY579" s="238"/>
    </row>
    <row r="580" spans="1:103" s="76" customFormat="1" ht="14.25" customHeight="1" x14ac:dyDescent="0.2">
      <c r="A580" s="231" t="b">
        <f t="shared" si="602"/>
        <v>0</v>
      </c>
      <c r="B580" s="245">
        <v>558</v>
      </c>
      <c r="C580" s="258"/>
      <c r="D580" s="258"/>
      <c r="E580" s="246"/>
      <c r="F580" s="247" t="str">
        <f>IF(ISBLANK(E580), "", VLOOKUP(E580, Z!$A$2:$C$4127, 3, FALSE))</f>
        <v/>
      </c>
      <c r="G580" s="248"/>
      <c r="H580" s="248"/>
      <c r="I580" s="249"/>
      <c r="J580" s="250"/>
      <c r="K580" s="259"/>
      <c r="L580" s="260"/>
      <c r="M580" s="252" t="str" cm="1">
        <f t="array" ref="M580">INDEX(Trad, 53, $A$20)</f>
        <v>Verschmutzt</v>
      </c>
      <c r="N580" s="253"/>
      <c r="O580" s="253"/>
      <c r="P580" s="254"/>
      <c r="Q580" s="251"/>
      <c r="R580" s="251"/>
      <c r="S580" s="264">
        <f t="shared" si="611"/>
        <v>0</v>
      </c>
      <c r="T580" s="252" t="str" cm="1">
        <f t="array" ref="T580">INDEX(Trad, 52, $A$20)</f>
        <v>Sauber</v>
      </c>
      <c r="U580" s="253"/>
      <c r="V580" s="253"/>
      <c r="W580" s="254"/>
      <c r="X580" s="251"/>
      <c r="Y580" s="251"/>
      <c r="Z580" s="264">
        <f t="shared" si="612"/>
        <v>0</v>
      </c>
      <c r="AA580" s="261"/>
      <c r="AB580" s="258"/>
      <c r="AC580" s="246"/>
      <c r="AD580" s="247" t="str">
        <f>IF(ISBLANK(AC580), "", VLOOKUP(AC580, Z!$A$2:$C$4127, 3, FALSE))</f>
        <v/>
      </c>
      <c r="AE580" s="262"/>
      <c r="AF580" s="263">
        <f t="shared" si="613"/>
        <v>0</v>
      </c>
      <c r="AG580" s="238"/>
      <c r="AH580" s="229">
        <f t="shared" si="637"/>
        <v>1</v>
      </c>
      <c r="AI580" s="229">
        <f t="shared" si="638"/>
        <v>1</v>
      </c>
      <c r="AJ580" s="229">
        <f t="shared" si="639"/>
        <v>0</v>
      </c>
      <c r="AK580" s="229">
        <v>0</v>
      </c>
      <c r="AL580" s="229">
        <v>0</v>
      </c>
      <c r="AM580" s="229">
        <v>1</v>
      </c>
      <c r="AN580" s="229">
        <v>0</v>
      </c>
      <c r="AO580" s="229">
        <f t="shared" si="614"/>
        <v>-100</v>
      </c>
      <c r="AP580" s="238"/>
      <c r="AQ580" s="255"/>
      <c r="AR580" s="255"/>
      <c r="AS580" s="256"/>
      <c r="AT580" s="256"/>
      <c r="AU580" s="256"/>
      <c r="AV580" s="256"/>
      <c r="AW580" s="256"/>
      <c r="AX580" s="256"/>
      <c r="AY580" s="256"/>
      <c r="AZ580" s="256"/>
      <c r="BA580" s="256"/>
      <c r="BB580" s="256"/>
      <c r="BC580" s="256"/>
      <c r="BD580" s="238"/>
      <c r="BE580" s="229" cm="1">
        <f t="array" ref="BE580">IF(ISBLANK(R580), INDEX(Use, $AH580, 4) - AM580*INDEX(Use, $AH580, 6), R580)</f>
        <v>5</v>
      </c>
      <c r="BF580" s="229">
        <f t="shared" si="615"/>
        <v>30</v>
      </c>
      <c r="BG580" s="229">
        <f t="shared" si="603"/>
        <v>13</v>
      </c>
      <c r="BH580" s="229">
        <f t="shared" si="604"/>
        <v>0</v>
      </c>
      <c r="BI580" s="234" cm="1">
        <f t="array" ref="BI580">K580/IF($L580&gt;0, INDEX($AU$23:$BA$77, $L580+20, $AH580), 1)</f>
        <v>0</v>
      </c>
      <c r="BJ580" s="230">
        <f t="shared" si="616"/>
        <v>0</v>
      </c>
      <c r="BK580" s="229">
        <v>35</v>
      </c>
      <c r="BL580" s="230">
        <f t="shared" si="617"/>
        <v>48</v>
      </c>
      <c r="BM580" s="235">
        <f t="shared" si="618"/>
        <v>2.9108720930232557</v>
      </c>
      <c r="BN580" s="235" cm="1">
        <f t="array" ref="BN580">$BI580 * SUMPRODUCT(INDEX($AR$77:$AT$82,,$AI580),INDEX($AU$77:$BA$82,,$AH580), N($AQ$77:$AQ$82&gt;$AO580)) / BM580 / 1000</f>
        <v>0</v>
      </c>
      <c r="BO580" s="232">
        <f t="shared" si="605"/>
        <v>30</v>
      </c>
      <c r="BP580" s="230">
        <f t="shared" si="619"/>
        <v>43</v>
      </c>
      <c r="BQ580" s="235">
        <f t="shared" si="620"/>
        <v>3.2938815789473681</v>
      </c>
      <c r="BR580" s="235" cm="1">
        <f t="array" ref="BR580">$BI580 * IF($AH580&lt;=2,
SUMPRODUCT(INDEX($AR$72:$AT$76,,$AI580), INDEX($AU$72:$BA$76,,$AH580), 1 / ($BB$72:$BB$76*BQ580 + (1-$BB$72:$BB$76)*BM580), N($AQ$72:$AQ$76&gt;$AO580)),
SUMPRODUCT(INDEX($AR$67:$AT$76,,$AI580), INDEX($AU$67:$BA$76,,$AH580), 1 / ($BC$67:$BC$76*BQ580 + (1-$BC$67:$BC$76)*BM580), N($AQ$67:$AQ$76&gt;$AO580))
) / 1000</f>
        <v>0</v>
      </c>
      <c r="BS580" s="232">
        <f t="shared" si="606"/>
        <v>25</v>
      </c>
      <c r="BT580" s="230">
        <f t="shared" si="621"/>
        <v>38</v>
      </c>
      <c r="BU580" s="235">
        <f t="shared" si="622"/>
        <v>3.792954545454545</v>
      </c>
      <c r="BV580" s="235" cm="1">
        <f t="array" ref="BV580">$BI580 * IF($AH580&lt;=2,
SUMPRODUCT(INDEX($AR$67:$AT$71,,$AI580), INDEX($AU$67:$BA$71,,$AH580), 1 / ($BB$67:$BB$71*BU580 + (1-$BB$67:$BB$71)*BQ580), N($AQ$67:$AQ$71&gt;$AO580)),
SUMPRODUCT(INDEX($AR$57:$AT$66,,$AI580), INDEX($AU$57:$BA$66,,$AH580), 1 / ($BC$57:$BC$66*BU580 + (1-$BC$57:$BC$66)*BQ580), N($AQ$57:$AQ$66&gt;$AO580))
) / 1000</f>
        <v>0</v>
      </c>
      <c r="BW580" s="232">
        <f t="shared" si="607"/>
        <v>20</v>
      </c>
      <c r="BX580" s="230">
        <f t="shared" si="623"/>
        <v>33</v>
      </c>
      <c r="BY580" s="235">
        <f t="shared" si="624"/>
        <v>4.4702678571428569</v>
      </c>
      <c r="BZ580" s="235" cm="1">
        <f t="array" ref="BZ580">$BI580 * IF($AH580&lt;=2,
SUMPRODUCT(INDEX($AR$62:$AT$66,,$AI580), INDEX($AU$62:$BA$66,,$AH580), 1 / ($BB$62:$BB$66*BY580 + (1-$BB$62:$BB$66)*BU580), N($AQ$62:$AQ$66&gt;$AO580)),
SUMPRODUCT(INDEX($AR$47:$AT$56,,$AI580), INDEX($AU$47:$BA$56,,$AH580), 1 / ($BC$47:$BC$56*BY580 + (1-$BC$47:$BC$56)*BU580), N($AQ$47:$AQ$56&gt;$AO580))
) / 1000</f>
        <v>0</v>
      </c>
      <c r="CA580" s="235" cm="1">
        <f t="array" ref="CA580">$BI580 * IF($AH580&lt;=2,
SUMPRODUCT(INDEX($AR$23:$AT$61,,$AI580), INDEX($AU$23:$BA$61,,$AH580), 1 / ($BB$23:$BB$61*BY580), N($AQ$23:$AQ$61&gt;$AO580)),
SUMPRODUCT(INDEX($AR$23:$AT$46,,$AI580), INDEX($AU$23:$BA$46,,$AH580), 1 / ($BC$23:$BC$46*BY580), N($AQ$23:$AQ$46&gt;$AO580))
) / 1000</f>
        <v>0</v>
      </c>
      <c r="CB580" s="230">
        <f t="shared" si="625"/>
        <v>0</v>
      </c>
      <c r="CC580" s="238"/>
      <c r="CD580" s="229" cm="1">
        <f t="array" ref="CD580">IF(ISBLANK(Y580), INDEX(Use, $AH580, 4) - AN580*INDEX(Use, $AH580, 6) - (Q580-X580), Y580)</f>
        <v>7</v>
      </c>
      <c r="CE580" s="229">
        <f t="shared" si="626"/>
        <v>32</v>
      </c>
      <c r="CF580" s="230">
        <f t="shared" si="627"/>
        <v>0</v>
      </c>
      <c r="CG580" s="229">
        <v>35</v>
      </c>
      <c r="CH580" s="230">
        <f t="shared" si="628"/>
        <v>48</v>
      </c>
      <c r="CI580" s="235">
        <f t="shared" si="629"/>
        <v>3.0748170731707316</v>
      </c>
      <c r="CJ580" s="235" cm="1">
        <f t="array" ref="CJ580">$BI580 * SUMPRODUCT(INDEX($AR$77:$AT$82,,$AI580),INDEX($AU$77:$BA$82,,$AH580), N($AQ$77:$AQ$82&gt;$AO580)) / CI580 / 1000</f>
        <v>0</v>
      </c>
      <c r="CK580" s="232">
        <f t="shared" si="608"/>
        <v>30</v>
      </c>
      <c r="CL580" s="230">
        <f t="shared" si="630"/>
        <v>43</v>
      </c>
      <c r="CM580" s="235">
        <f t="shared" si="631"/>
        <v>3.5018750000000001</v>
      </c>
      <c r="CN580" s="235" cm="1">
        <f t="array" ref="CN580">$BI580 * IF($AH580&lt;=2,
SUMPRODUCT(INDEX($AR$72:$AT$76,,$AI580), INDEX($AU$72:$BA$76,,$AH580), 1 / ($BB$72:$BB$76*CM580 + (1-$BB$72:$BB$76)*CI580), N($AQ$72:$AQ$76&gt;$AO580)),
SUMPRODUCT(INDEX($AR$67:$AT$76,,$AI580), INDEX($AU$67:$BA$76,,$AH580), 1 / ($BC$67:$BC$76*CM580 + (1-$BC$67:$BC$76)*CI580), N($AQ$67:$AQ$76&gt;$AO580))
) / 1000</f>
        <v>0</v>
      </c>
      <c r="CO580" s="232">
        <f t="shared" si="609"/>
        <v>25</v>
      </c>
      <c r="CP580" s="230">
        <f t="shared" si="632"/>
        <v>38</v>
      </c>
      <c r="CQ580" s="235">
        <f t="shared" si="633"/>
        <v>4.0666935483870965</v>
      </c>
      <c r="CR580" s="235" cm="1">
        <f t="array" ref="CR580">$BI580 * IF($AH580&lt;=2,
SUMPRODUCT(INDEX($AR$67:$AT$71,,$AI580), INDEX($AU$67:$BA$71,,$AH580), 1 / ($BB$67:$BB$71*CQ580 + (1-$BB$67:$BB$71)*CM580), N($AQ$67:$AQ$71&gt;$AO580)),
SUMPRODUCT(INDEX($AR$57:$AT$66,,$AI580), INDEX($AU$57:$BA$66,,$AH580), 1 / ($BC$57:$BC$66*CQ580 + (1-$BC$57:$BC$66)*CM580), N($AQ$57:$AQ$66&gt;$AO580))
) / 1000</f>
        <v>0</v>
      </c>
      <c r="CS580" s="232">
        <f t="shared" si="610"/>
        <v>20</v>
      </c>
      <c r="CT580" s="230">
        <f t="shared" si="634"/>
        <v>33</v>
      </c>
      <c r="CU580" s="235">
        <f t="shared" si="635"/>
        <v>4.8487499999999999</v>
      </c>
      <c r="CV580" s="235" cm="1">
        <f t="array" ref="CV580">$BI580 * IF($AH580&lt;=2,
SUMPRODUCT(INDEX($AR$62:$AT$66,,$AI580), INDEX($AU$62:$BA$66,,$AH580), 1 / ($BB$62:$BB$66*CU580 + (1-$BB$62:$BB$66)*CQ580), N($AQ$62:$AQ$66&gt;$AO580)),
SUMPRODUCT(INDEX($AR$47:$AT$56,,$AI580), INDEX($AU$47:$BA$56,,$AH580), 1 / ($BC$47:$BC$56*CU580 + (1-$BC$47:$BC$56)*CQ580), N($AQ$47:$AQ$56&gt;$AO580))
) / 1000</f>
        <v>0</v>
      </c>
      <c r="CW580" s="235" cm="1">
        <f t="array" ref="CW580">$BI580 * IF($AH580&lt;=2,
SUMPRODUCT(INDEX($AR$23:$AT$61,,$AI580), INDEX($AU$23:$BA$61,,$AH580), 1 / ($BB$23:$BB$61*CU580), N($AQ$23:$AQ$61&gt;$AO580)),
SUMPRODUCT(INDEX($AR$23:$AT$46,,$AI580), INDEX($AU$23:$BA$46,,$AH580), 1 / ($BC$23:$BC$46*CU580), N($AQ$23:$AQ$46&gt;$AO580))
) / 1000</f>
        <v>0</v>
      </c>
      <c r="CX580" s="230">
        <f t="shared" si="636"/>
        <v>0</v>
      </c>
      <c r="CY580" s="238"/>
    </row>
    <row r="581" spans="1:103" s="76" customFormat="1" ht="14.25" customHeight="1" x14ac:dyDescent="0.2">
      <c r="A581" s="231" t="b">
        <f t="shared" si="602"/>
        <v>0</v>
      </c>
      <c r="B581" s="245">
        <v>559</v>
      </c>
      <c r="C581" s="258"/>
      <c r="D581" s="258"/>
      <c r="E581" s="246"/>
      <c r="F581" s="247" t="str">
        <f>IF(ISBLANK(E581), "", VLOOKUP(E581, Z!$A$2:$C$4127, 3, FALSE))</f>
        <v/>
      </c>
      <c r="G581" s="248"/>
      <c r="H581" s="248"/>
      <c r="I581" s="249"/>
      <c r="J581" s="250"/>
      <c r="K581" s="259"/>
      <c r="L581" s="260"/>
      <c r="M581" s="252" t="str" cm="1">
        <f t="array" ref="M581">INDEX(Trad, 53, $A$20)</f>
        <v>Verschmutzt</v>
      </c>
      <c r="N581" s="253"/>
      <c r="O581" s="253"/>
      <c r="P581" s="254"/>
      <c r="Q581" s="251"/>
      <c r="R581" s="251"/>
      <c r="S581" s="264">
        <f t="shared" si="611"/>
        <v>0</v>
      </c>
      <c r="T581" s="252" t="str" cm="1">
        <f t="array" ref="T581">INDEX(Trad, 52, $A$20)</f>
        <v>Sauber</v>
      </c>
      <c r="U581" s="253"/>
      <c r="V581" s="253"/>
      <c r="W581" s="254"/>
      <c r="X581" s="251"/>
      <c r="Y581" s="251"/>
      <c r="Z581" s="264">
        <f t="shared" si="612"/>
        <v>0</v>
      </c>
      <c r="AA581" s="261"/>
      <c r="AB581" s="258"/>
      <c r="AC581" s="246"/>
      <c r="AD581" s="247" t="str">
        <f>IF(ISBLANK(AC581), "", VLOOKUP(AC581, Z!$A$2:$C$4127, 3, FALSE))</f>
        <v/>
      </c>
      <c r="AE581" s="262"/>
      <c r="AF581" s="263">
        <f t="shared" si="613"/>
        <v>0</v>
      </c>
      <c r="AG581" s="238"/>
      <c r="AH581" s="229">
        <f t="shared" si="637"/>
        <v>1</v>
      </c>
      <c r="AI581" s="229">
        <f t="shared" si="638"/>
        <v>1</v>
      </c>
      <c r="AJ581" s="229">
        <f t="shared" si="639"/>
        <v>0</v>
      </c>
      <c r="AK581" s="229">
        <v>0</v>
      </c>
      <c r="AL581" s="229">
        <v>0</v>
      </c>
      <c r="AM581" s="229">
        <v>1</v>
      </c>
      <c r="AN581" s="229">
        <v>0</v>
      </c>
      <c r="AO581" s="229">
        <f t="shared" si="614"/>
        <v>-100</v>
      </c>
      <c r="AP581" s="238"/>
      <c r="AQ581" s="255"/>
      <c r="AR581" s="255"/>
      <c r="AS581" s="256"/>
      <c r="AT581" s="256"/>
      <c r="AU581" s="256"/>
      <c r="AV581" s="256"/>
      <c r="AW581" s="256"/>
      <c r="AX581" s="256"/>
      <c r="AY581" s="256"/>
      <c r="AZ581" s="256"/>
      <c r="BA581" s="256"/>
      <c r="BB581" s="256"/>
      <c r="BC581" s="256"/>
      <c r="BD581" s="238"/>
      <c r="BE581" s="229" cm="1">
        <f t="array" ref="BE581">IF(ISBLANK(R581), INDEX(Use, $AH581, 4) - AM581*INDEX(Use, $AH581, 6), R581)</f>
        <v>5</v>
      </c>
      <c r="BF581" s="229">
        <f t="shared" si="615"/>
        <v>30</v>
      </c>
      <c r="BG581" s="229">
        <f t="shared" si="603"/>
        <v>13</v>
      </c>
      <c r="BH581" s="229">
        <f t="shared" si="604"/>
        <v>0</v>
      </c>
      <c r="BI581" s="234" cm="1">
        <f t="array" ref="BI581">K581/IF($L581&gt;0, INDEX($AU$23:$BA$77, $L581+20, $AH581), 1)</f>
        <v>0</v>
      </c>
      <c r="BJ581" s="230">
        <f t="shared" si="616"/>
        <v>0</v>
      </c>
      <c r="BK581" s="229">
        <v>35</v>
      </c>
      <c r="BL581" s="230">
        <f t="shared" si="617"/>
        <v>48</v>
      </c>
      <c r="BM581" s="235">
        <f t="shared" si="618"/>
        <v>2.9108720930232557</v>
      </c>
      <c r="BN581" s="235" cm="1">
        <f t="array" ref="BN581">$BI581 * SUMPRODUCT(INDEX($AR$77:$AT$82,,$AI581),INDEX($AU$77:$BA$82,,$AH581), N($AQ$77:$AQ$82&gt;$AO581)) / BM581 / 1000</f>
        <v>0</v>
      </c>
      <c r="BO581" s="232">
        <f t="shared" si="605"/>
        <v>30</v>
      </c>
      <c r="BP581" s="230">
        <f t="shared" si="619"/>
        <v>43</v>
      </c>
      <c r="BQ581" s="235">
        <f t="shared" si="620"/>
        <v>3.2938815789473681</v>
      </c>
      <c r="BR581" s="235" cm="1">
        <f t="array" ref="BR581">$BI581 * IF($AH581&lt;=2,
SUMPRODUCT(INDEX($AR$72:$AT$76,,$AI581), INDEX($AU$72:$BA$76,,$AH581), 1 / ($BB$72:$BB$76*BQ581 + (1-$BB$72:$BB$76)*BM581), N($AQ$72:$AQ$76&gt;$AO581)),
SUMPRODUCT(INDEX($AR$67:$AT$76,,$AI581), INDEX($AU$67:$BA$76,,$AH581), 1 / ($BC$67:$BC$76*BQ581 + (1-$BC$67:$BC$76)*BM581), N($AQ$67:$AQ$76&gt;$AO581))
) / 1000</f>
        <v>0</v>
      </c>
      <c r="BS581" s="232">
        <f t="shared" si="606"/>
        <v>25</v>
      </c>
      <c r="BT581" s="230">
        <f t="shared" si="621"/>
        <v>38</v>
      </c>
      <c r="BU581" s="235">
        <f t="shared" si="622"/>
        <v>3.792954545454545</v>
      </c>
      <c r="BV581" s="235" cm="1">
        <f t="array" ref="BV581">$BI581 * IF($AH581&lt;=2,
SUMPRODUCT(INDEX($AR$67:$AT$71,,$AI581), INDEX($AU$67:$BA$71,,$AH581), 1 / ($BB$67:$BB$71*BU581 + (1-$BB$67:$BB$71)*BQ581), N($AQ$67:$AQ$71&gt;$AO581)),
SUMPRODUCT(INDEX($AR$57:$AT$66,,$AI581), INDEX($AU$57:$BA$66,,$AH581), 1 / ($BC$57:$BC$66*BU581 + (1-$BC$57:$BC$66)*BQ581), N($AQ$57:$AQ$66&gt;$AO581))
) / 1000</f>
        <v>0</v>
      </c>
      <c r="BW581" s="232">
        <f t="shared" si="607"/>
        <v>20</v>
      </c>
      <c r="BX581" s="230">
        <f t="shared" si="623"/>
        <v>33</v>
      </c>
      <c r="BY581" s="235">
        <f t="shared" si="624"/>
        <v>4.4702678571428569</v>
      </c>
      <c r="BZ581" s="235" cm="1">
        <f t="array" ref="BZ581">$BI581 * IF($AH581&lt;=2,
SUMPRODUCT(INDEX($AR$62:$AT$66,,$AI581), INDEX($AU$62:$BA$66,,$AH581), 1 / ($BB$62:$BB$66*BY581 + (1-$BB$62:$BB$66)*BU581), N($AQ$62:$AQ$66&gt;$AO581)),
SUMPRODUCT(INDEX($AR$47:$AT$56,,$AI581), INDEX($AU$47:$BA$56,,$AH581), 1 / ($BC$47:$BC$56*BY581 + (1-$BC$47:$BC$56)*BU581), N($AQ$47:$AQ$56&gt;$AO581))
) / 1000</f>
        <v>0</v>
      </c>
      <c r="CA581" s="235" cm="1">
        <f t="array" ref="CA581">$BI581 * IF($AH581&lt;=2,
SUMPRODUCT(INDEX($AR$23:$AT$61,,$AI581), INDEX($AU$23:$BA$61,,$AH581), 1 / ($BB$23:$BB$61*BY581), N($AQ$23:$AQ$61&gt;$AO581)),
SUMPRODUCT(INDEX($AR$23:$AT$46,,$AI581), INDEX($AU$23:$BA$46,,$AH581), 1 / ($BC$23:$BC$46*BY581), N($AQ$23:$AQ$46&gt;$AO581))
) / 1000</f>
        <v>0</v>
      </c>
      <c r="CB581" s="230">
        <f t="shared" si="625"/>
        <v>0</v>
      </c>
      <c r="CC581" s="238"/>
      <c r="CD581" s="229" cm="1">
        <f t="array" ref="CD581">IF(ISBLANK(Y581), INDEX(Use, $AH581, 4) - AN581*INDEX(Use, $AH581, 6) - (Q581-X581), Y581)</f>
        <v>7</v>
      </c>
      <c r="CE581" s="229">
        <f t="shared" si="626"/>
        <v>32</v>
      </c>
      <c r="CF581" s="230">
        <f t="shared" si="627"/>
        <v>0</v>
      </c>
      <c r="CG581" s="229">
        <v>35</v>
      </c>
      <c r="CH581" s="230">
        <f t="shared" si="628"/>
        <v>48</v>
      </c>
      <c r="CI581" s="235">
        <f t="shared" si="629"/>
        <v>3.0748170731707316</v>
      </c>
      <c r="CJ581" s="235" cm="1">
        <f t="array" ref="CJ581">$BI581 * SUMPRODUCT(INDEX($AR$77:$AT$82,,$AI581),INDEX($AU$77:$BA$82,,$AH581), N($AQ$77:$AQ$82&gt;$AO581)) / CI581 / 1000</f>
        <v>0</v>
      </c>
      <c r="CK581" s="232">
        <f t="shared" si="608"/>
        <v>30</v>
      </c>
      <c r="CL581" s="230">
        <f t="shared" si="630"/>
        <v>43</v>
      </c>
      <c r="CM581" s="235">
        <f t="shared" si="631"/>
        <v>3.5018750000000001</v>
      </c>
      <c r="CN581" s="235" cm="1">
        <f t="array" ref="CN581">$BI581 * IF($AH581&lt;=2,
SUMPRODUCT(INDEX($AR$72:$AT$76,,$AI581), INDEX($AU$72:$BA$76,,$AH581), 1 / ($BB$72:$BB$76*CM581 + (1-$BB$72:$BB$76)*CI581), N($AQ$72:$AQ$76&gt;$AO581)),
SUMPRODUCT(INDEX($AR$67:$AT$76,,$AI581), INDEX($AU$67:$BA$76,,$AH581), 1 / ($BC$67:$BC$76*CM581 + (1-$BC$67:$BC$76)*CI581), N($AQ$67:$AQ$76&gt;$AO581))
) / 1000</f>
        <v>0</v>
      </c>
      <c r="CO581" s="232">
        <f t="shared" si="609"/>
        <v>25</v>
      </c>
      <c r="CP581" s="230">
        <f t="shared" si="632"/>
        <v>38</v>
      </c>
      <c r="CQ581" s="235">
        <f t="shared" si="633"/>
        <v>4.0666935483870965</v>
      </c>
      <c r="CR581" s="235" cm="1">
        <f t="array" ref="CR581">$BI581 * IF($AH581&lt;=2,
SUMPRODUCT(INDEX($AR$67:$AT$71,,$AI581), INDEX($AU$67:$BA$71,,$AH581), 1 / ($BB$67:$BB$71*CQ581 + (1-$BB$67:$BB$71)*CM581), N($AQ$67:$AQ$71&gt;$AO581)),
SUMPRODUCT(INDEX($AR$57:$AT$66,,$AI581), INDEX($AU$57:$BA$66,,$AH581), 1 / ($BC$57:$BC$66*CQ581 + (1-$BC$57:$BC$66)*CM581), N($AQ$57:$AQ$66&gt;$AO581))
) / 1000</f>
        <v>0</v>
      </c>
      <c r="CS581" s="232">
        <f t="shared" si="610"/>
        <v>20</v>
      </c>
      <c r="CT581" s="230">
        <f t="shared" si="634"/>
        <v>33</v>
      </c>
      <c r="CU581" s="235">
        <f t="shared" si="635"/>
        <v>4.8487499999999999</v>
      </c>
      <c r="CV581" s="235" cm="1">
        <f t="array" ref="CV581">$BI581 * IF($AH581&lt;=2,
SUMPRODUCT(INDEX($AR$62:$AT$66,,$AI581), INDEX($AU$62:$BA$66,,$AH581), 1 / ($BB$62:$BB$66*CU581 + (1-$BB$62:$BB$66)*CQ581), N($AQ$62:$AQ$66&gt;$AO581)),
SUMPRODUCT(INDEX($AR$47:$AT$56,,$AI581), INDEX($AU$47:$BA$56,,$AH581), 1 / ($BC$47:$BC$56*CU581 + (1-$BC$47:$BC$56)*CQ581), N($AQ$47:$AQ$56&gt;$AO581))
) / 1000</f>
        <v>0</v>
      </c>
      <c r="CW581" s="235" cm="1">
        <f t="array" ref="CW581">$BI581 * IF($AH581&lt;=2,
SUMPRODUCT(INDEX($AR$23:$AT$61,,$AI581), INDEX($AU$23:$BA$61,,$AH581), 1 / ($BB$23:$BB$61*CU581), N($AQ$23:$AQ$61&gt;$AO581)),
SUMPRODUCT(INDEX($AR$23:$AT$46,,$AI581), INDEX($AU$23:$BA$46,,$AH581), 1 / ($BC$23:$BC$46*CU581), N($AQ$23:$AQ$46&gt;$AO581))
) / 1000</f>
        <v>0</v>
      </c>
      <c r="CX581" s="230">
        <f t="shared" si="636"/>
        <v>0</v>
      </c>
      <c r="CY581" s="238"/>
    </row>
    <row r="582" spans="1:103" s="76" customFormat="1" ht="14.25" customHeight="1" x14ac:dyDescent="0.2">
      <c r="A582" s="231" t="b">
        <f t="shared" si="602"/>
        <v>0</v>
      </c>
      <c r="B582" s="245">
        <v>560</v>
      </c>
      <c r="C582" s="258"/>
      <c r="D582" s="258"/>
      <c r="E582" s="246"/>
      <c r="F582" s="247" t="str">
        <f>IF(ISBLANK(E582), "", VLOOKUP(E582, Z!$A$2:$C$4127, 3, FALSE))</f>
        <v/>
      </c>
      <c r="G582" s="248"/>
      <c r="H582" s="248"/>
      <c r="I582" s="249"/>
      <c r="J582" s="250"/>
      <c r="K582" s="259"/>
      <c r="L582" s="260"/>
      <c r="M582" s="252" t="str" cm="1">
        <f t="array" ref="M582">INDEX(Trad, 53, $A$20)</f>
        <v>Verschmutzt</v>
      </c>
      <c r="N582" s="253"/>
      <c r="O582" s="253"/>
      <c r="P582" s="254"/>
      <c r="Q582" s="251"/>
      <c r="R582" s="251"/>
      <c r="S582" s="264">
        <f t="shared" si="611"/>
        <v>0</v>
      </c>
      <c r="T582" s="252" t="str" cm="1">
        <f t="array" ref="T582">INDEX(Trad, 52, $A$20)</f>
        <v>Sauber</v>
      </c>
      <c r="U582" s="253"/>
      <c r="V582" s="253"/>
      <c r="W582" s="254"/>
      <c r="X582" s="251"/>
      <c r="Y582" s="251"/>
      <c r="Z582" s="264">
        <f t="shared" si="612"/>
        <v>0</v>
      </c>
      <c r="AA582" s="261"/>
      <c r="AB582" s="258"/>
      <c r="AC582" s="246"/>
      <c r="AD582" s="247" t="str">
        <f>IF(ISBLANK(AC582), "", VLOOKUP(AC582, Z!$A$2:$C$4127, 3, FALSE))</f>
        <v/>
      </c>
      <c r="AE582" s="262"/>
      <c r="AF582" s="263">
        <f t="shared" si="613"/>
        <v>0</v>
      </c>
      <c r="AG582" s="238"/>
      <c r="AH582" s="229">
        <f t="shared" si="637"/>
        <v>1</v>
      </c>
      <c r="AI582" s="229">
        <f t="shared" si="638"/>
        <v>1</v>
      </c>
      <c r="AJ582" s="229">
        <f t="shared" si="639"/>
        <v>0</v>
      </c>
      <c r="AK582" s="229">
        <v>0</v>
      </c>
      <c r="AL582" s="229">
        <v>0</v>
      </c>
      <c r="AM582" s="229">
        <v>1</v>
      </c>
      <c r="AN582" s="229">
        <v>0</v>
      </c>
      <c r="AO582" s="229">
        <f t="shared" si="614"/>
        <v>-100</v>
      </c>
      <c r="AP582" s="238"/>
      <c r="AQ582" s="255"/>
      <c r="AR582" s="255"/>
      <c r="AS582" s="256"/>
      <c r="AT582" s="256"/>
      <c r="AU582" s="256"/>
      <c r="AV582" s="256"/>
      <c r="AW582" s="256"/>
      <c r="AX582" s="256"/>
      <c r="AY582" s="256"/>
      <c r="AZ582" s="256"/>
      <c r="BA582" s="256"/>
      <c r="BB582" s="256"/>
      <c r="BC582" s="256"/>
      <c r="BD582" s="238"/>
      <c r="BE582" s="229" cm="1">
        <f t="array" ref="BE582">IF(ISBLANK(R582), INDEX(Use, $AH582, 4) - AM582*INDEX(Use, $AH582, 6), R582)</f>
        <v>5</v>
      </c>
      <c r="BF582" s="229">
        <f t="shared" si="615"/>
        <v>30</v>
      </c>
      <c r="BG582" s="229">
        <f t="shared" si="603"/>
        <v>13</v>
      </c>
      <c r="BH582" s="229">
        <f t="shared" si="604"/>
        <v>0</v>
      </c>
      <c r="BI582" s="234" cm="1">
        <f t="array" ref="BI582">K582/IF($L582&gt;0, INDEX($AU$23:$BA$77, $L582+20, $AH582), 1)</f>
        <v>0</v>
      </c>
      <c r="BJ582" s="230">
        <f t="shared" si="616"/>
        <v>0</v>
      </c>
      <c r="BK582" s="229">
        <v>35</v>
      </c>
      <c r="BL582" s="230">
        <f t="shared" si="617"/>
        <v>48</v>
      </c>
      <c r="BM582" s="235">
        <f t="shared" si="618"/>
        <v>2.9108720930232557</v>
      </c>
      <c r="BN582" s="235" cm="1">
        <f t="array" ref="BN582">$BI582 * SUMPRODUCT(INDEX($AR$77:$AT$82,,$AI582),INDEX($AU$77:$BA$82,,$AH582), N($AQ$77:$AQ$82&gt;$AO582)) / BM582 / 1000</f>
        <v>0</v>
      </c>
      <c r="BO582" s="232">
        <f t="shared" si="605"/>
        <v>30</v>
      </c>
      <c r="BP582" s="230">
        <f t="shared" si="619"/>
        <v>43</v>
      </c>
      <c r="BQ582" s="235">
        <f t="shared" si="620"/>
        <v>3.2938815789473681</v>
      </c>
      <c r="BR582" s="235" cm="1">
        <f t="array" ref="BR582">$BI582 * IF($AH582&lt;=2,
SUMPRODUCT(INDEX($AR$72:$AT$76,,$AI582), INDEX($AU$72:$BA$76,,$AH582), 1 / ($BB$72:$BB$76*BQ582 + (1-$BB$72:$BB$76)*BM582), N($AQ$72:$AQ$76&gt;$AO582)),
SUMPRODUCT(INDEX($AR$67:$AT$76,,$AI582), INDEX($AU$67:$BA$76,,$AH582), 1 / ($BC$67:$BC$76*BQ582 + (1-$BC$67:$BC$76)*BM582), N($AQ$67:$AQ$76&gt;$AO582))
) / 1000</f>
        <v>0</v>
      </c>
      <c r="BS582" s="232">
        <f t="shared" si="606"/>
        <v>25</v>
      </c>
      <c r="BT582" s="230">
        <f t="shared" si="621"/>
        <v>38</v>
      </c>
      <c r="BU582" s="235">
        <f t="shared" si="622"/>
        <v>3.792954545454545</v>
      </c>
      <c r="BV582" s="235" cm="1">
        <f t="array" ref="BV582">$BI582 * IF($AH582&lt;=2,
SUMPRODUCT(INDEX($AR$67:$AT$71,,$AI582), INDEX($AU$67:$BA$71,,$AH582), 1 / ($BB$67:$BB$71*BU582 + (1-$BB$67:$BB$71)*BQ582), N($AQ$67:$AQ$71&gt;$AO582)),
SUMPRODUCT(INDEX($AR$57:$AT$66,,$AI582), INDEX($AU$57:$BA$66,,$AH582), 1 / ($BC$57:$BC$66*BU582 + (1-$BC$57:$BC$66)*BQ582), N($AQ$57:$AQ$66&gt;$AO582))
) / 1000</f>
        <v>0</v>
      </c>
      <c r="BW582" s="232">
        <f t="shared" si="607"/>
        <v>20</v>
      </c>
      <c r="BX582" s="230">
        <f t="shared" si="623"/>
        <v>33</v>
      </c>
      <c r="BY582" s="235">
        <f t="shared" si="624"/>
        <v>4.4702678571428569</v>
      </c>
      <c r="BZ582" s="235" cm="1">
        <f t="array" ref="BZ582">$BI582 * IF($AH582&lt;=2,
SUMPRODUCT(INDEX($AR$62:$AT$66,,$AI582), INDEX($AU$62:$BA$66,,$AH582), 1 / ($BB$62:$BB$66*BY582 + (1-$BB$62:$BB$66)*BU582), N($AQ$62:$AQ$66&gt;$AO582)),
SUMPRODUCT(INDEX($AR$47:$AT$56,,$AI582), INDEX($AU$47:$BA$56,,$AH582), 1 / ($BC$47:$BC$56*BY582 + (1-$BC$47:$BC$56)*BU582), N($AQ$47:$AQ$56&gt;$AO582))
) / 1000</f>
        <v>0</v>
      </c>
      <c r="CA582" s="235" cm="1">
        <f t="array" ref="CA582">$BI582 * IF($AH582&lt;=2,
SUMPRODUCT(INDEX($AR$23:$AT$61,,$AI582), INDEX($AU$23:$BA$61,,$AH582), 1 / ($BB$23:$BB$61*BY582), N($AQ$23:$AQ$61&gt;$AO582)),
SUMPRODUCT(INDEX($AR$23:$AT$46,,$AI582), INDEX($AU$23:$BA$46,,$AH582), 1 / ($BC$23:$BC$46*BY582), N($AQ$23:$AQ$46&gt;$AO582))
) / 1000</f>
        <v>0</v>
      </c>
      <c r="CB582" s="230">
        <f t="shared" si="625"/>
        <v>0</v>
      </c>
      <c r="CC582" s="238"/>
      <c r="CD582" s="229" cm="1">
        <f t="array" ref="CD582">IF(ISBLANK(Y582), INDEX(Use, $AH582, 4) - AN582*INDEX(Use, $AH582, 6) - (Q582-X582), Y582)</f>
        <v>7</v>
      </c>
      <c r="CE582" s="229">
        <f t="shared" si="626"/>
        <v>32</v>
      </c>
      <c r="CF582" s="230">
        <f t="shared" si="627"/>
        <v>0</v>
      </c>
      <c r="CG582" s="229">
        <v>35</v>
      </c>
      <c r="CH582" s="230">
        <f t="shared" si="628"/>
        <v>48</v>
      </c>
      <c r="CI582" s="235">
        <f t="shared" si="629"/>
        <v>3.0748170731707316</v>
      </c>
      <c r="CJ582" s="235" cm="1">
        <f t="array" ref="CJ582">$BI582 * SUMPRODUCT(INDEX($AR$77:$AT$82,,$AI582),INDEX($AU$77:$BA$82,,$AH582), N($AQ$77:$AQ$82&gt;$AO582)) / CI582 / 1000</f>
        <v>0</v>
      </c>
      <c r="CK582" s="232">
        <f t="shared" si="608"/>
        <v>30</v>
      </c>
      <c r="CL582" s="230">
        <f t="shared" si="630"/>
        <v>43</v>
      </c>
      <c r="CM582" s="235">
        <f t="shared" si="631"/>
        <v>3.5018750000000001</v>
      </c>
      <c r="CN582" s="235" cm="1">
        <f t="array" ref="CN582">$BI582 * IF($AH582&lt;=2,
SUMPRODUCT(INDEX($AR$72:$AT$76,,$AI582), INDEX($AU$72:$BA$76,,$AH582), 1 / ($BB$72:$BB$76*CM582 + (1-$BB$72:$BB$76)*CI582), N($AQ$72:$AQ$76&gt;$AO582)),
SUMPRODUCT(INDEX($AR$67:$AT$76,,$AI582), INDEX($AU$67:$BA$76,,$AH582), 1 / ($BC$67:$BC$76*CM582 + (1-$BC$67:$BC$76)*CI582), N($AQ$67:$AQ$76&gt;$AO582))
) / 1000</f>
        <v>0</v>
      </c>
      <c r="CO582" s="232">
        <f t="shared" si="609"/>
        <v>25</v>
      </c>
      <c r="CP582" s="230">
        <f t="shared" si="632"/>
        <v>38</v>
      </c>
      <c r="CQ582" s="235">
        <f t="shared" si="633"/>
        <v>4.0666935483870965</v>
      </c>
      <c r="CR582" s="235" cm="1">
        <f t="array" ref="CR582">$BI582 * IF($AH582&lt;=2,
SUMPRODUCT(INDEX($AR$67:$AT$71,,$AI582), INDEX($AU$67:$BA$71,,$AH582), 1 / ($BB$67:$BB$71*CQ582 + (1-$BB$67:$BB$71)*CM582), N($AQ$67:$AQ$71&gt;$AO582)),
SUMPRODUCT(INDEX($AR$57:$AT$66,,$AI582), INDEX($AU$57:$BA$66,,$AH582), 1 / ($BC$57:$BC$66*CQ582 + (1-$BC$57:$BC$66)*CM582), N($AQ$57:$AQ$66&gt;$AO582))
) / 1000</f>
        <v>0</v>
      </c>
      <c r="CS582" s="232">
        <f t="shared" si="610"/>
        <v>20</v>
      </c>
      <c r="CT582" s="230">
        <f t="shared" si="634"/>
        <v>33</v>
      </c>
      <c r="CU582" s="235">
        <f t="shared" si="635"/>
        <v>4.8487499999999999</v>
      </c>
      <c r="CV582" s="235" cm="1">
        <f t="array" ref="CV582">$BI582 * IF($AH582&lt;=2,
SUMPRODUCT(INDEX($AR$62:$AT$66,,$AI582), INDEX($AU$62:$BA$66,,$AH582), 1 / ($BB$62:$BB$66*CU582 + (1-$BB$62:$BB$66)*CQ582), N($AQ$62:$AQ$66&gt;$AO582)),
SUMPRODUCT(INDEX($AR$47:$AT$56,,$AI582), INDEX($AU$47:$BA$56,,$AH582), 1 / ($BC$47:$BC$56*CU582 + (1-$BC$47:$BC$56)*CQ582), N($AQ$47:$AQ$56&gt;$AO582))
) / 1000</f>
        <v>0</v>
      </c>
      <c r="CW582" s="235" cm="1">
        <f t="array" ref="CW582">$BI582 * IF($AH582&lt;=2,
SUMPRODUCT(INDEX($AR$23:$AT$61,,$AI582), INDEX($AU$23:$BA$61,,$AH582), 1 / ($BB$23:$BB$61*CU582), N($AQ$23:$AQ$61&gt;$AO582)),
SUMPRODUCT(INDEX($AR$23:$AT$46,,$AI582), INDEX($AU$23:$BA$46,,$AH582), 1 / ($BC$23:$BC$46*CU582), N($AQ$23:$AQ$46&gt;$AO582))
) / 1000</f>
        <v>0</v>
      </c>
      <c r="CX582" s="230">
        <f t="shared" si="636"/>
        <v>0</v>
      </c>
      <c r="CY582" s="238"/>
    </row>
    <row r="583" spans="1:103" s="76" customFormat="1" ht="14.25" customHeight="1" x14ac:dyDescent="0.2">
      <c r="A583" s="231" t="b">
        <f t="shared" si="602"/>
        <v>0</v>
      </c>
      <c r="B583" s="245">
        <v>561</v>
      </c>
      <c r="C583" s="258"/>
      <c r="D583" s="258"/>
      <c r="E583" s="246"/>
      <c r="F583" s="247" t="str">
        <f>IF(ISBLANK(E583), "", VLOOKUP(E583, Z!$A$2:$C$4127, 3, FALSE))</f>
        <v/>
      </c>
      <c r="G583" s="248"/>
      <c r="H583" s="248"/>
      <c r="I583" s="249"/>
      <c r="J583" s="250"/>
      <c r="K583" s="259"/>
      <c r="L583" s="260"/>
      <c r="M583" s="252" t="str" cm="1">
        <f t="array" ref="M583">INDEX(Trad, 53, $A$20)</f>
        <v>Verschmutzt</v>
      </c>
      <c r="N583" s="253"/>
      <c r="O583" s="253"/>
      <c r="P583" s="254"/>
      <c r="Q583" s="251"/>
      <c r="R583" s="251"/>
      <c r="S583" s="264">
        <f t="shared" si="611"/>
        <v>0</v>
      </c>
      <c r="T583" s="252" t="str" cm="1">
        <f t="array" ref="T583">INDEX(Trad, 52, $A$20)</f>
        <v>Sauber</v>
      </c>
      <c r="U583" s="253"/>
      <c r="V583" s="253"/>
      <c r="W583" s="254"/>
      <c r="X583" s="251"/>
      <c r="Y583" s="251"/>
      <c r="Z583" s="264">
        <f t="shared" si="612"/>
        <v>0</v>
      </c>
      <c r="AA583" s="261"/>
      <c r="AB583" s="258"/>
      <c r="AC583" s="246"/>
      <c r="AD583" s="247" t="str">
        <f>IF(ISBLANK(AC583), "", VLOOKUP(AC583, Z!$A$2:$C$4127, 3, FALSE))</f>
        <v/>
      </c>
      <c r="AE583" s="262"/>
      <c r="AF583" s="263">
        <f t="shared" si="613"/>
        <v>0</v>
      </c>
      <c r="AG583" s="238"/>
      <c r="AH583" s="229">
        <f t="shared" si="637"/>
        <v>1</v>
      </c>
      <c r="AI583" s="229">
        <f t="shared" si="638"/>
        <v>1</v>
      </c>
      <c r="AJ583" s="229">
        <f t="shared" si="639"/>
        <v>0</v>
      </c>
      <c r="AK583" s="229">
        <v>0</v>
      </c>
      <c r="AL583" s="229">
        <v>0</v>
      </c>
      <c r="AM583" s="229">
        <v>1</v>
      </c>
      <c r="AN583" s="229">
        <v>0</v>
      </c>
      <c r="AO583" s="229">
        <f t="shared" si="614"/>
        <v>-100</v>
      </c>
      <c r="AP583" s="238"/>
      <c r="AQ583" s="255"/>
      <c r="AR583" s="255"/>
      <c r="AS583" s="256"/>
      <c r="AT583" s="256"/>
      <c r="AU583" s="256"/>
      <c r="AV583" s="256"/>
      <c r="AW583" s="256"/>
      <c r="AX583" s="256"/>
      <c r="AY583" s="256"/>
      <c r="AZ583" s="256"/>
      <c r="BA583" s="256"/>
      <c r="BB583" s="256"/>
      <c r="BC583" s="256"/>
      <c r="BD583" s="238"/>
      <c r="BE583" s="229" cm="1">
        <f t="array" ref="BE583">IF(ISBLANK(R583), INDEX(Use, $AH583, 4) - AM583*INDEX(Use, $AH583, 6), R583)</f>
        <v>5</v>
      </c>
      <c r="BF583" s="229">
        <f t="shared" si="615"/>
        <v>30</v>
      </c>
      <c r="BG583" s="229">
        <f t="shared" si="603"/>
        <v>13</v>
      </c>
      <c r="BH583" s="229">
        <f t="shared" si="604"/>
        <v>0</v>
      </c>
      <c r="BI583" s="234" cm="1">
        <f t="array" ref="BI583">K583/IF($L583&gt;0, INDEX($AU$23:$BA$77, $L583+20, $AH583), 1)</f>
        <v>0</v>
      </c>
      <c r="BJ583" s="230">
        <f t="shared" si="616"/>
        <v>0</v>
      </c>
      <c r="BK583" s="229">
        <v>35</v>
      </c>
      <c r="BL583" s="230">
        <f t="shared" si="617"/>
        <v>48</v>
      </c>
      <c r="BM583" s="235">
        <f t="shared" si="618"/>
        <v>2.9108720930232557</v>
      </c>
      <c r="BN583" s="235" cm="1">
        <f t="array" ref="BN583">$BI583 * SUMPRODUCT(INDEX($AR$77:$AT$82,,$AI583),INDEX($AU$77:$BA$82,,$AH583), N($AQ$77:$AQ$82&gt;$AO583)) / BM583 / 1000</f>
        <v>0</v>
      </c>
      <c r="BO583" s="232">
        <f t="shared" si="605"/>
        <v>30</v>
      </c>
      <c r="BP583" s="230">
        <f t="shared" si="619"/>
        <v>43</v>
      </c>
      <c r="BQ583" s="235">
        <f t="shared" si="620"/>
        <v>3.2938815789473681</v>
      </c>
      <c r="BR583" s="235" cm="1">
        <f t="array" ref="BR583">$BI583 * IF($AH583&lt;=2,
SUMPRODUCT(INDEX($AR$72:$AT$76,,$AI583), INDEX($AU$72:$BA$76,,$AH583), 1 / ($BB$72:$BB$76*BQ583 + (1-$BB$72:$BB$76)*BM583), N($AQ$72:$AQ$76&gt;$AO583)),
SUMPRODUCT(INDEX($AR$67:$AT$76,,$AI583), INDEX($AU$67:$BA$76,,$AH583), 1 / ($BC$67:$BC$76*BQ583 + (1-$BC$67:$BC$76)*BM583), N($AQ$67:$AQ$76&gt;$AO583))
) / 1000</f>
        <v>0</v>
      </c>
      <c r="BS583" s="232">
        <f t="shared" si="606"/>
        <v>25</v>
      </c>
      <c r="BT583" s="230">
        <f t="shared" si="621"/>
        <v>38</v>
      </c>
      <c r="BU583" s="235">
        <f t="shared" si="622"/>
        <v>3.792954545454545</v>
      </c>
      <c r="BV583" s="235" cm="1">
        <f t="array" ref="BV583">$BI583 * IF($AH583&lt;=2,
SUMPRODUCT(INDEX($AR$67:$AT$71,,$AI583), INDEX($AU$67:$BA$71,,$AH583), 1 / ($BB$67:$BB$71*BU583 + (1-$BB$67:$BB$71)*BQ583), N($AQ$67:$AQ$71&gt;$AO583)),
SUMPRODUCT(INDEX($AR$57:$AT$66,,$AI583), INDEX($AU$57:$BA$66,,$AH583), 1 / ($BC$57:$BC$66*BU583 + (1-$BC$57:$BC$66)*BQ583), N($AQ$57:$AQ$66&gt;$AO583))
) / 1000</f>
        <v>0</v>
      </c>
      <c r="BW583" s="232">
        <f t="shared" si="607"/>
        <v>20</v>
      </c>
      <c r="BX583" s="230">
        <f t="shared" si="623"/>
        <v>33</v>
      </c>
      <c r="BY583" s="235">
        <f t="shared" si="624"/>
        <v>4.4702678571428569</v>
      </c>
      <c r="BZ583" s="235" cm="1">
        <f t="array" ref="BZ583">$BI583 * IF($AH583&lt;=2,
SUMPRODUCT(INDEX($AR$62:$AT$66,,$AI583), INDEX($AU$62:$BA$66,,$AH583), 1 / ($BB$62:$BB$66*BY583 + (1-$BB$62:$BB$66)*BU583), N($AQ$62:$AQ$66&gt;$AO583)),
SUMPRODUCT(INDEX($AR$47:$AT$56,,$AI583), INDEX($AU$47:$BA$56,,$AH583), 1 / ($BC$47:$BC$56*BY583 + (1-$BC$47:$BC$56)*BU583), N($AQ$47:$AQ$56&gt;$AO583))
) / 1000</f>
        <v>0</v>
      </c>
      <c r="CA583" s="235" cm="1">
        <f t="array" ref="CA583">$BI583 * IF($AH583&lt;=2,
SUMPRODUCT(INDEX($AR$23:$AT$61,,$AI583), INDEX($AU$23:$BA$61,,$AH583), 1 / ($BB$23:$BB$61*BY583), N($AQ$23:$AQ$61&gt;$AO583)),
SUMPRODUCT(INDEX($AR$23:$AT$46,,$AI583), INDEX($AU$23:$BA$46,,$AH583), 1 / ($BC$23:$BC$46*BY583), N($AQ$23:$AQ$46&gt;$AO583))
) / 1000</f>
        <v>0</v>
      </c>
      <c r="CB583" s="230">
        <f t="shared" si="625"/>
        <v>0</v>
      </c>
      <c r="CC583" s="238"/>
      <c r="CD583" s="229" cm="1">
        <f t="array" ref="CD583">IF(ISBLANK(Y583), INDEX(Use, $AH583, 4) - AN583*INDEX(Use, $AH583, 6) - (Q583-X583), Y583)</f>
        <v>7</v>
      </c>
      <c r="CE583" s="229">
        <f t="shared" si="626"/>
        <v>32</v>
      </c>
      <c r="CF583" s="230">
        <f t="shared" si="627"/>
        <v>0</v>
      </c>
      <c r="CG583" s="229">
        <v>35</v>
      </c>
      <c r="CH583" s="230">
        <f t="shared" si="628"/>
        <v>48</v>
      </c>
      <c r="CI583" s="235">
        <f t="shared" si="629"/>
        <v>3.0748170731707316</v>
      </c>
      <c r="CJ583" s="235" cm="1">
        <f t="array" ref="CJ583">$BI583 * SUMPRODUCT(INDEX($AR$77:$AT$82,,$AI583),INDEX($AU$77:$BA$82,,$AH583), N($AQ$77:$AQ$82&gt;$AO583)) / CI583 / 1000</f>
        <v>0</v>
      </c>
      <c r="CK583" s="232">
        <f t="shared" si="608"/>
        <v>30</v>
      </c>
      <c r="CL583" s="230">
        <f t="shared" si="630"/>
        <v>43</v>
      </c>
      <c r="CM583" s="235">
        <f t="shared" si="631"/>
        <v>3.5018750000000001</v>
      </c>
      <c r="CN583" s="235" cm="1">
        <f t="array" ref="CN583">$BI583 * IF($AH583&lt;=2,
SUMPRODUCT(INDEX($AR$72:$AT$76,,$AI583), INDEX($AU$72:$BA$76,,$AH583), 1 / ($BB$72:$BB$76*CM583 + (1-$BB$72:$BB$76)*CI583), N($AQ$72:$AQ$76&gt;$AO583)),
SUMPRODUCT(INDEX($AR$67:$AT$76,,$AI583), INDEX($AU$67:$BA$76,,$AH583), 1 / ($BC$67:$BC$76*CM583 + (1-$BC$67:$BC$76)*CI583), N($AQ$67:$AQ$76&gt;$AO583))
) / 1000</f>
        <v>0</v>
      </c>
      <c r="CO583" s="232">
        <f t="shared" si="609"/>
        <v>25</v>
      </c>
      <c r="CP583" s="230">
        <f t="shared" si="632"/>
        <v>38</v>
      </c>
      <c r="CQ583" s="235">
        <f t="shared" si="633"/>
        <v>4.0666935483870965</v>
      </c>
      <c r="CR583" s="235" cm="1">
        <f t="array" ref="CR583">$BI583 * IF($AH583&lt;=2,
SUMPRODUCT(INDEX($AR$67:$AT$71,,$AI583), INDEX($AU$67:$BA$71,,$AH583), 1 / ($BB$67:$BB$71*CQ583 + (1-$BB$67:$BB$71)*CM583), N($AQ$67:$AQ$71&gt;$AO583)),
SUMPRODUCT(INDEX($AR$57:$AT$66,,$AI583), INDEX($AU$57:$BA$66,,$AH583), 1 / ($BC$57:$BC$66*CQ583 + (1-$BC$57:$BC$66)*CM583), N($AQ$57:$AQ$66&gt;$AO583))
) / 1000</f>
        <v>0</v>
      </c>
      <c r="CS583" s="232">
        <f t="shared" si="610"/>
        <v>20</v>
      </c>
      <c r="CT583" s="230">
        <f t="shared" si="634"/>
        <v>33</v>
      </c>
      <c r="CU583" s="235">
        <f t="shared" si="635"/>
        <v>4.8487499999999999</v>
      </c>
      <c r="CV583" s="235" cm="1">
        <f t="array" ref="CV583">$BI583 * IF($AH583&lt;=2,
SUMPRODUCT(INDEX($AR$62:$AT$66,,$AI583), INDEX($AU$62:$BA$66,,$AH583), 1 / ($BB$62:$BB$66*CU583 + (1-$BB$62:$BB$66)*CQ583), N($AQ$62:$AQ$66&gt;$AO583)),
SUMPRODUCT(INDEX($AR$47:$AT$56,,$AI583), INDEX($AU$47:$BA$56,,$AH583), 1 / ($BC$47:$BC$56*CU583 + (1-$BC$47:$BC$56)*CQ583), N($AQ$47:$AQ$56&gt;$AO583))
) / 1000</f>
        <v>0</v>
      </c>
      <c r="CW583" s="235" cm="1">
        <f t="array" ref="CW583">$BI583 * IF($AH583&lt;=2,
SUMPRODUCT(INDEX($AR$23:$AT$61,,$AI583), INDEX($AU$23:$BA$61,,$AH583), 1 / ($BB$23:$BB$61*CU583), N($AQ$23:$AQ$61&gt;$AO583)),
SUMPRODUCT(INDEX($AR$23:$AT$46,,$AI583), INDEX($AU$23:$BA$46,,$AH583), 1 / ($BC$23:$BC$46*CU583), N($AQ$23:$AQ$46&gt;$AO583))
) / 1000</f>
        <v>0</v>
      </c>
      <c r="CX583" s="230">
        <f t="shared" si="636"/>
        <v>0</v>
      </c>
      <c r="CY583" s="238"/>
    </row>
    <row r="584" spans="1:103" s="76" customFormat="1" ht="14.25" customHeight="1" x14ac:dyDescent="0.2">
      <c r="A584" s="231" t="b">
        <f t="shared" si="602"/>
        <v>0</v>
      </c>
      <c r="B584" s="245">
        <v>562</v>
      </c>
      <c r="C584" s="258"/>
      <c r="D584" s="258"/>
      <c r="E584" s="246"/>
      <c r="F584" s="247" t="str">
        <f>IF(ISBLANK(E584), "", VLOOKUP(E584, Z!$A$2:$C$4127, 3, FALSE))</f>
        <v/>
      </c>
      <c r="G584" s="248"/>
      <c r="H584" s="248"/>
      <c r="I584" s="249"/>
      <c r="J584" s="250"/>
      <c r="K584" s="259"/>
      <c r="L584" s="260"/>
      <c r="M584" s="252" t="str" cm="1">
        <f t="array" ref="M584">INDEX(Trad, 53, $A$20)</f>
        <v>Verschmutzt</v>
      </c>
      <c r="N584" s="253"/>
      <c r="O584" s="253"/>
      <c r="P584" s="254"/>
      <c r="Q584" s="251"/>
      <c r="R584" s="251"/>
      <c r="S584" s="264">
        <f t="shared" si="611"/>
        <v>0</v>
      </c>
      <c r="T584" s="252" t="str" cm="1">
        <f t="array" ref="T584">INDEX(Trad, 52, $A$20)</f>
        <v>Sauber</v>
      </c>
      <c r="U584" s="253"/>
      <c r="V584" s="253"/>
      <c r="W584" s="254"/>
      <c r="X584" s="251"/>
      <c r="Y584" s="251"/>
      <c r="Z584" s="264">
        <f t="shared" si="612"/>
        <v>0</v>
      </c>
      <c r="AA584" s="261"/>
      <c r="AB584" s="258"/>
      <c r="AC584" s="246"/>
      <c r="AD584" s="247" t="str">
        <f>IF(ISBLANK(AC584), "", VLOOKUP(AC584, Z!$A$2:$C$4127, 3, FALSE))</f>
        <v/>
      </c>
      <c r="AE584" s="262"/>
      <c r="AF584" s="263">
        <f t="shared" si="613"/>
        <v>0</v>
      </c>
      <c r="AG584" s="238"/>
      <c r="AH584" s="229">
        <f t="shared" si="637"/>
        <v>1</v>
      </c>
      <c r="AI584" s="229">
        <f t="shared" si="638"/>
        <v>1</v>
      </c>
      <c r="AJ584" s="229">
        <f t="shared" si="639"/>
        <v>0</v>
      </c>
      <c r="AK584" s="229">
        <v>0</v>
      </c>
      <c r="AL584" s="229">
        <v>0</v>
      </c>
      <c r="AM584" s="229">
        <v>1</v>
      </c>
      <c r="AN584" s="229">
        <v>0</v>
      </c>
      <c r="AO584" s="229">
        <f t="shared" si="614"/>
        <v>-100</v>
      </c>
      <c r="AP584" s="238"/>
      <c r="AQ584" s="255"/>
      <c r="AR584" s="255"/>
      <c r="AS584" s="256"/>
      <c r="AT584" s="256"/>
      <c r="AU584" s="256"/>
      <c r="AV584" s="256"/>
      <c r="AW584" s="256"/>
      <c r="AX584" s="256"/>
      <c r="AY584" s="256"/>
      <c r="AZ584" s="256"/>
      <c r="BA584" s="256"/>
      <c r="BB584" s="256"/>
      <c r="BC584" s="256"/>
      <c r="BD584" s="238"/>
      <c r="BE584" s="229" cm="1">
        <f t="array" ref="BE584">IF(ISBLANK(R584), INDEX(Use, $AH584, 4) - AM584*INDEX(Use, $AH584, 6), R584)</f>
        <v>5</v>
      </c>
      <c r="BF584" s="229">
        <f t="shared" si="615"/>
        <v>30</v>
      </c>
      <c r="BG584" s="229">
        <f t="shared" si="603"/>
        <v>13</v>
      </c>
      <c r="BH584" s="229">
        <f t="shared" si="604"/>
        <v>0</v>
      </c>
      <c r="BI584" s="234" cm="1">
        <f t="array" ref="BI584">K584/IF($L584&gt;0, INDEX($AU$23:$BA$77, $L584+20, $AH584), 1)</f>
        <v>0</v>
      </c>
      <c r="BJ584" s="230">
        <f t="shared" si="616"/>
        <v>0</v>
      </c>
      <c r="BK584" s="229">
        <v>35</v>
      </c>
      <c r="BL584" s="230">
        <f t="shared" si="617"/>
        <v>48</v>
      </c>
      <c r="BM584" s="235">
        <f t="shared" si="618"/>
        <v>2.9108720930232557</v>
      </c>
      <c r="BN584" s="235" cm="1">
        <f t="array" ref="BN584">$BI584 * SUMPRODUCT(INDEX($AR$77:$AT$82,,$AI584),INDEX($AU$77:$BA$82,,$AH584), N($AQ$77:$AQ$82&gt;$AO584)) / BM584 / 1000</f>
        <v>0</v>
      </c>
      <c r="BO584" s="232">
        <f t="shared" si="605"/>
        <v>30</v>
      </c>
      <c r="BP584" s="230">
        <f t="shared" si="619"/>
        <v>43</v>
      </c>
      <c r="BQ584" s="235">
        <f t="shared" si="620"/>
        <v>3.2938815789473681</v>
      </c>
      <c r="BR584" s="235" cm="1">
        <f t="array" ref="BR584">$BI584 * IF($AH584&lt;=2,
SUMPRODUCT(INDEX($AR$72:$AT$76,,$AI584), INDEX($AU$72:$BA$76,,$AH584), 1 / ($BB$72:$BB$76*BQ584 + (1-$BB$72:$BB$76)*BM584), N($AQ$72:$AQ$76&gt;$AO584)),
SUMPRODUCT(INDEX($AR$67:$AT$76,,$AI584), INDEX($AU$67:$BA$76,,$AH584), 1 / ($BC$67:$BC$76*BQ584 + (1-$BC$67:$BC$76)*BM584), N($AQ$67:$AQ$76&gt;$AO584))
) / 1000</f>
        <v>0</v>
      </c>
      <c r="BS584" s="232">
        <f t="shared" si="606"/>
        <v>25</v>
      </c>
      <c r="BT584" s="230">
        <f t="shared" si="621"/>
        <v>38</v>
      </c>
      <c r="BU584" s="235">
        <f t="shared" si="622"/>
        <v>3.792954545454545</v>
      </c>
      <c r="BV584" s="235" cm="1">
        <f t="array" ref="BV584">$BI584 * IF($AH584&lt;=2,
SUMPRODUCT(INDEX($AR$67:$AT$71,,$AI584), INDEX($AU$67:$BA$71,,$AH584), 1 / ($BB$67:$BB$71*BU584 + (1-$BB$67:$BB$71)*BQ584), N($AQ$67:$AQ$71&gt;$AO584)),
SUMPRODUCT(INDEX($AR$57:$AT$66,,$AI584), INDEX($AU$57:$BA$66,,$AH584), 1 / ($BC$57:$BC$66*BU584 + (1-$BC$57:$BC$66)*BQ584), N($AQ$57:$AQ$66&gt;$AO584))
) / 1000</f>
        <v>0</v>
      </c>
      <c r="BW584" s="232">
        <f t="shared" si="607"/>
        <v>20</v>
      </c>
      <c r="BX584" s="230">
        <f t="shared" si="623"/>
        <v>33</v>
      </c>
      <c r="BY584" s="235">
        <f t="shared" si="624"/>
        <v>4.4702678571428569</v>
      </c>
      <c r="BZ584" s="235" cm="1">
        <f t="array" ref="BZ584">$BI584 * IF($AH584&lt;=2,
SUMPRODUCT(INDEX($AR$62:$AT$66,,$AI584), INDEX($AU$62:$BA$66,,$AH584), 1 / ($BB$62:$BB$66*BY584 + (1-$BB$62:$BB$66)*BU584), N($AQ$62:$AQ$66&gt;$AO584)),
SUMPRODUCT(INDEX($AR$47:$AT$56,,$AI584), INDEX($AU$47:$BA$56,,$AH584), 1 / ($BC$47:$BC$56*BY584 + (1-$BC$47:$BC$56)*BU584), N($AQ$47:$AQ$56&gt;$AO584))
) / 1000</f>
        <v>0</v>
      </c>
      <c r="CA584" s="235" cm="1">
        <f t="array" ref="CA584">$BI584 * IF($AH584&lt;=2,
SUMPRODUCT(INDEX($AR$23:$AT$61,,$AI584), INDEX($AU$23:$BA$61,,$AH584), 1 / ($BB$23:$BB$61*BY584), N($AQ$23:$AQ$61&gt;$AO584)),
SUMPRODUCT(INDEX($AR$23:$AT$46,,$AI584), INDEX($AU$23:$BA$46,,$AH584), 1 / ($BC$23:$BC$46*BY584), N($AQ$23:$AQ$46&gt;$AO584))
) / 1000</f>
        <v>0</v>
      </c>
      <c r="CB584" s="230">
        <f t="shared" si="625"/>
        <v>0</v>
      </c>
      <c r="CC584" s="238"/>
      <c r="CD584" s="229" cm="1">
        <f t="array" ref="CD584">IF(ISBLANK(Y584), INDEX(Use, $AH584, 4) - AN584*INDEX(Use, $AH584, 6) - (Q584-X584), Y584)</f>
        <v>7</v>
      </c>
      <c r="CE584" s="229">
        <f t="shared" si="626"/>
        <v>32</v>
      </c>
      <c r="CF584" s="230">
        <f t="shared" si="627"/>
        <v>0</v>
      </c>
      <c r="CG584" s="229">
        <v>35</v>
      </c>
      <c r="CH584" s="230">
        <f t="shared" si="628"/>
        <v>48</v>
      </c>
      <c r="CI584" s="235">
        <f t="shared" si="629"/>
        <v>3.0748170731707316</v>
      </c>
      <c r="CJ584" s="235" cm="1">
        <f t="array" ref="CJ584">$BI584 * SUMPRODUCT(INDEX($AR$77:$AT$82,,$AI584),INDEX($AU$77:$BA$82,,$AH584), N($AQ$77:$AQ$82&gt;$AO584)) / CI584 / 1000</f>
        <v>0</v>
      </c>
      <c r="CK584" s="232">
        <f t="shared" si="608"/>
        <v>30</v>
      </c>
      <c r="CL584" s="230">
        <f t="shared" si="630"/>
        <v>43</v>
      </c>
      <c r="CM584" s="235">
        <f t="shared" si="631"/>
        <v>3.5018750000000001</v>
      </c>
      <c r="CN584" s="235" cm="1">
        <f t="array" ref="CN584">$BI584 * IF($AH584&lt;=2,
SUMPRODUCT(INDEX($AR$72:$AT$76,,$AI584), INDEX($AU$72:$BA$76,,$AH584), 1 / ($BB$72:$BB$76*CM584 + (1-$BB$72:$BB$76)*CI584), N($AQ$72:$AQ$76&gt;$AO584)),
SUMPRODUCT(INDEX($AR$67:$AT$76,,$AI584), INDEX($AU$67:$BA$76,,$AH584), 1 / ($BC$67:$BC$76*CM584 + (1-$BC$67:$BC$76)*CI584), N($AQ$67:$AQ$76&gt;$AO584))
) / 1000</f>
        <v>0</v>
      </c>
      <c r="CO584" s="232">
        <f t="shared" si="609"/>
        <v>25</v>
      </c>
      <c r="CP584" s="230">
        <f t="shared" si="632"/>
        <v>38</v>
      </c>
      <c r="CQ584" s="235">
        <f t="shared" si="633"/>
        <v>4.0666935483870965</v>
      </c>
      <c r="CR584" s="235" cm="1">
        <f t="array" ref="CR584">$BI584 * IF($AH584&lt;=2,
SUMPRODUCT(INDEX($AR$67:$AT$71,,$AI584), INDEX($AU$67:$BA$71,,$AH584), 1 / ($BB$67:$BB$71*CQ584 + (1-$BB$67:$BB$71)*CM584), N($AQ$67:$AQ$71&gt;$AO584)),
SUMPRODUCT(INDEX($AR$57:$AT$66,,$AI584), INDEX($AU$57:$BA$66,,$AH584), 1 / ($BC$57:$BC$66*CQ584 + (1-$BC$57:$BC$66)*CM584), N($AQ$57:$AQ$66&gt;$AO584))
) / 1000</f>
        <v>0</v>
      </c>
      <c r="CS584" s="232">
        <f t="shared" si="610"/>
        <v>20</v>
      </c>
      <c r="CT584" s="230">
        <f t="shared" si="634"/>
        <v>33</v>
      </c>
      <c r="CU584" s="235">
        <f t="shared" si="635"/>
        <v>4.8487499999999999</v>
      </c>
      <c r="CV584" s="235" cm="1">
        <f t="array" ref="CV584">$BI584 * IF($AH584&lt;=2,
SUMPRODUCT(INDEX($AR$62:$AT$66,,$AI584), INDEX($AU$62:$BA$66,,$AH584), 1 / ($BB$62:$BB$66*CU584 + (1-$BB$62:$BB$66)*CQ584), N($AQ$62:$AQ$66&gt;$AO584)),
SUMPRODUCT(INDEX($AR$47:$AT$56,,$AI584), INDEX($AU$47:$BA$56,,$AH584), 1 / ($BC$47:$BC$56*CU584 + (1-$BC$47:$BC$56)*CQ584), N($AQ$47:$AQ$56&gt;$AO584))
) / 1000</f>
        <v>0</v>
      </c>
      <c r="CW584" s="235" cm="1">
        <f t="array" ref="CW584">$BI584 * IF($AH584&lt;=2,
SUMPRODUCT(INDEX($AR$23:$AT$61,,$AI584), INDEX($AU$23:$BA$61,,$AH584), 1 / ($BB$23:$BB$61*CU584), N($AQ$23:$AQ$61&gt;$AO584)),
SUMPRODUCT(INDEX($AR$23:$AT$46,,$AI584), INDEX($AU$23:$BA$46,,$AH584), 1 / ($BC$23:$BC$46*CU584), N($AQ$23:$AQ$46&gt;$AO584))
) / 1000</f>
        <v>0</v>
      </c>
      <c r="CX584" s="230">
        <f t="shared" si="636"/>
        <v>0</v>
      </c>
      <c r="CY584" s="238"/>
    </row>
    <row r="585" spans="1:103" s="76" customFormat="1" ht="14.25" customHeight="1" x14ac:dyDescent="0.2">
      <c r="A585" s="231" t="b">
        <f t="shared" si="602"/>
        <v>0</v>
      </c>
      <c r="B585" s="245">
        <v>563</v>
      </c>
      <c r="C585" s="258"/>
      <c r="D585" s="258"/>
      <c r="E585" s="246"/>
      <c r="F585" s="247" t="str">
        <f>IF(ISBLANK(E585), "", VLOOKUP(E585, Z!$A$2:$C$4127, 3, FALSE))</f>
        <v/>
      </c>
      <c r="G585" s="248"/>
      <c r="H585" s="248"/>
      <c r="I585" s="249"/>
      <c r="J585" s="250"/>
      <c r="K585" s="259"/>
      <c r="L585" s="260"/>
      <c r="M585" s="252" t="str" cm="1">
        <f t="array" ref="M585">INDEX(Trad, 53, $A$20)</f>
        <v>Verschmutzt</v>
      </c>
      <c r="N585" s="253"/>
      <c r="O585" s="253"/>
      <c r="P585" s="254"/>
      <c r="Q585" s="251"/>
      <c r="R585" s="251"/>
      <c r="S585" s="264">
        <f t="shared" si="611"/>
        <v>0</v>
      </c>
      <c r="T585" s="252" t="str" cm="1">
        <f t="array" ref="T585">INDEX(Trad, 52, $A$20)</f>
        <v>Sauber</v>
      </c>
      <c r="U585" s="253"/>
      <c r="V585" s="253"/>
      <c r="W585" s="254"/>
      <c r="X585" s="251"/>
      <c r="Y585" s="251"/>
      <c r="Z585" s="264">
        <f t="shared" si="612"/>
        <v>0</v>
      </c>
      <c r="AA585" s="261"/>
      <c r="AB585" s="258"/>
      <c r="AC585" s="246"/>
      <c r="AD585" s="247" t="str">
        <f>IF(ISBLANK(AC585), "", VLOOKUP(AC585, Z!$A$2:$C$4127, 3, FALSE))</f>
        <v/>
      </c>
      <c r="AE585" s="262"/>
      <c r="AF585" s="263">
        <f t="shared" si="613"/>
        <v>0</v>
      </c>
      <c r="AG585" s="238"/>
      <c r="AH585" s="229">
        <f t="shared" si="637"/>
        <v>1</v>
      </c>
      <c r="AI585" s="229">
        <f t="shared" si="638"/>
        <v>1</v>
      </c>
      <c r="AJ585" s="229">
        <f t="shared" si="639"/>
        <v>0</v>
      </c>
      <c r="AK585" s="229">
        <v>0</v>
      </c>
      <c r="AL585" s="229">
        <v>0</v>
      </c>
      <c r="AM585" s="229">
        <v>1</v>
      </c>
      <c r="AN585" s="229">
        <v>0</v>
      </c>
      <c r="AO585" s="229">
        <f t="shared" si="614"/>
        <v>-100</v>
      </c>
      <c r="AP585" s="238"/>
      <c r="AQ585" s="255"/>
      <c r="AR585" s="255"/>
      <c r="AS585" s="256"/>
      <c r="AT585" s="256"/>
      <c r="AU585" s="256"/>
      <c r="AV585" s="256"/>
      <c r="AW585" s="256"/>
      <c r="AX585" s="256"/>
      <c r="AY585" s="256"/>
      <c r="AZ585" s="256"/>
      <c r="BA585" s="256"/>
      <c r="BB585" s="256"/>
      <c r="BC585" s="256"/>
      <c r="BD585" s="238"/>
      <c r="BE585" s="229" cm="1">
        <f t="array" ref="BE585">IF(ISBLANK(R585), INDEX(Use, $AH585, 4) - AM585*INDEX(Use, $AH585, 6), R585)</f>
        <v>5</v>
      </c>
      <c r="BF585" s="229">
        <f t="shared" si="615"/>
        <v>30</v>
      </c>
      <c r="BG585" s="229">
        <f t="shared" si="603"/>
        <v>13</v>
      </c>
      <c r="BH585" s="229">
        <f t="shared" si="604"/>
        <v>0</v>
      </c>
      <c r="BI585" s="234" cm="1">
        <f t="array" ref="BI585">K585/IF($L585&gt;0, INDEX($AU$23:$BA$77, $L585+20, $AH585), 1)</f>
        <v>0</v>
      </c>
      <c r="BJ585" s="230">
        <f t="shared" si="616"/>
        <v>0</v>
      </c>
      <c r="BK585" s="229">
        <v>35</v>
      </c>
      <c r="BL585" s="230">
        <f t="shared" si="617"/>
        <v>48</v>
      </c>
      <c r="BM585" s="235">
        <f t="shared" si="618"/>
        <v>2.9108720930232557</v>
      </c>
      <c r="BN585" s="235" cm="1">
        <f t="array" ref="BN585">$BI585 * SUMPRODUCT(INDEX($AR$77:$AT$82,,$AI585),INDEX($AU$77:$BA$82,,$AH585), N($AQ$77:$AQ$82&gt;$AO585)) / BM585 / 1000</f>
        <v>0</v>
      </c>
      <c r="BO585" s="232">
        <f t="shared" si="605"/>
        <v>30</v>
      </c>
      <c r="BP585" s="230">
        <f t="shared" si="619"/>
        <v>43</v>
      </c>
      <c r="BQ585" s="235">
        <f t="shared" si="620"/>
        <v>3.2938815789473681</v>
      </c>
      <c r="BR585" s="235" cm="1">
        <f t="array" ref="BR585">$BI585 * IF($AH585&lt;=2,
SUMPRODUCT(INDEX($AR$72:$AT$76,,$AI585), INDEX($AU$72:$BA$76,,$AH585), 1 / ($BB$72:$BB$76*BQ585 + (1-$BB$72:$BB$76)*BM585), N($AQ$72:$AQ$76&gt;$AO585)),
SUMPRODUCT(INDEX($AR$67:$AT$76,,$AI585), INDEX($AU$67:$BA$76,,$AH585), 1 / ($BC$67:$BC$76*BQ585 + (1-$BC$67:$BC$76)*BM585), N($AQ$67:$AQ$76&gt;$AO585))
) / 1000</f>
        <v>0</v>
      </c>
      <c r="BS585" s="232">
        <f t="shared" si="606"/>
        <v>25</v>
      </c>
      <c r="BT585" s="230">
        <f t="shared" si="621"/>
        <v>38</v>
      </c>
      <c r="BU585" s="235">
        <f t="shared" si="622"/>
        <v>3.792954545454545</v>
      </c>
      <c r="BV585" s="235" cm="1">
        <f t="array" ref="BV585">$BI585 * IF($AH585&lt;=2,
SUMPRODUCT(INDEX($AR$67:$AT$71,,$AI585), INDEX($AU$67:$BA$71,,$AH585), 1 / ($BB$67:$BB$71*BU585 + (1-$BB$67:$BB$71)*BQ585), N($AQ$67:$AQ$71&gt;$AO585)),
SUMPRODUCT(INDEX($AR$57:$AT$66,,$AI585), INDEX($AU$57:$BA$66,,$AH585), 1 / ($BC$57:$BC$66*BU585 + (1-$BC$57:$BC$66)*BQ585), N($AQ$57:$AQ$66&gt;$AO585))
) / 1000</f>
        <v>0</v>
      </c>
      <c r="BW585" s="232">
        <f t="shared" si="607"/>
        <v>20</v>
      </c>
      <c r="BX585" s="230">
        <f t="shared" si="623"/>
        <v>33</v>
      </c>
      <c r="BY585" s="235">
        <f t="shared" si="624"/>
        <v>4.4702678571428569</v>
      </c>
      <c r="BZ585" s="235" cm="1">
        <f t="array" ref="BZ585">$BI585 * IF($AH585&lt;=2,
SUMPRODUCT(INDEX($AR$62:$AT$66,,$AI585), INDEX($AU$62:$BA$66,,$AH585), 1 / ($BB$62:$BB$66*BY585 + (1-$BB$62:$BB$66)*BU585), N($AQ$62:$AQ$66&gt;$AO585)),
SUMPRODUCT(INDEX($AR$47:$AT$56,,$AI585), INDEX($AU$47:$BA$56,,$AH585), 1 / ($BC$47:$BC$56*BY585 + (1-$BC$47:$BC$56)*BU585), N($AQ$47:$AQ$56&gt;$AO585))
) / 1000</f>
        <v>0</v>
      </c>
      <c r="CA585" s="235" cm="1">
        <f t="array" ref="CA585">$BI585 * IF($AH585&lt;=2,
SUMPRODUCT(INDEX($AR$23:$AT$61,,$AI585), INDEX($AU$23:$BA$61,,$AH585), 1 / ($BB$23:$BB$61*BY585), N($AQ$23:$AQ$61&gt;$AO585)),
SUMPRODUCT(INDEX($AR$23:$AT$46,,$AI585), INDEX($AU$23:$BA$46,,$AH585), 1 / ($BC$23:$BC$46*BY585), N($AQ$23:$AQ$46&gt;$AO585))
) / 1000</f>
        <v>0</v>
      </c>
      <c r="CB585" s="230">
        <f t="shared" si="625"/>
        <v>0</v>
      </c>
      <c r="CC585" s="238"/>
      <c r="CD585" s="229" cm="1">
        <f t="array" ref="CD585">IF(ISBLANK(Y585), INDEX(Use, $AH585, 4) - AN585*INDEX(Use, $AH585, 6) - (Q585-X585), Y585)</f>
        <v>7</v>
      </c>
      <c r="CE585" s="229">
        <f t="shared" si="626"/>
        <v>32</v>
      </c>
      <c r="CF585" s="230">
        <f t="shared" si="627"/>
        <v>0</v>
      </c>
      <c r="CG585" s="229">
        <v>35</v>
      </c>
      <c r="CH585" s="230">
        <f t="shared" si="628"/>
        <v>48</v>
      </c>
      <c r="CI585" s="235">
        <f t="shared" si="629"/>
        <v>3.0748170731707316</v>
      </c>
      <c r="CJ585" s="235" cm="1">
        <f t="array" ref="CJ585">$BI585 * SUMPRODUCT(INDEX($AR$77:$AT$82,,$AI585),INDEX($AU$77:$BA$82,,$AH585), N($AQ$77:$AQ$82&gt;$AO585)) / CI585 / 1000</f>
        <v>0</v>
      </c>
      <c r="CK585" s="232">
        <f t="shared" si="608"/>
        <v>30</v>
      </c>
      <c r="CL585" s="230">
        <f t="shared" si="630"/>
        <v>43</v>
      </c>
      <c r="CM585" s="235">
        <f t="shared" si="631"/>
        <v>3.5018750000000001</v>
      </c>
      <c r="CN585" s="235" cm="1">
        <f t="array" ref="CN585">$BI585 * IF($AH585&lt;=2,
SUMPRODUCT(INDEX($AR$72:$AT$76,,$AI585), INDEX($AU$72:$BA$76,,$AH585), 1 / ($BB$72:$BB$76*CM585 + (1-$BB$72:$BB$76)*CI585), N($AQ$72:$AQ$76&gt;$AO585)),
SUMPRODUCT(INDEX($AR$67:$AT$76,,$AI585), INDEX($AU$67:$BA$76,,$AH585), 1 / ($BC$67:$BC$76*CM585 + (1-$BC$67:$BC$76)*CI585), N($AQ$67:$AQ$76&gt;$AO585))
) / 1000</f>
        <v>0</v>
      </c>
      <c r="CO585" s="232">
        <f t="shared" si="609"/>
        <v>25</v>
      </c>
      <c r="CP585" s="230">
        <f t="shared" si="632"/>
        <v>38</v>
      </c>
      <c r="CQ585" s="235">
        <f t="shared" si="633"/>
        <v>4.0666935483870965</v>
      </c>
      <c r="CR585" s="235" cm="1">
        <f t="array" ref="CR585">$BI585 * IF($AH585&lt;=2,
SUMPRODUCT(INDEX($AR$67:$AT$71,,$AI585), INDEX($AU$67:$BA$71,,$AH585), 1 / ($BB$67:$BB$71*CQ585 + (1-$BB$67:$BB$71)*CM585), N($AQ$67:$AQ$71&gt;$AO585)),
SUMPRODUCT(INDEX($AR$57:$AT$66,,$AI585), INDEX($AU$57:$BA$66,,$AH585), 1 / ($BC$57:$BC$66*CQ585 + (1-$BC$57:$BC$66)*CM585), N($AQ$57:$AQ$66&gt;$AO585))
) / 1000</f>
        <v>0</v>
      </c>
      <c r="CS585" s="232">
        <f t="shared" si="610"/>
        <v>20</v>
      </c>
      <c r="CT585" s="230">
        <f t="shared" si="634"/>
        <v>33</v>
      </c>
      <c r="CU585" s="235">
        <f t="shared" si="635"/>
        <v>4.8487499999999999</v>
      </c>
      <c r="CV585" s="235" cm="1">
        <f t="array" ref="CV585">$BI585 * IF($AH585&lt;=2,
SUMPRODUCT(INDEX($AR$62:$AT$66,,$AI585), INDEX($AU$62:$BA$66,,$AH585), 1 / ($BB$62:$BB$66*CU585 + (1-$BB$62:$BB$66)*CQ585), N($AQ$62:$AQ$66&gt;$AO585)),
SUMPRODUCT(INDEX($AR$47:$AT$56,,$AI585), INDEX($AU$47:$BA$56,,$AH585), 1 / ($BC$47:$BC$56*CU585 + (1-$BC$47:$BC$56)*CQ585), N($AQ$47:$AQ$56&gt;$AO585))
) / 1000</f>
        <v>0</v>
      </c>
      <c r="CW585" s="235" cm="1">
        <f t="array" ref="CW585">$BI585 * IF($AH585&lt;=2,
SUMPRODUCT(INDEX($AR$23:$AT$61,,$AI585), INDEX($AU$23:$BA$61,,$AH585), 1 / ($BB$23:$BB$61*CU585), N($AQ$23:$AQ$61&gt;$AO585)),
SUMPRODUCT(INDEX($AR$23:$AT$46,,$AI585), INDEX($AU$23:$BA$46,,$AH585), 1 / ($BC$23:$BC$46*CU585), N($AQ$23:$AQ$46&gt;$AO585))
) / 1000</f>
        <v>0</v>
      </c>
      <c r="CX585" s="230">
        <f t="shared" si="636"/>
        <v>0</v>
      </c>
      <c r="CY585" s="238"/>
    </row>
    <row r="586" spans="1:103" s="76" customFormat="1" ht="14.25" customHeight="1" x14ac:dyDescent="0.2">
      <c r="A586" s="231" t="b">
        <f t="shared" si="602"/>
        <v>0</v>
      </c>
      <c r="B586" s="245">
        <v>564</v>
      </c>
      <c r="C586" s="258"/>
      <c r="D586" s="258"/>
      <c r="E586" s="246"/>
      <c r="F586" s="247" t="str">
        <f>IF(ISBLANK(E586), "", VLOOKUP(E586, Z!$A$2:$C$4127, 3, FALSE))</f>
        <v/>
      </c>
      <c r="G586" s="248"/>
      <c r="H586" s="248"/>
      <c r="I586" s="249"/>
      <c r="J586" s="250"/>
      <c r="K586" s="259"/>
      <c r="L586" s="260"/>
      <c r="M586" s="252" t="str" cm="1">
        <f t="array" ref="M586">INDEX(Trad, 53, $A$20)</f>
        <v>Verschmutzt</v>
      </c>
      <c r="N586" s="253"/>
      <c r="O586" s="253"/>
      <c r="P586" s="254"/>
      <c r="Q586" s="251"/>
      <c r="R586" s="251"/>
      <c r="S586" s="264">
        <f t="shared" si="611"/>
        <v>0</v>
      </c>
      <c r="T586" s="252" t="str" cm="1">
        <f t="array" ref="T586">INDEX(Trad, 52, $A$20)</f>
        <v>Sauber</v>
      </c>
      <c r="U586" s="253"/>
      <c r="V586" s="253"/>
      <c r="W586" s="254"/>
      <c r="X586" s="251"/>
      <c r="Y586" s="251"/>
      <c r="Z586" s="264">
        <f t="shared" si="612"/>
        <v>0</v>
      </c>
      <c r="AA586" s="261"/>
      <c r="AB586" s="258"/>
      <c r="AC586" s="246"/>
      <c r="AD586" s="247" t="str">
        <f>IF(ISBLANK(AC586), "", VLOOKUP(AC586, Z!$A$2:$C$4127, 3, FALSE))</f>
        <v/>
      </c>
      <c r="AE586" s="262"/>
      <c r="AF586" s="263">
        <f t="shared" si="613"/>
        <v>0</v>
      </c>
      <c r="AG586" s="238"/>
      <c r="AH586" s="229">
        <f t="shared" si="637"/>
        <v>1</v>
      </c>
      <c r="AI586" s="229">
        <f t="shared" si="638"/>
        <v>1</v>
      </c>
      <c r="AJ586" s="229">
        <f t="shared" si="639"/>
        <v>0</v>
      </c>
      <c r="AK586" s="229">
        <v>0</v>
      </c>
      <c r="AL586" s="229">
        <v>0</v>
      </c>
      <c r="AM586" s="229">
        <v>1</v>
      </c>
      <c r="AN586" s="229">
        <v>0</v>
      </c>
      <c r="AO586" s="229">
        <f t="shared" si="614"/>
        <v>-100</v>
      </c>
      <c r="AP586" s="238"/>
      <c r="AQ586" s="255"/>
      <c r="AR586" s="255"/>
      <c r="AS586" s="256"/>
      <c r="AT586" s="256"/>
      <c r="AU586" s="256"/>
      <c r="AV586" s="256"/>
      <c r="AW586" s="256"/>
      <c r="AX586" s="256"/>
      <c r="AY586" s="256"/>
      <c r="AZ586" s="256"/>
      <c r="BA586" s="256"/>
      <c r="BB586" s="256"/>
      <c r="BC586" s="256"/>
      <c r="BD586" s="238"/>
      <c r="BE586" s="229" cm="1">
        <f t="array" ref="BE586">IF(ISBLANK(R586), INDEX(Use, $AH586, 4) - AM586*INDEX(Use, $AH586, 6), R586)</f>
        <v>5</v>
      </c>
      <c r="BF586" s="229">
        <f t="shared" si="615"/>
        <v>30</v>
      </c>
      <c r="BG586" s="229">
        <f t="shared" si="603"/>
        <v>13</v>
      </c>
      <c r="BH586" s="229">
        <f t="shared" si="604"/>
        <v>0</v>
      </c>
      <c r="BI586" s="234" cm="1">
        <f t="array" ref="BI586">K586/IF($L586&gt;0, INDEX($AU$23:$BA$77, $L586+20, $AH586), 1)</f>
        <v>0</v>
      </c>
      <c r="BJ586" s="230">
        <f t="shared" si="616"/>
        <v>0</v>
      </c>
      <c r="BK586" s="229">
        <v>35</v>
      </c>
      <c r="BL586" s="230">
        <f t="shared" si="617"/>
        <v>48</v>
      </c>
      <c r="BM586" s="235">
        <f t="shared" si="618"/>
        <v>2.9108720930232557</v>
      </c>
      <c r="BN586" s="235" cm="1">
        <f t="array" ref="BN586">$BI586 * SUMPRODUCT(INDEX($AR$77:$AT$82,,$AI586),INDEX($AU$77:$BA$82,,$AH586), N($AQ$77:$AQ$82&gt;$AO586)) / BM586 / 1000</f>
        <v>0</v>
      </c>
      <c r="BO586" s="232">
        <f t="shared" si="605"/>
        <v>30</v>
      </c>
      <c r="BP586" s="230">
        <f t="shared" si="619"/>
        <v>43</v>
      </c>
      <c r="BQ586" s="235">
        <f t="shared" si="620"/>
        <v>3.2938815789473681</v>
      </c>
      <c r="BR586" s="235" cm="1">
        <f t="array" ref="BR586">$BI586 * IF($AH586&lt;=2,
SUMPRODUCT(INDEX($AR$72:$AT$76,,$AI586), INDEX($AU$72:$BA$76,,$AH586), 1 / ($BB$72:$BB$76*BQ586 + (1-$BB$72:$BB$76)*BM586), N($AQ$72:$AQ$76&gt;$AO586)),
SUMPRODUCT(INDEX($AR$67:$AT$76,,$AI586), INDEX($AU$67:$BA$76,,$AH586), 1 / ($BC$67:$BC$76*BQ586 + (1-$BC$67:$BC$76)*BM586), N($AQ$67:$AQ$76&gt;$AO586))
) / 1000</f>
        <v>0</v>
      </c>
      <c r="BS586" s="232">
        <f t="shared" si="606"/>
        <v>25</v>
      </c>
      <c r="BT586" s="230">
        <f t="shared" si="621"/>
        <v>38</v>
      </c>
      <c r="BU586" s="235">
        <f t="shared" si="622"/>
        <v>3.792954545454545</v>
      </c>
      <c r="BV586" s="235" cm="1">
        <f t="array" ref="BV586">$BI586 * IF($AH586&lt;=2,
SUMPRODUCT(INDEX($AR$67:$AT$71,,$AI586), INDEX($AU$67:$BA$71,,$AH586), 1 / ($BB$67:$BB$71*BU586 + (1-$BB$67:$BB$71)*BQ586), N($AQ$67:$AQ$71&gt;$AO586)),
SUMPRODUCT(INDEX($AR$57:$AT$66,,$AI586), INDEX($AU$57:$BA$66,,$AH586), 1 / ($BC$57:$BC$66*BU586 + (1-$BC$57:$BC$66)*BQ586), N($AQ$57:$AQ$66&gt;$AO586))
) / 1000</f>
        <v>0</v>
      </c>
      <c r="BW586" s="232">
        <f t="shared" si="607"/>
        <v>20</v>
      </c>
      <c r="BX586" s="230">
        <f t="shared" si="623"/>
        <v>33</v>
      </c>
      <c r="BY586" s="235">
        <f t="shared" si="624"/>
        <v>4.4702678571428569</v>
      </c>
      <c r="BZ586" s="235" cm="1">
        <f t="array" ref="BZ586">$BI586 * IF($AH586&lt;=2,
SUMPRODUCT(INDEX($AR$62:$AT$66,,$AI586), INDEX($AU$62:$BA$66,,$AH586), 1 / ($BB$62:$BB$66*BY586 + (1-$BB$62:$BB$66)*BU586), N($AQ$62:$AQ$66&gt;$AO586)),
SUMPRODUCT(INDEX($AR$47:$AT$56,,$AI586), INDEX($AU$47:$BA$56,,$AH586), 1 / ($BC$47:$BC$56*BY586 + (1-$BC$47:$BC$56)*BU586), N($AQ$47:$AQ$56&gt;$AO586))
) / 1000</f>
        <v>0</v>
      </c>
      <c r="CA586" s="235" cm="1">
        <f t="array" ref="CA586">$BI586 * IF($AH586&lt;=2,
SUMPRODUCT(INDEX($AR$23:$AT$61,,$AI586), INDEX($AU$23:$BA$61,,$AH586), 1 / ($BB$23:$BB$61*BY586), N($AQ$23:$AQ$61&gt;$AO586)),
SUMPRODUCT(INDEX($AR$23:$AT$46,,$AI586), INDEX($AU$23:$BA$46,,$AH586), 1 / ($BC$23:$BC$46*BY586), N($AQ$23:$AQ$46&gt;$AO586))
) / 1000</f>
        <v>0</v>
      </c>
      <c r="CB586" s="230">
        <f t="shared" si="625"/>
        <v>0</v>
      </c>
      <c r="CC586" s="238"/>
      <c r="CD586" s="229" cm="1">
        <f t="array" ref="CD586">IF(ISBLANK(Y586), INDEX(Use, $AH586, 4) - AN586*INDEX(Use, $AH586, 6) - (Q586-X586), Y586)</f>
        <v>7</v>
      </c>
      <c r="CE586" s="229">
        <f t="shared" si="626"/>
        <v>32</v>
      </c>
      <c r="CF586" s="230">
        <f t="shared" si="627"/>
        <v>0</v>
      </c>
      <c r="CG586" s="229">
        <v>35</v>
      </c>
      <c r="CH586" s="230">
        <f t="shared" si="628"/>
        <v>48</v>
      </c>
      <c r="CI586" s="235">
        <f t="shared" si="629"/>
        <v>3.0748170731707316</v>
      </c>
      <c r="CJ586" s="235" cm="1">
        <f t="array" ref="CJ586">$BI586 * SUMPRODUCT(INDEX($AR$77:$AT$82,,$AI586),INDEX($AU$77:$BA$82,,$AH586), N($AQ$77:$AQ$82&gt;$AO586)) / CI586 / 1000</f>
        <v>0</v>
      </c>
      <c r="CK586" s="232">
        <f t="shared" si="608"/>
        <v>30</v>
      </c>
      <c r="CL586" s="230">
        <f t="shared" si="630"/>
        <v>43</v>
      </c>
      <c r="CM586" s="235">
        <f t="shared" si="631"/>
        <v>3.5018750000000001</v>
      </c>
      <c r="CN586" s="235" cm="1">
        <f t="array" ref="CN586">$BI586 * IF($AH586&lt;=2,
SUMPRODUCT(INDEX($AR$72:$AT$76,,$AI586), INDEX($AU$72:$BA$76,,$AH586), 1 / ($BB$72:$BB$76*CM586 + (1-$BB$72:$BB$76)*CI586), N($AQ$72:$AQ$76&gt;$AO586)),
SUMPRODUCT(INDEX($AR$67:$AT$76,,$AI586), INDEX($AU$67:$BA$76,,$AH586), 1 / ($BC$67:$BC$76*CM586 + (1-$BC$67:$BC$76)*CI586), N($AQ$67:$AQ$76&gt;$AO586))
) / 1000</f>
        <v>0</v>
      </c>
      <c r="CO586" s="232">
        <f t="shared" si="609"/>
        <v>25</v>
      </c>
      <c r="CP586" s="230">
        <f t="shared" si="632"/>
        <v>38</v>
      </c>
      <c r="CQ586" s="235">
        <f t="shared" si="633"/>
        <v>4.0666935483870965</v>
      </c>
      <c r="CR586" s="235" cm="1">
        <f t="array" ref="CR586">$BI586 * IF($AH586&lt;=2,
SUMPRODUCT(INDEX($AR$67:$AT$71,,$AI586), INDEX($AU$67:$BA$71,,$AH586), 1 / ($BB$67:$BB$71*CQ586 + (1-$BB$67:$BB$71)*CM586), N($AQ$67:$AQ$71&gt;$AO586)),
SUMPRODUCT(INDEX($AR$57:$AT$66,,$AI586), INDEX($AU$57:$BA$66,,$AH586), 1 / ($BC$57:$BC$66*CQ586 + (1-$BC$57:$BC$66)*CM586), N($AQ$57:$AQ$66&gt;$AO586))
) / 1000</f>
        <v>0</v>
      </c>
      <c r="CS586" s="232">
        <f t="shared" si="610"/>
        <v>20</v>
      </c>
      <c r="CT586" s="230">
        <f t="shared" si="634"/>
        <v>33</v>
      </c>
      <c r="CU586" s="235">
        <f t="shared" si="635"/>
        <v>4.8487499999999999</v>
      </c>
      <c r="CV586" s="235" cm="1">
        <f t="array" ref="CV586">$BI586 * IF($AH586&lt;=2,
SUMPRODUCT(INDEX($AR$62:$AT$66,,$AI586), INDEX($AU$62:$BA$66,,$AH586), 1 / ($BB$62:$BB$66*CU586 + (1-$BB$62:$BB$66)*CQ586), N($AQ$62:$AQ$66&gt;$AO586)),
SUMPRODUCT(INDEX($AR$47:$AT$56,,$AI586), INDEX($AU$47:$BA$56,,$AH586), 1 / ($BC$47:$BC$56*CU586 + (1-$BC$47:$BC$56)*CQ586), N($AQ$47:$AQ$56&gt;$AO586))
) / 1000</f>
        <v>0</v>
      </c>
      <c r="CW586" s="235" cm="1">
        <f t="array" ref="CW586">$BI586 * IF($AH586&lt;=2,
SUMPRODUCT(INDEX($AR$23:$AT$61,,$AI586), INDEX($AU$23:$BA$61,,$AH586), 1 / ($BB$23:$BB$61*CU586), N($AQ$23:$AQ$61&gt;$AO586)),
SUMPRODUCT(INDEX($AR$23:$AT$46,,$AI586), INDEX($AU$23:$BA$46,,$AH586), 1 / ($BC$23:$BC$46*CU586), N($AQ$23:$AQ$46&gt;$AO586))
) / 1000</f>
        <v>0</v>
      </c>
      <c r="CX586" s="230">
        <f t="shared" si="636"/>
        <v>0</v>
      </c>
      <c r="CY586" s="238"/>
    </row>
    <row r="587" spans="1:103" s="76" customFormat="1" ht="14.25" customHeight="1" x14ac:dyDescent="0.2">
      <c r="A587" s="231" t="b">
        <f t="shared" si="602"/>
        <v>0</v>
      </c>
      <c r="B587" s="245">
        <v>565</v>
      </c>
      <c r="C587" s="258"/>
      <c r="D587" s="258"/>
      <c r="E587" s="246"/>
      <c r="F587" s="247" t="str">
        <f>IF(ISBLANK(E587), "", VLOOKUP(E587, Z!$A$2:$C$4127, 3, FALSE))</f>
        <v/>
      </c>
      <c r="G587" s="248"/>
      <c r="H587" s="248"/>
      <c r="I587" s="249"/>
      <c r="J587" s="250"/>
      <c r="K587" s="259"/>
      <c r="L587" s="260"/>
      <c r="M587" s="252" t="str" cm="1">
        <f t="array" ref="M587">INDEX(Trad, 53, $A$20)</f>
        <v>Verschmutzt</v>
      </c>
      <c r="N587" s="253"/>
      <c r="O587" s="253"/>
      <c r="P587" s="254"/>
      <c r="Q587" s="251"/>
      <c r="R587" s="251"/>
      <c r="S587" s="264">
        <f t="shared" si="611"/>
        <v>0</v>
      </c>
      <c r="T587" s="252" t="str" cm="1">
        <f t="array" ref="T587">INDEX(Trad, 52, $A$20)</f>
        <v>Sauber</v>
      </c>
      <c r="U587" s="253"/>
      <c r="V587" s="253"/>
      <c r="W587" s="254"/>
      <c r="X587" s="251"/>
      <c r="Y587" s="251"/>
      <c r="Z587" s="264">
        <f t="shared" si="612"/>
        <v>0</v>
      </c>
      <c r="AA587" s="261"/>
      <c r="AB587" s="258"/>
      <c r="AC587" s="246"/>
      <c r="AD587" s="247" t="str">
        <f>IF(ISBLANK(AC587), "", VLOOKUP(AC587, Z!$A$2:$C$4127, 3, FALSE))</f>
        <v/>
      </c>
      <c r="AE587" s="262"/>
      <c r="AF587" s="263">
        <f t="shared" si="613"/>
        <v>0</v>
      </c>
      <c r="AG587" s="238"/>
      <c r="AH587" s="229">
        <f t="shared" si="637"/>
        <v>1</v>
      </c>
      <c r="AI587" s="229">
        <f t="shared" si="638"/>
        <v>1</v>
      </c>
      <c r="AJ587" s="229">
        <f t="shared" si="639"/>
        <v>0</v>
      </c>
      <c r="AK587" s="229">
        <v>0</v>
      </c>
      <c r="AL587" s="229">
        <v>0</v>
      </c>
      <c r="AM587" s="229">
        <v>1</v>
      </c>
      <c r="AN587" s="229">
        <v>0</v>
      </c>
      <c r="AO587" s="229">
        <f t="shared" si="614"/>
        <v>-100</v>
      </c>
      <c r="AP587" s="238"/>
      <c r="AQ587" s="255"/>
      <c r="AR587" s="255"/>
      <c r="AS587" s="256"/>
      <c r="AT587" s="256"/>
      <c r="AU587" s="256"/>
      <c r="AV587" s="256"/>
      <c r="AW587" s="256"/>
      <c r="AX587" s="256"/>
      <c r="AY587" s="256"/>
      <c r="AZ587" s="256"/>
      <c r="BA587" s="256"/>
      <c r="BB587" s="256"/>
      <c r="BC587" s="256"/>
      <c r="BD587" s="238"/>
      <c r="BE587" s="229" cm="1">
        <f t="array" ref="BE587">IF(ISBLANK(R587), INDEX(Use, $AH587, 4) - AM587*INDEX(Use, $AH587, 6), R587)</f>
        <v>5</v>
      </c>
      <c r="BF587" s="229">
        <f t="shared" si="615"/>
        <v>30</v>
      </c>
      <c r="BG587" s="229">
        <f t="shared" si="603"/>
        <v>13</v>
      </c>
      <c r="BH587" s="229">
        <f t="shared" si="604"/>
        <v>0</v>
      </c>
      <c r="BI587" s="234" cm="1">
        <f t="array" ref="BI587">K587/IF($L587&gt;0, INDEX($AU$23:$BA$77, $L587+20, $AH587), 1)</f>
        <v>0</v>
      </c>
      <c r="BJ587" s="230">
        <f t="shared" si="616"/>
        <v>0</v>
      </c>
      <c r="BK587" s="229">
        <v>35</v>
      </c>
      <c r="BL587" s="230">
        <f t="shared" si="617"/>
        <v>48</v>
      </c>
      <c r="BM587" s="235">
        <f t="shared" si="618"/>
        <v>2.9108720930232557</v>
      </c>
      <c r="BN587" s="235" cm="1">
        <f t="array" ref="BN587">$BI587 * SUMPRODUCT(INDEX($AR$77:$AT$82,,$AI587),INDEX($AU$77:$BA$82,,$AH587), N($AQ$77:$AQ$82&gt;$AO587)) / BM587 / 1000</f>
        <v>0</v>
      </c>
      <c r="BO587" s="232">
        <f t="shared" si="605"/>
        <v>30</v>
      </c>
      <c r="BP587" s="230">
        <f t="shared" si="619"/>
        <v>43</v>
      </c>
      <c r="BQ587" s="235">
        <f t="shared" si="620"/>
        <v>3.2938815789473681</v>
      </c>
      <c r="BR587" s="235" cm="1">
        <f t="array" ref="BR587">$BI587 * IF($AH587&lt;=2,
SUMPRODUCT(INDEX($AR$72:$AT$76,,$AI587), INDEX($AU$72:$BA$76,,$AH587), 1 / ($BB$72:$BB$76*BQ587 + (1-$BB$72:$BB$76)*BM587), N($AQ$72:$AQ$76&gt;$AO587)),
SUMPRODUCT(INDEX($AR$67:$AT$76,,$AI587), INDEX($AU$67:$BA$76,,$AH587), 1 / ($BC$67:$BC$76*BQ587 + (1-$BC$67:$BC$76)*BM587), N($AQ$67:$AQ$76&gt;$AO587))
) / 1000</f>
        <v>0</v>
      </c>
      <c r="BS587" s="232">
        <f t="shared" si="606"/>
        <v>25</v>
      </c>
      <c r="BT587" s="230">
        <f t="shared" si="621"/>
        <v>38</v>
      </c>
      <c r="BU587" s="235">
        <f t="shared" si="622"/>
        <v>3.792954545454545</v>
      </c>
      <c r="BV587" s="235" cm="1">
        <f t="array" ref="BV587">$BI587 * IF($AH587&lt;=2,
SUMPRODUCT(INDEX($AR$67:$AT$71,,$AI587), INDEX($AU$67:$BA$71,,$AH587), 1 / ($BB$67:$BB$71*BU587 + (1-$BB$67:$BB$71)*BQ587), N($AQ$67:$AQ$71&gt;$AO587)),
SUMPRODUCT(INDEX($AR$57:$AT$66,,$AI587), INDEX($AU$57:$BA$66,,$AH587), 1 / ($BC$57:$BC$66*BU587 + (1-$BC$57:$BC$66)*BQ587), N($AQ$57:$AQ$66&gt;$AO587))
) / 1000</f>
        <v>0</v>
      </c>
      <c r="BW587" s="232">
        <f t="shared" si="607"/>
        <v>20</v>
      </c>
      <c r="BX587" s="230">
        <f t="shared" si="623"/>
        <v>33</v>
      </c>
      <c r="BY587" s="235">
        <f t="shared" si="624"/>
        <v>4.4702678571428569</v>
      </c>
      <c r="BZ587" s="235" cm="1">
        <f t="array" ref="BZ587">$BI587 * IF($AH587&lt;=2,
SUMPRODUCT(INDEX($AR$62:$AT$66,,$AI587), INDEX($AU$62:$BA$66,,$AH587), 1 / ($BB$62:$BB$66*BY587 + (1-$BB$62:$BB$66)*BU587), N($AQ$62:$AQ$66&gt;$AO587)),
SUMPRODUCT(INDEX($AR$47:$AT$56,,$AI587), INDEX($AU$47:$BA$56,,$AH587), 1 / ($BC$47:$BC$56*BY587 + (1-$BC$47:$BC$56)*BU587), N($AQ$47:$AQ$56&gt;$AO587))
) / 1000</f>
        <v>0</v>
      </c>
      <c r="CA587" s="235" cm="1">
        <f t="array" ref="CA587">$BI587 * IF($AH587&lt;=2,
SUMPRODUCT(INDEX($AR$23:$AT$61,,$AI587), INDEX($AU$23:$BA$61,,$AH587), 1 / ($BB$23:$BB$61*BY587), N($AQ$23:$AQ$61&gt;$AO587)),
SUMPRODUCT(INDEX($AR$23:$AT$46,,$AI587), INDEX($AU$23:$BA$46,,$AH587), 1 / ($BC$23:$BC$46*BY587), N($AQ$23:$AQ$46&gt;$AO587))
) / 1000</f>
        <v>0</v>
      </c>
      <c r="CB587" s="230">
        <f t="shared" si="625"/>
        <v>0</v>
      </c>
      <c r="CC587" s="238"/>
      <c r="CD587" s="229" cm="1">
        <f t="array" ref="CD587">IF(ISBLANK(Y587), INDEX(Use, $AH587, 4) - AN587*INDEX(Use, $AH587, 6) - (Q587-X587), Y587)</f>
        <v>7</v>
      </c>
      <c r="CE587" s="229">
        <f t="shared" si="626"/>
        <v>32</v>
      </c>
      <c r="CF587" s="230">
        <f t="shared" si="627"/>
        <v>0</v>
      </c>
      <c r="CG587" s="229">
        <v>35</v>
      </c>
      <c r="CH587" s="230">
        <f t="shared" si="628"/>
        <v>48</v>
      </c>
      <c r="CI587" s="235">
        <f t="shared" si="629"/>
        <v>3.0748170731707316</v>
      </c>
      <c r="CJ587" s="235" cm="1">
        <f t="array" ref="CJ587">$BI587 * SUMPRODUCT(INDEX($AR$77:$AT$82,,$AI587),INDEX($AU$77:$BA$82,,$AH587), N($AQ$77:$AQ$82&gt;$AO587)) / CI587 / 1000</f>
        <v>0</v>
      </c>
      <c r="CK587" s="232">
        <f t="shared" si="608"/>
        <v>30</v>
      </c>
      <c r="CL587" s="230">
        <f t="shared" si="630"/>
        <v>43</v>
      </c>
      <c r="CM587" s="235">
        <f t="shared" si="631"/>
        <v>3.5018750000000001</v>
      </c>
      <c r="CN587" s="235" cm="1">
        <f t="array" ref="CN587">$BI587 * IF($AH587&lt;=2,
SUMPRODUCT(INDEX($AR$72:$AT$76,,$AI587), INDEX($AU$72:$BA$76,,$AH587), 1 / ($BB$72:$BB$76*CM587 + (1-$BB$72:$BB$76)*CI587), N($AQ$72:$AQ$76&gt;$AO587)),
SUMPRODUCT(INDEX($AR$67:$AT$76,,$AI587), INDEX($AU$67:$BA$76,,$AH587), 1 / ($BC$67:$BC$76*CM587 + (1-$BC$67:$BC$76)*CI587), N($AQ$67:$AQ$76&gt;$AO587))
) / 1000</f>
        <v>0</v>
      </c>
      <c r="CO587" s="232">
        <f t="shared" si="609"/>
        <v>25</v>
      </c>
      <c r="CP587" s="230">
        <f t="shared" si="632"/>
        <v>38</v>
      </c>
      <c r="CQ587" s="235">
        <f t="shared" si="633"/>
        <v>4.0666935483870965</v>
      </c>
      <c r="CR587" s="235" cm="1">
        <f t="array" ref="CR587">$BI587 * IF($AH587&lt;=2,
SUMPRODUCT(INDEX($AR$67:$AT$71,,$AI587), INDEX($AU$67:$BA$71,,$AH587), 1 / ($BB$67:$BB$71*CQ587 + (1-$BB$67:$BB$71)*CM587), N($AQ$67:$AQ$71&gt;$AO587)),
SUMPRODUCT(INDEX($AR$57:$AT$66,,$AI587), INDEX($AU$57:$BA$66,,$AH587), 1 / ($BC$57:$BC$66*CQ587 + (1-$BC$57:$BC$66)*CM587), N($AQ$57:$AQ$66&gt;$AO587))
) / 1000</f>
        <v>0</v>
      </c>
      <c r="CS587" s="232">
        <f t="shared" si="610"/>
        <v>20</v>
      </c>
      <c r="CT587" s="230">
        <f t="shared" si="634"/>
        <v>33</v>
      </c>
      <c r="CU587" s="235">
        <f t="shared" si="635"/>
        <v>4.8487499999999999</v>
      </c>
      <c r="CV587" s="235" cm="1">
        <f t="array" ref="CV587">$BI587 * IF($AH587&lt;=2,
SUMPRODUCT(INDEX($AR$62:$AT$66,,$AI587), INDEX($AU$62:$BA$66,,$AH587), 1 / ($BB$62:$BB$66*CU587 + (1-$BB$62:$BB$66)*CQ587), N($AQ$62:$AQ$66&gt;$AO587)),
SUMPRODUCT(INDEX($AR$47:$AT$56,,$AI587), INDEX($AU$47:$BA$56,,$AH587), 1 / ($BC$47:$BC$56*CU587 + (1-$BC$47:$BC$56)*CQ587), N($AQ$47:$AQ$56&gt;$AO587))
) / 1000</f>
        <v>0</v>
      </c>
      <c r="CW587" s="235" cm="1">
        <f t="array" ref="CW587">$BI587 * IF($AH587&lt;=2,
SUMPRODUCT(INDEX($AR$23:$AT$61,,$AI587), INDEX($AU$23:$BA$61,,$AH587), 1 / ($BB$23:$BB$61*CU587), N($AQ$23:$AQ$61&gt;$AO587)),
SUMPRODUCT(INDEX($AR$23:$AT$46,,$AI587), INDEX($AU$23:$BA$46,,$AH587), 1 / ($BC$23:$BC$46*CU587), N($AQ$23:$AQ$46&gt;$AO587))
) / 1000</f>
        <v>0</v>
      </c>
      <c r="CX587" s="230">
        <f t="shared" si="636"/>
        <v>0</v>
      </c>
      <c r="CY587" s="238"/>
    </row>
    <row r="588" spans="1:103" s="76" customFormat="1" ht="14.25" customHeight="1" x14ac:dyDescent="0.2">
      <c r="A588" s="231" t="b">
        <f t="shared" si="602"/>
        <v>0</v>
      </c>
      <c r="B588" s="245">
        <v>566</v>
      </c>
      <c r="C588" s="258"/>
      <c r="D588" s="258"/>
      <c r="E588" s="246"/>
      <c r="F588" s="247" t="str">
        <f>IF(ISBLANK(E588), "", VLOOKUP(E588, Z!$A$2:$C$4127, 3, FALSE))</f>
        <v/>
      </c>
      <c r="G588" s="248"/>
      <c r="H588" s="248"/>
      <c r="I588" s="249"/>
      <c r="J588" s="250"/>
      <c r="K588" s="259"/>
      <c r="L588" s="260"/>
      <c r="M588" s="252" t="str" cm="1">
        <f t="array" ref="M588">INDEX(Trad, 53, $A$20)</f>
        <v>Verschmutzt</v>
      </c>
      <c r="N588" s="253"/>
      <c r="O588" s="253"/>
      <c r="P588" s="254"/>
      <c r="Q588" s="251"/>
      <c r="R588" s="251"/>
      <c r="S588" s="264">
        <f t="shared" si="611"/>
        <v>0</v>
      </c>
      <c r="T588" s="252" t="str" cm="1">
        <f t="array" ref="T588">INDEX(Trad, 52, $A$20)</f>
        <v>Sauber</v>
      </c>
      <c r="U588" s="253"/>
      <c r="V588" s="253"/>
      <c r="W588" s="254"/>
      <c r="X588" s="251"/>
      <c r="Y588" s="251"/>
      <c r="Z588" s="264">
        <f t="shared" si="612"/>
        <v>0</v>
      </c>
      <c r="AA588" s="261"/>
      <c r="AB588" s="258"/>
      <c r="AC588" s="246"/>
      <c r="AD588" s="247" t="str">
        <f>IF(ISBLANK(AC588), "", VLOOKUP(AC588, Z!$A$2:$C$4127, 3, FALSE))</f>
        <v/>
      </c>
      <c r="AE588" s="262"/>
      <c r="AF588" s="263">
        <f t="shared" si="613"/>
        <v>0</v>
      </c>
      <c r="AG588" s="238"/>
      <c r="AH588" s="229">
        <f t="shared" si="637"/>
        <v>1</v>
      </c>
      <c r="AI588" s="229">
        <f t="shared" si="638"/>
        <v>1</v>
      </c>
      <c r="AJ588" s="229">
        <f t="shared" si="639"/>
        <v>0</v>
      </c>
      <c r="AK588" s="229">
        <v>0</v>
      </c>
      <c r="AL588" s="229">
        <v>0</v>
      </c>
      <c r="AM588" s="229">
        <v>1</v>
      </c>
      <c r="AN588" s="229">
        <v>0</v>
      </c>
      <c r="AO588" s="229">
        <f t="shared" si="614"/>
        <v>-100</v>
      </c>
      <c r="AP588" s="238"/>
      <c r="AQ588" s="255"/>
      <c r="AR588" s="255"/>
      <c r="AS588" s="256"/>
      <c r="AT588" s="256"/>
      <c r="AU588" s="256"/>
      <c r="AV588" s="256"/>
      <c r="AW588" s="256"/>
      <c r="AX588" s="256"/>
      <c r="AY588" s="256"/>
      <c r="AZ588" s="256"/>
      <c r="BA588" s="256"/>
      <c r="BB588" s="256"/>
      <c r="BC588" s="256"/>
      <c r="BD588" s="238"/>
      <c r="BE588" s="229" cm="1">
        <f t="array" ref="BE588">IF(ISBLANK(R588), INDEX(Use, $AH588, 4) - AM588*INDEX(Use, $AH588, 6), R588)</f>
        <v>5</v>
      </c>
      <c r="BF588" s="229">
        <f t="shared" si="615"/>
        <v>30</v>
      </c>
      <c r="BG588" s="229">
        <f t="shared" si="603"/>
        <v>13</v>
      </c>
      <c r="BH588" s="229">
        <f t="shared" si="604"/>
        <v>0</v>
      </c>
      <c r="BI588" s="234" cm="1">
        <f t="array" ref="BI588">K588/IF($L588&gt;0, INDEX($AU$23:$BA$77, $L588+20, $AH588), 1)</f>
        <v>0</v>
      </c>
      <c r="BJ588" s="230">
        <f t="shared" si="616"/>
        <v>0</v>
      </c>
      <c r="BK588" s="229">
        <v>35</v>
      </c>
      <c r="BL588" s="230">
        <f t="shared" si="617"/>
        <v>48</v>
      </c>
      <c r="BM588" s="235">
        <f t="shared" si="618"/>
        <v>2.9108720930232557</v>
      </c>
      <c r="BN588" s="235" cm="1">
        <f t="array" ref="BN588">$BI588 * SUMPRODUCT(INDEX($AR$77:$AT$82,,$AI588),INDEX($AU$77:$BA$82,,$AH588), N($AQ$77:$AQ$82&gt;$AO588)) / BM588 / 1000</f>
        <v>0</v>
      </c>
      <c r="BO588" s="232">
        <f t="shared" si="605"/>
        <v>30</v>
      </c>
      <c r="BP588" s="230">
        <f t="shared" si="619"/>
        <v>43</v>
      </c>
      <c r="BQ588" s="235">
        <f t="shared" si="620"/>
        <v>3.2938815789473681</v>
      </c>
      <c r="BR588" s="235" cm="1">
        <f t="array" ref="BR588">$BI588 * IF($AH588&lt;=2,
SUMPRODUCT(INDEX($AR$72:$AT$76,,$AI588), INDEX($AU$72:$BA$76,,$AH588), 1 / ($BB$72:$BB$76*BQ588 + (1-$BB$72:$BB$76)*BM588), N($AQ$72:$AQ$76&gt;$AO588)),
SUMPRODUCT(INDEX($AR$67:$AT$76,,$AI588), INDEX($AU$67:$BA$76,,$AH588), 1 / ($BC$67:$BC$76*BQ588 + (1-$BC$67:$BC$76)*BM588), N($AQ$67:$AQ$76&gt;$AO588))
) / 1000</f>
        <v>0</v>
      </c>
      <c r="BS588" s="232">
        <f t="shared" si="606"/>
        <v>25</v>
      </c>
      <c r="BT588" s="230">
        <f t="shared" si="621"/>
        <v>38</v>
      </c>
      <c r="BU588" s="235">
        <f t="shared" si="622"/>
        <v>3.792954545454545</v>
      </c>
      <c r="BV588" s="235" cm="1">
        <f t="array" ref="BV588">$BI588 * IF($AH588&lt;=2,
SUMPRODUCT(INDEX($AR$67:$AT$71,,$AI588), INDEX($AU$67:$BA$71,,$AH588), 1 / ($BB$67:$BB$71*BU588 + (1-$BB$67:$BB$71)*BQ588), N($AQ$67:$AQ$71&gt;$AO588)),
SUMPRODUCT(INDEX($AR$57:$AT$66,,$AI588), INDEX($AU$57:$BA$66,,$AH588), 1 / ($BC$57:$BC$66*BU588 + (1-$BC$57:$BC$66)*BQ588), N($AQ$57:$AQ$66&gt;$AO588))
) / 1000</f>
        <v>0</v>
      </c>
      <c r="BW588" s="232">
        <f t="shared" si="607"/>
        <v>20</v>
      </c>
      <c r="BX588" s="230">
        <f t="shared" si="623"/>
        <v>33</v>
      </c>
      <c r="BY588" s="235">
        <f t="shared" si="624"/>
        <v>4.4702678571428569</v>
      </c>
      <c r="BZ588" s="235" cm="1">
        <f t="array" ref="BZ588">$BI588 * IF($AH588&lt;=2,
SUMPRODUCT(INDEX($AR$62:$AT$66,,$AI588), INDEX($AU$62:$BA$66,,$AH588), 1 / ($BB$62:$BB$66*BY588 + (1-$BB$62:$BB$66)*BU588), N($AQ$62:$AQ$66&gt;$AO588)),
SUMPRODUCT(INDEX($AR$47:$AT$56,,$AI588), INDEX($AU$47:$BA$56,,$AH588), 1 / ($BC$47:$BC$56*BY588 + (1-$BC$47:$BC$56)*BU588), N($AQ$47:$AQ$56&gt;$AO588))
) / 1000</f>
        <v>0</v>
      </c>
      <c r="CA588" s="235" cm="1">
        <f t="array" ref="CA588">$BI588 * IF($AH588&lt;=2,
SUMPRODUCT(INDEX($AR$23:$AT$61,,$AI588), INDEX($AU$23:$BA$61,,$AH588), 1 / ($BB$23:$BB$61*BY588), N($AQ$23:$AQ$61&gt;$AO588)),
SUMPRODUCT(INDEX($AR$23:$AT$46,,$AI588), INDEX($AU$23:$BA$46,,$AH588), 1 / ($BC$23:$BC$46*BY588), N($AQ$23:$AQ$46&gt;$AO588))
) / 1000</f>
        <v>0</v>
      </c>
      <c r="CB588" s="230">
        <f t="shared" si="625"/>
        <v>0</v>
      </c>
      <c r="CC588" s="238"/>
      <c r="CD588" s="229" cm="1">
        <f t="array" ref="CD588">IF(ISBLANK(Y588), INDEX(Use, $AH588, 4) - AN588*INDEX(Use, $AH588, 6) - (Q588-X588), Y588)</f>
        <v>7</v>
      </c>
      <c r="CE588" s="229">
        <f t="shared" si="626"/>
        <v>32</v>
      </c>
      <c r="CF588" s="230">
        <f t="shared" si="627"/>
        <v>0</v>
      </c>
      <c r="CG588" s="229">
        <v>35</v>
      </c>
      <c r="CH588" s="230">
        <f t="shared" si="628"/>
        <v>48</v>
      </c>
      <c r="CI588" s="235">
        <f t="shared" si="629"/>
        <v>3.0748170731707316</v>
      </c>
      <c r="CJ588" s="235" cm="1">
        <f t="array" ref="CJ588">$BI588 * SUMPRODUCT(INDEX($AR$77:$AT$82,,$AI588),INDEX($AU$77:$BA$82,,$AH588), N($AQ$77:$AQ$82&gt;$AO588)) / CI588 / 1000</f>
        <v>0</v>
      </c>
      <c r="CK588" s="232">
        <f t="shared" si="608"/>
        <v>30</v>
      </c>
      <c r="CL588" s="230">
        <f t="shared" si="630"/>
        <v>43</v>
      </c>
      <c r="CM588" s="235">
        <f t="shared" si="631"/>
        <v>3.5018750000000001</v>
      </c>
      <c r="CN588" s="235" cm="1">
        <f t="array" ref="CN588">$BI588 * IF($AH588&lt;=2,
SUMPRODUCT(INDEX($AR$72:$AT$76,,$AI588), INDEX($AU$72:$BA$76,,$AH588), 1 / ($BB$72:$BB$76*CM588 + (1-$BB$72:$BB$76)*CI588), N($AQ$72:$AQ$76&gt;$AO588)),
SUMPRODUCT(INDEX($AR$67:$AT$76,,$AI588), INDEX($AU$67:$BA$76,,$AH588), 1 / ($BC$67:$BC$76*CM588 + (1-$BC$67:$BC$76)*CI588), N($AQ$67:$AQ$76&gt;$AO588))
) / 1000</f>
        <v>0</v>
      </c>
      <c r="CO588" s="232">
        <f t="shared" si="609"/>
        <v>25</v>
      </c>
      <c r="CP588" s="230">
        <f t="shared" si="632"/>
        <v>38</v>
      </c>
      <c r="CQ588" s="235">
        <f t="shared" si="633"/>
        <v>4.0666935483870965</v>
      </c>
      <c r="CR588" s="235" cm="1">
        <f t="array" ref="CR588">$BI588 * IF($AH588&lt;=2,
SUMPRODUCT(INDEX($AR$67:$AT$71,,$AI588), INDEX($AU$67:$BA$71,,$AH588), 1 / ($BB$67:$BB$71*CQ588 + (1-$BB$67:$BB$71)*CM588), N($AQ$67:$AQ$71&gt;$AO588)),
SUMPRODUCT(INDEX($AR$57:$AT$66,,$AI588), INDEX($AU$57:$BA$66,,$AH588), 1 / ($BC$57:$BC$66*CQ588 + (1-$BC$57:$BC$66)*CM588), N($AQ$57:$AQ$66&gt;$AO588))
) / 1000</f>
        <v>0</v>
      </c>
      <c r="CS588" s="232">
        <f t="shared" si="610"/>
        <v>20</v>
      </c>
      <c r="CT588" s="230">
        <f t="shared" si="634"/>
        <v>33</v>
      </c>
      <c r="CU588" s="235">
        <f t="shared" si="635"/>
        <v>4.8487499999999999</v>
      </c>
      <c r="CV588" s="235" cm="1">
        <f t="array" ref="CV588">$BI588 * IF($AH588&lt;=2,
SUMPRODUCT(INDEX($AR$62:$AT$66,,$AI588), INDEX($AU$62:$BA$66,,$AH588), 1 / ($BB$62:$BB$66*CU588 + (1-$BB$62:$BB$66)*CQ588), N($AQ$62:$AQ$66&gt;$AO588)),
SUMPRODUCT(INDEX($AR$47:$AT$56,,$AI588), INDEX($AU$47:$BA$56,,$AH588), 1 / ($BC$47:$BC$56*CU588 + (1-$BC$47:$BC$56)*CQ588), N($AQ$47:$AQ$56&gt;$AO588))
) / 1000</f>
        <v>0</v>
      </c>
      <c r="CW588" s="235" cm="1">
        <f t="array" ref="CW588">$BI588 * IF($AH588&lt;=2,
SUMPRODUCT(INDEX($AR$23:$AT$61,,$AI588), INDEX($AU$23:$BA$61,,$AH588), 1 / ($BB$23:$BB$61*CU588), N($AQ$23:$AQ$61&gt;$AO588)),
SUMPRODUCT(INDEX($AR$23:$AT$46,,$AI588), INDEX($AU$23:$BA$46,,$AH588), 1 / ($BC$23:$BC$46*CU588), N($AQ$23:$AQ$46&gt;$AO588))
) / 1000</f>
        <v>0</v>
      </c>
      <c r="CX588" s="230">
        <f t="shared" si="636"/>
        <v>0</v>
      </c>
      <c r="CY588" s="238"/>
    </row>
    <row r="589" spans="1:103" s="76" customFormat="1" ht="14.25" customHeight="1" x14ac:dyDescent="0.2">
      <c r="A589" s="231" t="b">
        <f t="shared" si="602"/>
        <v>0</v>
      </c>
      <c r="B589" s="245">
        <v>567</v>
      </c>
      <c r="C589" s="258"/>
      <c r="D589" s="258"/>
      <c r="E589" s="246"/>
      <c r="F589" s="247" t="str">
        <f>IF(ISBLANK(E589), "", VLOOKUP(E589, Z!$A$2:$C$4127, 3, FALSE))</f>
        <v/>
      </c>
      <c r="G589" s="248"/>
      <c r="H589" s="248"/>
      <c r="I589" s="249"/>
      <c r="J589" s="250"/>
      <c r="K589" s="259"/>
      <c r="L589" s="260"/>
      <c r="M589" s="252" t="str" cm="1">
        <f t="array" ref="M589">INDEX(Trad, 53, $A$20)</f>
        <v>Verschmutzt</v>
      </c>
      <c r="N589" s="253"/>
      <c r="O589" s="253"/>
      <c r="P589" s="254"/>
      <c r="Q589" s="251"/>
      <c r="R589" s="251"/>
      <c r="S589" s="264">
        <f t="shared" si="611"/>
        <v>0</v>
      </c>
      <c r="T589" s="252" t="str" cm="1">
        <f t="array" ref="T589">INDEX(Trad, 52, $A$20)</f>
        <v>Sauber</v>
      </c>
      <c r="U589" s="253"/>
      <c r="V589" s="253"/>
      <c r="W589" s="254"/>
      <c r="X589" s="251"/>
      <c r="Y589" s="251"/>
      <c r="Z589" s="264">
        <f t="shared" si="612"/>
        <v>0</v>
      </c>
      <c r="AA589" s="261"/>
      <c r="AB589" s="258"/>
      <c r="AC589" s="246"/>
      <c r="AD589" s="247" t="str">
        <f>IF(ISBLANK(AC589), "", VLOOKUP(AC589, Z!$A$2:$C$4127, 3, FALSE))</f>
        <v/>
      </c>
      <c r="AE589" s="262"/>
      <c r="AF589" s="263">
        <f t="shared" si="613"/>
        <v>0</v>
      </c>
      <c r="AG589" s="238"/>
      <c r="AH589" s="229">
        <f t="shared" si="637"/>
        <v>1</v>
      </c>
      <c r="AI589" s="229">
        <f t="shared" si="638"/>
        <v>1</v>
      </c>
      <c r="AJ589" s="229">
        <f t="shared" si="639"/>
        <v>0</v>
      </c>
      <c r="AK589" s="229">
        <v>0</v>
      </c>
      <c r="AL589" s="229">
        <v>0</v>
      </c>
      <c r="AM589" s="229">
        <v>1</v>
      </c>
      <c r="AN589" s="229">
        <v>0</v>
      </c>
      <c r="AO589" s="229">
        <f t="shared" si="614"/>
        <v>-100</v>
      </c>
      <c r="AP589" s="238"/>
      <c r="AQ589" s="255"/>
      <c r="AR589" s="255"/>
      <c r="AS589" s="256"/>
      <c r="AT589" s="256"/>
      <c r="AU589" s="256"/>
      <c r="AV589" s="256"/>
      <c r="AW589" s="256"/>
      <c r="AX589" s="256"/>
      <c r="AY589" s="256"/>
      <c r="AZ589" s="256"/>
      <c r="BA589" s="256"/>
      <c r="BB589" s="256"/>
      <c r="BC589" s="256"/>
      <c r="BD589" s="238"/>
      <c r="BE589" s="229" cm="1">
        <f t="array" ref="BE589">IF(ISBLANK(R589), INDEX(Use, $AH589, 4) - AM589*INDEX(Use, $AH589, 6), R589)</f>
        <v>5</v>
      </c>
      <c r="BF589" s="229">
        <f t="shared" si="615"/>
        <v>30</v>
      </c>
      <c r="BG589" s="229">
        <f t="shared" si="603"/>
        <v>13</v>
      </c>
      <c r="BH589" s="229">
        <f t="shared" si="604"/>
        <v>0</v>
      </c>
      <c r="BI589" s="234" cm="1">
        <f t="array" ref="BI589">K589/IF($L589&gt;0, INDEX($AU$23:$BA$77, $L589+20, $AH589), 1)</f>
        <v>0</v>
      </c>
      <c r="BJ589" s="230">
        <f t="shared" si="616"/>
        <v>0</v>
      </c>
      <c r="BK589" s="229">
        <v>35</v>
      </c>
      <c r="BL589" s="230">
        <f t="shared" si="617"/>
        <v>48</v>
      </c>
      <c r="BM589" s="235">
        <f t="shared" si="618"/>
        <v>2.9108720930232557</v>
      </c>
      <c r="BN589" s="235" cm="1">
        <f t="array" ref="BN589">$BI589 * SUMPRODUCT(INDEX($AR$77:$AT$82,,$AI589),INDEX($AU$77:$BA$82,,$AH589), N($AQ$77:$AQ$82&gt;$AO589)) / BM589 / 1000</f>
        <v>0</v>
      </c>
      <c r="BO589" s="232">
        <f t="shared" si="605"/>
        <v>30</v>
      </c>
      <c r="BP589" s="230">
        <f t="shared" si="619"/>
        <v>43</v>
      </c>
      <c r="BQ589" s="235">
        <f t="shared" si="620"/>
        <v>3.2938815789473681</v>
      </c>
      <c r="BR589" s="235" cm="1">
        <f t="array" ref="BR589">$BI589 * IF($AH589&lt;=2,
SUMPRODUCT(INDEX($AR$72:$AT$76,,$AI589), INDEX($AU$72:$BA$76,,$AH589), 1 / ($BB$72:$BB$76*BQ589 + (1-$BB$72:$BB$76)*BM589), N($AQ$72:$AQ$76&gt;$AO589)),
SUMPRODUCT(INDEX($AR$67:$AT$76,,$AI589), INDEX($AU$67:$BA$76,,$AH589), 1 / ($BC$67:$BC$76*BQ589 + (1-$BC$67:$BC$76)*BM589), N($AQ$67:$AQ$76&gt;$AO589))
) / 1000</f>
        <v>0</v>
      </c>
      <c r="BS589" s="232">
        <f t="shared" si="606"/>
        <v>25</v>
      </c>
      <c r="BT589" s="230">
        <f t="shared" si="621"/>
        <v>38</v>
      </c>
      <c r="BU589" s="235">
        <f t="shared" si="622"/>
        <v>3.792954545454545</v>
      </c>
      <c r="BV589" s="235" cm="1">
        <f t="array" ref="BV589">$BI589 * IF($AH589&lt;=2,
SUMPRODUCT(INDEX($AR$67:$AT$71,,$AI589), INDEX($AU$67:$BA$71,,$AH589), 1 / ($BB$67:$BB$71*BU589 + (1-$BB$67:$BB$71)*BQ589), N($AQ$67:$AQ$71&gt;$AO589)),
SUMPRODUCT(INDEX($AR$57:$AT$66,,$AI589), INDEX($AU$57:$BA$66,,$AH589), 1 / ($BC$57:$BC$66*BU589 + (1-$BC$57:$BC$66)*BQ589), N($AQ$57:$AQ$66&gt;$AO589))
) / 1000</f>
        <v>0</v>
      </c>
      <c r="BW589" s="232">
        <f t="shared" si="607"/>
        <v>20</v>
      </c>
      <c r="BX589" s="230">
        <f t="shared" si="623"/>
        <v>33</v>
      </c>
      <c r="BY589" s="235">
        <f t="shared" si="624"/>
        <v>4.4702678571428569</v>
      </c>
      <c r="BZ589" s="235" cm="1">
        <f t="array" ref="BZ589">$BI589 * IF($AH589&lt;=2,
SUMPRODUCT(INDEX($AR$62:$AT$66,,$AI589), INDEX($AU$62:$BA$66,,$AH589), 1 / ($BB$62:$BB$66*BY589 + (1-$BB$62:$BB$66)*BU589), N($AQ$62:$AQ$66&gt;$AO589)),
SUMPRODUCT(INDEX($AR$47:$AT$56,,$AI589), INDEX($AU$47:$BA$56,,$AH589), 1 / ($BC$47:$BC$56*BY589 + (1-$BC$47:$BC$56)*BU589), N($AQ$47:$AQ$56&gt;$AO589))
) / 1000</f>
        <v>0</v>
      </c>
      <c r="CA589" s="235" cm="1">
        <f t="array" ref="CA589">$BI589 * IF($AH589&lt;=2,
SUMPRODUCT(INDEX($AR$23:$AT$61,,$AI589), INDEX($AU$23:$BA$61,,$AH589), 1 / ($BB$23:$BB$61*BY589), N($AQ$23:$AQ$61&gt;$AO589)),
SUMPRODUCT(INDEX($AR$23:$AT$46,,$AI589), INDEX($AU$23:$BA$46,,$AH589), 1 / ($BC$23:$BC$46*BY589), N($AQ$23:$AQ$46&gt;$AO589))
) / 1000</f>
        <v>0</v>
      </c>
      <c r="CB589" s="230">
        <f t="shared" si="625"/>
        <v>0</v>
      </c>
      <c r="CC589" s="238"/>
      <c r="CD589" s="229" cm="1">
        <f t="array" ref="CD589">IF(ISBLANK(Y589), INDEX(Use, $AH589, 4) - AN589*INDEX(Use, $AH589, 6) - (Q589-X589), Y589)</f>
        <v>7</v>
      </c>
      <c r="CE589" s="229">
        <f t="shared" si="626"/>
        <v>32</v>
      </c>
      <c r="CF589" s="230">
        <f t="shared" si="627"/>
        <v>0</v>
      </c>
      <c r="CG589" s="229">
        <v>35</v>
      </c>
      <c r="CH589" s="230">
        <f t="shared" si="628"/>
        <v>48</v>
      </c>
      <c r="CI589" s="235">
        <f t="shared" si="629"/>
        <v>3.0748170731707316</v>
      </c>
      <c r="CJ589" s="235" cm="1">
        <f t="array" ref="CJ589">$BI589 * SUMPRODUCT(INDEX($AR$77:$AT$82,,$AI589),INDEX($AU$77:$BA$82,,$AH589), N($AQ$77:$AQ$82&gt;$AO589)) / CI589 / 1000</f>
        <v>0</v>
      </c>
      <c r="CK589" s="232">
        <f t="shared" si="608"/>
        <v>30</v>
      </c>
      <c r="CL589" s="230">
        <f t="shared" si="630"/>
        <v>43</v>
      </c>
      <c r="CM589" s="235">
        <f t="shared" si="631"/>
        <v>3.5018750000000001</v>
      </c>
      <c r="CN589" s="235" cm="1">
        <f t="array" ref="CN589">$BI589 * IF($AH589&lt;=2,
SUMPRODUCT(INDEX($AR$72:$AT$76,,$AI589), INDEX($AU$72:$BA$76,,$AH589), 1 / ($BB$72:$BB$76*CM589 + (1-$BB$72:$BB$76)*CI589), N($AQ$72:$AQ$76&gt;$AO589)),
SUMPRODUCT(INDEX($AR$67:$AT$76,,$AI589), INDEX($AU$67:$BA$76,,$AH589), 1 / ($BC$67:$BC$76*CM589 + (1-$BC$67:$BC$76)*CI589), N($AQ$67:$AQ$76&gt;$AO589))
) / 1000</f>
        <v>0</v>
      </c>
      <c r="CO589" s="232">
        <f t="shared" si="609"/>
        <v>25</v>
      </c>
      <c r="CP589" s="230">
        <f t="shared" si="632"/>
        <v>38</v>
      </c>
      <c r="CQ589" s="235">
        <f t="shared" si="633"/>
        <v>4.0666935483870965</v>
      </c>
      <c r="CR589" s="235" cm="1">
        <f t="array" ref="CR589">$BI589 * IF($AH589&lt;=2,
SUMPRODUCT(INDEX($AR$67:$AT$71,,$AI589), INDEX($AU$67:$BA$71,,$AH589), 1 / ($BB$67:$BB$71*CQ589 + (1-$BB$67:$BB$71)*CM589), N($AQ$67:$AQ$71&gt;$AO589)),
SUMPRODUCT(INDEX($AR$57:$AT$66,,$AI589), INDEX($AU$57:$BA$66,,$AH589), 1 / ($BC$57:$BC$66*CQ589 + (1-$BC$57:$BC$66)*CM589), N($AQ$57:$AQ$66&gt;$AO589))
) / 1000</f>
        <v>0</v>
      </c>
      <c r="CS589" s="232">
        <f t="shared" si="610"/>
        <v>20</v>
      </c>
      <c r="CT589" s="230">
        <f t="shared" si="634"/>
        <v>33</v>
      </c>
      <c r="CU589" s="235">
        <f t="shared" si="635"/>
        <v>4.8487499999999999</v>
      </c>
      <c r="CV589" s="235" cm="1">
        <f t="array" ref="CV589">$BI589 * IF($AH589&lt;=2,
SUMPRODUCT(INDEX($AR$62:$AT$66,,$AI589), INDEX($AU$62:$BA$66,,$AH589), 1 / ($BB$62:$BB$66*CU589 + (1-$BB$62:$BB$66)*CQ589), N($AQ$62:$AQ$66&gt;$AO589)),
SUMPRODUCT(INDEX($AR$47:$AT$56,,$AI589), INDEX($AU$47:$BA$56,,$AH589), 1 / ($BC$47:$BC$56*CU589 + (1-$BC$47:$BC$56)*CQ589), N($AQ$47:$AQ$56&gt;$AO589))
) / 1000</f>
        <v>0</v>
      </c>
      <c r="CW589" s="235" cm="1">
        <f t="array" ref="CW589">$BI589 * IF($AH589&lt;=2,
SUMPRODUCT(INDEX($AR$23:$AT$61,,$AI589), INDEX($AU$23:$BA$61,,$AH589), 1 / ($BB$23:$BB$61*CU589), N($AQ$23:$AQ$61&gt;$AO589)),
SUMPRODUCT(INDEX($AR$23:$AT$46,,$AI589), INDEX($AU$23:$BA$46,,$AH589), 1 / ($BC$23:$BC$46*CU589), N($AQ$23:$AQ$46&gt;$AO589))
) / 1000</f>
        <v>0</v>
      </c>
      <c r="CX589" s="230">
        <f t="shared" si="636"/>
        <v>0</v>
      </c>
      <c r="CY589" s="238"/>
    </row>
    <row r="590" spans="1:103" s="76" customFormat="1" ht="14.25" customHeight="1" x14ac:dyDescent="0.2">
      <c r="A590" s="231" t="b">
        <f t="shared" si="602"/>
        <v>0</v>
      </c>
      <c r="B590" s="245">
        <v>568</v>
      </c>
      <c r="C590" s="258"/>
      <c r="D590" s="258"/>
      <c r="E590" s="246"/>
      <c r="F590" s="247" t="str">
        <f>IF(ISBLANK(E590), "", VLOOKUP(E590, Z!$A$2:$C$4127, 3, FALSE))</f>
        <v/>
      </c>
      <c r="G590" s="248"/>
      <c r="H590" s="248"/>
      <c r="I590" s="249"/>
      <c r="J590" s="250"/>
      <c r="K590" s="259"/>
      <c r="L590" s="260"/>
      <c r="M590" s="252" t="str" cm="1">
        <f t="array" ref="M590">INDEX(Trad, 53, $A$20)</f>
        <v>Verschmutzt</v>
      </c>
      <c r="N590" s="253"/>
      <c r="O590" s="253"/>
      <c r="P590" s="254"/>
      <c r="Q590" s="251"/>
      <c r="R590" s="251"/>
      <c r="S590" s="264">
        <f t="shared" si="611"/>
        <v>0</v>
      </c>
      <c r="T590" s="252" t="str" cm="1">
        <f t="array" ref="T590">INDEX(Trad, 52, $A$20)</f>
        <v>Sauber</v>
      </c>
      <c r="U590" s="253"/>
      <c r="V590" s="253"/>
      <c r="W590" s="254"/>
      <c r="X590" s="251"/>
      <c r="Y590" s="251"/>
      <c r="Z590" s="264">
        <f t="shared" si="612"/>
        <v>0</v>
      </c>
      <c r="AA590" s="261"/>
      <c r="AB590" s="258"/>
      <c r="AC590" s="246"/>
      <c r="AD590" s="247" t="str">
        <f>IF(ISBLANK(AC590), "", VLOOKUP(AC590, Z!$A$2:$C$4127, 3, FALSE))</f>
        <v/>
      </c>
      <c r="AE590" s="262"/>
      <c r="AF590" s="263">
        <f t="shared" si="613"/>
        <v>0</v>
      </c>
      <c r="AG590" s="238"/>
      <c r="AH590" s="229">
        <f t="shared" si="637"/>
        <v>1</v>
      </c>
      <c r="AI590" s="229">
        <f t="shared" si="638"/>
        <v>1</v>
      </c>
      <c r="AJ590" s="229">
        <f t="shared" si="639"/>
        <v>0</v>
      </c>
      <c r="AK590" s="229">
        <v>0</v>
      </c>
      <c r="AL590" s="229">
        <v>0</v>
      </c>
      <c r="AM590" s="229">
        <v>1</v>
      </c>
      <c r="AN590" s="229">
        <v>0</v>
      </c>
      <c r="AO590" s="229">
        <f t="shared" si="614"/>
        <v>-100</v>
      </c>
      <c r="AP590" s="238"/>
      <c r="AQ590" s="255"/>
      <c r="AR590" s="255"/>
      <c r="AS590" s="256"/>
      <c r="AT590" s="256"/>
      <c r="AU590" s="256"/>
      <c r="AV590" s="256"/>
      <c r="AW590" s="256"/>
      <c r="AX590" s="256"/>
      <c r="AY590" s="256"/>
      <c r="AZ590" s="256"/>
      <c r="BA590" s="256"/>
      <c r="BB590" s="256"/>
      <c r="BC590" s="256"/>
      <c r="BD590" s="238"/>
      <c r="BE590" s="229" cm="1">
        <f t="array" ref="BE590">IF(ISBLANK(R590), INDEX(Use, $AH590, 4) - AM590*INDEX(Use, $AH590, 6), R590)</f>
        <v>5</v>
      </c>
      <c r="BF590" s="229">
        <f t="shared" si="615"/>
        <v>30</v>
      </c>
      <c r="BG590" s="229">
        <f t="shared" si="603"/>
        <v>13</v>
      </c>
      <c r="BH590" s="229">
        <f t="shared" si="604"/>
        <v>0</v>
      </c>
      <c r="BI590" s="234" cm="1">
        <f t="array" ref="BI590">K590/IF($L590&gt;0, INDEX($AU$23:$BA$77, $L590+20, $AH590), 1)</f>
        <v>0</v>
      </c>
      <c r="BJ590" s="230">
        <f t="shared" si="616"/>
        <v>0</v>
      </c>
      <c r="BK590" s="229">
        <v>35</v>
      </c>
      <c r="BL590" s="230">
        <f t="shared" si="617"/>
        <v>48</v>
      </c>
      <c r="BM590" s="235">
        <f t="shared" si="618"/>
        <v>2.9108720930232557</v>
      </c>
      <c r="BN590" s="235" cm="1">
        <f t="array" ref="BN590">$BI590 * SUMPRODUCT(INDEX($AR$77:$AT$82,,$AI590),INDEX($AU$77:$BA$82,,$AH590), N($AQ$77:$AQ$82&gt;$AO590)) / BM590 / 1000</f>
        <v>0</v>
      </c>
      <c r="BO590" s="232">
        <f t="shared" si="605"/>
        <v>30</v>
      </c>
      <c r="BP590" s="230">
        <f t="shared" si="619"/>
        <v>43</v>
      </c>
      <c r="BQ590" s="235">
        <f t="shared" si="620"/>
        <v>3.2938815789473681</v>
      </c>
      <c r="BR590" s="235" cm="1">
        <f t="array" ref="BR590">$BI590 * IF($AH590&lt;=2,
SUMPRODUCT(INDEX($AR$72:$AT$76,,$AI590), INDEX($AU$72:$BA$76,,$AH590), 1 / ($BB$72:$BB$76*BQ590 + (1-$BB$72:$BB$76)*BM590), N($AQ$72:$AQ$76&gt;$AO590)),
SUMPRODUCT(INDEX($AR$67:$AT$76,,$AI590), INDEX($AU$67:$BA$76,,$AH590), 1 / ($BC$67:$BC$76*BQ590 + (1-$BC$67:$BC$76)*BM590), N($AQ$67:$AQ$76&gt;$AO590))
) / 1000</f>
        <v>0</v>
      </c>
      <c r="BS590" s="232">
        <f t="shared" si="606"/>
        <v>25</v>
      </c>
      <c r="BT590" s="230">
        <f t="shared" si="621"/>
        <v>38</v>
      </c>
      <c r="BU590" s="235">
        <f t="shared" si="622"/>
        <v>3.792954545454545</v>
      </c>
      <c r="BV590" s="235" cm="1">
        <f t="array" ref="BV590">$BI590 * IF($AH590&lt;=2,
SUMPRODUCT(INDEX($AR$67:$AT$71,,$AI590), INDEX($AU$67:$BA$71,,$AH590), 1 / ($BB$67:$BB$71*BU590 + (1-$BB$67:$BB$71)*BQ590), N($AQ$67:$AQ$71&gt;$AO590)),
SUMPRODUCT(INDEX($AR$57:$AT$66,,$AI590), INDEX($AU$57:$BA$66,,$AH590), 1 / ($BC$57:$BC$66*BU590 + (1-$BC$57:$BC$66)*BQ590), N($AQ$57:$AQ$66&gt;$AO590))
) / 1000</f>
        <v>0</v>
      </c>
      <c r="BW590" s="232">
        <f t="shared" si="607"/>
        <v>20</v>
      </c>
      <c r="BX590" s="230">
        <f t="shared" si="623"/>
        <v>33</v>
      </c>
      <c r="BY590" s="235">
        <f t="shared" si="624"/>
        <v>4.4702678571428569</v>
      </c>
      <c r="BZ590" s="235" cm="1">
        <f t="array" ref="BZ590">$BI590 * IF($AH590&lt;=2,
SUMPRODUCT(INDEX($AR$62:$AT$66,,$AI590), INDEX($AU$62:$BA$66,,$AH590), 1 / ($BB$62:$BB$66*BY590 + (1-$BB$62:$BB$66)*BU590), N($AQ$62:$AQ$66&gt;$AO590)),
SUMPRODUCT(INDEX($AR$47:$AT$56,,$AI590), INDEX($AU$47:$BA$56,,$AH590), 1 / ($BC$47:$BC$56*BY590 + (1-$BC$47:$BC$56)*BU590), N($AQ$47:$AQ$56&gt;$AO590))
) / 1000</f>
        <v>0</v>
      </c>
      <c r="CA590" s="235" cm="1">
        <f t="array" ref="CA590">$BI590 * IF($AH590&lt;=2,
SUMPRODUCT(INDEX($AR$23:$AT$61,,$AI590), INDEX($AU$23:$BA$61,,$AH590), 1 / ($BB$23:$BB$61*BY590), N($AQ$23:$AQ$61&gt;$AO590)),
SUMPRODUCT(INDEX($AR$23:$AT$46,,$AI590), INDEX($AU$23:$BA$46,,$AH590), 1 / ($BC$23:$BC$46*BY590), N($AQ$23:$AQ$46&gt;$AO590))
) / 1000</f>
        <v>0</v>
      </c>
      <c r="CB590" s="230">
        <f t="shared" si="625"/>
        <v>0</v>
      </c>
      <c r="CC590" s="238"/>
      <c r="CD590" s="229" cm="1">
        <f t="array" ref="CD590">IF(ISBLANK(Y590), INDEX(Use, $AH590, 4) - AN590*INDEX(Use, $AH590, 6) - (Q590-X590), Y590)</f>
        <v>7</v>
      </c>
      <c r="CE590" s="229">
        <f t="shared" si="626"/>
        <v>32</v>
      </c>
      <c r="CF590" s="230">
        <f t="shared" si="627"/>
        <v>0</v>
      </c>
      <c r="CG590" s="229">
        <v>35</v>
      </c>
      <c r="CH590" s="230">
        <f t="shared" si="628"/>
        <v>48</v>
      </c>
      <c r="CI590" s="235">
        <f t="shared" si="629"/>
        <v>3.0748170731707316</v>
      </c>
      <c r="CJ590" s="235" cm="1">
        <f t="array" ref="CJ590">$BI590 * SUMPRODUCT(INDEX($AR$77:$AT$82,,$AI590),INDEX($AU$77:$BA$82,,$AH590), N($AQ$77:$AQ$82&gt;$AO590)) / CI590 / 1000</f>
        <v>0</v>
      </c>
      <c r="CK590" s="232">
        <f t="shared" si="608"/>
        <v>30</v>
      </c>
      <c r="CL590" s="230">
        <f t="shared" si="630"/>
        <v>43</v>
      </c>
      <c r="CM590" s="235">
        <f t="shared" si="631"/>
        <v>3.5018750000000001</v>
      </c>
      <c r="CN590" s="235" cm="1">
        <f t="array" ref="CN590">$BI590 * IF($AH590&lt;=2,
SUMPRODUCT(INDEX($AR$72:$AT$76,,$AI590), INDEX($AU$72:$BA$76,,$AH590), 1 / ($BB$72:$BB$76*CM590 + (1-$BB$72:$BB$76)*CI590), N($AQ$72:$AQ$76&gt;$AO590)),
SUMPRODUCT(INDEX($AR$67:$AT$76,,$AI590), INDEX($AU$67:$BA$76,,$AH590), 1 / ($BC$67:$BC$76*CM590 + (1-$BC$67:$BC$76)*CI590), N($AQ$67:$AQ$76&gt;$AO590))
) / 1000</f>
        <v>0</v>
      </c>
      <c r="CO590" s="232">
        <f t="shared" si="609"/>
        <v>25</v>
      </c>
      <c r="CP590" s="230">
        <f t="shared" si="632"/>
        <v>38</v>
      </c>
      <c r="CQ590" s="235">
        <f t="shared" si="633"/>
        <v>4.0666935483870965</v>
      </c>
      <c r="CR590" s="235" cm="1">
        <f t="array" ref="CR590">$BI590 * IF($AH590&lt;=2,
SUMPRODUCT(INDEX($AR$67:$AT$71,,$AI590), INDEX($AU$67:$BA$71,,$AH590), 1 / ($BB$67:$BB$71*CQ590 + (1-$BB$67:$BB$71)*CM590), N($AQ$67:$AQ$71&gt;$AO590)),
SUMPRODUCT(INDEX($AR$57:$AT$66,,$AI590), INDEX($AU$57:$BA$66,,$AH590), 1 / ($BC$57:$BC$66*CQ590 + (1-$BC$57:$BC$66)*CM590), N($AQ$57:$AQ$66&gt;$AO590))
) / 1000</f>
        <v>0</v>
      </c>
      <c r="CS590" s="232">
        <f t="shared" si="610"/>
        <v>20</v>
      </c>
      <c r="CT590" s="230">
        <f t="shared" si="634"/>
        <v>33</v>
      </c>
      <c r="CU590" s="235">
        <f t="shared" si="635"/>
        <v>4.8487499999999999</v>
      </c>
      <c r="CV590" s="235" cm="1">
        <f t="array" ref="CV590">$BI590 * IF($AH590&lt;=2,
SUMPRODUCT(INDEX($AR$62:$AT$66,,$AI590), INDEX($AU$62:$BA$66,,$AH590), 1 / ($BB$62:$BB$66*CU590 + (1-$BB$62:$BB$66)*CQ590), N($AQ$62:$AQ$66&gt;$AO590)),
SUMPRODUCT(INDEX($AR$47:$AT$56,,$AI590), INDEX($AU$47:$BA$56,,$AH590), 1 / ($BC$47:$BC$56*CU590 + (1-$BC$47:$BC$56)*CQ590), N($AQ$47:$AQ$56&gt;$AO590))
) / 1000</f>
        <v>0</v>
      </c>
      <c r="CW590" s="235" cm="1">
        <f t="array" ref="CW590">$BI590 * IF($AH590&lt;=2,
SUMPRODUCT(INDEX($AR$23:$AT$61,,$AI590), INDEX($AU$23:$BA$61,,$AH590), 1 / ($BB$23:$BB$61*CU590), N($AQ$23:$AQ$61&gt;$AO590)),
SUMPRODUCT(INDEX($AR$23:$AT$46,,$AI590), INDEX($AU$23:$BA$46,,$AH590), 1 / ($BC$23:$BC$46*CU590), N($AQ$23:$AQ$46&gt;$AO590))
) / 1000</f>
        <v>0</v>
      </c>
      <c r="CX590" s="230">
        <f t="shared" si="636"/>
        <v>0</v>
      </c>
      <c r="CY590" s="238"/>
    </row>
    <row r="591" spans="1:103" s="76" customFormat="1" ht="14.25" customHeight="1" x14ac:dyDescent="0.2">
      <c r="A591" s="231" t="b">
        <f t="shared" si="602"/>
        <v>0</v>
      </c>
      <c r="B591" s="245">
        <v>569</v>
      </c>
      <c r="C591" s="258"/>
      <c r="D591" s="258"/>
      <c r="E591" s="246"/>
      <c r="F591" s="247" t="str">
        <f>IF(ISBLANK(E591), "", VLOOKUP(E591, Z!$A$2:$C$4127, 3, FALSE))</f>
        <v/>
      </c>
      <c r="G591" s="248"/>
      <c r="H591" s="248"/>
      <c r="I591" s="249"/>
      <c r="J591" s="250"/>
      <c r="K591" s="259"/>
      <c r="L591" s="260"/>
      <c r="M591" s="252" t="str" cm="1">
        <f t="array" ref="M591">INDEX(Trad, 53, $A$20)</f>
        <v>Verschmutzt</v>
      </c>
      <c r="N591" s="253"/>
      <c r="O591" s="253"/>
      <c r="P591" s="254"/>
      <c r="Q591" s="251"/>
      <c r="R591" s="251"/>
      <c r="S591" s="264">
        <f t="shared" si="611"/>
        <v>0</v>
      </c>
      <c r="T591" s="252" t="str" cm="1">
        <f t="array" ref="T591">INDEX(Trad, 52, $A$20)</f>
        <v>Sauber</v>
      </c>
      <c r="U591" s="253"/>
      <c r="V591" s="253"/>
      <c r="W591" s="254"/>
      <c r="X591" s="251"/>
      <c r="Y591" s="251"/>
      <c r="Z591" s="264">
        <f t="shared" si="612"/>
        <v>0</v>
      </c>
      <c r="AA591" s="261"/>
      <c r="AB591" s="258"/>
      <c r="AC591" s="246"/>
      <c r="AD591" s="247" t="str">
        <f>IF(ISBLANK(AC591), "", VLOOKUP(AC591, Z!$A$2:$C$4127, 3, FALSE))</f>
        <v/>
      </c>
      <c r="AE591" s="262"/>
      <c r="AF591" s="263">
        <f t="shared" si="613"/>
        <v>0</v>
      </c>
      <c r="AG591" s="238"/>
      <c r="AH591" s="229">
        <f t="shared" si="637"/>
        <v>1</v>
      </c>
      <c r="AI591" s="229">
        <f t="shared" si="638"/>
        <v>1</v>
      </c>
      <c r="AJ591" s="229">
        <f t="shared" si="639"/>
        <v>0</v>
      </c>
      <c r="AK591" s="229">
        <v>0</v>
      </c>
      <c r="AL591" s="229">
        <v>0</v>
      </c>
      <c r="AM591" s="229">
        <v>1</v>
      </c>
      <c r="AN591" s="229">
        <v>0</v>
      </c>
      <c r="AO591" s="229">
        <f t="shared" si="614"/>
        <v>-100</v>
      </c>
      <c r="AP591" s="238"/>
      <c r="AQ591" s="255"/>
      <c r="AR591" s="255"/>
      <c r="AS591" s="256"/>
      <c r="AT591" s="256"/>
      <c r="AU591" s="256"/>
      <c r="AV591" s="256"/>
      <c r="AW591" s="256"/>
      <c r="AX591" s="256"/>
      <c r="AY591" s="256"/>
      <c r="AZ591" s="256"/>
      <c r="BA591" s="256"/>
      <c r="BB591" s="256"/>
      <c r="BC591" s="256"/>
      <c r="BD591" s="238"/>
      <c r="BE591" s="229" cm="1">
        <f t="array" ref="BE591">IF(ISBLANK(R591), INDEX(Use, $AH591, 4) - AM591*INDEX(Use, $AH591, 6), R591)</f>
        <v>5</v>
      </c>
      <c r="BF591" s="229">
        <f t="shared" si="615"/>
        <v>30</v>
      </c>
      <c r="BG591" s="229">
        <f t="shared" si="603"/>
        <v>13</v>
      </c>
      <c r="BH591" s="229">
        <f t="shared" si="604"/>
        <v>0</v>
      </c>
      <c r="BI591" s="234" cm="1">
        <f t="array" ref="BI591">K591/IF($L591&gt;0, INDEX($AU$23:$BA$77, $L591+20, $AH591), 1)</f>
        <v>0</v>
      </c>
      <c r="BJ591" s="230">
        <f t="shared" si="616"/>
        <v>0</v>
      </c>
      <c r="BK591" s="229">
        <v>35</v>
      </c>
      <c r="BL591" s="230">
        <f t="shared" si="617"/>
        <v>48</v>
      </c>
      <c r="BM591" s="235">
        <f t="shared" si="618"/>
        <v>2.9108720930232557</v>
      </c>
      <c r="BN591" s="235" cm="1">
        <f t="array" ref="BN591">$BI591 * SUMPRODUCT(INDEX($AR$77:$AT$82,,$AI591),INDEX($AU$77:$BA$82,,$AH591), N($AQ$77:$AQ$82&gt;$AO591)) / BM591 / 1000</f>
        <v>0</v>
      </c>
      <c r="BO591" s="232">
        <f t="shared" si="605"/>
        <v>30</v>
      </c>
      <c r="BP591" s="230">
        <f t="shared" si="619"/>
        <v>43</v>
      </c>
      <c r="BQ591" s="235">
        <f t="shared" si="620"/>
        <v>3.2938815789473681</v>
      </c>
      <c r="BR591" s="235" cm="1">
        <f t="array" ref="BR591">$BI591 * IF($AH591&lt;=2,
SUMPRODUCT(INDEX($AR$72:$AT$76,,$AI591), INDEX($AU$72:$BA$76,,$AH591), 1 / ($BB$72:$BB$76*BQ591 + (1-$BB$72:$BB$76)*BM591), N($AQ$72:$AQ$76&gt;$AO591)),
SUMPRODUCT(INDEX($AR$67:$AT$76,,$AI591), INDEX($AU$67:$BA$76,,$AH591), 1 / ($BC$67:$BC$76*BQ591 + (1-$BC$67:$BC$76)*BM591), N($AQ$67:$AQ$76&gt;$AO591))
) / 1000</f>
        <v>0</v>
      </c>
      <c r="BS591" s="232">
        <f t="shared" si="606"/>
        <v>25</v>
      </c>
      <c r="BT591" s="230">
        <f t="shared" si="621"/>
        <v>38</v>
      </c>
      <c r="BU591" s="235">
        <f t="shared" si="622"/>
        <v>3.792954545454545</v>
      </c>
      <c r="BV591" s="235" cm="1">
        <f t="array" ref="BV591">$BI591 * IF($AH591&lt;=2,
SUMPRODUCT(INDEX($AR$67:$AT$71,,$AI591), INDEX($AU$67:$BA$71,,$AH591), 1 / ($BB$67:$BB$71*BU591 + (1-$BB$67:$BB$71)*BQ591), N($AQ$67:$AQ$71&gt;$AO591)),
SUMPRODUCT(INDEX($AR$57:$AT$66,,$AI591), INDEX($AU$57:$BA$66,,$AH591), 1 / ($BC$57:$BC$66*BU591 + (1-$BC$57:$BC$66)*BQ591), N($AQ$57:$AQ$66&gt;$AO591))
) / 1000</f>
        <v>0</v>
      </c>
      <c r="BW591" s="232">
        <f t="shared" si="607"/>
        <v>20</v>
      </c>
      <c r="BX591" s="230">
        <f t="shared" si="623"/>
        <v>33</v>
      </c>
      <c r="BY591" s="235">
        <f t="shared" si="624"/>
        <v>4.4702678571428569</v>
      </c>
      <c r="BZ591" s="235" cm="1">
        <f t="array" ref="BZ591">$BI591 * IF($AH591&lt;=2,
SUMPRODUCT(INDEX($AR$62:$AT$66,,$AI591), INDEX($AU$62:$BA$66,,$AH591), 1 / ($BB$62:$BB$66*BY591 + (1-$BB$62:$BB$66)*BU591), N($AQ$62:$AQ$66&gt;$AO591)),
SUMPRODUCT(INDEX($AR$47:$AT$56,,$AI591), INDEX($AU$47:$BA$56,,$AH591), 1 / ($BC$47:$BC$56*BY591 + (1-$BC$47:$BC$56)*BU591), N($AQ$47:$AQ$56&gt;$AO591))
) / 1000</f>
        <v>0</v>
      </c>
      <c r="CA591" s="235" cm="1">
        <f t="array" ref="CA591">$BI591 * IF($AH591&lt;=2,
SUMPRODUCT(INDEX($AR$23:$AT$61,,$AI591), INDEX($AU$23:$BA$61,,$AH591), 1 / ($BB$23:$BB$61*BY591), N($AQ$23:$AQ$61&gt;$AO591)),
SUMPRODUCT(INDEX($AR$23:$AT$46,,$AI591), INDEX($AU$23:$BA$46,,$AH591), 1 / ($BC$23:$BC$46*BY591), N($AQ$23:$AQ$46&gt;$AO591))
) / 1000</f>
        <v>0</v>
      </c>
      <c r="CB591" s="230">
        <f t="shared" si="625"/>
        <v>0</v>
      </c>
      <c r="CC591" s="238"/>
      <c r="CD591" s="229" cm="1">
        <f t="array" ref="CD591">IF(ISBLANK(Y591), INDEX(Use, $AH591, 4) - AN591*INDEX(Use, $AH591, 6) - (Q591-X591), Y591)</f>
        <v>7</v>
      </c>
      <c r="CE591" s="229">
        <f t="shared" si="626"/>
        <v>32</v>
      </c>
      <c r="CF591" s="230">
        <f t="shared" si="627"/>
        <v>0</v>
      </c>
      <c r="CG591" s="229">
        <v>35</v>
      </c>
      <c r="CH591" s="230">
        <f t="shared" si="628"/>
        <v>48</v>
      </c>
      <c r="CI591" s="235">
        <f t="shared" si="629"/>
        <v>3.0748170731707316</v>
      </c>
      <c r="CJ591" s="235" cm="1">
        <f t="array" ref="CJ591">$BI591 * SUMPRODUCT(INDEX($AR$77:$AT$82,,$AI591),INDEX($AU$77:$BA$82,,$AH591), N($AQ$77:$AQ$82&gt;$AO591)) / CI591 / 1000</f>
        <v>0</v>
      </c>
      <c r="CK591" s="232">
        <f t="shared" si="608"/>
        <v>30</v>
      </c>
      <c r="CL591" s="230">
        <f t="shared" si="630"/>
        <v>43</v>
      </c>
      <c r="CM591" s="235">
        <f t="shared" si="631"/>
        <v>3.5018750000000001</v>
      </c>
      <c r="CN591" s="235" cm="1">
        <f t="array" ref="CN591">$BI591 * IF($AH591&lt;=2,
SUMPRODUCT(INDEX($AR$72:$AT$76,,$AI591), INDEX($AU$72:$BA$76,,$AH591), 1 / ($BB$72:$BB$76*CM591 + (1-$BB$72:$BB$76)*CI591), N($AQ$72:$AQ$76&gt;$AO591)),
SUMPRODUCT(INDEX($AR$67:$AT$76,,$AI591), INDEX($AU$67:$BA$76,,$AH591), 1 / ($BC$67:$BC$76*CM591 + (1-$BC$67:$BC$76)*CI591), N($AQ$67:$AQ$76&gt;$AO591))
) / 1000</f>
        <v>0</v>
      </c>
      <c r="CO591" s="232">
        <f t="shared" si="609"/>
        <v>25</v>
      </c>
      <c r="CP591" s="230">
        <f t="shared" si="632"/>
        <v>38</v>
      </c>
      <c r="CQ591" s="235">
        <f t="shared" si="633"/>
        <v>4.0666935483870965</v>
      </c>
      <c r="CR591" s="235" cm="1">
        <f t="array" ref="CR591">$BI591 * IF($AH591&lt;=2,
SUMPRODUCT(INDEX($AR$67:$AT$71,,$AI591), INDEX($AU$67:$BA$71,,$AH591), 1 / ($BB$67:$BB$71*CQ591 + (1-$BB$67:$BB$71)*CM591), N($AQ$67:$AQ$71&gt;$AO591)),
SUMPRODUCT(INDEX($AR$57:$AT$66,,$AI591), INDEX($AU$57:$BA$66,,$AH591), 1 / ($BC$57:$BC$66*CQ591 + (1-$BC$57:$BC$66)*CM591), N($AQ$57:$AQ$66&gt;$AO591))
) / 1000</f>
        <v>0</v>
      </c>
      <c r="CS591" s="232">
        <f t="shared" si="610"/>
        <v>20</v>
      </c>
      <c r="CT591" s="230">
        <f t="shared" si="634"/>
        <v>33</v>
      </c>
      <c r="CU591" s="235">
        <f t="shared" si="635"/>
        <v>4.8487499999999999</v>
      </c>
      <c r="CV591" s="235" cm="1">
        <f t="array" ref="CV591">$BI591 * IF($AH591&lt;=2,
SUMPRODUCT(INDEX($AR$62:$AT$66,,$AI591), INDEX($AU$62:$BA$66,,$AH591), 1 / ($BB$62:$BB$66*CU591 + (1-$BB$62:$BB$66)*CQ591), N($AQ$62:$AQ$66&gt;$AO591)),
SUMPRODUCT(INDEX($AR$47:$AT$56,,$AI591), INDEX($AU$47:$BA$56,,$AH591), 1 / ($BC$47:$BC$56*CU591 + (1-$BC$47:$BC$56)*CQ591), N($AQ$47:$AQ$56&gt;$AO591))
) / 1000</f>
        <v>0</v>
      </c>
      <c r="CW591" s="235" cm="1">
        <f t="array" ref="CW591">$BI591 * IF($AH591&lt;=2,
SUMPRODUCT(INDEX($AR$23:$AT$61,,$AI591), INDEX($AU$23:$BA$61,,$AH591), 1 / ($BB$23:$BB$61*CU591), N($AQ$23:$AQ$61&gt;$AO591)),
SUMPRODUCT(INDEX($AR$23:$AT$46,,$AI591), INDEX($AU$23:$BA$46,,$AH591), 1 / ($BC$23:$BC$46*CU591), N($AQ$23:$AQ$46&gt;$AO591))
) / 1000</f>
        <v>0</v>
      </c>
      <c r="CX591" s="230">
        <f t="shared" si="636"/>
        <v>0</v>
      </c>
      <c r="CY591" s="238"/>
    </row>
    <row r="592" spans="1:103" s="76" customFormat="1" ht="14.25" customHeight="1" x14ac:dyDescent="0.2">
      <c r="A592" s="231" t="b">
        <f t="shared" si="602"/>
        <v>0</v>
      </c>
      <c r="B592" s="245">
        <v>570</v>
      </c>
      <c r="C592" s="258"/>
      <c r="D592" s="258"/>
      <c r="E592" s="246"/>
      <c r="F592" s="247" t="str">
        <f>IF(ISBLANK(E592), "", VLOOKUP(E592, Z!$A$2:$C$4127, 3, FALSE))</f>
        <v/>
      </c>
      <c r="G592" s="248"/>
      <c r="H592" s="248"/>
      <c r="I592" s="249"/>
      <c r="J592" s="250"/>
      <c r="K592" s="259"/>
      <c r="L592" s="260"/>
      <c r="M592" s="252" t="str" cm="1">
        <f t="array" ref="M592">INDEX(Trad, 53, $A$20)</f>
        <v>Verschmutzt</v>
      </c>
      <c r="N592" s="253"/>
      <c r="O592" s="253"/>
      <c r="P592" s="254"/>
      <c r="Q592" s="251"/>
      <c r="R592" s="251"/>
      <c r="S592" s="264">
        <f t="shared" si="611"/>
        <v>0</v>
      </c>
      <c r="T592" s="252" t="str" cm="1">
        <f t="array" ref="T592">INDEX(Trad, 52, $A$20)</f>
        <v>Sauber</v>
      </c>
      <c r="U592" s="253"/>
      <c r="V592" s="253"/>
      <c r="W592" s="254"/>
      <c r="X592" s="251"/>
      <c r="Y592" s="251"/>
      <c r="Z592" s="264">
        <f t="shared" si="612"/>
        <v>0</v>
      </c>
      <c r="AA592" s="261"/>
      <c r="AB592" s="258"/>
      <c r="AC592" s="246"/>
      <c r="AD592" s="247" t="str">
        <f>IF(ISBLANK(AC592), "", VLOOKUP(AC592, Z!$A$2:$C$4127, 3, FALSE))</f>
        <v/>
      </c>
      <c r="AE592" s="262"/>
      <c r="AF592" s="263">
        <f t="shared" si="613"/>
        <v>0</v>
      </c>
      <c r="AG592" s="238"/>
      <c r="AH592" s="229">
        <f t="shared" si="637"/>
        <v>1</v>
      </c>
      <c r="AI592" s="229">
        <f t="shared" si="638"/>
        <v>1</v>
      </c>
      <c r="AJ592" s="229">
        <f t="shared" si="639"/>
        <v>0</v>
      </c>
      <c r="AK592" s="229">
        <v>0</v>
      </c>
      <c r="AL592" s="229">
        <v>0</v>
      </c>
      <c r="AM592" s="229">
        <v>1</v>
      </c>
      <c r="AN592" s="229">
        <v>0</v>
      </c>
      <c r="AO592" s="229">
        <f t="shared" si="614"/>
        <v>-100</v>
      </c>
      <c r="AP592" s="238"/>
      <c r="AQ592" s="255"/>
      <c r="AR592" s="255"/>
      <c r="AS592" s="256"/>
      <c r="AT592" s="256"/>
      <c r="AU592" s="256"/>
      <c r="AV592" s="256"/>
      <c r="AW592" s="256"/>
      <c r="AX592" s="256"/>
      <c r="AY592" s="256"/>
      <c r="AZ592" s="256"/>
      <c r="BA592" s="256"/>
      <c r="BB592" s="256"/>
      <c r="BC592" s="256"/>
      <c r="BD592" s="238"/>
      <c r="BE592" s="229" cm="1">
        <f t="array" ref="BE592">IF(ISBLANK(R592), INDEX(Use, $AH592, 4) - AM592*INDEX(Use, $AH592, 6), R592)</f>
        <v>5</v>
      </c>
      <c r="BF592" s="229">
        <f t="shared" si="615"/>
        <v>30</v>
      </c>
      <c r="BG592" s="229">
        <f t="shared" si="603"/>
        <v>13</v>
      </c>
      <c r="BH592" s="229">
        <f t="shared" si="604"/>
        <v>0</v>
      </c>
      <c r="BI592" s="234" cm="1">
        <f t="array" ref="BI592">K592/IF($L592&gt;0, INDEX($AU$23:$BA$77, $L592+20, $AH592), 1)</f>
        <v>0</v>
      </c>
      <c r="BJ592" s="230">
        <f t="shared" si="616"/>
        <v>0</v>
      </c>
      <c r="BK592" s="229">
        <v>35</v>
      </c>
      <c r="BL592" s="230">
        <f t="shared" si="617"/>
        <v>48</v>
      </c>
      <c r="BM592" s="235">
        <f t="shared" si="618"/>
        <v>2.9108720930232557</v>
      </c>
      <c r="BN592" s="235" cm="1">
        <f t="array" ref="BN592">$BI592 * SUMPRODUCT(INDEX($AR$77:$AT$82,,$AI592),INDEX($AU$77:$BA$82,,$AH592), N($AQ$77:$AQ$82&gt;$AO592)) / BM592 / 1000</f>
        <v>0</v>
      </c>
      <c r="BO592" s="232">
        <f t="shared" si="605"/>
        <v>30</v>
      </c>
      <c r="BP592" s="230">
        <f t="shared" si="619"/>
        <v>43</v>
      </c>
      <c r="BQ592" s="235">
        <f t="shared" si="620"/>
        <v>3.2938815789473681</v>
      </c>
      <c r="BR592" s="235" cm="1">
        <f t="array" ref="BR592">$BI592 * IF($AH592&lt;=2,
SUMPRODUCT(INDEX($AR$72:$AT$76,,$AI592), INDEX($AU$72:$BA$76,,$AH592), 1 / ($BB$72:$BB$76*BQ592 + (1-$BB$72:$BB$76)*BM592), N($AQ$72:$AQ$76&gt;$AO592)),
SUMPRODUCT(INDEX($AR$67:$AT$76,,$AI592), INDEX($AU$67:$BA$76,,$AH592), 1 / ($BC$67:$BC$76*BQ592 + (1-$BC$67:$BC$76)*BM592), N($AQ$67:$AQ$76&gt;$AO592))
) / 1000</f>
        <v>0</v>
      </c>
      <c r="BS592" s="232">
        <f t="shared" si="606"/>
        <v>25</v>
      </c>
      <c r="BT592" s="230">
        <f t="shared" si="621"/>
        <v>38</v>
      </c>
      <c r="BU592" s="235">
        <f t="shared" si="622"/>
        <v>3.792954545454545</v>
      </c>
      <c r="BV592" s="235" cm="1">
        <f t="array" ref="BV592">$BI592 * IF($AH592&lt;=2,
SUMPRODUCT(INDEX($AR$67:$AT$71,,$AI592), INDEX($AU$67:$BA$71,,$AH592), 1 / ($BB$67:$BB$71*BU592 + (1-$BB$67:$BB$71)*BQ592), N($AQ$67:$AQ$71&gt;$AO592)),
SUMPRODUCT(INDEX($AR$57:$AT$66,,$AI592), INDEX($AU$57:$BA$66,,$AH592), 1 / ($BC$57:$BC$66*BU592 + (1-$BC$57:$BC$66)*BQ592), N($AQ$57:$AQ$66&gt;$AO592))
) / 1000</f>
        <v>0</v>
      </c>
      <c r="BW592" s="232">
        <f t="shared" si="607"/>
        <v>20</v>
      </c>
      <c r="BX592" s="230">
        <f t="shared" si="623"/>
        <v>33</v>
      </c>
      <c r="BY592" s="235">
        <f t="shared" si="624"/>
        <v>4.4702678571428569</v>
      </c>
      <c r="BZ592" s="235" cm="1">
        <f t="array" ref="BZ592">$BI592 * IF($AH592&lt;=2,
SUMPRODUCT(INDEX($AR$62:$AT$66,,$AI592), INDEX($AU$62:$BA$66,,$AH592), 1 / ($BB$62:$BB$66*BY592 + (1-$BB$62:$BB$66)*BU592), N($AQ$62:$AQ$66&gt;$AO592)),
SUMPRODUCT(INDEX($AR$47:$AT$56,,$AI592), INDEX($AU$47:$BA$56,,$AH592), 1 / ($BC$47:$BC$56*BY592 + (1-$BC$47:$BC$56)*BU592), N($AQ$47:$AQ$56&gt;$AO592))
) / 1000</f>
        <v>0</v>
      </c>
      <c r="CA592" s="235" cm="1">
        <f t="array" ref="CA592">$BI592 * IF($AH592&lt;=2,
SUMPRODUCT(INDEX($AR$23:$AT$61,,$AI592), INDEX($AU$23:$BA$61,,$AH592), 1 / ($BB$23:$BB$61*BY592), N($AQ$23:$AQ$61&gt;$AO592)),
SUMPRODUCT(INDEX($AR$23:$AT$46,,$AI592), INDEX($AU$23:$BA$46,,$AH592), 1 / ($BC$23:$BC$46*BY592), N($AQ$23:$AQ$46&gt;$AO592))
) / 1000</f>
        <v>0</v>
      </c>
      <c r="CB592" s="230">
        <f t="shared" si="625"/>
        <v>0</v>
      </c>
      <c r="CC592" s="238"/>
      <c r="CD592" s="229" cm="1">
        <f t="array" ref="CD592">IF(ISBLANK(Y592), INDEX(Use, $AH592, 4) - AN592*INDEX(Use, $AH592, 6) - (Q592-X592), Y592)</f>
        <v>7</v>
      </c>
      <c r="CE592" s="229">
        <f t="shared" si="626"/>
        <v>32</v>
      </c>
      <c r="CF592" s="230">
        <f t="shared" si="627"/>
        <v>0</v>
      </c>
      <c r="CG592" s="229">
        <v>35</v>
      </c>
      <c r="CH592" s="230">
        <f t="shared" si="628"/>
        <v>48</v>
      </c>
      <c r="CI592" s="235">
        <f t="shared" si="629"/>
        <v>3.0748170731707316</v>
      </c>
      <c r="CJ592" s="235" cm="1">
        <f t="array" ref="CJ592">$BI592 * SUMPRODUCT(INDEX($AR$77:$AT$82,,$AI592),INDEX($AU$77:$BA$82,,$AH592), N($AQ$77:$AQ$82&gt;$AO592)) / CI592 / 1000</f>
        <v>0</v>
      </c>
      <c r="CK592" s="232">
        <f t="shared" si="608"/>
        <v>30</v>
      </c>
      <c r="CL592" s="230">
        <f t="shared" si="630"/>
        <v>43</v>
      </c>
      <c r="CM592" s="235">
        <f t="shared" si="631"/>
        <v>3.5018750000000001</v>
      </c>
      <c r="CN592" s="235" cm="1">
        <f t="array" ref="CN592">$BI592 * IF($AH592&lt;=2,
SUMPRODUCT(INDEX($AR$72:$AT$76,,$AI592), INDEX($AU$72:$BA$76,,$AH592), 1 / ($BB$72:$BB$76*CM592 + (1-$BB$72:$BB$76)*CI592), N($AQ$72:$AQ$76&gt;$AO592)),
SUMPRODUCT(INDEX($AR$67:$AT$76,,$AI592), INDEX($AU$67:$BA$76,,$AH592), 1 / ($BC$67:$BC$76*CM592 + (1-$BC$67:$BC$76)*CI592), N($AQ$67:$AQ$76&gt;$AO592))
) / 1000</f>
        <v>0</v>
      </c>
      <c r="CO592" s="232">
        <f t="shared" si="609"/>
        <v>25</v>
      </c>
      <c r="CP592" s="230">
        <f t="shared" si="632"/>
        <v>38</v>
      </c>
      <c r="CQ592" s="235">
        <f t="shared" si="633"/>
        <v>4.0666935483870965</v>
      </c>
      <c r="CR592" s="235" cm="1">
        <f t="array" ref="CR592">$BI592 * IF($AH592&lt;=2,
SUMPRODUCT(INDEX($AR$67:$AT$71,,$AI592), INDEX($AU$67:$BA$71,,$AH592), 1 / ($BB$67:$BB$71*CQ592 + (1-$BB$67:$BB$71)*CM592), N($AQ$67:$AQ$71&gt;$AO592)),
SUMPRODUCT(INDEX($AR$57:$AT$66,,$AI592), INDEX($AU$57:$BA$66,,$AH592), 1 / ($BC$57:$BC$66*CQ592 + (1-$BC$57:$BC$66)*CM592), N($AQ$57:$AQ$66&gt;$AO592))
) / 1000</f>
        <v>0</v>
      </c>
      <c r="CS592" s="232">
        <f t="shared" si="610"/>
        <v>20</v>
      </c>
      <c r="CT592" s="230">
        <f t="shared" si="634"/>
        <v>33</v>
      </c>
      <c r="CU592" s="235">
        <f t="shared" si="635"/>
        <v>4.8487499999999999</v>
      </c>
      <c r="CV592" s="235" cm="1">
        <f t="array" ref="CV592">$BI592 * IF($AH592&lt;=2,
SUMPRODUCT(INDEX($AR$62:$AT$66,,$AI592), INDEX($AU$62:$BA$66,,$AH592), 1 / ($BB$62:$BB$66*CU592 + (1-$BB$62:$BB$66)*CQ592), N($AQ$62:$AQ$66&gt;$AO592)),
SUMPRODUCT(INDEX($AR$47:$AT$56,,$AI592), INDEX($AU$47:$BA$56,,$AH592), 1 / ($BC$47:$BC$56*CU592 + (1-$BC$47:$BC$56)*CQ592), N($AQ$47:$AQ$56&gt;$AO592))
) / 1000</f>
        <v>0</v>
      </c>
      <c r="CW592" s="235" cm="1">
        <f t="array" ref="CW592">$BI592 * IF($AH592&lt;=2,
SUMPRODUCT(INDEX($AR$23:$AT$61,,$AI592), INDEX($AU$23:$BA$61,,$AH592), 1 / ($BB$23:$BB$61*CU592), N($AQ$23:$AQ$61&gt;$AO592)),
SUMPRODUCT(INDEX($AR$23:$AT$46,,$AI592), INDEX($AU$23:$BA$46,,$AH592), 1 / ($BC$23:$BC$46*CU592), N($AQ$23:$AQ$46&gt;$AO592))
) / 1000</f>
        <v>0</v>
      </c>
      <c r="CX592" s="230">
        <f t="shared" si="636"/>
        <v>0</v>
      </c>
      <c r="CY592" s="238"/>
    </row>
    <row r="593" spans="1:103" s="76" customFormat="1" ht="14.25" customHeight="1" x14ac:dyDescent="0.2">
      <c r="A593" s="231" t="b">
        <f t="shared" si="602"/>
        <v>0</v>
      </c>
      <c r="B593" s="245">
        <v>571</v>
      </c>
      <c r="C593" s="258"/>
      <c r="D593" s="258"/>
      <c r="E593" s="246"/>
      <c r="F593" s="247" t="str">
        <f>IF(ISBLANK(E593), "", VLOOKUP(E593, Z!$A$2:$C$4127, 3, FALSE))</f>
        <v/>
      </c>
      <c r="G593" s="248"/>
      <c r="H593" s="248"/>
      <c r="I593" s="249"/>
      <c r="J593" s="250"/>
      <c r="K593" s="259"/>
      <c r="L593" s="260"/>
      <c r="M593" s="252" t="str" cm="1">
        <f t="array" ref="M593">INDEX(Trad, 53, $A$20)</f>
        <v>Verschmutzt</v>
      </c>
      <c r="N593" s="253"/>
      <c r="O593" s="253"/>
      <c r="P593" s="254"/>
      <c r="Q593" s="251"/>
      <c r="R593" s="251"/>
      <c r="S593" s="264">
        <f t="shared" si="611"/>
        <v>0</v>
      </c>
      <c r="T593" s="252" t="str" cm="1">
        <f t="array" ref="T593">INDEX(Trad, 52, $A$20)</f>
        <v>Sauber</v>
      </c>
      <c r="U593" s="253"/>
      <c r="V593" s="253"/>
      <c r="W593" s="254"/>
      <c r="X593" s="251"/>
      <c r="Y593" s="251"/>
      <c r="Z593" s="264">
        <f t="shared" si="612"/>
        <v>0</v>
      </c>
      <c r="AA593" s="261"/>
      <c r="AB593" s="258"/>
      <c r="AC593" s="246"/>
      <c r="AD593" s="247" t="str">
        <f>IF(ISBLANK(AC593), "", VLOOKUP(AC593, Z!$A$2:$C$4127, 3, FALSE))</f>
        <v/>
      </c>
      <c r="AE593" s="262"/>
      <c r="AF593" s="263">
        <f t="shared" si="613"/>
        <v>0</v>
      </c>
      <c r="AG593" s="238"/>
      <c r="AH593" s="229">
        <f t="shared" si="637"/>
        <v>1</v>
      </c>
      <c r="AI593" s="229">
        <f t="shared" si="638"/>
        <v>1</v>
      </c>
      <c r="AJ593" s="229">
        <f t="shared" si="639"/>
        <v>0</v>
      </c>
      <c r="AK593" s="229">
        <v>0</v>
      </c>
      <c r="AL593" s="229">
        <v>0</v>
      </c>
      <c r="AM593" s="229">
        <v>1</v>
      </c>
      <c r="AN593" s="229">
        <v>0</v>
      </c>
      <c r="AO593" s="229">
        <f t="shared" si="614"/>
        <v>-100</v>
      </c>
      <c r="AP593" s="238"/>
      <c r="AQ593" s="255"/>
      <c r="AR593" s="255"/>
      <c r="AS593" s="256"/>
      <c r="AT593" s="256"/>
      <c r="AU593" s="256"/>
      <c r="AV593" s="256"/>
      <c r="AW593" s="256"/>
      <c r="AX593" s="256"/>
      <c r="AY593" s="256"/>
      <c r="AZ593" s="256"/>
      <c r="BA593" s="256"/>
      <c r="BB593" s="256"/>
      <c r="BC593" s="256"/>
      <c r="BD593" s="238"/>
      <c r="BE593" s="229" cm="1">
        <f t="array" ref="BE593">IF(ISBLANK(R593), INDEX(Use, $AH593, 4) - AM593*INDEX(Use, $AH593, 6), R593)</f>
        <v>5</v>
      </c>
      <c r="BF593" s="229">
        <f t="shared" si="615"/>
        <v>30</v>
      </c>
      <c r="BG593" s="229">
        <f t="shared" si="603"/>
        <v>13</v>
      </c>
      <c r="BH593" s="229">
        <f t="shared" si="604"/>
        <v>0</v>
      </c>
      <c r="BI593" s="234" cm="1">
        <f t="array" ref="BI593">K593/IF($L593&gt;0, INDEX($AU$23:$BA$77, $L593+20, $AH593), 1)</f>
        <v>0</v>
      </c>
      <c r="BJ593" s="230">
        <f t="shared" si="616"/>
        <v>0</v>
      </c>
      <c r="BK593" s="229">
        <v>35</v>
      </c>
      <c r="BL593" s="230">
        <f t="shared" si="617"/>
        <v>48</v>
      </c>
      <c r="BM593" s="235">
        <f t="shared" si="618"/>
        <v>2.9108720930232557</v>
      </c>
      <c r="BN593" s="235" cm="1">
        <f t="array" ref="BN593">$BI593 * SUMPRODUCT(INDEX($AR$77:$AT$82,,$AI593),INDEX($AU$77:$BA$82,,$AH593), N($AQ$77:$AQ$82&gt;$AO593)) / BM593 / 1000</f>
        <v>0</v>
      </c>
      <c r="BO593" s="232">
        <f t="shared" si="605"/>
        <v>30</v>
      </c>
      <c r="BP593" s="230">
        <f t="shared" si="619"/>
        <v>43</v>
      </c>
      <c r="BQ593" s="235">
        <f t="shared" si="620"/>
        <v>3.2938815789473681</v>
      </c>
      <c r="BR593" s="235" cm="1">
        <f t="array" ref="BR593">$BI593 * IF($AH593&lt;=2,
SUMPRODUCT(INDEX($AR$72:$AT$76,,$AI593), INDEX($AU$72:$BA$76,,$AH593), 1 / ($BB$72:$BB$76*BQ593 + (1-$BB$72:$BB$76)*BM593), N($AQ$72:$AQ$76&gt;$AO593)),
SUMPRODUCT(INDEX($AR$67:$AT$76,,$AI593), INDEX($AU$67:$BA$76,,$AH593), 1 / ($BC$67:$BC$76*BQ593 + (1-$BC$67:$BC$76)*BM593), N($AQ$67:$AQ$76&gt;$AO593))
) / 1000</f>
        <v>0</v>
      </c>
      <c r="BS593" s="232">
        <f t="shared" si="606"/>
        <v>25</v>
      </c>
      <c r="BT593" s="230">
        <f t="shared" si="621"/>
        <v>38</v>
      </c>
      <c r="BU593" s="235">
        <f t="shared" si="622"/>
        <v>3.792954545454545</v>
      </c>
      <c r="BV593" s="235" cm="1">
        <f t="array" ref="BV593">$BI593 * IF($AH593&lt;=2,
SUMPRODUCT(INDEX($AR$67:$AT$71,,$AI593), INDEX($AU$67:$BA$71,,$AH593), 1 / ($BB$67:$BB$71*BU593 + (1-$BB$67:$BB$71)*BQ593), N($AQ$67:$AQ$71&gt;$AO593)),
SUMPRODUCT(INDEX($AR$57:$AT$66,,$AI593), INDEX($AU$57:$BA$66,,$AH593), 1 / ($BC$57:$BC$66*BU593 + (1-$BC$57:$BC$66)*BQ593), N($AQ$57:$AQ$66&gt;$AO593))
) / 1000</f>
        <v>0</v>
      </c>
      <c r="BW593" s="232">
        <f t="shared" si="607"/>
        <v>20</v>
      </c>
      <c r="BX593" s="230">
        <f t="shared" si="623"/>
        <v>33</v>
      </c>
      <c r="BY593" s="235">
        <f t="shared" si="624"/>
        <v>4.4702678571428569</v>
      </c>
      <c r="BZ593" s="235" cm="1">
        <f t="array" ref="BZ593">$BI593 * IF($AH593&lt;=2,
SUMPRODUCT(INDEX($AR$62:$AT$66,,$AI593), INDEX($AU$62:$BA$66,,$AH593), 1 / ($BB$62:$BB$66*BY593 + (1-$BB$62:$BB$66)*BU593), N($AQ$62:$AQ$66&gt;$AO593)),
SUMPRODUCT(INDEX($AR$47:$AT$56,,$AI593), INDEX($AU$47:$BA$56,,$AH593), 1 / ($BC$47:$BC$56*BY593 + (1-$BC$47:$BC$56)*BU593), N($AQ$47:$AQ$56&gt;$AO593))
) / 1000</f>
        <v>0</v>
      </c>
      <c r="CA593" s="235" cm="1">
        <f t="array" ref="CA593">$BI593 * IF($AH593&lt;=2,
SUMPRODUCT(INDEX($AR$23:$AT$61,,$AI593), INDEX($AU$23:$BA$61,,$AH593), 1 / ($BB$23:$BB$61*BY593), N($AQ$23:$AQ$61&gt;$AO593)),
SUMPRODUCT(INDEX($AR$23:$AT$46,,$AI593), INDEX($AU$23:$BA$46,,$AH593), 1 / ($BC$23:$BC$46*BY593), N($AQ$23:$AQ$46&gt;$AO593))
) / 1000</f>
        <v>0</v>
      </c>
      <c r="CB593" s="230">
        <f t="shared" si="625"/>
        <v>0</v>
      </c>
      <c r="CC593" s="238"/>
      <c r="CD593" s="229" cm="1">
        <f t="array" ref="CD593">IF(ISBLANK(Y593), INDEX(Use, $AH593, 4) - AN593*INDEX(Use, $AH593, 6) - (Q593-X593), Y593)</f>
        <v>7</v>
      </c>
      <c r="CE593" s="229">
        <f t="shared" si="626"/>
        <v>32</v>
      </c>
      <c r="CF593" s="230">
        <f t="shared" si="627"/>
        <v>0</v>
      </c>
      <c r="CG593" s="229">
        <v>35</v>
      </c>
      <c r="CH593" s="230">
        <f t="shared" si="628"/>
        <v>48</v>
      </c>
      <c r="CI593" s="235">
        <f t="shared" si="629"/>
        <v>3.0748170731707316</v>
      </c>
      <c r="CJ593" s="235" cm="1">
        <f t="array" ref="CJ593">$BI593 * SUMPRODUCT(INDEX($AR$77:$AT$82,,$AI593),INDEX($AU$77:$BA$82,,$AH593), N($AQ$77:$AQ$82&gt;$AO593)) / CI593 / 1000</f>
        <v>0</v>
      </c>
      <c r="CK593" s="232">
        <f t="shared" si="608"/>
        <v>30</v>
      </c>
      <c r="CL593" s="230">
        <f t="shared" si="630"/>
        <v>43</v>
      </c>
      <c r="CM593" s="235">
        <f t="shared" si="631"/>
        <v>3.5018750000000001</v>
      </c>
      <c r="CN593" s="235" cm="1">
        <f t="array" ref="CN593">$BI593 * IF($AH593&lt;=2,
SUMPRODUCT(INDEX($AR$72:$AT$76,,$AI593), INDEX($AU$72:$BA$76,,$AH593), 1 / ($BB$72:$BB$76*CM593 + (1-$BB$72:$BB$76)*CI593), N($AQ$72:$AQ$76&gt;$AO593)),
SUMPRODUCT(INDEX($AR$67:$AT$76,,$AI593), INDEX($AU$67:$BA$76,,$AH593), 1 / ($BC$67:$BC$76*CM593 + (1-$BC$67:$BC$76)*CI593), N($AQ$67:$AQ$76&gt;$AO593))
) / 1000</f>
        <v>0</v>
      </c>
      <c r="CO593" s="232">
        <f t="shared" si="609"/>
        <v>25</v>
      </c>
      <c r="CP593" s="230">
        <f t="shared" si="632"/>
        <v>38</v>
      </c>
      <c r="CQ593" s="235">
        <f t="shared" si="633"/>
        <v>4.0666935483870965</v>
      </c>
      <c r="CR593" s="235" cm="1">
        <f t="array" ref="CR593">$BI593 * IF($AH593&lt;=2,
SUMPRODUCT(INDEX($AR$67:$AT$71,,$AI593), INDEX($AU$67:$BA$71,,$AH593), 1 / ($BB$67:$BB$71*CQ593 + (1-$BB$67:$BB$71)*CM593), N($AQ$67:$AQ$71&gt;$AO593)),
SUMPRODUCT(INDEX($AR$57:$AT$66,,$AI593), INDEX($AU$57:$BA$66,,$AH593), 1 / ($BC$57:$BC$66*CQ593 + (1-$BC$57:$BC$66)*CM593), N($AQ$57:$AQ$66&gt;$AO593))
) / 1000</f>
        <v>0</v>
      </c>
      <c r="CS593" s="232">
        <f t="shared" si="610"/>
        <v>20</v>
      </c>
      <c r="CT593" s="230">
        <f t="shared" si="634"/>
        <v>33</v>
      </c>
      <c r="CU593" s="235">
        <f t="shared" si="635"/>
        <v>4.8487499999999999</v>
      </c>
      <c r="CV593" s="235" cm="1">
        <f t="array" ref="CV593">$BI593 * IF($AH593&lt;=2,
SUMPRODUCT(INDEX($AR$62:$AT$66,,$AI593), INDEX($AU$62:$BA$66,,$AH593), 1 / ($BB$62:$BB$66*CU593 + (1-$BB$62:$BB$66)*CQ593), N($AQ$62:$AQ$66&gt;$AO593)),
SUMPRODUCT(INDEX($AR$47:$AT$56,,$AI593), INDEX($AU$47:$BA$56,,$AH593), 1 / ($BC$47:$BC$56*CU593 + (1-$BC$47:$BC$56)*CQ593), N($AQ$47:$AQ$56&gt;$AO593))
) / 1000</f>
        <v>0</v>
      </c>
      <c r="CW593" s="235" cm="1">
        <f t="array" ref="CW593">$BI593 * IF($AH593&lt;=2,
SUMPRODUCT(INDEX($AR$23:$AT$61,,$AI593), INDEX($AU$23:$BA$61,,$AH593), 1 / ($BB$23:$BB$61*CU593), N($AQ$23:$AQ$61&gt;$AO593)),
SUMPRODUCT(INDEX($AR$23:$AT$46,,$AI593), INDEX($AU$23:$BA$46,,$AH593), 1 / ($BC$23:$BC$46*CU593), N($AQ$23:$AQ$46&gt;$AO593))
) / 1000</f>
        <v>0</v>
      </c>
      <c r="CX593" s="230">
        <f t="shared" si="636"/>
        <v>0</v>
      </c>
      <c r="CY593" s="238"/>
    </row>
    <row r="594" spans="1:103" s="76" customFormat="1" ht="14.25" customHeight="1" x14ac:dyDescent="0.2">
      <c r="A594" s="231" t="b">
        <f t="shared" si="602"/>
        <v>0</v>
      </c>
      <c r="B594" s="245">
        <v>572</v>
      </c>
      <c r="C594" s="258"/>
      <c r="D594" s="258"/>
      <c r="E594" s="246"/>
      <c r="F594" s="247" t="str">
        <f>IF(ISBLANK(E594), "", VLOOKUP(E594, Z!$A$2:$C$4127, 3, FALSE))</f>
        <v/>
      </c>
      <c r="G594" s="248"/>
      <c r="H594" s="248"/>
      <c r="I594" s="249"/>
      <c r="J594" s="250"/>
      <c r="K594" s="259"/>
      <c r="L594" s="260"/>
      <c r="M594" s="252" t="str" cm="1">
        <f t="array" ref="M594">INDEX(Trad, 53, $A$20)</f>
        <v>Verschmutzt</v>
      </c>
      <c r="N594" s="253"/>
      <c r="O594" s="253"/>
      <c r="P594" s="254"/>
      <c r="Q594" s="251"/>
      <c r="R594" s="251"/>
      <c r="S594" s="264">
        <f t="shared" si="611"/>
        <v>0</v>
      </c>
      <c r="T594" s="252" t="str" cm="1">
        <f t="array" ref="T594">INDEX(Trad, 52, $A$20)</f>
        <v>Sauber</v>
      </c>
      <c r="U594" s="253"/>
      <c r="V594" s="253"/>
      <c r="W594" s="254"/>
      <c r="X594" s="251"/>
      <c r="Y594" s="251"/>
      <c r="Z594" s="264">
        <f t="shared" si="612"/>
        <v>0</v>
      </c>
      <c r="AA594" s="261"/>
      <c r="AB594" s="258"/>
      <c r="AC594" s="246"/>
      <c r="AD594" s="247" t="str">
        <f>IF(ISBLANK(AC594), "", VLOOKUP(AC594, Z!$A$2:$C$4127, 3, FALSE))</f>
        <v/>
      </c>
      <c r="AE594" s="262"/>
      <c r="AF594" s="263">
        <f t="shared" si="613"/>
        <v>0</v>
      </c>
      <c r="AG594" s="238"/>
      <c r="AH594" s="229">
        <f t="shared" si="637"/>
        <v>1</v>
      </c>
      <c r="AI594" s="229">
        <f t="shared" si="638"/>
        <v>1</v>
      </c>
      <c r="AJ594" s="229">
        <f t="shared" si="639"/>
        <v>0</v>
      </c>
      <c r="AK594" s="229">
        <v>0</v>
      </c>
      <c r="AL594" s="229">
        <v>0</v>
      </c>
      <c r="AM594" s="229">
        <v>1</v>
      </c>
      <c r="AN594" s="229">
        <v>0</v>
      </c>
      <c r="AO594" s="229">
        <f t="shared" si="614"/>
        <v>-100</v>
      </c>
      <c r="AP594" s="238"/>
      <c r="AQ594" s="255"/>
      <c r="AR594" s="255"/>
      <c r="AS594" s="256"/>
      <c r="AT594" s="256"/>
      <c r="AU594" s="256"/>
      <c r="AV594" s="256"/>
      <c r="AW594" s="256"/>
      <c r="AX594" s="256"/>
      <c r="AY594" s="256"/>
      <c r="AZ594" s="256"/>
      <c r="BA594" s="256"/>
      <c r="BB594" s="256"/>
      <c r="BC594" s="256"/>
      <c r="BD594" s="238"/>
      <c r="BE594" s="229" cm="1">
        <f t="array" ref="BE594">IF(ISBLANK(R594), INDEX(Use, $AH594, 4) - AM594*INDEX(Use, $AH594, 6), R594)</f>
        <v>5</v>
      </c>
      <c r="BF594" s="229">
        <f t="shared" si="615"/>
        <v>30</v>
      </c>
      <c r="BG594" s="229">
        <f t="shared" si="603"/>
        <v>13</v>
      </c>
      <c r="BH594" s="229">
        <f t="shared" si="604"/>
        <v>0</v>
      </c>
      <c r="BI594" s="234" cm="1">
        <f t="array" ref="BI594">K594/IF($L594&gt;0, INDEX($AU$23:$BA$77, $L594+20, $AH594), 1)</f>
        <v>0</v>
      </c>
      <c r="BJ594" s="230">
        <f t="shared" si="616"/>
        <v>0</v>
      </c>
      <c r="BK594" s="229">
        <v>35</v>
      </c>
      <c r="BL594" s="230">
        <f t="shared" si="617"/>
        <v>48</v>
      </c>
      <c r="BM594" s="235">
        <f t="shared" si="618"/>
        <v>2.9108720930232557</v>
      </c>
      <c r="BN594" s="235" cm="1">
        <f t="array" ref="BN594">$BI594 * SUMPRODUCT(INDEX($AR$77:$AT$82,,$AI594),INDEX($AU$77:$BA$82,,$AH594), N($AQ$77:$AQ$82&gt;$AO594)) / BM594 / 1000</f>
        <v>0</v>
      </c>
      <c r="BO594" s="232">
        <f t="shared" si="605"/>
        <v>30</v>
      </c>
      <c r="BP594" s="230">
        <f t="shared" si="619"/>
        <v>43</v>
      </c>
      <c r="BQ594" s="235">
        <f t="shared" si="620"/>
        <v>3.2938815789473681</v>
      </c>
      <c r="BR594" s="235" cm="1">
        <f t="array" ref="BR594">$BI594 * IF($AH594&lt;=2,
SUMPRODUCT(INDEX($AR$72:$AT$76,,$AI594), INDEX($AU$72:$BA$76,,$AH594), 1 / ($BB$72:$BB$76*BQ594 + (1-$BB$72:$BB$76)*BM594), N($AQ$72:$AQ$76&gt;$AO594)),
SUMPRODUCT(INDEX($AR$67:$AT$76,,$AI594), INDEX($AU$67:$BA$76,,$AH594), 1 / ($BC$67:$BC$76*BQ594 + (1-$BC$67:$BC$76)*BM594), N($AQ$67:$AQ$76&gt;$AO594))
) / 1000</f>
        <v>0</v>
      </c>
      <c r="BS594" s="232">
        <f t="shared" si="606"/>
        <v>25</v>
      </c>
      <c r="BT594" s="230">
        <f t="shared" si="621"/>
        <v>38</v>
      </c>
      <c r="BU594" s="235">
        <f t="shared" si="622"/>
        <v>3.792954545454545</v>
      </c>
      <c r="BV594" s="235" cm="1">
        <f t="array" ref="BV594">$BI594 * IF($AH594&lt;=2,
SUMPRODUCT(INDEX($AR$67:$AT$71,,$AI594), INDEX($AU$67:$BA$71,,$AH594), 1 / ($BB$67:$BB$71*BU594 + (1-$BB$67:$BB$71)*BQ594), N($AQ$67:$AQ$71&gt;$AO594)),
SUMPRODUCT(INDEX($AR$57:$AT$66,,$AI594), INDEX($AU$57:$BA$66,,$AH594), 1 / ($BC$57:$BC$66*BU594 + (1-$BC$57:$BC$66)*BQ594), N($AQ$57:$AQ$66&gt;$AO594))
) / 1000</f>
        <v>0</v>
      </c>
      <c r="BW594" s="232">
        <f t="shared" si="607"/>
        <v>20</v>
      </c>
      <c r="BX594" s="230">
        <f t="shared" si="623"/>
        <v>33</v>
      </c>
      <c r="BY594" s="235">
        <f t="shared" si="624"/>
        <v>4.4702678571428569</v>
      </c>
      <c r="BZ594" s="235" cm="1">
        <f t="array" ref="BZ594">$BI594 * IF($AH594&lt;=2,
SUMPRODUCT(INDEX($AR$62:$AT$66,,$AI594), INDEX($AU$62:$BA$66,,$AH594), 1 / ($BB$62:$BB$66*BY594 + (1-$BB$62:$BB$66)*BU594), N($AQ$62:$AQ$66&gt;$AO594)),
SUMPRODUCT(INDEX($AR$47:$AT$56,,$AI594), INDEX($AU$47:$BA$56,,$AH594), 1 / ($BC$47:$BC$56*BY594 + (1-$BC$47:$BC$56)*BU594), N($AQ$47:$AQ$56&gt;$AO594))
) / 1000</f>
        <v>0</v>
      </c>
      <c r="CA594" s="235" cm="1">
        <f t="array" ref="CA594">$BI594 * IF($AH594&lt;=2,
SUMPRODUCT(INDEX($AR$23:$AT$61,,$AI594), INDEX($AU$23:$BA$61,,$AH594), 1 / ($BB$23:$BB$61*BY594), N($AQ$23:$AQ$61&gt;$AO594)),
SUMPRODUCT(INDEX($AR$23:$AT$46,,$AI594), INDEX($AU$23:$BA$46,,$AH594), 1 / ($BC$23:$BC$46*BY594), N($AQ$23:$AQ$46&gt;$AO594))
) / 1000</f>
        <v>0</v>
      </c>
      <c r="CB594" s="230">
        <f t="shared" si="625"/>
        <v>0</v>
      </c>
      <c r="CC594" s="238"/>
      <c r="CD594" s="229" cm="1">
        <f t="array" ref="CD594">IF(ISBLANK(Y594), INDEX(Use, $AH594, 4) - AN594*INDEX(Use, $AH594, 6) - (Q594-X594), Y594)</f>
        <v>7</v>
      </c>
      <c r="CE594" s="229">
        <f t="shared" si="626"/>
        <v>32</v>
      </c>
      <c r="CF594" s="230">
        <f t="shared" si="627"/>
        <v>0</v>
      </c>
      <c r="CG594" s="229">
        <v>35</v>
      </c>
      <c r="CH594" s="230">
        <f t="shared" si="628"/>
        <v>48</v>
      </c>
      <c r="CI594" s="235">
        <f t="shared" si="629"/>
        <v>3.0748170731707316</v>
      </c>
      <c r="CJ594" s="235" cm="1">
        <f t="array" ref="CJ594">$BI594 * SUMPRODUCT(INDEX($AR$77:$AT$82,,$AI594),INDEX($AU$77:$BA$82,,$AH594), N($AQ$77:$AQ$82&gt;$AO594)) / CI594 / 1000</f>
        <v>0</v>
      </c>
      <c r="CK594" s="232">
        <f t="shared" si="608"/>
        <v>30</v>
      </c>
      <c r="CL594" s="230">
        <f t="shared" si="630"/>
        <v>43</v>
      </c>
      <c r="CM594" s="235">
        <f t="shared" si="631"/>
        <v>3.5018750000000001</v>
      </c>
      <c r="CN594" s="235" cm="1">
        <f t="array" ref="CN594">$BI594 * IF($AH594&lt;=2,
SUMPRODUCT(INDEX($AR$72:$AT$76,,$AI594), INDEX($AU$72:$BA$76,,$AH594), 1 / ($BB$72:$BB$76*CM594 + (1-$BB$72:$BB$76)*CI594), N($AQ$72:$AQ$76&gt;$AO594)),
SUMPRODUCT(INDEX($AR$67:$AT$76,,$AI594), INDEX($AU$67:$BA$76,,$AH594), 1 / ($BC$67:$BC$76*CM594 + (1-$BC$67:$BC$76)*CI594), N($AQ$67:$AQ$76&gt;$AO594))
) / 1000</f>
        <v>0</v>
      </c>
      <c r="CO594" s="232">
        <f t="shared" si="609"/>
        <v>25</v>
      </c>
      <c r="CP594" s="230">
        <f t="shared" si="632"/>
        <v>38</v>
      </c>
      <c r="CQ594" s="235">
        <f t="shared" si="633"/>
        <v>4.0666935483870965</v>
      </c>
      <c r="CR594" s="235" cm="1">
        <f t="array" ref="CR594">$BI594 * IF($AH594&lt;=2,
SUMPRODUCT(INDEX($AR$67:$AT$71,,$AI594), INDEX($AU$67:$BA$71,,$AH594), 1 / ($BB$67:$BB$71*CQ594 + (1-$BB$67:$BB$71)*CM594), N($AQ$67:$AQ$71&gt;$AO594)),
SUMPRODUCT(INDEX($AR$57:$AT$66,,$AI594), INDEX($AU$57:$BA$66,,$AH594), 1 / ($BC$57:$BC$66*CQ594 + (1-$BC$57:$BC$66)*CM594), N($AQ$57:$AQ$66&gt;$AO594))
) / 1000</f>
        <v>0</v>
      </c>
      <c r="CS594" s="232">
        <f t="shared" si="610"/>
        <v>20</v>
      </c>
      <c r="CT594" s="230">
        <f t="shared" si="634"/>
        <v>33</v>
      </c>
      <c r="CU594" s="235">
        <f t="shared" si="635"/>
        <v>4.8487499999999999</v>
      </c>
      <c r="CV594" s="235" cm="1">
        <f t="array" ref="CV594">$BI594 * IF($AH594&lt;=2,
SUMPRODUCT(INDEX($AR$62:$AT$66,,$AI594), INDEX($AU$62:$BA$66,,$AH594), 1 / ($BB$62:$BB$66*CU594 + (1-$BB$62:$BB$66)*CQ594), N($AQ$62:$AQ$66&gt;$AO594)),
SUMPRODUCT(INDEX($AR$47:$AT$56,,$AI594), INDEX($AU$47:$BA$56,,$AH594), 1 / ($BC$47:$BC$56*CU594 + (1-$BC$47:$BC$56)*CQ594), N($AQ$47:$AQ$56&gt;$AO594))
) / 1000</f>
        <v>0</v>
      </c>
      <c r="CW594" s="235" cm="1">
        <f t="array" ref="CW594">$BI594 * IF($AH594&lt;=2,
SUMPRODUCT(INDEX($AR$23:$AT$61,,$AI594), INDEX($AU$23:$BA$61,,$AH594), 1 / ($BB$23:$BB$61*CU594), N($AQ$23:$AQ$61&gt;$AO594)),
SUMPRODUCT(INDEX($AR$23:$AT$46,,$AI594), INDEX($AU$23:$BA$46,,$AH594), 1 / ($BC$23:$BC$46*CU594), N($AQ$23:$AQ$46&gt;$AO594))
) / 1000</f>
        <v>0</v>
      </c>
      <c r="CX594" s="230">
        <f t="shared" si="636"/>
        <v>0</v>
      </c>
      <c r="CY594" s="238"/>
    </row>
    <row r="595" spans="1:103" s="76" customFormat="1" ht="14.25" customHeight="1" x14ac:dyDescent="0.2">
      <c r="A595" s="231" t="b">
        <f t="shared" si="602"/>
        <v>0</v>
      </c>
      <c r="B595" s="245">
        <v>573</v>
      </c>
      <c r="C595" s="258"/>
      <c r="D595" s="258"/>
      <c r="E595" s="246"/>
      <c r="F595" s="247" t="str">
        <f>IF(ISBLANK(E595), "", VLOOKUP(E595, Z!$A$2:$C$4127, 3, FALSE))</f>
        <v/>
      </c>
      <c r="G595" s="248"/>
      <c r="H595" s="248"/>
      <c r="I595" s="249"/>
      <c r="J595" s="250"/>
      <c r="K595" s="259"/>
      <c r="L595" s="260"/>
      <c r="M595" s="252" t="str" cm="1">
        <f t="array" ref="M595">INDEX(Trad, 53, $A$20)</f>
        <v>Verschmutzt</v>
      </c>
      <c r="N595" s="253"/>
      <c r="O595" s="253"/>
      <c r="P595" s="254"/>
      <c r="Q595" s="251"/>
      <c r="R595" s="251"/>
      <c r="S595" s="264">
        <f t="shared" si="611"/>
        <v>0</v>
      </c>
      <c r="T595" s="252" t="str" cm="1">
        <f t="array" ref="T595">INDEX(Trad, 52, $A$20)</f>
        <v>Sauber</v>
      </c>
      <c r="U595" s="253"/>
      <c r="V595" s="253"/>
      <c r="W595" s="254"/>
      <c r="X595" s="251"/>
      <c r="Y595" s="251"/>
      <c r="Z595" s="264">
        <f t="shared" si="612"/>
        <v>0</v>
      </c>
      <c r="AA595" s="261"/>
      <c r="AB595" s="258"/>
      <c r="AC595" s="246"/>
      <c r="AD595" s="247" t="str">
        <f>IF(ISBLANK(AC595), "", VLOOKUP(AC595, Z!$A$2:$C$4127, 3, FALSE))</f>
        <v/>
      </c>
      <c r="AE595" s="262"/>
      <c r="AF595" s="263">
        <f t="shared" si="613"/>
        <v>0</v>
      </c>
      <c r="AG595" s="238"/>
      <c r="AH595" s="229">
        <f t="shared" si="637"/>
        <v>1</v>
      </c>
      <c r="AI595" s="229">
        <f t="shared" si="638"/>
        <v>1</v>
      </c>
      <c r="AJ595" s="229">
        <f t="shared" si="639"/>
        <v>0</v>
      </c>
      <c r="AK595" s="229">
        <v>0</v>
      </c>
      <c r="AL595" s="229">
        <v>0</v>
      </c>
      <c r="AM595" s="229">
        <v>1</v>
      </c>
      <c r="AN595" s="229">
        <v>0</v>
      </c>
      <c r="AO595" s="229">
        <f t="shared" si="614"/>
        <v>-100</v>
      </c>
      <c r="AP595" s="238"/>
      <c r="AQ595" s="255"/>
      <c r="AR595" s="255"/>
      <c r="AS595" s="256"/>
      <c r="AT595" s="256"/>
      <c r="AU595" s="256"/>
      <c r="AV595" s="256"/>
      <c r="AW595" s="256"/>
      <c r="AX595" s="256"/>
      <c r="AY595" s="256"/>
      <c r="AZ595" s="256"/>
      <c r="BA595" s="256"/>
      <c r="BB595" s="256"/>
      <c r="BC595" s="256"/>
      <c r="BD595" s="238"/>
      <c r="BE595" s="229" cm="1">
        <f t="array" ref="BE595">IF(ISBLANK(R595), INDEX(Use, $AH595, 4) - AM595*INDEX(Use, $AH595, 6), R595)</f>
        <v>5</v>
      </c>
      <c r="BF595" s="229">
        <f t="shared" si="615"/>
        <v>30</v>
      </c>
      <c r="BG595" s="229">
        <f t="shared" si="603"/>
        <v>13</v>
      </c>
      <c r="BH595" s="229">
        <f t="shared" si="604"/>
        <v>0</v>
      </c>
      <c r="BI595" s="234" cm="1">
        <f t="array" ref="BI595">K595/IF($L595&gt;0, INDEX($AU$23:$BA$77, $L595+20, $AH595), 1)</f>
        <v>0</v>
      </c>
      <c r="BJ595" s="230">
        <f t="shared" si="616"/>
        <v>0</v>
      </c>
      <c r="BK595" s="229">
        <v>35</v>
      </c>
      <c r="BL595" s="230">
        <f t="shared" si="617"/>
        <v>48</v>
      </c>
      <c r="BM595" s="235">
        <f t="shared" si="618"/>
        <v>2.9108720930232557</v>
      </c>
      <c r="BN595" s="235" cm="1">
        <f t="array" ref="BN595">$BI595 * SUMPRODUCT(INDEX($AR$77:$AT$82,,$AI595),INDEX($AU$77:$BA$82,,$AH595), N($AQ$77:$AQ$82&gt;$AO595)) / BM595 / 1000</f>
        <v>0</v>
      </c>
      <c r="BO595" s="232">
        <f t="shared" si="605"/>
        <v>30</v>
      </c>
      <c r="BP595" s="230">
        <f t="shared" si="619"/>
        <v>43</v>
      </c>
      <c r="BQ595" s="235">
        <f t="shared" si="620"/>
        <v>3.2938815789473681</v>
      </c>
      <c r="BR595" s="235" cm="1">
        <f t="array" ref="BR595">$BI595 * IF($AH595&lt;=2,
SUMPRODUCT(INDEX($AR$72:$AT$76,,$AI595), INDEX($AU$72:$BA$76,,$AH595), 1 / ($BB$72:$BB$76*BQ595 + (1-$BB$72:$BB$76)*BM595), N($AQ$72:$AQ$76&gt;$AO595)),
SUMPRODUCT(INDEX($AR$67:$AT$76,,$AI595), INDEX($AU$67:$BA$76,,$AH595), 1 / ($BC$67:$BC$76*BQ595 + (1-$BC$67:$BC$76)*BM595), N($AQ$67:$AQ$76&gt;$AO595))
) / 1000</f>
        <v>0</v>
      </c>
      <c r="BS595" s="232">
        <f t="shared" si="606"/>
        <v>25</v>
      </c>
      <c r="BT595" s="230">
        <f t="shared" si="621"/>
        <v>38</v>
      </c>
      <c r="BU595" s="235">
        <f t="shared" si="622"/>
        <v>3.792954545454545</v>
      </c>
      <c r="BV595" s="235" cm="1">
        <f t="array" ref="BV595">$BI595 * IF($AH595&lt;=2,
SUMPRODUCT(INDEX($AR$67:$AT$71,,$AI595), INDEX($AU$67:$BA$71,,$AH595), 1 / ($BB$67:$BB$71*BU595 + (1-$BB$67:$BB$71)*BQ595), N($AQ$67:$AQ$71&gt;$AO595)),
SUMPRODUCT(INDEX($AR$57:$AT$66,,$AI595), INDEX($AU$57:$BA$66,,$AH595), 1 / ($BC$57:$BC$66*BU595 + (1-$BC$57:$BC$66)*BQ595), N($AQ$57:$AQ$66&gt;$AO595))
) / 1000</f>
        <v>0</v>
      </c>
      <c r="BW595" s="232">
        <f t="shared" si="607"/>
        <v>20</v>
      </c>
      <c r="BX595" s="230">
        <f t="shared" si="623"/>
        <v>33</v>
      </c>
      <c r="BY595" s="235">
        <f t="shared" si="624"/>
        <v>4.4702678571428569</v>
      </c>
      <c r="BZ595" s="235" cm="1">
        <f t="array" ref="BZ595">$BI595 * IF($AH595&lt;=2,
SUMPRODUCT(INDEX($AR$62:$AT$66,,$AI595), INDEX($AU$62:$BA$66,,$AH595), 1 / ($BB$62:$BB$66*BY595 + (1-$BB$62:$BB$66)*BU595), N($AQ$62:$AQ$66&gt;$AO595)),
SUMPRODUCT(INDEX($AR$47:$AT$56,,$AI595), INDEX($AU$47:$BA$56,,$AH595), 1 / ($BC$47:$BC$56*BY595 + (1-$BC$47:$BC$56)*BU595), N($AQ$47:$AQ$56&gt;$AO595))
) / 1000</f>
        <v>0</v>
      </c>
      <c r="CA595" s="235" cm="1">
        <f t="array" ref="CA595">$BI595 * IF($AH595&lt;=2,
SUMPRODUCT(INDEX($AR$23:$AT$61,,$AI595), INDEX($AU$23:$BA$61,,$AH595), 1 / ($BB$23:$BB$61*BY595), N($AQ$23:$AQ$61&gt;$AO595)),
SUMPRODUCT(INDEX($AR$23:$AT$46,,$AI595), INDEX($AU$23:$BA$46,,$AH595), 1 / ($BC$23:$BC$46*BY595), N($AQ$23:$AQ$46&gt;$AO595))
) / 1000</f>
        <v>0</v>
      </c>
      <c r="CB595" s="230">
        <f t="shared" si="625"/>
        <v>0</v>
      </c>
      <c r="CC595" s="238"/>
      <c r="CD595" s="229" cm="1">
        <f t="array" ref="CD595">IF(ISBLANK(Y595), INDEX(Use, $AH595, 4) - AN595*INDEX(Use, $AH595, 6) - (Q595-X595), Y595)</f>
        <v>7</v>
      </c>
      <c r="CE595" s="229">
        <f t="shared" si="626"/>
        <v>32</v>
      </c>
      <c r="CF595" s="230">
        <f t="shared" si="627"/>
        <v>0</v>
      </c>
      <c r="CG595" s="229">
        <v>35</v>
      </c>
      <c r="CH595" s="230">
        <f t="shared" si="628"/>
        <v>48</v>
      </c>
      <c r="CI595" s="235">
        <f t="shared" si="629"/>
        <v>3.0748170731707316</v>
      </c>
      <c r="CJ595" s="235" cm="1">
        <f t="array" ref="CJ595">$BI595 * SUMPRODUCT(INDEX($AR$77:$AT$82,,$AI595),INDEX($AU$77:$BA$82,,$AH595), N($AQ$77:$AQ$82&gt;$AO595)) / CI595 / 1000</f>
        <v>0</v>
      </c>
      <c r="CK595" s="232">
        <f t="shared" si="608"/>
        <v>30</v>
      </c>
      <c r="CL595" s="230">
        <f t="shared" si="630"/>
        <v>43</v>
      </c>
      <c r="CM595" s="235">
        <f t="shared" si="631"/>
        <v>3.5018750000000001</v>
      </c>
      <c r="CN595" s="235" cm="1">
        <f t="array" ref="CN595">$BI595 * IF($AH595&lt;=2,
SUMPRODUCT(INDEX($AR$72:$AT$76,,$AI595), INDEX($AU$72:$BA$76,,$AH595), 1 / ($BB$72:$BB$76*CM595 + (1-$BB$72:$BB$76)*CI595), N($AQ$72:$AQ$76&gt;$AO595)),
SUMPRODUCT(INDEX($AR$67:$AT$76,,$AI595), INDEX($AU$67:$BA$76,,$AH595), 1 / ($BC$67:$BC$76*CM595 + (1-$BC$67:$BC$76)*CI595), N($AQ$67:$AQ$76&gt;$AO595))
) / 1000</f>
        <v>0</v>
      </c>
      <c r="CO595" s="232">
        <f t="shared" si="609"/>
        <v>25</v>
      </c>
      <c r="CP595" s="230">
        <f t="shared" si="632"/>
        <v>38</v>
      </c>
      <c r="CQ595" s="235">
        <f t="shared" si="633"/>
        <v>4.0666935483870965</v>
      </c>
      <c r="CR595" s="235" cm="1">
        <f t="array" ref="CR595">$BI595 * IF($AH595&lt;=2,
SUMPRODUCT(INDEX($AR$67:$AT$71,,$AI595), INDEX($AU$67:$BA$71,,$AH595), 1 / ($BB$67:$BB$71*CQ595 + (1-$BB$67:$BB$71)*CM595), N($AQ$67:$AQ$71&gt;$AO595)),
SUMPRODUCT(INDEX($AR$57:$AT$66,,$AI595), INDEX($AU$57:$BA$66,,$AH595), 1 / ($BC$57:$BC$66*CQ595 + (1-$BC$57:$BC$66)*CM595), N($AQ$57:$AQ$66&gt;$AO595))
) / 1000</f>
        <v>0</v>
      </c>
      <c r="CS595" s="232">
        <f t="shared" si="610"/>
        <v>20</v>
      </c>
      <c r="CT595" s="230">
        <f t="shared" si="634"/>
        <v>33</v>
      </c>
      <c r="CU595" s="235">
        <f t="shared" si="635"/>
        <v>4.8487499999999999</v>
      </c>
      <c r="CV595" s="235" cm="1">
        <f t="array" ref="CV595">$BI595 * IF($AH595&lt;=2,
SUMPRODUCT(INDEX($AR$62:$AT$66,,$AI595), INDEX($AU$62:$BA$66,,$AH595), 1 / ($BB$62:$BB$66*CU595 + (1-$BB$62:$BB$66)*CQ595), N($AQ$62:$AQ$66&gt;$AO595)),
SUMPRODUCT(INDEX($AR$47:$AT$56,,$AI595), INDEX($AU$47:$BA$56,,$AH595), 1 / ($BC$47:$BC$56*CU595 + (1-$BC$47:$BC$56)*CQ595), N($AQ$47:$AQ$56&gt;$AO595))
) / 1000</f>
        <v>0</v>
      </c>
      <c r="CW595" s="235" cm="1">
        <f t="array" ref="CW595">$BI595 * IF($AH595&lt;=2,
SUMPRODUCT(INDEX($AR$23:$AT$61,,$AI595), INDEX($AU$23:$BA$61,,$AH595), 1 / ($BB$23:$BB$61*CU595), N($AQ$23:$AQ$61&gt;$AO595)),
SUMPRODUCT(INDEX($AR$23:$AT$46,,$AI595), INDEX($AU$23:$BA$46,,$AH595), 1 / ($BC$23:$BC$46*CU595), N($AQ$23:$AQ$46&gt;$AO595))
) / 1000</f>
        <v>0</v>
      </c>
      <c r="CX595" s="230">
        <f t="shared" si="636"/>
        <v>0</v>
      </c>
      <c r="CY595" s="238"/>
    </row>
    <row r="596" spans="1:103" s="76" customFormat="1" ht="14.25" customHeight="1" x14ac:dyDescent="0.2">
      <c r="A596" s="231" t="b">
        <f t="shared" si="602"/>
        <v>0</v>
      </c>
      <c r="B596" s="245">
        <v>574</v>
      </c>
      <c r="C596" s="258"/>
      <c r="D596" s="258"/>
      <c r="E596" s="246"/>
      <c r="F596" s="247" t="str">
        <f>IF(ISBLANK(E596), "", VLOOKUP(E596, Z!$A$2:$C$4127, 3, FALSE))</f>
        <v/>
      </c>
      <c r="G596" s="248"/>
      <c r="H596" s="248"/>
      <c r="I596" s="249"/>
      <c r="J596" s="250"/>
      <c r="K596" s="259"/>
      <c r="L596" s="260"/>
      <c r="M596" s="252" t="str" cm="1">
        <f t="array" ref="M596">INDEX(Trad, 53, $A$20)</f>
        <v>Verschmutzt</v>
      </c>
      <c r="N596" s="253"/>
      <c r="O596" s="253"/>
      <c r="P596" s="254"/>
      <c r="Q596" s="251"/>
      <c r="R596" s="251"/>
      <c r="S596" s="264">
        <f t="shared" si="611"/>
        <v>0</v>
      </c>
      <c r="T596" s="252" t="str" cm="1">
        <f t="array" ref="T596">INDEX(Trad, 52, $A$20)</f>
        <v>Sauber</v>
      </c>
      <c r="U596" s="253"/>
      <c r="V596" s="253"/>
      <c r="W596" s="254"/>
      <c r="X596" s="251"/>
      <c r="Y596" s="251"/>
      <c r="Z596" s="264">
        <f t="shared" si="612"/>
        <v>0</v>
      </c>
      <c r="AA596" s="261"/>
      <c r="AB596" s="258"/>
      <c r="AC596" s="246"/>
      <c r="AD596" s="247" t="str">
        <f>IF(ISBLANK(AC596), "", VLOOKUP(AC596, Z!$A$2:$C$4127, 3, FALSE))</f>
        <v/>
      </c>
      <c r="AE596" s="262"/>
      <c r="AF596" s="263">
        <f t="shared" si="613"/>
        <v>0</v>
      </c>
      <c r="AG596" s="238"/>
      <c r="AH596" s="229">
        <f t="shared" si="637"/>
        <v>1</v>
      </c>
      <c r="AI596" s="229">
        <f t="shared" si="638"/>
        <v>1</v>
      </c>
      <c r="AJ596" s="229">
        <f t="shared" si="639"/>
        <v>0</v>
      </c>
      <c r="AK596" s="229">
        <v>0</v>
      </c>
      <c r="AL596" s="229">
        <v>0</v>
      </c>
      <c r="AM596" s="229">
        <v>1</v>
      </c>
      <c r="AN596" s="229">
        <v>0</v>
      </c>
      <c r="AO596" s="229">
        <f t="shared" si="614"/>
        <v>-100</v>
      </c>
      <c r="AP596" s="238"/>
      <c r="AQ596" s="255"/>
      <c r="AR596" s="255"/>
      <c r="AS596" s="256"/>
      <c r="AT596" s="256"/>
      <c r="AU596" s="256"/>
      <c r="AV596" s="256"/>
      <c r="AW596" s="256"/>
      <c r="AX596" s="256"/>
      <c r="AY596" s="256"/>
      <c r="AZ596" s="256"/>
      <c r="BA596" s="256"/>
      <c r="BB596" s="256"/>
      <c r="BC596" s="256"/>
      <c r="BD596" s="238"/>
      <c r="BE596" s="229" cm="1">
        <f t="array" ref="BE596">IF(ISBLANK(R596), INDEX(Use, $AH596, 4) - AM596*INDEX(Use, $AH596, 6), R596)</f>
        <v>5</v>
      </c>
      <c r="BF596" s="229">
        <f t="shared" si="615"/>
        <v>30</v>
      </c>
      <c r="BG596" s="229">
        <f t="shared" si="603"/>
        <v>13</v>
      </c>
      <c r="BH596" s="229">
        <f t="shared" si="604"/>
        <v>0</v>
      </c>
      <c r="BI596" s="234" cm="1">
        <f t="array" ref="BI596">K596/IF($L596&gt;0, INDEX($AU$23:$BA$77, $L596+20, $AH596), 1)</f>
        <v>0</v>
      </c>
      <c r="BJ596" s="230">
        <f t="shared" si="616"/>
        <v>0</v>
      </c>
      <c r="BK596" s="229">
        <v>35</v>
      </c>
      <c r="BL596" s="230">
        <f t="shared" si="617"/>
        <v>48</v>
      </c>
      <c r="BM596" s="235">
        <f t="shared" si="618"/>
        <v>2.9108720930232557</v>
      </c>
      <c r="BN596" s="235" cm="1">
        <f t="array" ref="BN596">$BI596 * SUMPRODUCT(INDEX($AR$77:$AT$82,,$AI596),INDEX($AU$77:$BA$82,,$AH596), N($AQ$77:$AQ$82&gt;$AO596)) / BM596 / 1000</f>
        <v>0</v>
      </c>
      <c r="BO596" s="232">
        <f t="shared" si="605"/>
        <v>30</v>
      </c>
      <c r="BP596" s="230">
        <f t="shared" si="619"/>
        <v>43</v>
      </c>
      <c r="BQ596" s="235">
        <f t="shared" si="620"/>
        <v>3.2938815789473681</v>
      </c>
      <c r="BR596" s="235" cm="1">
        <f t="array" ref="BR596">$BI596 * IF($AH596&lt;=2,
SUMPRODUCT(INDEX($AR$72:$AT$76,,$AI596), INDEX($AU$72:$BA$76,,$AH596), 1 / ($BB$72:$BB$76*BQ596 + (1-$BB$72:$BB$76)*BM596), N($AQ$72:$AQ$76&gt;$AO596)),
SUMPRODUCT(INDEX($AR$67:$AT$76,,$AI596), INDEX($AU$67:$BA$76,,$AH596), 1 / ($BC$67:$BC$76*BQ596 + (1-$BC$67:$BC$76)*BM596), N($AQ$67:$AQ$76&gt;$AO596))
) / 1000</f>
        <v>0</v>
      </c>
      <c r="BS596" s="232">
        <f t="shared" si="606"/>
        <v>25</v>
      </c>
      <c r="BT596" s="230">
        <f t="shared" si="621"/>
        <v>38</v>
      </c>
      <c r="BU596" s="235">
        <f t="shared" si="622"/>
        <v>3.792954545454545</v>
      </c>
      <c r="BV596" s="235" cm="1">
        <f t="array" ref="BV596">$BI596 * IF($AH596&lt;=2,
SUMPRODUCT(INDEX($AR$67:$AT$71,,$AI596), INDEX($AU$67:$BA$71,,$AH596), 1 / ($BB$67:$BB$71*BU596 + (1-$BB$67:$BB$71)*BQ596), N($AQ$67:$AQ$71&gt;$AO596)),
SUMPRODUCT(INDEX($AR$57:$AT$66,,$AI596), INDEX($AU$57:$BA$66,,$AH596), 1 / ($BC$57:$BC$66*BU596 + (1-$BC$57:$BC$66)*BQ596), N($AQ$57:$AQ$66&gt;$AO596))
) / 1000</f>
        <v>0</v>
      </c>
      <c r="BW596" s="232">
        <f t="shared" si="607"/>
        <v>20</v>
      </c>
      <c r="BX596" s="230">
        <f t="shared" si="623"/>
        <v>33</v>
      </c>
      <c r="BY596" s="235">
        <f t="shared" si="624"/>
        <v>4.4702678571428569</v>
      </c>
      <c r="BZ596" s="235" cm="1">
        <f t="array" ref="BZ596">$BI596 * IF($AH596&lt;=2,
SUMPRODUCT(INDEX($AR$62:$AT$66,,$AI596), INDEX($AU$62:$BA$66,,$AH596), 1 / ($BB$62:$BB$66*BY596 + (1-$BB$62:$BB$66)*BU596), N($AQ$62:$AQ$66&gt;$AO596)),
SUMPRODUCT(INDEX($AR$47:$AT$56,,$AI596), INDEX($AU$47:$BA$56,,$AH596), 1 / ($BC$47:$BC$56*BY596 + (1-$BC$47:$BC$56)*BU596), N($AQ$47:$AQ$56&gt;$AO596))
) / 1000</f>
        <v>0</v>
      </c>
      <c r="CA596" s="235" cm="1">
        <f t="array" ref="CA596">$BI596 * IF($AH596&lt;=2,
SUMPRODUCT(INDEX($AR$23:$AT$61,,$AI596), INDEX($AU$23:$BA$61,,$AH596), 1 / ($BB$23:$BB$61*BY596), N($AQ$23:$AQ$61&gt;$AO596)),
SUMPRODUCT(INDEX($AR$23:$AT$46,,$AI596), INDEX($AU$23:$BA$46,,$AH596), 1 / ($BC$23:$BC$46*BY596), N($AQ$23:$AQ$46&gt;$AO596))
) / 1000</f>
        <v>0</v>
      </c>
      <c r="CB596" s="230">
        <f t="shared" si="625"/>
        <v>0</v>
      </c>
      <c r="CC596" s="238"/>
      <c r="CD596" s="229" cm="1">
        <f t="array" ref="CD596">IF(ISBLANK(Y596), INDEX(Use, $AH596, 4) - AN596*INDEX(Use, $AH596, 6) - (Q596-X596), Y596)</f>
        <v>7</v>
      </c>
      <c r="CE596" s="229">
        <f t="shared" si="626"/>
        <v>32</v>
      </c>
      <c r="CF596" s="230">
        <f t="shared" si="627"/>
        <v>0</v>
      </c>
      <c r="CG596" s="229">
        <v>35</v>
      </c>
      <c r="CH596" s="230">
        <f t="shared" si="628"/>
        <v>48</v>
      </c>
      <c r="CI596" s="235">
        <f t="shared" si="629"/>
        <v>3.0748170731707316</v>
      </c>
      <c r="CJ596" s="235" cm="1">
        <f t="array" ref="CJ596">$BI596 * SUMPRODUCT(INDEX($AR$77:$AT$82,,$AI596),INDEX($AU$77:$BA$82,,$AH596), N($AQ$77:$AQ$82&gt;$AO596)) / CI596 / 1000</f>
        <v>0</v>
      </c>
      <c r="CK596" s="232">
        <f t="shared" si="608"/>
        <v>30</v>
      </c>
      <c r="CL596" s="230">
        <f t="shared" si="630"/>
        <v>43</v>
      </c>
      <c r="CM596" s="235">
        <f t="shared" si="631"/>
        <v>3.5018750000000001</v>
      </c>
      <c r="CN596" s="235" cm="1">
        <f t="array" ref="CN596">$BI596 * IF($AH596&lt;=2,
SUMPRODUCT(INDEX($AR$72:$AT$76,,$AI596), INDEX($AU$72:$BA$76,,$AH596), 1 / ($BB$72:$BB$76*CM596 + (1-$BB$72:$BB$76)*CI596), N($AQ$72:$AQ$76&gt;$AO596)),
SUMPRODUCT(INDEX($AR$67:$AT$76,,$AI596), INDEX($AU$67:$BA$76,,$AH596), 1 / ($BC$67:$BC$76*CM596 + (1-$BC$67:$BC$76)*CI596), N($AQ$67:$AQ$76&gt;$AO596))
) / 1000</f>
        <v>0</v>
      </c>
      <c r="CO596" s="232">
        <f t="shared" si="609"/>
        <v>25</v>
      </c>
      <c r="CP596" s="230">
        <f t="shared" si="632"/>
        <v>38</v>
      </c>
      <c r="CQ596" s="235">
        <f t="shared" si="633"/>
        <v>4.0666935483870965</v>
      </c>
      <c r="CR596" s="235" cm="1">
        <f t="array" ref="CR596">$BI596 * IF($AH596&lt;=2,
SUMPRODUCT(INDEX($AR$67:$AT$71,,$AI596), INDEX($AU$67:$BA$71,,$AH596), 1 / ($BB$67:$BB$71*CQ596 + (1-$BB$67:$BB$71)*CM596), N($AQ$67:$AQ$71&gt;$AO596)),
SUMPRODUCT(INDEX($AR$57:$AT$66,,$AI596), INDEX($AU$57:$BA$66,,$AH596), 1 / ($BC$57:$BC$66*CQ596 + (1-$BC$57:$BC$66)*CM596), N($AQ$57:$AQ$66&gt;$AO596))
) / 1000</f>
        <v>0</v>
      </c>
      <c r="CS596" s="232">
        <f t="shared" si="610"/>
        <v>20</v>
      </c>
      <c r="CT596" s="230">
        <f t="shared" si="634"/>
        <v>33</v>
      </c>
      <c r="CU596" s="235">
        <f t="shared" si="635"/>
        <v>4.8487499999999999</v>
      </c>
      <c r="CV596" s="235" cm="1">
        <f t="array" ref="CV596">$BI596 * IF($AH596&lt;=2,
SUMPRODUCT(INDEX($AR$62:$AT$66,,$AI596), INDEX($AU$62:$BA$66,,$AH596), 1 / ($BB$62:$BB$66*CU596 + (1-$BB$62:$BB$66)*CQ596), N($AQ$62:$AQ$66&gt;$AO596)),
SUMPRODUCT(INDEX($AR$47:$AT$56,,$AI596), INDEX($AU$47:$BA$56,,$AH596), 1 / ($BC$47:$BC$56*CU596 + (1-$BC$47:$BC$56)*CQ596), N($AQ$47:$AQ$56&gt;$AO596))
) / 1000</f>
        <v>0</v>
      </c>
      <c r="CW596" s="235" cm="1">
        <f t="array" ref="CW596">$BI596 * IF($AH596&lt;=2,
SUMPRODUCT(INDEX($AR$23:$AT$61,,$AI596), INDEX($AU$23:$BA$61,,$AH596), 1 / ($BB$23:$BB$61*CU596), N($AQ$23:$AQ$61&gt;$AO596)),
SUMPRODUCT(INDEX($AR$23:$AT$46,,$AI596), INDEX($AU$23:$BA$46,,$AH596), 1 / ($BC$23:$BC$46*CU596), N($AQ$23:$AQ$46&gt;$AO596))
) / 1000</f>
        <v>0</v>
      </c>
      <c r="CX596" s="230">
        <f t="shared" si="636"/>
        <v>0</v>
      </c>
      <c r="CY596" s="238"/>
    </row>
    <row r="597" spans="1:103" s="76" customFormat="1" ht="14.25" customHeight="1" x14ac:dyDescent="0.2">
      <c r="A597" s="231" t="b">
        <f t="shared" si="602"/>
        <v>0</v>
      </c>
      <c r="B597" s="245">
        <v>575</v>
      </c>
      <c r="C597" s="258"/>
      <c r="D597" s="258"/>
      <c r="E597" s="246"/>
      <c r="F597" s="247" t="str">
        <f>IF(ISBLANK(E597), "", VLOOKUP(E597, Z!$A$2:$C$4127, 3, FALSE))</f>
        <v/>
      </c>
      <c r="G597" s="248"/>
      <c r="H597" s="248"/>
      <c r="I597" s="249"/>
      <c r="J597" s="250"/>
      <c r="K597" s="259"/>
      <c r="L597" s="260"/>
      <c r="M597" s="252" t="str" cm="1">
        <f t="array" ref="M597">INDEX(Trad, 53, $A$20)</f>
        <v>Verschmutzt</v>
      </c>
      <c r="N597" s="253"/>
      <c r="O597" s="253"/>
      <c r="P597" s="254"/>
      <c r="Q597" s="251"/>
      <c r="R597" s="251"/>
      <c r="S597" s="264">
        <f t="shared" si="611"/>
        <v>0</v>
      </c>
      <c r="T597" s="252" t="str" cm="1">
        <f t="array" ref="T597">INDEX(Trad, 52, $A$20)</f>
        <v>Sauber</v>
      </c>
      <c r="U597" s="253"/>
      <c r="V597" s="253"/>
      <c r="W597" s="254"/>
      <c r="X597" s="251"/>
      <c r="Y597" s="251"/>
      <c r="Z597" s="264">
        <f t="shared" si="612"/>
        <v>0</v>
      </c>
      <c r="AA597" s="261"/>
      <c r="AB597" s="258"/>
      <c r="AC597" s="246"/>
      <c r="AD597" s="247" t="str">
        <f>IF(ISBLANK(AC597), "", VLOOKUP(AC597, Z!$A$2:$C$4127, 3, FALSE))</f>
        <v/>
      </c>
      <c r="AE597" s="262"/>
      <c r="AF597" s="263">
        <f t="shared" si="613"/>
        <v>0</v>
      </c>
      <c r="AG597" s="238"/>
      <c r="AH597" s="229">
        <f t="shared" si="637"/>
        <v>1</v>
      </c>
      <c r="AI597" s="229">
        <f t="shared" si="638"/>
        <v>1</v>
      </c>
      <c r="AJ597" s="229">
        <f t="shared" si="639"/>
        <v>0</v>
      </c>
      <c r="AK597" s="229">
        <v>0</v>
      </c>
      <c r="AL597" s="229">
        <v>0</v>
      </c>
      <c r="AM597" s="229">
        <v>1</v>
      </c>
      <c r="AN597" s="229">
        <v>0</v>
      </c>
      <c r="AO597" s="229">
        <f t="shared" si="614"/>
        <v>-100</v>
      </c>
      <c r="AP597" s="238"/>
      <c r="AQ597" s="255"/>
      <c r="AR597" s="255"/>
      <c r="AS597" s="256"/>
      <c r="AT597" s="256"/>
      <c r="AU597" s="256"/>
      <c r="AV597" s="256"/>
      <c r="AW597" s="256"/>
      <c r="AX597" s="256"/>
      <c r="AY597" s="256"/>
      <c r="AZ597" s="256"/>
      <c r="BA597" s="256"/>
      <c r="BB597" s="256"/>
      <c r="BC597" s="256"/>
      <c r="BD597" s="238"/>
      <c r="BE597" s="229" cm="1">
        <f t="array" ref="BE597">IF(ISBLANK(R597), INDEX(Use, $AH597, 4) - AM597*INDEX(Use, $AH597, 6), R597)</f>
        <v>5</v>
      </c>
      <c r="BF597" s="229">
        <f t="shared" si="615"/>
        <v>30</v>
      </c>
      <c r="BG597" s="229">
        <f t="shared" si="603"/>
        <v>13</v>
      </c>
      <c r="BH597" s="229">
        <f t="shared" si="604"/>
        <v>0</v>
      </c>
      <c r="BI597" s="234" cm="1">
        <f t="array" ref="BI597">K597/IF($L597&gt;0, INDEX($AU$23:$BA$77, $L597+20, $AH597), 1)</f>
        <v>0</v>
      </c>
      <c r="BJ597" s="230">
        <f t="shared" si="616"/>
        <v>0</v>
      </c>
      <c r="BK597" s="229">
        <v>35</v>
      </c>
      <c r="BL597" s="230">
        <f t="shared" si="617"/>
        <v>48</v>
      </c>
      <c r="BM597" s="235">
        <f t="shared" si="618"/>
        <v>2.9108720930232557</v>
      </c>
      <c r="BN597" s="235" cm="1">
        <f t="array" ref="BN597">$BI597 * SUMPRODUCT(INDEX($AR$77:$AT$82,,$AI597),INDEX($AU$77:$BA$82,,$AH597), N($AQ$77:$AQ$82&gt;$AO597)) / BM597 / 1000</f>
        <v>0</v>
      </c>
      <c r="BO597" s="232">
        <f t="shared" si="605"/>
        <v>30</v>
      </c>
      <c r="BP597" s="230">
        <f t="shared" si="619"/>
        <v>43</v>
      </c>
      <c r="BQ597" s="235">
        <f t="shared" si="620"/>
        <v>3.2938815789473681</v>
      </c>
      <c r="BR597" s="235" cm="1">
        <f t="array" ref="BR597">$BI597 * IF($AH597&lt;=2,
SUMPRODUCT(INDEX($AR$72:$AT$76,,$AI597), INDEX($AU$72:$BA$76,,$AH597), 1 / ($BB$72:$BB$76*BQ597 + (1-$BB$72:$BB$76)*BM597), N($AQ$72:$AQ$76&gt;$AO597)),
SUMPRODUCT(INDEX($AR$67:$AT$76,,$AI597), INDEX($AU$67:$BA$76,,$AH597), 1 / ($BC$67:$BC$76*BQ597 + (1-$BC$67:$BC$76)*BM597), N($AQ$67:$AQ$76&gt;$AO597))
) / 1000</f>
        <v>0</v>
      </c>
      <c r="BS597" s="232">
        <f t="shared" si="606"/>
        <v>25</v>
      </c>
      <c r="BT597" s="230">
        <f t="shared" si="621"/>
        <v>38</v>
      </c>
      <c r="BU597" s="235">
        <f t="shared" si="622"/>
        <v>3.792954545454545</v>
      </c>
      <c r="BV597" s="235" cm="1">
        <f t="array" ref="BV597">$BI597 * IF($AH597&lt;=2,
SUMPRODUCT(INDEX($AR$67:$AT$71,,$AI597), INDEX($AU$67:$BA$71,,$AH597), 1 / ($BB$67:$BB$71*BU597 + (1-$BB$67:$BB$71)*BQ597), N($AQ$67:$AQ$71&gt;$AO597)),
SUMPRODUCT(INDEX($AR$57:$AT$66,,$AI597), INDEX($AU$57:$BA$66,,$AH597), 1 / ($BC$57:$BC$66*BU597 + (1-$BC$57:$BC$66)*BQ597), N($AQ$57:$AQ$66&gt;$AO597))
) / 1000</f>
        <v>0</v>
      </c>
      <c r="BW597" s="232">
        <f t="shared" si="607"/>
        <v>20</v>
      </c>
      <c r="BX597" s="230">
        <f t="shared" si="623"/>
        <v>33</v>
      </c>
      <c r="BY597" s="235">
        <f t="shared" si="624"/>
        <v>4.4702678571428569</v>
      </c>
      <c r="BZ597" s="235" cm="1">
        <f t="array" ref="BZ597">$BI597 * IF($AH597&lt;=2,
SUMPRODUCT(INDEX($AR$62:$AT$66,,$AI597), INDEX($AU$62:$BA$66,,$AH597), 1 / ($BB$62:$BB$66*BY597 + (1-$BB$62:$BB$66)*BU597), N($AQ$62:$AQ$66&gt;$AO597)),
SUMPRODUCT(INDEX($AR$47:$AT$56,,$AI597), INDEX($AU$47:$BA$56,,$AH597), 1 / ($BC$47:$BC$56*BY597 + (1-$BC$47:$BC$56)*BU597), N($AQ$47:$AQ$56&gt;$AO597))
) / 1000</f>
        <v>0</v>
      </c>
      <c r="CA597" s="235" cm="1">
        <f t="array" ref="CA597">$BI597 * IF($AH597&lt;=2,
SUMPRODUCT(INDEX($AR$23:$AT$61,,$AI597), INDEX($AU$23:$BA$61,,$AH597), 1 / ($BB$23:$BB$61*BY597), N($AQ$23:$AQ$61&gt;$AO597)),
SUMPRODUCT(INDEX($AR$23:$AT$46,,$AI597), INDEX($AU$23:$BA$46,,$AH597), 1 / ($BC$23:$BC$46*BY597), N($AQ$23:$AQ$46&gt;$AO597))
) / 1000</f>
        <v>0</v>
      </c>
      <c r="CB597" s="230">
        <f t="shared" si="625"/>
        <v>0</v>
      </c>
      <c r="CC597" s="238"/>
      <c r="CD597" s="229" cm="1">
        <f t="array" ref="CD597">IF(ISBLANK(Y597), INDEX(Use, $AH597, 4) - AN597*INDEX(Use, $AH597, 6) - (Q597-X597), Y597)</f>
        <v>7</v>
      </c>
      <c r="CE597" s="229">
        <f t="shared" si="626"/>
        <v>32</v>
      </c>
      <c r="CF597" s="230">
        <f t="shared" si="627"/>
        <v>0</v>
      </c>
      <c r="CG597" s="229">
        <v>35</v>
      </c>
      <c r="CH597" s="230">
        <f t="shared" si="628"/>
        <v>48</v>
      </c>
      <c r="CI597" s="235">
        <f t="shared" si="629"/>
        <v>3.0748170731707316</v>
      </c>
      <c r="CJ597" s="235" cm="1">
        <f t="array" ref="CJ597">$BI597 * SUMPRODUCT(INDEX($AR$77:$AT$82,,$AI597),INDEX($AU$77:$BA$82,,$AH597), N($AQ$77:$AQ$82&gt;$AO597)) / CI597 / 1000</f>
        <v>0</v>
      </c>
      <c r="CK597" s="232">
        <f t="shared" si="608"/>
        <v>30</v>
      </c>
      <c r="CL597" s="230">
        <f t="shared" si="630"/>
        <v>43</v>
      </c>
      <c r="CM597" s="235">
        <f t="shared" si="631"/>
        <v>3.5018750000000001</v>
      </c>
      <c r="CN597" s="235" cm="1">
        <f t="array" ref="CN597">$BI597 * IF($AH597&lt;=2,
SUMPRODUCT(INDEX($AR$72:$AT$76,,$AI597), INDEX($AU$72:$BA$76,,$AH597), 1 / ($BB$72:$BB$76*CM597 + (1-$BB$72:$BB$76)*CI597), N($AQ$72:$AQ$76&gt;$AO597)),
SUMPRODUCT(INDEX($AR$67:$AT$76,,$AI597), INDEX($AU$67:$BA$76,,$AH597), 1 / ($BC$67:$BC$76*CM597 + (1-$BC$67:$BC$76)*CI597), N($AQ$67:$AQ$76&gt;$AO597))
) / 1000</f>
        <v>0</v>
      </c>
      <c r="CO597" s="232">
        <f t="shared" si="609"/>
        <v>25</v>
      </c>
      <c r="CP597" s="230">
        <f t="shared" si="632"/>
        <v>38</v>
      </c>
      <c r="CQ597" s="235">
        <f t="shared" si="633"/>
        <v>4.0666935483870965</v>
      </c>
      <c r="CR597" s="235" cm="1">
        <f t="array" ref="CR597">$BI597 * IF($AH597&lt;=2,
SUMPRODUCT(INDEX($AR$67:$AT$71,,$AI597), INDEX($AU$67:$BA$71,,$AH597), 1 / ($BB$67:$BB$71*CQ597 + (1-$BB$67:$BB$71)*CM597), N($AQ$67:$AQ$71&gt;$AO597)),
SUMPRODUCT(INDEX($AR$57:$AT$66,,$AI597), INDEX($AU$57:$BA$66,,$AH597), 1 / ($BC$57:$BC$66*CQ597 + (1-$BC$57:$BC$66)*CM597), N($AQ$57:$AQ$66&gt;$AO597))
) / 1000</f>
        <v>0</v>
      </c>
      <c r="CS597" s="232">
        <f t="shared" si="610"/>
        <v>20</v>
      </c>
      <c r="CT597" s="230">
        <f t="shared" si="634"/>
        <v>33</v>
      </c>
      <c r="CU597" s="235">
        <f t="shared" si="635"/>
        <v>4.8487499999999999</v>
      </c>
      <c r="CV597" s="235" cm="1">
        <f t="array" ref="CV597">$BI597 * IF($AH597&lt;=2,
SUMPRODUCT(INDEX($AR$62:$AT$66,,$AI597), INDEX($AU$62:$BA$66,,$AH597), 1 / ($BB$62:$BB$66*CU597 + (1-$BB$62:$BB$66)*CQ597), N($AQ$62:$AQ$66&gt;$AO597)),
SUMPRODUCT(INDEX($AR$47:$AT$56,,$AI597), INDEX($AU$47:$BA$56,,$AH597), 1 / ($BC$47:$BC$56*CU597 + (1-$BC$47:$BC$56)*CQ597), N($AQ$47:$AQ$56&gt;$AO597))
) / 1000</f>
        <v>0</v>
      </c>
      <c r="CW597" s="235" cm="1">
        <f t="array" ref="CW597">$BI597 * IF($AH597&lt;=2,
SUMPRODUCT(INDEX($AR$23:$AT$61,,$AI597), INDEX($AU$23:$BA$61,,$AH597), 1 / ($BB$23:$BB$61*CU597), N($AQ$23:$AQ$61&gt;$AO597)),
SUMPRODUCT(INDEX($AR$23:$AT$46,,$AI597), INDEX($AU$23:$BA$46,,$AH597), 1 / ($BC$23:$BC$46*CU597), N($AQ$23:$AQ$46&gt;$AO597))
) / 1000</f>
        <v>0</v>
      </c>
      <c r="CX597" s="230">
        <f t="shared" si="636"/>
        <v>0</v>
      </c>
      <c r="CY597" s="238"/>
    </row>
    <row r="598" spans="1:103" s="76" customFormat="1" ht="14.25" customHeight="1" x14ac:dyDescent="0.2">
      <c r="A598" s="231" t="b">
        <f t="shared" ref="A598:A661" si="640">IF(OR(AND($K598&gt;80, $AH598=1), AND($K598&gt;40, $AH598=3), AND($K598&gt;30, $AH598=4),), TRUE, FALSE)</f>
        <v>0</v>
      </c>
      <c r="B598" s="245">
        <v>576</v>
      </c>
      <c r="C598" s="258"/>
      <c r="D598" s="258"/>
      <c r="E598" s="246"/>
      <c r="F598" s="247" t="str">
        <f>IF(ISBLANK(E598), "", VLOOKUP(E598, Z!$A$2:$C$4127, 3, FALSE))</f>
        <v/>
      </c>
      <c r="G598" s="248"/>
      <c r="H598" s="248"/>
      <c r="I598" s="249"/>
      <c r="J598" s="250"/>
      <c r="K598" s="259"/>
      <c r="L598" s="260"/>
      <c r="M598" s="252" t="str" cm="1">
        <f t="array" ref="M598">INDEX(Trad, 53, $A$20)</f>
        <v>Verschmutzt</v>
      </c>
      <c r="N598" s="253"/>
      <c r="O598" s="253"/>
      <c r="P598" s="254"/>
      <c r="Q598" s="251"/>
      <c r="R598" s="251"/>
      <c r="S598" s="264">
        <f t="shared" si="611"/>
        <v>0</v>
      </c>
      <c r="T598" s="252" t="str" cm="1">
        <f t="array" ref="T598">INDEX(Trad, 52, $A$20)</f>
        <v>Sauber</v>
      </c>
      <c r="U598" s="253"/>
      <c r="V598" s="253"/>
      <c r="W598" s="254"/>
      <c r="X598" s="251"/>
      <c r="Y598" s="251"/>
      <c r="Z598" s="264">
        <f t="shared" si="612"/>
        <v>0</v>
      </c>
      <c r="AA598" s="261"/>
      <c r="AB598" s="258"/>
      <c r="AC598" s="246"/>
      <c r="AD598" s="247" t="str">
        <f>IF(ISBLANK(AC598), "", VLOOKUP(AC598, Z!$A$2:$C$4127, 3, FALSE))</f>
        <v/>
      </c>
      <c r="AE598" s="262"/>
      <c r="AF598" s="263">
        <f t="shared" si="613"/>
        <v>0</v>
      </c>
      <c r="AG598" s="238"/>
      <c r="AH598" s="229">
        <f t="shared" si="637"/>
        <v>1</v>
      </c>
      <c r="AI598" s="229">
        <f t="shared" si="638"/>
        <v>1</v>
      </c>
      <c r="AJ598" s="229">
        <f t="shared" si="639"/>
        <v>0</v>
      </c>
      <c r="AK598" s="229">
        <v>0</v>
      </c>
      <c r="AL598" s="229">
        <v>0</v>
      </c>
      <c r="AM598" s="229">
        <v>1</v>
      </c>
      <c r="AN598" s="229">
        <v>0</v>
      </c>
      <c r="AO598" s="229">
        <f t="shared" si="614"/>
        <v>-100</v>
      </c>
      <c r="AP598" s="238"/>
      <c r="AQ598" s="255"/>
      <c r="AR598" s="255"/>
      <c r="AS598" s="256"/>
      <c r="AT598" s="256"/>
      <c r="AU598" s="256"/>
      <c r="AV598" s="256"/>
      <c r="AW598" s="256"/>
      <c r="AX598" s="256"/>
      <c r="AY598" s="256"/>
      <c r="AZ598" s="256"/>
      <c r="BA598" s="256"/>
      <c r="BB598" s="256"/>
      <c r="BC598" s="256"/>
      <c r="BD598" s="238"/>
      <c r="BE598" s="229" cm="1">
        <f t="array" ref="BE598">IF(ISBLANK(R598), INDEX(Use, $AH598, 4) - AM598*INDEX(Use, $AH598, 6), R598)</f>
        <v>5</v>
      </c>
      <c r="BF598" s="229">
        <f t="shared" si="615"/>
        <v>30</v>
      </c>
      <c r="BG598" s="229">
        <f t="shared" si="603"/>
        <v>13</v>
      </c>
      <c r="BH598" s="229">
        <f t="shared" si="604"/>
        <v>0</v>
      </c>
      <c r="BI598" s="234" cm="1">
        <f t="array" ref="BI598">K598/IF($L598&gt;0, INDEX($AU$23:$BA$77, $L598+20, $AH598), 1)</f>
        <v>0</v>
      </c>
      <c r="BJ598" s="230">
        <f t="shared" si="616"/>
        <v>0</v>
      </c>
      <c r="BK598" s="229">
        <v>35</v>
      </c>
      <c r="BL598" s="230">
        <f t="shared" si="617"/>
        <v>48</v>
      </c>
      <c r="BM598" s="235">
        <f t="shared" si="618"/>
        <v>2.9108720930232557</v>
      </c>
      <c r="BN598" s="235" cm="1">
        <f t="array" ref="BN598">$BI598 * SUMPRODUCT(INDEX($AR$77:$AT$82,,$AI598),INDEX($AU$77:$BA$82,,$AH598), N($AQ$77:$AQ$82&gt;$AO598)) / BM598 / 1000</f>
        <v>0</v>
      </c>
      <c r="BO598" s="232">
        <f t="shared" si="605"/>
        <v>30</v>
      </c>
      <c r="BP598" s="230">
        <f t="shared" si="619"/>
        <v>43</v>
      </c>
      <c r="BQ598" s="235">
        <f t="shared" si="620"/>
        <v>3.2938815789473681</v>
      </c>
      <c r="BR598" s="235" cm="1">
        <f t="array" ref="BR598">$BI598 * IF($AH598&lt;=2,
SUMPRODUCT(INDEX($AR$72:$AT$76,,$AI598), INDEX($AU$72:$BA$76,,$AH598), 1 / ($BB$72:$BB$76*BQ598 + (1-$BB$72:$BB$76)*BM598), N($AQ$72:$AQ$76&gt;$AO598)),
SUMPRODUCT(INDEX($AR$67:$AT$76,,$AI598), INDEX($AU$67:$BA$76,,$AH598), 1 / ($BC$67:$BC$76*BQ598 + (1-$BC$67:$BC$76)*BM598), N($AQ$67:$AQ$76&gt;$AO598))
) / 1000</f>
        <v>0</v>
      </c>
      <c r="BS598" s="232">
        <f t="shared" si="606"/>
        <v>25</v>
      </c>
      <c r="BT598" s="230">
        <f t="shared" si="621"/>
        <v>38</v>
      </c>
      <c r="BU598" s="235">
        <f t="shared" si="622"/>
        <v>3.792954545454545</v>
      </c>
      <c r="BV598" s="235" cm="1">
        <f t="array" ref="BV598">$BI598 * IF($AH598&lt;=2,
SUMPRODUCT(INDEX($AR$67:$AT$71,,$AI598), INDEX($AU$67:$BA$71,,$AH598), 1 / ($BB$67:$BB$71*BU598 + (1-$BB$67:$BB$71)*BQ598), N($AQ$67:$AQ$71&gt;$AO598)),
SUMPRODUCT(INDEX($AR$57:$AT$66,,$AI598), INDEX($AU$57:$BA$66,,$AH598), 1 / ($BC$57:$BC$66*BU598 + (1-$BC$57:$BC$66)*BQ598), N($AQ$57:$AQ$66&gt;$AO598))
) / 1000</f>
        <v>0</v>
      </c>
      <c r="BW598" s="232">
        <f t="shared" si="607"/>
        <v>20</v>
      </c>
      <c r="BX598" s="230">
        <f t="shared" si="623"/>
        <v>33</v>
      </c>
      <c r="BY598" s="235">
        <f t="shared" si="624"/>
        <v>4.4702678571428569</v>
      </c>
      <c r="BZ598" s="235" cm="1">
        <f t="array" ref="BZ598">$BI598 * IF($AH598&lt;=2,
SUMPRODUCT(INDEX($AR$62:$AT$66,,$AI598), INDEX($AU$62:$BA$66,,$AH598), 1 / ($BB$62:$BB$66*BY598 + (1-$BB$62:$BB$66)*BU598), N($AQ$62:$AQ$66&gt;$AO598)),
SUMPRODUCT(INDEX($AR$47:$AT$56,,$AI598), INDEX($AU$47:$BA$56,,$AH598), 1 / ($BC$47:$BC$56*BY598 + (1-$BC$47:$BC$56)*BU598), N($AQ$47:$AQ$56&gt;$AO598))
) / 1000</f>
        <v>0</v>
      </c>
      <c r="CA598" s="235" cm="1">
        <f t="array" ref="CA598">$BI598 * IF($AH598&lt;=2,
SUMPRODUCT(INDEX($AR$23:$AT$61,,$AI598), INDEX($AU$23:$BA$61,,$AH598), 1 / ($BB$23:$BB$61*BY598), N($AQ$23:$AQ$61&gt;$AO598)),
SUMPRODUCT(INDEX($AR$23:$AT$46,,$AI598), INDEX($AU$23:$BA$46,,$AH598), 1 / ($BC$23:$BC$46*BY598), N($AQ$23:$AQ$46&gt;$AO598))
) / 1000</f>
        <v>0</v>
      </c>
      <c r="CB598" s="230">
        <f t="shared" si="625"/>
        <v>0</v>
      </c>
      <c r="CC598" s="238"/>
      <c r="CD598" s="229" cm="1">
        <f t="array" ref="CD598">IF(ISBLANK(Y598), INDEX(Use, $AH598, 4) - AN598*INDEX(Use, $AH598, 6) - (Q598-X598), Y598)</f>
        <v>7</v>
      </c>
      <c r="CE598" s="229">
        <f t="shared" si="626"/>
        <v>32</v>
      </c>
      <c r="CF598" s="230">
        <f t="shared" si="627"/>
        <v>0</v>
      </c>
      <c r="CG598" s="229">
        <v>35</v>
      </c>
      <c r="CH598" s="230">
        <f t="shared" si="628"/>
        <v>48</v>
      </c>
      <c r="CI598" s="235">
        <f t="shared" si="629"/>
        <v>3.0748170731707316</v>
      </c>
      <c r="CJ598" s="235" cm="1">
        <f t="array" ref="CJ598">$BI598 * SUMPRODUCT(INDEX($AR$77:$AT$82,,$AI598),INDEX($AU$77:$BA$82,,$AH598), N($AQ$77:$AQ$82&gt;$AO598)) / CI598 / 1000</f>
        <v>0</v>
      </c>
      <c r="CK598" s="232">
        <f t="shared" si="608"/>
        <v>30</v>
      </c>
      <c r="CL598" s="230">
        <f t="shared" si="630"/>
        <v>43</v>
      </c>
      <c r="CM598" s="235">
        <f t="shared" si="631"/>
        <v>3.5018750000000001</v>
      </c>
      <c r="CN598" s="235" cm="1">
        <f t="array" ref="CN598">$BI598 * IF($AH598&lt;=2,
SUMPRODUCT(INDEX($AR$72:$AT$76,,$AI598), INDEX($AU$72:$BA$76,,$AH598), 1 / ($BB$72:$BB$76*CM598 + (1-$BB$72:$BB$76)*CI598), N($AQ$72:$AQ$76&gt;$AO598)),
SUMPRODUCT(INDEX($AR$67:$AT$76,,$AI598), INDEX($AU$67:$BA$76,,$AH598), 1 / ($BC$67:$BC$76*CM598 + (1-$BC$67:$BC$76)*CI598), N($AQ$67:$AQ$76&gt;$AO598))
) / 1000</f>
        <v>0</v>
      </c>
      <c r="CO598" s="232">
        <f t="shared" si="609"/>
        <v>25</v>
      </c>
      <c r="CP598" s="230">
        <f t="shared" si="632"/>
        <v>38</v>
      </c>
      <c r="CQ598" s="235">
        <f t="shared" si="633"/>
        <v>4.0666935483870965</v>
      </c>
      <c r="CR598" s="235" cm="1">
        <f t="array" ref="CR598">$BI598 * IF($AH598&lt;=2,
SUMPRODUCT(INDEX($AR$67:$AT$71,,$AI598), INDEX($AU$67:$BA$71,,$AH598), 1 / ($BB$67:$BB$71*CQ598 + (1-$BB$67:$BB$71)*CM598), N($AQ$67:$AQ$71&gt;$AO598)),
SUMPRODUCT(INDEX($AR$57:$AT$66,,$AI598), INDEX($AU$57:$BA$66,,$AH598), 1 / ($BC$57:$BC$66*CQ598 + (1-$BC$57:$BC$66)*CM598), N($AQ$57:$AQ$66&gt;$AO598))
) / 1000</f>
        <v>0</v>
      </c>
      <c r="CS598" s="232">
        <f t="shared" si="610"/>
        <v>20</v>
      </c>
      <c r="CT598" s="230">
        <f t="shared" si="634"/>
        <v>33</v>
      </c>
      <c r="CU598" s="235">
        <f t="shared" si="635"/>
        <v>4.8487499999999999</v>
      </c>
      <c r="CV598" s="235" cm="1">
        <f t="array" ref="CV598">$BI598 * IF($AH598&lt;=2,
SUMPRODUCT(INDEX($AR$62:$AT$66,,$AI598), INDEX($AU$62:$BA$66,,$AH598), 1 / ($BB$62:$BB$66*CU598 + (1-$BB$62:$BB$66)*CQ598), N($AQ$62:$AQ$66&gt;$AO598)),
SUMPRODUCT(INDEX($AR$47:$AT$56,,$AI598), INDEX($AU$47:$BA$56,,$AH598), 1 / ($BC$47:$BC$56*CU598 + (1-$BC$47:$BC$56)*CQ598), N($AQ$47:$AQ$56&gt;$AO598))
) / 1000</f>
        <v>0</v>
      </c>
      <c r="CW598" s="235" cm="1">
        <f t="array" ref="CW598">$BI598 * IF($AH598&lt;=2,
SUMPRODUCT(INDEX($AR$23:$AT$61,,$AI598), INDEX($AU$23:$BA$61,,$AH598), 1 / ($BB$23:$BB$61*CU598), N($AQ$23:$AQ$61&gt;$AO598)),
SUMPRODUCT(INDEX($AR$23:$AT$46,,$AI598), INDEX($AU$23:$BA$46,,$AH598), 1 / ($BC$23:$BC$46*CU598), N($AQ$23:$AQ$46&gt;$AO598))
) / 1000</f>
        <v>0</v>
      </c>
      <c r="CX598" s="230">
        <f t="shared" si="636"/>
        <v>0</v>
      </c>
      <c r="CY598" s="238"/>
    </row>
    <row r="599" spans="1:103" s="76" customFormat="1" ht="14.25" customHeight="1" x14ac:dyDescent="0.2">
      <c r="A599" s="231" t="b">
        <f t="shared" si="640"/>
        <v>0</v>
      </c>
      <c r="B599" s="245">
        <v>577</v>
      </c>
      <c r="C599" s="258"/>
      <c r="D599" s="258"/>
      <c r="E599" s="246"/>
      <c r="F599" s="247" t="str">
        <f>IF(ISBLANK(E599), "", VLOOKUP(E599, Z!$A$2:$C$4127, 3, FALSE))</f>
        <v/>
      </c>
      <c r="G599" s="248"/>
      <c r="H599" s="248"/>
      <c r="I599" s="249"/>
      <c r="J599" s="250"/>
      <c r="K599" s="259"/>
      <c r="L599" s="260"/>
      <c r="M599" s="252" t="str" cm="1">
        <f t="array" ref="M599">INDEX(Trad, 53, $A$20)</f>
        <v>Verschmutzt</v>
      </c>
      <c r="N599" s="253"/>
      <c r="O599" s="253"/>
      <c r="P599" s="254"/>
      <c r="Q599" s="251"/>
      <c r="R599" s="251"/>
      <c r="S599" s="264">
        <f t="shared" si="611"/>
        <v>0</v>
      </c>
      <c r="T599" s="252" t="str" cm="1">
        <f t="array" ref="T599">INDEX(Trad, 52, $A$20)</f>
        <v>Sauber</v>
      </c>
      <c r="U599" s="253"/>
      <c r="V599" s="253"/>
      <c r="W599" s="254"/>
      <c r="X599" s="251"/>
      <c r="Y599" s="251"/>
      <c r="Z599" s="264">
        <f t="shared" si="612"/>
        <v>0</v>
      </c>
      <c r="AA599" s="261"/>
      <c r="AB599" s="258"/>
      <c r="AC599" s="246"/>
      <c r="AD599" s="247" t="str">
        <f>IF(ISBLANK(AC599), "", VLOOKUP(AC599, Z!$A$2:$C$4127, 3, FALSE))</f>
        <v/>
      </c>
      <c r="AE599" s="262"/>
      <c r="AF599" s="263">
        <f t="shared" si="613"/>
        <v>0</v>
      </c>
      <c r="AG599" s="238"/>
      <c r="AH599" s="229">
        <f t="shared" si="637"/>
        <v>1</v>
      </c>
      <c r="AI599" s="229">
        <f t="shared" si="638"/>
        <v>1</v>
      </c>
      <c r="AJ599" s="229">
        <f t="shared" si="639"/>
        <v>0</v>
      </c>
      <c r="AK599" s="229">
        <v>0</v>
      </c>
      <c r="AL599" s="229">
        <v>0</v>
      </c>
      <c r="AM599" s="229">
        <v>1</v>
      </c>
      <c r="AN599" s="229">
        <v>0</v>
      </c>
      <c r="AO599" s="229">
        <f t="shared" si="614"/>
        <v>-100</v>
      </c>
      <c r="AP599" s="238"/>
      <c r="AQ599" s="255"/>
      <c r="AR599" s="255"/>
      <c r="AS599" s="256"/>
      <c r="AT599" s="256"/>
      <c r="AU599" s="256"/>
      <c r="AV599" s="256"/>
      <c r="AW599" s="256"/>
      <c r="AX599" s="256"/>
      <c r="AY599" s="256"/>
      <c r="AZ599" s="256"/>
      <c r="BA599" s="256"/>
      <c r="BB599" s="256"/>
      <c r="BC599" s="256"/>
      <c r="BD599" s="238"/>
      <c r="BE599" s="229" cm="1">
        <f t="array" ref="BE599">IF(ISBLANK(R599), INDEX(Use, $AH599, 4) - AM599*INDEX(Use, $AH599, 6), R599)</f>
        <v>5</v>
      </c>
      <c r="BF599" s="229">
        <f t="shared" si="615"/>
        <v>30</v>
      </c>
      <c r="BG599" s="229">
        <f t="shared" ref="BG599:BG662" si="641">IF($AJ599=1, 6, IF($AH599=4, 10, 13))</f>
        <v>13</v>
      </c>
      <c r="BH599" s="229">
        <f t="shared" ref="BH599:BH662" si="642">IF($AJ599=1, 9, 0)</f>
        <v>0</v>
      </c>
      <c r="BI599" s="234" cm="1">
        <f t="array" ref="BI599">K599/IF($L599&gt;0, INDEX($AU$23:$BA$77, $L599+20, $AH599), 1)</f>
        <v>0</v>
      </c>
      <c r="BJ599" s="230">
        <f t="shared" si="616"/>
        <v>0</v>
      </c>
      <c r="BK599" s="229">
        <v>35</v>
      </c>
      <c r="BL599" s="230">
        <f t="shared" si="617"/>
        <v>48</v>
      </c>
      <c r="BM599" s="235">
        <f t="shared" si="618"/>
        <v>2.9108720930232557</v>
      </c>
      <c r="BN599" s="235" cm="1">
        <f t="array" ref="BN599">$BI599 * SUMPRODUCT(INDEX($AR$77:$AT$82,,$AI599),INDEX($AU$77:$BA$82,,$AH599), N($AQ$77:$AQ$82&gt;$AO599)) / BM599 / 1000</f>
        <v>0</v>
      </c>
      <c r="BO599" s="232">
        <f t="shared" ref="BO599:BO662" si="643">IF($AH599&lt;=2, 30, 25)</f>
        <v>30</v>
      </c>
      <c r="BP599" s="230">
        <f t="shared" si="619"/>
        <v>43</v>
      </c>
      <c r="BQ599" s="235">
        <f t="shared" si="620"/>
        <v>3.2938815789473681</v>
      </c>
      <c r="BR599" s="235" cm="1">
        <f t="array" ref="BR599">$BI599 * IF($AH599&lt;=2,
SUMPRODUCT(INDEX($AR$72:$AT$76,,$AI599), INDEX($AU$72:$BA$76,,$AH599), 1 / ($BB$72:$BB$76*BQ599 + (1-$BB$72:$BB$76)*BM599), N($AQ$72:$AQ$76&gt;$AO599)),
SUMPRODUCT(INDEX($AR$67:$AT$76,,$AI599), INDEX($AU$67:$BA$76,,$AH599), 1 / ($BC$67:$BC$76*BQ599 + (1-$BC$67:$BC$76)*BM599), N($AQ$67:$AQ$76&gt;$AO599))
) / 1000</f>
        <v>0</v>
      </c>
      <c r="BS599" s="232">
        <f t="shared" ref="BS599:BS662" si="644">IF($AH599&lt;=2, 25, 15)</f>
        <v>25</v>
      </c>
      <c r="BT599" s="230">
        <f t="shared" si="621"/>
        <v>38</v>
      </c>
      <c r="BU599" s="235">
        <f t="shared" si="622"/>
        <v>3.792954545454545</v>
      </c>
      <c r="BV599" s="235" cm="1">
        <f t="array" ref="BV599">$BI599 * IF($AH599&lt;=2,
SUMPRODUCT(INDEX($AR$67:$AT$71,,$AI599), INDEX($AU$67:$BA$71,,$AH599), 1 / ($BB$67:$BB$71*BU599 + (1-$BB$67:$BB$71)*BQ599), N($AQ$67:$AQ$71&gt;$AO599)),
SUMPRODUCT(INDEX($AR$57:$AT$66,,$AI599), INDEX($AU$57:$BA$66,,$AH599), 1 / ($BC$57:$BC$66*BU599 + (1-$BC$57:$BC$66)*BQ599), N($AQ$57:$AQ$66&gt;$AO599))
) / 1000</f>
        <v>0</v>
      </c>
      <c r="BW599" s="232">
        <f t="shared" ref="BW599:BW662" si="645">IF($AH599&lt;=2, 20, 5)</f>
        <v>20</v>
      </c>
      <c r="BX599" s="230">
        <f t="shared" si="623"/>
        <v>33</v>
      </c>
      <c r="BY599" s="235">
        <f t="shared" si="624"/>
        <v>4.4702678571428569</v>
      </c>
      <c r="BZ599" s="235" cm="1">
        <f t="array" ref="BZ599">$BI599 * IF($AH599&lt;=2,
SUMPRODUCT(INDEX($AR$62:$AT$66,,$AI599), INDEX($AU$62:$BA$66,,$AH599), 1 / ($BB$62:$BB$66*BY599 + (1-$BB$62:$BB$66)*BU599), N($AQ$62:$AQ$66&gt;$AO599)),
SUMPRODUCT(INDEX($AR$47:$AT$56,,$AI599), INDEX($AU$47:$BA$56,,$AH599), 1 / ($BC$47:$BC$56*BY599 + (1-$BC$47:$BC$56)*BU599), N($AQ$47:$AQ$56&gt;$AO599))
) / 1000</f>
        <v>0</v>
      </c>
      <c r="CA599" s="235" cm="1">
        <f t="array" ref="CA599">$BI599 * IF($AH599&lt;=2,
SUMPRODUCT(INDEX($AR$23:$AT$61,,$AI599), INDEX($AU$23:$BA$61,,$AH599), 1 / ($BB$23:$BB$61*BY599), N($AQ$23:$AQ$61&gt;$AO599)),
SUMPRODUCT(INDEX($AR$23:$AT$46,,$AI599), INDEX($AU$23:$BA$46,,$AH599), 1 / ($BC$23:$BC$46*BY599), N($AQ$23:$AQ$46&gt;$AO599))
) / 1000</f>
        <v>0</v>
      </c>
      <c r="CB599" s="230">
        <f t="shared" si="625"/>
        <v>0</v>
      </c>
      <c r="CC599" s="238"/>
      <c r="CD599" s="229" cm="1">
        <f t="array" ref="CD599">IF(ISBLANK(Y599), INDEX(Use, $AH599, 4) - AN599*INDEX(Use, $AH599, 6) - (Q599-X599), Y599)</f>
        <v>7</v>
      </c>
      <c r="CE599" s="229">
        <f t="shared" si="626"/>
        <v>32</v>
      </c>
      <c r="CF599" s="230">
        <f t="shared" si="627"/>
        <v>0</v>
      </c>
      <c r="CG599" s="229">
        <v>35</v>
      </c>
      <c r="CH599" s="230">
        <f t="shared" si="628"/>
        <v>48</v>
      </c>
      <c r="CI599" s="235">
        <f t="shared" si="629"/>
        <v>3.0748170731707316</v>
      </c>
      <c r="CJ599" s="235" cm="1">
        <f t="array" ref="CJ599">$BI599 * SUMPRODUCT(INDEX($AR$77:$AT$82,,$AI599),INDEX($AU$77:$BA$82,,$AH599), N($AQ$77:$AQ$82&gt;$AO599)) / CI599 / 1000</f>
        <v>0</v>
      </c>
      <c r="CK599" s="232">
        <f t="shared" ref="CK599:CK662" si="646">IF($AH599&lt;=2, 30, 25)</f>
        <v>30</v>
      </c>
      <c r="CL599" s="230">
        <f t="shared" si="630"/>
        <v>43</v>
      </c>
      <c r="CM599" s="235">
        <f t="shared" si="631"/>
        <v>3.5018750000000001</v>
      </c>
      <c r="CN599" s="235" cm="1">
        <f t="array" ref="CN599">$BI599 * IF($AH599&lt;=2,
SUMPRODUCT(INDEX($AR$72:$AT$76,,$AI599), INDEX($AU$72:$BA$76,,$AH599), 1 / ($BB$72:$BB$76*CM599 + (1-$BB$72:$BB$76)*CI599), N($AQ$72:$AQ$76&gt;$AO599)),
SUMPRODUCT(INDEX($AR$67:$AT$76,,$AI599), INDEX($AU$67:$BA$76,,$AH599), 1 / ($BC$67:$BC$76*CM599 + (1-$BC$67:$BC$76)*CI599), N($AQ$67:$AQ$76&gt;$AO599))
) / 1000</f>
        <v>0</v>
      </c>
      <c r="CO599" s="232">
        <f t="shared" ref="CO599:CO662" si="647">IF($AH599&lt;=2, 25, 15)</f>
        <v>25</v>
      </c>
      <c r="CP599" s="230">
        <f t="shared" si="632"/>
        <v>38</v>
      </c>
      <c r="CQ599" s="235">
        <f t="shared" si="633"/>
        <v>4.0666935483870965</v>
      </c>
      <c r="CR599" s="235" cm="1">
        <f t="array" ref="CR599">$BI599 * IF($AH599&lt;=2,
SUMPRODUCT(INDEX($AR$67:$AT$71,,$AI599), INDEX($AU$67:$BA$71,,$AH599), 1 / ($BB$67:$BB$71*CQ599 + (1-$BB$67:$BB$71)*CM599), N($AQ$67:$AQ$71&gt;$AO599)),
SUMPRODUCT(INDEX($AR$57:$AT$66,,$AI599), INDEX($AU$57:$BA$66,,$AH599), 1 / ($BC$57:$BC$66*CQ599 + (1-$BC$57:$BC$66)*CM599), N($AQ$57:$AQ$66&gt;$AO599))
) / 1000</f>
        <v>0</v>
      </c>
      <c r="CS599" s="232">
        <f t="shared" ref="CS599:CS662" si="648">IF($AH599&lt;=2, 20, 5)</f>
        <v>20</v>
      </c>
      <c r="CT599" s="230">
        <f t="shared" si="634"/>
        <v>33</v>
      </c>
      <c r="CU599" s="235">
        <f t="shared" si="635"/>
        <v>4.8487499999999999</v>
      </c>
      <c r="CV599" s="235" cm="1">
        <f t="array" ref="CV599">$BI599 * IF($AH599&lt;=2,
SUMPRODUCT(INDEX($AR$62:$AT$66,,$AI599), INDEX($AU$62:$BA$66,,$AH599), 1 / ($BB$62:$BB$66*CU599 + (1-$BB$62:$BB$66)*CQ599), N($AQ$62:$AQ$66&gt;$AO599)),
SUMPRODUCT(INDEX($AR$47:$AT$56,,$AI599), INDEX($AU$47:$BA$56,,$AH599), 1 / ($BC$47:$BC$56*CU599 + (1-$BC$47:$BC$56)*CQ599), N($AQ$47:$AQ$56&gt;$AO599))
) / 1000</f>
        <v>0</v>
      </c>
      <c r="CW599" s="235" cm="1">
        <f t="array" ref="CW599">$BI599 * IF($AH599&lt;=2,
SUMPRODUCT(INDEX($AR$23:$AT$61,,$AI599), INDEX($AU$23:$BA$61,,$AH599), 1 / ($BB$23:$BB$61*CU599), N($AQ$23:$AQ$61&gt;$AO599)),
SUMPRODUCT(INDEX($AR$23:$AT$46,,$AI599), INDEX($AU$23:$BA$46,,$AH599), 1 / ($BC$23:$BC$46*CU599), N($AQ$23:$AQ$46&gt;$AO599))
) / 1000</f>
        <v>0</v>
      </c>
      <c r="CX599" s="230">
        <f t="shared" si="636"/>
        <v>0</v>
      </c>
      <c r="CY599" s="238"/>
    </row>
    <row r="600" spans="1:103" s="76" customFormat="1" ht="14.25" customHeight="1" x14ac:dyDescent="0.2">
      <c r="A600" s="231" t="b">
        <f t="shared" si="640"/>
        <v>0</v>
      </c>
      <c r="B600" s="245">
        <v>578</v>
      </c>
      <c r="C600" s="258"/>
      <c r="D600" s="258"/>
      <c r="E600" s="246"/>
      <c r="F600" s="247" t="str">
        <f>IF(ISBLANK(E600), "", VLOOKUP(E600, Z!$A$2:$C$4127, 3, FALSE))</f>
        <v/>
      </c>
      <c r="G600" s="248"/>
      <c r="H600" s="248"/>
      <c r="I600" s="249"/>
      <c r="J600" s="250"/>
      <c r="K600" s="259"/>
      <c r="L600" s="260"/>
      <c r="M600" s="252" t="str" cm="1">
        <f t="array" ref="M600">INDEX(Trad, 53, $A$20)</f>
        <v>Verschmutzt</v>
      </c>
      <c r="N600" s="253"/>
      <c r="O600" s="253"/>
      <c r="P600" s="254"/>
      <c r="Q600" s="251"/>
      <c r="R600" s="251"/>
      <c r="S600" s="264">
        <f t="shared" si="611"/>
        <v>0</v>
      </c>
      <c r="T600" s="252" t="str" cm="1">
        <f t="array" ref="T600">INDEX(Trad, 52, $A$20)</f>
        <v>Sauber</v>
      </c>
      <c r="U600" s="253"/>
      <c r="V600" s="253"/>
      <c r="W600" s="254"/>
      <c r="X600" s="251"/>
      <c r="Y600" s="251"/>
      <c r="Z600" s="264">
        <f t="shared" si="612"/>
        <v>0</v>
      </c>
      <c r="AA600" s="261"/>
      <c r="AB600" s="258"/>
      <c r="AC600" s="246"/>
      <c r="AD600" s="247" t="str">
        <f>IF(ISBLANK(AC600), "", VLOOKUP(AC600, Z!$A$2:$C$4127, 3, FALSE))</f>
        <v/>
      </c>
      <c r="AE600" s="262"/>
      <c r="AF600" s="263">
        <f t="shared" si="613"/>
        <v>0</v>
      </c>
      <c r="AG600" s="238"/>
      <c r="AH600" s="229">
        <f t="shared" si="637"/>
        <v>1</v>
      </c>
      <c r="AI600" s="229">
        <f t="shared" si="638"/>
        <v>1</v>
      </c>
      <c r="AJ600" s="229">
        <f t="shared" si="639"/>
        <v>0</v>
      </c>
      <c r="AK600" s="229">
        <v>0</v>
      </c>
      <c r="AL600" s="229">
        <v>0</v>
      </c>
      <c r="AM600" s="229">
        <v>1</v>
      </c>
      <c r="AN600" s="229">
        <v>0</v>
      </c>
      <c r="AO600" s="229">
        <f t="shared" si="614"/>
        <v>-100</v>
      </c>
      <c r="AP600" s="238"/>
      <c r="AQ600" s="255"/>
      <c r="AR600" s="255"/>
      <c r="AS600" s="256"/>
      <c r="AT600" s="256"/>
      <c r="AU600" s="256"/>
      <c r="AV600" s="256"/>
      <c r="AW600" s="256"/>
      <c r="AX600" s="256"/>
      <c r="AY600" s="256"/>
      <c r="AZ600" s="256"/>
      <c r="BA600" s="256"/>
      <c r="BB600" s="256"/>
      <c r="BC600" s="256"/>
      <c r="BD600" s="238"/>
      <c r="BE600" s="229" cm="1">
        <f t="array" ref="BE600">IF(ISBLANK(R600), INDEX(Use, $AH600, 4) - AM600*INDEX(Use, $AH600, 6), R600)</f>
        <v>5</v>
      </c>
      <c r="BF600" s="229">
        <f t="shared" si="615"/>
        <v>30</v>
      </c>
      <c r="BG600" s="229">
        <f t="shared" si="641"/>
        <v>13</v>
      </c>
      <c r="BH600" s="229">
        <f t="shared" si="642"/>
        <v>0</v>
      </c>
      <c r="BI600" s="234" cm="1">
        <f t="array" ref="BI600">K600/IF($L600&gt;0, INDEX($AU$23:$BA$77, $L600+20, $AH600), 1)</f>
        <v>0</v>
      </c>
      <c r="BJ600" s="230">
        <f t="shared" si="616"/>
        <v>0</v>
      </c>
      <c r="BK600" s="229">
        <v>35</v>
      </c>
      <c r="BL600" s="230">
        <f t="shared" si="617"/>
        <v>48</v>
      </c>
      <c r="BM600" s="235">
        <f t="shared" si="618"/>
        <v>2.9108720930232557</v>
      </c>
      <c r="BN600" s="235" cm="1">
        <f t="array" ref="BN600">$BI600 * SUMPRODUCT(INDEX($AR$77:$AT$82,,$AI600),INDEX($AU$77:$BA$82,,$AH600), N($AQ$77:$AQ$82&gt;$AO600)) / BM600 / 1000</f>
        <v>0</v>
      </c>
      <c r="BO600" s="232">
        <f t="shared" si="643"/>
        <v>30</v>
      </c>
      <c r="BP600" s="230">
        <f t="shared" si="619"/>
        <v>43</v>
      </c>
      <c r="BQ600" s="235">
        <f t="shared" si="620"/>
        <v>3.2938815789473681</v>
      </c>
      <c r="BR600" s="235" cm="1">
        <f t="array" ref="BR600">$BI600 * IF($AH600&lt;=2,
SUMPRODUCT(INDEX($AR$72:$AT$76,,$AI600), INDEX($AU$72:$BA$76,,$AH600), 1 / ($BB$72:$BB$76*BQ600 + (1-$BB$72:$BB$76)*BM600), N($AQ$72:$AQ$76&gt;$AO600)),
SUMPRODUCT(INDEX($AR$67:$AT$76,,$AI600), INDEX($AU$67:$BA$76,,$AH600), 1 / ($BC$67:$BC$76*BQ600 + (1-$BC$67:$BC$76)*BM600), N($AQ$67:$AQ$76&gt;$AO600))
) / 1000</f>
        <v>0</v>
      </c>
      <c r="BS600" s="232">
        <f t="shared" si="644"/>
        <v>25</v>
      </c>
      <c r="BT600" s="230">
        <f t="shared" si="621"/>
        <v>38</v>
      </c>
      <c r="BU600" s="235">
        <f t="shared" si="622"/>
        <v>3.792954545454545</v>
      </c>
      <c r="BV600" s="235" cm="1">
        <f t="array" ref="BV600">$BI600 * IF($AH600&lt;=2,
SUMPRODUCT(INDEX($AR$67:$AT$71,,$AI600), INDEX($AU$67:$BA$71,,$AH600), 1 / ($BB$67:$BB$71*BU600 + (1-$BB$67:$BB$71)*BQ600), N($AQ$67:$AQ$71&gt;$AO600)),
SUMPRODUCT(INDEX($AR$57:$AT$66,,$AI600), INDEX($AU$57:$BA$66,,$AH600), 1 / ($BC$57:$BC$66*BU600 + (1-$BC$57:$BC$66)*BQ600), N($AQ$57:$AQ$66&gt;$AO600))
) / 1000</f>
        <v>0</v>
      </c>
      <c r="BW600" s="232">
        <f t="shared" si="645"/>
        <v>20</v>
      </c>
      <c r="BX600" s="230">
        <f t="shared" si="623"/>
        <v>33</v>
      </c>
      <c r="BY600" s="235">
        <f t="shared" si="624"/>
        <v>4.4702678571428569</v>
      </c>
      <c r="BZ600" s="235" cm="1">
        <f t="array" ref="BZ600">$BI600 * IF($AH600&lt;=2,
SUMPRODUCT(INDEX($AR$62:$AT$66,,$AI600), INDEX($AU$62:$BA$66,,$AH600), 1 / ($BB$62:$BB$66*BY600 + (1-$BB$62:$BB$66)*BU600), N($AQ$62:$AQ$66&gt;$AO600)),
SUMPRODUCT(INDEX($AR$47:$AT$56,,$AI600), INDEX($AU$47:$BA$56,,$AH600), 1 / ($BC$47:$BC$56*BY600 + (1-$BC$47:$BC$56)*BU600), N($AQ$47:$AQ$56&gt;$AO600))
) / 1000</f>
        <v>0</v>
      </c>
      <c r="CA600" s="235" cm="1">
        <f t="array" ref="CA600">$BI600 * IF($AH600&lt;=2,
SUMPRODUCT(INDEX($AR$23:$AT$61,,$AI600), INDEX($AU$23:$BA$61,,$AH600), 1 / ($BB$23:$BB$61*BY600), N($AQ$23:$AQ$61&gt;$AO600)),
SUMPRODUCT(INDEX($AR$23:$AT$46,,$AI600), INDEX($AU$23:$BA$46,,$AH600), 1 / ($BC$23:$BC$46*BY600), N($AQ$23:$AQ$46&gt;$AO600))
) / 1000</f>
        <v>0</v>
      </c>
      <c r="CB600" s="230">
        <f t="shared" si="625"/>
        <v>0</v>
      </c>
      <c r="CC600" s="238"/>
      <c r="CD600" s="229" cm="1">
        <f t="array" ref="CD600">IF(ISBLANK(Y600), INDEX(Use, $AH600, 4) - AN600*INDEX(Use, $AH600, 6) - (Q600-X600), Y600)</f>
        <v>7</v>
      </c>
      <c r="CE600" s="229">
        <f t="shared" si="626"/>
        <v>32</v>
      </c>
      <c r="CF600" s="230">
        <f t="shared" si="627"/>
        <v>0</v>
      </c>
      <c r="CG600" s="229">
        <v>35</v>
      </c>
      <c r="CH600" s="230">
        <f t="shared" si="628"/>
        <v>48</v>
      </c>
      <c r="CI600" s="235">
        <f t="shared" si="629"/>
        <v>3.0748170731707316</v>
      </c>
      <c r="CJ600" s="235" cm="1">
        <f t="array" ref="CJ600">$BI600 * SUMPRODUCT(INDEX($AR$77:$AT$82,,$AI600),INDEX($AU$77:$BA$82,,$AH600), N($AQ$77:$AQ$82&gt;$AO600)) / CI600 / 1000</f>
        <v>0</v>
      </c>
      <c r="CK600" s="232">
        <f t="shared" si="646"/>
        <v>30</v>
      </c>
      <c r="CL600" s="230">
        <f t="shared" si="630"/>
        <v>43</v>
      </c>
      <c r="CM600" s="235">
        <f t="shared" si="631"/>
        <v>3.5018750000000001</v>
      </c>
      <c r="CN600" s="235" cm="1">
        <f t="array" ref="CN600">$BI600 * IF($AH600&lt;=2,
SUMPRODUCT(INDEX($AR$72:$AT$76,,$AI600), INDEX($AU$72:$BA$76,,$AH600), 1 / ($BB$72:$BB$76*CM600 + (1-$BB$72:$BB$76)*CI600), N($AQ$72:$AQ$76&gt;$AO600)),
SUMPRODUCT(INDEX($AR$67:$AT$76,,$AI600), INDEX($AU$67:$BA$76,,$AH600), 1 / ($BC$67:$BC$76*CM600 + (1-$BC$67:$BC$76)*CI600), N($AQ$67:$AQ$76&gt;$AO600))
) / 1000</f>
        <v>0</v>
      </c>
      <c r="CO600" s="232">
        <f t="shared" si="647"/>
        <v>25</v>
      </c>
      <c r="CP600" s="230">
        <f t="shared" si="632"/>
        <v>38</v>
      </c>
      <c r="CQ600" s="235">
        <f t="shared" si="633"/>
        <v>4.0666935483870965</v>
      </c>
      <c r="CR600" s="235" cm="1">
        <f t="array" ref="CR600">$BI600 * IF($AH600&lt;=2,
SUMPRODUCT(INDEX($AR$67:$AT$71,,$AI600), INDEX($AU$67:$BA$71,,$AH600), 1 / ($BB$67:$BB$71*CQ600 + (1-$BB$67:$BB$71)*CM600), N($AQ$67:$AQ$71&gt;$AO600)),
SUMPRODUCT(INDEX($AR$57:$AT$66,,$AI600), INDEX($AU$57:$BA$66,,$AH600), 1 / ($BC$57:$BC$66*CQ600 + (1-$BC$57:$BC$66)*CM600), N($AQ$57:$AQ$66&gt;$AO600))
) / 1000</f>
        <v>0</v>
      </c>
      <c r="CS600" s="232">
        <f t="shared" si="648"/>
        <v>20</v>
      </c>
      <c r="CT600" s="230">
        <f t="shared" si="634"/>
        <v>33</v>
      </c>
      <c r="CU600" s="235">
        <f t="shared" si="635"/>
        <v>4.8487499999999999</v>
      </c>
      <c r="CV600" s="235" cm="1">
        <f t="array" ref="CV600">$BI600 * IF($AH600&lt;=2,
SUMPRODUCT(INDEX($AR$62:$AT$66,,$AI600), INDEX($AU$62:$BA$66,,$AH600), 1 / ($BB$62:$BB$66*CU600 + (1-$BB$62:$BB$66)*CQ600), N($AQ$62:$AQ$66&gt;$AO600)),
SUMPRODUCT(INDEX($AR$47:$AT$56,,$AI600), INDEX($AU$47:$BA$56,,$AH600), 1 / ($BC$47:$BC$56*CU600 + (1-$BC$47:$BC$56)*CQ600), N($AQ$47:$AQ$56&gt;$AO600))
) / 1000</f>
        <v>0</v>
      </c>
      <c r="CW600" s="235" cm="1">
        <f t="array" ref="CW600">$BI600 * IF($AH600&lt;=2,
SUMPRODUCT(INDEX($AR$23:$AT$61,,$AI600), INDEX($AU$23:$BA$61,,$AH600), 1 / ($BB$23:$BB$61*CU600), N($AQ$23:$AQ$61&gt;$AO600)),
SUMPRODUCT(INDEX($AR$23:$AT$46,,$AI600), INDEX($AU$23:$BA$46,,$AH600), 1 / ($BC$23:$BC$46*CU600), N($AQ$23:$AQ$46&gt;$AO600))
) / 1000</f>
        <v>0</v>
      </c>
      <c r="CX600" s="230">
        <f t="shared" si="636"/>
        <v>0</v>
      </c>
      <c r="CY600" s="238"/>
    </row>
    <row r="601" spans="1:103" s="76" customFormat="1" ht="14.25" customHeight="1" x14ac:dyDescent="0.2">
      <c r="A601" s="231" t="b">
        <f t="shared" si="640"/>
        <v>0</v>
      </c>
      <c r="B601" s="245">
        <v>579</v>
      </c>
      <c r="C601" s="258"/>
      <c r="D601" s="258"/>
      <c r="E601" s="246"/>
      <c r="F601" s="247" t="str">
        <f>IF(ISBLANK(E601), "", VLOOKUP(E601, Z!$A$2:$C$4127, 3, FALSE))</f>
        <v/>
      </c>
      <c r="G601" s="248"/>
      <c r="H601" s="248"/>
      <c r="I601" s="249"/>
      <c r="J601" s="250"/>
      <c r="K601" s="259"/>
      <c r="L601" s="260"/>
      <c r="M601" s="252" t="str" cm="1">
        <f t="array" ref="M601">INDEX(Trad, 53, $A$20)</f>
        <v>Verschmutzt</v>
      </c>
      <c r="N601" s="253"/>
      <c r="O601" s="253"/>
      <c r="P601" s="254"/>
      <c r="Q601" s="251"/>
      <c r="R601" s="251"/>
      <c r="S601" s="264">
        <f t="shared" si="611"/>
        <v>0</v>
      </c>
      <c r="T601" s="252" t="str" cm="1">
        <f t="array" ref="T601">INDEX(Trad, 52, $A$20)</f>
        <v>Sauber</v>
      </c>
      <c r="U601" s="253"/>
      <c r="V601" s="253"/>
      <c r="W601" s="254"/>
      <c r="X601" s="251"/>
      <c r="Y601" s="251"/>
      <c r="Z601" s="264">
        <f t="shared" si="612"/>
        <v>0</v>
      </c>
      <c r="AA601" s="261"/>
      <c r="AB601" s="258"/>
      <c r="AC601" s="246"/>
      <c r="AD601" s="247" t="str">
        <f>IF(ISBLANK(AC601), "", VLOOKUP(AC601, Z!$A$2:$C$4127, 3, FALSE))</f>
        <v/>
      </c>
      <c r="AE601" s="262"/>
      <c r="AF601" s="263">
        <f t="shared" si="613"/>
        <v>0</v>
      </c>
      <c r="AG601" s="238"/>
      <c r="AH601" s="229">
        <f t="shared" si="637"/>
        <v>1</v>
      </c>
      <c r="AI601" s="229">
        <f t="shared" si="638"/>
        <v>1</v>
      </c>
      <c r="AJ601" s="229">
        <f t="shared" si="639"/>
        <v>0</v>
      </c>
      <c r="AK601" s="229">
        <v>0</v>
      </c>
      <c r="AL601" s="229">
        <v>0</v>
      </c>
      <c r="AM601" s="229">
        <v>1</v>
      </c>
      <c r="AN601" s="229">
        <v>0</v>
      </c>
      <c r="AO601" s="229">
        <f t="shared" si="614"/>
        <v>-100</v>
      </c>
      <c r="AP601" s="238"/>
      <c r="AQ601" s="255"/>
      <c r="AR601" s="255"/>
      <c r="AS601" s="256"/>
      <c r="AT601" s="256"/>
      <c r="AU601" s="256"/>
      <c r="AV601" s="256"/>
      <c r="AW601" s="256"/>
      <c r="AX601" s="256"/>
      <c r="AY601" s="256"/>
      <c r="AZ601" s="256"/>
      <c r="BA601" s="256"/>
      <c r="BB601" s="256"/>
      <c r="BC601" s="256"/>
      <c r="BD601" s="238"/>
      <c r="BE601" s="229" cm="1">
        <f t="array" ref="BE601">IF(ISBLANK(R601), INDEX(Use, $AH601, 4) - AM601*INDEX(Use, $AH601, 6), R601)</f>
        <v>5</v>
      </c>
      <c r="BF601" s="229">
        <f t="shared" si="615"/>
        <v>30</v>
      </c>
      <c r="BG601" s="229">
        <f t="shared" si="641"/>
        <v>13</v>
      </c>
      <c r="BH601" s="229">
        <f t="shared" si="642"/>
        <v>0</v>
      </c>
      <c r="BI601" s="234" cm="1">
        <f t="array" ref="BI601">K601/IF($L601&gt;0, INDEX($AU$23:$BA$77, $L601+20, $AH601), 1)</f>
        <v>0</v>
      </c>
      <c r="BJ601" s="230">
        <f t="shared" si="616"/>
        <v>0</v>
      </c>
      <c r="BK601" s="229">
        <v>35</v>
      </c>
      <c r="BL601" s="230">
        <f t="shared" si="617"/>
        <v>48</v>
      </c>
      <c r="BM601" s="235">
        <f t="shared" si="618"/>
        <v>2.9108720930232557</v>
      </c>
      <c r="BN601" s="235" cm="1">
        <f t="array" ref="BN601">$BI601 * SUMPRODUCT(INDEX($AR$77:$AT$82,,$AI601),INDEX($AU$77:$BA$82,,$AH601), N($AQ$77:$AQ$82&gt;$AO601)) / BM601 / 1000</f>
        <v>0</v>
      </c>
      <c r="BO601" s="232">
        <f t="shared" si="643"/>
        <v>30</v>
      </c>
      <c r="BP601" s="230">
        <f t="shared" si="619"/>
        <v>43</v>
      </c>
      <c r="BQ601" s="235">
        <f t="shared" si="620"/>
        <v>3.2938815789473681</v>
      </c>
      <c r="BR601" s="235" cm="1">
        <f t="array" ref="BR601">$BI601 * IF($AH601&lt;=2,
SUMPRODUCT(INDEX($AR$72:$AT$76,,$AI601), INDEX($AU$72:$BA$76,,$AH601), 1 / ($BB$72:$BB$76*BQ601 + (1-$BB$72:$BB$76)*BM601), N($AQ$72:$AQ$76&gt;$AO601)),
SUMPRODUCT(INDEX($AR$67:$AT$76,,$AI601), INDEX($AU$67:$BA$76,,$AH601), 1 / ($BC$67:$BC$76*BQ601 + (1-$BC$67:$BC$76)*BM601), N($AQ$67:$AQ$76&gt;$AO601))
) / 1000</f>
        <v>0</v>
      </c>
      <c r="BS601" s="232">
        <f t="shared" si="644"/>
        <v>25</v>
      </c>
      <c r="BT601" s="230">
        <f t="shared" si="621"/>
        <v>38</v>
      </c>
      <c r="BU601" s="235">
        <f t="shared" si="622"/>
        <v>3.792954545454545</v>
      </c>
      <c r="BV601" s="235" cm="1">
        <f t="array" ref="BV601">$BI601 * IF($AH601&lt;=2,
SUMPRODUCT(INDEX($AR$67:$AT$71,,$AI601), INDEX($AU$67:$BA$71,,$AH601), 1 / ($BB$67:$BB$71*BU601 + (1-$BB$67:$BB$71)*BQ601), N($AQ$67:$AQ$71&gt;$AO601)),
SUMPRODUCT(INDEX($AR$57:$AT$66,,$AI601), INDEX($AU$57:$BA$66,,$AH601), 1 / ($BC$57:$BC$66*BU601 + (1-$BC$57:$BC$66)*BQ601), N($AQ$57:$AQ$66&gt;$AO601))
) / 1000</f>
        <v>0</v>
      </c>
      <c r="BW601" s="232">
        <f t="shared" si="645"/>
        <v>20</v>
      </c>
      <c r="BX601" s="230">
        <f t="shared" si="623"/>
        <v>33</v>
      </c>
      <c r="BY601" s="235">
        <f t="shared" si="624"/>
        <v>4.4702678571428569</v>
      </c>
      <c r="BZ601" s="235" cm="1">
        <f t="array" ref="BZ601">$BI601 * IF($AH601&lt;=2,
SUMPRODUCT(INDEX($AR$62:$AT$66,,$AI601), INDEX($AU$62:$BA$66,,$AH601), 1 / ($BB$62:$BB$66*BY601 + (1-$BB$62:$BB$66)*BU601), N($AQ$62:$AQ$66&gt;$AO601)),
SUMPRODUCT(INDEX($AR$47:$AT$56,,$AI601), INDEX($AU$47:$BA$56,,$AH601), 1 / ($BC$47:$BC$56*BY601 + (1-$BC$47:$BC$56)*BU601), N($AQ$47:$AQ$56&gt;$AO601))
) / 1000</f>
        <v>0</v>
      </c>
      <c r="CA601" s="235" cm="1">
        <f t="array" ref="CA601">$BI601 * IF($AH601&lt;=2,
SUMPRODUCT(INDEX($AR$23:$AT$61,,$AI601), INDEX($AU$23:$BA$61,,$AH601), 1 / ($BB$23:$BB$61*BY601), N($AQ$23:$AQ$61&gt;$AO601)),
SUMPRODUCT(INDEX($AR$23:$AT$46,,$AI601), INDEX($AU$23:$BA$46,,$AH601), 1 / ($BC$23:$BC$46*BY601), N($AQ$23:$AQ$46&gt;$AO601))
) / 1000</f>
        <v>0</v>
      </c>
      <c r="CB601" s="230">
        <f t="shared" si="625"/>
        <v>0</v>
      </c>
      <c r="CC601" s="238"/>
      <c r="CD601" s="229" cm="1">
        <f t="array" ref="CD601">IF(ISBLANK(Y601), INDEX(Use, $AH601, 4) - AN601*INDEX(Use, $AH601, 6) - (Q601-X601), Y601)</f>
        <v>7</v>
      </c>
      <c r="CE601" s="229">
        <f t="shared" si="626"/>
        <v>32</v>
      </c>
      <c r="CF601" s="230">
        <f t="shared" si="627"/>
        <v>0</v>
      </c>
      <c r="CG601" s="229">
        <v>35</v>
      </c>
      <c r="CH601" s="230">
        <f t="shared" si="628"/>
        <v>48</v>
      </c>
      <c r="CI601" s="235">
        <f t="shared" si="629"/>
        <v>3.0748170731707316</v>
      </c>
      <c r="CJ601" s="235" cm="1">
        <f t="array" ref="CJ601">$BI601 * SUMPRODUCT(INDEX($AR$77:$AT$82,,$AI601),INDEX($AU$77:$BA$82,,$AH601), N($AQ$77:$AQ$82&gt;$AO601)) / CI601 / 1000</f>
        <v>0</v>
      </c>
      <c r="CK601" s="232">
        <f t="shared" si="646"/>
        <v>30</v>
      </c>
      <c r="CL601" s="230">
        <f t="shared" si="630"/>
        <v>43</v>
      </c>
      <c r="CM601" s="235">
        <f t="shared" si="631"/>
        <v>3.5018750000000001</v>
      </c>
      <c r="CN601" s="235" cm="1">
        <f t="array" ref="CN601">$BI601 * IF($AH601&lt;=2,
SUMPRODUCT(INDEX($AR$72:$AT$76,,$AI601), INDEX($AU$72:$BA$76,,$AH601), 1 / ($BB$72:$BB$76*CM601 + (1-$BB$72:$BB$76)*CI601), N($AQ$72:$AQ$76&gt;$AO601)),
SUMPRODUCT(INDEX($AR$67:$AT$76,,$AI601), INDEX($AU$67:$BA$76,,$AH601), 1 / ($BC$67:$BC$76*CM601 + (1-$BC$67:$BC$76)*CI601), N($AQ$67:$AQ$76&gt;$AO601))
) / 1000</f>
        <v>0</v>
      </c>
      <c r="CO601" s="232">
        <f t="shared" si="647"/>
        <v>25</v>
      </c>
      <c r="CP601" s="230">
        <f t="shared" si="632"/>
        <v>38</v>
      </c>
      <c r="CQ601" s="235">
        <f t="shared" si="633"/>
        <v>4.0666935483870965</v>
      </c>
      <c r="CR601" s="235" cm="1">
        <f t="array" ref="CR601">$BI601 * IF($AH601&lt;=2,
SUMPRODUCT(INDEX($AR$67:$AT$71,,$AI601), INDEX($AU$67:$BA$71,,$AH601), 1 / ($BB$67:$BB$71*CQ601 + (1-$BB$67:$BB$71)*CM601), N($AQ$67:$AQ$71&gt;$AO601)),
SUMPRODUCT(INDEX($AR$57:$AT$66,,$AI601), INDEX($AU$57:$BA$66,,$AH601), 1 / ($BC$57:$BC$66*CQ601 + (1-$BC$57:$BC$66)*CM601), N($AQ$57:$AQ$66&gt;$AO601))
) / 1000</f>
        <v>0</v>
      </c>
      <c r="CS601" s="232">
        <f t="shared" si="648"/>
        <v>20</v>
      </c>
      <c r="CT601" s="230">
        <f t="shared" si="634"/>
        <v>33</v>
      </c>
      <c r="CU601" s="235">
        <f t="shared" si="635"/>
        <v>4.8487499999999999</v>
      </c>
      <c r="CV601" s="235" cm="1">
        <f t="array" ref="CV601">$BI601 * IF($AH601&lt;=2,
SUMPRODUCT(INDEX($AR$62:$AT$66,,$AI601), INDEX($AU$62:$BA$66,,$AH601), 1 / ($BB$62:$BB$66*CU601 + (1-$BB$62:$BB$66)*CQ601), N($AQ$62:$AQ$66&gt;$AO601)),
SUMPRODUCT(INDEX($AR$47:$AT$56,,$AI601), INDEX($AU$47:$BA$56,,$AH601), 1 / ($BC$47:$BC$56*CU601 + (1-$BC$47:$BC$56)*CQ601), N($AQ$47:$AQ$56&gt;$AO601))
) / 1000</f>
        <v>0</v>
      </c>
      <c r="CW601" s="235" cm="1">
        <f t="array" ref="CW601">$BI601 * IF($AH601&lt;=2,
SUMPRODUCT(INDEX($AR$23:$AT$61,,$AI601), INDEX($AU$23:$BA$61,,$AH601), 1 / ($BB$23:$BB$61*CU601), N($AQ$23:$AQ$61&gt;$AO601)),
SUMPRODUCT(INDEX($AR$23:$AT$46,,$AI601), INDEX($AU$23:$BA$46,,$AH601), 1 / ($BC$23:$BC$46*CU601), N($AQ$23:$AQ$46&gt;$AO601))
) / 1000</f>
        <v>0</v>
      </c>
      <c r="CX601" s="230">
        <f t="shared" si="636"/>
        <v>0</v>
      </c>
      <c r="CY601" s="238"/>
    </row>
    <row r="602" spans="1:103" s="76" customFormat="1" ht="14.25" customHeight="1" x14ac:dyDescent="0.2">
      <c r="A602" s="231" t="b">
        <f t="shared" si="640"/>
        <v>0</v>
      </c>
      <c r="B602" s="245">
        <v>580</v>
      </c>
      <c r="C602" s="258"/>
      <c r="D602" s="258"/>
      <c r="E602" s="246"/>
      <c r="F602" s="247" t="str">
        <f>IF(ISBLANK(E602), "", VLOOKUP(E602, Z!$A$2:$C$4127, 3, FALSE))</f>
        <v/>
      </c>
      <c r="G602" s="248"/>
      <c r="H602" s="248"/>
      <c r="I602" s="249"/>
      <c r="J602" s="250"/>
      <c r="K602" s="259"/>
      <c r="L602" s="260"/>
      <c r="M602" s="252" t="str" cm="1">
        <f t="array" ref="M602">INDEX(Trad, 53, $A$20)</f>
        <v>Verschmutzt</v>
      </c>
      <c r="N602" s="253"/>
      <c r="O602" s="253"/>
      <c r="P602" s="254"/>
      <c r="Q602" s="251"/>
      <c r="R602" s="251"/>
      <c r="S602" s="264">
        <f t="shared" si="611"/>
        <v>0</v>
      </c>
      <c r="T602" s="252" t="str" cm="1">
        <f t="array" ref="T602">INDEX(Trad, 52, $A$20)</f>
        <v>Sauber</v>
      </c>
      <c r="U602" s="253"/>
      <c r="V602" s="253"/>
      <c r="W602" s="254"/>
      <c r="X602" s="251"/>
      <c r="Y602" s="251"/>
      <c r="Z602" s="264">
        <f t="shared" si="612"/>
        <v>0</v>
      </c>
      <c r="AA602" s="261"/>
      <c r="AB602" s="258"/>
      <c r="AC602" s="246"/>
      <c r="AD602" s="247" t="str">
        <f>IF(ISBLANK(AC602), "", VLOOKUP(AC602, Z!$A$2:$C$4127, 3, FALSE))</f>
        <v/>
      </c>
      <c r="AE602" s="262"/>
      <c r="AF602" s="263">
        <f t="shared" si="613"/>
        <v>0</v>
      </c>
      <c r="AG602" s="238"/>
      <c r="AH602" s="229">
        <f t="shared" si="637"/>
        <v>1</v>
      </c>
      <c r="AI602" s="229">
        <f t="shared" si="638"/>
        <v>1</v>
      </c>
      <c r="AJ602" s="229">
        <f t="shared" si="639"/>
        <v>0</v>
      </c>
      <c r="AK602" s="229">
        <v>0</v>
      </c>
      <c r="AL602" s="229">
        <v>0</v>
      </c>
      <c r="AM602" s="229">
        <v>1</v>
      </c>
      <c r="AN602" s="229">
        <v>0</v>
      </c>
      <c r="AO602" s="229">
        <f t="shared" si="614"/>
        <v>-100</v>
      </c>
      <c r="AP602" s="238"/>
      <c r="AQ602" s="255"/>
      <c r="AR602" s="255"/>
      <c r="AS602" s="256"/>
      <c r="AT602" s="256"/>
      <c r="AU602" s="256"/>
      <c r="AV602" s="256"/>
      <c r="AW602" s="256"/>
      <c r="AX602" s="256"/>
      <c r="AY602" s="256"/>
      <c r="AZ602" s="256"/>
      <c r="BA602" s="256"/>
      <c r="BB602" s="256"/>
      <c r="BC602" s="256"/>
      <c r="BD602" s="238"/>
      <c r="BE602" s="229" cm="1">
        <f t="array" ref="BE602">IF(ISBLANK(R602), INDEX(Use, $AH602, 4) - AM602*INDEX(Use, $AH602, 6), R602)</f>
        <v>5</v>
      </c>
      <c r="BF602" s="229">
        <f t="shared" si="615"/>
        <v>30</v>
      </c>
      <c r="BG602" s="229">
        <f t="shared" si="641"/>
        <v>13</v>
      </c>
      <c r="BH602" s="229">
        <f t="shared" si="642"/>
        <v>0</v>
      </c>
      <c r="BI602" s="234" cm="1">
        <f t="array" ref="BI602">K602/IF($L602&gt;0, INDEX($AU$23:$BA$77, $L602+20, $AH602), 1)</f>
        <v>0</v>
      </c>
      <c r="BJ602" s="230">
        <f t="shared" si="616"/>
        <v>0</v>
      </c>
      <c r="BK602" s="229">
        <v>35</v>
      </c>
      <c r="BL602" s="230">
        <f t="shared" si="617"/>
        <v>48</v>
      </c>
      <c r="BM602" s="235">
        <f t="shared" si="618"/>
        <v>2.9108720930232557</v>
      </c>
      <c r="BN602" s="235" cm="1">
        <f t="array" ref="BN602">$BI602 * SUMPRODUCT(INDEX($AR$77:$AT$82,,$AI602),INDEX($AU$77:$BA$82,,$AH602), N($AQ$77:$AQ$82&gt;$AO602)) / BM602 / 1000</f>
        <v>0</v>
      </c>
      <c r="BO602" s="232">
        <f t="shared" si="643"/>
        <v>30</v>
      </c>
      <c r="BP602" s="230">
        <f t="shared" si="619"/>
        <v>43</v>
      </c>
      <c r="BQ602" s="235">
        <f t="shared" si="620"/>
        <v>3.2938815789473681</v>
      </c>
      <c r="BR602" s="235" cm="1">
        <f t="array" ref="BR602">$BI602 * IF($AH602&lt;=2,
SUMPRODUCT(INDEX($AR$72:$AT$76,,$AI602), INDEX($AU$72:$BA$76,,$AH602), 1 / ($BB$72:$BB$76*BQ602 + (1-$BB$72:$BB$76)*BM602), N($AQ$72:$AQ$76&gt;$AO602)),
SUMPRODUCT(INDEX($AR$67:$AT$76,,$AI602), INDEX($AU$67:$BA$76,,$AH602), 1 / ($BC$67:$BC$76*BQ602 + (1-$BC$67:$BC$76)*BM602), N($AQ$67:$AQ$76&gt;$AO602))
) / 1000</f>
        <v>0</v>
      </c>
      <c r="BS602" s="232">
        <f t="shared" si="644"/>
        <v>25</v>
      </c>
      <c r="BT602" s="230">
        <f t="shared" si="621"/>
        <v>38</v>
      </c>
      <c r="BU602" s="235">
        <f t="shared" si="622"/>
        <v>3.792954545454545</v>
      </c>
      <c r="BV602" s="235" cm="1">
        <f t="array" ref="BV602">$BI602 * IF($AH602&lt;=2,
SUMPRODUCT(INDEX($AR$67:$AT$71,,$AI602), INDEX($AU$67:$BA$71,,$AH602), 1 / ($BB$67:$BB$71*BU602 + (1-$BB$67:$BB$71)*BQ602), N($AQ$67:$AQ$71&gt;$AO602)),
SUMPRODUCT(INDEX($AR$57:$AT$66,,$AI602), INDEX($AU$57:$BA$66,,$AH602), 1 / ($BC$57:$BC$66*BU602 + (1-$BC$57:$BC$66)*BQ602), N($AQ$57:$AQ$66&gt;$AO602))
) / 1000</f>
        <v>0</v>
      </c>
      <c r="BW602" s="232">
        <f t="shared" si="645"/>
        <v>20</v>
      </c>
      <c r="BX602" s="230">
        <f t="shared" si="623"/>
        <v>33</v>
      </c>
      <c r="BY602" s="235">
        <f t="shared" si="624"/>
        <v>4.4702678571428569</v>
      </c>
      <c r="BZ602" s="235" cm="1">
        <f t="array" ref="BZ602">$BI602 * IF($AH602&lt;=2,
SUMPRODUCT(INDEX($AR$62:$AT$66,,$AI602), INDEX($AU$62:$BA$66,,$AH602), 1 / ($BB$62:$BB$66*BY602 + (1-$BB$62:$BB$66)*BU602), N($AQ$62:$AQ$66&gt;$AO602)),
SUMPRODUCT(INDEX($AR$47:$AT$56,,$AI602), INDEX($AU$47:$BA$56,,$AH602), 1 / ($BC$47:$BC$56*BY602 + (1-$BC$47:$BC$56)*BU602), N($AQ$47:$AQ$56&gt;$AO602))
) / 1000</f>
        <v>0</v>
      </c>
      <c r="CA602" s="235" cm="1">
        <f t="array" ref="CA602">$BI602 * IF($AH602&lt;=2,
SUMPRODUCT(INDEX($AR$23:$AT$61,,$AI602), INDEX($AU$23:$BA$61,,$AH602), 1 / ($BB$23:$BB$61*BY602), N($AQ$23:$AQ$61&gt;$AO602)),
SUMPRODUCT(INDEX($AR$23:$AT$46,,$AI602), INDEX($AU$23:$BA$46,,$AH602), 1 / ($BC$23:$BC$46*BY602), N($AQ$23:$AQ$46&gt;$AO602))
) / 1000</f>
        <v>0</v>
      </c>
      <c r="CB602" s="230">
        <f t="shared" si="625"/>
        <v>0</v>
      </c>
      <c r="CC602" s="238"/>
      <c r="CD602" s="229" cm="1">
        <f t="array" ref="CD602">IF(ISBLANK(Y602), INDEX(Use, $AH602, 4) - AN602*INDEX(Use, $AH602, 6) - (Q602-X602), Y602)</f>
        <v>7</v>
      </c>
      <c r="CE602" s="229">
        <f t="shared" si="626"/>
        <v>32</v>
      </c>
      <c r="CF602" s="230">
        <f t="shared" si="627"/>
        <v>0</v>
      </c>
      <c r="CG602" s="229">
        <v>35</v>
      </c>
      <c r="CH602" s="230">
        <f t="shared" si="628"/>
        <v>48</v>
      </c>
      <c r="CI602" s="235">
        <f t="shared" si="629"/>
        <v>3.0748170731707316</v>
      </c>
      <c r="CJ602" s="235" cm="1">
        <f t="array" ref="CJ602">$BI602 * SUMPRODUCT(INDEX($AR$77:$AT$82,,$AI602),INDEX($AU$77:$BA$82,,$AH602), N($AQ$77:$AQ$82&gt;$AO602)) / CI602 / 1000</f>
        <v>0</v>
      </c>
      <c r="CK602" s="232">
        <f t="shared" si="646"/>
        <v>30</v>
      </c>
      <c r="CL602" s="230">
        <f t="shared" si="630"/>
        <v>43</v>
      </c>
      <c r="CM602" s="235">
        <f t="shared" si="631"/>
        <v>3.5018750000000001</v>
      </c>
      <c r="CN602" s="235" cm="1">
        <f t="array" ref="CN602">$BI602 * IF($AH602&lt;=2,
SUMPRODUCT(INDEX($AR$72:$AT$76,,$AI602), INDEX($AU$72:$BA$76,,$AH602), 1 / ($BB$72:$BB$76*CM602 + (1-$BB$72:$BB$76)*CI602), N($AQ$72:$AQ$76&gt;$AO602)),
SUMPRODUCT(INDEX($AR$67:$AT$76,,$AI602), INDEX($AU$67:$BA$76,,$AH602), 1 / ($BC$67:$BC$76*CM602 + (1-$BC$67:$BC$76)*CI602), N($AQ$67:$AQ$76&gt;$AO602))
) / 1000</f>
        <v>0</v>
      </c>
      <c r="CO602" s="232">
        <f t="shared" si="647"/>
        <v>25</v>
      </c>
      <c r="CP602" s="230">
        <f t="shared" si="632"/>
        <v>38</v>
      </c>
      <c r="CQ602" s="235">
        <f t="shared" si="633"/>
        <v>4.0666935483870965</v>
      </c>
      <c r="CR602" s="235" cm="1">
        <f t="array" ref="CR602">$BI602 * IF($AH602&lt;=2,
SUMPRODUCT(INDEX($AR$67:$AT$71,,$AI602), INDEX($AU$67:$BA$71,,$AH602), 1 / ($BB$67:$BB$71*CQ602 + (1-$BB$67:$BB$71)*CM602), N($AQ$67:$AQ$71&gt;$AO602)),
SUMPRODUCT(INDEX($AR$57:$AT$66,,$AI602), INDEX($AU$57:$BA$66,,$AH602), 1 / ($BC$57:$BC$66*CQ602 + (1-$BC$57:$BC$66)*CM602), N($AQ$57:$AQ$66&gt;$AO602))
) / 1000</f>
        <v>0</v>
      </c>
      <c r="CS602" s="232">
        <f t="shared" si="648"/>
        <v>20</v>
      </c>
      <c r="CT602" s="230">
        <f t="shared" si="634"/>
        <v>33</v>
      </c>
      <c r="CU602" s="235">
        <f t="shared" si="635"/>
        <v>4.8487499999999999</v>
      </c>
      <c r="CV602" s="235" cm="1">
        <f t="array" ref="CV602">$BI602 * IF($AH602&lt;=2,
SUMPRODUCT(INDEX($AR$62:$AT$66,,$AI602), INDEX($AU$62:$BA$66,,$AH602), 1 / ($BB$62:$BB$66*CU602 + (1-$BB$62:$BB$66)*CQ602), N($AQ$62:$AQ$66&gt;$AO602)),
SUMPRODUCT(INDEX($AR$47:$AT$56,,$AI602), INDEX($AU$47:$BA$56,,$AH602), 1 / ($BC$47:$BC$56*CU602 + (1-$BC$47:$BC$56)*CQ602), N($AQ$47:$AQ$56&gt;$AO602))
) / 1000</f>
        <v>0</v>
      </c>
      <c r="CW602" s="235" cm="1">
        <f t="array" ref="CW602">$BI602 * IF($AH602&lt;=2,
SUMPRODUCT(INDEX($AR$23:$AT$61,,$AI602), INDEX($AU$23:$BA$61,,$AH602), 1 / ($BB$23:$BB$61*CU602), N($AQ$23:$AQ$61&gt;$AO602)),
SUMPRODUCT(INDEX($AR$23:$AT$46,,$AI602), INDEX($AU$23:$BA$46,,$AH602), 1 / ($BC$23:$BC$46*CU602), N($AQ$23:$AQ$46&gt;$AO602))
) / 1000</f>
        <v>0</v>
      </c>
      <c r="CX602" s="230">
        <f t="shared" si="636"/>
        <v>0</v>
      </c>
      <c r="CY602" s="238"/>
    </row>
    <row r="603" spans="1:103" s="76" customFormat="1" ht="14.25" customHeight="1" x14ac:dyDescent="0.2">
      <c r="A603" s="231" t="b">
        <f t="shared" si="640"/>
        <v>0</v>
      </c>
      <c r="B603" s="245">
        <v>581</v>
      </c>
      <c r="C603" s="258"/>
      <c r="D603" s="258"/>
      <c r="E603" s="246"/>
      <c r="F603" s="247" t="str">
        <f>IF(ISBLANK(E603), "", VLOOKUP(E603, Z!$A$2:$C$4127, 3, FALSE))</f>
        <v/>
      </c>
      <c r="G603" s="248"/>
      <c r="H603" s="248"/>
      <c r="I603" s="249"/>
      <c r="J603" s="250"/>
      <c r="K603" s="259"/>
      <c r="L603" s="260"/>
      <c r="M603" s="252" t="str" cm="1">
        <f t="array" ref="M603">INDEX(Trad, 53, $A$20)</f>
        <v>Verschmutzt</v>
      </c>
      <c r="N603" s="253"/>
      <c r="O603" s="253"/>
      <c r="P603" s="254"/>
      <c r="Q603" s="251"/>
      <c r="R603" s="251"/>
      <c r="S603" s="264">
        <f t="shared" si="611"/>
        <v>0</v>
      </c>
      <c r="T603" s="252" t="str" cm="1">
        <f t="array" ref="T603">INDEX(Trad, 52, $A$20)</f>
        <v>Sauber</v>
      </c>
      <c r="U603" s="253"/>
      <c r="V603" s="253"/>
      <c r="W603" s="254"/>
      <c r="X603" s="251"/>
      <c r="Y603" s="251"/>
      <c r="Z603" s="264">
        <f t="shared" si="612"/>
        <v>0</v>
      </c>
      <c r="AA603" s="261"/>
      <c r="AB603" s="258"/>
      <c r="AC603" s="246"/>
      <c r="AD603" s="247" t="str">
        <f>IF(ISBLANK(AC603), "", VLOOKUP(AC603, Z!$A$2:$C$4127, 3, FALSE))</f>
        <v/>
      </c>
      <c r="AE603" s="262"/>
      <c r="AF603" s="263">
        <f t="shared" si="613"/>
        <v>0</v>
      </c>
      <c r="AG603" s="238"/>
      <c r="AH603" s="229">
        <f t="shared" si="637"/>
        <v>1</v>
      </c>
      <c r="AI603" s="229">
        <f t="shared" si="638"/>
        <v>1</v>
      </c>
      <c r="AJ603" s="229">
        <f t="shared" si="639"/>
        <v>0</v>
      </c>
      <c r="AK603" s="229">
        <v>0</v>
      </c>
      <c r="AL603" s="229">
        <v>0</v>
      </c>
      <c r="AM603" s="229">
        <v>1</v>
      </c>
      <c r="AN603" s="229">
        <v>0</v>
      </c>
      <c r="AO603" s="229">
        <f t="shared" si="614"/>
        <v>-100</v>
      </c>
      <c r="AP603" s="238"/>
      <c r="AQ603" s="255"/>
      <c r="AR603" s="255"/>
      <c r="AS603" s="256"/>
      <c r="AT603" s="256"/>
      <c r="AU603" s="256"/>
      <c r="AV603" s="256"/>
      <c r="AW603" s="256"/>
      <c r="AX603" s="256"/>
      <c r="AY603" s="256"/>
      <c r="AZ603" s="256"/>
      <c r="BA603" s="256"/>
      <c r="BB603" s="256"/>
      <c r="BC603" s="256"/>
      <c r="BD603" s="238"/>
      <c r="BE603" s="229" cm="1">
        <f t="array" ref="BE603">IF(ISBLANK(R603), INDEX(Use, $AH603, 4) - AM603*INDEX(Use, $AH603, 6), R603)</f>
        <v>5</v>
      </c>
      <c r="BF603" s="229">
        <f t="shared" si="615"/>
        <v>30</v>
      </c>
      <c r="BG603" s="229">
        <f t="shared" si="641"/>
        <v>13</v>
      </c>
      <c r="BH603" s="229">
        <f t="shared" si="642"/>
        <v>0</v>
      </c>
      <c r="BI603" s="234" cm="1">
        <f t="array" ref="BI603">K603/IF($L603&gt;0, INDEX($AU$23:$BA$77, $L603+20, $AH603), 1)</f>
        <v>0</v>
      </c>
      <c r="BJ603" s="230">
        <f t="shared" si="616"/>
        <v>0</v>
      </c>
      <c r="BK603" s="229">
        <v>35</v>
      </c>
      <c r="BL603" s="230">
        <f t="shared" si="617"/>
        <v>48</v>
      </c>
      <c r="BM603" s="235">
        <f t="shared" si="618"/>
        <v>2.9108720930232557</v>
      </c>
      <c r="BN603" s="235" cm="1">
        <f t="array" ref="BN603">$BI603 * SUMPRODUCT(INDEX($AR$77:$AT$82,,$AI603),INDEX($AU$77:$BA$82,,$AH603), N($AQ$77:$AQ$82&gt;$AO603)) / BM603 / 1000</f>
        <v>0</v>
      </c>
      <c r="BO603" s="232">
        <f t="shared" si="643"/>
        <v>30</v>
      </c>
      <c r="BP603" s="230">
        <f t="shared" si="619"/>
        <v>43</v>
      </c>
      <c r="BQ603" s="235">
        <f t="shared" si="620"/>
        <v>3.2938815789473681</v>
      </c>
      <c r="BR603" s="235" cm="1">
        <f t="array" ref="BR603">$BI603 * IF($AH603&lt;=2,
SUMPRODUCT(INDEX($AR$72:$AT$76,,$AI603), INDEX($AU$72:$BA$76,,$AH603), 1 / ($BB$72:$BB$76*BQ603 + (1-$BB$72:$BB$76)*BM603), N($AQ$72:$AQ$76&gt;$AO603)),
SUMPRODUCT(INDEX($AR$67:$AT$76,,$AI603), INDEX($AU$67:$BA$76,,$AH603), 1 / ($BC$67:$BC$76*BQ603 + (1-$BC$67:$BC$76)*BM603), N($AQ$67:$AQ$76&gt;$AO603))
) / 1000</f>
        <v>0</v>
      </c>
      <c r="BS603" s="232">
        <f t="shared" si="644"/>
        <v>25</v>
      </c>
      <c r="BT603" s="230">
        <f t="shared" si="621"/>
        <v>38</v>
      </c>
      <c r="BU603" s="235">
        <f t="shared" si="622"/>
        <v>3.792954545454545</v>
      </c>
      <c r="BV603" s="235" cm="1">
        <f t="array" ref="BV603">$BI603 * IF($AH603&lt;=2,
SUMPRODUCT(INDEX($AR$67:$AT$71,,$AI603), INDEX($AU$67:$BA$71,,$AH603), 1 / ($BB$67:$BB$71*BU603 + (1-$BB$67:$BB$71)*BQ603), N($AQ$67:$AQ$71&gt;$AO603)),
SUMPRODUCT(INDEX($AR$57:$AT$66,,$AI603), INDEX($AU$57:$BA$66,,$AH603), 1 / ($BC$57:$BC$66*BU603 + (1-$BC$57:$BC$66)*BQ603), N($AQ$57:$AQ$66&gt;$AO603))
) / 1000</f>
        <v>0</v>
      </c>
      <c r="BW603" s="232">
        <f t="shared" si="645"/>
        <v>20</v>
      </c>
      <c r="BX603" s="230">
        <f t="shared" si="623"/>
        <v>33</v>
      </c>
      <c r="BY603" s="235">
        <f t="shared" si="624"/>
        <v>4.4702678571428569</v>
      </c>
      <c r="BZ603" s="235" cm="1">
        <f t="array" ref="BZ603">$BI603 * IF($AH603&lt;=2,
SUMPRODUCT(INDEX($AR$62:$AT$66,,$AI603), INDEX($AU$62:$BA$66,,$AH603), 1 / ($BB$62:$BB$66*BY603 + (1-$BB$62:$BB$66)*BU603), N($AQ$62:$AQ$66&gt;$AO603)),
SUMPRODUCT(INDEX($AR$47:$AT$56,,$AI603), INDEX($AU$47:$BA$56,,$AH603), 1 / ($BC$47:$BC$56*BY603 + (1-$BC$47:$BC$56)*BU603), N($AQ$47:$AQ$56&gt;$AO603))
) / 1000</f>
        <v>0</v>
      </c>
      <c r="CA603" s="235" cm="1">
        <f t="array" ref="CA603">$BI603 * IF($AH603&lt;=2,
SUMPRODUCT(INDEX($AR$23:$AT$61,,$AI603), INDEX($AU$23:$BA$61,,$AH603), 1 / ($BB$23:$BB$61*BY603), N($AQ$23:$AQ$61&gt;$AO603)),
SUMPRODUCT(INDEX($AR$23:$AT$46,,$AI603), INDEX($AU$23:$BA$46,,$AH603), 1 / ($BC$23:$BC$46*BY603), N($AQ$23:$AQ$46&gt;$AO603))
) / 1000</f>
        <v>0</v>
      </c>
      <c r="CB603" s="230">
        <f t="shared" si="625"/>
        <v>0</v>
      </c>
      <c r="CC603" s="238"/>
      <c r="CD603" s="229" cm="1">
        <f t="array" ref="CD603">IF(ISBLANK(Y603), INDEX(Use, $AH603, 4) - AN603*INDEX(Use, $AH603, 6) - (Q603-X603), Y603)</f>
        <v>7</v>
      </c>
      <c r="CE603" s="229">
        <f t="shared" si="626"/>
        <v>32</v>
      </c>
      <c r="CF603" s="230">
        <f t="shared" si="627"/>
        <v>0</v>
      </c>
      <c r="CG603" s="229">
        <v>35</v>
      </c>
      <c r="CH603" s="230">
        <f t="shared" si="628"/>
        <v>48</v>
      </c>
      <c r="CI603" s="235">
        <f t="shared" si="629"/>
        <v>3.0748170731707316</v>
      </c>
      <c r="CJ603" s="235" cm="1">
        <f t="array" ref="CJ603">$BI603 * SUMPRODUCT(INDEX($AR$77:$AT$82,,$AI603),INDEX($AU$77:$BA$82,,$AH603), N($AQ$77:$AQ$82&gt;$AO603)) / CI603 / 1000</f>
        <v>0</v>
      </c>
      <c r="CK603" s="232">
        <f t="shared" si="646"/>
        <v>30</v>
      </c>
      <c r="CL603" s="230">
        <f t="shared" si="630"/>
        <v>43</v>
      </c>
      <c r="CM603" s="235">
        <f t="shared" si="631"/>
        <v>3.5018750000000001</v>
      </c>
      <c r="CN603" s="235" cm="1">
        <f t="array" ref="CN603">$BI603 * IF($AH603&lt;=2,
SUMPRODUCT(INDEX($AR$72:$AT$76,,$AI603), INDEX($AU$72:$BA$76,,$AH603), 1 / ($BB$72:$BB$76*CM603 + (1-$BB$72:$BB$76)*CI603), N($AQ$72:$AQ$76&gt;$AO603)),
SUMPRODUCT(INDEX($AR$67:$AT$76,,$AI603), INDEX($AU$67:$BA$76,,$AH603), 1 / ($BC$67:$BC$76*CM603 + (1-$BC$67:$BC$76)*CI603), N($AQ$67:$AQ$76&gt;$AO603))
) / 1000</f>
        <v>0</v>
      </c>
      <c r="CO603" s="232">
        <f t="shared" si="647"/>
        <v>25</v>
      </c>
      <c r="CP603" s="230">
        <f t="shared" si="632"/>
        <v>38</v>
      </c>
      <c r="CQ603" s="235">
        <f t="shared" si="633"/>
        <v>4.0666935483870965</v>
      </c>
      <c r="CR603" s="235" cm="1">
        <f t="array" ref="CR603">$BI603 * IF($AH603&lt;=2,
SUMPRODUCT(INDEX($AR$67:$AT$71,,$AI603), INDEX($AU$67:$BA$71,,$AH603), 1 / ($BB$67:$BB$71*CQ603 + (1-$BB$67:$BB$71)*CM603), N($AQ$67:$AQ$71&gt;$AO603)),
SUMPRODUCT(INDEX($AR$57:$AT$66,,$AI603), INDEX($AU$57:$BA$66,,$AH603), 1 / ($BC$57:$BC$66*CQ603 + (1-$BC$57:$BC$66)*CM603), N($AQ$57:$AQ$66&gt;$AO603))
) / 1000</f>
        <v>0</v>
      </c>
      <c r="CS603" s="232">
        <f t="shared" si="648"/>
        <v>20</v>
      </c>
      <c r="CT603" s="230">
        <f t="shared" si="634"/>
        <v>33</v>
      </c>
      <c r="CU603" s="235">
        <f t="shared" si="635"/>
        <v>4.8487499999999999</v>
      </c>
      <c r="CV603" s="235" cm="1">
        <f t="array" ref="CV603">$BI603 * IF($AH603&lt;=2,
SUMPRODUCT(INDEX($AR$62:$AT$66,,$AI603), INDEX($AU$62:$BA$66,,$AH603), 1 / ($BB$62:$BB$66*CU603 + (1-$BB$62:$BB$66)*CQ603), N($AQ$62:$AQ$66&gt;$AO603)),
SUMPRODUCT(INDEX($AR$47:$AT$56,,$AI603), INDEX($AU$47:$BA$56,,$AH603), 1 / ($BC$47:$BC$56*CU603 + (1-$BC$47:$BC$56)*CQ603), N($AQ$47:$AQ$56&gt;$AO603))
) / 1000</f>
        <v>0</v>
      </c>
      <c r="CW603" s="235" cm="1">
        <f t="array" ref="CW603">$BI603 * IF($AH603&lt;=2,
SUMPRODUCT(INDEX($AR$23:$AT$61,,$AI603), INDEX($AU$23:$BA$61,,$AH603), 1 / ($BB$23:$BB$61*CU603), N($AQ$23:$AQ$61&gt;$AO603)),
SUMPRODUCT(INDEX($AR$23:$AT$46,,$AI603), INDEX($AU$23:$BA$46,,$AH603), 1 / ($BC$23:$BC$46*CU603), N($AQ$23:$AQ$46&gt;$AO603))
) / 1000</f>
        <v>0</v>
      </c>
      <c r="CX603" s="230">
        <f t="shared" si="636"/>
        <v>0</v>
      </c>
      <c r="CY603" s="238"/>
    </row>
    <row r="604" spans="1:103" s="76" customFormat="1" ht="14.25" customHeight="1" x14ac:dyDescent="0.2">
      <c r="A604" s="231" t="b">
        <f t="shared" si="640"/>
        <v>0</v>
      </c>
      <c r="B604" s="245">
        <v>582</v>
      </c>
      <c r="C604" s="258"/>
      <c r="D604" s="258"/>
      <c r="E604" s="246"/>
      <c r="F604" s="247" t="str">
        <f>IF(ISBLANK(E604), "", VLOOKUP(E604, Z!$A$2:$C$4127, 3, FALSE))</f>
        <v/>
      </c>
      <c r="G604" s="248"/>
      <c r="H604" s="248"/>
      <c r="I604" s="249"/>
      <c r="J604" s="250"/>
      <c r="K604" s="259"/>
      <c r="L604" s="260"/>
      <c r="M604" s="252" t="str" cm="1">
        <f t="array" ref="M604">INDEX(Trad, 53, $A$20)</f>
        <v>Verschmutzt</v>
      </c>
      <c r="N604" s="253"/>
      <c r="O604" s="253"/>
      <c r="P604" s="254"/>
      <c r="Q604" s="251"/>
      <c r="R604" s="251"/>
      <c r="S604" s="264">
        <f t="shared" si="611"/>
        <v>0</v>
      </c>
      <c r="T604" s="252" t="str" cm="1">
        <f t="array" ref="T604">INDEX(Trad, 52, $A$20)</f>
        <v>Sauber</v>
      </c>
      <c r="U604" s="253"/>
      <c r="V604" s="253"/>
      <c r="W604" s="254"/>
      <c r="X604" s="251"/>
      <c r="Y604" s="251"/>
      <c r="Z604" s="264">
        <f t="shared" si="612"/>
        <v>0</v>
      </c>
      <c r="AA604" s="261"/>
      <c r="AB604" s="258"/>
      <c r="AC604" s="246"/>
      <c r="AD604" s="247" t="str">
        <f>IF(ISBLANK(AC604), "", VLOOKUP(AC604, Z!$A$2:$C$4127, 3, FALSE))</f>
        <v/>
      </c>
      <c r="AE604" s="262"/>
      <c r="AF604" s="263">
        <f t="shared" si="613"/>
        <v>0</v>
      </c>
      <c r="AG604" s="238"/>
      <c r="AH604" s="229">
        <f t="shared" si="637"/>
        <v>1</v>
      </c>
      <c r="AI604" s="229">
        <f t="shared" si="638"/>
        <v>1</v>
      </c>
      <c r="AJ604" s="229">
        <f t="shared" si="639"/>
        <v>0</v>
      </c>
      <c r="AK604" s="229">
        <v>0</v>
      </c>
      <c r="AL604" s="229">
        <v>0</v>
      </c>
      <c r="AM604" s="229">
        <v>1</v>
      </c>
      <c r="AN604" s="229">
        <v>0</v>
      </c>
      <c r="AO604" s="229">
        <f t="shared" si="614"/>
        <v>-100</v>
      </c>
      <c r="AP604" s="238"/>
      <c r="AQ604" s="255"/>
      <c r="AR604" s="255"/>
      <c r="AS604" s="256"/>
      <c r="AT604" s="256"/>
      <c r="AU604" s="256"/>
      <c r="AV604" s="256"/>
      <c r="AW604" s="256"/>
      <c r="AX604" s="256"/>
      <c r="AY604" s="256"/>
      <c r="AZ604" s="256"/>
      <c r="BA604" s="256"/>
      <c r="BB604" s="256"/>
      <c r="BC604" s="256"/>
      <c r="BD604" s="238"/>
      <c r="BE604" s="229" cm="1">
        <f t="array" ref="BE604">IF(ISBLANK(R604), INDEX(Use, $AH604, 4) - AM604*INDEX(Use, $AH604, 6), R604)</f>
        <v>5</v>
      </c>
      <c r="BF604" s="229">
        <f t="shared" si="615"/>
        <v>30</v>
      </c>
      <c r="BG604" s="229">
        <f t="shared" si="641"/>
        <v>13</v>
      </c>
      <c r="BH604" s="229">
        <f t="shared" si="642"/>
        <v>0</v>
      </c>
      <c r="BI604" s="234" cm="1">
        <f t="array" ref="BI604">K604/IF($L604&gt;0, INDEX($AU$23:$BA$77, $L604+20, $AH604), 1)</f>
        <v>0</v>
      </c>
      <c r="BJ604" s="230">
        <f t="shared" si="616"/>
        <v>0</v>
      </c>
      <c r="BK604" s="229">
        <v>35</v>
      </c>
      <c r="BL604" s="230">
        <f t="shared" si="617"/>
        <v>48</v>
      </c>
      <c r="BM604" s="235">
        <f t="shared" si="618"/>
        <v>2.9108720930232557</v>
      </c>
      <c r="BN604" s="235" cm="1">
        <f t="array" ref="BN604">$BI604 * SUMPRODUCT(INDEX($AR$77:$AT$82,,$AI604),INDEX($AU$77:$BA$82,,$AH604), N($AQ$77:$AQ$82&gt;$AO604)) / BM604 / 1000</f>
        <v>0</v>
      </c>
      <c r="BO604" s="232">
        <f t="shared" si="643"/>
        <v>30</v>
      </c>
      <c r="BP604" s="230">
        <f t="shared" si="619"/>
        <v>43</v>
      </c>
      <c r="BQ604" s="235">
        <f t="shared" si="620"/>
        <v>3.2938815789473681</v>
      </c>
      <c r="BR604" s="235" cm="1">
        <f t="array" ref="BR604">$BI604 * IF($AH604&lt;=2,
SUMPRODUCT(INDEX($AR$72:$AT$76,,$AI604), INDEX($AU$72:$BA$76,,$AH604), 1 / ($BB$72:$BB$76*BQ604 + (1-$BB$72:$BB$76)*BM604), N($AQ$72:$AQ$76&gt;$AO604)),
SUMPRODUCT(INDEX($AR$67:$AT$76,,$AI604), INDEX($AU$67:$BA$76,,$AH604), 1 / ($BC$67:$BC$76*BQ604 + (1-$BC$67:$BC$76)*BM604), N($AQ$67:$AQ$76&gt;$AO604))
) / 1000</f>
        <v>0</v>
      </c>
      <c r="BS604" s="232">
        <f t="shared" si="644"/>
        <v>25</v>
      </c>
      <c r="BT604" s="230">
        <f t="shared" si="621"/>
        <v>38</v>
      </c>
      <c r="BU604" s="235">
        <f t="shared" si="622"/>
        <v>3.792954545454545</v>
      </c>
      <c r="BV604" s="235" cm="1">
        <f t="array" ref="BV604">$BI604 * IF($AH604&lt;=2,
SUMPRODUCT(INDEX($AR$67:$AT$71,,$AI604), INDEX($AU$67:$BA$71,,$AH604), 1 / ($BB$67:$BB$71*BU604 + (1-$BB$67:$BB$71)*BQ604), N($AQ$67:$AQ$71&gt;$AO604)),
SUMPRODUCT(INDEX($AR$57:$AT$66,,$AI604), INDEX($AU$57:$BA$66,,$AH604), 1 / ($BC$57:$BC$66*BU604 + (1-$BC$57:$BC$66)*BQ604), N($AQ$57:$AQ$66&gt;$AO604))
) / 1000</f>
        <v>0</v>
      </c>
      <c r="BW604" s="232">
        <f t="shared" si="645"/>
        <v>20</v>
      </c>
      <c r="BX604" s="230">
        <f t="shared" si="623"/>
        <v>33</v>
      </c>
      <c r="BY604" s="235">
        <f t="shared" si="624"/>
        <v>4.4702678571428569</v>
      </c>
      <c r="BZ604" s="235" cm="1">
        <f t="array" ref="BZ604">$BI604 * IF($AH604&lt;=2,
SUMPRODUCT(INDEX($AR$62:$AT$66,,$AI604), INDEX($AU$62:$BA$66,,$AH604), 1 / ($BB$62:$BB$66*BY604 + (1-$BB$62:$BB$66)*BU604), N($AQ$62:$AQ$66&gt;$AO604)),
SUMPRODUCT(INDEX($AR$47:$AT$56,,$AI604), INDEX($AU$47:$BA$56,,$AH604), 1 / ($BC$47:$BC$56*BY604 + (1-$BC$47:$BC$56)*BU604), N($AQ$47:$AQ$56&gt;$AO604))
) / 1000</f>
        <v>0</v>
      </c>
      <c r="CA604" s="235" cm="1">
        <f t="array" ref="CA604">$BI604 * IF($AH604&lt;=2,
SUMPRODUCT(INDEX($AR$23:$AT$61,,$AI604), INDEX($AU$23:$BA$61,,$AH604), 1 / ($BB$23:$BB$61*BY604), N($AQ$23:$AQ$61&gt;$AO604)),
SUMPRODUCT(INDEX($AR$23:$AT$46,,$AI604), INDEX($AU$23:$BA$46,,$AH604), 1 / ($BC$23:$BC$46*BY604), N($AQ$23:$AQ$46&gt;$AO604))
) / 1000</f>
        <v>0</v>
      </c>
      <c r="CB604" s="230">
        <f t="shared" si="625"/>
        <v>0</v>
      </c>
      <c r="CC604" s="238"/>
      <c r="CD604" s="229" cm="1">
        <f t="array" ref="CD604">IF(ISBLANK(Y604), INDEX(Use, $AH604, 4) - AN604*INDEX(Use, $AH604, 6) - (Q604-X604), Y604)</f>
        <v>7</v>
      </c>
      <c r="CE604" s="229">
        <f t="shared" si="626"/>
        <v>32</v>
      </c>
      <c r="CF604" s="230">
        <f t="shared" si="627"/>
        <v>0</v>
      </c>
      <c r="CG604" s="229">
        <v>35</v>
      </c>
      <c r="CH604" s="230">
        <f t="shared" si="628"/>
        <v>48</v>
      </c>
      <c r="CI604" s="235">
        <f t="shared" si="629"/>
        <v>3.0748170731707316</v>
      </c>
      <c r="CJ604" s="235" cm="1">
        <f t="array" ref="CJ604">$BI604 * SUMPRODUCT(INDEX($AR$77:$AT$82,,$AI604),INDEX($AU$77:$BA$82,,$AH604), N($AQ$77:$AQ$82&gt;$AO604)) / CI604 / 1000</f>
        <v>0</v>
      </c>
      <c r="CK604" s="232">
        <f t="shared" si="646"/>
        <v>30</v>
      </c>
      <c r="CL604" s="230">
        <f t="shared" si="630"/>
        <v>43</v>
      </c>
      <c r="CM604" s="235">
        <f t="shared" si="631"/>
        <v>3.5018750000000001</v>
      </c>
      <c r="CN604" s="235" cm="1">
        <f t="array" ref="CN604">$BI604 * IF($AH604&lt;=2,
SUMPRODUCT(INDEX($AR$72:$AT$76,,$AI604), INDEX($AU$72:$BA$76,,$AH604), 1 / ($BB$72:$BB$76*CM604 + (1-$BB$72:$BB$76)*CI604), N($AQ$72:$AQ$76&gt;$AO604)),
SUMPRODUCT(INDEX($AR$67:$AT$76,,$AI604), INDEX($AU$67:$BA$76,,$AH604), 1 / ($BC$67:$BC$76*CM604 + (1-$BC$67:$BC$76)*CI604), N($AQ$67:$AQ$76&gt;$AO604))
) / 1000</f>
        <v>0</v>
      </c>
      <c r="CO604" s="232">
        <f t="shared" si="647"/>
        <v>25</v>
      </c>
      <c r="CP604" s="230">
        <f t="shared" si="632"/>
        <v>38</v>
      </c>
      <c r="CQ604" s="235">
        <f t="shared" si="633"/>
        <v>4.0666935483870965</v>
      </c>
      <c r="CR604" s="235" cm="1">
        <f t="array" ref="CR604">$BI604 * IF($AH604&lt;=2,
SUMPRODUCT(INDEX($AR$67:$AT$71,,$AI604), INDEX($AU$67:$BA$71,,$AH604), 1 / ($BB$67:$BB$71*CQ604 + (1-$BB$67:$BB$71)*CM604), N($AQ$67:$AQ$71&gt;$AO604)),
SUMPRODUCT(INDEX($AR$57:$AT$66,,$AI604), INDEX($AU$57:$BA$66,,$AH604), 1 / ($BC$57:$BC$66*CQ604 + (1-$BC$57:$BC$66)*CM604), N($AQ$57:$AQ$66&gt;$AO604))
) / 1000</f>
        <v>0</v>
      </c>
      <c r="CS604" s="232">
        <f t="shared" si="648"/>
        <v>20</v>
      </c>
      <c r="CT604" s="230">
        <f t="shared" si="634"/>
        <v>33</v>
      </c>
      <c r="CU604" s="235">
        <f t="shared" si="635"/>
        <v>4.8487499999999999</v>
      </c>
      <c r="CV604" s="235" cm="1">
        <f t="array" ref="CV604">$BI604 * IF($AH604&lt;=2,
SUMPRODUCT(INDEX($AR$62:$AT$66,,$AI604), INDEX($AU$62:$BA$66,,$AH604), 1 / ($BB$62:$BB$66*CU604 + (1-$BB$62:$BB$66)*CQ604), N($AQ$62:$AQ$66&gt;$AO604)),
SUMPRODUCT(INDEX($AR$47:$AT$56,,$AI604), INDEX($AU$47:$BA$56,,$AH604), 1 / ($BC$47:$BC$56*CU604 + (1-$BC$47:$BC$56)*CQ604), N($AQ$47:$AQ$56&gt;$AO604))
) / 1000</f>
        <v>0</v>
      </c>
      <c r="CW604" s="235" cm="1">
        <f t="array" ref="CW604">$BI604 * IF($AH604&lt;=2,
SUMPRODUCT(INDEX($AR$23:$AT$61,,$AI604), INDEX($AU$23:$BA$61,,$AH604), 1 / ($BB$23:$BB$61*CU604), N($AQ$23:$AQ$61&gt;$AO604)),
SUMPRODUCT(INDEX($AR$23:$AT$46,,$AI604), INDEX($AU$23:$BA$46,,$AH604), 1 / ($BC$23:$BC$46*CU604), N($AQ$23:$AQ$46&gt;$AO604))
) / 1000</f>
        <v>0</v>
      </c>
      <c r="CX604" s="230">
        <f t="shared" si="636"/>
        <v>0</v>
      </c>
      <c r="CY604" s="238"/>
    </row>
    <row r="605" spans="1:103" s="76" customFormat="1" ht="14.25" customHeight="1" x14ac:dyDescent="0.2">
      <c r="A605" s="231" t="b">
        <f t="shared" si="640"/>
        <v>0</v>
      </c>
      <c r="B605" s="245">
        <v>583</v>
      </c>
      <c r="C605" s="258"/>
      <c r="D605" s="258"/>
      <c r="E605" s="246"/>
      <c r="F605" s="247" t="str">
        <f>IF(ISBLANK(E605), "", VLOOKUP(E605, Z!$A$2:$C$4127, 3, FALSE))</f>
        <v/>
      </c>
      <c r="G605" s="248"/>
      <c r="H605" s="248"/>
      <c r="I605" s="249"/>
      <c r="J605" s="250"/>
      <c r="K605" s="259"/>
      <c r="L605" s="260"/>
      <c r="M605" s="252" t="str" cm="1">
        <f t="array" ref="M605">INDEX(Trad, 53, $A$20)</f>
        <v>Verschmutzt</v>
      </c>
      <c r="N605" s="253"/>
      <c r="O605" s="253"/>
      <c r="P605" s="254"/>
      <c r="Q605" s="251"/>
      <c r="R605" s="251"/>
      <c r="S605" s="264">
        <f t="shared" si="611"/>
        <v>0</v>
      </c>
      <c r="T605" s="252" t="str" cm="1">
        <f t="array" ref="T605">INDEX(Trad, 52, $A$20)</f>
        <v>Sauber</v>
      </c>
      <c r="U605" s="253"/>
      <c r="V605" s="253"/>
      <c r="W605" s="254"/>
      <c r="X605" s="251"/>
      <c r="Y605" s="251"/>
      <c r="Z605" s="264">
        <f t="shared" si="612"/>
        <v>0</v>
      </c>
      <c r="AA605" s="261"/>
      <c r="AB605" s="258"/>
      <c r="AC605" s="246"/>
      <c r="AD605" s="247" t="str">
        <f>IF(ISBLANK(AC605), "", VLOOKUP(AC605, Z!$A$2:$C$4127, 3, FALSE))</f>
        <v/>
      </c>
      <c r="AE605" s="262"/>
      <c r="AF605" s="263">
        <f t="shared" si="613"/>
        <v>0</v>
      </c>
      <c r="AG605" s="238"/>
      <c r="AH605" s="229">
        <f t="shared" si="637"/>
        <v>1</v>
      </c>
      <c r="AI605" s="229">
        <f t="shared" si="638"/>
        <v>1</v>
      </c>
      <c r="AJ605" s="229">
        <f t="shared" si="639"/>
        <v>0</v>
      </c>
      <c r="AK605" s="229">
        <v>0</v>
      </c>
      <c r="AL605" s="229">
        <v>0</v>
      </c>
      <c r="AM605" s="229">
        <v>1</v>
      </c>
      <c r="AN605" s="229">
        <v>0</v>
      </c>
      <c r="AO605" s="229">
        <f t="shared" si="614"/>
        <v>-100</v>
      </c>
      <c r="AP605" s="238"/>
      <c r="AQ605" s="255"/>
      <c r="AR605" s="255"/>
      <c r="AS605" s="256"/>
      <c r="AT605" s="256"/>
      <c r="AU605" s="256"/>
      <c r="AV605" s="256"/>
      <c r="AW605" s="256"/>
      <c r="AX605" s="256"/>
      <c r="AY605" s="256"/>
      <c r="AZ605" s="256"/>
      <c r="BA605" s="256"/>
      <c r="BB605" s="256"/>
      <c r="BC605" s="256"/>
      <c r="BD605" s="238"/>
      <c r="BE605" s="229" cm="1">
        <f t="array" ref="BE605">IF(ISBLANK(R605), INDEX(Use, $AH605, 4) - AM605*INDEX(Use, $AH605, 6), R605)</f>
        <v>5</v>
      </c>
      <c r="BF605" s="229">
        <f t="shared" si="615"/>
        <v>30</v>
      </c>
      <c r="BG605" s="229">
        <f t="shared" si="641"/>
        <v>13</v>
      </c>
      <c r="BH605" s="229">
        <f t="shared" si="642"/>
        <v>0</v>
      </c>
      <c r="BI605" s="234" cm="1">
        <f t="array" ref="BI605">K605/IF($L605&gt;0, INDEX($AU$23:$BA$77, $L605+20, $AH605), 1)</f>
        <v>0</v>
      </c>
      <c r="BJ605" s="230">
        <f t="shared" si="616"/>
        <v>0</v>
      </c>
      <c r="BK605" s="229">
        <v>35</v>
      </c>
      <c r="BL605" s="230">
        <f t="shared" si="617"/>
        <v>48</v>
      </c>
      <c r="BM605" s="235">
        <f t="shared" si="618"/>
        <v>2.9108720930232557</v>
      </c>
      <c r="BN605" s="235" cm="1">
        <f t="array" ref="BN605">$BI605 * SUMPRODUCT(INDEX($AR$77:$AT$82,,$AI605),INDEX($AU$77:$BA$82,,$AH605), N($AQ$77:$AQ$82&gt;$AO605)) / BM605 / 1000</f>
        <v>0</v>
      </c>
      <c r="BO605" s="232">
        <f t="shared" si="643"/>
        <v>30</v>
      </c>
      <c r="BP605" s="230">
        <f t="shared" si="619"/>
        <v>43</v>
      </c>
      <c r="BQ605" s="235">
        <f t="shared" si="620"/>
        <v>3.2938815789473681</v>
      </c>
      <c r="BR605" s="235" cm="1">
        <f t="array" ref="BR605">$BI605 * IF($AH605&lt;=2,
SUMPRODUCT(INDEX($AR$72:$AT$76,,$AI605), INDEX($AU$72:$BA$76,,$AH605), 1 / ($BB$72:$BB$76*BQ605 + (1-$BB$72:$BB$76)*BM605), N($AQ$72:$AQ$76&gt;$AO605)),
SUMPRODUCT(INDEX($AR$67:$AT$76,,$AI605), INDEX($AU$67:$BA$76,,$AH605), 1 / ($BC$67:$BC$76*BQ605 + (1-$BC$67:$BC$76)*BM605), N($AQ$67:$AQ$76&gt;$AO605))
) / 1000</f>
        <v>0</v>
      </c>
      <c r="BS605" s="232">
        <f t="shared" si="644"/>
        <v>25</v>
      </c>
      <c r="BT605" s="230">
        <f t="shared" si="621"/>
        <v>38</v>
      </c>
      <c r="BU605" s="235">
        <f t="shared" si="622"/>
        <v>3.792954545454545</v>
      </c>
      <c r="BV605" s="235" cm="1">
        <f t="array" ref="BV605">$BI605 * IF($AH605&lt;=2,
SUMPRODUCT(INDEX($AR$67:$AT$71,,$AI605), INDEX($AU$67:$BA$71,,$AH605), 1 / ($BB$67:$BB$71*BU605 + (1-$BB$67:$BB$71)*BQ605), N($AQ$67:$AQ$71&gt;$AO605)),
SUMPRODUCT(INDEX($AR$57:$AT$66,,$AI605), INDEX($AU$57:$BA$66,,$AH605), 1 / ($BC$57:$BC$66*BU605 + (1-$BC$57:$BC$66)*BQ605), N($AQ$57:$AQ$66&gt;$AO605))
) / 1000</f>
        <v>0</v>
      </c>
      <c r="BW605" s="232">
        <f t="shared" si="645"/>
        <v>20</v>
      </c>
      <c r="BX605" s="230">
        <f t="shared" si="623"/>
        <v>33</v>
      </c>
      <c r="BY605" s="235">
        <f t="shared" si="624"/>
        <v>4.4702678571428569</v>
      </c>
      <c r="BZ605" s="235" cm="1">
        <f t="array" ref="BZ605">$BI605 * IF($AH605&lt;=2,
SUMPRODUCT(INDEX($AR$62:$AT$66,,$AI605), INDEX($AU$62:$BA$66,,$AH605), 1 / ($BB$62:$BB$66*BY605 + (1-$BB$62:$BB$66)*BU605), N($AQ$62:$AQ$66&gt;$AO605)),
SUMPRODUCT(INDEX($AR$47:$AT$56,,$AI605), INDEX($AU$47:$BA$56,,$AH605), 1 / ($BC$47:$BC$56*BY605 + (1-$BC$47:$BC$56)*BU605), N($AQ$47:$AQ$56&gt;$AO605))
) / 1000</f>
        <v>0</v>
      </c>
      <c r="CA605" s="235" cm="1">
        <f t="array" ref="CA605">$BI605 * IF($AH605&lt;=2,
SUMPRODUCT(INDEX($AR$23:$AT$61,,$AI605), INDEX($AU$23:$BA$61,,$AH605), 1 / ($BB$23:$BB$61*BY605), N($AQ$23:$AQ$61&gt;$AO605)),
SUMPRODUCT(INDEX($AR$23:$AT$46,,$AI605), INDEX($AU$23:$BA$46,,$AH605), 1 / ($BC$23:$BC$46*BY605), N($AQ$23:$AQ$46&gt;$AO605))
) / 1000</f>
        <v>0</v>
      </c>
      <c r="CB605" s="230">
        <f t="shared" si="625"/>
        <v>0</v>
      </c>
      <c r="CC605" s="238"/>
      <c r="CD605" s="229" cm="1">
        <f t="array" ref="CD605">IF(ISBLANK(Y605), INDEX(Use, $AH605, 4) - AN605*INDEX(Use, $AH605, 6) - (Q605-X605), Y605)</f>
        <v>7</v>
      </c>
      <c r="CE605" s="229">
        <f t="shared" si="626"/>
        <v>32</v>
      </c>
      <c r="CF605" s="230">
        <f t="shared" si="627"/>
        <v>0</v>
      </c>
      <c r="CG605" s="229">
        <v>35</v>
      </c>
      <c r="CH605" s="230">
        <f t="shared" si="628"/>
        <v>48</v>
      </c>
      <c r="CI605" s="235">
        <f t="shared" si="629"/>
        <v>3.0748170731707316</v>
      </c>
      <c r="CJ605" s="235" cm="1">
        <f t="array" ref="CJ605">$BI605 * SUMPRODUCT(INDEX($AR$77:$AT$82,,$AI605),INDEX($AU$77:$BA$82,,$AH605), N($AQ$77:$AQ$82&gt;$AO605)) / CI605 / 1000</f>
        <v>0</v>
      </c>
      <c r="CK605" s="232">
        <f t="shared" si="646"/>
        <v>30</v>
      </c>
      <c r="CL605" s="230">
        <f t="shared" si="630"/>
        <v>43</v>
      </c>
      <c r="CM605" s="235">
        <f t="shared" si="631"/>
        <v>3.5018750000000001</v>
      </c>
      <c r="CN605" s="235" cm="1">
        <f t="array" ref="CN605">$BI605 * IF($AH605&lt;=2,
SUMPRODUCT(INDEX($AR$72:$AT$76,,$AI605), INDEX($AU$72:$BA$76,,$AH605), 1 / ($BB$72:$BB$76*CM605 + (1-$BB$72:$BB$76)*CI605), N($AQ$72:$AQ$76&gt;$AO605)),
SUMPRODUCT(INDEX($AR$67:$AT$76,,$AI605), INDEX($AU$67:$BA$76,,$AH605), 1 / ($BC$67:$BC$76*CM605 + (1-$BC$67:$BC$76)*CI605), N($AQ$67:$AQ$76&gt;$AO605))
) / 1000</f>
        <v>0</v>
      </c>
      <c r="CO605" s="232">
        <f t="shared" si="647"/>
        <v>25</v>
      </c>
      <c r="CP605" s="230">
        <f t="shared" si="632"/>
        <v>38</v>
      </c>
      <c r="CQ605" s="235">
        <f t="shared" si="633"/>
        <v>4.0666935483870965</v>
      </c>
      <c r="CR605" s="235" cm="1">
        <f t="array" ref="CR605">$BI605 * IF($AH605&lt;=2,
SUMPRODUCT(INDEX($AR$67:$AT$71,,$AI605), INDEX($AU$67:$BA$71,,$AH605), 1 / ($BB$67:$BB$71*CQ605 + (1-$BB$67:$BB$71)*CM605), N($AQ$67:$AQ$71&gt;$AO605)),
SUMPRODUCT(INDEX($AR$57:$AT$66,,$AI605), INDEX($AU$57:$BA$66,,$AH605), 1 / ($BC$57:$BC$66*CQ605 + (1-$BC$57:$BC$66)*CM605), N($AQ$57:$AQ$66&gt;$AO605))
) / 1000</f>
        <v>0</v>
      </c>
      <c r="CS605" s="232">
        <f t="shared" si="648"/>
        <v>20</v>
      </c>
      <c r="CT605" s="230">
        <f t="shared" si="634"/>
        <v>33</v>
      </c>
      <c r="CU605" s="235">
        <f t="shared" si="635"/>
        <v>4.8487499999999999</v>
      </c>
      <c r="CV605" s="235" cm="1">
        <f t="array" ref="CV605">$BI605 * IF($AH605&lt;=2,
SUMPRODUCT(INDEX($AR$62:$AT$66,,$AI605), INDEX($AU$62:$BA$66,,$AH605), 1 / ($BB$62:$BB$66*CU605 + (1-$BB$62:$BB$66)*CQ605), N($AQ$62:$AQ$66&gt;$AO605)),
SUMPRODUCT(INDEX($AR$47:$AT$56,,$AI605), INDEX($AU$47:$BA$56,,$AH605), 1 / ($BC$47:$BC$56*CU605 + (1-$BC$47:$BC$56)*CQ605), N($AQ$47:$AQ$56&gt;$AO605))
) / 1000</f>
        <v>0</v>
      </c>
      <c r="CW605" s="235" cm="1">
        <f t="array" ref="CW605">$BI605 * IF($AH605&lt;=2,
SUMPRODUCT(INDEX($AR$23:$AT$61,,$AI605), INDEX($AU$23:$BA$61,,$AH605), 1 / ($BB$23:$BB$61*CU605), N($AQ$23:$AQ$61&gt;$AO605)),
SUMPRODUCT(INDEX($AR$23:$AT$46,,$AI605), INDEX($AU$23:$BA$46,,$AH605), 1 / ($BC$23:$BC$46*CU605), N($AQ$23:$AQ$46&gt;$AO605))
) / 1000</f>
        <v>0</v>
      </c>
      <c r="CX605" s="230">
        <f t="shared" si="636"/>
        <v>0</v>
      </c>
      <c r="CY605" s="238"/>
    </row>
    <row r="606" spans="1:103" s="76" customFormat="1" ht="14.25" customHeight="1" x14ac:dyDescent="0.2">
      <c r="A606" s="231" t="b">
        <f t="shared" si="640"/>
        <v>0</v>
      </c>
      <c r="B606" s="245">
        <v>584</v>
      </c>
      <c r="C606" s="258"/>
      <c r="D606" s="258"/>
      <c r="E606" s="246"/>
      <c r="F606" s="247" t="str">
        <f>IF(ISBLANK(E606), "", VLOOKUP(E606, Z!$A$2:$C$4127, 3, FALSE))</f>
        <v/>
      </c>
      <c r="G606" s="248"/>
      <c r="H606" s="248"/>
      <c r="I606" s="249"/>
      <c r="J606" s="250"/>
      <c r="K606" s="259"/>
      <c r="L606" s="260"/>
      <c r="M606" s="252" t="str" cm="1">
        <f t="array" ref="M606">INDEX(Trad, 53, $A$20)</f>
        <v>Verschmutzt</v>
      </c>
      <c r="N606" s="253"/>
      <c r="O606" s="253"/>
      <c r="P606" s="254"/>
      <c r="Q606" s="251"/>
      <c r="R606" s="251"/>
      <c r="S606" s="264">
        <f t="shared" si="611"/>
        <v>0</v>
      </c>
      <c r="T606" s="252" t="str" cm="1">
        <f t="array" ref="T606">INDEX(Trad, 52, $A$20)</f>
        <v>Sauber</v>
      </c>
      <c r="U606" s="253"/>
      <c r="V606" s="253"/>
      <c r="W606" s="254"/>
      <c r="X606" s="251"/>
      <c r="Y606" s="251"/>
      <c r="Z606" s="264">
        <f t="shared" si="612"/>
        <v>0</v>
      </c>
      <c r="AA606" s="261"/>
      <c r="AB606" s="258"/>
      <c r="AC606" s="246"/>
      <c r="AD606" s="247" t="str">
        <f>IF(ISBLANK(AC606), "", VLOOKUP(AC606, Z!$A$2:$C$4127, 3, FALSE))</f>
        <v/>
      </c>
      <c r="AE606" s="262"/>
      <c r="AF606" s="263">
        <f t="shared" si="613"/>
        <v>0</v>
      </c>
      <c r="AG606" s="238"/>
      <c r="AH606" s="229">
        <f t="shared" si="637"/>
        <v>1</v>
      </c>
      <c r="AI606" s="229">
        <f t="shared" si="638"/>
        <v>1</v>
      </c>
      <c r="AJ606" s="229">
        <f t="shared" si="639"/>
        <v>0</v>
      </c>
      <c r="AK606" s="229">
        <v>0</v>
      </c>
      <c r="AL606" s="229">
        <v>0</v>
      </c>
      <c r="AM606" s="229">
        <v>1</v>
      </c>
      <c r="AN606" s="229">
        <v>0</v>
      </c>
      <c r="AO606" s="229">
        <f t="shared" si="614"/>
        <v>-100</v>
      </c>
      <c r="AP606" s="238"/>
      <c r="AQ606" s="255"/>
      <c r="AR606" s="255"/>
      <c r="AS606" s="256"/>
      <c r="AT606" s="256"/>
      <c r="AU606" s="256"/>
      <c r="AV606" s="256"/>
      <c r="AW606" s="256"/>
      <c r="AX606" s="256"/>
      <c r="AY606" s="256"/>
      <c r="AZ606" s="256"/>
      <c r="BA606" s="256"/>
      <c r="BB606" s="256"/>
      <c r="BC606" s="256"/>
      <c r="BD606" s="238"/>
      <c r="BE606" s="229" cm="1">
        <f t="array" ref="BE606">IF(ISBLANK(R606), INDEX(Use, $AH606, 4) - AM606*INDEX(Use, $AH606, 6), R606)</f>
        <v>5</v>
      </c>
      <c r="BF606" s="229">
        <f t="shared" si="615"/>
        <v>30</v>
      </c>
      <c r="BG606" s="229">
        <f t="shared" si="641"/>
        <v>13</v>
      </c>
      <c r="BH606" s="229">
        <f t="shared" si="642"/>
        <v>0</v>
      </c>
      <c r="BI606" s="234" cm="1">
        <f t="array" ref="BI606">K606/IF($L606&gt;0, INDEX($AU$23:$BA$77, $L606+20, $AH606), 1)</f>
        <v>0</v>
      </c>
      <c r="BJ606" s="230">
        <f t="shared" si="616"/>
        <v>0</v>
      </c>
      <c r="BK606" s="229">
        <v>35</v>
      </c>
      <c r="BL606" s="230">
        <f t="shared" si="617"/>
        <v>48</v>
      </c>
      <c r="BM606" s="235">
        <f t="shared" si="618"/>
        <v>2.9108720930232557</v>
      </c>
      <c r="BN606" s="235" cm="1">
        <f t="array" ref="BN606">$BI606 * SUMPRODUCT(INDEX($AR$77:$AT$82,,$AI606),INDEX($AU$77:$BA$82,,$AH606), N($AQ$77:$AQ$82&gt;$AO606)) / BM606 / 1000</f>
        <v>0</v>
      </c>
      <c r="BO606" s="232">
        <f t="shared" si="643"/>
        <v>30</v>
      </c>
      <c r="BP606" s="230">
        <f t="shared" si="619"/>
        <v>43</v>
      </c>
      <c r="BQ606" s="235">
        <f t="shared" si="620"/>
        <v>3.2938815789473681</v>
      </c>
      <c r="BR606" s="235" cm="1">
        <f t="array" ref="BR606">$BI606 * IF($AH606&lt;=2,
SUMPRODUCT(INDEX($AR$72:$AT$76,,$AI606), INDEX($AU$72:$BA$76,,$AH606), 1 / ($BB$72:$BB$76*BQ606 + (1-$BB$72:$BB$76)*BM606), N($AQ$72:$AQ$76&gt;$AO606)),
SUMPRODUCT(INDEX($AR$67:$AT$76,,$AI606), INDEX($AU$67:$BA$76,,$AH606), 1 / ($BC$67:$BC$76*BQ606 + (1-$BC$67:$BC$76)*BM606), N($AQ$67:$AQ$76&gt;$AO606))
) / 1000</f>
        <v>0</v>
      </c>
      <c r="BS606" s="232">
        <f t="shared" si="644"/>
        <v>25</v>
      </c>
      <c r="BT606" s="230">
        <f t="shared" si="621"/>
        <v>38</v>
      </c>
      <c r="BU606" s="235">
        <f t="shared" si="622"/>
        <v>3.792954545454545</v>
      </c>
      <c r="BV606" s="235" cm="1">
        <f t="array" ref="BV606">$BI606 * IF($AH606&lt;=2,
SUMPRODUCT(INDEX($AR$67:$AT$71,,$AI606), INDEX($AU$67:$BA$71,,$AH606), 1 / ($BB$67:$BB$71*BU606 + (1-$BB$67:$BB$71)*BQ606), N($AQ$67:$AQ$71&gt;$AO606)),
SUMPRODUCT(INDEX($AR$57:$AT$66,,$AI606), INDEX($AU$57:$BA$66,,$AH606), 1 / ($BC$57:$BC$66*BU606 + (1-$BC$57:$BC$66)*BQ606), N($AQ$57:$AQ$66&gt;$AO606))
) / 1000</f>
        <v>0</v>
      </c>
      <c r="BW606" s="232">
        <f t="shared" si="645"/>
        <v>20</v>
      </c>
      <c r="BX606" s="230">
        <f t="shared" si="623"/>
        <v>33</v>
      </c>
      <c r="BY606" s="235">
        <f t="shared" si="624"/>
        <v>4.4702678571428569</v>
      </c>
      <c r="BZ606" s="235" cm="1">
        <f t="array" ref="BZ606">$BI606 * IF($AH606&lt;=2,
SUMPRODUCT(INDEX($AR$62:$AT$66,,$AI606), INDEX($AU$62:$BA$66,,$AH606), 1 / ($BB$62:$BB$66*BY606 + (1-$BB$62:$BB$66)*BU606), N($AQ$62:$AQ$66&gt;$AO606)),
SUMPRODUCT(INDEX($AR$47:$AT$56,,$AI606), INDEX($AU$47:$BA$56,,$AH606), 1 / ($BC$47:$BC$56*BY606 + (1-$BC$47:$BC$56)*BU606), N($AQ$47:$AQ$56&gt;$AO606))
) / 1000</f>
        <v>0</v>
      </c>
      <c r="CA606" s="235" cm="1">
        <f t="array" ref="CA606">$BI606 * IF($AH606&lt;=2,
SUMPRODUCT(INDEX($AR$23:$AT$61,,$AI606), INDEX($AU$23:$BA$61,,$AH606), 1 / ($BB$23:$BB$61*BY606), N($AQ$23:$AQ$61&gt;$AO606)),
SUMPRODUCT(INDEX($AR$23:$AT$46,,$AI606), INDEX($AU$23:$BA$46,,$AH606), 1 / ($BC$23:$BC$46*BY606), N($AQ$23:$AQ$46&gt;$AO606))
) / 1000</f>
        <v>0</v>
      </c>
      <c r="CB606" s="230">
        <f t="shared" si="625"/>
        <v>0</v>
      </c>
      <c r="CC606" s="238"/>
      <c r="CD606" s="229" cm="1">
        <f t="array" ref="CD606">IF(ISBLANK(Y606), INDEX(Use, $AH606, 4) - AN606*INDEX(Use, $AH606, 6) - (Q606-X606), Y606)</f>
        <v>7</v>
      </c>
      <c r="CE606" s="229">
        <f t="shared" si="626"/>
        <v>32</v>
      </c>
      <c r="CF606" s="230">
        <f t="shared" si="627"/>
        <v>0</v>
      </c>
      <c r="CG606" s="229">
        <v>35</v>
      </c>
      <c r="CH606" s="230">
        <f t="shared" si="628"/>
        <v>48</v>
      </c>
      <c r="CI606" s="235">
        <f t="shared" si="629"/>
        <v>3.0748170731707316</v>
      </c>
      <c r="CJ606" s="235" cm="1">
        <f t="array" ref="CJ606">$BI606 * SUMPRODUCT(INDEX($AR$77:$AT$82,,$AI606),INDEX($AU$77:$BA$82,,$AH606), N($AQ$77:$AQ$82&gt;$AO606)) / CI606 / 1000</f>
        <v>0</v>
      </c>
      <c r="CK606" s="232">
        <f t="shared" si="646"/>
        <v>30</v>
      </c>
      <c r="CL606" s="230">
        <f t="shared" si="630"/>
        <v>43</v>
      </c>
      <c r="CM606" s="235">
        <f t="shared" si="631"/>
        <v>3.5018750000000001</v>
      </c>
      <c r="CN606" s="235" cm="1">
        <f t="array" ref="CN606">$BI606 * IF($AH606&lt;=2,
SUMPRODUCT(INDEX($AR$72:$AT$76,,$AI606), INDEX($AU$72:$BA$76,,$AH606), 1 / ($BB$72:$BB$76*CM606 + (1-$BB$72:$BB$76)*CI606), N($AQ$72:$AQ$76&gt;$AO606)),
SUMPRODUCT(INDEX($AR$67:$AT$76,,$AI606), INDEX($AU$67:$BA$76,,$AH606), 1 / ($BC$67:$BC$76*CM606 + (1-$BC$67:$BC$76)*CI606), N($AQ$67:$AQ$76&gt;$AO606))
) / 1000</f>
        <v>0</v>
      </c>
      <c r="CO606" s="232">
        <f t="shared" si="647"/>
        <v>25</v>
      </c>
      <c r="CP606" s="230">
        <f t="shared" si="632"/>
        <v>38</v>
      </c>
      <c r="CQ606" s="235">
        <f t="shared" si="633"/>
        <v>4.0666935483870965</v>
      </c>
      <c r="CR606" s="235" cm="1">
        <f t="array" ref="CR606">$BI606 * IF($AH606&lt;=2,
SUMPRODUCT(INDEX($AR$67:$AT$71,,$AI606), INDEX($AU$67:$BA$71,,$AH606), 1 / ($BB$67:$BB$71*CQ606 + (1-$BB$67:$BB$71)*CM606), N($AQ$67:$AQ$71&gt;$AO606)),
SUMPRODUCT(INDEX($AR$57:$AT$66,,$AI606), INDEX($AU$57:$BA$66,,$AH606), 1 / ($BC$57:$BC$66*CQ606 + (1-$BC$57:$BC$66)*CM606), N($AQ$57:$AQ$66&gt;$AO606))
) / 1000</f>
        <v>0</v>
      </c>
      <c r="CS606" s="232">
        <f t="shared" si="648"/>
        <v>20</v>
      </c>
      <c r="CT606" s="230">
        <f t="shared" si="634"/>
        <v>33</v>
      </c>
      <c r="CU606" s="235">
        <f t="shared" si="635"/>
        <v>4.8487499999999999</v>
      </c>
      <c r="CV606" s="235" cm="1">
        <f t="array" ref="CV606">$BI606 * IF($AH606&lt;=2,
SUMPRODUCT(INDEX($AR$62:$AT$66,,$AI606), INDEX($AU$62:$BA$66,,$AH606), 1 / ($BB$62:$BB$66*CU606 + (1-$BB$62:$BB$66)*CQ606), N($AQ$62:$AQ$66&gt;$AO606)),
SUMPRODUCT(INDEX($AR$47:$AT$56,,$AI606), INDEX($AU$47:$BA$56,,$AH606), 1 / ($BC$47:$BC$56*CU606 + (1-$BC$47:$BC$56)*CQ606), N($AQ$47:$AQ$56&gt;$AO606))
) / 1000</f>
        <v>0</v>
      </c>
      <c r="CW606" s="235" cm="1">
        <f t="array" ref="CW606">$BI606 * IF($AH606&lt;=2,
SUMPRODUCT(INDEX($AR$23:$AT$61,,$AI606), INDEX($AU$23:$BA$61,,$AH606), 1 / ($BB$23:$BB$61*CU606), N($AQ$23:$AQ$61&gt;$AO606)),
SUMPRODUCT(INDEX($AR$23:$AT$46,,$AI606), INDEX($AU$23:$BA$46,,$AH606), 1 / ($BC$23:$BC$46*CU606), N($AQ$23:$AQ$46&gt;$AO606))
) / 1000</f>
        <v>0</v>
      </c>
      <c r="CX606" s="230">
        <f t="shared" si="636"/>
        <v>0</v>
      </c>
      <c r="CY606" s="238"/>
    </row>
    <row r="607" spans="1:103" s="76" customFormat="1" ht="14.25" customHeight="1" x14ac:dyDescent="0.2">
      <c r="A607" s="231" t="b">
        <f t="shared" si="640"/>
        <v>0</v>
      </c>
      <c r="B607" s="245">
        <v>585</v>
      </c>
      <c r="C607" s="258"/>
      <c r="D607" s="258"/>
      <c r="E607" s="246"/>
      <c r="F607" s="247" t="str">
        <f>IF(ISBLANK(E607), "", VLOOKUP(E607, Z!$A$2:$C$4127, 3, FALSE))</f>
        <v/>
      </c>
      <c r="G607" s="248"/>
      <c r="H607" s="248"/>
      <c r="I607" s="249"/>
      <c r="J607" s="250"/>
      <c r="K607" s="259"/>
      <c r="L607" s="260"/>
      <c r="M607" s="252" t="str" cm="1">
        <f t="array" ref="M607">INDEX(Trad, 53, $A$20)</f>
        <v>Verschmutzt</v>
      </c>
      <c r="N607" s="253"/>
      <c r="O607" s="253"/>
      <c r="P607" s="254"/>
      <c r="Q607" s="251"/>
      <c r="R607" s="251"/>
      <c r="S607" s="264">
        <f t="shared" si="611"/>
        <v>0</v>
      </c>
      <c r="T607" s="252" t="str" cm="1">
        <f t="array" ref="T607">INDEX(Trad, 52, $A$20)</f>
        <v>Sauber</v>
      </c>
      <c r="U607" s="253"/>
      <c r="V607" s="253"/>
      <c r="W607" s="254"/>
      <c r="X607" s="251"/>
      <c r="Y607" s="251"/>
      <c r="Z607" s="264">
        <f t="shared" si="612"/>
        <v>0</v>
      </c>
      <c r="AA607" s="261"/>
      <c r="AB607" s="258"/>
      <c r="AC607" s="246"/>
      <c r="AD607" s="247" t="str">
        <f>IF(ISBLANK(AC607), "", VLOOKUP(AC607, Z!$A$2:$C$4127, 3, FALSE))</f>
        <v/>
      </c>
      <c r="AE607" s="262"/>
      <c r="AF607" s="263">
        <f t="shared" si="613"/>
        <v>0</v>
      </c>
      <c r="AG607" s="238"/>
      <c r="AH607" s="229">
        <f t="shared" si="637"/>
        <v>1</v>
      </c>
      <c r="AI607" s="229">
        <f t="shared" si="638"/>
        <v>1</v>
      </c>
      <c r="AJ607" s="229">
        <f t="shared" si="639"/>
        <v>0</v>
      </c>
      <c r="AK607" s="229">
        <v>0</v>
      </c>
      <c r="AL607" s="229">
        <v>0</v>
      </c>
      <c r="AM607" s="229">
        <v>1</v>
      </c>
      <c r="AN607" s="229">
        <v>0</v>
      </c>
      <c r="AO607" s="229">
        <f t="shared" si="614"/>
        <v>-100</v>
      </c>
      <c r="AP607" s="238"/>
      <c r="AQ607" s="255"/>
      <c r="AR607" s="255"/>
      <c r="AS607" s="256"/>
      <c r="AT607" s="256"/>
      <c r="AU607" s="256"/>
      <c r="AV607" s="256"/>
      <c r="AW607" s="256"/>
      <c r="AX607" s="256"/>
      <c r="AY607" s="256"/>
      <c r="AZ607" s="256"/>
      <c r="BA607" s="256"/>
      <c r="BB607" s="256"/>
      <c r="BC607" s="256"/>
      <c r="BD607" s="238"/>
      <c r="BE607" s="229" cm="1">
        <f t="array" ref="BE607">IF(ISBLANK(R607), INDEX(Use, $AH607, 4) - AM607*INDEX(Use, $AH607, 6), R607)</f>
        <v>5</v>
      </c>
      <c r="BF607" s="229">
        <f t="shared" si="615"/>
        <v>30</v>
      </c>
      <c r="BG607" s="229">
        <f t="shared" si="641"/>
        <v>13</v>
      </c>
      <c r="BH607" s="229">
        <f t="shared" si="642"/>
        <v>0</v>
      </c>
      <c r="BI607" s="234" cm="1">
        <f t="array" ref="BI607">K607/IF($L607&gt;0, INDEX($AU$23:$BA$77, $L607+20, $AH607), 1)</f>
        <v>0</v>
      </c>
      <c r="BJ607" s="230">
        <f t="shared" si="616"/>
        <v>0</v>
      </c>
      <c r="BK607" s="229">
        <v>35</v>
      </c>
      <c r="BL607" s="230">
        <f t="shared" si="617"/>
        <v>48</v>
      </c>
      <c r="BM607" s="235">
        <f t="shared" si="618"/>
        <v>2.9108720930232557</v>
      </c>
      <c r="BN607" s="235" cm="1">
        <f t="array" ref="BN607">$BI607 * SUMPRODUCT(INDEX($AR$77:$AT$82,,$AI607),INDEX($AU$77:$BA$82,,$AH607), N($AQ$77:$AQ$82&gt;$AO607)) / BM607 / 1000</f>
        <v>0</v>
      </c>
      <c r="BO607" s="232">
        <f t="shared" si="643"/>
        <v>30</v>
      </c>
      <c r="BP607" s="230">
        <f t="shared" si="619"/>
        <v>43</v>
      </c>
      <c r="BQ607" s="235">
        <f t="shared" si="620"/>
        <v>3.2938815789473681</v>
      </c>
      <c r="BR607" s="235" cm="1">
        <f t="array" ref="BR607">$BI607 * IF($AH607&lt;=2,
SUMPRODUCT(INDEX($AR$72:$AT$76,,$AI607), INDEX($AU$72:$BA$76,,$AH607), 1 / ($BB$72:$BB$76*BQ607 + (1-$BB$72:$BB$76)*BM607), N($AQ$72:$AQ$76&gt;$AO607)),
SUMPRODUCT(INDEX($AR$67:$AT$76,,$AI607), INDEX($AU$67:$BA$76,,$AH607), 1 / ($BC$67:$BC$76*BQ607 + (1-$BC$67:$BC$76)*BM607), N($AQ$67:$AQ$76&gt;$AO607))
) / 1000</f>
        <v>0</v>
      </c>
      <c r="BS607" s="232">
        <f t="shared" si="644"/>
        <v>25</v>
      </c>
      <c r="BT607" s="230">
        <f t="shared" si="621"/>
        <v>38</v>
      </c>
      <c r="BU607" s="235">
        <f t="shared" si="622"/>
        <v>3.792954545454545</v>
      </c>
      <c r="BV607" s="235" cm="1">
        <f t="array" ref="BV607">$BI607 * IF($AH607&lt;=2,
SUMPRODUCT(INDEX($AR$67:$AT$71,,$AI607), INDEX($AU$67:$BA$71,,$AH607), 1 / ($BB$67:$BB$71*BU607 + (1-$BB$67:$BB$71)*BQ607), N($AQ$67:$AQ$71&gt;$AO607)),
SUMPRODUCT(INDEX($AR$57:$AT$66,,$AI607), INDEX($AU$57:$BA$66,,$AH607), 1 / ($BC$57:$BC$66*BU607 + (1-$BC$57:$BC$66)*BQ607), N($AQ$57:$AQ$66&gt;$AO607))
) / 1000</f>
        <v>0</v>
      </c>
      <c r="BW607" s="232">
        <f t="shared" si="645"/>
        <v>20</v>
      </c>
      <c r="BX607" s="230">
        <f t="shared" si="623"/>
        <v>33</v>
      </c>
      <c r="BY607" s="235">
        <f t="shared" si="624"/>
        <v>4.4702678571428569</v>
      </c>
      <c r="BZ607" s="235" cm="1">
        <f t="array" ref="BZ607">$BI607 * IF($AH607&lt;=2,
SUMPRODUCT(INDEX($AR$62:$AT$66,,$AI607), INDEX($AU$62:$BA$66,,$AH607), 1 / ($BB$62:$BB$66*BY607 + (1-$BB$62:$BB$66)*BU607), N($AQ$62:$AQ$66&gt;$AO607)),
SUMPRODUCT(INDEX($AR$47:$AT$56,,$AI607), INDEX($AU$47:$BA$56,,$AH607), 1 / ($BC$47:$BC$56*BY607 + (1-$BC$47:$BC$56)*BU607), N($AQ$47:$AQ$56&gt;$AO607))
) / 1000</f>
        <v>0</v>
      </c>
      <c r="CA607" s="235" cm="1">
        <f t="array" ref="CA607">$BI607 * IF($AH607&lt;=2,
SUMPRODUCT(INDEX($AR$23:$AT$61,,$AI607), INDEX($AU$23:$BA$61,,$AH607), 1 / ($BB$23:$BB$61*BY607), N($AQ$23:$AQ$61&gt;$AO607)),
SUMPRODUCT(INDEX($AR$23:$AT$46,,$AI607), INDEX($AU$23:$BA$46,,$AH607), 1 / ($BC$23:$BC$46*BY607), N($AQ$23:$AQ$46&gt;$AO607))
) / 1000</f>
        <v>0</v>
      </c>
      <c r="CB607" s="230">
        <f t="shared" si="625"/>
        <v>0</v>
      </c>
      <c r="CC607" s="238"/>
      <c r="CD607" s="229" cm="1">
        <f t="array" ref="CD607">IF(ISBLANK(Y607), INDEX(Use, $AH607, 4) - AN607*INDEX(Use, $AH607, 6) - (Q607-X607), Y607)</f>
        <v>7</v>
      </c>
      <c r="CE607" s="229">
        <f t="shared" si="626"/>
        <v>32</v>
      </c>
      <c r="CF607" s="230">
        <f t="shared" si="627"/>
        <v>0</v>
      </c>
      <c r="CG607" s="229">
        <v>35</v>
      </c>
      <c r="CH607" s="230">
        <f t="shared" si="628"/>
        <v>48</v>
      </c>
      <c r="CI607" s="235">
        <f t="shared" si="629"/>
        <v>3.0748170731707316</v>
      </c>
      <c r="CJ607" s="235" cm="1">
        <f t="array" ref="CJ607">$BI607 * SUMPRODUCT(INDEX($AR$77:$AT$82,,$AI607),INDEX($AU$77:$BA$82,,$AH607), N($AQ$77:$AQ$82&gt;$AO607)) / CI607 / 1000</f>
        <v>0</v>
      </c>
      <c r="CK607" s="232">
        <f t="shared" si="646"/>
        <v>30</v>
      </c>
      <c r="CL607" s="230">
        <f t="shared" si="630"/>
        <v>43</v>
      </c>
      <c r="CM607" s="235">
        <f t="shared" si="631"/>
        <v>3.5018750000000001</v>
      </c>
      <c r="CN607" s="235" cm="1">
        <f t="array" ref="CN607">$BI607 * IF($AH607&lt;=2,
SUMPRODUCT(INDEX($AR$72:$AT$76,,$AI607), INDEX($AU$72:$BA$76,,$AH607), 1 / ($BB$72:$BB$76*CM607 + (1-$BB$72:$BB$76)*CI607), N($AQ$72:$AQ$76&gt;$AO607)),
SUMPRODUCT(INDEX($AR$67:$AT$76,,$AI607), INDEX($AU$67:$BA$76,,$AH607), 1 / ($BC$67:$BC$76*CM607 + (1-$BC$67:$BC$76)*CI607), N($AQ$67:$AQ$76&gt;$AO607))
) / 1000</f>
        <v>0</v>
      </c>
      <c r="CO607" s="232">
        <f t="shared" si="647"/>
        <v>25</v>
      </c>
      <c r="CP607" s="230">
        <f t="shared" si="632"/>
        <v>38</v>
      </c>
      <c r="CQ607" s="235">
        <f t="shared" si="633"/>
        <v>4.0666935483870965</v>
      </c>
      <c r="CR607" s="235" cm="1">
        <f t="array" ref="CR607">$BI607 * IF($AH607&lt;=2,
SUMPRODUCT(INDEX($AR$67:$AT$71,,$AI607), INDEX($AU$67:$BA$71,,$AH607), 1 / ($BB$67:$BB$71*CQ607 + (1-$BB$67:$BB$71)*CM607), N($AQ$67:$AQ$71&gt;$AO607)),
SUMPRODUCT(INDEX($AR$57:$AT$66,,$AI607), INDEX($AU$57:$BA$66,,$AH607), 1 / ($BC$57:$BC$66*CQ607 + (1-$BC$57:$BC$66)*CM607), N($AQ$57:$AQ$66&gt;$AO607))
) / 1000</f>
        <v>0</v>
      </c>
      <c r="CS607" s="232">
        <f t="shared" si="648"/>
        <v>20</v>
      </c>
      <c r="CT607" s="230">
        <f t="shared" si="634"/>
        <v>33</v>
      </c>
      <c r="CU607" s="235">
        <f t="shared" si="635"/>
        <v>4.8487499999999999</v>
      </c>
      <c r="CV607" s="235" cm="1">
        <f t="array" ref="CV607">$BI607 * IF($AH607&lt;=2,
SUMPRODUCT(INDEX($AR$62:$AT$66,,$AI607), INDEX($AU$62:$BA$66,,$AH607), 1 / ($BB$62:$BB$66*CU607 + (1-$BB$62:$BB$66)*CQ607), N($AQ$62:$AQ$66&gt;$AO607)),
SUMPRODUCT(INDEX($AR$47:$AT$56,,$AI607), INDEX($AU$47:$BA$56,,$AH607), 1 / ($BC$47:$BC$56*CU607 + (1-$BC$47:$BC$56)*CQ607), N($AQ$47:$AQ$56&gt;$AO607))
) / 1000</f>
        <v>0</v>
      </c>
      <c r="CW607" s="235" cm="1">
        <f t="array" ref="CW607">$BI607 * IF($AH607&lt;=2,
SUMPRODUCT(INDEX($AR$23:$AT$61,,$AI607), INDEX($AU$23:$BA$61,,$AH607), 1 / ($BB$23:$BB$61*CU607), N($AQ$23:$AQ$61&gt;$AO607)),
SUMPRODUCT(INDEX($AR$23:$AT$46,,$AI607), INDEX($AU$23:$BA$46,,$AH607), 1 / ($BC$23:$BC$46*CU607), N($AQ$23:$AQ$46&gt;$AO607))
) / 1000</f>
        <v>0</v>
      </c>
      <c r="CX607" s="230">
        <f t="shared" si="636"/>
        <v>0</v>
      </c>
      <c r="CY607" s="238"/>
    </row>
    <row r="608" spans="1:103" s="76" customFormat="1" ht="14.25" customHeight="1" x14ac:dyDescent="0.2">
      <c r="A608" s="231" t="b">
        <f t="shared" si="640"/>
        <v>0</v>
      </c>
      <c r="B608" s="245">
        <v>586</v>
      </c>
      <c r="C608" s="258"/>
      <c r="D608" s="258"/>
      <c r="E608" s="246"/>
      <c r="F608" s="247" t="str">
        <f>IF(ISBLANK(E608), "", VLOOKUP(E608, Z!$A$2:$C$4127, 3, FALSE))</f>
        <v/>
      </c>
      <c r="G608" s="248"/>
      <c r="H608" s="248"/>
      <c r="I608" s="249"/>
      <c r="J608" s="250"/>
      <c r="K608" s="259"/>
      <c r="L608" s="260"/>
      <c r="M608" s="252" t="str" cm="1">
        <f t="array" ref="M608">INDEX(Trad, 53, $A$20)</f>
        <v>Verschmutzt</v>
      </c>
      <c r="N608" s="253"/>
      <c r="O608" s="253"/>
      <c r="P608" s="254"/>
      <c r="Q608" s="251"/>
      <c r="R608" s="251"/>
      <c r="S608" s="264">
        <f t="shared" si="611"/>
        <v>0</v>
      </c>
      <c r="T608" s="252" t="str" cm="1">
        <f t="array" ref="T608">INDEX(Trad, 52, $A$20)</f>
        <v>Sauber</v>
      </c>
      <c r="U608" s="253"/>
      <c r="V608" s="253"/>
      <c r="W608" s="254"/>
      <c r="X608" s="251"/>
      <c r="Y608" s="251"/>
      <c r="Z608" s="264">
        <f t="shared" si="612"/>
        <v>0</v>
      </c>
      <c r="AA608" s="261"/>
      <c r="AB608" s="258"/>
      <c r="AC608" s="246"/>
      <c r="AD608" s="247" t="str">
        <f>IF(ISBLANK(AC608), "", VLOOKUP(AC608, Z!$A$2:$C$4127, 3, FALSE))</f>
        <v/>
      </c>
      <c r="AE608" s="262"/>
      <c r="AF608" s="263">
        <f t="shared" si="613"/>
        <v>0</v>
      </c>
      <c r="AG608" s="238"/>
      <c r="AH608" s="229">
        <f t="shared" si="637"/>
        <v>1</v>
      </c>
      <c r="AI608" s="229">
        <f t="shared" si="638"/>
        <v>1</v>
      </c>
      <c r="AJ608" s="229">
        <f t="shared" si="639"/>
        <v>0</v>
      </c>
      <c r="AK608" s="229">
        <v>0</v>
      </c>
      <c r="AL608" s="229">
        <v>0</v>
      </c>
      <c r="AM608" s="229">
        <v>1</v>
      </c>
      <c r="AN608" s="229">
        <v>0</v>
      </c>
      <c r="AO608" s="229">
        <f t="shared" si="614"/>
        <v>-100</v>
      </c>
      <c r="AP608" s="238"/>
      <c r="AQ608" s="255"/>
      <c r="AR608" s="255"/>
      <c r="AS608" s="256"/>
      <c r="AT608" s="256"/>
      <c r="AU608" s="256"/>
      <c r="AV608" s="256"/>
      <c r="AW608" s="256"/>
      <c r="AX608" s="256"/>
      <c r="AY608" s="256"/>
      <c r="AZ608" s="256"/>
      <c r="BA608" s="256"/>
      <c r="BB608" s="256"/>
      <c r="BC608" s="256"/>
      <c r="BD608" s="238"/>
      <c r="BE608" s="229" cm="1">
        <f t="array" ref="BE608">IF(ISBLANK(R608), INDEX(Use, $AH608, 4) - AM608*INDEX(Use, $AH608, 6), R608)</f>
        <v>5</v>
      </c>
      <c r="BF608" s="229">
        <f t="shared" si="615"/>
        <v>30</v>
      </c>
      <c r="BG608" s="229">
        <f t="shared" si="641"/>
        <v>13</v>
      </c>
      <c r="BH608" s="229">
        <f t="shared" si="642"/>
        <v>0</v>
      </c>
      <c r="BI608" s="234" cm="1">
        <f t="array" ref="BI608">K608/IF($L608&gt;0, INDEX($AU$23:$BA$77, $L608+20, $AH608), 1)</f>
        <v>0</v>
      </c>
      <c r="BJ608" s="230">
        <f t="shared" si="616"/>
        <v>0</v>
      </c>
      <c r="BK608" s="229">
        <v>35</v>
      </c>
      <c r="BL608" s="230">
        <f t="shared" si="617"/>
        <v>48</v>
      </c>
      <c r="BM608" s="235">
        <f t="shared" si="618"/>
        <v>2.9108720930232557</v>
      </c>
      <c r="BN608" s="235" cm="1">
        <f t="array" ref="BN608">$BI608 * SUMPRODUCT(INDEX($AR$77:$AT$82,,$AI608),INDEX($AU$77:$BA$82,,$AH608), N($AQ$77:$AQ$82&gt;$AO608)) / BM608 / 1000</f>
        <v>0</v>
      </c>
      <c r="BO608" s="232">
        <f t="shared" si="643"/>
        <v>30</v>
      </c>
      <c r="BP608" s="230">
        <f t="shared" si="619"/>
        <v>43</v>
      </c>
      <c r="BQ608" s="235">
        <f t="shared" si="620"/>
        <v>3.2938815789473681</v>
      </c>
      <c r="BR608" s="235" cm="1">
        <f t="array" ref="BR608">$BI608 * IF($AH608&lt;=2,
SUMPRODUCT(INDEX($AR$72:$AT$76,,$AI608), INDEX($AU$72:$BA$76,,$AH608), 1 / ($BB$72:$BB$76*BQ608 + (1-$BB$72:$BB$76)*BM608), N($AQ$72:$AQ$76&gt;$AO608)),
SUMPRODUCT(INDEX($AR$67:$AT$76,,$AI608), INDEX($AU$67:$BA$76,,$AH608), 1 / ($BC$67:$BC$76*BQ608 + (1-$BC$67:$BC$76)*BM608), N($AQ$67:$AQ$76&gt;$AO608))
) / 1000</f>
        <v>0</v>
      </c>
      <c r="BS608" s="232">
        <f t="shared" si="644"/>
        <v>25</v>
      </c>
      <c r="BT608" s="230">
        <f t="shared" si="621"/>
        <v>38</v>
      </c>
      <c r="BU608" s="235">
        <f t="shared" si="622"/>
        <v>3.792954545454545</v>
      </c>
      <c r="BV608" s="235" cm="1">
        <f t="array" ref="BV608">$BI608 * IF($AH608&lt;=2,
SUMPRODUCT(INDEX($AR$67:$AT$71,,$AI608), INDEX($AU$67:$BA$71,,$AH608), 1 / ($BB$67:$BB$71*BU608 + (1-$BB$67:$BB$71)*BQ608), N($AQ$67:$AQ$71&gt;$AO608)),
SUMPRODUCT(INDEX($AR$57:$AT$66,,$AI608), INDEX($AU$57:$BA$66,,$AH608), 1 / ($BC$57:$BC$66*BU608 + (1-$BC$57:$BC$66)*BQ608), N($AQ$57:$AQ$66&gt;$AO608))
) / 1000</f>
        <v>0</v>
      </c>
      <c r="BW608" s="232">
        <f t="shared" si="645"/>
        <v>20</v>
      </c>
      <c r="BX608" s="230">
        <f t="shared" si="623"/>
        <v>33</v>
      </c>
      <c r="BY608" s="235">
        <f t="shared" si="624"/>
        <v>4.4702678571428569</v>
      </c>
      <c r="BZ608" s="235" cm="1">
        <f t="array" ref="BZ608">$BI608 * IF($AH608&lt;=2,
SUMPRODUCT(INDEX($AR$62:$AT$66,,$AI608), INDEX($AU$62:$BA$66,,$AH608), 1 / ($BB$62:$BB$66*BY608 + (1-$BB$62:$BB$66)*BU608), N($AQ$62:$AQ$66&gt;$AO608)),
SUMPRODUCT(INDEX($AR$47:$AT$56,,$AI608), INDEX($AU$47:$BA$56,,$AH608), 1 / ($BC$47:$BC$56*BY608 + (1-$BC$47:$BC$56)*BU608), N($AQ$47:$AQ$56&gt;$AO608))
) / 1000</f>
        <v>0</v>
      </c>
      <c r="CA608" s="235" cm="1">
        <f t="array" ref="CA608">$BI608 * IF($AH608&lt;=2,
SUMPRODUCT(INDEX($AR$23:$AT$61,,$AI608), INDEX($AU$23:$BA$61,,$AH608), 1 / ($BB$23:$BB$61*BY608), N($AQ$23:$AQ$61&gt;$AO608)),
SUMPRODUCT(INDEX($AR$23:$AT$46,,$AI608), INDEX($AU$23:$BA$46,,$AH608), 1 / ($BC$23:$BC$46*BY608), N($AQ$23:$AQ$46&gt;$AO608))
) / 1000</f>
        <v>0</v>
      </c>
      <c r="CB608" s="230">
        <f t="shared" si="625"/>
        <v>0</v>
      </c>
      <c r="CC608" s="238"/>
      <c r="CD608" s="229" cm="1">
        <f t="array" ref="CD608">IF(ISBLANK(Y608), INDEX(Use, $AH608, 4) - AN608*INDEX(Use, $AH608, 6) - (Q608-X608), Y608)</f>
        <v>7</v>
      </c>
      <c r="CE608" s="229">
        <f t="shared" si="626"/>
        <v>32</v>
      </c>
      <c r="CF608" s="230">
        <f t="shared" si="627"/>
        <v>0</v>
      </c>
      <c r="CG608" s="229">
        <v>35</v>
      </c>
      <c r="CH608" s="230">
        <f t="shared" si="628"/>
        <v>48</v>
      </c>
      <c r="CI608" s="235">
        <f t="shared" si="629"/>
        <v>3.0748170731707316</v>
      </c>
      <c r="CJ608" s="235" cm="1">
        <f t="array" ref="CJ608">$BI608 * SUMPRODUCT(INDEX($AR$77:$AT$82,,$AI608),INDEX($AU$77:$BA$82,,$AH608), N($AQ$77:$AQ$82&gt;$AO608)) / CI608 / 1000</f>
        <v>0</v>
      </c>
      <c r="CK608" s="232">
        <f t="shared" si="646"/>
        <v>30</v>
      </c>
      <c r="CL608" s="230">
        <f t="shared" si="630"/>
        <v>43</v>
      </c>
      <c r="CM608" s="235">
        <f t="shared" si="631"/>
        <v>3.5018750000000001</v>
      </c>
      <c r="CN608" s="235" cm="1">
        <f t="array" ref="CN608">$BI608 * IF($AH608&lt;=2,
SUMPRODUCT(INDEX($AR$72:$AT$76,,$AI608), INDEX($AU$72:$BA$76,,$AH608), 1 / ($BB$72:$BB$76*CM608 + (1-$BB$72:$BB$76)*CI608), N($AQ$72:$AQ$76&gt;$AO608)),
SUMPRODUCT(INDEX($AR$67:$AT$76,,$AI608), INDEX($AU$67:$BA$76,,$AH608), 1 / ($BC$67:$BC$76*CM608 + (1-$BC$67:$BC$76)*CI608), N($AQ$67:$AQ$76&gt;$AO608))
) / 1000</f>
        <v>0</v>
      </c>
      <c r="CO608" s="232">
        <f t="shared" si="647"/>
        <v>25</v>
      </c>
      <c r="CP608" s="230">
        <f t="shared" si="632"/>
        <v>38</v>
      </c>
      <c r="CQ608" s="235">
        <f t="shared" si="633"/>
        <v>4.0666935483870965</v>
      </c>
      <c r="CR608" s="235" cm="1">
        <f t="array" ref="CR608">$BI608 * IF($AH608&lt;=2,
SUMPRODUCT(INDEX($AR$67:$AT$71,,$AI608), INDEX($AU$67:$BA$71,,$AH608), 1 / ($BB$67:$BB$71*CQ608 + (1-$BB$67:$BB$71)*CM608), N($AQ$67:$AQ$71&gt;$AO608)),
SUMPRODUCT(INDEX($AR$57:$AT$66,,$AI608), INDEX($AU$57:$BA$66,,$AH608), 1 / ($BC$57:$BC$66*CQ608 + (1-$BC$57:$BC$66)*CM608), N($AQ$57:$AQ$66&gt;$AO608))
) / 1000</f>
        <v>0</v>
      </c>
      <c r="CS608" s="232">
        <f t="shared" si="648"/>
        <v>20</v>
      </c>
      <c r="CT608" s="230">
        <f t="shared" si="634"/>
        <v>33</v>
      </c>
      <c r="CU608" s="235">
        <f t="shared" si="635"/>
        <v>4.8487499999999999</v>
      </c>
      <c r="CV608" s="235" cm="1">
        <f t="array" ref="CV608">$BI608 * IF($AH608&lt;=2,
SUMPRODUCT(INDEX($AR$62:$AT$66,,$AI608), INDEX($AU$62:$BA$66,,$AH608), 1 / ($BB$62:$BB$66*CU608 + (1-$BB$62:$BB$66)*CQ608), N($AQ$62:$AQ$66&gt;$AO608)),
SUMPRODUCT(INDEX($AR$47:$AT$56,,$AI608), INDEX($AU$47:$BA$56,,$AH608), 1 / ($BC$47:$BC$56*CU608 + (1-$BC$47:$BC$56)*CQ608), N($AQ$47:$AQ$56&gt;$AO608))
) / 1000</f>
        <v>0</v>
      </c>
      <c r="CW608" s="235" cm="1">
        <f t="array" ref="CW608">$BI608 * IF($AH608&lt;=2,
SUMPRODUCT(INDEX($AR$23:$AT$61,,$AI608), INDEX($AU$23:$BA$61,,$AH608), 1 / ($BB$23:$BB$61*CU608), N($AQ$23:$AQ$61&gt;$AO608)),
SUMPRODUCT(INDEX($AR$23:$AT$46,,$AI608), INDEX($AU$23:$BA$46,,$AH608), 1 / ($BC$23:$BC$46*CU608), N($AQ$23:$AQ$46&gt;$AO608))
) / 1000</f>
        <v>0</v>
      </c>
      <c r="CX608" s="230">
        <f t="shared" si="636"/>
        <v>0</v>
      </c>
      <c r="CY608" s="238"/>
    </row>
    <row r="609" spans="1:103" s="76" customFormat="1" ht="14.25" customHeight="1" x14ac:dyDescent="0.2">
      <c r="A609" s="231" t="b">
        <f t="shared" si="640"/>
        <v>0</v>
      </c>
      <c r="B609" s="245">
        <v>587</v>
      </c>
      <c r="C609" s="258"/>
      <c r="D609" s="258"/>
      <c r="E609" s="246"/>
      <c r="F609" s="247" t="str">
        <f>IF(ISBLANK(E609), "", VLOOKUP(E609, Z!$A$2:$C$4127, 3, FALSE))</f>
        <v/>
      </c>
      <c r="G609" s="248"/>
      <c r="H609" s="248"/>
      <c r="I609" s="249"/>
      <c r="J609" s="250"/>
      <c r="K609" s="259"/>
      <c r="L609" s="260"/>
      <c r="M609" s="252" t="str" cm="1">
        <f t="array" ref="M609">INDEX(Trad, 53, $A$20)</f>
        <v>Verschmutzt</v>
      </c>
      <c r="N609" s="253"/>
      <c r="O609" s="253"/>
      <c r="P609" s="254"/>
      <c r="Q609" s="251"/>
      <c r="R609" s="251"/>
      <c r="S609" s="264">
        <f t="shared" si="611"/>
        <v>0</v>
      </c>
      <c r="T609" s="252" t="str" cm="1">
        <f t="array" ref="T609">INDEX(Trad, 52, $A$20)</f>
        <v>Sauber</v>
      </c>
      <c r="U609" s="253"/>
      <c r="V609" s="253"/>
      <c r="W609" s="254"/>
      <c r="X609" s="251"/>
      <c r="Y609" s="251"/>
      <c r="Z609" s="264">
        <f t="shared" si="612"/>
        <v>0</v>
      </c>
      <c r="AA609" s="261"/>
      <c r="AB609" s="258"/>
      <c r="AC609" s="246"/>
      <c r="AD609" s="247" t="str">
        <f>IF(ISBLANK(AC609), "", VLOOKUP(AC609, Z!$A$2:$C$4127, 3, FALSE))</f>
        <v/>
      </c>
      <c r="AE609" s="262"/>
      <c r="AF609" s="263">
        <f t="shared" si="613"/>
        <v>0</v>
      </c>
      <c r="AG609" s="238"/>
      <c r="AH609" s="229">
        <f t="shared" si="637"/>
        <v>1</v>
      </c>
      <c r="AI609" s="229">
        <f t="shared" si="638"/>
        <v>1</v>
      </c>
      <c r="AJ609" s="229">
        <f t="shared" si="639"/>
        <v>0</v>
      </c>
      <c r="AK609" s="229">
        <v>0</v>
      </c>
      <c r="AL609" s="229">
        <v>0</v>
      </c>
      <c r="AM609" s="229">
        <v>1</v>
      </c>
      <c r="AN609" s="229">
        <v>0</v>
      </c>
      <c r="AO609" s="229">
        <f t="shared" si="614"/>
        <v>-100</v>
      </c>
      <c r="AP609" s="238"/>
      <c r="AQ609" s="255"/>
      <c r="AR609" s="255"/>
      <c r="AS609" s="256"/>
      <c r="AT609" s="256"/>
      <c r="AU609" s="256"/>
      <c r="AV609" s="256"/>
      <c r="AW609" s="256"/>
      <c r="AX609" s="256"/>
      <c r="AY609" s="256"/>
      <c r="AZ609" s="256"/>
      <c r="BA609" s="256"/>
      <c r="BB609" s="256"/>
      <c r="BC609" s="256"/>
      <c r="BD609" s="238"/>
      <c r="BE609" s="229" cm="1">
        <f t="array" ref="BE609">IF(ISBLANK(R609), INDEX(Use, $AH609, 4) - AM609*INDEX(Use, $AH609, 6), R609)</f>
        <v>5</v>
      </c>
      <c r="BF609" s="229">
        <f t="shared" si="615"/>
        <v>30</v>
      </c>
      <c r="BG609" s="229">
        <f t="shared" si="641"/>
        <v>13</v>
      </c>
      <c r="BH609" s="229">
        <f t="shared" si="642"/>
        <v>0</v>
      </c>
      <c r="BI609" s="234" cm="1">
        <f t="array" ref="BI609">K609/IF($L609&gt;0, INDEX($AU$23:$BA$77, $L609+20, $AH609), 1)</f>
        <v>0</v>
      </c>
      <c r="BJ609" s="230">
        <f t="shared" si="616"/>
        <v>0</v>
      </c>
      <c r="BK609" s="229">
        <v>35</v>
      </c>
      <c r="BL609" s="230">
        <f t="shared" si="617"/>
        <v>48</v>
      </c>
      <c r="BM609" s="235">
        <f t="shared" si="618"/>
        <v>2.9108720930232557</v>
      </c>
      <c r="BN609" s="235" cm="1">
        <f t="array" ref="BN609">$BI609 * SUMPRODUCT(INDEX($AR$77:$AT$82,,$AI609),INDEX($AU$77:$BA$82,,$AH609), N($AQ$77:$AQ$82&gt;$AO609)) / BM609 / 1000</f>
        <v>0</v>
      </c>
      <c r="BO609" s="232">
        <f t="shared" si="643"/>
        <v>30</v>
      </c>
      <c r="BP609" s="230">
        <f t="shared" si="619"/>
        <v>43</v>
      </c>
      <c r="BQ609" s="235">
        <f t="shared" si="620"/>
        <v>3.2938815789473681</v>
      </c>
      <c r="BR609" s="235" cm="1">
        <f t="array" ref="BR609">$BI609 * IF($AH609&lt;=2,
SUMPRODUCT(INDEX($AR$72:$AT$76,,$AI609), INDEX($AU$72:$BA$76,,$AH609), 1 / ($BB$72:$BB$76*BQ609 + (1-$BB$72:$BB$76)*BM609), N($AQ$72:$AQ$76&gt;$AO609)),
SUMPRODUCT(INDEX($AR$67:$AT$76,,$AI609), INDEX($AU$67:$BA$76,,$AH609), 1 / ($BC$67:$BC$76*BQ609 + (1-$BC$67:$BC$76)*BM609), N($AQ$67:$AQ$76&gt;$AO609))
) / 1000</f>
        <v>0</v>
      </c>
      <c r="BS609" s="232">
        <f t="shared" si="644"/>
        <v>25</v>
      </c>
      <c r="BT609" s="230">
        <f t="shared" si="621"/>
        <v>38</v>
      </c>
      <c r="BU609" s="235">
        <f t="shared" si="622"/>
        <v>3.792954545454545</v>
      </c>
      <c r="BV609" s="235" cm="1">
        <f t="array" ref="BV609">$BI609 * IF($AH609&lt;=2,
SUMPRODUCT(INDEX($AR$67:$AT$71,,$AI609), INDEX($AU$67:$BA$71,,$AH609), 1 / ($BB$67:$BB$71*BU609 + (1-$BB$67:$BB$71)*BQ609), N($AQ$67:$AQ$71&gt;$AO609)),
SUMPRODUCT(INDEX($AR$57:$AT$66,,$AI609), INDEX($AU$57:$BA$66,,$AH609), 1 / ($BC$57:$BC$66*BU609 + (1-$BC$57:$BC$66)*BQ609), N($AQ$57:$AQ$66&gt;$AO609))
) / 1000</f>
        <v>0</v>
      </c>
      <c r="BW609" s="232">
        <f t="shared" si="645"/>
        <v>20</v>
      </c>
      <c r="BX609" s="230">
        <f t="shared" si="623"/>
        <v>33</v>
      </c>
      <c r="BY609" s="235">
        <f t="shared" si="624"/>
        <v>4.4702678571428569</v>
      </c>
      <c r="BZ609" s="235" cm="1">
        <f t="array" ref="BZ609">$BI609 * IF($AH609&lt;=2,
SUMPRODUCT(INDEX($AR$62:$AT$66,,$AI609), INDEX($AU$62:$BA$66,,$AH609), 1 / ($BB$62:$BB$66*BY609 + (1-$BB$62:$BB$66)*BU609), N($AQ$62:$AQ$66&gt;$AO609)),
SUMPRODUCT(INDEX($AR$47:$AT$56,,$AI609), INDEX($AU$47:$BA$56,,$AH609), 1 / ($BC$47:$BC$56*BY609 + (1-$BC$47:$BC$56)*BU609), N($AQ$47:$AQ$56&gt;$AO609))
) / 1000</f>
        <v>0</v>
      </c>
      <c r="CA609" s="235" cm="1">
        <f t="array" ref="CA609">$BI609 * IF($AH609&lt;=2,
SUMPRODUCT(INDEX($AR$23:$AT$61,,$AI609), INDEX($AU$23:$BA$61,,$AH609), 1 / ($BB$23:$BB$61*BY609), N($AQ$23:$AQ$61&gt;$AO609)),
SUMPRODUCT(INDEX($AR$23:$AT$46,,$AI609), INDEX($AU$23:$BA$46,,$AH609), 1 / ($BC$23:$BC$46*BY609), N($AQ$23:$AQ$46&gt;$AO609))
) / 1000</f>
        <v>0</v>
      </c>
      <c r="CB609" s="230">
        <f t="shared" si="625"/>
        <v>0</v>
      </c>
      <c r="CC609" s="238"/>
      <c r="CD609" s="229" cm="1">
        <f t="array" ref="CD609">IF(ISBLANK(Y609), INDEX(Use, $AH609, 4) - AN609*INDEX(Use, $AH609, 6) - (Q609-X609), Y609)</f>
        <v>7</v>
      </c>
      <c r="CE609" s="229">
        <f t="shared" si="626"/>
        <v>32</v>
      </c>
      <c r="CF609" s="230">
        <f t="shared" si="627"/>
        <v>0</v>
      </c>
      <c r="CG609" s="229">
        <v>35</v>
      </c>
      <c r="CH609" s="230">
        <f t="shared" si="628"/>
        <v>48</v>
      </c>
      <c r="CI609" s="235">
        <f t="shared" si="629"/>
        <v>3.0748170731707316</v>
      </c>
      <c r="CJ609" s="235" cm="1">
        <f t="array" ref="CJ609">$BI609 * SUMPRODUCT(INDEX($AR$77:$AT$82,,$AI609),INDEX($AU$77:$BA$82,,$AH609), N($AQ$77:$AQ$82&gt;$AO609)) / CI609 / 1000</f>
        <v>0</v>
      </c>
      <c r="CK609" s="232">
        <f t="shared" si="646"/>
        <v>30</v>
      </c>
      <c r="CL609" s="230">
        <f t="shared" si="630"/>
        <v>43</v>
      </c>
      <c r="CM609" s="235">
        <f t="shared" si="631"/>
        <v>3.5018750000000001</v>
      </c>
      <c r="CN609" s="235" cm="1">
        <f t="array" ref="CN609">$BI609 * IF($AH609&lt;=2,
SUMPRODUCT(INDEX($AR$72:$AT$76,,$AI609), INDEX($AU$72:$BA$76,,$AH609), 1 / ($BB$72:$BB$76*CM609 + (1-$BB$72:$BB$76)*CI609), N($AQ$72:$AQ$76&gt;$AO609)),
SUMPRODUCT(INDEX($AR$67:$AT$76,,$AI609), INDEX($AU$67:$BA$76,,$AH609), 1 / ($BC$67:$BC$76*CM609 + (1-$BC$67:$BC$76)*CI609), N($AQ$67:$AQ$76&gt;$AO609))
) / 1000</f>
        <v>0</v>
      </c>
      <c r="CO609" s="232">
        <f t="shared" si="647"/>
        <v>25</v>
      </c>
      <c r="CP609" s="230">
        <f t="shared" si="632"/>
        <v>38</v>
      </c>
      <c r="CQ609" s="235">
        <f t="shared" si="633"/>
        <v>4.0666935483870965</v>
      </c>
      <c r="CR609" s="235" cm="1">
        <f t="array" ref="CR609">$BI609 * IF($AH609&lt;=2,
SUMPRODUCT(INDEX($AR$67:$AT$71,,$AI609), INDEX($AU$67:$BA$71,,$AH609), 1 / ($BB$67:$BB$71*CQ609 + (1-$BB$67:$BB$71)*CM609), N($AQ$67:$AQ$71&gt;$AO609)),
SUMPRODUCT(INDEX($AR$57:$AT$66,,$AI609), INDEX($AU$57:$BA$66,,$AH609), 1 / ($BC$57:$BC$66*CQ609 + (1-$BC$57:$BC$66)*CM609), N($AQ$57:$AQ$66&gt;$AO609))
) / 1000</f>
        <v>0</v>
      </c>
      <c r="CS609" s="232">
        <f t="shared" si="648"/>
        <v>20</v>
      </c>
      <c r="CT609" s="230">
        <f t="shared" si="634"/>
        <v>33</v>
      </c>
      <c r="CU609" s="235">
        <f t="shared" si="635"/>
        <v>4.8487499999999999</v>
      </c>
      <c r="CV609" s="235" cm="1">
        <f t="array" ref="CV609">$BI609 * IF($AH609&lt;=2,
SUMPRODUCT(INDEX($AR$62:$AT$66,,$AI609), INDEX($AU$62:$BA$66,,$AH609), 1 / ($BB$62:$BB$66*CU609 + (1-$BB$62:$BB$66)*CQ609), N($AQ$62:$AQ$66&gt;$AO609)),
SUMPRODUCT(INDEX($AR$47:$AT$56,,$AI609), INDEX($AU$47:$BA$56,,$AH609), 1 / ($BC$47:$BC$56*CU609 + (1-$BC$47:$BC$56)*CQ609), N($AQ$47:$AQ$56&gt;$AO609))
) / 1000</f>
        <v>0</v>
      </c>
      <c r="CW609" s="235" cm="1">
        <f t="array" ref="CW609">$BI609 * IF($AH609&lt;=2,
SUMPRODUCT(INDEX($AR$23:$AT$61,,$AI609), INDEX($AU$23:$BA$61,,$AH609), 1 / ($BB$23:$BB$61*CU609), N($AQ$23:$AQ$61&gt;$AO609)),
SUMPRODUCT(INDEX($AR$23:$AT$46,,$AI609), INDEX($AU$23:$BA$46,,$AH609), 1 / ($BC$23:$BC$46*CU609), N($AQ$23:$AQ$46&gt;$AO609))
) / 1000</f>
        <v>0</v>
      </c>
      <c r="CX609" s="230">
        <f t="shared" si="636"/>
        <v>0</v>
      </c>
      <c r="CY609" s="238"/>
    </row>
    <row r="610" spans="1:103" s="76" customFormat="1" ht="14.25" customHeight="1" x14ac:dyDescent="0.2">
      <c r="A610" s="231" t="b">
        <f t="shared" si="640"/>
        <v>0</v>
      </c>
      <c r="B610" s="245">
        <v>588</v>
      </c>
      <c r="C610" s="258"/>
      <c r="D610" s="258"/>
      <c r="E610" s="246"/>
      <c r="F610" s="247" t="str">
        <f>IF(ISBLANK(E610), "", VLOOKUP(E610, Z!$A$2:$C$4127, 3, FALSE))</f>
        <v/>
      </c>
      <c r="G610" s="248"/>
      <c r="H610" s="248"/>
      <c r="I610" s="249"/>
      <c r="J610" s="250"/>
      <c r="K610" s="259"/>
      <c r="L610" s="260"/>
      <c r="M610" s="252" t="str" cm="1">
        <f t="array" ref="M610">INDEX(Trad, 53, $A$20)</f>
        <v>Verschmutzt</v>
      </c>
      <c r="N610" s="253"/>
      <c r="O610" s="253"/>
      <c r="P610" s="254"/>
      <c r="Q610" s="251"/>
      <c r="R610" s="251"/>
      <c r="S610" s="264">
        <f t="shared" si="611"/>
        <v>0</v>
      </c>
      <c r="T610" s="252" t="str" cm="1">
        <f t="array" ref="T610">INDEX(Trad, 52, $A$20)</f>
        <v>Sauber</v>
      </c>
      <c r="U610" s="253"/>
      <c r="V610" s="253"/>
      <c r="W610" s="254"/>
      <c r="X610" s="251"/>
      <c r="Y610" s="251"/>
      <c r="Z610" s="264">
        <f t="shared" si="612"/>
        <v>0</v>
      </c>
      <c r="AA610" s="261"/>
      <c r="AB610" s="258"/>
      <c r="AC610" s="246"/>
      <c r="AD610" s="247" t="str">
        <f>IF(ISBLANK(AC610), "", VLOOKUP(AC610, Z!$A$2:$C$4127, 3, FALSE))</f>
        <v/>
      </c>
      <c r="AE610" s="262"/>
      <c r="AF610" s="263">
        <f t="shared" si="613"/>
        <v>0</v>
      </c>
      <c r="AG610" s="238"/>
      <c r="AH610" s="229">
        <f t="shared" si="637"/>
        <v>1</v>
      </c>
      <c r="AI610" s="229">
        <f t="shared" si="638"/>
        <v>1</v>
      </c>
      <c r="AJ610" s="229">
        <f t="shared" si="639"/>
        <v>0</v>
      </c>
      <c r="AK610" s="229">
        <v>0</v>
      </c>
      <c r="AL610" s="229">
        <v>0</v>
      </c>
      <c r="AM610" s="229">
        <v>1</v>
      </c>
      <c r="AN610" s="229">
        <v>0</v>
      </c>
      <c r="AO610" s="229">
        <f t="shared" si="614"/>
        <v>-100</v>
      </c>
      <c r="AP610" s="238"/>
      <c r="AQ610" s="255"/>
      <c r="AR610" s="255"/>
      <c r="AS610" s="256"/>
      <c r="AT610" s="256"/>
      <c r="AU610" s="256"/>
      <c r="AV610" s="256"/>
      <c r="AW610" s="256"/>
      <c r="AX610" s="256"/>
      <c r="AY610" s="256"/>
      <c r="AZ610" s="256"/>
      <c r="BA610" s="256"/>
      <c r="BB610" s="256"/>
      <c r="BC610" s="256"/>
      <c r="BD610" s="238"/>
      <c r="BE610" s="229" cm="1">
        <f t="array" ref="BE610">IF(ISBLANK(R610), INDEX(Use, $AH610, 4) - AM610*INDEX(Use, $AH610, 6), R610)</f>
        <v>5</v>
      </c>
      <c r="BF610" s="229">
        <f t="shared" si="615"/>
        <v>30</v>
      </c>
      <c r="BG610" s="229">
        <f t="shared" si="641"/>
        <v>13</v>
      </c>
      <c r="BH610" s="229">
        <f t="shared" si="642"/>
        <v>0</v>
      </c>
      <c r="BI610" s="234" cm="1">
        <f t="array" ref="BI610">K610/IF($L610&gt;0, INDEX($AU$23:$BA$77, $L610+20, $AH610), 1)</f>
        <v>0</v>
      </c>
      <c r="BJ610" s="230">
        <f t="shared" si="616"/>
        <v>0</v>
      </c>
      <c r="BK610" s="229">
        <v>35</v>
      </c>
      <c r="BL610" s="230">
        <f t="shared" si="617"/>
        <v>48</v>
      </c>
      <c r="BM610" s="235">
        <f t="shared" si="618"/>
        <v>2.9108720930232557</v>
      </c>
      <c r="BN610" s="235" cm="1">
        <f t="array" ref="BN610">$BI610 * SUMPRODUCT(INDEX($AR$77:$AT$82,,$AI610),INDEX($AU$77:$BA$82,,$AH610), N($AQ$77:$AQ$82&gt;$AO610)) / BM610 / 1000</f>
        <v>0</v>
      </c>
      <c r="BO610" s="232">
        <f t="shared" si="643"/>
        <v>30</v>
      </c>
      <c r="BP610" s="230">
        <f t="shared" si="619"/>
        <v>43</v>
      </c>
      <c r="BQ610" s="235">
        <f t="shared" si="620"/>
        <v>3.2938815789473681</v>
      </c>
      <c r="BR610" s="235" cm="1">
        <f t="array" ref="BR610">$BI610 * IF($AH610&lt;=2,
SUMPRODUCT(INDEX($AR$72:$AT$76,,$AI610), INDEX($AU$72:$BA$76,,$AH610), 1 / ($BB$72:$BB$76*BQ610 + (1-$BB$72:$BB$76)*BM610), N($AQ$72:$AQ$76&gt;$AO610)),
SUMPRODUCT(INDEX($AR$67:$AT$76,,$AI610), INDEX($AU$67:$BA$76,,$AH610), 1 / ($BC$67:$BC$76*BQ610 + (1-$BC$67:$BC$76)*BM610), N($AQ$67:$AQ$76&gt;$AO610))
) / 1000</f>
        <v>0</v>
      </c>
      <c r="BS610" s="232">
        <f t="shared" si="644"/>
        <v>25</v>
      </c>
      <c r="BT610" s="230">
        <f t="shared" si="621"/>
        <v>38</v>
      </c>
      <c r="BU610" s="235">
        <f t="shared" si="622"/>
        <v>3.792954545454545</v>
      </c>
      <c r="BV610" s="235" cm="1">
        <f t="array" ref="BV610">$BI610 * IF($AH610&lt;=2,
SUMPRODUCT(INDEX($AR$67:$AT$71,,$AI610), INDEX($AU$67:$BA$71,,$AH610), 1 / ($BB$67:$BB$71*BU610 + (1-$BB$67:$BB$71)*BQ610), N($AQ$67:$AQ$71&gt;$AO610)),
SUMPRODUCT(INDEX($AR$57:$AT$66,,$AI610), INDEX($AU$57:$BA$66,,$AH610), 1 / ($BC$57:$BC$66*BU610 + (1-$BC$57:$BC$66)*BQ610), N($AQ$57:$AQ$66&gt;$AO610))
) / 1000</f>
        <v>0</v>
      </c>
      <c r="BW610" s="232">
        <f t="shared" si="645"/>
        <v>20</v>
      </c>
      <c r="BX610" s="230">
        <f t="shared" si="623"/>
        <v>33</v>
      </c>
      <c r="BY610" s="235">
        <f t="shared" si="624"/>
        <v>4.4702678571428569</v>
      </c>
      <c r="BZ610" s="235" cm="1">
        <f t="array" ref="BZ610">$BI610 * IF($AH610&lt;=2,
SUMPRODUCT(INDEX($AR$62:$AT$66,,$AI610), INDEX($AU$62:$BA$66,,$AH610), 1 / ($BB$62:$BB$66*BY610 + (1-$BB$62:$BB$66)*BU610), N($AQ$62:$AQ$66&gt;$AO610)),
SUMPRODUCT(INDEX($AR$47:$AT$56,,$AI610), INDEX($AU$47:$BA$56,,$AH610), 1 / ($BC$47:$BC$56*BY610 + (1-$BC$47:$BC$56)*BU610), N($AQ$47:$AQ$56&gt;$AO610))
) / 1000</f>
        <v>0</v>
      </c>
      <c r="CA610" s="235" cm="1">
        <f t="array" ref="CA610">$BI610 * IF($AH610&lt;=2,
SUMPRODUCT(INDEX($AR$23:$AT$61,,$AI610), INDEX($AU$23:$BA$61,,$AH610), 1 / ($BB$23:$BB$61*BY610), N($AQ$23:$AQ$61&gt;$AO610)),
SUMPRODUCT(INDEX($AR$23:$AT$46,,$AI610), INDEX($AU$23:$BA$46,,$AH610), 1 / ($BC$23:$BC$46*BY610), N($AQ$23:$AQ$46&gt;$AO610))
) / 1000</f>
        <v>0</v>
      </c>
      <c r="CB610" s="230">
        <f t="shared" si="625"/>
        <v>0</v>
      </c>
      <c r="CC610" s="238"/>
      <c r="CD610" s="229" cm="1">
        <f t="array" ref="CD610">IF(ISBLANK(Y610), INDEX(Use, $AH610, 4) - AN610*INDEX(Use, $AH610, 6) - (Q610-X610), Y610)</f>
        <v>7</v>
      </c>
      <c r="CE610" s="229">
        <f t="shared" si="626"/>
        <v>32</v>
      </c>
      <c r="CF610" s="230">
        <f t="shared" si="627"/>
        <v>0</v>
      </c>
      <c r="CG610" s="229">
        <v>35</v>
      </c>
      <c r="CH610" s="230">
        <f t="shared" si="628"/>
        <v>48</v>
      </c>
      <c r="CI610" s="235">
        <f t="shared" si="629"/>
        <v>3.0748170731707316</v>
      </c>
      <c r="CJ610" s="235" cm="1">
        <f t="array" ref="CJ610">$BI610 * SUMPRODUCT(INDEX($AR$77:$AT$82,,$AI610),INDEX($AU$77:$BA$82,,$AH610), N($AQ$77:$AQ$82&gt;$AO610)) / CI610 / 1000</f>
        <v>0</v>
      </c>
      <c r="CK610" s="232">
        <f t="shared" si="646"/>
        <v>30</v>
      </c>
      <c r="CL610" s="230">
        <f t="shared" si="630"/>
        <v>43</v>
      </c>
      <c r="CM610" s="235">
        <f t="shared" si="631"/>
        <v>3.5018750000000001</v>
      </c>
      <c r="CN610" s="235" cm="1">
        <f t="array" ref="CN610">$BI610 * IF($AH610&lt;=2,
SUMPRODUCT(INDEX($AR$72:$AT$76,,$AI610), INDEX($AU$72:$BA$76,,$AH610), 1 / ($BB$72:$BB$76*CM610 + (1-$BB$72:$BB$76)*CI610), N($AQ$72:$AQ$76&gt;$AO610)),
SUMPRODUCT(INDEX($AR$67:$AT$76,,$AI610), INDEX($AU$67:$BA$76,,$AH610), 1 / ($BC$67:$BC$76*CM610 + (1-$BC$67:$BC$76)*CI610), N($AQ$67:$AQ$76&gt;$AO610))
) / 1000</f>
        <v>0</v>
      </c>
      <c r="CO610" s="232">
        <f t="shared" si="647"/>
        <v>25</v>
      </c>
      <c r="CP610" s="230">
        <f t="shared" si="632"/>
        <v>38</v>
      </c>
      <c r="CQ610" s="235">
        <f t="shared" si="633"/>
        <v>4.0666935483870965</v>
      </c>
      <c r="CR610" s="235" cm="1">
        <f t="array" ref="CR610">$BI610 * IF($AH610&lt;=2,
SUMPRODUCT(INDEX($AR$67:$AT$71,,$AI610), INDEX($AU$67:$BA$71,,$AH610), 1 / ($BB$67:$BB$71*CQ610 + (1-$BB$67:$BB$71)*CM610), N($AQ$67:$AQ$71&gt;$AO610)),
SUMPRODUCT(INDEX($AR$57:$AT$66,,$AI610), INDEX($AU$57:$BA$66,,$AH610), 1 / ($BC$57:$BC$66*CQ610 + (1-$BC$57:$BC$66)*CM610), N($AQ$57:$AQ$66&gt;$AO610))
) / 1000</f>
        <v>0</v>
      </c>
      <c r="CS610" s="232">
        <f t="shared" si="648"/>
        <v>20</v>
      </c>
      <c r="CT610" s="230">
        <f t="shared" si="634"/>
        <v>33</v>
      </c>
      <c r="CU610" s="235">
        <f t="shared" si="635"/>
        <v>4.8487499999999999</v>
      </c>
      <c r="CV610" s="235" cm="1">
        <f t="array" ref="CV610">$BI610 * IF($AH610&lt;=2,
SUMPRODUCT(INDEX($AR$62:$AT$66,,$AI610), INDEX($AU$62:$BA$66,,$AH610), 1 / ($BB$62:$BB$66*CU610 + (1-$BB$62:$BB$66)*CQ610), N($AQ$62:$AQ$66&gt;$AO610)),
SUMPRODUCT(INDEX($AR$47:$AT$56,,$AI610), INDEX($AU$47:$BA$56,,$AH610), 1 / ($BC$47:$BC$56*CU610 + (1-$BC$47:$BC$56)*CQ610), N($AQ$47:$AQ$56&gt;$AO610))
) / 1000</f>
        <v>0</v>
      </c>
      <c r="CW610" s="235" cm="1">
        <f t="array" ref="CW610">$BI610 * IF($AH610&lt;=2,
SUMPRODUCT(INDEX($AR$23:$AT$61,,$AI610), INDEX($AU$23:$BA$61,,$AH610), 1 / ($BB$23:$BB$61*CU610), N($AQ$23:$AQ$61&gt;$AO610)),
SUMPRODUCT(INDEX($AR$23:$AT$46,,$AI610), INDEX($AU$23:$BA$46,,$AH610), 1 / ($BC$23:$BC$46*CU610), N($AQ$23:$AQ$46&gt;$AO610))
) / 1000</f>
        <v>0</v>
      </c>
      <c r="CX610" s="230">
        <f t="shared" si="636"/>
        <v>0</v>
      </c>
      <c r="CY610" s="238"/>
    </row>
    <row r="611" spans="1:103" s="76" customFormat="1" ht="14.25" customHeight="1" x14ac:dyDescent="0.2">
      <c r="A611" s="231" t="b">
        <f t="shared" si="640"/>
        <v>0</v>
      </c>
      <c r="B611" s="245">
        <v>589</v>
      </c>
      <c r="C611" s="258"/>
      <c r="D611" s="258"/>
      <c r="E611" s="246"/>
      <c r="F611" s="247" t="str">
        <f>IF(ISBLANK(E611), "", VLOOKUP(E611, Z!$A$2:$C$4127, 3, FALSE))</f>
        <v/>
      </c>
      <c r="G611" s="248"/>
      <c r="H611" s="248"/>
      <c r="I611" s="249"/>
      <c r="J611" s="250"/>
      <c r="K611" s="259"/>
      <c r="L611" s="260"/>
      <c r="M611" s="252" t="str" cm="1">
        <f t="array" ref="M611">INDEX(Trad, 53, $A$20)</f>
        <v>Verschmutzt</v>
      </c>
      <c r="N611" s="253"/>
      <c r="O611" s="253"/>
      <c r="P611" s="254"/>
      <c r="Q611" s="251"/>
      <c r="R611" s="251"/>
      <c r="S611" s="264">
        <f t="shared" si="611"/>
        <v>0</v>
      </c>
      <c r="T611" s="252" t="str" cm="1">
        <f t="array" ref="T611">INDEX(Trad, 52, $A$20)</f>
        <v>Sauber</v>
      </c>
      <c r="U611" s="253"/>
      <c r="V611" s="253"/>
      <c r="W611" s="254"/>
      <c r="X611" s="251"/>
      <c r="Y611" s="251"/>
      <c r="Z611" s="264">
        <f t="shared" si="612"/>
        <v>0</v>
      </c>
      <c r="AA611" s="261"/>
      <c r="AB611" s="258"/>
      <c r="AC611" s="246"/>
      <c r="AD611" s="247" t="str">
        <f>IF(ISBLANK(AC611), "", VLOOKUP(AC611, Z!$A$2:$C$4127, 3, FALSE))</f>
        <v/>
      </c>
      <c r="AE611" s="262"/>
      <c r="AF611" s="263">
        <f t="shared" si="613"/>
        <v>0</v>
      </c>
      <c r="AG611" s="238"/>
      <c r="AH611" s="229">
        <f t="shared" si="637"/>
        <v>1</v>
      </c>
      <c r="AI611" s="229">
        <f t="shared" si="638"/>
        <v>1</v>
      </c>
      <c r="AJ611" s="229">
        <f t="shared" si="639"/>
        <v>0</v>
      </c>
      <c r="AK611" s="229">
        <v>0</v>
      </c>
      <c r="AL611" s="229">
        <v>0</v>
      </c>
      <c r="AM611" s="229">
        <v>1</v>
      </c>
      <c r="AN611" s="229">
        <v>0</v>
      </c>
      <c r="AO611" s="229">
        <f t="shared" si="614"/>
        <v>-100</v>
      </c>
      <c r="AP611" s="238"/>
      <c r="AQ611" s="255"/>
      <c r="AR611" s="255"/>
      <c r="AS611" s="256"/>
      <c r="AT611" s="256"/>
      <c r="AU611" s="256"/>
      <c r="AV611" s="256"/>
      <c r="AW611" s="256"/>
      <c r="AX611" s="256"/>
      <c r="AY611" s="256"/>
      <c r="AZ611" s="256"/>
      <c r="BA611" s="256"/>
      <c r="BB611" s="256"/>
      <c r="BC611" s="256"/>
      <c r="BD611" s="238"/>
      <c r="BE611" s="229" cm="1">
        <f t="array" ref="BE611">IF(ISBLANK(R611), INDEX(Use, $AH611, 4) - AM611*INDEX(Use, $AH611, 6), R611)</f>
        <v>5</v>
      </c>
      <c r="BF611" s="229">
        <f t="shared" si="615"/>
        <v>30</v>
      </c>
      <c r="BG611" s="229">
        <f t="shared" si="641"/>
        <v>13</v>
      </c>
      <c r="BH611" s="229">
        <f t="shared" si="642"/>
        <v>0</v>
      </c>
      <c r="BI611" s="234" cm="1">
        <f t="array" ref="BI611">K611/IF($L611&gt;0, INDEX($AU$23:$BA$77, $L611+20, $AH611), 1)</f>
        <v>0</v>
      </c>
      <c r="BJ611" s="230">
        <f t="shared" si="616"/>
        <v>0</v>
      </c>
      <c r="BK611" s="229">
        <v>35</v>
      </c>
      <c r="BL611" s="230">
        <f t="shared" si="617"/>
        <v>48</v>
      </c>
      <c r="BM611" s="235">
        <f t="shared" si="618"/>
        <v>2.9108720930232557</v>
      </c>
      <c r="BN611" s="235" cm="1">
        <f t="array" ref="BN611">$BI611 * SUMPRODUCT(INDEX($AR$77:$AT$82,,$AI611),INDEX($AU$77:$BA$82,,$AH611), N($AQ$77:$AQ$82&gt;$AO611)) / BM611 / 1000</f>
        <v>0</v>
      </c>
      <c r="BO611" s="232">
        <f t="shared" si="643"/>
        <v>30</v>
      </c>
      <c r="BP611" s="230">
        <f t="shared" si="619"/>
        <v>43</v>
      </c>
      <c r="BQ611" s="235">
        <f t="shared" si="620"/>
        <v>3.2938815789473681</v>
      </c>
      <c r="BR611" s="235" cm="1">
        <f t="array" ref="BR611">$BI611 * IF($AH611&lt;=2,
SUMPRODUCT(INDEX($AR$72:$AT$76,,$AI611), INDEX($AU$72:$BA$76,,$AH611), 1 / ($BB$72:$BB$76*BQ611 + (1-$BB$72:$BB$76)*BM611), N($AQ$72:$AQ$76&gt;$AO611)),
SUMPRODUCT(INDEX($AR$67:$AT$76,,$AI611), INDEX($AU$67:$BA$76,,$AH611), 1 / ($BC$67:$BC$76*BQ611 + (1-$BC$67:$BC$76)*BM611), N($AQ$67:$AQ$76&gt;$AO611))
) / 1000</f>
        <v>0</v>
      </c>
      <c r="BS611" s="232">
        <f t="shared" si="644"/>
        <v>25</v>
      </c>
      <c r="BT611" s="230">
        <f t="shared" si="621"/>
        <v>38</v>
      </c>
      <c r="BU611" s="235">
        <f t="shared" si="622"/>
        <v>3.792954545454545</v>
      </c>
      <c r="BV611" s="235" cm="1">
        <f t="array" ref="BV611">$BI611 * IF($AH611&lt;=2,
SUMPRODUCT(INDEX($AR$67:$AT$71,,$AI611), INDEX($AU$67:$BA$71,,$AH611), 1 / ($BB$67:$BB$71*BU611 + (1-$BB$67:$BB$71)*BQ611), N($AQ$67:$AQ$71&gt;$AO611)),
SUMPRODUCT(INDEX($AR$57:$AT$66,,$AI611), INDEX($AU$57:$BA$66,,$AH611), 1 / ($BC$57:$BC$66*BU611 + (1-$BC$57:$BC$66)*BQ611), N($AQ$57:$AQ$66&gt;$AO611))
) / 1000</f>
        <v>0</v>
      </c>
      <c r="BW611" s="232">
        <f t="shared" si="645"/>
        <v>20</v>
      </c>
      <c r="BX611" s="230">
        <f t="shared" si="623"/>
        <v>33</v>
      </c>
      <c r="BY611" s="235">
        <f t="shared" si="624"/>
        <v>4.4702678571428569</v>
      </c>
      <c r="BZ611" s="235" cm="1">
        <f t="array" ref="BZ611">$BI611 * IF($AH611&lt;=2,
SUMPRODUCT(INDEX($AR$62:$AT$66,,$AI611), INDEX($AU$62:$BA$66,,$AH611), 1 / ($BB$62:$BB$66*BY611 + (1-$BB$62:$BB$66)*BU611), N($AQ$62:$AQ$66&gt;$AO611)),
SUMPRODUCT(INDEX($AR$47:$AT$56,,$AI611), INDEX($AU$47:$BA$56,,$AH611), 1 / ($BC$47:$BC$56*BY611 + (1-$BC$47:$BC$56)*BU611), N($AQ$47:$AQ$56&gt;$AO611))
) / 1000</f>
        <v>0</v>
      </c>
      <c r="CA611" s="235" cm="1">
        <f t="array" ref="CA611">$BI611 * IF($AH611&lt;=2,
SUMPRODUCT(INDEX($AR$23:$AT$61,,$AI611), INDEX($AU$23:$BA$61,,$AH611), 1 / ($BB$23:$BB$61*BY611), N($AQ$23:$AQ$61&gt;$AO611)),
SUMPRODUCT(INDEX($AR$23:$AT$46,,$AI611), INDEX($AU$23:$BA$46,,$AH611), 1 / ($BC$23:$BC$46*BY611), N($AQ$23:$AQ$46&gt;$AO611))
) / 1000</f>
        <v>0</v>
      </c>
      <c r="CB611" s="230">
        <f t="shared" si="625"/>
        <v>0</v>
      </c>
      <c r="CC611" s="238"/>
      <c r="CD611" s="229" cm="1">
        <f t="array" ref="CD611">IF(ISBLANK(Y611), INDEX(Use, $AH611, 4) - AN611*INDEX(Use, $AH611, 6) - (Q611-X611), Y611)</f>
        <v>7</v>
      </c>
      <c r="CE611" s="229">
        <f t="shared" si="626"/>
        <v>32</v>
      </c>
      <c r="CF611" s="230">
        <f t="shared" si="627"/>
        <v>0</v>
      </c>
      <c r="CG611" s="229">
        <v>35</v>
      </c>
      <c r="CH611" s="230">
        <f t="shared" si="628"/>
        <v>48</v>
      </c>
      <c r="CI611" s="235">
        <f t="shared" si="629"/>
        <v>3.0748170731707316</v>
      </c>
      <c r="CJ611" s="235" cm="1">
        <f t="array" ref="CJ611">$BI611 * SUMPRODUCT(INDEX($AR$77:$AT$82,,$AI611),INDEX($AU$77:$BA$82,,$AH611), N($AQ$77:$AQ$82&gt;$AO611)) / CI611 / 1000</f>
        <v>0</v>
      </c>
      <c r="CK611" s="232">
        <f t="shared" si="646"/>
        <v>30</v>
      </c>
      <c r="CL611" s="230">
        <f t="shared" si="630"/>
        <v>43</v>
      </c>
      <c r="CM611" s="235">
        <f t="shared" si="631"/>
        <v>3.5018750000000001</v>
      </c>
      <c r="CN611" s="235" cm="1">
        <f t="array" ref="CN611">$BI611 * IF($AH611&lt;=2,
SUMPRODUCT(INDEX($AR$72:$AT$76,,$AI611), INDEX($AU$72:$BA$76,,$AH611), 1 / ($BB$72:$BB$76*CM611 + (1-$BB$72:$BB$76)*CI611), N($AQ$72:$AQ$76&gt;$AO611)),
SUMPRODUCT(INDEX($AR$67:$AT$76,,$AI611), INDEX($AU$67:$BA$76,,$AH611), 1 / ($BC$67:$BC$76*CM611 + (1-$BC$67:$BC$76)*CI611), N($AQ$67:$AQ$76&gt;$AO611))
) / 1000</f>
        <v>0</v>
      </c>
      <c r="CO611" s="232">
        <f t="shared" si="647"/>
        <v>25</v>
      </c>
      <c r="CP611" s="230">
        <f t="shared" si="632"/>
        <v>38</v>
      </c>
      <c r="CQ611" s="235">
        <f t="shared" si="633"/>
        <v>4.0666935483870965</v>
      </c>
      <c r="CR611" s="235" cm="1">
        <f t="array" ref="CR611">$BI611 * IF($AH611&lt;=2,
SUMPRODUCT(INDEX($AR$67:$AT$71,,$AI611), INDEX($AU$67:$BA$71,,$AH611), 1 / ($BB$67:$BB$71*CQ611 + (1-$BB$67:$BB$71)*CM611), N($AQ$67:$AQ$71&gt;$AO611)),
SUMPRODUCT(INDEX($AR$57:$AT$66,,$AI611), INDEX($AU$57:$BA$66,,$AH611), 1 / ($BC$57:$BC$66*CQ611 + (1-$BC$57:$BC$66)*CM611), N($AQ$57:$AQ$66&gt;$AO611))
) / 1000</f>
        <v>0</v>
      </c>
      <c r="CS611" s="232">
        <f t="shared" si="648"/>
        <v>20</v>
      </c>
      <c r="CT611" s="230">
        <f t="shared" si="634"/>
        <v>33</v>
      </c>
      <c r="CU611" s="235">
        <f t="shared" si="635"/>
        <v>4.8487499999999999</v>
      </c>
      <c r="CV611" s="235" cm="1">
        <f t="array" ref="CV611">$BI611 * IF($AH611&lt;=2,
SUMPRODUCT(INDEX($AR$62:$AT$66,,$AI611), INDEX($AU$62:$BA$66,,$AH611), 1 / ($BB$62:$BB$66*CU611 + (1-$BB$62:$BB$66)*CQ611), N($AQ$62:$AQ$66&gt;$AO611)),
SUMPRODUCT(INDEX($AR$47:$AT$56,,$AI611), INDEX($AU$47:$BA$56,,$AH611), 1 / ($BC$47:$BC$56*CU611 + (1-$BC$47:$BC$56)*CQ611), N($AQ$47:$AQ$56&gt;$AO611))
) / 1000</f>
        <v>0</v>
      </c>
      <c r="CW611" s="235" cm="1">
        <f t="array" ref="CW611">$BI611 * IF($AH611&lt;=2,
SUMPRODUCT(INDEX($AR$23:$AT$61,,$AI611), INDEX($AU$23:$BA$61,,$AH611), 1 / ($BB$23:$BB$61*CU611), N($AQ$23:$AQ$61&gt;$AO611)),
SUMPRODUCT(INDEX($AR$23:$AT$46,,$AI611), INDEX($AU$23:$BA$46,,$AH611), 1 / ($BC$23:$BC$46*CU611), N($AQ$23:$AQ$46&gt;$AO611))
) / 1000</f>
        <v>0</v>
      </c>
      <c r="CX611" s="230">
        <f t="shared" si="636"/>
        <v>0</v>
      </c>
      <c r="CY611" s="238"/>
    </row>
    <row r="612" spans="1:103" s="76" customFormat="1" ht="14.25" customHeight="1" x14ac:dyDescent="0.2">
      <c r="A612" s="231" t="b">
        <f t="shared" si="640"/>
        <v>0</v>
      </c>
      <c r="B612" s="245">
        <v>590</v>
      </c>
      <c r="C612" s="258"/>
      <c r="D612" s="258"/>
      <c r="E612" s="246"/>
      <c r="F612" s="247" t="str">
        <f>IF(ISBLANK(E612), "", VLOOKUP(E612, Z!$A$2:$C$4127, 3, FALSE))</f>
        <v/>
      </c>
      <c r="G612" s="248"/>
      <c r="H612" s="248"/>
      <c r="I612" s="249"/>
      <c r="J612" s="250"/>
      <c r="K612" s="259"/>
      <c r="L612" s="260"/>
      <c r="M612" s="252" t="str" cm="1">
        <f t="array" ref="M612">INDEX(Trad, 53, $A$20)</f>
        <v>Verschmutzt</v>
      </c>
      <c r="N612" s="253"/>
      <c r="O612" s="253"/>
      <c r="P612" s="254"/>
      <c r="Q612" s="251"/>
      <c r="R612" s="251"/>
      <c r="S612" s="264">
        <f t="shared" si="611"/>
        <v>0</v>
      </c>
      <c r="T612" s="252" t="str" cm="1">
        <f t="array" ref="T612">INDEX(Trad, 52, $A$20)</f>
        <v>Sauber</v>
      </c>
      <c r="U612" s="253"/>
      <c r="V612" s="253"/>
      <c r="W612" s="254"/>
      <c r="X612" s="251"/>
      <c r="Y612" s="251"/>
      <c r="Z612" s="264">
        <f t="shared" si="612"/>
        <v>0</v>
      </c>
      <c r="AA612" s="261"/>
      <c r="AB612" s="258"/>
      <c r="AC612" s="246"/>
      <c r="AD612" s="247" t="str">
        <f>IF(ISBLANK(AC612), "", VLOOKUP(AC612, Z!$A$2:$C$4127, 3, FALSE))</f>
        <v/>
      </c>
      <c r="AE612" s="262"/>
      <c r="AF612" s="263">
        <f t="shared" si="613"/>
        <v>0</v>
      </c>
      <c r="AG612" s="238"/>
      <c r="AH612" s="229">
        <f t="shared" si="637"/>
        <v>1</v>
      </c>
      <c r="AI612" s="229">
        <f t="shared" si="638"/>
        <v>1</v>
      </c>
      <c r="AJ612" s="229">
        <f t="shared" si="639"/>
        <v>0</v>
      </c>
      <c r="AK612" s="229">
        <v>0</v>
      </c>
      <c r="AL612" s="229">
        <v>0</v>
      </c>
      <c r="AM612" s="229">
        <v>1</v>
      </c>
      <c r="AN612" s="229">
        <v>0</v>
      </c>
      <c r="AO612" s="229">
        <f t="shared" si="614"/>
        <v>-100</v>
      </c>
      <c r="AP612" s="238"/>
      <c r="AQ612" s="255"/>
      <c r="AR612" s="255"/>
      <c r="AS612" s="256"/>
      <c r="AT612" s="256"/>
      <c r="AU612" s="256"/>
      <c r="AV612" s="256"/>
      <c r="AW612" s="256"/>
      <c r="AX612" s="256"/>
      <c r="AY612" s="256"/>
      <c r="AZ612" s="256"/>
      <c r="BA612" s="256"/>
      <c r="BB612" s="256"/>
      <c r="BC612" s="256"/>
      <c r="BD612" s="238"/>
      <c r="BE612" s="229" cm="1">
        <f t="array" ref="BE612">IF(ISBLANK(R612), INDEX(Use, $AH612, 4) - AM612*INDEX(Use, $AH612, 6), R612)</f>
        <v>5</v>
      </c>
      <c r="BF612" s="229">
        <f t="shared" si="615"/>
        <v>30</v>
      </c>
      <c r="BG612" s="229">
        <f t="shared" si="641"/>
        <v>13</v>
      </c>
      <c r="BH612" s="229">
        <f t="shared" si="642"/>
        <v>0</v>
      </c>
      <c r="BI612" s="234" cm="1">
        <f t="array" ref="BI612">K612/IF($L612&gt;0, INDEX($AU$23:$BA$77, $L612+20, $AH612), 1)</f>
        <v>0</v>
      </c>
      <c r="BJ612" s="230">
        <f t="shared" si="616"/>
        <v>0</v>
      </c>
      <c r="BK612" s="229">
        <v>35</v>
      </c>
      <c r="BL612" s="230">
        <f t="shared" si="617"/>
        <v>48</v>
      </c>
      <c r="BM612" s="235">
        <f t="shared" si="618"/>
        <v>2.9108720930232557</v>
      </c>
      <c r="BN612" s="235" cm="1">
        <f t="array" ref="BN612">$BI612 * SUMPRODUCT(INDEX($AR$77:$AT$82,,$AI612),INDEX($AU$77:$BA$82,,$AH612), N($AQ$77:$AQ$82&gt;$AO612)) / BM612 / 1000</f>
        <v>0</v>
      </c>
      <c r="BO612" s="232">
        <f t="shared" si="643"/>
        <v>30</v>
      </c>
      <c r="BP612" s="230">
        <f t="shared" si="619"/>
        <v>43</v>
      </c>
      <c r="BQ612" s="235">
        <f t="shared" si="620"/>
        <v>3.2938815789473681</v>
      </c>
      <c r="BR612" s="235" cm="1">
        <f t="array" ref="BR612">$BI612 * IF($AH612&lt;=2,
SUMPRODUCT(INDEX($AR$72:$AT$76,,$AI612), INDEX($AU$72:$BA$76,,$AH612), 1 / ($BB$72:$BB$76*BQ612 + (1-$BB$72:$BB$76)*BM612), N($AQ$72:$AQ$76&gt;$AO612)),
SUMPRODUCT(INDEX($AR$67:$AT$76,,$AI612), INDEX($AU$67:$BA$76,,$AH612), 1 / ($BC$67:$BC$76*BQ612 + (1-$BC$67:$BC$76)*BM612), N($AQ$67:$AQ$76&gt;$AO612))
) / 1000</f>
        <v>0</v>
      </c>
      <c r="BS612" s="232">
        <f t="shared" si="644"/>
        <v>25</v>
      </c>
      <c r="BT612" s="230">
        <f t="shared" si="621"/>
        <v>38</v>
      </c>
      <c r="BU612" s="235">
        <f t="shared" si="622"/>
        <v>3.792954545454545</v>
      </c>
      <c r="BV612" s="235" cm="1">
        <f t="array" ref="BV612">$BI612 * IF($AH612&lt;=2,
SUMPRODUCT(INDEX($AR$67:$AT$71,,$AI612), INDEX($AU$67:$BA$71,,$AH612), 1 / ($BB$67:$BB$71*BU612 + (1-$BB$67:$BB$71)*BQ612), N($AQ$67:$AQ$71&gt;$AO612)),
SUMPRODUCT(INDEX($AR$57:$AT$66,,$AI612), INDEX($AU$57:$BA$66,,$AH612), 1 / ($BC$57:$BC$66*BU612 + (1-$BC$57:$BC$66)*BQ612), N($AQ$57:$AQ$66&gt;$AO612))
) / 1000</f>
        <v>0</v>
      </c>
      <c r="BW612" s="232">
        <f t="shared" si="645"/>
        <v>20</v>
      </c>
      <c r="BX612" s="230">
        <f t="shared" si="623"/>
        <v>33</v>
      </c>
      <c r="BY612" s="235">
        <f t="shared" si="624"/>
        <v>4.4702678571428569</v>
      </c>
      <c r="BZ612" s="235" cm="1">
        <f t="array" ref="BZ612">$BI612 * IF($AH612&lt;=2,
SUMPRODUCT(INDEX($AR$62:$AT$66,,$AI612), INDEX($AU$62:$BA$66,,$AH612), 1 / ($BB$62:$BB$66*BY612 + (1-$BB$62:$BB$66)*BU612), N($AQ$62:$AQ$66&gt;$AO612)),
SUMPRODUCT(INDEX($AR$47:$AT$56,,$AI612), INDEX($AU$47:$BA$56,,$AH612), 1 / ($BC$47:$BC$56*BY612 + (1-$BC$47:$BC$56)*BU612), N($AQ$47:$AQ$56&gt;$AO612))
) / 1000</f>
        <v>0</v>
      </c>
      <c r="CA612" s="235" cm="1">
        <f t="array" ref="CA612">$BI612 * IF($AH612&lt;=2,
SUMPRODUCT(INDEX($AR$23:$AT$61,,$AI612), INDEX($AU$23:$BA$61,,$AH612), 1 / ($BB$23:$BB$61*BY612), N($AQ$23:$AQ$61&gt;$AO612)),
SUMPRODUCT(INDEX($AR$23:$AT$46,,$AI612), INDEX($AU$23:$BA$46,,$AH612), 1 / ($BC$23:$BC$46*BY612), N($AQ$23:$AQ$46&gt;$AO612))
) / 1000</f>
        <v>0</v>
      </c>
      <c r="CB612" s="230">
        <f t="shared" si="625"/>
        <v>0</v>
      </c>
      <c r="CC612" s="238"/>
      <c r="CD612" s="229" cm="1">
        <f t="array" ref="CD612">IF(ISBLANK(Y612), INDEX(Use, $AH612, 4) - AN612*INDEX(Use, $AH612, 6) - (Q612-X612), Y612)</f>
        <v>7</v>
      </c>
      <c r="CE612" s="229">
        <f t="shared" si="626"/>
        <v>32</v>
      </c>
      <c r="CF612" s="230">
        <f t="shared" si="627"/>
        <v>0</v>
      </c>
      <c r="CG612" s="229">
        <v>35</v>
      </c>
      <c r="CH612" s="230">
        <f t="shared" si="628"/>
        <v>48</v>
      </c>
      <c r="CI612" s="235">
        <f t="shared" si="629"/>
        <v>3.0748170731707316</v>
      </c>
      <c r="CJ612" s="235" cm="1">
        <f t="array" ref="CJ612">$BI612 * SUMPRODUCT(INDEX($AR$77:$AT$82,,$AI612),INDEX($AU$77:$BA$82,,$AH612), N($AQ$77:$AQ$82&gt;$AO612)) / CI612 / 1000</f>
        <v>0</v>
      </c>
      <c r="CK612" s="232">
        <f t="shared" si="646"/>
        <v>30</v>
      </c>
      <c r="CL612" s="230">
        <f t="shared" si="630"/>
        <v>43</v>
      </c>
      <c r="CM612" s="235">
        <f t="shared" si="631"/>
        <v>3.5018750000000001</v>
      </c>
      <c r="CN612" s="235" cm="1">
        <f t="array" ref="CN612">$BI612 * IF($AH612&lt;=2,
SUMPRODUCT(INDEX($AR$72:$AT$76,,$AI612), INDEX($AU$72:$BA$76,,$AH612), 1 / ($BB$72:$BB$76*CM612 + (1-$BB$72:$BB$76)*CI612), N($AQ$72:$AQ$76&gt;$AO612)),
SUMPRODUCT(INDEX($AR$67:$AT$76,,$AI612), INDEX($AU$67:$BA$76,,$AH612), 1 / ($BC$67:$BC$76*CM612 + (1-$BC$67:$BC$76)*CI612), N($AQ$67:$AQ$76&gt;$AO612))
) / 1000</f>
        <v>0</v>
      </c>
      <c r="CO612" s="232">
        <f t="shared" si="647"/>
        <v>25</v>
      </c>
      <c r="CP612" s="230">
        <f t="shared" si="632"/>
        <v>38</v>
      </c>
      <c r="CQ612" s="235">
        <f t="shared" si="633"/>
        <v>4.0666935483870965</v>
      </c>
      <c r="CR612" s="235" cm="1">
        <f t="array" ref="CR612">$BI612 * IF($AH612&lt;=2,
SUMPRODUCT(INDEX($AR$67:$AT$71,,$AI612), INDEX($AU$67:$BA$71,,$AH612), 1 / ($BB$67:$BB$71*CQ612 + (1-$BB$67:$BB$71)*CM612), N($AQ$67:$AQ$71&gt;$AO612)),
SUMPRODUCT(INDEX($AR$57:$AT$66,,$AI612), INDEX($AU$57:$BA$66,,$AH612), 1 / ($BC$57:$BC$66*CQ612 + (1-$BC$57:$BC$66)*CM612), N($AQ$57:$AQ$66&gt;$AO612))
) / 1000</f>
        <v>0</v>
      </c>
      <c r="CS612" s="232">
        <f t="shared" si="648"/>
        <v>20</v>
      </c>
      <c r="CT612" s="230">
        <f t="shared" si="634"/>
        <v>33</v>
      </c>
      <c r="CU612" s="235">
        <f t="shared" si="635"/>
        <v>4.8487499999999999</v>
      </c>
      <c r="CV612" s="235" cm="1">
        <f t="array" ref="CV612">$BI612 * IF($AH612&lt;=2,
SUMPRODUCT(INDEX($AR$62:$AT$66,,$AI612), INDEX($AU$62:$BA$66,,$AH612), 1 / ($BB$62:$BB$66*CU612 + (1-$BB$62:$BB$66)*CQ612), N($AQ$62:$AQ$66&gt;$AO612)),
SUMPRODUCT(INDEX($AR$47:$AT$56,,$AI612), INDEX($AU$47:$BA$56,,$AH612), 1 / ($BC$47:$BC$56*CU612 + (1-$BC$47:$BC$56)*CQ612), N($AQ$47:$AQ$56&gt;$AO612))
) / 1000</f>
        <v>0</v>
      </c>
      <c r="CW612" s="235" cm="1">
        <f t="array" ref="CW612">$BI612 * IF($AH612&lt;=2,
SUMPRODUCT(INDEX($AR$23:$AT$61,,$AI612), INDEX($AU$23:$BA$61,,$AH612), 1 / ($BB$23:$BB$61*CU612), N($AQ$23:$AQ$61&gt;$AO612)),
SUMPRODUCT(INDEX($AR$23:$AT$46,,$AI612), INDEX($AU$23:$BA$46,,$AH612), 1 / ($BC$23:$BC$46*CU612), N($AQ$23:$AQ$46&gt;$AO612))
) / 1000</f>
        <v>0</v>
      </c>
      <c r="CX612" s="230">
        <f t="shared" si="636"/>
        <v>0</v>
      </c>
      <c r="CY612" s="238"/>
    </row>
    <row r="613" spans="1:103" s="76" customFormat="1" ht="14.25" customHeight="1" x14ac:dyDescent="0.2">
      <c r="A613" s="231" t="b">
        <f t="shared" si="640"/>
        <v>0</v>
      </c>
      <c r="B613" s="245">
        <v>591</v>
      </c>
      <c r="C613" s="258"/>
      <c r="D613" s="258"/>
      <c r="E613" s="246"/>
      <c r="F613" s="247" t="str">
        <f>IF(ISBLANK(E613), "", VLOOKUP(E613, Z!$A$2:$C$4127, 3, FALSE))</f>
        <v/>
      </c>
      <c r="G613" s="248"/>
      <c r="H613" s="248"/>
      <c r="I613" s="249"/>
      <c r="J613" s="250"/>
      <c r="K613" s="259"/>
      <c r="L613" s="260"/>
      <c r="M613" s="252" t="str" cm="1">
        <f t="array" ref="M613">INDEX(Trad, 53, $A$20)</f>
        <v>Verschmutzt</v>
      </c>
      <c r="N613" s="253"/>
      <c r="O613" s="253"/>
      <c r="P613" s="254"/>
      <c r="Q613" s="251"/>
      <c r="R613" s="251"/>
      <c r="S613" s="264">
        <f t="shared" si="611"/>
        <v>0</v>
      </c>
      <c r="T613" s="252" t="str" cm="1">
        <f t="array" ref="T613">INDEX(Trad, 52, $A$20)</f>
        <v>Sauber</v>
      </c>
      <c r="U613" s="253"/>
      <c r="V613" s="253"/>
      <c r="W613" s="254"/>
      <c r="X613" s="251"/>
      <c r="Y613" s="251"/>
      <c r="Z613" s="264">
        <f t="shared" si="612"/>
        <v>0</v>
      </c>
      <c r="AA613" s="261"/>
      <c r="AB613" s="258"/>
      <c r="AC613" s="246"/>
      <c r="AD613" s="247" t="str">
        <f>IF(ISBLANK(AC613), "", VLOOKUP(AC613, Z!$A$2:$C$4127, 3, FALSE))</f>
        <v/>
      </c>
      <c r="AE613" s="262"/>
      <c r="AF613" s="263">
        <f t="shared" si="613"/>
        <v>0</v>
      </c>
      <c r="AG613" s="238"/>
      <c r="AH613" s="229">
        <f t="shared" si="637"/>
        <v>1</v>
      </c>
      <c r="AI613" s="229">
        <f t="shared" si="638"/>
        <v>1</v>
      </c>
      <c r="AJ613" s="229">
        <f t="shared" si="639"/>
        <v>0</v>
      </c>
      <c r="AK613" s="229">
        <v>0</v>
      </c>
      <c r="AL613" s="229">
        <v>0</v>
      </c>
      <c r="AM613" s="229">
        <v>1</v>
      </c>
      <c r="AN613" s="229">
        <v>0</v>
      </c>
      <c r="AO613" s="229">
        <f t="shared" si="614"/>
        <v>-100</v>
      </c>
      <c r="AP613" s="238"/>
      <c r="AQ613" s="255"/>
      <c r="AR613" s="255"/>
      <c r="AS613" s="256"/>
      <c r="AT613" s="256"/>
      <c r="AU613" s="256"/>
      <c r="AV613" s="256"/>
      <c r="AW613" s="256"/>
      <c r="AX613" s="256"/>
      <c r="AY613" s="256"/>
      <c r="AZ613" s="256"/>
      <c r="BA613" s="256"/>
      <c r="BB613" s="256"/>
      <c r="BC613" s="256"/>
      <c r="BD613" s="238"/>
      <c r="BE613" s="229" cm="1">
        <f t="array" ref="BE613">IF(ISBLANK(R613), INDEX(Use, $AH613, 4) - AM613*INDEX(Use, $AH613, 6), R613)</f>
        <v>5</v>
      </c>
      <c r="BF613" s="229">
        <f t="shared" si="615"/>
        <v>30</v>
      </c>
      <c r="BG613" s="229">
        <f t="shared" si="641"/>
        <v>13</v>
      </c>
      <c r="BH613" s="229">
        <f t="shared" si="642"/>
        <v>0</v>
      </c>
      <c r="BI613" s="234" cm="1">
        <f t="array" ref="BI613">K613/IF($L613&gt;0, INDEX($AU$23:$BA$77, $L613+20, $AH613), 1)</f>
        <v>0</v>
      </c>
      <c r="BJ613" s="230">
        <f t="shared" si="616"/>
        <v>0</v>
      </c>
      <c r="BK613" s="229">
        <v>35</v>
      </c>
      <c r="BL613" s="230">
        <f t="shared" si="617"/>
        <v>48</v>
      </c>
      <c r="BM613" s="235">
        <f t="shared" si="618"/>
        <v>2.9108720930232557</v>
      </c>
      <c r="BN613" s="235" cm="1">
        <f t="array" ref="BN613">$BI613 * SUMPRODUCT(INDEX($AR$77:$AT$82,,$AI613),INDEX($AU$77:$BA$82,,$AH613), N($AQ$77:$AQ$82&gt;$AO613)) / BM613 / 1000</f>
        <v>0</v>
      </c>
      <c r="BO613" s="232">
        <f t="shared" si="643"/>
        <v>30</v>
      </c>
      <c r="BP613" s="230">
        <f t="shared" si="619"/>
        <v>43</v>
      </c>
      <c r="BQ613" s="235">
        <f t="shared" si="620"/>
        <v>3.2938815789473681</v>
      </c>
      <c r="BR613" s="235" cm="1">
        <f t="array" ref="BR613">$BI613 * IF($AH613&lt;=2,
SUMPRODUCT(INDEX($AR$72:$AT$76,,$AI613), INDEX($AU$72:$BA$76,,$AH613), 1 / ($BB$72:$BB$76*BQ613 + (1-$BB$72:$BB$76)*BM613), N($AQ$72:$AQ$76&gt;$AO613)),
SUMPRODUCT(INDEX($AR$67:$AT$76,,$AI613), INDEX($AU$67:$BA$76,,$AH613), 1 / ($BC$67:$BC$76*BQ613 + (1-$BC$67:$BC$76)*BM613), N($AQ$67:$AQ$76&gt;$AO613))
) / 1000</f>
        <v>0</v>
      </c>
      <c r="BS613" s="232">
        <f t="shared" si="644"/>
        <v>25</v>
      </c>
      <c r="BT613" s="230">
        <f t="shared" si="621"/>
        <v>38</v>
      </c>
      <c r="BU613" s="235">
        <f t="shared" si="622"/>
        <v>3.792954545454545</v>
      </c>
      <c r="BV613" s="235" cm="1">
        <f t="array" ref="BV613">$BI613 * IF($AH613&lt;=2,
SUMPRODUCT(INDEX($AR$67:$AT$71,,$AI613), INDEX($AU$67:$BA$71,,$AH613), 1 / ($BB$67:$BB$71*BU613 + (1-$BB$67:$BB$71)*BQ613), N($AQ$67:$AQ$71&gt;$AO613)),
SUMPRODUCT(INDEX($AR$57:$AT$66,,$AI613), INDEX($AU$57:$BA$66,,$AH613), 1 / ($BC$57:$BC$66*BU613 + (1-$BC$57:$BC$66)*BQ613), N($AQ$57:$AQ$66&gt;$AO613))
) / 1000</f>
        <v>0</v>
      </c>
      <c r="BW613" s="232">
        <f t="shared" si="645"/>
        <v>20</v>
      </c>
      <c r="BX613" s="230">
        <f t="shared" si="623"/>
        <v>33</v>
      </c>
      <c r="BY613" s="235">
        <f t="shared" si="624"/>
        <v>4.4702678571428569</v>
      </c>
      <c r="BZ613" s="235" cm="1">
        <f t="array" ref="BZ613">$BI613 * IF($AH613&lt;=2,
SUMPRODUCT(INDEX($AR$62:$AT$66,,$AI613), INDEX($AU$62:$BA$66,,$AH613), 1 / ($BB$62:$BB$66*BY613 + (1-$BB$62:$BB$66)*BU613), N($AQ$62:$AQ$66&gt;$AO613)),
SUMPRODUCT(INDEX($AR$47:$AT$56,,$AI613), INDEX($AU$47:$BA$56,,$AH613), 1 / ($BC$47:$BC$56*BY613 + (1-$BC$47:$BC$56)*BU613), N($AQ$47:$AQ$56&gt;$AO613))
) / 1000</f>
        <v>0</v>
      </c>
      <c r="CA613" s="235" cm="1">
        <f t="array" ref="CA613">$BI613 * IF($AH613&lt;=2,
SUMPRODUCT(INDEX($AR$23:$AT$61,,$AI613), INDEX($AU$23:$BA$61,,$AH613), 1 / ($BB$23:$BB$61*BY613), N($AQ$23:$AQ$61&gt;$AO613)),
SUMPRODUCT(INDEX($AR$23:$AT$46,,$AI613), INDEX($AU$23:$BA$46,,$AH613), 1 / ($BC$23:$BC$46*BY613), N($AQ$23:$AQ$46&gt;$AO613))
) / 1000</f>
        <v>0</v>
      </c>
      <c r="CB613" s="230">
        <f t="shared" si="625"/>
        <v>0</v>
      </c>
      <c r="CC613" s="238"/>
      <c r="CD613" s="229" cm="1">
        <f t="array" ref="CD613">IF(ISBLANK(Y613), INDEX(Use, $AH613, 4) - AN613*INDEX(Use, $AH613, 6) - (Q613-X613), Y613)</f>
        <v>7</v>
      </c>
      <c r="CE613" s="229">
        <f t="shared" si="626"/>
        <v>32</v>
      </c>
      <c r="CF613" s="230">
        <f t="shared" si="627"/>
        <v>0</v>
      </c>
      <c r="CG613" s="229">
        <v>35</v>
      </c>
      <c r="CH613" s="230">
        <f t="shared" si="628"/>
        <v>48</v>
      </c>
      <c r="CI613" s="235">
        <f t="shared" si="629"/>
        <v>3.0748170731707316</v>
      </c>
      <c r="CJ613" s="235" cm="1">
        <f t="array" ref="CJ613">$BI613 * SUMPRODUCT(INDEX($AR$77:$AT$82,,$AI613),INDEX($AU$77:$BA$82,,$AH613), N($AQ$77:$AQ$82&gt;$AO613)) / CI613 / 1000</f>
        <v>0</v>
      </c>
      <c r="CK613" s="232">
        <f t="shared" si="646"/>
        <v>30</v>
      </c>
      <c r="CL613" s="230">
        <f t="shared" si="630"/>
        <v>43</v>
      </c>
      <c r="CM613" s="235">
        <f t="shared" si="631"/>
        <v>3.5018750000000001</v>
      </c>
      <c r="CN613" s="235" cm="1">
        <f t="array" ref="CN613">$BI613 * IF($AH613&lt;=2,
SUMPRODUCT(INDEX($AR$72:$AT$76,,$AI613), INDEX($AU$72:$BA$76,,$AH613), 1 / ($BB$72:$BB$76*CM613 + (1-$BB$72:$BB$76)*CI613), N($AQ$72:$AQ$76&gt;$AO613)),
SUMPRODUCT(INDEX($AR$67:$AT$76,,$AI613), INDEX($AU$67:$BA$76,,$AH613), 1 / ($BC$67:$BC$76*CM613 + (1-$BC$67:$BC$76)*CI613), N($AQ$67:$AQ$76&gt;$AO613))
) / 1000</f>
        <v>0</v>
      </c>
      <c r="CO613" s="232">
        <f t="shared" si="647"/>
        <v>25</v>
      </c>
      <c r="CP613" s="230">
        <f t="shared" si="632"/>
        <v>38</v>
      </c>
      <c r="CQ613" s="235">
        <f t="shared" si="633"/>
        <v>4.0666935483870965</v>
      </c>
      <c r="CR613" s="235" cm="1">
        <f t="array" ref="CR613">$BI613 * IF($AH613&lt;=2,
SUMPRODUCT(INDEX($AR$67:$AT$71,,$AI613), INDEX($AU$67:$BA$71,,$AH613), 1 / ($BB$67:$BB$71*CQ613 + (1-$BB$67:$BB$71)*CM613), N($AQ$67:$AQ$71&gt;$AO613)),
SUMPRODUCT(INDEX($AR$57:$AT$66,,$AI613), INDEX($AU$57:$BA$66,,$AH613), 1 / ($BC$57:$BC$66*CQ613 + (1-$BC$57:$BC$66)*CM613), N($AQ$57:$AQ$66&gt;$AO613))
) / 1000</f>
        <v>0</v>
      </c>
      <c r="CS613" s="232">
        <f t="shared" si="648"/>
        <v>20</v>
      </c>
      <c r="CT613" s="230">
        <f t="shared" si="634"/>
        <v>33</v>
      </c>
      <c r="CU613" s="235">
        <f t="shared" si="635"/>
        <v>4.8487499999999999</v>
      </c>
      <c r="CV613" s="235" cm="1">
        <f t="array" ref="CV613">$BI613 * IF($AH613&lt;=2,
SUMPRODUCT(INDEX($AR$62:$AT$66,,$AI613), INDEX($AU$62:$BA$66,,$AH613), 1 / ($BB$62:$BB$66*CU613 + (1-$BB$62:$BB$66)*CQ613), N($AQ$62:$AQ$66&gt;$AO613)),
SUMPRODUCT(INDEX($AR$47:$AT$56,,$AI613), INDEX($AU$47:$BA$56,,$AH613), 1 / ($BC$47:$BC$56*CU613 + (1-$BC$47:$BC$56)*CQ613), N($AQ$47:$AQ$56&gt;$AO613))
) / 1000</f>
        <v>0</v>
      </c>
      <c r="CW613" s="235" cm="1">
        <f t="array" ref="CW613">$BI613 * IF($AH613&lt;=2,
SUMPRODUCT(INDEX($AR$23:$AT$61,,$AI613), INDEX($AU$23:$BA$61,,$AH613), 1 / ($BB$23:$BB$61*CU613), N($AQ$23:$AQ$61&gt;$AO613)),
SUMPRODUCT(INDEX($AR$23:$AT$46,,$AI613), INDEX($AU$23:$BA$46,,$AH613), 1 / ($BC$23:$BC$46*CU613), N($AQ$23:$AQ$46&gt;$AO613))
) / 1000</f>
        <v>0</v>
      </c>
      <c r="CX613" s="230">
        <f t="shared" si="636"/>
        <v>0</v>
      </c>
      <c r="CY613" s="238"/>
    </row>
    <row r="614" spans="1:103" s="76" customFormat="1" ht="14.25" customHeight="1" x14ac:dyDescent="0.2">
      <c r="A614" s="231" t="b">
        <f t="shared" si="640"/>
        <v>0</v>
      </c>
      <c r="B614" s="245">
        <v>592</v>
      </c>
      <c r="C614" s="258"/>
      <c r="D614" s="258"/>
      <c r="E614" s="246"/>
      <c r="F614" s="247" t="str">
        <f>IF(ISBLANK(E614), "", VLOOKUP(E614, Z!$A$2:$C$4127, 3, FALSE))</f>
        <v/>
      </c>
      <c r="G614" s="248"/>
      <c r="H614" s="248"/>
      <c r="I614" s="249"/>
      <c r="J614" s="250"/>
      <c r="K614" s="259"/>
      <c r="L614" s="260"/>
      <c r="M614" s="252" t="str" cm="1">
        <f t="array" ref="M614">INDEX(Trad, 53, $A$20)</f>
        <v>Verschmutzt</v>
      </c>
      <c r="N614" s="253"/>
      <c r="O614" s="253"/>
      <c r="P614" s="254"/>
      <c r="Q614" s="251"/>
      <c r="R614" s="251"/>
      <c r="S614" s="264">
        <f t="shared" si="611"/>
        <v>0</v>
      </c>
      <c r="T614" s="252" t="str" cm="1">
        <f t="array" ref="T614">INDEX(Trad, 52, $A$20)</f>
        <v>Sauber</v>
      </c>
      <c r="U614" s="253"/>
      <c r="V614" s="253"/>
      <c r="W614" s="254"/>
      <c r="X614" s="251"/>
      <c r="Y614" s="251"/>
      <c r="Z614" s="264">
        <f t="shared" si="612"/>
        <v>0</v>
      </c>
      <c r="AA614" s="261"/>
      <c r="AB614" s="258"/>
      <c r="AC614" s="246"/>
      <c r="AD614" s="247" t="str">
        <f>IF(ISBLANK(AC614), "", VLOOKUP(AC614, Z!$A$2:$C$4127, 3, FALSE))</f>
        <v/>
      </c>
      <c r="AE614" s="262"/>
      <c r="AF614" s="263">
        <f t="shared" si="613"/>
        <v>0</v>
      </c>
      <c r="AG614" s="238"/>
      <c r="AH614" s="229">
        <f t="shared" si="637"/>
        <v>1</v>
      </c>
      <c r="AI614" s="229">
        <f t="shared" si="638"/>
        <v>1</v>
      </c>
      <c r="AJ614" s="229">
        <f t="shared" si="639"/>
        <v>0</v>
      </c>
      <c r="AK614" s="229">
        <v>0</v>
      </c>
      <c r="AL614" s="229">
        <v>0</v>
      </c>
      <c r="AM614" s="229">
        <v>1</v>
      </c>
      <c r="AN614" s="229">
        <v>0</v>
      </c>
      <c r="AO614" s="229">
        <f t="shared" si="614"/>
        <v>-100</v>
      </c>
      <c r="AP614" s="238"/>
      <c r="AQ614" s="255"/>
      <c r="AR614" s="255"/>
      <c r="AS614" s="256"/>
      <c r="AT614" s="256"/>
      <c r="AU614" s="256"/>
      <c r="AV614" s="256"/>
      <c r="AW614" s="256"/>
      <c r="AX614" s="256"/>
      <c r="AY614" s="256"/>
      <c r="AZ614" s="256"/>
      <c r="BA614" s="256"/>
      <c r="BB614" s="256"/>
      <c r="BC614" s="256"/>
      <c r="BD614" s="238"/>
      <c r="BE614" s="229" cm="1">
        <f t="array" ref="BE614">IF(ISBLANK(R614), INDEX(Use, $AH614, 4) - AM614*INDEX(Use, $AH614, 6), R614)</f>
        <v>5</v>
      </c>
      <c r="BF614" s="229">
        <f t="shared" si="615"/>
        <v>30</v>
      </c>
      <c r="BG614" s="229">
        <f t="shared" si="641"/>
        <v>13</v>
      </c>
      <c r="BH614" s="229">
        <f t="shared" si="642"/>
        <v>0</v>
      </c>
      <c r="BI614" s="234" cm="1">
        <f t="array" ref="BI614">K614/IF($L614&gt;0, INDEX($AU$23:$BA$77, $L614+20, $AH614), 1)</f>
        <v>0</v>
      </c>
      <c r="BJ614" s="230">
        <f t="shared" si="616"/>
        <v>0</v>
      </c>
      <c r="BK614" s="229">
        <v>35</v>
      </c>
      <c r="BL614" s="230">
        <f t="shared" si="617"/>
        <v>48</v>
      </c>
      <c r="BM614" s="235">
        <f t="shared" si="618"/>
        <v>2.9108720930232557</v>
      </c>
      <c r="BN614" s="235" cm="1">
        <f t="array" ref="BN614">$BI614 * SUMPRODUCT(INDEX($AR$77:$AT$82,,$AI614),INDEX($AU$77:$BA$82,,$AH614), N($AQ$77:$AQ$82&gt;$AO614)) / BM614 / 1000</f>
        <v>0</v>
      </c>
      <c r="BO614" s="232">
        <f t="shared" si="643"/>
        <v>30</v>
      </c>
      <c r="BP614" s="230">
        <f t="shared" si="619"/>
        <v>43</v>
      </c>
      <c r="BQ614" s="235">
        <f t="shared" si="620"/>
        <v>3.2938815789473681</v>
      </c>
      <c r="BR614" s="235" cm="1">
        <f t="array" ref="BR614">$BI614 * IF($AH614&lt;=2,
SUMPRODUCT(INDEX($AR$72:$AT$76,,$AI614), INDEX($AU$72:$BA$76,,$AH614), 1 / ($BB$72:$BB$76*BQ614 + (1-$BB$72:$BB$76)*BM614), N($AQ$72:$AQ$76&gt;$AO614)),
SUMPRODUCT(INDEX($AR$67:$AT$76,,$AI614), INDEX($AU$67:$BA$76,,$AH614), 1 / ($BC$67:$BC$76*BQ614 + (1-$BC$67:$BC$76)*BM614), N($AQ$67:$AQ$76&gt;$AO614))
) / 1000</f>
        <v>0</v>
      </c>
      <c r="BS614" s="232">
        <f t="shared" si="644"/>
        <v>25</v>
      </c>
      <c r="BT614" s="230">
        <f t="shared" si="621"/>
        <v>38</v>
      </c>
      <c r="BU614" s="235">
        <f t="shared" si="622"/>
        <v>3.792954545454545</v>
      </c>
      <c r="BV614" s="235" cm="1">
        <f t="array" ref="BV614">$BI614 * IF($AH614&lt;=2,
SUMPRODUCT(INDEX($AR$67:$AT$71,,$AI614), INDEX($AU$67:$BA$71,,$AH614), 1 / ($BB$67:$BB$71*BU614 + (1-$BB$67:$BB$71)*BQ614), N($AQ$67:$AQ$71&gt;$AO614)),
SUMPRODUCT(INDEX($AR$57:$AT$66,,$AI614), INDEX($AU$57:$BA$66,,$AH614), 1 / ($BC$57:$BC$66*BU614 + (1-$BC$57:$BC$66)*BQ614), N($AQ$57:$AQ$66&gt;$AO614))
) / 1000</f>
        <v>0</v>
      </c>
      <c r="BW614" s="232">
        <f t="shared" si="645"/>
        <v>20</v>
      </c>
      <c r="BX614" s="230">
        <f t="shared" si="623"/>
        <v>33</v>
      </c>
      <c r="BY614" s="235">
        <f t="shared" si="624"/>
        <v>4.4702678571428569</v>
      </c>
      <c r="BZ614" s="235" cm="1">
        <f t="array" ref="BZ614">$BI614 * IF($AH614&lt;=2,
SUMPRODUCT(INDEX($AR$62:$AT$66,,$AI614), INDEX($AU$62:$BA$66,,$AH614), 1 / ($BB$62:$BB$66*BY614 + (1-$BB$62:$BB$66)*BU614), N($AQ$62:$AQ$66&gt;$AO614)),
SUMPRODUCT(INDEX($AR$47:$AT$56,,$AI614), INDEX($AU$47:$BA$56,,$AH614), 1 / ($BC$47:$BC$56*BY614 + (1-$BC$47:$BC$56)*BU614), N($AQ$47:$AQ$56&gt;$AO614))
) / 1000</f>
        <v>0</v>
      </c>
      <c r="CA614" s="235" cm="1">
        <f t="array" ref="CA614">$BI614 * IF($AH614&lt;=2,
SUMPRODUCT(INDEX($AR$23:$AT$61,,$AI614), INDEX($AU$23:$BA$61,,$AH614), 1 / ($BB$23:$BB$61*BY614), N($AQ$23:$AQ$61&gt;$AO614)),
SUMPRODUCT(INDEX($AR$23:$AT$46,,$AI614), INDEX($AU$23:$BA$46,,$AH614), 1 / ($BC$23:$BC$46*BY614), N($AQ$23:$AQ$46&gt;$AO614))
) / 1000</f>
        <v>0</v>
      </c>
      <c r="CB614" s="230">
        <f t="shared" si="625"/>
        <v>0</v>
      </c>
      <c r="CC614" s="238"/>
      <c r="CD614" s="229" cm="1">
        <f t="array" ref="CD614">IF(ISBLANK(Y614), INDEX(Use, $AH614, 4) - AN614*INDEX(Use, $AH614, 6) - (Q614-X614), Y614)</f>
        <v>7</v>
      </c>
      <c r="CE614" s="229">
        <f t="shared" si="626"/>
        <v>32</v>
      </c>
      <c r="CF614" s="230">
        <f t="shared" si="627"/>
        <v>0</v>
      </c>
      <c r="CG614" s="229">
        <v>35</v>
      </c>
      <c r="CH614" s="230">
        <f t="shared" si="628"/>
        <v>48</v>
      </c>
      <c r="CI614" s="235">
        <f t="shared" si="629"/>
        <v>3.0748170731707316</v>
      </c>
      <c r="CJ614" s="235" cm="1">
        <f t="array" ref="CJ614">$BI614 * SUMPRODUCT(INDEX($AR$77:$AT$82,,$AI614),INDEX($AU$77:$BA$82,,$AH614), N($AQ$77:$AQ$82&gt;$AO614)) / CI614 / 1000</f>
        <v>0</v>
      </c>
      <c r="CK614" s="232">
        <f t="shared" si="646"/>
        <v>30</v>
      </c>
      <c r="CL614" s="230">
        <f t="shared" si="630"/>
        <v>43</v>
      </c>
      <c r="CM614" s="235">
        <f t="shared" si="631"/>
        <v>3.5018750000000001</v>
      </c>
      <c r="CN614" s="235" cm="1">
        <f t="array" ref="CN614">$BI614 * IF($AH614&lt;=2,
SUMPRODUCT(INDEX($AR$72:$AT$76,,$AI614), INDEX($AU$72:$BA$76,,$AH614), 1 / ($BB$72:$BB$76*CM614 + (1-$BB$72:$BB$76)*CI614), N($AQ$72:$AQ$76&gt;$AO614)),
SUMPRODUCT(INDEX($AR$67:$AT$76,,$AI614), INDEX($AU$67:$BA$76,,$AH614), 1 / ($BC$67:$BC$76*CM614 + (1-$BC$67:$BC$76)*CI614), N($AQ$67:$AQ$76&gt;$AO614))
) / 1000</f>
        <v>0</v>
      </c>
      <c r="CO614" s="232">
        <f t="shared" si="647"/>
        <v>25</v>
      </c>
      <c r="CP614" s="230">
        <f t="shared" si="632"/>
        <v>38</v>
      </c>
      <c r="CQ614" s="235">
        <f t="shared" si="633"/>
        <v>4.0666935483870965</v>
      </c>
      <c r="CR614" s="235" cm="1">
        <f t="array" ref="CR614">$BI614 * IF($AH614&lt;=2,
SUMPRODUCT(INDEX($AR$67:$AT$71,,$AI614), INDEX($AU$67:$BA$71,,$AH614), 1 / ($BB$67:$BB$71*CQ614 + (1-$BB$67:$BB$71)*CM614), N($AQ$67:$AQ$71&gt;$AO614)),
SUMPRODUCT(INDEX($AR$57:$AT$66,,$AI614), INDEX($AU$57:$BA$66,,$AH614), 1 / ($BC$57:$BC$66*CQ614 + (1-$BC$57:$BC$66)*CM614), N($AQ$57:$AQ$66&gt;$AO614))
) / 1000</f>
        <v>0</v>
      </c>
      <c r="CS614" s="232">
        <f t="shared" si="648"/>
        <v>20</v>
      </c>
      <c r="CT614" s="230">
        <f t="shared" si="634"/>
        <v>33</v>
      </c>
      <c r="CU614" s="235">
        <f t="shared" si="635"/>
        <v>4.8487499999999999</v>
      </c>
      <c r="CV614" s="235" cm="1">
        <f t="array" ref="CV614">$BI614 * IF($AH614&lt;=2,
SUMPRODUCT(INDEX($AR$62:$AT$66,,$AI614), INDEX($AU$62:$BA$66,,$AH614), 1 / ($BB$62:$BB$66*CU614 + (1-$BB$62:$BB$66)*CQ614), N($AQ$62:$AQ$66&gt;$AO614)),
SUMPRODUCT(INDEX($AR$47:$AT$56,,$AI614), INDEX($AU$47:$BA$56,,$AH614), 1 / ($BC$47:$BC$56*CU614 + (1-$BC$47:$BC$56)*CQ614), N($AQ$47:$AQ$56&gt;$AO614))
) / 1000</f>
        <v>0</v>
      </c>
      <c r="CW614" s="235" cm="1">
        <f t="array" ref="CW614">$BI614 * IF($AH614&lt;=2,
SUMPRODUCT(INDEX($AR$23:$AT$61,,$AI614), INDEX($AU$23:$BA$61,,$AH614), 1 / ($BB$23:$BB$61*CU614), N($AQ$23:$AQ$61&gt;$AO614)),
SUMPRODUCT(INDEX($AR$23:$AT$46,,$AI614), INDEX($AU$23:$BA$46,,$AH614), 1 / ($BC$23:$BC$46*CU614), N($AQ$23:$AQ$46&gt;$AO614))
) / 1000</f>
        <v>0</v>
      </c>
      <c r="CX614" s="230">
        <f t="shared" si="636"/>
        <v>0</v>
      </c>
      <c r="CY614" s="238"/>
    </row>
    <row r="615" spans="1:103" s="76" customFormat="1" ht="14.25" customHeight="1" x14ac:dyDescent="0.2">
      <c r="A615" s="231" t="b">
        <f t="shared" si="640"/>
        <v>0</v>
      </c>
      <c r="B615" s="245">
        <v>593</v>
      </c>
      <c r="C615" s="258"/>
      <c r="D615" s="258"/>
      <c r="E615" s="246"/>
      <c r="F615" s="247" t="str">
        <f>IF(ISBLANK(E615), "", VLOOKUP(E615, Z!$A$2:$C$4127, 3, FALSE))</f>
        <v/>
      </c>
      <c r="G615" s="248"/>
      <c r="H615" s="248"/>
      <c r="I615" s="249"/>
      <c r="J615" s="250"/>
      <c r="K615" s="259"/>
      <c r="L615" s="260"/>
      <c r="M615" s="252" t="str" cm="1">
        <f t="array" ref="M615">INDEX(Trad, 53, $A$20)</f>
        <v>Verschmutzt</v>
      </c>
      <c r="N615" s="253"/>
      <c r="O615" s="253"/>
      <c r="P615" s="254"/>
      <c r="Q615" s="251"/>
      <c r="R615" s="251"/>
      <c r="S615" s="264">
        <f t="shared" si="611"/>
        <v>0</v>
      </c>
      <c r="T615" s="252" t="str" cm="1">
        <f t="array" ref="T615">INDEX(Trad, 52, $A$20)</f>
        <v>Sauber</v>
      </c>
      <c r="U615" s="253"/>
      <c r="V615" s="253"/>
      <c r="W615" s="254"/>
      <c r="X615" s="251"/>
      <c r="Y615" s="251"/>
      <c r="Z615" s="264">
        <f t="shared" si="612"/>
        <v>0</v>
      </c>
      <c r="AA615" s="261"/>
      <c r="AB615" s="258"/>
      <c r="AC615" s="246"/>
      <c r="AD615" s="247" t="str">
        <f>IF(ISBLANK(AC615), "", VLOOKUP(AC615, Z!$A$2:$C$4127, 3, FALSE))</f>
        <v/>
      </c>
      <c r="AE615" s="262"/>
      <c r="AF615" s="263">
        <f t="shared" si="613"/>
        <v>0</v>
      </c>
      <c r="AG615" s="238"/>
      <c r="AH615" s="229">
        <f t="shared" si="637"/>
        <v>1</v>
      </c>
      <c r="AI615" s="229">
        <f t="shared" si="638"/>
        <v>1</v>
      </c>
      <c r="AJ615" s="229">
        <f t="shared" si="639"/>
        <v>0</v>
      </c>
      <c r="AK615" s="229">
        <v>0</v>
      </c>
      <c r="AL615" s="229">
        <v>0</v>
      </c>
      <c r="AM615" s="229">
        <v>1</v>
      </c>
      <c r="AN615" s="229">
        <v>0</v>
      </c>
      <c r="AO615" s="229">
        <f t="shared" si="614"/>
        <v>-100</v>
      </c>
      <c r="AP615" s="238"/>
      <c r="AQ615" s="255"/>
      <c r="AR615" s="255"/>
      <c r="AS615" s="256"/>
      <c r="AT615" s="256"/>
      <c r="AU615" s="256"/>
      <c r="AV615" s="256"/>
      <c r="AW615" s="256"/>
      <c r="AX615" s="256"/>
      <c r="AY615" s="256"/>
      <c r="AZ615" s="256"/>
      <c r="BA615" s="256"/>
      <c r="BB615" s="256"/>
      <c r="BC615" s="256"/>
      <c r="BD615" s="238"/>
      <c r="BE615" s="229" cm="1">
        <f t="array" ref="BE615">IF(ISBLANK(R615), INDEX(Use, $AH615, 4) - AM615*INDEX(Use, $AH615, 6), R615)</f>
        <v>5</v>
      </c>
      <c r="BF615" s="229">
        <f t="shared" si="615"/>
        <v>30</v>
      </c>
      <c r="BG615" s="229">
        <f t="shared" si="641"/>
        <v>13</v>
      </c>
      <c r="BH615" s="229">
        <f t="shared" si="642"/>
        <v>0</v>
      </c>
      <c r="BI615" s="234" cm="1">
        <f t="array" ref="BI615">K615/IF($L615&gt;0, INDEX($AU$23:$BA$77, $L615+20, $AH615), 1)</f>
        <v>0</v>
      </c>
      <c r="BJ615" s="230">
        <f t="shared" si="616"/>
        <v>0</v>
      </c>
      <c r="BK615" s="229">
        <v>35</v>
      </c>
      <c r="BL615" s="230">
        <f t="shared" si="617"/>
        <v>48</v>
      </c>
      <c r="BM615" s="235">
        <f t="shared" si="618"/>
        <v>2.9108720930232557</v>
      </c>
      <c r="BN615" s="235" cm="1">
        <f t="array" ref="BN615">$BI615 * SUMPRODUCT(INDEX($AR$77:$AT$82,,$AI615),INDEX($AU$77:$BA$82,,$AH615), N($AQ$77:$AQ$82&gt;$AO615)) / BM615 / 1000</f>
        <v>0</v>
      </c>
      <c r="BO615" s="232">
        <f t="shared" si="643"/>
        <v>30</v>
      </c>
      <c r="BP615" s="230">
        <f t="shared" si="619"/>
        <v>43</v>
      </c>
      <c r="BQ615" s="235">
        <f t="shared" si="620"/>
        <v>3.2938815789473681</v>
      </c>
      <c r="BR615" s="235" cm="1">
        <f t="array" ref="BR615">$BI615 * IF($AH615&lt;=2,
SUMPRODUCT(INDEX($AR$72:$AT$76,,$AI615), INDEX($AU$72:$BA$76,,$AH615), 1 / ($BB$72:$BB$76*BQ615 + (1-$BB$72:$BB$76)*BM615), N($AQ$72:$AQ$76&gt;$AO615)),
SUMPRODUCT(INDEX($AR$67:$AT$76,,$AI615), INDEX($AU$67:$BA$76,,$AH615), 1 / ($BC$67:$BC$76*BQ615 + (1-$BC$67:$BC$76)*BM615), N($AQ$67:$AQ$76&gt;$AO615))
) / 1000</f>
        <v>0</v>
      </c>
      <c r="BS615" s="232">
        <f t="shared" si="644"/>
        <v>25</v>
      </c>
      <c r="BT615" s="230">
        <f t="shared" si="621"/>
        <v>38</v>
      </c>
      <c r="BU615" s="235">
        <f t="shared" si="622"/>
        <v>3.792954545454545</v>
      </c>
      <c r="BV615" s="235" cm="1">
        <f t="array" ref="BV615">$BI615 * IF($AH615&lt;=2,
SUMPRODUCT(INDEX($AR$67:$AT$71,,$AI615), INDEX($AU$67:$BA$71,,$AH615), 1 / ($BB$67:$BB$71*BU615 + (1-$BB$67:$BB$71)*BQ615), N($AQ$67:$AQ$71&gt;$AO615)),
SUMPRODUCT(INDEX($AR$57:$AT$66,,$AI615), INDEX($AU$57:$BA$66,,$AH615), 1 / ($BC$57:$BC$66*BU615 + (1-$BC$57:$BC$66)*BQ615), N($AQ$57:$AQ$66&gt;$AO615))
) / 1000</f>
        <v>0</v>
      </c>
      <c r="BW615" s="232">
        <f t="shared" si="645"/>
        <v>20</v>
      </c>
      <c r="BX615" s="230">
        <f t="shared" si="623"/>
        <v>33</v>
      </c>
      <c r="BY615" s="235">
        <f t="shared" si="624"/>
        <v>4.4702678571428569</v>
      </c>
      <c r="BZ615" s="235" cm="1">
        <f t="array" ref="BZ615">$BI615 * IF($AH615&lt;=2,
SUMPRODUCT(INDEX($AR$62:$AT$66,,$AI615), INDEX($AU$62:$BA$66,,$AH615), 1 / ($BB$62:$BB$66*BY615 + (1-$BB$62:$BB$66)*BU615), N($AQ$62:$AQ$66&gt;$AO615)),
SUMPRODUCT(INDEX($AR$47:$AT$56,,$AI615), INDEX($AU$47:$BA$56,,$AH615), 1 / ($BC$47:$BC$56*BY615 + (1-$BC$47:$BC$56)*BU615), N($AQ$47:$AQ$56&gt;$AO615))
) / 1000</f>
        <v>0</v>
      </c>
      <c r="CA615" s="235" cm="1">
        <f t="array" ref="CA615">$BI615 * IF($AH615&lt;=2,
SUMPRODUCT(INDEX($AR$23:$AT$61,,$AI615), INDEX($AU$23:$BA$61,,$AH615), 1 / ($BB$23:$BB$61*BY615), N($AQ$23:$AQ$61&gt;$AO615)),
SUMPRODUCT(INDEX($AR$23:$AT$46,,$AI615), INDEX($AU$23:$BA$46,,$AH615), 1 / ($BC$23:$BC$46*BY615), N($AQ$23:$AQ$46&gt;$AO615))
) / 1000</f>
        <v>0</v>
      </c>
      <c r="CB615" s="230">
        <f t="shared" si="625"/>
        <v>0</v>
      </c>
      <c r="CC615" s="238"/>
      <c r="CD615" s="229" cm="1">
        <f t="array" ref="CD615">IF(ISBLANK(Y615), INDEX(Use, $AH615, 4) - AN615*INDEX(Use, $AH615, 6) - (Q615-X615), Y615)</f>
        <v>7</v>
      </c>
      <c r="CE615" s="229">
        <f t="shared" si="626"/>
        <v>32</v>
      </c>
      <c r="CF615" s="230">
        <f t="shared" si="627"/>
        <v>0</v>
      </c>
      <c r="CG615" s="229">
        <v>35</v>
      </c>
      <c r="CH615" s="230">
        <f t="shared" si="628"/>
        <v>48</v>
      </c>
      <c r="CI615" s="235">
        <f t="shared" si="629"/>
        <v>3.0748170731707316</v>
      </c>
      <c r="CJ615" s="235" cm="1">
        <f t="array" ref="CJ615">$BI615 * SUMPRODUCT(INDEX($AR$77:$AT$82,,$AI615),INDEX($AU$77:$BA$82,,$AH615), N($AQ$77:$AQ$82&gt;$AO615)) / CI615 / 1000</f>
        <v>0</v>
      </c>
      <c r="CK615" s="232">
        <f t="shared" si="646"/>
        <v>30</v>
      </c>
      <c r="CL615" s="230">
        <f t="shared" si="630"/>
        <v>43</v>
      </c>
      <c r="CM615" s="235">
        <f t="shared" si="631"/>
        <v>3.5018750000000001</v>
      </c>
      <c r="CN615" s="235" cm="1">
        <f t="array" ref="CN615">$BI615 * IF($AH615&lt;=2,
SUMPRODUCT(INDEX($AR$72:$AT$76,,$AI615), INDEX($AU$72:$BA$76,,$AH615), 1 / ($BB$72:$BB$76*CM615 + (1-$BB$72:$BB$76)*CI615), N($AQ$72:$AQ$76&gt;$AO615)),
SUMPRODUCT(INDEX($AR$67:$AT$76,,$AI615), INDEX($AU$67:$BA$76,,$AH615), 1 / ($BC$67:$BC$76*CM615 + (1-$BC$67:$BC$76)*CI615), N($AQ$67:$AQ$76&gt;$AO615))
) / 1000</f>
        <v>0</v>
      </c>
      <c r="CO615" s="232">
        <f t="shared" si="647"/>
        <v>25</v>
      </c>
      <c r="CP615" s="230">
        <f t="shared" si="632"/>
        <v>38</v>
      </c>
      <c r="CQ615" s="235">
        <f t="shared" si="633"/>
        <v>4.0666935483870965</v>
      </c>
      <c r="CR615" s="235" cm="1">
        <f t="array" ref="CR615">$BI615 * IF($AH615&lt;=2,
SUMPRODUCT(INDEX($AR$67:$AT$71,,$AI615), INDEX($AU$67:$BA$71,,$AH615), 1 / ($BB$67:$BB$71*CQ615 + (1-$BB$67:$BB$71)*CM615), N($AQ$67:$AQ$71&gt;$AO615)),
SUMPRODUCT(INDEX($AR$57:$AT$66,,$AI615), INDEX($AU$57:$BA$66,,$AH615), 1 / ($BC$57:$BC$66*CQ615 + (1-$BC$57:$BC$66)*CM615), N($AQ$57:$AQ$66&gt;$AO615))
) / 1000</f>
        <v>0</v>
      </c>
      <c r="CS615" s="232">
        <f t="shared" si="648"/>
        <v>20</v>
      </c>
      <c r="CT615" s="230">
        <f t="shared" si="634"/>
        <v>33</v>
      </c>
      <c r="CU615" s="235">
        <f t="shared" si="635"/>
        <v>4.8487499999999999</v>
      </c>
      <c r="CV615" s="235" cm="1">
        <f t="array" ref="CV615">$BI615 * IF($AH615&lt;=2,
SUMPRODUCT(INDEX($AR$62:$AT$66,,$AI615), INDEX($AU$62:$BA$66,,$AH615), 1 / ($BB$62:$BB$66*CU615 + (1-$BB$62:$BB$66)*CQ615), N($AQ$62:$AQ$66&gt;$AO615)),
SUMPRODUCT(INDEX($AR$47:$AT$56,,$AI615), INDEX($AU$47:$BA$56,,$AH615), 1 / ($BC$47:$BC$56*CU615 + (1-$BC$47:$BC$56)*CQ615), N($AQ$47:$AQ$56&gt;$AO615))
) / 1000</f>
        <v>0</v>
      </c>
      <c r="CW615" s="235" cm="1">
        <f t="array" ref="CW615">$BI615 * IF($AH615&lt;=2,
SUMPRODUCT(INDEX($AR$23:$AT$61,,$AI615), INDEX($AU$23:$BA$61,,$AH615), 1 / ($BB$23:$BB$61*CU615), N($AQ$23:$AQ$61&gt;$AO615)),
SUMPRODUCT(INDEX($AR$23:$AT$46,,$AI615), INDEX($AU$23:$BA$46,,$AH615), 1 / ($BC$23:$BC$46*CU615), N($AQ$23:$AQ$46&gt;$AO615))
) / 1000</f>
        <v>0</v>
      </c>
      <c r="CX615" s="230">
        <f t="shared" si="636"/>
        <v>0</v>
      </c>
      <c r="CY615" s="238"/>
    </row>
    <row r="616" spans="1:103" s="76" customFormat="1" ht="14.25" customHeight="1" x14ac:dyDescent="0.2">
      <c r="A616" s="231" t="b">
        <f t="shared" si="640"/>
        <v>0</v>
      </c>
      <c r="B616" s="245">
        <v>594</v>
      </c>
      <c r="C616" s="258"/>
      <c r="D616" s="258"/>
      <c r="E616" s="246"/>
      <c r="F616" s="247" t="str">
        <f>IF(ISBLANK(E616), "", VLOOKUP(E616, Z!$A$2:$C$4127, 3, FALSE))</f>
        <v/>
      </c>
      <c r="G616" s="248"/>
      <c r="H616" s="248"/>
      <c r="I616" s="249"/>
      <c r="J616" s="250"/>
      <c r="K616" s="259"/>
      <c r="L616" s="260"/>
      <c r="M616" s="252" t="str" cm="1">
        <f t="array" ref="M616">INDEX(Trad, 53, $A$20)</f>
        <v>Verschmutzt</v>
      </c>
      <c r="N616" s="253"/>
      <c r="O616" s="253"/>
      <c r="P616" s="254"/>
      <c r="Q616" s="251"/>
      <c r="R616" s="251"/>
      <c r="S616" s="264">
        <f t="shared" si="611"/>
        <v>0</v>
      </c>
      <c r="T616" s="252" t="str" cm="1">
        <f t="array" ref="T616">INDEX(Trad, 52, $A$20)</f>
        <v>Sauber</v>
      </c>
      <c r="U616" s="253"/>
      <c r="V616" s="253"/>
      <c r="W616" s="254"/>
      <c r="X616" s="251"/>
      <c r="Y616" s="251"/>
      <c r="Z616" s="264">
        <f t="shared" si="612"/>
        <v>0</v>
      </c>
      <c r="AA616" s="261"/>
      <c r="AB616" s="258"/>
      <c r="AC616" s="246"/>
      <c r="AD616" s="247" t="str">
        <f>IF(ISBLANK(AC616), "", VLOOKUP(AC616, Z!$A$2:$C$4127, 3, FALSE))</f>
        <v/>
      </c>
      <c r="AE616" s="262"/>
      <c r="AF616" s="263">
        <f t="shared" si="613"/>
        <v>0</v>
      </c>
      <c r="AG616" s="238"/>
      <c r="AH616" s="229">
        <f t="shared" si="637"/>
        <v>1</v>
      </c>
      <c r="AI616" s="229">
        <f t="shared" si="638"/>
        <v>1</v>
      </c>
      <c r="AJ616" s="229">
        <f t="shared" si="639"/>
        <v>0</v>
      </c>
      <c r="AK616" s="229">
        <v>0</v>
      </c>
      <c r="AL616" s="229">
        <v>0</v>
      </c>
      <c r="AM616" s="229">
        <v>1</v>
      </c>
      <c r="AN616" s="229">
        <v>0</v>
      </c>
      <c r="AO616" s="229">
        <f t="shared" si="614"/>
        <v>-100</v>
      </c>
      <c r="AP616" s="238"/>
      <c r="AQ616" s="255"/>
      <c r="AR616" s="255"/>
      <c r="AS616" s="256"/>
      <c r="AT616" s="256"/>
      <c r="AU616" s="256"/>
      <c r="AV616" s="256"/>
      <c r="AW616" s="256"/>
      <c r="AX616" s="256"/>
      <c r="AY616" s="256"/>
      <c r="AZ616" s="256"/>
      <c r="BA616" s="256"/>
      <c r="BB616" s="256"/>
      <c r="BC616" s="256"/>
      <c r="BD616" s="238"/>
      <c r="BE616" s="229" cm="1">
        <f t="array" ref="BE616">IF(ISBLANK(R616), INDEX(Use, $AH616, 4) - AM616*INDEX(Use, $AH616, 6), R616)</f>
        <v>5</v>
      </c>
      <c r="BF616" s="229">
        <f t="shared" si="615"/>
        <v>30</v>
      </c>
      <c r="BG616" s="229">
        <f t="shared" si="641"/>
        <v>13</v>
      </c>
      <c r="BH616" s="229">
        <f t="shared" si="642"/>
        <v>0</v>
      </c>
      <c r="BI616" s="234" cm="1">
        <f t="array" ref="BI616">K616/IF($L616&gt;0, INDEX($AU$23:$BA$77, $L616+20, $AH616), 1)</f>
        <v>0</v>
      </c>
      <c r="BJ616" s="230">
        <f t="shared" si="616"/>
        <v>0</v>
      </c>
      <c r="BK616" s="229">
        <v>35</v>
      </c>
      <c r="BL616" s="230">
        <f t="shared" si="617"/>
        <v>48</v>
      </c>
      <c r="BM616" s="235">
        <f t="shared" si="618"/>
        <v>2.9108720930232557</v>
      </c>
      <c r="BN616" s="235" cm="1">
        <f t="array" ref="BN616">$BI616 * SUMPRODUCT(INDEX($AR$77:$AT$82,,$AI616),INDEX($AU$77:$BA$82,,$AH616), N($AQ$77:$AQ$82&gt;$AO616)) / BM616 / 1000</f>
        <v>0</v>
      </c>
      <c r="BO616" s="232">
        <f t="shared" si="643"/>
        <v>30</v>
      </c>
      <c r="BP616" s="230">
        <f t="shared" si="619"/>
        <v>43</v>
      </c>
      <c r="BQ616" s="235">
        <f t="shared" si="620"/>
        <v>3.2938815789473681</v>
      </c>
      <c r="BR616" s="235" cm="1">
        <f t="array" ref="BR616">$BI616 * IF($AH616&lt;=2,
SUMPRODUCT(INDEX($AR$72:$AT$76,,$AI616), INDEX($AU$72:$BA$76,,$AH616), 1 / ($BB$72:$BB$76*BQ616 + (1-$BB$72:$BB$76)*BM616), N($AQ$72:$AQ$76&gt;$AO616)),
SUMPRODUCT(INDEX($AR$67:$AT$76,,$AI616), INDEX($AU$67:$BA$76,,$AH616), 1 / ($BC$67:$BC$76*BQ616 + (1-$BC$67:$BC$76)*BM616), N($AQ$67:$AQ$76&gt;$AO616))
) / 1000</f>
        <v>0</v>
      </c>
      <c r="BS616" s="232">
        <f t="shared" si="644"/>
        <v>25</v>
      </c>
      <c r="BT616" s="230">
        <f t="shared" si="621"/>
        <v>38</v>
      </c>
      <c r="BU616" s="235">
        <f t="shared" si="622"/>
        <v>3.792954545454545</v>
      </c>
      <c r="BV616" s="235" cm="1">
        <f t="array" ref="BV616">$BI616 * IF($AH616&lt;=2,
SUMPRODUCT(INDEX($AR$67:$AT$71,,$AI616), INDEX($AU$67:$BA$71,,$AH616), 1 / ($BB$67:$BB$71*BU616 + (1-$BB$67:$BB$71)*BQ616), N($AQ$67:$AQ$71&gt;$AO616)),
SUMPRODUCT(INDEX($AR$57:$AT$66,,$AI616), INDEX($AU$57:$BA$66,,$AH616), 1 / ($BC$57:$BC$66*BU616 + (1-$BC$57:$BC$66)*BQ616), N($AQ$57:$AQ$66&gt;$AO616))
) / 1000</f>
        <v>0</v>
      </c>
      <c r="BW616" s="232">
        <f t="shared" si="645"/>
        <v>20</v>
      </c>
      <c r="BX616" s="230">
        <f t="shared" si="623"/>
        <v>33</v>
      </c>
      <c r="BY616" s="235">
        <f t="shared" si="624"/>
        <v>4.4702678571428569</v>
      </c>
      <c r="BZ616" s="235" cm="1">
        <f t="array" ref="BZ616">$BI616 * IF($AH616&lt;=2,
SUMPRODUCT(INDEX($AR$62:$AT$66,,$AI616), INDEX($AU$62:$BA$66,,$AH616), 1 / ($BB$62:$BB$66*BY616 + (1-$BB$62:$BB$66)*BU616), N($AQ$62:$AQ$66&gt;$AO616)),
SUMPRODUCT(INDEX($AR$47:$AT$56,,$AI616), INDEX($AU$47:$BA$56,,$AH616), 1 / ($BC$47:$BC$56*BY616 + (1-$BC$47:$BC$56)*BU616), N($AQ$47:$AQ$56&gt;$AO616))
) / 1000</f>
        <v>0</v>
      </c>
      <c r="CA616" s="235" cm="1">
        <f t="array" ref="CA616">$BI616 * IF($AH616&lt;=2,
SUMPRODUCT(INDEX($AR$23:$AT$61,,$AI616), INDEX($AU$23:$BA$61,,$AH616), 1 / ($BB$23:$BB$61*BY616), N($AQ$23:$AQ$61&gt;$AO616)),
SUMPRODUCT(INDEX($AR$23:$AT$46,,$AI616), INDEX($AU$23:$BA$46,,$AH616), 1 / ($BC$23:$BC$46*BY616), N($AQ$23:$AQ$46&gt;$AO616))
) / 1000</f>
        <v>0</v>
      </c>
      <c r="CB616" s="230">
        <f t="shared" si="625"/>
        <v>0</v>
      </c>
      <c r="CC616" s="238"/>
      <c r="CD616" s="229" cm="1">
        <f t="array" ref="CD616">IF(ISBLANK(Y616), INDEX(Use, $AH616, 4) - AN616*INDEX(Use, $AH616, 6) - (Q616-X616), Y616)</f>
        <v>7</v>
      </c>
      <c r="CE616" s="229">
        <f t="shared" si="626"/>
        <v>32</v>
      </c>
      <c r="CF616" s="230">
        <f t="shared" si="627"/>
        <v>0</v>
      </c>
      <c r="CG616" s="229">
        <v>35</v>
      </c>
      <c r="CH616" s="230">
        <f t="shared" si="628"/>
        <v>48</v>
      </c>
      <c r="CI616" s="235">
        <f t="shared" si="629"/>
        <v>3.0748170731707316</v>
      </c>
      <c r="CJ616" s="235" cm="1">
        <f t="array" ref="CJ616">$BI616 * SUMPRODUCT(INDEX($AR$77:$AT$82,,$AI616),INDEX($AU$77:$BA$82,,$AH616), N($AQ$77:$AQ$82&gt;$AO616)) / CI616 / 1000</f>
        <v>0</v>
      </c>
      <c r="CK616" s="232">
        <f t="shared" si="646"/>
        <v>30</v>
      </c>
      <c r="CL616" s="230">
        <f t="shared" si="630"/>
        <v>43</v>
      </c>
      <c r="CM616" s="235">
        <f t="shared" si="631"/>
        <v>3.5018750000000001</v>
      </c>
      <c r="CN616" s="235" cm="1">
        <f t="array" ref="CN616">$BI616 * IF($AH616&lt;=2,
SUMPRODUCT(INDEX($AR$72:$AT$76,,$AI616), INDEX($AU$72:$BA$76,,$AH616), 1 / ($BB$72:$BB$76*CM616 + (1-$BB$72:$BB$76)*CI616), N($AQ$72:$AQ$76&gt;$AO616)),
SUMPRODUCT(INDEX($AR$67:$AT$76,,$AI616), INDEX($AU$67:$BA$76,,$AH616), 1 / ($BC$67:$BC$76*CM616 + (1-$BC$67:$BC$76)*CI616), N($AQ$67:$AQ$76&gt;$AO616))
) / 1000</f>
        <v>0</v>
      </c>
      <c r="CO616" s="232">
        <f t="shared" si="647"/>
        <v>25</v>
      </c>
      <c r="CP616" s="230">
        <f t="shared" si="632"/>
        <v>38</v>
      </c>
      <c r="CQ616" s="235">
        <f t="shared" si="633"/>
        <v>4.0666935483870965</v>
      </c>
      <c r="CR616" s="235" cm="1">
        <f t="array" ref="CR616">$BI616 * IF($AH616&lt;=2,
SUMPRODUCT(INDEX($AR$67:$AT$71,,$AI616), INDEX($AU$67:$BA$71,,$AH616), 1 / ($BB$67:$BB$71*CQ616 + (1-$BB$67:$BB$71)*CM616), N($AQ$67:$AQ$71&gt;$AO616)),
SUMPRODUCT(INDEX($AR$57:$AT$66,,$AI616), INDEX($AU$57:$BA$66,,$AH616), 1 / ($BC$57:$BC$66*CQ616 + (1-$BC$57:$BC$66)*CM616), N($AQ$57:$AQ$66&gt;$AO616))
) / 1000</f>
        <v>0</v>
      </c>
      <c r="CS616" s="232">
        <f t="shared" si="648"/>
        <v>20</v>
      </c>
      <c r="CT616" s="230">
        <f t="shared" si="634"/>
        <v>33</v>
      </c>
      <c r="CU616" s="235">
        <f t="shared" si="635"/>
        <v>4.8487499999999999</v>
      </c>
      <c r="CV616" s="235" cm="1">
        <f t="array" ref="CV616">$BI616 * IF($AH616&lt;=2,
SUMPRODUCT(INDEX($AR$62:$AT$66,,$AI616), INDEX($AU$62:$BA$66,,$AH616), 1 / ($BB$62:$BB$66*CU616 + (1-$BB$62:$BB$66)*CQ616), N($AQ$62:$AQ$66&gt;$AO616)),
SUMPRODUCT(INDEX($AR$47:$AT$56,,$AI616), INDEX($AU$47:$BA$56,,$AH616), 1 / ($BC$47:$BC$56*CU616 + (1-$BC$47:$BC$56)*CQ616), N($AQ$47:$AQ$56&gt;$AO616))
) / 1000</f>
        <v>0</v>
      </c>
      <c r="CW616" s="235" cm="1">
        <f t="array" ref="CW616">$BI616 * IF($AH616&lt;=2,
SUMPRODUCT(INDEX($AR$23:$AT$61,,$AI616), INDEX($AU$23:$BA$61,,$AH616), 1 / ($BB$23:$BB$61*CU616), N($AQ$23:$AQ$61&gt;$AO616)),
SUMPRODUCT(INDEX($AR$23:$AT$46,,$AI616), INDEX($AU$23:$BA$46,,$AH616), 1 / ($BC$23:$BC$46*CU616), N($AQ$23:$AQ$46&gt;$AO616))
) / 1000</f>
        <v>0</v>
      </c>
      <c r="CX616" s="230">
        <f t="shared" si="636"/>
        <v>0</v>
      </c>
      <c r="CY616" s="238"/>
    </row>
    <row r="617" spans="1:103" s="76" customFormat="1" ht="14.25" customHeight="1" x14ac:dyDescent="0.2">
      <c r="A617" s="231" t="b">
        <f t="shared" si="640"/>
        <v>0</v>
      </c>
      <c r="B617" s="245">
        <v>595</v>
      </c>
      <c r="C617" s="258"/>
      <c r="D617" s="258"/>
      <c r="E617" s="246"/>
      <c r="F617" s="247" t="str">
        <f>IF(ISBLANK(E617), "", VLOOKUP(E617, Z!$A$2:$C$4127, 3, FALSE))</f>
        <v/>
      </c>
      <c r="G617" s="248"/>
      <c r="H617" s="248"/>
      <c r="I617" s="249"/>
      <c r="J617" s="250"/>
      <c r="K617" s="259"/>
      <c r="L617" s="260"/>
      <c r="M617" s="252" t="str" cm="1">
        <f t="array" ref="M617">INDEX(Trad, 53, $A$20)</f>
        <v>Verschmutzt</v>
      </c>
      <c r="N617" s="253"/>
      <c r="O617" s="253"/>
      <c r="P617" s="254"/>
      <c r="Q617" s="251"/>
      <c r="R617" s="251"/>
      <c r="S617" s="264">
        <f t="shared" si="611"/>
        <v>0</v>
      </c>
      <c r="T617" s="252" t="str" cm="1">
        <f t="array" ref="T617">INDEX(Trad, 52, $A$20)</f>
        <v>Sauber</v>
      </c>
      <c r="U617" s="253"/>
      <c r="V617" s="253"/>
      <c r="W617" s="254"/>
      <c r="X617" s="251"/>
      <c r="Y617" s="251"/>
      <c r="Z617" s="264">
        <f t="shared" si="612"/>
        <v>0</v>
      </c>
      <c r="AA617" s="261"/>
      <c r="AB617" s="258"/>
      <c r="AC617" s="246"/>
      <c r="AD617" s="247" t="str">
        <f>IF(ISBLANK(AC617), "", VLOOKUP(AC617, Z!$A$2:$C$4127, 3, FALSE))</f>
        <v/>
      </c>
      <c r="AE617" s="262"/>
      <c r="AF617" s="263">
        <f t="shared" si="613"/>
        <v>0</v>
      </c>
      <c r="AG617" s="238"/>
      <c r="AH617" s="229">
        <f t="shared" si="637"/>
        <v>1</v>
      </c>
      <c r="AI617" s="229">
        <f t="shared" si="638"/>
        <v>1</v>
      </c>
      <c r="AJ617" s="229">
        <f t="shared" si="639"/>
        <v>0</v>
      </c>
      <c r="AK617" s="229">
        <v>0</v>
      </c>
      <c r="AL617" s="229">
        <v>0</v>
      </c>
      <c r="AM617" s="229">
        <v>1</v>
      </c>
      <c r="AN617" s="229">
        <v>0</v>
      </c>
      <c r="AO617" s="229">
        <f t="shared" si="614"/>
        <v>-100</v>
      </c>
      <c r="AP617" s="238"/>
      <c r="AQ617" s="255"/>
      <c r="AR617" s="255"/>
      <c r="AS617" s="256"/>
      <c r="AT617" s="256"/>
      <c r="AU617" s="256"/>
      <c r="AV617" s="256"/>
      <c r="AW617" s="256"/>
      <c r="AX617" s="256"/>
      <c r="AY617" s="256"/>
      <c r="AZ617" s="256"/>
      <c r="BA617" s="256"/>
      <c r="BB617" s="256"/>
      <c r="BC617" s="256"/>
      <c r="BD617" s="238"/>
      <c r="BE617" s="229" cm="1">
        <f t="array" ref="BE617">IF(ISBLANK(R617), INDEX(Use, $AH617, 4) - AM617*INDEX(Use, $AH617, 6), R617)</f>
        <v>5</v>
      </c>
      <c r="BF617" s="229">
        <f t="shared" si="615"/>
        <v>30</v>
      </c>
      <c r="BG617" s="229">
        <f t="shared" si="641"/>
        <v>13</v>
      </c>
      <c r="BH617" s="229">
        <f t="shared" si="642"/>
        <v>0</v>
      </c>
      <c r="BI617" s="234" cm="1">
        <f t="array" ref="BI617">K617/IF($L617&gt;0, INDEX($AU$23:$BA$77, $L617+20, $AH617), 1)</f>
        <v>0</v>
      </c>
      <c r="BJ617" s="230">
        <f t="shared" si="616"/>
        <v>0</v>
      </c>
      <c r="BK617" s="229">
        <v>35</v>
      </c>
      <c r="BL617" s="230">
        <f t="shared" si="617"/>
        <v>48</v>
      </c>
      <c r="BM617" s="235">
        <f t="shared" si="618"/>
        <v>2.9108720930232557</v>
      </c>
      <c r="BN617" s="235" cm="1">
        <f t="array" ref="BN617">$BI617 * SUMPRODUCT(INDEX($AR$77:$AT$82,,$AI617),INDEX($AU$77:$BA$82,,$AH617), N($AQ$77:$AQ$82&gt;$AO617)) / BM617 / 1000</f>
        <v>0</v>
      </c>
      <c r="BO617" s="232">
        <f t="shared" si="643"/>
        <v>30</v>
      </c>
      <c r="BP617" s="230">
        <f t="shared" si="619"/>
        <v>43</v>
      </c>
      <c r="BQ617" s="235">
        <f t="shared" si="620"/>
        <v>3.2938815789473681</v>
      </c>
      <c r="BR617" s="235" cm="1">
        <f t="array" ref="BR617">$BI617 * IF($AH617&lt;=2,
SUMPRODUCT(INDEX($AR$72:$AT$76,,$AI617), INDEX($AU$72:$BA$76,,$AH617), 1 / ($BB$72:$BB$76*BQ617 + (1-$BB$72:$BB$76)*BM617), N($AQ$72:$AQ$76&gt;$AO617)),
SUMPRODUCT(INDEX($AR$67:$AT$76,,$AI617), INDEX($AU$67:$BA$76,,$AH617), 1 / ($BC$67:$BC$76*BQ617 + (1-$BC$67:$BC$76)*BM617), N($AQ$67:$AQ$76&gt;$AO617))
) / 1000</f>
        <v>0</v>
      </c>
      <c r="BS617" s="232">
        <f t="shared" si="644"/>
        <v>25</v>
      </c>
      <c r="BT617" s="230">
        <f t="shared" si="621"/>
        <v>38</v>
      </c>
      <c r="BU617" s="235">
        <f t="shared" si="622"/>
        <v>3.792954545454545</v>
      </c>
      <c r="BV617" s="235" cm="1">
        <f t="array" ref="BV617">$BI617 * IF($AH617&lt;=2,
SUMPRODUCT(INDEX($AR$67:$AT$71,,$AI617), INDEX($AU$67:$BA$71,,$AH617), 1 / ($BB$67:$BB$71*BU617 + (1-$BB$67:$BB$71)*BQ617), N($AQ$67:$AQ$71&gt;$AO617)),
SUMPRODUCT(INDEX($AR$57:$AT$66,,$AI617), INDEX($AU$57:$BA$66,,$AH617), 1 / ($BC$57:$BC$66*BU617 + (1-$BC$57:$BC$66)*BQ617), N($AQ$57:$AQ$66&gt;$AO617))
) / 1000</f>
        <v>0</v>
      </c>
      <c r="BW617" s="232">
        <f t="shared" si="645"/>
        <v>20</v>
      </c>
      <c r="BX617" s="230">
        <f t="shared" si="623"/>
        <v>33</v>
      </c>
      <c r="BY617" s="235">
        <f t="shared" si="624"/>
        <v>4.4702678571428569</v>
      </c>
      <c r="BZ617" s="235" cm="1">
        <f t="array" ref="BZ617">$BI617 * IF($AH617&lt;=2,
SUMPRODUCT(INDEX($AR$62:$AT$66,,$AI617), INDEX($AU$62:$BA$66,,$AH617), 1 / ($BB$62:$BB$66*BY617 + (1-$BB$62:$BB$66)*BU617), N($AQ$62:$AQ$66&gt;$AO617)),
SUMPRODUCT(INDEX($AR$47:$AT$56,,$AI617), INDEX($AU$47:$BA$56,,$AH617), 1 / ($BC$47:$BC$56*BY617 + (1-$BC$47:$BC$56)*BU617), N($AQ$47:$AQ$56&gt;$AO617))
) / 1000</f>
        <v>0</v>
      </c>
      <c r="CA617" s="235" cm="1">
        <f t="array" ref="CA617">$BI617 * IF($AH617&lt;=2,
SUMPRODUCT(INDEX($AR$23:$AT$61,,$AI617), INDEX($AU$23:$BA$61,,$AH617), 1 / ($BB$23:$BB$61*BY617), N($AQ$23:$AQ$61&gt;$AO617)),
SUMPRODUCT(INDEX($AR$23:$AT$46,,$AI617), INDEX($AU$23:$BA$46,,$AH617), 1 / ($BC$23:$BC$46*BY617), N($AQ$23:$AQ$46&gt;$AO617))
) / 1000</f>
        <v>0</v>
      </c>
      <c r="CB617" s="230">
        <f t="shared" si="625"/>
        <v>0</v>
      </c>
      <c r="CC617" s="238"/>
      <c r="CD617" s="229" cm="1">
        <f t="array" ref="CD617">IF(ISBLANK(Y617), INDEX(Use, $AH617, 4) - AN617*INDEX(Use, $AH617, 6) - (Q617-X617), Y617)</f>
        <v>7</v>
      </c>
      <c r="CE617" s="229">
        <f t="shared" si="626"/>
        <v>32</v>
      </c>
      <c r="CF617" s="230">
        <f t="shared" si="627"/>
        <v>0</v>
      </c>
      <c r="CG617" s="229">
        <v>35</v>
      </c>
      <c r="CH617" s="230">
        <f t="shared" si="628"/>
        <v>48</v>
      </c>
      <c r="CI617" s="235">
        <f t="shared" si="629"/>
        <v>3.0748170731707316</v>
      </c>
      <c r="CJ617" s="235" cm="1">
        <f t="array" ref="CJ617">$BI617 * SUMPRODUCT(INDEX($AR$77:$AT$82,,$AI617),INDEX($AU$77:$BA$82,,$AH617), N($AQ$77:$AQ$82&gt;$AO617)) / CI617 / 1000</f>
        <v>0</v>
      </c>
      <c r="CK617" s="232">
        <f t="shared" si="646"/>
        <v>30</v>
      </c>
      <c r="CL617" s="230">
        <f t="shared" si="630"/>
        <v>43</v>
      </c>
      <c r="CM617" s="235">
        <f t="shared" si="631"/>
        <v>3.5018750000000001</v>
      </c>
      <c r="CN617" s="235" cm="1">
        <f t="array" ref="CN617">$BI617 * IF($AH617&lt;=2,
SUMPRODUCT(INDEX($AR$72:$AT$76,,$AI617), INDEX($AU$72:$BA$76,,$AH617), 1 / ($BB$72:$BB$76*CM617 + (1-$BB$72:$BB$76)*CI617), N($AQ$72:$AQ$76&gt;$AO617)),
SUMPRODUCT(INDEX($AR$67:$AT$76,,$AI617), INDEX($AU$67:$BA$76,,$AH617), 1 / ($BC$67:$BC$76*CM617 + (1-$BC$67:$BC$76)*CI617), N($AQ$67:$AQ$76&gt;$AO617))
) / 1000</f>
        <v>0</v>
      </c>
      <c r="CO617" s="232">
        <f t="shared" si="647"/>
        <v>25</v>
      </c>
      <c r="CP617" s="230">
        <f t="shared" si="632"/>
        <v>38</v>
      </c>
      <c r="CQ617" s="235">
        <f t="shared" si="633"/>
        <v>4.0666935483870965</v>
      </c>
      <c r="CR617" s="235" cm="1">
        <f t="array" ref="CR617">$BI617 * IF($AH617&lt;=2,
SUMPRODUCT(INDEX($AR$67:$AT$71,,$AI617), INDEX($AU$67:$BA$71,,$AH617), 1 / ($BB$67:$BB$71*CQ617 + (1-$BB$67:$BB$71)*CM617), N($AQ$67:$AQ$71&gt;$AO617)),
SUMPRODUCT(INDEX($AR$57:$AT$66,,$AI617), INDEX($AU$57:$BA$66,,$AH617), 1 / ($BC$57:$BC$66*CQ617 + (1-$BC$57:$BC$66)*CM617), N($AQ$57:$AQ$66&gt;$AO617))
) / 1000</f>
        <v>0</v>
      </c>
      <c r="CS617" s="232">
        <f t="shared" si="648"/>
        <v>20</v>
      </c>
      <c r="CT617" s="230">
        <f t="shared" si="634"/>
        <v>33</v>
      </c>
      <c r="CU617" s="235">
        <f t="shared" si="635"/>
        <v>4.8487499999999999</v>
      </c>
      <c r="CV617" s="235" cm="1">
        <f t="array" ref="CV617">$BI617 * IF($AH617&lt;=2,
SUMPRODUCT(INDEX($AR$62:$AT$66,,$AI617), INDEX($AU$62:$BA$66,,$AH617), 1 / ($BB$62:$BB$66*CU617 + (1-$BB$62:$BB$66)*CQ617), N($AQ$62:$AQ$66&gt;$AO617)),
SUMPRODUCT(INDEX($AR$47:$AT$56,,$AI617), INDEX($AU$47:$BA$56,,$AH617), 1 / ($BC$47:$BC$56*CU617 + (1-$BC$47:$BC$56)*CQ617), N($AQ$47:$AQ$56&gt;$AO617))
) / 1000</f>
        <v>0</v>
      </c>
      <c r="CW617" s="235" cm="1">
        <f t="array" ref="CW617">$BI617 * IF($AH617&lt;=2,
SUMPRODUCT(INDEX($AR$23:$AT$61,,$AI617), INDEX($AU$23:$BA$61,,$AH617), 1 / ($BB$23:$BB$61*CU617), N($AQ$23:$AQ$61&gt;$AO617)),
SUMPRODUCT(INDEX($AR$23:$AT$46,,$AI617), INDEX($AU$23:$BA$46,,$AH617), 1 / ($BC$23:$BC$46*CU617), N($AQ$23:$AQ$46&gt;$AO617))
) / 1000</f>
        <v>0</v>
      </c>
      <c r="CX617" s="230">
        <f t="shared" si="636"/>
        <v>0</v>
      </c>
      <c r="CY617" s="238"/>
    </row>
    <row r="618" spans="1:103" s="76" customFormat="1" ht="14.25" customHeight="1" x14ac:dyDescent="0.2">
      <c r="A618" s="231" t="b">
        <f t="shared" si="640"/>
        <v>0</v>
      </c>
      <c r="B618" s="245">
        <v>596</v>
      </c>
      <c r="C618" s="258"/>
      <c r="D618" s="258"/>
      <c r="E618" s="246"/>
      <c r="F618" s="247" t="str">
        <f>IF(ISBLANK(E618), "", VLOOKUP(E618, Z!$A$2:$C$4127, 3, FALSE))</f>
        <v/>
      </c>
      <c r="G618" s="248"/>
      <c r="H618" s="248"/>
      <c r="I618" s="249"/>
      <c r="J618" s="250"/>
      <c r="K618" s="259"/>
      <c r="L618" s="260"/>
      <c r="M618" s="252" t="str" cm="1">
        <f t="array" ref="M618">INDEX(Trad, 53, $A$20)</f>
        <v>Verschmutzt</v>
      </c>
      <c r="N618" s="253"/>
      <c r="O618" s="253"/>
      <c r="P618" s="254"/>
      <c r="Q618" s="251"/>
      <c r="R618" s="251"/>
      <c r="S618" s="264">
        <f t="shared" si="611"/>
        <v>0</v>
      </c>
      <c r="T618" s="252" t="str" cm="1">
        <f t="array" ref="T618">INDEX(Trad, 52, $A$20)</f>
        <v>Sauber</v>
      </c>
      <c r="U618" s="253"/>
      <c r="V618" s="253"/>
      <c r="W618" s="254"/>
      <c r="X618" s="251"/>
      <c r="Y618" s="251"/>
      <c r="Z618" s="264">
        <f t="shared" si="612"/>
        <v>0</v>
      </c>
      <c r="AA618" s="261"/>
      <c r="AB618" s="258"/>
      <c r="AC618" s="246"/>
      <c r="AD618" s="247" t="str">
        <f>IF(ISBLANK(AC618), "", VLOOKUP(AC618, Z!$A$2:$C$4127, 3, FALSE))</f>
        <v/>
      </c>
      <c r="AE618" s="262"/>
      <c r="AF618" s="263">
        <f t="shared" si="613"/>
        <v>0</v>
      </c>
      <c r="AG618" s="238"/>
      <c r="AH618" s="229">
        <f t="shared" si="637"/>
        <v>1</v>
      </c>
      <c r="AI618" s="229">
        <f t="shared" si="638"/>
        <v>1</v>
      </c>
      <c r="AJ618" s="229">
        <f t="shared" si="639"/>
        <v>0</v>
      </c>
      <c r="AK618" s="229">
        <v>0</v>
      </c>
      <c r="AL618" s="229">
        <v>0</v>
      </c>
      <c r="AM618" s="229">
        <v>1</v>
      </c>
      <c r="AN618" s="229">
        <v>0</v>
      </c>
      <c r="AO618" s="229">
        <f t="shared" si="614"/>
        <v>-100</v>
      </c>
      <c r="AP618" s="238"/>
      <c r="AQ618" s="255"/>
      <c r="AR618" s="255"/>
      <c r="AS618" s="256"/>
      <c r="AT618" s="256"/>
      <c r="AU618" s="256"/>
      <c r="AV618" s="256"/>
      <c r="AW618" s="256"/>
      <c r="AX618" s="256"/>
      <c r="AY618" s="256"/>
      <c r="AZ618" s="256"/>
      <c r="BA618" s="256"/>
      <c r="BB618" s="256"/>
      <c r="BC618" s="256"/>
      <c r="BD618" s="238"/>
      <c r="BE618" s="229" cm="1">
        <f t="array" ref="BE618">IF(ISBLANK(R618), INDEX(Use, $AH618, 4) - AM618*INDEX(Use, $AH618, 6), R618)</f>
        <v>5</v>
      </c>
      <c r="BF618" s="229">
        <f t="shared" si="615"/>
        <v>30</v>
      </c>
      <c r="BG618" s="229">
        <f t="shared" si="641"/>
        <v>13</v>
      </c>
      <c r="BH618" s="229">
        <f t="shared" si="642"/>
        <v>0</v>
      </c>
      <c r="BI618" s="234" cm="1">
        <f t="array" ref="BI618">K618/IF($L618&gt;0, INDEX($AU$23:$BA$77, $L618+20, $AH618), 1)</f>
        <v>0</v>
      </c>
      <c r="BJ618" s="230">
        <f t="shared" si="616"/>
        <v>0</v>
      </c>
      <c r="BK618" s="229">
        <v>35</v>
      </c>
      <c r="BL618" s="230">
        <f t="shared" si="617"/>
        <v>48</v>
      </c>
      <c r="BM618" s="235">
        <f t="shared" si="618"/>
        <v>2.9108720930232557</v>
      </c>
      <c r="BN618" s="235" cm="1">
        <f t="array" ref="BN618">$BI618 * SUMPRODUCT(INDEX($AR$77:$AT$82,,$AI618),INDEX($AU$77:$BA$82,,$AH618), N($AQ$77:$AQ$82&gt;$AO618)) / BM618 / 1000</f>
        <v>0</v>
      </c>
      <c r="BO618" s="232">
        <f t="shared" si="643"/>
        <v>30</v>
      </c>
      <c r="BP618" s="230">
        <f t="shared" si="619"/>
        <v>43</v>
      </c>
      <c r="BQ618" s="235">
        <f t="shared" si="620"/>
        <v>3.2938815789473681</v>
      </c>
      <c r="BR618" s="235" cm="1">
        <f t="array" ref="BR618">$BI618 * IF($AH618&lt;=2,
SUMPRODUCT(INDEX($AR$72:$AT$76,,$AI618), INDEX($AU$72:$BA$76,,$AH618), 1 / ($BB$72:$BB$76*BQ618 + (1-$BB$72:$BB$76)*BM618), N($AQ$72:$AQ$76&gt;$AO618)),
SUMPRODUCT(INDEX($AR$67:$AT$76,,$AI618), INDEX($AU$67:$BA$76,,$AH618), 1 / ($BC$67:$BC$76*BQ618 + (1-$BC$67:$BC$76)*BM618), N($AQ$67:$AQ$76&gt;$AO618))
) / 1000</f>
        <v>0</v>
      </c>
      <c r="BS618" s="232">
        <f t="shared" si="644"/>
        <v>25</v>
      </c>
      <c r="BT618" s="230">
        <f t="shared" si="621"/>
        <v>38</v>
      </c>
      <c r="BU618" s="235">
        <f t="shared" si="622"/>
        <v>3.792954545454545</v>
      </c>
      <c r="BV618" s="235" cm="1">
        <f t="array" ref="BV618">$BI618 * IF($AH618&lt;=2,
SUMPRODUCT(INDEX($AR$67:$AT$71,,$AI618), INDEX($AU$67:$BA$71,,$AH618), 1 / ($BB$67:$BB$71*BU618 + (1-$BB$67:$BB$71)*BQ618), N($AQ$67:$AQ$71&gt;$AO618)),
SUMPRODUCT(INDEX($AR$57:$AT$66,,$AI618), INDEX($AU$57:$BA$66,,$AH618), 1 / ($BC$57:$BC$66*BU618 + (1-$BC$57:$BC$66)*BQ618), N($AQ$57:$AQ$66&gt;$AO618))
) / 1000</f>
        <v>0</v>
      </c>
      <c r="BW618" s="232">
        <f t="shared" si="645"/>
        <v>20</v>
      </c>
      <c r="BX618" s="230">
        <f t="shared" si="623"/>
        <v>33</v>
      </c>
      <c r="BY618" s="235">
        <f t="shared" si="624"/>
        <v>4.4702678571428569</v>
      </c>
      <c r="BZ618" s="235" cm="1">
        <f t="array" ref="BZ618">$BI618 * IF($AH618&lt;=2,
SUMPRODUCT(INDEX($AR$62:$AT$66,,$AI618), INDEX($AU$62:$BA$66,,$AH618), 1 / ($BB$62:$BB$66*BY618 + (1-$BB$62:$BB$66)*BU618), N($AQ$62:$AQ$66&gt;$AO618)),
SUMPRODUCT(INDEX($AR$47:$AT$56,,$AI618), INDEX($AU$47:$BA$56,,$AH618), 1 / ($BC$47:$BC$56*BY618 + (1-$BC$47:$BC$56)*BU618), N($AQ$47:$AQ$56&gt;$AO618))
) / 1000</f>
        <v>0</v>
      </c>
      <c r="CA618" s="235" cm="1">
        <f t="array" ref="CA618">$BI618 * IF($AH618&lt;=2,
SUMPRODUCT(INDEX($AR$23:$AT$61,,$AI618), INDEX($AU$23:$BA$61,,$AH618), 1 / ($BB$23:$BB$61*BY618), N($AQ$23:$AQ$61&gt;$AO618)),
SUMPRODUCT(INDEX($AR$23:$AT$46,,$AI618), INDEX($AU$23:$BA$46,,$AH618), 1 / ($BC$23:$BC$46*BY618), N($AQ$23:$AQ$46&gt;$AO618))
) / 1000</f>
        <v>0</v>
      </c>
      <c r="CB618" s="230">
        <f t="shared" si="625"/>
        <v>0</v>
      </c>
      <c r="CC618" s="238"/>
      <c r="CD618" s="229" cm="1">
        <f t="array" ref="CD618">IF(ISBLANK(Y618), INDEX(Use, $AH618, 4) - AN618*INDEX(Use, $AH618, 6) - (Q618-X618), Y618)</f>
        <v>7</v>
      </c>
      <c r="CE618" s="229">
        <f t="shared" si="626"/>
        <v>32</v>
      </c>
      <c r="CF618" s="230">
        <f t="shared" si="627"/>
        <v>0</v>
      </c>
      <c r="CG618" s="229">
        <v>35</v>
      </c>
      <c r="CH618" s="230">
        <f t="shared" si="628"/>
        <v>48</v>
      </c>
      <c r="CI618" s="235">
        <f t="shared" si="629"/>
        <v>3.0748170731707316</v>
      </c>
      <c r="CJ618" s="235" cm="1">
        <f t="array" ref="CJ618">$BI618 * SUMPRODUCT(INDEX($AR$77:$AT$82,,$AI618),INDEX($AU$77:$BA$82,,$AH618), N($AQ$77:$AQ$82&gt;$AO618)) / CI618 / 1000</f>
        <v>0</v>
      </c>
      <c r="CK618" s="232">
        <f t="shared" si="646"/>
        <v>30</v>
      </c>
      <c r="CL618" s="230">
        <f t="shared" si="630"/>
        <v>43</v>
      </c>
      <c r="CM618" s="235">
        <f t="shared" si="631"/>
        <v>3.5018750000000001</v>
      </c>
      <c r="CN618" s="235" cm="1">
        <f t="array" ref="CN618">$BI618 * IF($AH618&lt;=2,
SUMPRODUCT(INDEX($AR$72:$AT$76,,$AI618), INDEX($AU$72:$BA$76,,$AH618), 1 / ($BB$72:$BB$76*CM618 + (1-$BB$72:$BB$76)*CI618), N($AQ$72:$AQ$76&gt;$AO618)),
SUMPRODUCT(INDEX($AR$67:$AT$76,,$AI618), INDEX($AU$67:$BA$76,,$AH618), 1 / ($BC$67:$BC$76*CM618 + (1-$BC$67:$BC$76)*CI618), N($AQ$67:$AQ$76&gt;$AO618))
) / 1000</f>
        <v>0</v>
      </c>
      <c r="CO618" s="232">
        <f t="shared" si="647"/>
        <v>25</v>
      </c>
      <c r="CP618" s="230">
        <f t="shared" si="632"/>
        <v>38</v>
      </c>
      <c r="CQ618" s="235">
        <f t="shared" si="633"/>
        <v>4.0666935483870965</v>
      </c>
      <c r="CR618" s="235" cm="1">
        <f t="array" ref="CR618">$BI618 * IF($AH618&lt;=2,
SUMPRODUCT(INDEX($AR$67:$AT$71,,$AI618), INDEX($AU$67:$BA$71,,$AH618), 1 / ($BB$67:$BB$71*CQ618 + (1-$BB$67:$BB$71)*CM618), N($AQ$67:$AQ$71&gt;$AO618)),
SUMPRODUCT(INDEX($AR$57:$AT$66,,$AI618), INDEX($AU$57:$BA$66,,$AH618), 1 / ($BC$57:$BC$66*CQ618 + (1-$BC$57:$BC$66)*CM618), N($AQ$57:$AQ$66&gt;$AO618))
) / 1000</f>
        <v>0</v>
      </c>
      <c r="CS618" s="232">
        <f t="shared" si="648"/>
        <v>20</v>
      </c>
      <c r="CT618" s="230">
        <f t="shared" si="634"/>
        <v>33</v>
      </c>
      <c r="CU618" s="235">
        <f t="shared" si="635"/>
        <v>4.8487499999999999</v>
      </c>
      <c r="CV618" s="235" cm="1">
        <f t="array" ref="CV618">$BI618 * IF($AH618&lt;=2,
SUMPRODUCT(INDEX($AR$62:$AT$66,,$AI618), INDEX($AU$62:$BA$66,,$AH618), 1 / ($BB$62:$BB$66*CU618 + (1-$BB$62:$BB$66)*CQ618), N($AQ$62:$AQ$66&gt;$AO618)),
SUMPRODUCT(INDEX($AR$47:$AT$56,,$AI618), INDEX($AU$47:$BA$56,,$AH618), 1 / ($BC$47:$BC$56*CU618 + (1-$BC$47:$BC$56)*CQ618), N($AQ$47:$AQ$56&gt;$AO618))
) / 1000</f>
        <v>0</v>
      </c>
      <c r="CW618" s="235" cm="1">
        <f t="array" ref="CW618">$BI618 * IF($AH618&lt;=2,
SUMPRODUCT(INDEX($AR$23:$AT$61,,$AI618), INDEX($AU$23:$BA$61,,$AH618), 1 / ($BB$23:$BB$61*CU618), N($AQ$23:$AQ$61&gt;$AO618)),
SUMPRODUCT(INDEX($AR$23:$AT$46,,$AI618), INDEX($AU$23:$BA$46,,$AH618), 1 / ($BC$23:$BC$46*CU618), N($AQ$23:$AQ$46&gt;$AO618))
) / 1000</f>
        <v>0</v>
      </c>
      <c r="CX618" s="230">
        <f t="shared" si="636"/>
        <v>0</v>
      </c>
      <c r="CY618" s="238"/>
    </row>
    <row r="619" spans="1:103" s="76" customFormat="1" ht="14.25" customHeight="1" x14ac:dyDescent="0.2">
      <c r="A619" s="231" t="b">
        <f t="shared" si="640"/>
        <v>0</v>
      </c>
      <c r="B619" s="245">
        <v>597</v>
      </c>
      <c r="C619" s="258"/>
      <c r="D619" s="258"/>
      <c r="E619" s="246"/>
      <c r="F619" s="247" t="str">
        <f>IF(ISBLANK(E619), "", VLOOKUP(E619, Z!$A$2:$C$4127, 3, FALSE))</f>
        <v/>
      </c>
      <c r="G619" s="248"/>
      <c r="H619" s="248"/>
      <c r="I619" s="249"/>
      <c r="J619" s="250"/>
      <c r="K619" s="259"/>
      <c r="L619" s="260"/>
      <c r="M619" s="252" t="str" cm="1">
        <f t="array" ref="M619">INDEX(Trad, 53, $A$20)</f>
        <v>Verschmutzt</v>
      </c>
      <c r="N619" s="253"/>
      <c r="O619" s="253"/>
      <c r="P619" s="254"/>
      <c r="Q619" s="251"/>
      <c r="R619" s="251"/>
      <c r="S619" s="264">
        <f t="shared" si="611"/>
        <v>0</v>
      </c>
      <c r="T619" s="252" t="str" cm="1">
        <f t="array" ref="T619">INDEX(Trad, 52, $A$20)</f>
        <v>Sauber</v>
      </c>
      <c r="U619" s="253"/>
      <c r="V619" s="253"/>
      <c r="W619" s="254"/>
      <c r="X619" s="251"/>
      <c r="Y619" s="251"/>
      <c r="Z619" s="264">
        <f t="shared" si="612"/>
        <v>0</v>
      </c>
      <c r="AA619" s="261"/>
      <c r="AB619" s="258"/>
      <c r="AC619" s="246"/>
      <c r="AD619" s="247" t="str">
        <f>IF(ISBLANK(AC619), "", VLOOKUP(AC619, Z!$A$2:$C$4127, 3, FALSE))</f>
        <v/>
      </c>
      <c r="AE619" s="262"/>
      <c r="AF619" s="263">
        <f t="shared" si="613"/>
        <v>0</v>
      </c>
      <c r="AG619" s="238"/>
      <c r="AH619" s="229">
        <f t="shared" si="637"/>
        <v>1</v>
      </c>
      <c r="AI619" s="229">
        <f t="shared" si="638"/>
        <v>1</v>
      </c>
      <c r="AJ619" s="229">
        <f t="shared" si="639"/>
        <v>0</v>
      </c>
      <c r="AK619" s="229">
        <v>0</v>
      </c>
      <c r="AL619" s="229">
        <v>0</v>
      </c>
      <c r="AM619" s="229">
        <v>1</v>
      </c>
      <c r="AN619" s="229">
        <v>0</v>
      </c>
      <c r="AO619" s="229">
        <f t="shared" si="614"/>
        <v>-100</v>
      </c>
      <c r="AP619" s="238"/>
      <c r="AQ619" s="255"/>
      <c r="AR619" s="255"/>
      <c r="AS619" s="256"/>
      <c r="AT619" s="256"/>
      <c r="AU619" s="256"/>
      <c r="AV619" s="256"/>
      <c r="AW619" s="256"/>
      <c r="AX619" s="256"/>
      <c r="AY619" s="256"/>
      <c r="AZ619" s="256"/>
      <c r="BA619" s="256"/>
      <c r="BB619" s="256"/>
      <c r="BC619" s="256"/>
      <c r="BD619" s="238"/>
      <c r="BE619" s="229" cm="1">
        <f t="array" ref="BE619">IF(ISBLANK(R619), INDEX(Use, $AH619, 4) - AM619*INDEX(Use, $AH619, 6), R619)</f>
        <v>5</v>
      </c>
      <c r="BF619" s="229">
        <f t="shared" si="615"/>
        <v>30</v>
      </c>
      <c r="BG619" s="229">
        <f t="shared" si="641"/>
        <v>13</v>
      </c>
      <c r="BH619" s="229">
        <f t="shared" si="642"/>
        <v>0</v>
      </c>
      <c r="BI619" s="234" cm="1">
        <f t="array" ref="BI619">K619/IF($L619&gt;0, INDEX($AU$23:$BA$77, $L619+20, $AH619), 1)</f>
        <v>0</v>
      </c>
      <c r="BJ619" s="230">
        <f t="shared" si="616"/>
        <v>0</v>
      </c>
      <c r="BK619" s="229">
        <v>35</v>
      </c>
      <c r="BL619" s="230">
        <f t="shared" si="617"/>
        <v>48</v>
      </c>
      <c r="BM619" s="235">
        <f t="shared" si="618"/>
        <v>2.9108720930232557</v>
      </c>
      <c r="BN619" s="235" cm="1">
        <f t="array" ref="BN619">$BI619 * SUMPRODUCT(INDEX($AR$77:$AT$82,,$AI619),INDEX($AU$77:$BA$82,,$AH619), N($AQ$77:$AQ$82&gt;$AO619)) / BM619 / 1000</f>
        <v>0</v>
      </c>
      <c r="BO619" s="232">
        <f t="shared" si="643"/>
        <v>30</v>
      </c>
      <c r="BP619" s="230">
        <f t="shared" si="619"/>
        <v>43</v>
      </c>
      <c r="BQ619" s="235">
        <f t="shared" si="620"/>
        <v>3.2938815789473681</v>
      </c>
      <c r="BR619" s="235" cm="1">
        <f t="array" ref="BR619">$BI619 * IF($AH619&lt;=2,
SUMPRODUCT(INDEX($AR$72:$AT$76,,$AI619), INDEX($AU$72:$BA$76,,$AH619), 1 / ($BB$72:$BB$76*BQ619 + (1-$BB$72:$BB$76)*BM619), N($AQ$72:$AQ$76&gt;$AO619)),
SUMPRODUCT(INDEX($AR$67:$AT$76,,$AI619), INDEX($AU$67:$BA$76,,$AH619), 1 / ($BC$67:$BC$76*BQ619 + (1-$BC$67:$BC$76)*BM619), N($AQ$67:$AQ$76&gt;$AO619))
) / 1000</f>
        <v>0</v>
      </c>
      <c r="BS619" s="232">
        <f t="shared" si="644"/>
        <v>25</v>
      </c>
      <c r="BT619" s="230">
        <f t="shared" si="621"/>
        <v>38</v>
      </c>
      <c r="BU619" s="235">
        <f t="shared" si="622"/>
        <v>3.792954545454545</v>
      </c>
      <c r="BV619" s="235" cm="1">
        <f t="array" ref="BV619">$BI619 * IF($AH619&lt;=2,
SUMPRODUCT(INDEX($AR$67:$AT$71,,$AI619), INDEX($AU$67:$BA$71,,$AH619), 1 / ($BB$67:$BB$71*BU619 + (1-$BB$67:$BB$71)*BQ619), N($AQ$67:$AQ$71&gt;$AO619)),
SUMPRODUCT(INDEX($AR$57:$AT$66,,$AI619), INDEX($AU$57:$BA$66,,$AH619), 1 / ($BC$57:$BC$66*BU619 + (1-$BC$57:$BC$66)*BQ619), N($AQ$57:$AQ$66&gt;$AO619))
) / 1000</f>
        <v>0</v>
      </c>
      <c r="BW619" s="232">
        <f t="shared" si="645"/>
        <v>20</v>
      </c>
      <c r="BX619" s="230">
        <f t="shared" si="623"/>
        <v>33</v>
      </c>
      <c r="BY619" s="235">
        <f t="shared" si="624"/>
        <v>4.4702678571428569</v>
      </c>
      <c r="BZ619" s="235" cm="1">
        <f t="array" ref="BZ619">$BI619 * IF($AH619&lt;=2,
SUMPRODUCT(INDEX($AR$62:$AT$66,,$AI619), INDEX($AU$62:$BA$66,,$AH619), 1 / ($BB$62:$BB$66*BY619 + (1-$BB$62:$BB$66)*BU619), N($AQ$62:$AQ$66&gt;$AO619)),
SUMPRODUCT(INDEX($AR$47:$AT$56,,$AI619), INDEX($AU$47:$BA$56,,$AH619), 1 / ($BC$47:$BC$56*BY619 + (1-$BC$47:$BC$56)*BU619), N($AQ$47:$AQ$56&gt;$AO619))
) / 1000</f>
        <v>0</v>
      </c>
      <c r="CA619" s="235" cm="1">
        <f t="array" ref="CA619">$BI619 * IF($AH619&lt;=2,
SUMPRODUCT(INDEX($AR$23:$AT$61,,$AI619), INDEX($AU$23:$BA$61,,$AH619), 1 / ($BB$23:$BB$61*BY619), N($AQ$23:$AQ$61&gt;$AO619)),
SUMPRODUCT(INDEX($AR$23:$AT$46,,$AI619), INDEX($AU$23:$BA$46,,$AH619), 1 / ($BC$23:$BC$46*BY619), N($AQ$23:$AQ$46&gt;$AO619))
) / 1000</f>
        <v>0</v>
      </c>
      <c r="CB619" s="230">
        <f t="shared" si="625"/>
        <v>0</v>
      </c>
      <c r="CC619" s="238"/>
      <c r="CD619" s="229" cm="1">
        <f t="array" ref="CD619">IF(ISBLANK(Y619), INDEX(Use, $AH619, 4) - AN619*INDEX(Use, $AH619, 6) - (Q619-X619), Y619)</f>
        <v>7</v>
      </c>
      <c r="CE619" s="229">
        <f t="shared" si="626"/>
        <v>32</v>
      </c>
      <c r="CF619" s="230">
        <f t="shared" si="627"/>
        <v>0</v>
      </c>
      <c r="CG619" s="229">
        <v>35</v>
      </c>
      <c r="CH619" s="230">
        <f t="shared" si="628"/>
        <v>48</v>
      </c>
      <c r="CI619" s="235">
        <f t="shared" si="629"/>
        <v>3.0748170731707316</v>
      </c>
      <c r="CJ619" s="235" cm="1">
        <f t="array" ref="CJ619">$BI619 * SUMPRODUCT(INDEX($AR$77:$AT$82,,$AI619),INDEX($AU$77:$BA$82,,$AH619), N($AQ$77:$AQ$82&gt;$AO619)) / CI619 / 1000</f>
        <v>0</v>
      </c>
      <c r="CK619" s="232">
        <f t="shared" si="646"/>
        <v>30</v>
      </c>
      <c r="CL619" s="230">
        <f t="shared" si="630"/>
        <v>43</v>
      </c>
      <c r="CM619" s="235">
        <f t="shared" si="631"/>
        <v>3.5018750000000001</v>
      </c>
      <c r="CN619" s="235" cm="1">
        <f t="array" ref="CN619">$BI619 * IF($AH619&lt;=2,
SUMPRODUCT(INDEX($AR$72:$AT$76,,$AI619), INDEX($AU$72:$BA$76,,$AH619), 1 / ($BB$72:$BB$76*CM619 + (1-$BB$72:$BB$76)*CI619), N($AQ$72:$AQ$76&gt;$AO619)),
SUMPRODUCT(INDEX($AR$67:$AT$76,,$AI619), INDEX($AU$67:$BA$76,,$AH619), 1 / ($BC$67:$BC$76*CM619 + (1-$BC$67:$BC$76)*CI619), N($AQ$67:$AQ$76&gt;$AO619))
) / 1000</f>
        <v>0</v>
      </c>
      <c r="CO619" s="232">
        <f t="shared" si="647"/>
        <v>25</v>
      </c>
      <c r="CP619" s="230">
        <f t="shared" si="632"/>
        <v>38</v>
      </c>
      <c r="CQ619" s="235">
        <f t="shared" si="633"/>
        <v>4.0666935483870965</v>
      </c>
      <c r="CR619" s="235" cm="1">
        <f t="array" ref="CR619">$BI619 * IF($AH619&lt;=2,
SUMPRODUCT(INDEX($AR$67:$AT$71,,$AI619), INDEX($AU$67:$BA$71,,$AH619), 1 / ($BB$67:$BB$71*CQ619 + (1-$BB$67:$BB$71)*CM619), N($AQ$67:$AQ$71&gt;$AO619)),
SUMPRODUCT(INDEX($AR$57:$AT$66,,$AI619), INDEX($AU$57:$BA$66,,$AH619), 1 / ($BC$57:$BC$66*CQ619 + (1-$BC$57:$BC$66)*CM619), N($AQ$57:$AQ$66&gt;$AO619))
) / 1000</f>
        <v>0</v>
      </c>
      <c r="CS619" s="232">
        <f t="shared" si="648"/>
        <v>20</v>
      </c>
      <c r="CT619" s="230">
        <f t="shared" si="634"/>
        <v>33</v>
      </c>
      <c r="CU619" s="235">
        <f t="shared" si="635"/>
        <v>4.8487499999999999</v>
      </c>
      <c r="CV619" s="235" cm="1">
        <f t="array" ref="CV619">$BI619 * IF($AH619&lt;=2,
SUMPRODUCT(INDEX($AR$62:$AT$66,,$AI619), INDEX($AU$62:$BA$66,,$AH619), 1 / ($BB$62:$BB$66*CU619 + (1-$BB$62:$BB$66)*CQ619), N($AQ$62:$AQ$66&gt;$AO619)),
SUMPRODUCT(INDEX($AR$47:$AT$56,,$AI619), INDEX($AU$47:$BA$56,,$AH619), 1 / ($BC$47:$BC$56*CU619 + (1-$BC$47:$BC$56)*CQ619), N($AQ$47:$AQ$56&gt;$AO619))
) / 1000</f>
        <v>0</v>
      </c>
      <c r="CW619" s="235" cm="1">
        <f t="array" ref="CW619">$BI619 * IF($AH619&lt;=2,
SUMPRODUCT(INDEX($AR$23:$AT$61,,$AI619), INDEX($AU$23:$BA$61,,$AH619), 1 / ($BB$23:$BB$61*CU619), N($AQ$23:$AQ$61&gt;$AO619)),
SUMPRODUCT(INDEX($AR$23:$AT$46,,$AI619), INDEX($AU$23:$BA$46,,$AH619), 1 / ($BC$23:$BC$46*CU619), N($AQ$23:$AQ$46&gt;$AO619))
) / 1000</f>
        <v>0</v>
      </c>
      <c r="CX619" s="230">
        <f t="shared" si="636"/>
        <v>0</v>
      </c>
      <c r="CY619" s="238"/>
    </row>
    <row r="620" spans="1:103" s="76" customFormat="1" ht="14.25" customHeight="1" x14ac:dyDescent="0.2">
      <c r="A620" s="231" t="b">
        <f t="shared" si="640"/>
        <v>0</v>
      </c>
      <c r="B620" s="245">
        <v>598</v>
      </c>
      <c r="C620" s="258"/>
      <c r="D620" s="258"/>
      <c r="E620" s="246"/>
      <c r="F620" s="247" t="str">
        <f>IF(ISBLANK(E620), "", VLOOKUP(E620, Z!$A$2:$C$4127, 3, FALSE))</f>
        <v/>
      </c>
      <c r="G620" s="248"/>
      <c r="H620" s="248"/>
      <c r="I620" s="249"/>
      <c r="J620" s="250"/>
      <c r="K620" s="259"/>
      <c r="L620" s="260"/>
      <c r="M620" s="252" t="str" cm="1">
        <f t="array" ref="M620">INDEX(Trad, 53, $A$20)</f>
        <v>Verschmutzt</v>
      </c>
      <c r="N620" s="253"/>
      <c r="O620" s="253"/>
      <c r="P620" s="254"/>
      <c r="Q620" s="251"/>
      <c r="R620" s="251"/>
      <c r="S620" s="264">
        <f t="shared" si="611"/>
        <v>0</v>
      </c>
      <c r="T620" s="252" t="str" cm="1">
        <f t="array" ref="T620">INDEX(Trad, 52, $A$20)</f>
        <v>Sauber</v>
      </c>
      <c r="U620" s="253"/>
      <c r="V620" s="253"/>
      <c r="W620" s="254"/>
      <c r="X620" s="251"/>
      <c r="Y620" s="251"/>
      <c r="Z620" s="264">
        <f t="shared" si="612"/>
        <v>0</v>
      </c>
      <c r="AA620" s="261"/>
      <c r="AB620" s="258"/>
      <c r="AC620" s="246"/>
      <c r="AD620" s="247" t="str">
        <f>IF(ISBLANK(AC620), "", VLOOKUP(AC620, Z!$A$2:$C$4127, 3, FALSE))</f>
        <v/>
      </c>
      <c r="AE620" s="262"/>
      <c r="AF620" s="263">
        <f t="shared" si="613"/>
        <v>0</v>
      </c>
      <c r="AG620" s="238"/>
      <c r="AH620" s="229">
        <f t="shared" si="637"/>
        <v>1</v>
      </c>
      <c r="AI620" s="229">
        <f t="shared" si="638"/>
        <v>1</v>
      </c>
      <c r="AJ620" s="229">
        <f t="shared" si="639"/>
        <v>0</v>
      </c>
      <c r="AK620" s="229">
        <v>0</v>
      </c>
      <c r="AL620" s="229">
        <v>0</v>
      </c>
      <c r="AM620" s="229">
        <v>1</v>
      </c>
      <c r="AN620" s="229">
        <v>0</v>
      </c>
      <c r="AO620" s="229">
        <f t="shared" si="614"/>
        <v>-100</v>
      </c>
      <c r="AP620" s="238"/>
      <c r="AQ620" s="255"/>
      <c r="AR620" s="255"/>
      <c r="AS620" s="256"/>
      <c r="AT620" s="256"/>
      <c r="AU620" s="256"/>
      <c r="AV620" s="256"/>
      <c r="AW620" s="256"/>
      <c r="AX620" s="256"/>
      <c r="AY620" s="256"/>
      <c r="AZ620" s="256"/>
      <c r="BA620" s="256"/>
      <c r="BB620" s="256"/>
      <c r="BC620" s="256"/>
      <c r="BD620" s="238"/>
      <c r="BE620" s="229" cm="1">
        <f t="array" ref="BE620">IF(ISBLANK(R620), INDEX(Use, $AH620, 4) - AM620*INDEX(Use, $AH620, 6), R620)</f>
        <v>5</v>
      </c>
      <c r="BF620" s="229">
        <f t="shared" si="615"/>
        <v>30</v>
      </c>
      <c r="BG620" s="229">
        <f t="shared" si="641"/>
        <v>13</v>
      </c>
      <c r="BH620" s="229">
        <f t="shared" si="642"/>
        <v>0</v>
      </c>
      <c r="BI620" s="234" cm="1">
        <f t="array" ref="BI620">K620/IF($L620&gt;0, INDEX($AU$23:$BA$77, $L620+20, $AH620), 1)</f>
        <v>0</v>
      </c>
      <c r="BJ620" s="230">
        <f t="shared" si="616"/>
        <v>0</v>
      </c>
      <c r="BK620" s="229">
        <v>35</v>
      </c>
      <c r="BL620" s="230">
        <f t="shared" si="617"/>
        <v>48</v>
      </c>
      <c r="BM620" s="235">
        <f t="shared" si="618"/>
        <v>2.9108720930232557</v>
      </c>
      <c r="BN620" s="235" cm="1">
        <f t="array" ref="BN620">$BI620 * SUMPRODUCT(INDEX($AR$77:$AT$82,,$AI620),INDEX($AU$77:$BA$82,,$AH620), N($AQ$77:$AQ$82&gt;$AO620)) / BM620 / 1000</f>
        <v>0</v>
      </c>
      <c r="BO620" s="232">
        <f t="shared" si="643"/>
        <v>30</v>
      </c>
      <c r="BP620" s="230">
        <f t="shared" si="619"/>
        <v>43</v>
      </c>
      <c r="BQ620" s="235">
        <f t="shared" si="620"/>
        <v>3.2938815789473681</v>
      </c>
      <c r="BR620" s="235" cm="1">
        <f t="array" ref="BR620">$BI620 * IF($AH620&lt;=2,
SUMPRODUCT(INDEX($AR$72:$AT$76,,$AI620), INDEX($AU$72:$BA$76,,$AH620), 1 / ($BB$72:$BB$76*BQ620 + (1-$BB$72:$BB$76)*BM620), N($AQ$72:$AQ$76&gt;$AO620)),
SUMPRODUCT(INDEX($AR$67:$AT$76,,$AI620), INDEX($AU$67:$BA$76,,$AH620), 1 / ($BC$67:$BC$76*BQ620 + (1-$BC$67:$BC$76)*BM620), N($AQ$67:$AQ$76&gt;$AO620))
) / 1000</f>
        <v>0</v>
      </c>
      <c r="BS620" s="232">
        <f t="shared" si="644"/>
        <v>25</v>
      </c>
      <c r="BT620" s="230">
        <f t="shared" si="621"/>
        <v>38</v>
      </c>
      <c r="BU620" s="235">
        <f t="shared" si="622"/>
        <v>3.792954545454545</v>
      </c>
      <c r="BV620" s="235" cm="1">
        <f t="array" ref="BV620">$BI620 * IF($AH620&lt;=2,
SUMPRODUCT(INDEX($AR$67:$AT$71,,$AI620), INDEX($AU$67:$BA$71,,$AH620), 1 / ($BB$67:$BB$71*BU620 + (1-$BB$67:$BB$71)*BQ620), N($AQ$67:$AQ$71&gt;$AO620)),
SUMPRODUCT(INDEX($AR$57:$AT$66,,$AI620), INDEX($AU$57:$BA$66,,$AH620), 1 / ($BC$57:$BC$66*BU620 + (1-$BC$57:$BC$66)*BQ620), N($AQ$57:$AQ$66&gt;$AO620))
) / 1000</f>
        <v>0</v>
      </c>
      <c r="BW620" s="232">
        <f t="shared" si="645"/>
        <v>20</v>
      </c>
      <c r="BX620" s="230">
        <f t="shared" si="623"/>
        <v>33</v>
      </c>
      <c r="BY620" s="235">
        <f t="shared" si="624"/>
        <v>4.4702678571428569</v>
      </c>
      <c r="BZ620" s="235" cm="1">
        <f t="array" ref="BZ620">$BI620 * IF($AH620&lt;=2,
SUMPRODUCT(INDEX($AR$62:$AT$66,,$AI620), INDEX($AU$62:$BA$66,,$AH620), 1 / ($BB$62:$BB$66*BY620 + (1-$BB$62:$BB$66)*BU620), N($AQ$62:$AQ$66&gt;$AO620)),
SUMPRODUCT(INDEX($AR$47:$AT$56,,$AI620), INDEX($AU$47:$BA$56,,$AH620), 1 / ($BC$47:$BC$56*BY620 + (1-$BC$47:$BC$56)*BU620), N($AQ$47:$AQ$56&gt;$AO620))
) / 1000</f>
        <v>0</v>
      </c>
      <c r="CA620" s="235" cm="1">
        <f t="array" ref="CA620">$BI620 * IF($AH620&lt;=2,
SUMPRODUCT(INDEX($AR$23:$AT$61,,$AI620), INDEX($AU$23:$BA$61,,$AH620), 1 / ($BB$23:$BB$61*BY620), N($AQ$23:$AQ$61&gt;$AO620)),
SUMPRODUCT(INDEX($AR$23:$AT$46,,$AI620), INDEX($AU$23:$BA$46,,$AH620), 1 / ($BC$23:$BC$46*BY620), N($AQ$23:$AQ$46&gt;$AO620))
) / 1000</f>
        <v>0</v>
      </c>
      <c r="CB620" s="230">
        <f t="shared" si="625"/>
        <v>0</v>
      </c>
      <c r="CC620" s="238"/>
      <c r="CD620" s="229" cm="1">
        <f t="array" ref="CD620">IF(ISBLANK(Y620), INDEX(Use, $AH620, 4) - AN620*INDEX(Use, $AH620, 6) - (Q620-X620), Y620)</f>
        <v>7</v>
      </c>
      <c r="CE620" s="229">
        <f t="shared" si="626"/>
        <v>32</v>
      </c>
      <c r="CF620" s="230">
        <f t="shared" si="627"/>
        <v>0</v>
      </c>
      <c r="CG620" s="229">
        <v>35</v>
      </c>
      <c r="CH620" s="230">
        <f t="shared" si="628"/>
        <v>48</v>
      </c>
      <c r="CI620" s="235">
        <f t="shared" si="629"/>
        <v>3.0748170731707316</v>
      </c>
      <c r="CJ620" s="235" cm="1">
        <f t="array" ref="CJ620">$BI620 * SUMPRODUCT(INDEX($AR$77:$AT$82,,$AI620),INDEX($AU$77:$BA$82,,$AH620), N($AQ$77:$AQ$82&gt;$AO620)) / CI620 / 1000</f>
        <v>0</v>
      </c>
      <c r="CK620" s="232">
        <f t="shared" si="646"/>
        <v>30</v>
      </c>
      <c r="CL620" s="230">
        <f t="shared" si="630"/>
        <v>43</v>
      </c>
      <c r="CM620" s="235">
        <f t="shared" si="631"/>
        <v>3.5018750000000001</v>
      </c>
      <c r="CN620" s="235" cm="1">
        <f t="array" ref="CN620">$BI620 * IF($AH620&lt;=2,
SUMPRODUCT(INDEX($AR$72:$AT$76,,$AI620), INDEX($AU$72:$BA$76,,$AH620), 1 / ($BB$72:$BB$76*CM620 + (1-$BB$72:$BB$76)*CI620), N($AQ$72:$AQ$76&gt;$AO620)),
SUMPRODUCT(INDEX($AR$67:$AT$76,,$AI620), INDEX($AU$67:$BA$76,,$AH620), 1 / ($BC$67:$BC$76*CM620 + (1-$BC$67:$BC$76)*CI620), N($AQ$67:$AQ$76&gt;$AO620))
) / 1000</f>
        <v>0</v>
      </c>
      <c r="CO620" s="232">
        <f t="shared" si="647"/>
        <v>25</v>
      </c>
      <c r="CP620" s="230">
        <f t="shared" si="632"/>
        <v>38</v>
      </c>
      <c r="CQ620" s="235">
        <f t="shared" si="633"/>
        <v>4.0666935483870965</v>
      </c>
      <c r="CR620" s="235" cm="1">
        <f t="array" ref="CR620">$BI620 * IF($AH620&lt;=2,
SUMPRODUCT(INDEX($AR$67:$AT$71,,$AI620), INDEX($AU$67:$BA$71,,$AH620), 1 / ($BB$67:$BB$71*CQ620 + (1-$BB$67:$BB$71)*CM620), N($AQ$67:$AQ$71&gt;$AO620)),
SUMPRODUCT(INDEX($AR$57:$AT$66,,$AI620), INDEX($AU$57:$BA$66,,$AH620), 1 / ($BC$57:$BC$66*CQ620 + (1-$BC$57:$BC$66)*CM620), N($AQ$57:$AQ$66&gt;$AO620))
) / 1000</f>
        <v>0</v>
      </c>
      <c r="CS620" s="232">
        <f t="shared" si="648"/>
        <v>20</v>
      </c>
      <c r="CT620" s="230">
        <f t="shared" si="634"/>
        <v>33</v>
      </c>
      <c r="CU620" s="235">
        <f t="shared" si="635"/>
        <v>4.8487499999999999</v>
      </c>
      <c r="CV620" s="235" cm="1">
        <f t="array" ref="CV620">$BI620 * IF($AH620&lt;=2,
SUMPRODUCT(INDEX($AR$62:$AT$66,,$AI620), INDEX($AU$62:$BA$66,,$AH620), 1 / ($BB$62:$BB$66*CU620 + (1-$BB$62:$BB$66)*CQ620), N($AQ$62:$AQ$66&gt;$AO620)),
SUMPRODUCT(INDEX($AR$47:$AT$56,,$AI620), INDEX($AU$47:$BA$56,,$AH620), 1 / ($BC$47:$BC$56*CU620 + (1-$BC$47:$BC$56)*CQ620), N($AQ$47:$AQ$56&gt;$AO620))
) / 1000</f>
        <v>0</v>
      </c>
      <c r="CW620" s="235" cm="1">
        <f t="array" ref="CW620">$BI620 * IF($AH620&lt;=2,
SUMPRODUCT(INDEX($AR$23:$AT$61,,$AI620), INDEX($AU$23:$BA$61,,$AH620), 1 / ($BB$23:$BB$61*CU620), N($AQ$23:$AQ$61&gt;$AO620)),
SUMPRODUCT(INDEX($AR$23:$AT$46,,$AI620), INDEX($AU$23:$BA$46,,$AH620), 1 / ($BC$23:$BC$46*CU620), N($AQ$23:$AQ$46&gt;$AO620))
) / 1000</f>
        <v>0</v>
      </c>
      <c r="CX620" s="230">
        <f t="shared" si="636"/>
        <v>0</v>
      </c>
      <c r="CY620" s="238"/>
    </row>
    <row r="621" spans="1:103" s="76" customFormat="1" ht="14.25" customHeight="1" x14ac:dyDescent="0.2">
      <c r="A621" s="231" t="b">
        <f t="shared" si="640"/>
        <v>0</v>
      </c>
      <c r="B621" s="245">
        <v>599</v>
      </c>
      <c r="C621" s="258"/>
      <c r="D621" s="258"/>
      <c r="E621" s="246"/>
      <c r="F621" s="247" t="str">
        <f>IF(ISBLANK(E621), "", VLOOKUP(E621, Z!$A$2:$C$4127, 3, FALSE))</f>
        <v/>
      </c>
      <c r="G621" s="248"/>
      <c r="H621" s="248"/>
      <c r="I621" s="249"/>
      <c r="J621" s="250"/>
      <c r="K621" s="259"/>
      <c r="L621" s="260"/>
      <c r="M621" s="252" t="str" cm="1">
        <f t="array" ref="M621">INDEX(Trad, 53, $A$20)</f>
        <v>Verschmutzt</v>
      </c>
      <c r="N621" s="253"/>
      <c r="O621" s="253"/>
      <c r="P621" s="254"/>
      <c r="Q621" s="251"/>
      <c r="R621" s="251"/>
      <c r="S621" s="264">
        <f t="shared" si="611"/>
        <v>0</v>
      </c>
      <c r="T621" s="252" t="str" cm="1">
        <f t="array" ref="T621">INDEX(Trad, 52, $A$20)</f>
        <v>Sauber</v>
      </c>
      <c r="U621" s="253"/>
      <c r="V621" s="253"/>
      <c r="W621" s="254"/>
      <c r="X621" s="251"/>
      <c r="Y621" s="251"/>
      <c r="Z621" s="264">
        <f t="shared" si="612"/>
        <v>0</v>
      </c>
      <c r="AA621" s="261"/>
      <c r="AB621" s="258"/>
      <c r="AC621" s="246"/>
      <c r="AD621" s="247" t="str">
        <f>IF(ISBLANK(AC621), "", VLOOKUP(AC621, Z!$A$2:$C$4127, 3, FALSE))</f>
        <v/>
      </c>
      <c r="AE621" s="262"/>
      <c r="AF621" s="263">
        <f t="shared" si="613"/>
        <v>0</v>
      </c>
      <c r="AG621" s="238"/>
      <c r="AH621" s="229">
        <f t="shared" si="637"/>
        <v>1</v>
      </c>
      <c r="AI621" s="229">
        <f t="shared" si="638"/>
        <v>1</v>
      </c>
      <c r="AJ621" s="229">
        <f t="shared" si="639"/>
        <v>0</v>
      </c>
      <c r="AK621" s="229">
        <v>0</v>
      </c>
      <c r="AL621" s="229">
        <v>0</v>
      </c>
      <c r="AM621" s="229">
        <v>1</v>
      </c>
      <c r="AN621" s="229">
        <v>0</v>
      </c>
      <c r="AO621" s="229">
        <f t="shared" si="614"/>
        <v>-100</v>
      </c>
      <c r="AP621" s="238"/>
      <c r="AQ621" s="255"/>
      <c r="AR621" s="255"/>
      <c r="AS621" s="256"/>
      <c r="AT621" s="256"/>
      <c r="AU621" s="256"/>
      <c r="AV621" s="256"/>
      <c r="AW621" s="256"/>
      <c r="AX621" s="256"/>
      <c r="AY621" s="256"/>
      <c r="AZ621" s="256"/>
      <c r="BA621" s="256"/>
      <c r="BB621" s="256"/>
      <c r="BC621" s="256"/>
      <c r="BD621" s="238"/>
      <c r="BE621" s="229" cm="1">
        <f t="array" ref="BE621">IF(ISBLANK(R621), INDEX(Use, $AH621, 4) - AM621*INDEX(Use, $AH621, 6), R621)</f>
        <v>5</v>
      </c>
      <c r="BF621" s="229">
        <f t="shared" si="615"/>
        <v>30</v>
      </c>
      <c r="BG621" s="229">
        <f t="shared" si="641"/>
        <v>13</v>
      </c>
      <c r="BH621" s="229">
        <f t="shared" si="642"/>
        <v>0</v>
      </c>
      <c r="BI621" s="234" cm="1">
        <f t="array" ref="BI621">K621/IF($L621&gt;0, INDEX($AU$23:$BA$77, $L621+20, $AH621), 1)</f>
        <v>0</v>
      </c>
      <c r="BJ621" s="230">
        <f t="shared" si="616"/>
        <v>0</v>
      </c>
      <c r="BK621" s="229">
        <v>35</v>
      </c>
      <c r="BL621" s="230">
        <f t="shared" si="617"/>
        <v>48</v>
      </c>
      <c r="BM621" s="235">
        <f t="shared" si="618"/>
        <v>2.9108720930232557</v>
      </c>
      <c r="BN621" s="235" cm="1">
        <f t="array" ref="BN621">$BI621 * SUMPRODUCT(INDEX($AR$77:$AT$82,,$AI621),INDEX($AU$77:$BA$82,,$AH621), N($AQ$77:$AQ$82&gt;$AO621)) / BM621 / 1000</f>
        <v>0</v>
      </c>
      <c r="BO621" s="232">
        <f t="shared" si="643"/>
        <v>30</v>
      </c>
      <c r="BP621" s="230">
        <f t="shared" si="619"/>
        <v>43</v>
      </c>
      <c r="BQ621" s="235">
        <f t="shared" si="620"/>
        <v>3.2938815789473681</v>
      </c>
      <c r="BR621" s="235" cm="1">
        <f t="array" ref="BR621">$BI621 * IF($AH621&lt;=2,
SUMPRODUCT(INDEX($AR$72:$AT$76,,$AI621), INDEX($AU$72:$BA$76,,$AH621), 1 / ($BB$72:$BB$76*BQ621 + (1-$BB$72:$BB$76)*BM621), N($AQ$72:$AQ$76&gt;$AO621)),
SUMPRODUCT(INDEX($AR$67:$AT$76,,$AI621), INDEX($AU$67:$BA$76,,$AH621), 1 / ($BC$67:$BC$76*BQ621 + (1-$BC$67:$BC$76)*BM621), N($AQ$67:$AQ$76&gt;$AO621))
) / 1000</f>
        <v>0</v>
      </c>
      <c r="BS621" s="232">
        <f t="shared" si="644"/>
        <v>25</v>
      </c>
      <c r="BT621" s="230">
        <f t="shared" si="621"/>
        <v>38</v>
      </c>
      <c r="BU621" s="235">
        <f t="shared" si="622"/>
        <v>3.792954545454545</v>
      </c>
      <c r="BV621" s="235" cm="1">
        <f t="array" ref="BV621">$BI621 * IF($AH621&lt;=2,
SUMPRODUCT(INDEX($AR$67:$AT$71,,$AI621), INDEX($AU$67:$BA$71,,$AH621), 1 / ($BB$67:$BB$71*BU621 + (1-$BB$67:$BB$71)*BQ621), N($AQ$67:$AQ$71&gt;$AO621)),
SUMPRODUCT(INDEX($AR$57:$AT$66,,$AI621), INDEX($AU$57:$BA$66,,$AH621), 1 / ($BC$57:$BC$66*BU621 + (1-$BC$57:$BC$66)*BQ621), N($AQ$57:$AQ$66&gt;$AO621))
) / 1000</f>
        <v>0</v>
      </c>
      <c r="BW621" s="232">
        <f t="shared" si="645"/>
        <v>20</v>
      </c>
      <c r="BX621" s="230">
        <f t="shared" si="623"/>
        <v>33</v>
      </c>
      <c r="BY621" s="235">
        <f t="shared" si="624"/>
        <v>4.4702678571428569</v>
      </c>
      <c r="BZ621" s="235" cm="1">
        <f t="array" ref="BZ621">$BI621 * IF($AH621&lt;=2,
SUMPRODUCT(INDEX($AR$62:$AT$66,,$AI621), INDEX($AU$62:$BA$66,,$AH621), 1 / ($BB$62:$BB$66*BY621 + (1-$BB$62:$BB$66)*BU621), N($AQ$62:$AQ$66&gt;$AO621)),
SUMPRODUCT(INDEX($AR$47:$AT$56,,$AI621), INDEX($AU$47:$BA$56,,$AH621), 1 / ($BC$47:$BC$56*BY621 + (1-$BC$47:$BC$56)*BU621), N($AQ$47:$AQ$56&gt;$AO621))
) / 1000</f>
        <v>0</v>
      </c>
      <c r="CA621" s="235" cm="1">
        <f t="array" ref="CA621">$BI621 * IF($AH621&lt;=2,
SUMPRODUCT(INDEX($AR$23:$AT$61,,$AI621), INDEX($AU$23:$BA$61,,$AH621), 1 / ($BB$23:$BB$61*BY621), N($AQ$23:$AQ$61&gt;$AO621)),
SUMPRODUCT(INDEX($AR$23:$AT$46,,$AI621), INDEX($AU$23:$BA$46,,$AH621), 1 / ($BC$23:$BC$46*BY621), N($AQ$23:$AQ$46&gt;$AO621))
) / 1000</f>
        <v>0</v>
      </c>
      <c r="CB621" s="230">
        <f t="shared" si="625"/>
        <v>0</v>
      </c>
      <c r="CC621" s="238"/>
      <c r="CD621" s="229" cm="1">
        <f t="array" ref="CD621">IF(ISBLANK(Y621), INDEX(Use, $AH621, 4) - AN621*INDEX(Use, $AH621, 6) - (Q621-X621), Y621)</f>
        <v>7</v>
      </c>
      <c r="CE621" s="229">
        <f t="shared" si="626"/>
        <v>32</v>
      </c>
      <c r="CF621" s="230">
        <f t="shared" si="627"/>
        <v>0</v>
      </c>
      <c r="CG621" s="229">
        <v>35</v>
      </c>
      <c r="CH621" s="230">
        <f t="shared" si="628"/>
        <v>48</v>
      </c>
      <c r="CI621" s="235">
        <f t="shared" si="629"/>
        <v>3.0748170731707316</v>
      </c>
      <c r="CJ621" s="235" cm="1">
        <f t="array" ref="CJ621">$BI621 * SUMPRODUCT(INDEX($AR$77:$AT$82,,$AI621),INDEX($AU$77:$BA$82,,$AH621), N($AQ$77:$AQ$82&gt;$AO621)) / CI621 / 1000</f>
        <v>0</v>
      </c>
      <c r="CK621" s="232">
        <f t="shared" si="646"/>
        <v>30</v>
      </c>
      <c r="CL621" s="230">
        <f t="shared" si="630"/>
        <v>43</v>
      </c>
      <c r="CM621" s="235">
        <f t="shared" si="631"/>
        <v>3.5018750000000001</v>
      </c>
      <c r="CN621" s="235" cm="1">
        <f t="array" ref="CN621">$BI621 * IF($AH621&lt;=2,
SUMPRODUCT(INDEX($AR$72:$AT$76,,$AI621), INDEX($AU$72:$BA$76,,$AH621), 1 / ($BB$72:$BB$76*CM621 + (1-$BB$72:$BB$76)*CI621), N($AQ$72:$AQ$76&gt;$AO621)),
SUMPRODUCT(INDEX($AR$67:$AT$76,,$AI621), INDEX($AU$67:$BA$76,,$AH621), 1 / ($BC$67:$BC$76*CM621 + (1-$BC$67:$BC$76)*CI621), N($AQ$67:$AQ$76&gt;$AO621))
) / 1000</f>
        <v>0</v>
      </c>
      <c r="CO621" s="232">
        <f t="shared" si="647"/>
        <v>25</v>
      </c>
      <c r="CP621" s="230">
        <f t="shared" si="632"/>
        <v>38</v>
      </c>
      <c r="CQ621" s="235">
        <f t="shared" si="633"/>
        <v>4.0666935483870965</v>
      </c>
      <c r="CR621" s="235" cm="1">
        <f t="array" ref="CR621">$BI621 * IF($AH621&lt;=2,
SUMPRODUCT(INDEX($AR$67:$AT$71,,$AI621), INDEX($AU$67:$BA$71,,$AH621), 1 / ($BB$67:$BB$71*CQ621 + (1-$BB$67:$BB$71)*CM621), N($AQ$67:$AQ$71&gt;$AO621)),
SUMPRODUCT(INDEX($AR$57:$AT$66,,$AI621), INDEX($AU$57:$BA$66,,$AH621), 1 / ($BC$57:$BC$66*CQ621 + (1-$BC$57:$BC$66)*CM621), N($AQ$57:$AQ$66&gt;$AO621))
) / 1000</f>
        <v>0</v>
      </c>
      <c r="CS621" s="232">
        <f t="shared" si="648"/>
        <v>20</v>
      </c>
      <c r="CT621" s="230">
        <f t="shared" si="634"/>
        <v>33</v>
      </c>
      <c r="CU621" s="235">
        <f t="shared" si="635"/>
        <v>4.8487499999999999</v>
      </c>
      <c r="CV621" s="235" cm="1">
        <f t="array" ref="CV621">$BI621 * IF($AH621&lt;=2,
SUMPRODUCT(INDEX($AR$62:$AT$66,,$AI621), INDEX($AU$62:$BA$66,,$AH621), 1 / ($BB$62:$BB$66*CU621 + (1-$BB$62:$BB$66)*CQ621), N($AQ$62:$AQ$66&gt;$AO621)),
SUMPRODUCT(INDEX($AR$47:$AT$56,,$AI621), INDEX($AU$47:$BA$56,,$AH621), 1 / ($BC$47:$BC$56*CU621 + (1-$BC$47:$BC$56)*CQ621), N($AQ$47:$AQ$56&gt;$AO621))
) / 1000</f>
        <v>0</v>
      </c>
      <c r="CW621" s="235" cm="1">
        <f t="array" ref="CW621">$BI621 * IF($AH621&lt;=2,
SUMPRODUCT(INDEX($AR$23:$AT$61,,$AI621), INDEX($AU$23:$BA$61,,$AH621), 1 / ($BB$23:$BB$61*CU621), N($AQ$23:$AQ$61&gt;$AO621)),
SUMPRODUCT(INDEX($AR$23:$AT$46,,$AI621), INDEX($AU$23:$BA$46,,$AH621), 1 / ($BC$23:$BC$46*CU621), N($AQ$23:$AQ$46&gt;$AO621))
) / 1000</f>
        <v>0</v>
      </c>
      <c r="CX621" s="230">
        <f t="shared" si="636"/>
        <v>0</v>
      </c>
      <c r="CY621" s="238"/>
    </row>
    <row r="622" spans="1:103" s="76" customFormat="1" ht="14.25" customHeight="1" x14ac:dyDescent="0.2">
      <c r="A622" s="231" t="b">
        <f t="shared" si="640"/>
        <v>0</v>
      </c>
      <c r="B622" s="245">
        <v>600</v>
      </c>
      <c r="C622" s="258"/>
      <c r="D622" s="258"/>
      <c r="E622" s="246"/>
      <c r="F622" s="247" t="str">
        <f>IF(ISBLANK(E622), "", VLOOKUP(E622, Z!$A$2:$C$4127, 3, FALSE))</f>
        <v/>
      </c>
      <c r="G622" s="248"/>
      <c r="H622" s="248"/>
      <c r="I622" s="249"/>
      <c r="J622" s="250"/>
      <c r="K622" s="259"/>
      <c r="L622" s="260"/>
      <c r="M622" s="252" t="str" cm="1">
        <f t="array" ref="M622">INDEX(Trad, 53, $A$20)</f>
        <v>Verschmutzt</v>
      </c>
      <c r="N622" s="253"/>
      <c r="O622" s="253"/>
      <c r="P622" s="254"/>
      <c r="Q622" s="251"/>
      <c r="R622" s="251"/>
      <c r="S622" s="264">
        <f t="shared" si="611"/>
        <v>0</v>
      </c>
      <c r="T622" s="252" t="str" cm="1">
        <f t="array" ref="T622">INDEX(Trad, 52, $A$20)</f>
        <v>Sauber</v>
      </c>
      <c r="U622" s="253"/>
      <c r="V622" s="253"/>
      <c r="W622" s="254"/>
      <c r="X622" s="251"/>
      <c r="Y622" s="251"/>
      <c r="Z622" s="264">
        <f t="shared" si="612"/>
        <v>0</v>
      </c>
      <c r="AA622" s="261"/>
      <c r="AB622" s="258"/>
      <c r="AC622" s="246"/>
      <c r="AD622" s="247" t="str">
        <f>IF(ISBLANK(AC622), "", VLOOKUP(AC622, Z!$A$2:$C$4127, 3, FALSE))</f>
        <v/>
      </c>
      <c r="AE622" s="262"/>
      <c r="AF622" s="263">
        <f t="shared" si="613"/>
        <v>0</v>
      </c>
      <c r="AG622" s="238"/>
      <c r="AH622" s="229">
        <f t="shared" si="637"/>
        <v>1</v>
      </c>
      <c r="AI622" s="229">
        <f t="shared" si="638"/>
        <v>1</v>
      </c>
      <c r="AJ622" s="229">
        <f t="shared" si="639"/>
        <v>0</v>
      </c>
      <c r="AK622" s="229">
        <v>0</v>
      </c>
      <c r="AL622" s="229">
        <v>0</v>
      </c>
      <c r="AM622" s="229">
        <v>1</v>
      </c>
      <c r="AN622" s="229">
        <v>0</v>
      </c>
      <c r="AO622" s="229">
        <f t="shared" si="614"/>
        <v>-100</v>
      </c>
      <c r="AP622" s="238"/>
      <c r="AQ622" s="255"/>
      <c r="AR622" s="255"/>
      <c r="AS622" s="256"/>
      <c r="AT622" s="256"/>
      <c r="AU622" s="256"/>
      <c r="AV622" s="256"/>
      <c r="AW622" s="256"/>
      <c r="AX622" s="256"/>
      <c r="AY622" s="256"/>
      <c r="AZ622" s="256"/>
      <c r="BA622" s="256"/>
      <c r="BB622" s="256"/>
      <c r="BC622" s="256"/>
      <c r="BD622" s="238"/>
      <c r="BE622" s="229" cm="1">
        <f t="array" ref="BE622">IF(ISBLANK(R622), INDEX(Use, $AH622, 4) - AM622*INDEX(Use, $AH622, 6), R622)</f>
        <v>5</v>
      </c>
      <c r="BF622" s="229">
        <f t="shared" si="615"/>
        <v>30</v>
      </c>
      <c r="BG622" s="229">
        <f t="shared" si="641"/>
        <v>13</v>
      </c>
      <c r="BH622" s="229">
        <f t="shared" si="642"/>
        <v>0</v>
      </c>
      <c r="BI622" s="234" cm="1">
        <f t="array" ref="BI622">K622/IF($L622&gt;0, INDEX($AU$23:$BA$77, $L622+20, $AH622), 1)</f>
        <v>0</v>
      </c>
      <c r="BJ622" s="230">
        <f t="shared" si="616"/>
        <v>0</v>
      </c>
      <c r="BK622" s="229">
        <v>35</v>
      </c>
      <c r="BL622" s="230">
        <f t="shared" si="617"/>
        <v>48</v>
      </c>
      <c r="BM622" s="235">
        <f t="shared" si="618"/>
        <v>2.9108720930232557</v>
      </c>
      <c r="BN622" s="235" cm="1">
        <f t="array" ref="BN622">$BI622 * SUMPRODUCT(INDEX($AR$77:$AT$82,,$AI622),INDEX($AU$77:$BA$82,,$AH622), N($AQ$77:$AQ$82&gt;$AO622)) / BM622 / 1000</f>
        <v>0</v>
      </c>
      <c r="BO622" s="232">
        <f t="shared" si="643"/>
        <v>30</v>
      </c>
      <c r="BP622" s="230">
        <f t="shared" si="619"/>
        <v>43</v>
      </c>
      <c r="BQ622" s="235">
        <f t="shared" si="620"/>
        <v>3.2938815789473681</v>
      </c>
      <c r="BR622" s="235" cm="1">
        <f t="array" ref="BR622">$BI622 * IF($AH622&lt;=2,
SUMPRODUCT(INDEX($AR$72:$AT$76,,$AI622), INDEX($AU$72:$BA$76,,$AH622), 1 / ($BB$72:$BB$76*BQ622 + (1-$BB$72:$BB$76)*BM622), N($AQ$72:$AQ$76&gt;$AO622)),
SUMPRODUCT(INDEX($AR$67:$AT$76,,$AI622), INDEX($AU$67:$BA$76,,$AH622), 1 / ($BC$67:$BC$76*BQ622 + (1-$BC$67:$BC$76)*BM622), N($AQ$67:$AQ$76&gt;$AO622))
) / 1000</f>
        <v>0</v>
      </c>
      <c r="BS622" s="232">
        <f t="shared" si="644"/>
        <v>25</v>
      </c>
      <c r="BT622" s="230">
        <f t="shared" si="621"/>
        <v>38</v>
      </c>
      <c r="BU622" s="235">
        <f t="shared" si="622"/>
        <v>3.792954545454545</v>
      </c>
      <c r="BV622" s="235" cm="1">
        <f t="array" ref="BV622">$BI622 * IF($AH622&lt;=2,
SUMPRODUCT(INDEX($AR$67:$AT$71,,$AI622), INDEX($AU$67:$BA$71,,$AH622), 1 / ($BB$67:$BB$71*BU622 + (1-$BB$67:$BB$71)*BQ622), N($AQ$67:$AQ$71&gt;$AO622)),
SUMPRODUCT(INDEX($AR$57:$AT$66,,$AI622), INDEX($AU$57:$BA$66,,$AH622), 1 / ($BC$57:$BC$66*BU622 + (1-$BC$57:$BC$66)*BQ622), N($AQ$57:$AQ$66&gt;$AO622))
) / 1000</f>
        <v>0</v>
      </c>
      <c r="BW622" s="232">
        <f t="shared" si="645"/>
        <v>20</v>
      </c>
      <c r="BX622" s="230">
        <f t="shared" si="623"/>
        <v>33</v>
      </c>
      <c r="BY622" s="235">
        <f t="shared" si="624"/>
        <v>4.4702678571428569</v>
      </c>
      <c r="BZ622" s="235" cm="1">
        <f t="array" ref="BZ622">$BI622 * IF($AH622&lt;=2,
SUMPRODUCT(INDEX($AR$62:$AT$66,,$AI622), INDEX($AU$62:$BA$66,,$AH622), 1 / ($BB$62:$BB$66*BY622 + (1-$BB$62:$BB$66)*BU622), N($AQ$62:$AQ$66&gt;$AO622)),
SUMPRODUCT(INDEX($AR$47:$AT$56,,$AI622), INDEX($AU$47:$BA$56,,$AH622), 1 / ($BC$47:$BC$56*BY622 + (1-$BC$47:$BC$56)*BU622), N($AQ$47:$AQ$56&gt;$AO622))
) / 1000</f>
        <v>0</v>
      </c>
      <c r="CA622" s="235" cm="1">
        <f t="array" ref="CA622">$BI622 * IF($AH622&lt;=2,
SUMPRODUCT(INDEX($AR$23:$AT$61,,$AI622), INDEX($AU$23:$BA$61,,$AH622), 1 / ($BB$23:$BB$61*BY622), N($AQ$23:$AQ$61&gt;$AO622)),
SUMPRODUCT(INDEX($AR$23:$AT$46,,$AI622), INDEX($AU$23:$BA$46,,$AH622), 1 / ($BC$23:$BC$46*BY622), N($AQ$23:$AQ$46&gt;$AO622))
) / 1000</f>
        <v>0</v>
      </c>
      <c r="CB622" s="230">
        <f t="shared" si="625"/>
        <v>0</v>
      </c>
      <c r="CC622" s="238"/>
      <c r="CD622" s="229" cm="1">
        <f t="array" ref="CD622">IF(ISBLANK(Y622), INDEX(Use, $AH622, 4) - AN622*INDEX(Use, $AH622, 6) - (Q622-X622), Y622)</f>
        <v>7</v>
      </c>
      <c r="CE622" s="229">
        <f t="shared" si="626"/>
        <v>32</v>
      </c>
      <c r="CF622" s="230">
        <f t="shared" si="627"/>
        <v>0</v>
      </c>
      <c r="CG622" s="229">
        <v>35</v>
      </c>
      <c r="CH622" s="230">
        <f t="shared" si="628"/>
        <v>48</v>
      </c>
      <c r="CI622" s="235">
        <f t="shared" si="629"/>
        <v>3.0748170731707316</v>
      </c>
      <c r="CJ622" s="235" cm="1">
        <f t="array" ref="CJ622">$BI622 * SUMPRODUCT(INDEX($AR$77:$AT$82,,$AI622),INDEX($AU$77:$BA$82,,$AH622), N($AQ$77:$AQ$82&gt;$AO622)) / CI622 / 1000</f>
        <v>0</v>
      </c>
      <c r="CK622" s="232">
        <f t="shared" si="646"/>
        <v>30</v>
      </c>
      <c r="CL622" s="230">
        <f t="shared" si="630"/>
        <v>43</v>
      </c>
      <c r="CM622" s="235">
        <f t="shared" si="631"/>
        <v>3.5018750000000001</v>
      </c>
      <c r="CN622" s="235" cm="1">
        <f t="array" ref="CN622">$BI622 * IF($AH622&lt;=2,
SUMPRODUCT(INDEX($AR$72:$AT$76,,$AI622), INDEX($AU$72:$BA$76,,$AH622), 1 / ($BB$72:$BB$76*CM622 + (1-$BB$72:$BB$76)*CI622), N($AQ$72:$AQ$76&gt;$AO622)),
SUMPRODUCT(INDEX($AR$67:$AT$76,,$AI622), INDEX($AU$67:$BA$76,,$AH622), 1 / ($BC$67:$BC$76*CM622 + (1-$BC$67:$BC$76)*CI622), N($AQ$67:$AQ$76&gt;$AO622))
) / 1000</f>
        <v>0</v>
      </c>
      <c r="CO622" s="232">
        <f t="shared" si="647"/>
        <v>25</v>
      </c>
      <c r="CP622" s="230">
        <f t="shared" si="632"/>
        <v>38</v>
      </c>
      <c r="CQ622" s="235">
        <f t="shared" si="633"/>
        <v>4.0666935483870965</v>
      </c>
      <c r="CR622" s="235" cm="1">
        <f t="array" ref="CR622">$BI622 * IF($AH622&lt;=2,
SUMPRODUCT(INDEX($AR$67:$AT$71,,$AI622), INDEX($AU$67:$BA$71,,$AH622), 1 / ($BB$67:$BB$71*CQ622 + (1-$BB$67:$BB$71)*CM622), N($AQ$67:$AQ$71&gt;$AO622)),
SUMPRODUCT(INDEX($AR$57:$AT$66,,$AI622), INDEX($AU$57:$BA$66,,$AH622), 1 / ($BC$57:$BC$66*CQ622 + (1-$BC$57:$BC$66)*CM622), N($AQ$57:$AQ$66&gt;$AO622))
) / 1000</f>
        <v>0</v>
      </c>
      <c r="CS622" s="232">
        <f t="shared" si="648"/>
        <v>20</v>
      </c>
      <c r="CT622" s="230">
        <f t="shared" si="634"/>
        <v>33</v>
      </c>
      <c r="CU622" s="235">
        <f t="shared" si="635"/>
        <v>4.8487499999999999</v>
      </c>
      <c r="CV622" s="235" cm="1">
        <f t="array" ref="CV622">$BI622 * IF($AH622&lt;=2,
SUMPRODUCT(INDEX($AR$62:$AT$66,,$AI622), INDEX($AU$62:$BA$66,,$AH622), 1 / ($BB$62:$BB$66*CU622 + (1-$BB$62:$BB$66)*CQ622), N($AQ$62:$AQ$66&gt;$AO622)),
SUMPRODUCT(INDEX($AR$47:$AT$56,,$AI622), INDEX($AU$47:$BA$56,,$AH622), 1 / ($BC$47:$BC$56*CU622 + (1-$BC$47:$BC$56)*CQ622), N($AQ$47:$AQ$56&gt;$AO622))
) / 1000</f>
        <v>0</v>
      </c>
      <c r="CW622" s="235" cm="1">
        <f t="array" ref="CW622">$BI622 * IF($AH622&lt;=2,
SUMPRODUCT(INDEX($AR$23:$AT$61,,$AI622), INDEX($AU$23:$BA$61,,$AH622), 1 / ($BB$23:$BB$61*CU622), N($AQ$23:$AQ$61&gt;$AO622)),
SUMPRODUCT(INDEX($AR$23:$AT$46,,$AI622), INDEX($AU$23:$BA$46,,$AH622), 1 / ($BC$23:$BC$46*CU622), N($AQ$23:$AQ$46&gt;$AO622))
) / 1000</f>
        <v>0</v>
      </c>
      <c r="CX622" s="230">
        <f t="shared" si="636"/>
        <v>0</v>
      </c>
      <c r="CY622" s="238"/>
    </row>
    <row r="623" spans="1:103" s="76" customFormat="1" ht="14.25" customHeight="1" x14ac:dyDescent="0.2">
      <c r="A623" s="231" t="b">
        <f t="shared" si="640"/>
        <v>0</v>
      </c>
      <c r="B623" s="245">
        <v>601</v>
      </c>
      <c r="C623" s="258"/>
      <c r="D623" s="258"/>
      <c r="E623" s="246"/>
      <c r="F623" s="247" t="str">
        <f>IF(ISBLANK(E623), "", VLOOKUP(E623, Z!$A$2:$C$4127, 3, FALSE))</f>
        <v/>
      </c>
      <c r="G623" s="248"/>
      <c r="H623" s="248"/>
      <c r="I623" s="249"/>
      <c r="J623" s="250"/>
      <c r="K623" s="259"/>
      <c r="L623" s="260"/>
      <c r="M623" s="252" t="str" cm="1">
        <f t="array" ref="M623">INDEX(Trad, 53, $A$20)</f>
        <v>Verschmutzt</v>
      </c>
      <c r="N623" s="253"/>
      <c r="O623" s="253"/>
      <c r="P623" s="254"/>
      <c r="Q623" s="251"/>
      <c r="R623" s="251"/>
      <c r="S623" s="264">
        <f t="shared" si="611"/>
        <v>0</v>
      </c>
      <c r="T623" s="252" t="str" cm="1">
        <f t="array" ref="T623">INDEX(Trad, 52, $A$20)</f>
        <v>Sauber</v>
      </c>
      <c r="U623" s="253"/>
      <c r="V623" s="253"/>
      <c r="W623" s="254"/>
      <c r="X623" s="251"/>
      <c r="Y623" s="251"/>
      <c r="Z623" s="264">
        <f t="shared" si="612"/>
        <v>0</v>
      </c>
      <c r="AA623" s="261"/>
      <c r="AB623" s="258"/>
      <c r="AC623" s="246"/>
      <c r="AD623" s="247" t="str">
        <f>IF(ISBLANK(AC623), "", VLOOKUP(AC623, Z!$A$2:$C$4127, 3, FALSE))</f>
        <v/>
      </c>
      <c r="AE623" s="262"/>
      <c r="AF623" s="263">
        <f t="shared" si="613"/>
        <v>0</v>
      </c>
      <c r="AG623" s="238"/>
      <c r="AH623" s="229">
        <f t="shared" si="637"/>
        <v>1</v>
      </c>
      <c r="AI623" s="229">
        <f t="shared" si="638"/>
        <v>1</v>
      </c>
      <c r="AJ623" s="229">
        <f t="shared" si="639"/>
        <v>0</v>
      </c>
      <c r="AK623" s="229">
        <v>0</v>
      </c>
      <c r="AL623" s="229">
        <v>0</v>
      </c>
      <c r="AM623" s="229">
        <v>1</v>
      </c>
      <c r="AN623" s="229">
        <v>0</v>
      </c>
      <c r="AO623" s="229">
        <f t="shared" si="614"/>
        <v>-100</v>
      </c>
      <c r="AP623" s="238"/>
      <c r="AQ623" s="255"/>
      <c r="AR623" s="255"/>
      <c r="AS623" s="256"/>
      <c r="AT623" s="256"/>
      <c r="AU623" s="256"/>
      <c r="AV623" s="256"/>
      <c r="AW623" s="256"/>
      <c r="AX623" s="256"/>
      <c r="AY623" s="256"/>
      <c r="AZ623" s="256"/>
      <c r="BA623" s="256"/>
      <c r="BB623" s="256"/>
      <c r="BC623" s="256"/>
      <c r="BD623" s="238"/>
      <c r="BE623" s="229" cm="1">
        <f t="array" ref="BE623">IF(ISBLANK(R623), INDEX(Use, $AH623, 4) - AM623*INDEX(Use, $AH623, 6), R623)</f>
        <v>5</v>
      </c>
      <c r="BF623" s="229">
        <f t="shared" si="615"/>
        <v>30</v>
      </c>
      <c r="BG623" s="229">
        <f t="shared" si="641"/>
        <v>13</v>
      </c>
      <c r="BH623" s="229">
        <f t="shared" si="642"/>
        <v>0</v>
      </c>
      <c r="BI623" s="234" cm="1">
        <f t="array" ref="BI623">K623/IF($L623&gt;0, INDEX($AU$23:$BA$77, $L623+20, $AH623), 1)</f>
        <v>0</v>
      </c>
      <c r="BJ623" s="230">
        <f t="shared" si="616"/>
        <v>0</v>
      </c>
      <c r="BK623" s="229">
        <v>35</v>
      </c>
      <c r="BL623" s="230">
        <f t="shared" si="617"/>
        <v>48</v>
      </c>
      <c r="BM623" s="235">
        <f t="shared" si="618"/>
        <v>2.9108720930232557</v>
      </c>
      <c r="BN623" s="235" cm="1">
        <f t="array" ref="BN623">$BI623 * SUMPRODUCT(INDEX($AR$77:$AT$82,,$AI623),INDEX($AU$77:$BA$82,,$AH623), N($AQ$77:$AQ$82&gt;$AO623)) / BM623 / 1000</f>
        <v>0</v>
      </c>
      <c r="BO623" s="232">
        <f t="shared" si="643"/>
        <v>30</v>
      </c>
      <c r="BP623" s="230">
        <f t="shared" si="619"/>
        <v>43</v>
      </c>
      <c r="BQ623" s="235">
        <f t="shared" si="620"/>
        <v>3.2938815789473681</v>
      </c>
      <c r="BR623" s="235" cm="1">
        <f t="array" ref="BR623">$BI623 * IF($AH623&lt;=2,
SUMPRODUCT(INDEX($AR$72:$AT$76,,$AI623), INDEX($AU$72:$BA$76,,$AH623), 1 / ($BB$72:$BB$76*BQ623 + (1-$BB$72:$BB$76)*BM623), N($AQ$72:$AQ$76&gt;$AO623)),
SUMPRODUCT(INDEX($AR$67:$AT$76,,$AI623), INDEX($AU$67:$BA$76,,$AH623), 1 / ($BC$67:$BC$76*BQ623 + (1-$BC$67:$BC$76)*BM623), N($AQ$67:$AQ$76&gt;$AO623))
) / 1000</f>
        <v>0</v>
      </c>
      <c r="BS623" s="232">
        <f t="shared" si="644"/>
        <v>25</v>
      </c>
      <c r="BT623" s="230">
        <f t="shared" si="621"/>
        <v>38</v>
      </c>
      <c r="BU623" s="235">
        <f t="shared" si="622"/>
        <v>3.792954545454545</v>
      </c>
      <c r="BV623" s="235" cm="1">
        <f t="array" ref="BV623">$BI623 * IF($AH623&lt;=2,
SUMPRODUCT(INDEX($AR$67:$AT$71,,$AI623), INDEX($AU$67:$BA$71,,$AH623), 1 / ($BB$67:$BB$71*BU623 + (1-$BB$67:$BB$71)*BQ623), N($AQ$67:$AQ$71&gt;$AO623)),
SUMPRODUCT(INDEX($AR$57:$AT$66,,$AI623), INDEX($AU$57:$BA$66,,$AH623), 1 / ($BC$57:$BC$66*BU623 + (1-$BC$57:$BC$66)*BQ623), N($AQ$57:$AQ$66&gt;$AO623))
) / 1000</f>
        <v>0</v>
      </c>
      <c r="BW623" s="232">
        <f t="shared" si="645"/>
        <v>20</v>
      </c>
      <c r="BX623" s="230">
        <f t="shared" si="623"/>
        <v>33</v>
      </c>
      <c r="BY623" s="235">
        <f t="shared" si="624"/>
        <v>4.4702678571428569</v>
      </c>
      <c r="BZ623" s="235" cm="1">
        <f t="array" ref="BZ623">$BI623 * IF($AH623&lt;=2,
SUMPRODUCT(INDEX($AR$62:$AT$66,,$AI623), INDEX($AU$62:$BA$66,,$AH623), 1 / ($BB$62:$BB$66*BY623 + (1-$BB$62:$BB$66)*BU623), N($AQ$62:$AQ$66&gt;$AO623)),
SUMPRODUCT(INDEX($AR$47:$AT$56,,$AI623), INDEX($AU$47:$BA$56,,$AH623), 1 / ($BC$47:$BC$56*BY623 + (1-$BC$47:$BC$56)*BU623), N($AQ$47:$AQ$56&gt;$AO623))
) / 1000</f>
        <v>0</v>
      </c>
      <c r="CA623" s="235" cm="1">
        <f t="array" ref="CA623">$BI623 * IF($AH623&lt;=2,
SUMPRODUCT(INDEX($AR$23:$AT$61,,$AI623), INDEX($AU$23:$BA$61,,$AH623), 1 / ($BB$23:$BB$61*BY623), N($AQ$23:$AQ$61&gt;$AO623)),
SUMPRODUCT(INDEX($AR$23:$AT$46,,$AI623), INDEX($AU$23:$BA$46,,$AH623), 1 / ($BC$23:$BC$46*BY623), N($AQ$23:$AQ$46&gt;$AO623))
) / 1000</f>
        <v>0</v>
      </c>
      <c r="CB623" s="230">
        <f t="shared" si="625"/>
        <v>0</v>
      </c>
      <c r="CC623" s="238"/>
      <c r="CD623" s="229" cm="1">
        <f t="array" ref="CD623">IF(ISBLANK(Y623), INDEX(Use, $AH623, 4) - AN623*INDEX(Use, $AH623, 6) - (Q623-X623), Y623)</f>
        <v>7</v>
      </c>
      <c r="CE623" s="229">
        <f t="shared" si="626"/>
        <v>32</v>
      </c>
      <c r="CF623" s="230">
        <f t="shared" si="627"/>
        <v>0</v>
      </c>
      <c r="CG623" s="229">
        <v>35</v>
      </c>
      <c r="CH623" s="230">
        <f t="shared" si="628"/>
        <v>48</v>
      </c>
      <c r="CI623" s="235">
        <f t="shared" si="629"/>
        <v>3.0748170731707316</v>
      </c>
      <c r="CJ623" s="235" cm="1">
        <f t="array" ref="CJ623">$BI623 * SUMPRODUCT(INDEX($AR$77:$AT$82,,$AI623),INDEX($AU$77:$BA$82,,$AH623), N($AQ$77:$AQ$82&gt;$AO623)) / CI623 / 1000</f>
        <v>0</v>
      </c>
      <c r="CK623" s="232">
        <f t="shared" si="646"/>
        <v>30</v>
      </c>
      <c r="CL623" s="230">
        <f t="shared" si="630"/>
        <v>43</v>
      </c>
      <c r="CM623" s="235">
        <f t="shared" si="631"/>
        <v>3.5018750000000001</v>
      </c>
      <c r="CN623" s="235" cm="1">
        <f t="array" ref="CN623">$BI623 * IF($AH623&lt;=2,
SUMPRODUCT(INDEX($AR$72:$AT$76,,$AI623), INDEX($AU$72:$BA$76,,$AH623), 1 / ($BB$72:$BB$76*CM623 + (1-$BB$72:$BB$76)*CI623), N($AQ$72:$AQ$76&gt;$AO623)),
SUMPRODUCT(INDEX($AR$67:$AT$76,,$AI623), INDEX($AU$67:$BA$76,,$AH623), 1 / ($BC$67:$BC$76*CM623 + (1-$BC$67:$BC$76)*CI623), N($AQ$67:$AQ$76&gt;$AO623))
) / 1000</f>
        <v>0</v>
      </c>
      <c r="CO623" s="232">
        <f t="shared" si="647"/>
        <v>25</v>
      </c>
      <c r="CP623" s="230">
        <f t="shared" si="632"/>
        <v>38</v>
      </c>
      <c r="CQ623" s="235">
        <f t="shared" si="633"/>
        <v>4.0666935483870965</v>
      </c>
      <c r="CR623" s="235" cm="1">
        <f t="array" ref="CR623">$BI623 * IF($AH623&lt;=2,
SUMPRODUCT(INDEX($AR$67:$AT$71,,$AI623), INDEX($AU$67:$BA$71,,$AH623), 1 / ($BB$67:$BB$71*CQ623 + (1-$BB$67:$BB$71)*CM623), N($AQ$67:$AQ$71&gt;$AO623)),
SUMPRODUCT(INDEX($AR$57:$AT$66,,$AI623), INDEX($AU$57:$BA$66,,$AH623), 1 / ($BC$57:$BC$66*CQ623 + (1-$BC$57:$BC$66)*CM623), N($AQ$57:$AQ$66&gt;$AO623))
) / 1000</f>
        <v>0</v>
      </c>
      <c r="CS623" s="232">
        <f t="shared" si="648"/>
        <v>20</v>
      </c>
      <c r="CT623" s="230">
        <f t="shared" si="634"/>
        <v>33</v>
      </c>
      <c r="CU623" s="235">
        <f t="shared" si="635"/>
        <v>4.8487499999999999</v>
      </c>
      <c r="CV623" s="235" cm="1">
        <f t="array" ref="CV623">$BI623 * IF($AH623&lt;=2,
SUMPRODUCT(INDEX($AR$62:$AT$66,,$AI623), INDEX($AU$62:$BA$66,,$AH623), 1 / ($BB$62:$BB$66*CU623 + (1-$BB$62:$BB$66)*CQ623), N($AQ$62:$AQ$66&gt;$AO623)),
SUMPRODUCT(INDEX($AR$47:$AT$56,,$AI623), INDEX($AU$47:$BA$56,,$AH623), 1 / ($BC$47:$BC$56*CU623 + (1-$BC$47:$BC$56)*CQ623), N($AQ$47:$AQ$56&gt;$AO623))
) / 1000</f>
        <v>0</v>
      </c>
      <c r="CW623" s="235" cm="1">
        <f t="array" ref="CW623">$BI623 * IF($AH623&lt;=2,
SUMPRODUCT(INDEX($AR$23:$AT$61,,$AI623), INDEX($AU$23:$BA$61,,$AH623), 1 / ($BB$23:$BB$61*CU623), N($AQ$23:$AQ$61&gt;$AO623)),
SUMPRODUCT(INDEX($AR$23:$AT$46,,$AI623), INDEX($AU$23:$BA$46,,$AH623), 1 / ($BC$23:$BC$46*CU623), N($AQ$23:$AQ$46&gt;$AO623))
) / 1000</f>
        <v>0</v>
      </c>
      <c r="CX623" s="230">
        <f t="shared" si="636"/>
        <v>0</v>
      </c>
      <c r="CY623" s="238"/>
    </row>
    <row r="624" spans="1:103" s="76" customFormat="1" ht="14.25" customHeight="1" x14ac:dyDescent="0.2">
      <c r="A624" s="231" t="b">
        <f t="shared" si="640"/>
        <v>0</v>
      </c>
      <c r="B624" s="245">
        <v>602</v>
      </c>
      <c r="C624" s="258"/>
      <c r="D624" s="258"/>
      <c r="E624" s="246"/>
      <c r="F624" s="247" t="str">
        <f>IF(ISBLANK(E624), "", VLOOKUP(E624, Z!$A$2:$C$4127, 3, FALSE))</f>
        <v/>
      </c>
      <c r="G624" s="248"/>
      <c r="H624" s="248"/>
      <c r="I624" s="249"/>
      <c r="J624" s="250"/>
      <c r="K624" s="259"/>
      <c r="L624" s="260"/>
      <c r="M624" s="252" t="str" cm="1">
        <f t="array" ref="M624">INDEX(Trad, 53, $A$20)</f>
        <v>Verschmutzt</v>
      </c>
      <c r="N624" s="253"/>
      <c r="O624" s="253"/>
      <c r="P624" s="254"/>
      <c r="Q624" s="251"/>
      <c r="R624" s="251"/>
      <c r="S624" s="264">
        <f t="shared" si="611"/>
        <v>0</v>
      </c>
      <c r="T624" s="252" t="str" cm="1">
        <f t="array" ref="T624">INDEX(Trad, 52, $A$20)</f>
        <v>Sauber</v>
      </c>
      <c r="U624" s="253"/>
      <c r="V624" s="253"/>
      <c r="W624" s="254"/>
      <c r="X624" s="251"/>
      <c r="Y624" s="251"/>
      <c r="Z624" s="264">
        <f t="shared" si="612"/>
        <v>0</v>
      </c>
      <c r="AA624" s="261"/>
      <c r="AB624" s="258"/>
      <c r="AC624" s="246"/>
      <c r="AD624" s="247" t="str">
        <f>IF(ISBLANK(AC624), "", VLOOKUP(AC624, Z!$A$2:$C$4127, 3, FALSE))</f>
        <v/>
      </c>
      <c r="AE624" s="262"/>
      <c r="AF624" s="263">
        <f t="shared" si="613"/>
        <v>0</v>
      </c>
      <c r="AG624" s="238"/>
      <c r="AH624" s="229">
        <f t="shared" si="637"/>
        <v>1</v>
      </c>
      <c r="AI624" s="229">
        <f t="shared" si="638"/>
        <v>1</v>
      </c>
      <c r="AJ624" s="229">
        <f t="shared" si="639"/>
        <v>0</v>
      </c>
      <c r="AK624" s="229">
        <v>0</v>
      </c>
      <c r="AL624" s="229">
        <v>0</v>
      </c>
      <c r="AM624" s="229">
        <v>1</v>
      </c>
      <c r="AN624" s="229">
        <v>0</v>
      </c>
      <c r="AO624" s="229">
        <f t="shared" si="614"/>
        <v>-100</v>
      </c>
      <c r="AP624" s="238"/>
      <c r="AQ624" s="255"/>
      <c r="AR624" s="255"/>
      <c r="AS624" s="256"/>
      <c r="AT624" s="256"/>
      <c r="AU624" s="256"/>
      <c r="AV624" s="256"/>
      <c r="AW624" s="256"/>
      <c r="AX624" s="256"/>
      <c r="AY624" s="256"/>
      <c r="AZ624" s="256"/>
      <c r="BA624" s="256"/>
      <c r="BB624" s="256"/>
      <c r="BC624" s="256"/>
      <c r="BD624" s="238"/>
      <c r="BE624" s="229" cm="1">
        <f t="array" ref="BE624">IF(ISBLANK(R624), INDEX(Use, $AH624, 4) - AM624*INDEX(Use, $AH624, 6), R624)</f>
        <v>5</v>
      </c>
      <c r="BF624" s="229">
        <f t="shared" si="615"/>
        <v>30</v>
      </c>
      <c r="BG624" s="229">
        <f t="shared" si="641"/>
        <v>13</v>
      </c>
      <c r="BH624" s="229">
        <f t="shared" si="642"/>
        <v>0</v>
      </c>
      <c r="BI624" s="234" cm="1">
        <f t="array" ref="BI624">K624/IF($L624&gt;0, INDEX($AU$23:$BA$77, $L624+20, $AH624), 1)</f>
        <v>0</v>
      </c>
      <c r="BJ624" s="230">
        <f t="shared" si="616"/>
        <v>0</v>
      </c>
      <c r="BK624" s="229">
        <v>35</v>
      </c>
      <c r="BL624" s="230">
        <f t="shared" si="617"/>
        <v>48</v>
      </c>
      <c r="BM624" s="235">
        <f t="shared" si="618"/>
        <v>2.9108720930232557</v>
      </c>
      <c r="BN624" s="235" cm="1">
        <f t="array" ref="BN624">$BI624 * SUMPRODUCT(INDEX($AR$77:$AT$82,,$AI624),INDEX($AU$77:$BA$82,,$AH624), N($AQ$77:$AQ$82&gt;$AO624)) / BM624 / 1000</f>
        <v>0</v>
      </c>
      <c r="BO624" s="232">
        <f t="shared" si="643"/>
        <v>30</v>
      </c>
      <c r="BP624" s="230">
        <f t="shared" si="619"/>
        <v>43</v>
      </c>
      <c r="BQ624" s="235">
        <f t="shared" si="620"/>
        <v>3.2938815789473681</v>
      </c>
      <c r="BR624" s="235" cm="1">
        <f t="array" ref="BR624">$BI624 * IF($AH624&lt;=2,
SUMPRODUCT(INDEX($AR$72:$AT$76,,$AI624), INDEX($AU$72:$BA$76,,$AH624), 1 / ($BB$72:$BB$76*BQ624 + (1-$BB$72:$BB$76)*BM624), N($AQ$72:$AQ$76&gt;$AO624)),
SUMPRODUCT(INDEX($AR$67:$AT$76,,$AI624), INDEX($AU$67:$BA$76,,$AH624), 1 / ($BC$67:$BC$76*BQ624 + (1-$BC$67:$BC$76)*BM624), N($AQ$67:$AQ$76&gt;$AO624))
) / 1000</f>
        <v>0</v>
      </c>
      <c r="BS624" s="232">
        <f t="shared" si="644"/>
        <v>25</v>
      </c>
      <c r="BT624" s="230">
        <f t="shared" si="621"/>
        <v>38</v>
      </c>
      <c r="BU624" s="235">
        <f t="shared" si="622"/>
        <v>3.792954545454545</v>
      </c>
      <c r="BV624" s="235" cm="1">
        <f t="array" ref="BV624">$BI624 * IF($AH624&lt;=2,
SUMPRODUCT(INDEX($AR$67:$AT$71,,$AI624), INDEX($AU$67:$BA$71,,$AH624), 1 / ($BB$67:$BB$71*BU624 + (1-$BB$67:$BB$71)*BQ624), N($AQ$67:$AQ$71&gt;$AO624)),
SUMPRODUCT(INDEX($AR$57:$AT$66,,$AI624), INDEX($AU$57:$BA$66,,$AH624), 1 / ($BC$57:$BC$66*BU624 + (1-$BC$57:$BC$66)*BQ624), N($AQ$57:$AQ$66&gt;$AO624))
) / 1000</f>
        <v>0</v>
      </c>
      <c r="BW624" s="232">
        <f t="shared" si="645"/>
        <v>20</v>
      </c>
      <c r="BX624" s="230">
        <f t="shared" si="623"/>
        <v>33</v>
      </c>
      <c r="BY624" s="235">
        <f t="shared" si="624"/>
        <v>4.4702678571428569</v>
      </c>
      <c r="BZ624" s="235" cm="1">
        <f t="array" ref="BZ624">$BI624 * IF($AH624&lt;=2,
SUMPRODUCT(INDEX($AR$62:$AT$66,,$AI624), INDEX($AU$62:$BA$66,,$AH624), 1 / ($BB$62:$BB$66*BY624 + (1-$BB$62:$BB$66)*BU624), N($AQ$62:$AQ$66&gt;$AO624)),
SUMPRODUCT(INDEX($AR$47:$AT$56,,$AI624), INDEX($AU$47:$BA$56,,$AH624), 1 / ($BC$47:$BC$56*BY624 + (1-$BC$47:$BC$56)*BU624), N($AQ$47:$AQ$56&gt;$AO624))
) / 1000</f>
        <v>0</v>
      </c>
      <c r="CA624" s="235" cm="1">
        <f t="array" ref="CA624">$BI624 * IF($AH624&lt;=2,
SUMPRODUCT(INDEX($AR$23:$AT$61,,$AI624), INDEX($AU$23:$BA$61,,$AH624), 1 / ($BB$23:$BB$61*BY624), N($AQ$23:$AQ$61&gt;$AO624)),
SUMPRODUCT(INDEX($AR$23:$AT$46,,$AI624), INDEX($AU$23:$BA$46,,$AH624), 1 / ($BC$23:$BC$46*BY624), N($AQ$23:$AQ$46&gt;$AO624))
) / 1000</f>
        <v>0</v>
      </c>
      <c r="CB624" s="230">
        <f t="shared" si="625"/>
        <v>0</v>
      </c>
      <c r="CC624" s="238"/>
      <c r="CD624" s="229" cm="1">
        <f t="array" ref="CD624">IF(ISBLANK(Y624), INDEX(Use, $AH624, 4) - AN624*INDEX(Use, $AH624, 6) - (Q624-X624), Y624)</f>
        <v>7</v>
      </c>
      <c r="CE624" s="229">
        <f t="shared" si="626"/>
        <v>32</v>
      </c>
      <c r="CF624" s="230">
        <f t="shared" si="627"/>
        <v>0</v>
      </c>
      <c r="CG624" s="229">
        <v>35</v>
      </c>
      <c r="CH624" s="230">
        <f t="shared" si="628"/>
        <v>48</v>
      </c>
      <c r="CI624" s="235">
        <f t="shared" si="629"/>
        <v>3.0748170731707316</v>
      </c>
      <c r="CJ624" s="235" cm="1">
        <f t="array" ref="CJ624">$BI624 * SUMPRODUCT(INDEX($AR$77:$AT$82,,$AI624),INDEX($AU$77:$BA$82,,$AH624), N($AQ$77:$AQ$82&gt;$AO624)) / CI624 / 1000</f>
        <v>0</v>
      </c>
      <c r="CK624" s="232">
        <f t="shared" si="646"/>
        <v>30</v>
      </c>
      <c r="CL624" s="230">
        <f t="shared" si="630"/>
        <v>43</v>
      </c>
      <c r="CM624" s="235">
        <f t="shared" si="631"/>
        <v>3.5018750000000001</v>
      </c>
      <c r="CN624" s="235" cm="1">
        <f t="array" ref="CN624">$BI624 * IF($AH624&lt;=2,
SUMPRODUCT(INDEX($AR$72:$AT$76,,$AI624), INDEX($AU$72:$BA$76,,$AH624), 1 / ($BB$72:$BB$76*CM624 + (1-$BB$72:$BB$76)*CI624), N($AQ$72:$AQ$76&gt;$AO624)),
SUMPRODUCT(INDEX($AR$67:$AT$76,,$AI624), INDEX($AU$67:$BA$76,,$AH624), 1 / ($BC$67:$BC$76*CM624 + (1-$BC$67:$BC$76)*CI624), N($AQ$67:$AQ$76&gt;$AO624))
) / 1000</f>
        <v>0</v>
      </c>
      <c r="CO624" s="232">
        <f t="shared" si="647"/>
        <v>25</v>
      </c>
      <c r="CP624" s="230">
        <f t="shared" si="632"/>
        <v>38</v>
      </c>
      <c r="CQ624" s="235">
        <f t="shared" si="633"/>
        <v>4.0666935483870965</v>
      </c>
      <c r="CR624" s="235" cm="1">
        <f t="array" ref="CR624">$BI624 * IF($AH624&lt;=2,
SUMPRODUCT(INDEX($AR$67:$AT$71,,$AI624), INDEX($AU$67:$BA$71,,$AH624), 1 / ($BB$67:$BB$71*CQ624 + (1-$BB$67:$BB$71)*CM624), N($AQ$67:$AQ$71&gt;$AO624)),
SUMPRODUCT(INDEX($AR$57:$AT$66,,$AI624), INDEX($AU$57:$BA$66,,$AH624), 1 / ($BC$57:$BC$66*CQ624 + (1-$BC$57:$BC$66)*CM624), N($AQ$57:$AQ$66&gt;$AO624))
) / 1000</f>
        <v>0</v>
      </c>
      <c r="CS624" s="232">
        <f t="shared" si="648"/>
        <v>20</v>
      </c>
      <c r="CT624" s="230">
        <f t="shared" si="634"/>
        <v>33</v>
      </c>
      <c r="CU624" s="235">
        <f t="shared" si="635"/>
        <v>4.8487499999999999</v>
      </c>
      <c r="CV624" s="235" cm="1">
        <f t="array" ref="CV624">$BI624 * IF($AH624&lt;=2,
SUMPRODUCT(INDEX($AR$62:$AT$66,,$AI624), INDEX($AU$62:$BA$66,,$AH624), 1 / ($BB$62:$BB$66*CU624 + (1-$BB$62:$BB$66)*CQ624), N($AQ$62:$AQ$66&gt;$AO624)),
SUMPRODUCT(INDEX($AR$47:$AT$56,,$AI624), INDEX($AU$47:$BA$56,,$AH624), 1 / ($BC$47:$BC$56*CU624 + (1-$BC$47:$BC$56)*CQ624), N($AQ$47:$AQ$56&gt;$AO624))
) / 1000</f>
        <v>0</v>
      </c>
      <c r="CW624" s="235" cm="1">
        <f t="array" ref="CW624">$BI624 * IF($AH624&lt;=2,
SUMPRODUCT(INDEX($AR$23:$AT$61,,$AI624), INDEX($AU$23:$BA$61,,$AH624), 1 / ($BB$23:$BB$61*CU624), N($AQ$23:$AQ$61&gt;$AO624)),
SUMPRODUCT(INDEX($AR$23:$AT$46,,$AI624), INDEX($AU$23:$BA$46,,$AH624), 1 / ($BC$23:$BC$46*CU624), N($AQ$23:$AQ$46&gt;$AO624))
) / 1000</f>
        <v>0</v>
      </c>
      <c r="CX624" s="230">
        <f t="shared" si="636"/>
        <v>0</v>
      </c>
      <c r="CY624" s="238"/>
    </row>
    <row r="625" spans="1:103" s="76" customFormat="1" ht="14.25" customHeight="1" x14ac:dyDescent="0.2">
      <c r="A625" s="231" t="b">
        <f t="shared" si="640"/>
        <v>0</v>
      </c>
      <c r="B625" s="245">
        <v>603</v>
      </c>
      <c r="C625" s="258"/>
      <c r="D625" s="258"/>
      <c r="E625" s="246"/>
      <c r="F625" s="247" t="str">
        <f>IF(ISBLANK(E625), "", VLOOKUP(E625, Z!$A$2:$C$4127, 3, FALSE))</f>
        <v/>
      </c>
      <c r="G625" s="248"/>
      <c r="H625" s="248"/>
      <c r="I625" s="249"/>
      <c r="J625" s="250"/>
      <c r="K625" s="259"/>
      <c r="L625" s="260"/>
      <c r="M625" s="252" t="str" cm="1">
        <f t="array" ref="M625">INDEX(Trad, 53, $A$20)</f>
        <v>Verschmutzt</v>
      </c>
      <c r="N625" s="253"/>
      <c r="O625" s="253"/>
      <c r="P625" s="254"/>
      <c r="Q625" s="251"/>
      <c r="R625" s="251"/>
      <c r="S625" s="264">
        <f t="shared" si="611"/>
        <v>0</v>
      </c>
      <c r="T625" s="252" t="str" cm="1">
        <f t="array" ref="T625">INDEX(Trad, 52, $A$20)</f>
        <v>Sauber</v>
      </c>
      <c r="U625" s="253"/>
      <c r="V625" s="253"/>
      <c r="W625" s="254"/>
      <c r="X625" s="251"/>
      <c r="Y625" s="251"/>
      <c r="Z625" s="264">
        <f t="shared" si="612"/>
        <v>0</v>
      </c>
      <c r="AA625" s="261"/>
      <c r="AB625" s="258"/>
      <c r="AC625" s="246"/>
      <c r="AD625" s="247" t="str">
        <f>IF(ISBLANK(AC625), "", VLOOKUP(AC625, Z!$A$2:$C$4127, 3, FALSE))</f>
        <v/>
      </c>
      <c r="AE625" s="262"/>
      <c r="AF625" s="263">
        <f t="shared" si="613"/>
        <v>0</v>
      </c>
      <c r="AG625" s="238"/>
      <c r="AH625" s="229">
        <f t="shared" si="637"/>
        <v>1</v>
      </c>
      <c r="AI625" s="229">
        <f t="shared" si="638"/>
        <v>1</v>
      </c>
      <c r="AJ625" s="229">
        <f t="shared" si="639"/>
        <v>0</v>
      </c>
      <c r="AK625" s="229">
        <v>0</v>
      </c>
      <c r="AL625" s="229">
        <v>0</v>
      </c>
      <c r="AM625" s="229">
        <v>1</v>
      </c>
      <c r="AN625" s="229">
        <v>0</v>
      </c>
      <c r="AO625" s="229">
        <f t="shared" si="614"/>
        <v>-100</v>
      </c>
      <c r="AP625" s="238"/>
      <c r="AQ625" s="255"/>
      <c r="AR625" s="255"/>
      <c r="AS625" s="256"/>
      <c r="AT625" s="256"/>
      <c r="AU625" s="256"/>
      <c r="AV625" s="256"/>
      <c r="AW625" s="256"/>
      <c r="AX625" s="256"/>
      <c r="AY625" s="256"/>
      <c r="AZ625" s="256"/>
      <c r="BA625" s="256"/>
      <c r="BB625" s="256"/>
      <c r="BC625" s="256"/>
      <c r="BD625" s="238"/>
      <c r="BE625" s="229" cm="1">
        <f t="array" ref="BE625">IF(ISBLANK(R625), INDEX(Use, $AH625, 4) - AM625*INDEX(Use, $AH625, 6), R625)</f>
        <v>5</v>
      </c>
      <c r="BF625" s="229">
        <f t="shared" si="615"/>
        <v>30</v>
      </c>
      <c r="BG625" s="229">
        <f t="shared" si="641"/>
        <v>13</v>
      </c>
      <c r="BH625" s="229">
        <f t="shared" si="642"/>
        <v>0</v>
      </c>
      <c r="BI625" s="234" cm="1">
        <f t="array" ref="BI625">K625/IF($L625&gt;0, INDEX($AU$23:$BA$77, $L625+20, $AH625), 1)</f>
        <v>0</v>
      </c>
      <c r="BJ625" s="230">
        <f t="shared" si="616"/>
        <v>0</v>
      </c>
      <c r="BK625" s="229">
        <v>35</v>
      </c>
      <c r="BL625" s="230">
        <f t="shared" si="617"/>
        <v>48</v>
      </c>
      <c r="BM625" s="235">
        <f t="shared" si="618"/>
        <v>2.9108720930232557</v>
      </c>
      <c r="BN625" s="235" cm="1">
        <f t="array" ref="BN625">$BI625 * SUMPRODUCT(INDEX($AR$77:$AT$82,,$AI625),INDEX($AU$77:$BA$82,,$AH625), N($AQ$77:$AQ$82&gt;$AO625)) / BM625 / 1000</f>
        <v>0</v>
      </c>
      <c r="BO625" s="232">
        <f t="shared" si="643"/>
        <v>30</v>
      </c>
      <c r="BP625" s="230">
        <f t="shared" si="619"/>
        <v>43</v>
      </c>
      <c r="BQ625" s="235">
        <f t="shared" si="620"/>
        <v>3.2938815789473681</v>
      </c>
      <c r="BR625" s="235" cm="1">
        <f t="array" ref="BR625">$BI625 * IF($AH625&lt;=2,
SUMPRODUCT(INDEX($AR$72:$AT$76,,$AI625), INDEX($AU$72:$BA$76,,$AH625), 1 / ($BB$72:$BB$76*BQ625 + (1-$BB$72:$BB$76)*BM625), N($AQ$72:$AQ$76&gt;$AO625)),
SUMPRODUCT(INDEX($AR$67:$AT$76,,$AI625), INDEX($AU$67:$BA$76,,$AH625), 1 / ($BC$67:$BC$76*BQ625 + (1-$BC$67:$BC$76)*BM625), N($AQ$67:$AQ$76&gt;$AO625))
) / 1000</f>
        <v>0</v>
      </c>
      <c r="BS625" s="232">
        <f t="shared" si="644"/>
        <v>25</v>
      </c>
      <c r="BT625" s="230">
        <f t="shared" si="621"/>
        <v>38</v>
      </c>
      <c r="BU625" s="235">
        <f t="shared" si="622"/>
        <v>3.792954545454545</v>
      </c>
      <c r="BV625" s="235" cm="1">
        <f t="array" ref="BV625">$BI625 * IF($AH625&lt;=2,
SUMPRODUCT(INDEX($AR$67:$AT$71,,$AI625), INDEX($AU$67:$BA$71,,$AH625), 1 / ($BB$67:$BB$71*BU625 + (1-$BB$67:$BB$71)*BQ625), N($AQ$67:$AQ$71&gt;$AO625)),
SUMPRODUCT(INDEX($AR$57:$AT$66,,$AI625), INDEX($AU$57:$BA$66,,$AH625), 1 / ($BC$57:$BC$66*BU625 + (1-$BC$57:$BC$66)*BQ625), N($AQ$57:$AQ$66&gt;$AO625))
) / 1000</f>
        <v>0</v>
      </c>
      <c r="BW625" s="232">
        <f t="shared" si="645"/>
        <v>20</v>
      </c>
      <c r="BX625" s="230">
        <f t="shared" si="623"/>
        <v>33</v>
      </c>
      <c r="BY625" s="235">
        <f t="shared" si="624"/>
        <v>4.4702678571428569</v>
      </c>
      <c r="BZ625" s="235" cm="1">
        <f t="array" ref="BZ625">$BI625 * IF($AH625&lt;=2,
SUMPRODUCT(INDEX($AR$62:$AT$66,,$AI625), INDEX($AU$62:$BA$66,,$AH625), 1 / ($BB$62:$BB$66*BY625 + (1-$BB$62:$BB$66)*BU625), N($AQ$62:$AQ$66&gt;$AO625)),
SUMPRODUCT(INDEX($AR$47:$AT$56,,$AI625), INDEX($AU$47:$BA$56,,$AH625), 1 / ($BC$47:$BC$56*BY625 + (1-$BC$47:$BC$56)*BU625), N($AQ$47:$AQ$56&gt;$AO625))
) / 1000</f>
        <v>0</v>
      </c>
      <c r="CA625" s="235" cm="1">
        <f t="array" ref="CA625">$BI625 * IF($AH625&lt;=2,
SUMPRODUCT(INDEX($AR$23:$AT$61,,$AI625), INDEX($AU$23:$BA$61,,$AH625), 1 / ($BB$23:$BB$61*BY625), N($AQ$23:$AQ$61&gt;$AO625)),
SUMPRODUCT(INDEX($AR$23:$AT$46,,$AI625), INDEX($AU$23:$BA$46,,$AH625), 1 / ($BC$23:$BC$46*BY625), N($AQ$23:$AQ$46&gt;$AO625))
) / 1000</f>
        <v>0</v>
      </c>
      <c r="CB625" s="230">
        <f t="shared" si="625"/>
        <v>0</v>
      </c>
      <c r="CC625" s="238"/>
      <c r="CD625" s="229" cm="1">
        <f t="array" ref="CD625">IF(ISBLANK(Y625), INDEX(Use, $AH625, 4) - AN625*INDEX(Use, $AH625, 6) - (Q625-X625), Y625)</f>
        <v>7</v>
      </c>
      <c r="CE625" s="229">
        <f t="shared" si="626"/>
        <v>32</v>
      </c>
      <c r="CF625" s="230">
        <f t="shared" si="627"/>
        <v>0</v>
      </c>
      <c r="CG625" s="229">
        <v>35</v>
      </c>
      <c r="CH625" s="230">
        <f t="shared" si="628"/>
        <v>48</v>
      </c>
      <c r="CI625" s="235">
        <f t="shared" si="629"/>
        <v>3.0748170731707316</v>
      </c>
      <c r="CJ625" s="235" cm="1">
        <f t="array" ref="CJ625">$BI625 * SUMPRODUCT(INDEX($AR$77:$AT$82,,$AI625),INDEX($AU$77:$BA$82,,$AH625), N($AQ$77:$AQ$82&gt;$AO625)) / CI625 / 1000</f>
        <v>0</v>
      </c>
      <c r="CK625" s="232">
        <f t="shared" si="646"/>
        <v>30</v>
      </c>
      <c r="CL625" s="230">
        <f t="shared" si="630"/>
        <v>43</v>
      </c>
      <c r="CM625" s="235">
        <f t="shared" si="631"/>
        <v>3.5018750000000001</v>
      </c>
      <c r="CN625" s="235" cm="1">
        <f t="array" ref="CN625">$BI625 * IF($AH625&lt;=2,
SUMPRODUCT(INDEX($AR$72:$AT$76,,$AI625), INDEX($AU$72:$BA$76,,$AH625), 1 / ($BB$72:$BB$76*CM625 + (1-$BB$72:$BB$76)*CI625), N($AQ$72:$AQ$76&gt;$AO625)),
SUMPRODUCT(INDEX($AR$67:$AT$76,,$AI625), INDEX($AU$67:$BA$76,,$AH625), 1 / ($BC$67:$BC$76*CM625 + (1-$BC$67:$BC$76)*CI625), N($AQ$67:$AQ$76&gt;$AO625))
) / 1000</f>
        <v>0</v>
      </c>
      <c r="CO625" s="232">
        <f t="shared" si="647"/>
        <v>25</v>
      </c>
      <c r="CP625" s="230">
        <f t="shared" si="632"/>
        <v>38</v>
      </c>
      <c r="CQ625" s="235">
        <f t="shared" si="633"/>
        <v>4.0666935483870965</v>
      </c>
      <c r="CR625" s="235" cm="1">
        <f t="array" ref="CR625">$BI625 * IF($AH625&lt;=2,
SUMPRODUCT(INDEX($AR$67:$AT$71,,$AI625), INDEX($AU$67:$BA$71,,$AH625), 1 / ($BB$67:$BB$71*CQ625 + (1-$BB$67:$BB$71)*CM625), N($AQ$67:$AQ$71&gt;$AO625)),
SUMPRODUCT(INDEX($AR$57:$AT$66,,$AI625), INDEX($AU$57:$BA$66,,$AH625), 1 / ($BC$57:$BC$66*CQ625 + (1-$BC$57:$BC$66)*CM625), N($AQ$57:$AQ$66&gt;$AO625))
) / 1000</f>
        <v>0</v>
      </c>
      <c r="CS625" s="232">
        <f t="shared" si="648"/>
        <v>20</v>
      </c>
      <c r="CT625" s="230">
        <f t="shared" si="634"/>
        <v>33</v>
      </c>
      <c r="CU625" s="235">
        <f t="shared" si="635"/>
        <v>4.8487499999999999</v>
      </c>
      <c r="CV625" s="235" cm="1">
        <f t="array" ref="CV625">$BI625 * IF($AH625&lt;=2,
SUMPRODUCT(INDEX($AR$62:$AT$66,,$AI625), INDEX($AU$62:$BA$66,,$AH625), 1 / ($BB$62:$BB$66*CU625 + (1-$BB$62:$BB$66)*CQ625), N($AQ$62:$AQ$66&gt;$AO625)),
SUMPRODUCT(INDEX($AR$47:$AT$56,,$AI625), INDEX($AU$47:$BA$56,,$AH625), 1 / ($BC$47:$BC$56*CU625 + (1-$BC$47:$BC$56)*CQ625), N($AQ$47:$AQ$56&gt;$AO625))
) / 1000</f>
        <v>0</v>
      </c>
      <c r="CW625" s="235" cm="1">
        <f t="array" ref="CW625">$BI625 * IF($AH625&lt;=2,
SUMPRODUCT(INDEX($AR$23:$AT$61,,$AI625), INDEX($AU$23:$BA$61,,$AH625), 1 / ($BB$23:$BB$61*CU625), N($AQ$23:$AQ$61&gt;$AO625)),
SUMPRODUCT(INDEX($AR$23:$AT$46,,$AI625), INDEX($AU$23:$BA$46,,$AH625), 1 / ($BC$23:$BC$46*CU625), N($AQ$23:$AQ$46&gt;$AO625))
) / 1000</f>
        <v>0</v>
      </c>
      <c r="CX625" s="230">
        <f t="shared" si="636"/>
        <v>0</v>
      </c>
      <c r="CY625" s="238"/>
    </row>
    <row r="626" spans="1:103" s="76" customFormat="1" ht="14.25" customHeight="1" x14ac:dyDescent="0.2">
      <c r="A626" s="231" t="b">
        <f t="shared" si="640"/>
        <v>0</v>
      </c>
      <c r="B626" s="245">
        <v>604</v>
      </c>
      <c r="C626" s="258"/>
      <c r="D626" s="258"/>
      <c r="E626" s="246"/>
      <c r="F626" s="247" t="str">
        <f>IF(ISBLANK(E626), "", VLOOKUP(E626, Z!$A$2:$C$4127, 3, FALSE))</f>
        <v/>
      </c>
      <c r="G626" s="248"/>
      <c r="H626" s="248"/>
      <c r="I626" s="249"/>
      <c r="J626" s="250"/>
      <c r="K626" s="259"/>
      <c r="L626" s="260"/>
      <c r="M626" s="252" t="str" cm="1">
        <f t="array" ref="M626">INDEX(Trad, 53, $A$20)</f>
        <v>Verschmutzt</v>
      </c>
      <c r="N626" s="253"/>
      <c r="O626" s="253"/>
      <c r="P626" s="254"/>
      <c r="Q626" s="251"/>
      <c r="R626" s="251"/>
      <c r="S626" s="264">
        <f t="shared" si="611"/>
        <v>0</v>
      </c>
      <c r="T626" s="252" t="str" cm="1">
        <f t="array" ref="T626">INDEX(Trad, 52, $A$20)</f>
        <v>Sauber</v>
      </c>
      <c r="U626" s="253"/>
      <c r="V626" s="253"/>
      <c r="W626" s="254"/>
      <c r="X626" s="251"/>
      <c r="Y626" s="251"/>
      <c r="Z626" s="264">
        <f t="shared" si="612"/>
        <v>0</v>
      </c>
      <c r="AA626" s="261"/>
      <c r="AB626" s="258"/>
      <c r="AC626" s="246"/>
      <c r="AD626" s="247" t="str">
        <f>IF(ISBLANK(AC626), "", VLOOKUP(AC626, Z!$A$2:$C$4127, 3, FALSE))</f>
        <v/>
      </c>
      <c r="AE626" s="262"/>
      <c r="AF626" s="263">
        <f t="shared" si="613"/>
        <v>0</v>
      </c>
      <c r="AG626" s="238"/>
      <c r="AH626" s="229">
        <f t="shared" si="637"/>
        <v>1</v>
      </c>
      <c r="AI626" s="229">
        <f t="shared" si="638"/>
        <v>1</v>
      </c>
      <c r="AJ626" s="229">
        <f t="shared" si="639"/>
        <v>0</v>
      </c>
      <c r="AK626" s="229">
        <v>0</v>
      </c>
      <c r="AL626" s="229">
        <v>0</v>
      </c>
      <c r="AM626" s="229">
        <v>1</v>
      </c>
      <c r="AN626" s="229">
        <v>0</v>
      </c>
      <c r="AO626" s="229">
        <f t="shared" si="614"/>
        <v>-100</v>
      </c>
      <c r="AP626" s="238"/>
      <c r="AQ626" s="255"/>
      <c r="AR626" s="255"/>
      <c r="AS626" s="256"/>
      <c r="AT626" s="256"/>
      <c r="AU626" s="256"/>
      <c r="AV626" s="256"/>
      <c r="AW626" s="256"/>
      <c r="AX626" s="256"/>
      <c r="AY626" s="256"/>
      <c r="AZ626" s="256"/>
      <c r="BA626" s="256"/>
      <c r="BB626" s="256"/>
      <c r="BC626" s="256"/>
      <c r="BD626" s="238"/>
      <c r="BE626" s="229" cm="1">
        <f t="array" ref="BE626">IF(ISBLANK(R626), INDEX(Use, $AH626, 4) - AM626*INDEX(Use, $AH626, 6), R626)</f>
        <v>5</v>
      </c>
      <c r="BF626" s="229">
        <f t="shared" si="615"/>
        <v>30</v>
      </c>
      <c r="BG626" s="229">
        <f t="shared" si="641"/>
        <v>13</v>
      </c>
      <c r="BH626" s="229">
        <f t="shared" si="642"/>
        <v>0</v>
      </c>
      <c r="BI626" s="234" cm="1">
        <f t="array" ref="BI626">K626/IF($L626&gt;0, INDEX($AU$23:$BA$77, $L626+20, $AH626), 1)</f>
        <v>0</v>
      </c>
      <c r="BJ626" s="230">
        <f t="shared" si="616"/>
        <v>0</v>
      </c>
      <c r="BK626" s="229">
        <v>35</v>
      </c>
      <c r="BL626" s="230">
        <f t="shared" si="617"/>
        <v>48</v>
      </c>
      <c r="BM626" s="235">
        <f t="shared" si="618"/>
        <v>2.9108720930232557</v>
      </c>
      <c r="BN626" s="235" cm="1">
        <f t="array" ref="BN626">$BI626 * SUMPRODUCT(INDEX($AR$77:$AT$82,,$AI626),INDEX($AU$77:$BA$82,,$AH626), N($AQ$77:$AQ$82&gt;$AO626)) / BM626 / 1000</f>
        <v>0</v>
      </c>
      <c r="BO626" s="232">
        <f t="shared" si="643"/>
        <v>30</v>
      </c>
      <c r="BP626" s="230">
        <f t="shared" si="619"/>
        <v>43</v>
      </c>
      <c r="BQ626" s="235">
        <f t="shared" si="620"/>
        <v>3.2938815789473681</v>
      </c>
      <c r="BR626" s="235" cm="1">
        <f t="array" ref="BR626">$BI626 * IF($AH626&lt;=2,
SUMPRODUCT(INDEX($AR$72:$AT$76,,$AI626), INDEX($AU$72:$BA$76,,$AH626), 1 / ($BB$72:$BB$76*BQ626 + (1-$BB$72:$BB$76)*BM626), N($AQ$72:$AQ$76&gt;$AO626)),
SUMPRODUCT(INDEX($AR$67:$AT$76,,$AI626), INDEX($AU$67:$BA$76,,$AH626), 1 / ($BC$67:$BC$76*BQ626 + (1-$BC$67:$BC$76)*BM626), N($AQ$67:$AQ$76&gt;$AO626))
) / 1000</f>
        <v>0</v>
      </c>
      <c r="BS626" s="232">
        <f t="shared" si="644"/>
        <v>25</v>
      </c>
      <c r="BT626" s="230">
        <f t="shared" si="621"/>
        <v>38</v>
      </c>
      <c r="BU626" s="235">
        <f t="shared" si="622"/>
        <v>3.792954545454545</v>
      </c>
      <c r="BV626" s="235" cm="1">
        <f t="array" ref="BV626">$BI626 * IF($AH626&lt;=2,
SUMPRODUCT(INDEX($AR$67:$AT$71,,$AI626), INDEX($AU$67:$BA$71,,$AH626), 1 / ($BB$67:$BB$71*BU626 + (1-$BB$67:$BB$71)*BQ626), N($AQ$67:$AQ$71&gt;$AO626)),
SUMPRODUCT(INDEX($AR$57:$AT$66,,$AI626), INDEX($AU$57:$BA$66,,$AH626), 1 / ($BC$57:$BC$66*BU626 + (1-$BC$57:$BC$66)*BQ626), N($AQ$57:$AQ$66&gt;$AO626))
) / 1000</f>
        <v>0</v>
      </c>
      <c r="BW626" s="232">
        <f t="shared" si="645"/>
        <v>20</v>
      </c>
      <c r="BX626" s="230">
        <f t="shared" si="623"/>
        <v>33</v>
      </c>
      <c r="BY626" s="235">
        <f t="shared" si="624"/>
        <v>4.4702678571428569</v>
      </c>
      <c r="BZ626" s="235" cm="1">
        <f t="array" ref="BZ626">$BI626 * IF($AH626&lt;=2,
SUMPRODUCT(INDEX($AR$62:$AT$66,,$AI626), INDEX($AU$62:$BA$66,,$AH626), 1 / ($BB$62:$BB$66*BY626 + (1-$BB$62:$BB$66)*BU626), N($AQ$62:$AQ$66&gt;$AO626)),
SUMPRODUCT(INDEX($AR$47:$AT$56,,$AI626), INDEX($AU$47:$BA$56,,$AH626), 1 / ($BC$47:$BC$56*BY626 + (1-$BC$47:$BC$56)*BU626), N($AQ$47:$AQ$56&gt;$AO626))
) / 1000</f>
        <v>0</v>
      </c>
      <c r="CA626" s="235" cm="1">
        <f t="array" ref="CA626">$BI626 * IF($AH626&lt;=2,
SUMPRODUCT(INDEX($AR$23:$AT$61,,$AI626), INDEX($AU$23:$BA$61,,$AH626), 1 / ($BB$23:$BB$61*BY626), N($AQ$23:$AQ$61&gt;$AO626)),
SUMPRODUCT(INDEX($AR$23:$AT$46,,$AI626), INDEX($AU$23:$BA$46,,$AH626), 1 / ($BC$23:$BC$46*BY626), N($AQ$23:$AQ$46&gt;$AO626))
) / 1000</f>
        <v>0</v>
      </c>
      <c r="CB626" s="230">
        <f t="shared" si="625"/>
        <v>0</v>
      </c>
      <c r="CC626" s="238"/>
      <c r="CD626" s="229" cm="1">
        <f t="array" ref="CD626">IF(ISBLANK(Y626), INDEX(Use, $AH626, 4) - AN626*INDEX(Use, $AH626, 6) - (Q626-X626), Y626)</f>
        <v>7</v>
      </c>
      <c r="CE626" s="229">
        <f t="shared" si="626"/>
        <v>32</v>
      </c>
      <c r="CF626" s="230">
        <f t="shared" si="627"/>
        <v>0</v>
      </c>
      <c r="CG626" s="229">
        <v>35</v>
      </c>
      <c r="CH626" s="230">
        <f t="shared" si="628"/>
        <v>48</v>
      </c>
      <c r="CI626" s="235">
        <f t="shared" si="629"/>
        <v>3.0748170731707316</v>
      </c>
      <c r="CJ626" s="235" cm="1">
        <f t="array" ref="CJ626">$BI626 * SUMPRODUCT(INDEX($AR$77:$AT$82,,$AI626),INDEX($AU$77:$BA$82,,$AH626), N($AQ$77:$AQ$82&gt;$AO626)) / CI626 / 1000</f>
        <v>0</v>
      </c>
      <c r="CK626" s="232">
        <f t="shared" si="646"/>
        <v>30</v>
      </c>
      <c r="CL626" s="230">
        <f t="shared" si="630"/>
        <v>43</v>
      </c>
      <c r="CM626" s="235">
        <f t="shared" si="631"/>
        <v>3.5018750000000001</v>
      </c>
      <c r="CN626" s="235" cm="1">
        <f t="array" ref="CN626">$BI626 * IF($AH626&lt;=2,
SUMPRODUCT(INDEX($AR$72:$AT$76,,$AI626), INDEX($AU$72:$BA$76,,$AH626), 1 / ($BB$72:$BB$76*CM626 + (1-$BB$72:$BB$76)*CI626), N($AQ$72:$AQ$76&gt;$AO626)),
SUMPRODUCT(INDEX($AR$67:$AT$76,,$AI626), INDEX($AU$67:$BA$76,,$AH626), 1 / ($BC$67:$BC$76*CM626 + (1-$BC$67:$BC$76)*CI626), N($AQ$67:$AQ$76&gt;$AO626))
) / 1000</f>
        <v>0</v>
      </c>
      <c r="CO626" s="232">
        <f t="shared" si="647"/>
        <v>25</v>
      </c>
      <c r="CP626" s="230">
        <f t="shared" si="632"/>
        <v>38</v>
      </c>
      <c r="CQ626" s="235">
        <f t="shared" si="633"/>
        <v>4.0666935483870965</v>
      </c>
      <c r="CR626" s="235" cm="1">
        <f t="array" ref="CR626">$BI626 * IF($AH626&lt;=2,
SUMPRODUCT(INDEX($AR$67:$AT$71,,$AI626), INDEX($AU$67:$BA$71,,$AH626), 1 / ($BB$67:$BB$71*CQ626 + (1-$BB$67:$BB$71)*CM626), N($AQ$67:$AQ$71&gt;$AO626)),
SUMPRODUCT(INDEX($AR$57:$AT$66,,$AI626), INDEX($AU$57:$BA$66,,$AH626), 1 / ($BC$57:$BC$66*CQ626 + (1-$BC$57:$BC$66)*CM626), N($AQ$57:$AQ$66&gt;$AO626))
) / 1000</f>
        <v>0</v>
      </c>
      <c r="CS626" s="232">
        <f t="shared" si="648"/>
        <v>20</v>
      </c>
      <c r="CT626" s="230">
        <f t="shared" si="634"/>
        <v>33</v>
      </c>
      <c r="CU626" s="235">
        <f t="shared" si="635"/>
        <v>4.8487499999999999</v>
      </c>
      <c r="CV626" s="235" cm="1">
        <f t="array" ref="CV626">$BI626 * IF($AH626&lt;=2,
SUMPRODUCT(INDEX($AR$62:$AT$66,,$AI626), INDEX($AU$62:$BA$66,,$AH626), 1 / ($BB$62:$BB$66*CU626 + (1-$BB$62:$BB$66)*CQ626), N($AQ$62:$AQ$66&gt;$AO626)),
SUMPRODUCT(INDEX($AR$47:$AT$56,,$AI626), INDEX($AU$47:$BA$56,,$AH626), 1 / ($BC$47:$BC$56*CU626 + (1-$BC$47:$BC$56)*CQ626), N($AQ$47:$AQ$56&gt;$AO626))
) / 1000</f>
        <v>0</v>
      </c>
      <c r="CW626" s="235" cm="1">
        <f t="array" ref="CW626">$BI626 * IF($AH626&lt;=2,
SUMPRODUCT(INDEX($AR$23:$AT$61,,$AI626), INDEX($AU$23:$BA$61,,$AH626), 1 / ($BB$23:$BB$61*CU626), N($AQ$23:$AQ$61&gt;$AO626)),
SUMPRODUCT(INDEX($AR$23:$AT$46,,$AI626), INDEX($AU$23:$BA$46,,$AH626), 1 / ($BC$23:$BC$46*CU626), N($AQ$23:$AQ$46&gt;$AO626))
) / 1000</f>
        <v>0</v>
      </c>
      <c r="CX626" s="230">
        <f t="shared" si="636"/>
        <v>0</v>
      </c>
      <c r="CY626" s="238"/>
    </row>
    <row r="627" spans="1:103" s="76" customFormat="1" ht="14.25" customHeight="1" x14ac:dyDescent="0.2">
      <c r="A627" s="231" t="b">
        <f t="shared" si="640"/>
        <v>0</v>
      </c>
      <c r="B627" s="245">
        <v>605</v>
      </c>
      <c r="C627" s="258"/>
      <c r="D627" s="258"/>
      <c r="E627" s="246"/>
      <c r="F627" s="247" t="str">
        <f>IF(ISBLANK(E627), "", VLOOKUP(E627, Z!$A$2:$C$4127, 3, FALSE))</f>
        <v/>
      </c>
      <c r="G627" s="248"/>
      <c r="H627" s="248"/>
      <c r="I627" s="249"/>
      <c r="J627" s="250"/>
      <c r="K627" s="259"/>
      <c r="L627" s="260"/>
      <c r="M627" s="252" t="str" cm="1">
        <f t="array" ref="M627">INDEX(Trad, 53, $A$20)</f>
        <v>Verschmutzt</v>
      </c>
      <c r="N627" s="253"/>
      <c r="O627" s="253"/>
      <c r="P627" s="254"/>
      <c r="Q627" s="251"/>
      <c r="R627" s="251"/>
      <c r="S627" s="264">
        <f t="shared" si="611"/>
        <v>0</v>
      </c>
      <c r="T627" s="252" t="str" cm="1">
        <f t="array" ref="T627">INDEX(Trad, 52, $A$20)</f>
        <v>Sauber</v>
      </c>
      <c r="U627" s="253"/>
      <c r="V627" s="253"/>
      <c r="W627" s="254"/>
      <c r="X627" s="251"/>
      <c r="Y627" s="251"/>
      <c r="Z627" s="264">
        <f t="shared" si="612"/>
        <v>0</v>
      </c>
      <c r="AA627" s="261"/>
      <c r="AB627" s="258"/>
      <c r="AC627" s="246"/>
      <c r="AD627" s="247" t="str">
        <f>IF(ISBLANK(AC627), "", VLOOKUP(AC627, Z!$A$2:$C$4127, 3, FALSE))</f>
        <v/>
      </c>
      <c r="AE627" s="262"/>
      <c r="AF627" s="263">
        <f t="shared" si="613"/>
        <v>0</v>
      </c>
      <c r="AG627" s="238"/>
      <c r="AH627" s="229">
        <f t="shared" si="637"/>
        <v>1</v>
      </c>
      <c r="AI627" s="229">
        <f t="shared" si="638"/>
        <v>1</v>
      </c>
      <c r="AJ627" s="229">
        <f t="shared" si="639"/>
        <v>0</v>
      </c>
      <c r="AK627" s="229">
        <v>0</v>
      </c>
      <c r="AL627" s="229">
        <v>0</v>
      </c>
      <c r="AM627" s="229">
        <v>1</v>
      </c>
      <c r="AN627" s="229">
        <v>0</v>
      </c>
      <c r="AO627" s="229">
        <f t="shared" si="614"/>
        <v>-100</v>
      </c>
      <c r="AP627" s="238"/>
      <c r="AQ627" s="255"/>
      <c r="AR627" s="255"/>
      <c r="AS627" s="256"/>
      <c r="AT627" s="256"/>
      <c r="AU627" s="256"/>
      <c r="AV627" s="256"/>
      <c r="AW627" s="256"/>
      <c r="AX627" s="256"/>
      <c r="AY627" s="256"/>
      <c r="AZ627" s="256"/>
      <c r="BA627" s="256"/>
      <c r="BB627" s="256"/>
      <c r="BC627" s="256"/>
      <c r="BD627" s="238"/>
      <c r="BE627" s="229" cm="1">
        <f t="array" ref="BE627">IF(ISBLANK(R627), INDEX(Use, $AH627, 4) - AM627*INDEX(Use, $AH627, 6), R627)</f>
        <v>5</v>
      </c>
      <c r="BF627" s="229">
        <f t="shared" si="615"/>
        <v>30</v>
      </c>
      <c r="BG627" s="229">
        <f t="shared" si="641"/>
        <v>13</v>
      </c>
      <c r="BH627" s="229">
        <f t="shared" si="642"/>
        <v>0</v>
      </c>
      <c r="BI627" s="234" cm="1">
        <f t="array" ref="BI627">K627/IF($L627&gt;0, INDEX($AU$23:$BA$77, $L627+20, $AH627), 1)</f>
        <v>0</v>
      </c>
      <c r="BJ627" s="230">
        <f t="shared" si="616"/>
        <v>0</v>
      </c>
      <c r="BK627" s="229">
        <v>35</v>
      </c>
      <c r="BL627" s="230">
        <f t="shared" si="617"/>
        <v>48</v>
      </c>
      <c r="BM627" s="235">
        <f t="shared" si="618"/>
        <v>2.9108720930232557</v>
      </c>
      <c r="BN627" s="235" cm="1">
        <f t="array" ref="BN627">$BI627 * SUMPRODUCT(INDEX($AR$77:$AT$82,,$AI627),INDEX($AU$77:$BA$82,,$AH627), N($AQ$77:$AQ$82&gt;$AO627)) / BM627 / 1000</f>
        <v>0</v>
      </c>
      <c r="BO627" s="232">
        <f t="shared" si="643"/>
        <v>30</v>
      </c>
      <c r="BP627" s="230">
        <f t="shared" si="619"/>
        <v>43</v>
      </c>
      <c r="BQ627" s="235">
        <f t="shared" si="620"/>
        <v>3.2938815789473681</v>
      </c>
      <c r="BR627" s="235" cm="1">
        <f t="array" ref="BR627">$BI627 * IF($AH627&lt;=2,
SUMPRODUCT(INDEX($AR$72:$AT$76,,$AI627), INDEX($AU$72:$BA$76,,$AH627), 1 / ($BB$72:$BB$76*BQ627 + (1-$BB$72:$BB$76)*BM627), N($AQ$72:$AQ$76&gt;$AO627)),
SUMPRODUCT(INDEX($AR$67:$AT$76,,$AI627), INDEX($AU$67:$BA$76,,$AH627), 1 / ($BC$67:$BC$76*BQ627 + (1-$BC$67:$BC$76)*BM627), N($AQ$67:$AQ$76&gt;$AO627))
) / 1000</f>
        <v>0</v>
      </c>
      <c r="BS627" s="232">
        <f t="shared" si="644"/>
        <v>25</v>
      </c>
      <c r="BT627" s="230">
        <f t="shared" si="621"/>
        <v>38</v>
      </c>
      <c r="BU627" s="235">
        <f t="shared" si="622"/>
        <v>3.792954545454545</v>
      </c>
      <c r="BV627" s="235" cm="1">
        <f t="array" ref="BV627">$BI627 * IF($AH627&lt;=2,
SUMPRODUCT(INDEX($AR$67:$AT$71,,$AI627), INDEX($AU$67:$BA$71,,$AH627), 1 / ($BB$67:$BB$71*BU627 + (1-$BB$67:$BB$71)*BQ627), N($AQ$67:$AQ$71&gt;$AO627)),
SUMPRODUCT(INDEX($AR$57:$AT$66,,$AI627), INDEX($AU$57:$BA$66,,$AH627), 1 / ($BC$57:$BC$66*BU627 + (1-$BC$57:$BC$66)*BQ627), N($AQ$57:$AQ$66&gt;$AO627))
) / 1000</f>
        <v>0</v>
      </c>
      <c r="BW627" s="232">
        <f t="shared" si="645"/>
        <v>20</v>
      </c>
      <c r="BX627" s="230">
        <f t="shared" si="623"/>
        <v>33</v>
      </c>
      <c r="BY627" s="235">
        <f t="shared" si="624"/>
        <v>4.4702678571428569</v>
      </c>
      <c r="BZ627" s="235" cm="1">
        <f t="array" ref="BZ627">$BI627 * IF($AH627&lt;=2,
SUMPRODUCT(INDEX($AR$62:$AT$66,,$AI627), INDEX($AU$62:$BA$66,,$AH627), 1 / ($BB$62:$BB$66*BY627 + (1-$BB$62:$BB$66)*BU627), N($AQ$62:$AQ$66&gt;$AO627)),
SUMPRODUCT(INDEX($AR$47:$AT$56,,$AI627), INDEX($AU$47:$BA$56,,$AH627), 1 / ($BC$47:$BC$56*BY627 + (1-$BC$47:$BC$56)*BU627), N($AQ$47:$AQ$56&gt;$AO627))
) / 1000</f>
        <v>0</v>
      </c>
      <c r="CA627" s="235" cm="1">
        <f t="array" ref="CA627">$BI627 * IF($AH627&lt;=2,
SUMPRODUCT(INDEX($AR$23:$AT$61,,$AI627), INDEX($AU$23:$BA$61,,$AH627), 1 / ($BB$23:$BB$61*BY627), N($AQ$23:$AQ$61&gt;$AO627)),
SUMPRODUCT(INDEX($AR$23:$AT$46,,$AI627), INDEX($AU$23:$BA$46,,$AH627), 1 / ($BC$23:$BC$46*BY627), N($AQ$23:$AQ$46&gt;$AO627))
) / 1000</f>
        <v>0</v>
      </c>
      <c r="CB627" s="230">
        <f t="shared" si="625"/>
        <v>0</v>
      </c>
      <c r="CC627" s="238"/>
      <c r="CD627" s="229" cm="1">
        <f t="array" ref="CD627">IF(ISBLANK(Y627), INDEX(Use, $AH627, 4) - AN627*INDEX(Use, $AH627, 6) - (Q627-X627), Y627)</f>
        <v>7</v>
      </c>
      <c r="CE627" s="229">
        <f t="shared" si="626"/>
        <v>32</v>
      </c>
      <c r="CF627" s="230">
        <f t="shared" si="627"/>
        <v>0</v>
      </c>
      <c r="CG627" s="229">
        <v>35</v>
      </c>
      <c r="CH627" s="230">
        <f t="shared" si="628"/>
        <v>48</v>
      </c>
      <c r="CI627" s="235">
        <f t="shared" si="629"/>
        <v>3.0748170731707316</v>
      </c>
      <c r="CJ627" s="235" cm="1">
        <f t="array" ref="CJ627">$BI627 * SUMPRODUCT(INDEX($AR$77:$AT$82,,$AI627),INDEX($AU$77:$BA$82,,$AH627), N($AQ$77:$AQ$82&gt;$AO627)) / CI627 / 1000</f>
        <v>0</v>
      </c>
      <c r="CK627" s="232">
        <f t="shared" si="646"/>
        <v>30</v>
      </c>
      <c r="CL627" s="230">
        <f t="shared" si="630"/>
        <v>43</v>
      </c>
      <c r="CM627" s="235">
        <f t="shared" si="631"/>
        <v>3.5018750000000001</v>
      </c>
      <c r="CN627" s="235" cm="1">
        <f t="array" ref="CN627">$BI627 * IF($AH627&lt;=2,
SUMPRODUCT(INDEX($AR$72:$AT$76,,$AI627), INDEX($AU$72:$BA$76,,$AH627), 1 / ($BB$72:$BB$76*CM627 + (1-$BB$72:$BB$76)*CI627), N($AQ$72:$AQ$76&gt;$AO627)),
SUMPRODUCT(INDEX($AR$67:$AT$76,,$AI627), INDEX($AU$67:$BA$76,,$AH627), 1 / ($BC$67:$BC$76*CM627 + (1-$BC$67:$BC$76)*CI627), N($AQ$67:$AQ$76&gt;$AO627))
) / 1000</f>
        <v>0</v>
      </c>
      <c r="CO627" s="232">
        <f t="shared" si="647"/>
        <v>25</v>
      </c>
      <c r="CP627" s="230">
        <f t="shared" si="632"/>
        <v>38</v>
      </c>
      <c r="CQ627" s="235">
        <f t="shared" si="633"/>
        <v>4.0666935483870965</v>
      </c>
      <c r="CR627" s="235" cm="1">
        <f t="array" ref="CR627">$BI627 * IF($AH627&lt;=2,
SUMPRODUCT(INDEX($AR$67:$AT$71,,$AI627), INDEX($AU$67:$BA$71,,$AH627), 1 / ($BB$67:$BB$71*CQ627 + (1-$BB$67:$BB$71)*CM627), N($AQ$67:$AQ$71&gt;$AO627)),
SUMPRODUCT(INDEX($AR$57:$AT$66,,$AI627), INDEX($AU$57:$BA$66,,$AH627), 1 / ($BC$57:$BC$66*CQ627 + (1-$BC$57:$BC$66)*CM627), N($AQ$57:$AQ$66&gt;$AO627))
) / 1000</f>
        <v>0</v>
      </c>
      <c r="CS627" s="232">
        <f t="shared" si="648"/>
        <v>20</v>
      </c>
      <c r="CT627" s="230">
        <f t="shared" si="634"/>
        <v>33</v>
      </c>
      <c r="CU627" s="235">
        <f t="shared" si="635"/>
        <v>4.8487499999999999</v>
      </c>
      <c r="CV627" s="235" cm="1">
        <f t="array" ref="CV627">$BI627 * IF($AH627&lt;=2,
SUMPRODUCT(INDEX($AR$62:$AT$66,,$AI627), INDEX($AU$62:$BA$66,,$AH627), 1 / ($BB$62:$BB$66*CU627 + (1-$BB$62:$BB$66)*CQ627), N($AQ$62:$AQ$66&gt;$AO627)),
SUMPRODUCT(INDEX($AR$47:$AT$56,,$AI627), INDEX($AU$47:$BA$56,,$AH627), 1 / ($BC$47:$BC$56*CU627 + (1-$BC$47:$BC$56)*CQ627), N($AQ$47:$AQ$56&gt;$AO627))
) / 1000</f>
        <v>0</v>
      </c>
      <c r="CW627" s="235" cm="1">
        <f t="array" ref="CW627">$BI627 * IF($AH627&lt;=2,
SUMPRODUCT(INDEX($AR$23:$AT$61,,$AI627), INDEX($AU$23:$BA$61,,$AH627), 1 / ($BB$23:$BB$61*CU627), N($AQ$23:$AQ$61&gt;$AO627)),
SUMPRODUCT(INDEX($AR$23:$AT$46,,$AI627), INDEX($AU$23:$BA$46,,$AH627), 1 / ($BC$23:$BC$46*CU627), N($AQ$23:$AQ$46&gt;$AO627))
) / 1000</f>
        <v>0</v>
      </c>
      <c r="CX627" s="230">
        <f t="shared" si="636"/>
        <v>0</v>
      </c>
      <c r="CY627" s="238"/>
    </row>
    <row r="628" spans="1:103" s="76" customFormat="1" ht="14.25" customHeight="1" x14ac:dyDescent="0.2">
      <c r="A628" s="231" t="b">
        <f t="shared" si="640"/>
        <v>0</v>
      </c>
      <c r="B628" s="245">
        <v>606</v>
      </c>
      <c r="C628" s="258"/>
      <c r="D628" s="258"/>
      <c r="E628" s="246"/>
      <c r="F628" s="247" t="str">
        <f>IF(ISBLANK(E628), "", VLOOKUP(E628, Z!$A$2:$C$4127, 3, FALSE))</f>
        <v/>
      </c>
      <c r="G628" s="248"/>
      <c r="H628" s="248"/>
      <c r="I628" s="249"/>
      <c r="J628" s="250"/>
      <c r="K628" s="259"/>
      <c r="L628" s="260"/>
      <c r="M628" s="252" t="str" cm="1">
        <f t="array" ref="M628">INDEX(Trad, 53, $A$20)</f>
        <v>Verschmutzt</v>
      </c>
      <c r="N628" s="253"/>
      <c r="O628" s="253"/>
      <c r="P628" s="254"/>
      <c r="Q628" s="251"/>
      <c r="R628" s="251"/>
      <c r="S628" s="264">
        <f t="shared" si="611"/>
        <v>0</v>
      </c>
      <c r="T628" s="252" t="str" cm="1">
        <f t="array" ref="T628">INDEX(Trad, 52, $A$20)</f>
        <v>Sauber</v>
      </c>
      <c r="U628" s="253"/>
      <c r="V628" s="253"/>
      <c r="W628" s="254"/>
      <c r="X628" s="251"/>
      <c r="Y628" s="251"/>
      <c r="Z628" s="264">
        <f t="shared" si="612"/>
        <v>0</v>
      </c>
      <c r="AA628" s="261"/>
      <c r="AB628" s="258"/>
      <c r="AC628" s="246"/>
      <c r="AD628" s="247" t="str">
        <f>IF(ISBLANK(AC628), "", VLOOKUP(AC628, Z!$A$2:$C$4127, 3, FALSE))</f>
        <v/>
      </c>
      <c r="AE628" s="262"/>
      <c r="AF628" s="263">
        <f t="shared" si="613"/>
        <v>0</v>
      </c>
      <c r="AG628" s="238"/>
      <c r="AH628" s="229">
        <f t="shared" si="637"/>
        <v>1</v>
      </c>
      <c r="AI628" s="229">
        <f t="shared" si="638"/>
        <v>1</v>
      </c>
      <c r="AJ628" s="229">
        <f t="shared" si="639"/>
        <v>0</v>
      </c>
      <c r="AK628" s="229">
        <v>0</v>
      </c>
      <c r="AL628" s="229">
        <v>0</v>
      </c>
      <c r="AM628" s="229">
        <v>1</v>
      </c>
      <c r="AN628" s="229">
        <v>0</v>
      </c>
      <c r="AO628" s="229">
        <f t="shared" si="614"/>
        <v>-100</v>
      </c>
      <c r="AP628" s="238"/>
      <c r="AQ628" s="255"/>
      <c r="AR628" s="255"/>
      <c r="AS628" s="256"/>
      <c r="AT628" s="256"/>
      <c r="AU628" s="256"/>
      <c r="AV628" s="256"/>
      <c r="AW628" s="256"/>
      <c r="AX628" s="256"/>
      <c r="AY628" s="256"/>
      <c r="AZ628" s="256"/>
      <c r="BA628" s="256"/>
      <c r="BB628" s="256"/>
      <c r="BC628" s="256"/>
      <c r="BD628" s="238"/>
      <c r="BE628" s="229" cm="1">
        <f t="array" ref="BE628">IF(ISBLANK(R628), INDEX(Use, $AH628, 4) - AM628*INDEX(Use, $AH628, 6), R628)</f>
        <v>5</v>
      </c>
      <c r="BF628" s="229">
        <f t="shared" si="615"/>
        <v>30</v>
      </c>
      <c r="BG628" s="229">
        <f t="shared" si="641"/>
        <v>13</v>
      </c>
      <c r="BH628" s="229">
        <f t="shared" si="642"/>
        <v>0</v>
      </c>
      <c r="BI628" s="234" cm="1">
        <f t="array" ref="BI628">K628/IF($L628&gt;0, INDEX($AU$23:$BA$77, $L628+20, $AH628), 1)</f>
        <v>0</v>
      </c>
      <c r="BJ628" s="230">
        <f t="shared" si="616"/>
        <v>0</v>
      </c>
      <c r="BK628" s="229">
        <v>35</v>
      </c>
      <c r="BL628" s="230">
        <f t="shared" si="617"/>
        <v>48</v>
      </c>
      <c r="BM628" s="235">
        <f t="shared" si="618"/>
        <v>2.9108720930232557</v>
      </c>
      <c r="BN628" s="235" cm="1">
        <f t="array" ref="BN628">$BI628 * SUMPRODUCT(INDEX($AR$77:$AT$82,,$AI628),INDEX($AU$77:$BA$82,,$AH628), N($AQ$77:$AQ$82&gt;$AO628)) / BM628 / 1000</f>
        <v>0</v>
      </c>
      <c r="BO628" s="232">
        <f t="shared" si="643"/>
        <v>30</v>
      </c>
      <c r="BP628" s="230">
        <f t="shared" si="619"/>
        <v>43</v>
      </c>
      <c r="BQ628" s="235">
        <f t="shared" si="620"/>
        <v>3.2938815789473681</v>
      </c>
      <c r="BR628" s="235" cm="1">
        <f t="array" ref="BR628">$BI628 * IF($AH628&lt;=2,
SUMPRODUCT(INDEX($AR$72:$AT$76,,$AI628), INDEX($AU$72:$BA$76,,$AH628), 1 / ($BB$72:$BB$76*BQ628 + (1-$BB$72:$BB$76)*BM628), N($AQ$72:$AQ$76&gt;$AO628)),
SUMPRODUCT(INDEX($AR$67:$AT$76,,$AI628), INDEX($AU$67:$BA$76,,$AH628), 1 / ($BC$67:$BC$76*BQ628 + (1-$BC$67:$BC$76)*BM628), N($AQ$67:$AQ$76&gt;$AO628))
) / 1000</f>
        <v>0</v>
      </c>
      <c r="BS628" s="232">
        <f t="shared" si="644"/>
        <v>25</v>
      </c>
      <c r="BT628" s="230">
        <f t="shared" si="621"/>
        <v>38</v>
      </c>
      <c r="BU628" s="235">
        <f t="shared" si="622"/>
        <v>3.792954545454545</v>
      </c>
      <c r="BV628" s="235" cm="1">
        <f t="array" ref="BV628">$BI628 * IF($AH628&lt;=2,
SUMPRODUCT(INDEX($AR$67:$AT$71,,$AI628), INDEX($AU$67:$BA$71,,$AH628), 1 / ($BB$67:$BB$71*BU628 + (1-$BB$67:$BB$71)*BQ628), N($AQ$67:$AQ$71&gt;$AO628)),
SUMPRODUCT(INDEX($AR$57:$AT$66,,$AI628), INDEX($AU$57:$BA$66,,$AH628), 1 / ($BC$57:$BC$66*BU628 + (1-$BC$57:$BC$66)*BQ628), N($AQ$57:$AQ$66&gt;$AO628))
) / 1000</f>
        <v>0</v>
      </c>
      <c r="BW628" s="232">
        <f t="shared" si="645"/>
        <v>20</v>
      </c>
      <c r="BX628" s="230">
        <f t="shared" si="623"/>
        <v>33</v>
      </c>
      <c r="BY628" s="235">
        <f t="shared" si="624"/>
        <v>4.4702678571428569</v>
      </c>
      <c r="BZ628" s="235" cm="1">
        <f t="array" ref="BZ628">$BI628 * IF($AH628&lt;=2,
SUMPRODUCT(INDEX($AR$62:$AT$66,,$AI628), INDEX($AU$62:$BA$66,,$AH628), 1 / ($BB$62:$BB$66*BY628 + (1-$BB$62:$BB$66)*BU628), N($AQ$62:$AQ$66&gt;$AO628)),
SUMPRODUCT(INDEX($AR$47:$AT$56,,$AI628), INDEX($AU$47:$BA$56,,$AH628), 1 / ($BC$47:$BC$56*BY628 + (1-$BC$47:$BC$56)*BU628), N($AQ$47:$AQ$56&gt;$AO628))
) / 1000</f>
        <v>0</v>
      </c>
      <c r="CA628" s="235" cm="1">
        <f t="array" ref="CA628">$BI628 * IF($AH628&lt;=2,
SUMPRODUCT(INDEX($AR$23:$AT$61,,$AI628), INDEX($AU$23:$BA$61,,$AH628), 1 / ($BB$23:$BB$61*BY628), N($AQ$23:$AQ$61&gt;$AO628)),
SUMPRODUCT(INDEX($AR$23:$AT$46,,$AI628), INDEX($AU$23:$BA$46,,$AH628), 1 / ($BC$23:$BC$46*BY628), N($AQ$23:$AQ$46&gt;$AO628))
) / 1000</f>
        <v>0</v>
      </c>
      <c r="CB628" s="230">
        <f t="shared" si="625"/>
        <v>0</v>
      </c>
      <c r="CC628" s="238"/>
      <c r="CD628" s="229" cm="1">
        <f t="array" ref="CD628">IF(ISBLANK(Y628), INDEX(Use, $AH628, 4) - AN628*INDEX(Use, $AH628, 6) - (Q628-X628), Y628)</f>
        <v>7</v>
      </c>
      <c r="CE628" s="229">
        <f t="shared" si="626"/>
        <v>32</v>
      </c>
      <c r="CF628" s="230">
        <f t="shared" si="627"/>
        <v>0</v>
      </c>
      <c r="CG628" s="229">
        <v>35</v>
      </c>
      <c r="CH628" s="230">
        <f t="shared" si="628"/>
        <v>48</v>
      </c>
      <c r="CI628" s="235">
        <f t="shared" si="629"/>
        <v>3.0748170731707316</v>
      </c>
      <c r="CJ628" s="235" cm="1">
        <f t="array" ref="CJ628">$BI628 * SUMPRODUCT(INDEX($AR$77:$AT$82,,$AI628),INDEX($AU$77:$BA$82,,$AH628), N($AQ$77:$AQ$82&gt;$AO628)) / CI628 / 1000</f>
        <v>0</v>
      </c>
      <c r="CK628" s="232">
        <f t="shared" si="646"/>
        <v>30</v>
      </c>
      <c r="CL628" s="230">
        <f t="shared" si="630"/>
        <v>43</v>
      </c>
      <c r="CM628" s="235">
        <f t="shared" si="631"/>
        <v>3.5018750000000001</v>
      </c>
      <c r="CN628" s="235" cm="1">
        <f t="array" ref="CN628">$BI628 * IF($AH628&lt;=2,
SUMPRODUCT(INDEX($AR$72:$AT$76,,$AI628), INDEX($AU$72:$BA$76,,$AH628), 1 / ($BB$72:$BB$76*CM628 + (1-$BB$72:$BB$76)*CI628), N($AQ$72:$AQ$76&gt;$AO628)),
SUMPRODUCT(INDEX($AR$67:$AT$76,,$AI628), INDEX($AU$67:$BA$76,,$AH628), 1 / ($BC$67:$BC$76*CM628 + (1-$BC$67:$BC$76)*CI628), N($AQ$67:$AQ$76&gt;$AO628))
) / 1000</f>
        <v>0</v>
      </c>
      <c r="CO628" s="232">
        <f t="shared" si="647"/>
        <v>25</v>
      </c>
      <c r="CP628" s="230">
        <f t="shared" si="632"/>
        <v>38</v>
      </c>
      <c r="CQ628" s="235">
        <f t="shared" si="633"/>
        <v>4.0666935483870965</v>
      </c>
      <c r="CR628" s="235" cm="1">
        <f t="array" ref="CR628">$BI628 * IF($AH628&lt;=2,
SUMPRODUCT(INDEX($AR$67:$AT$71,,$AI628), INDEX($AU$67:$BA$71,,$AH628), 1 / ($BB$67:$BB$71*CQ628 + (1-$BB$67:$BB$71)*CM628), N($AQ$67:$AQ$71&gt;$AO628)),
SUMPRODUCT(INDEX($AR$57:$AT$66,,$AI628), INDEX($AU$57:$BA$66,,$AH628), 1 / ($BC$57:$BC$66*CQ628 + (1-$BC$57:$BC$66)*CM628), N($AQ$57:$AQ$66&gt;$AO628))
) / 1000</f>
        <v>0</v>
      </c>
      <c r="CS628" s="232">
        <f t="shared" si="648"/>
        <v>20</v>
      </c>
      <c r="CT628" s="230">
        <f t="shared" si="634"/>
        <v>33</v>
      </c>
      <c r="CU628" s="235">
        <f t="shared" si="635"/>
        <v>4.8487499999999999</v>
      </c>
      <c r="CV628" s="235" cm="1">
        <f t="array" ref="CV628">$BI628 * IF($AH628&lt;=2,
SUMPRODUCT(INDEX($AR$62:$AT$66,,$AI628), INDEX($AU$62:$BA$66,,$AH628), 1 / ($BB$62:$BB$66*CU628 + (1-$BB$62:$BB$66)*CQ628), N($AQ$62:$AQ$66&gt;$AO628)),
SUMPRODUCT(INDEX($AR$47:$AT$56,,$AI628), INDEX($AU$47:$BA$56,,$AH628), 1 / ($BC$47:$BC$56*CU628 + (1-$BC$47:$BC$56)*CQ628), N($AQ$47:$AQ$56&gt;$AO628))
) / 1000</f>
        <v>0</v>
      </c>
      <c r="CW628" s="235" cm="1">
        <f t="array" ref="CW628">$BI628 * IF($AH628&lt;=2,
SUMPRODUCT(INDEX($AR$23:$AT$61,,$AI628), INDEX($AU$23:$BA$61,,$AH628), 1 / ($BB$23:$BB$61*CU628), N($AQ$23:$AQ$61&gt;$AO628)),
SUMPRODUCT(INDEX($AR$23:$AT$46,,$AI628), INDEX($AU$23:$BA$46,,$AH628), 1 / ($BC$23:$BC$46*CU628), N($AQ$23:$AQ$46&gt;$AO628))
) / 1000</f>
        <v>0</v>
      </c>
      <c r="CX628" s="230">
        <f t="shared" si="636"/>
        <v>0</v>
      </c>
      <c r="CY628" s="238"/>
    </row>
    <row r="629" spans="1:103" s="76" customFormat="1" ht="14.25" customHeight="1" x14ac:dyDescent="0.2">
      <c r="A629" s="231" t="b">
        <f t="shared" si="640"/>
        <v>0</v>
      </c>
      <c r="B629" s="245">
        <v>607</v>
      </c>
      <c r="C629" s="258"/>
      <c r="D629" s="258"/>
      <c r="E629" s="246"/>
      <c r="F629" s="247" t="str">
        <f>IF(ISBLANK(E629), "", VLOOKUP(E629, Z!$A$2:$C$4127, 3, FALSE))</f>
        <v/>
      </c>
      <c r="G629" s="248"/>
      <c r="H629" s="248"/>
      <c r="I629" s="249"/>
      <c r="J629" s="250"/>
      <c r="K629" s="259"/>
      <c r="L629" s="260"/>
      <c r="M629" s="252" t="str" cm="1">
        <f t="array" ref="M629">INDEX(Trad, 53, $A$20)</f>
        <v>Verschmutzt</v>
      </c>
      <c r="N629" s="253"/>
      <c r="O629" s="253"/>
      <c r="P629" s="254"/>
      <c r="Q629" s="251"/>
      <c r="R629" s="251"/>
      <c r="S629" s="264">
        <f t="shared" si="611"/>
        <v>0</v>
      </c>
      <c r="T629" s="252" t="str" cm="1">
        <f t="array" ref="T629">INDEX(Trad, 52, $A$20)</f>
        <v>Sauber</v>
      </c>
      <c r="U629" s="253"/>
      <c r="V629" s="253"/>
      <c r="W629" s="254"/>
      <c r="X629" s="251"/>
      <c r="Y629" s="251"/>
      <c r="Z629" s="264">
        <f t="shared" si="612"/>
        <v>0</v>
      </c>
      <c r="AA629" s="261"/>
      <c r="AB629" s="258"/>
      <c r="AC629" s="246"/>
      <c r="AD629" s="247" t="str">
        <f>IF(ISBLANK(AC629), "", VLOOKUP(AC629, Z!$A$2:$C$4127, 3, FALSE))</f>
        <v/>
      </c>
      <c r="AE629" s="262"/>
      <c r="AF629" s="263">
        <f t="shared" si="613"/>
        <v>0</v>
      </c>
      <c r="AG629" s="238"/>
      <c r="AH629" s="229">
        <f t="shared" si="637"/>
        <v>1</v>
      </c>
      <c r="AI629" s="229">
        <f t="shared" si="638"/>
        <v>1</v>
      </c>
      <c r="AJ629" s="229">
        <f t="shared" si="639"/>
        <v>0</v>
      </c>
      <c r="AK629" s="229">
        <v>0</v>
      </c>
      <c r="AL629" s="229">
        <v>0</v>
      </c>
      <c r="AM629" s="229">
        <v>1</v>
      </c>
      <c r="AN629" s="229">
        <v>0</v>
      </c>
      <c r="AO629" s="229">
        <f t="shared" si="614"/>
        <v>-100</v>
      </c>
      <c r="AP629" s="238"/>
      <c r="AQ629" s="255"/>
      <c r="AR629" s="255"/>
      <c r="AS629" s="256"/>
      <c r="AT629" s="256"/>
      <c r="AU629" s="256"/>
      <c r="AV629" s="256"/>
      <c r="AW629" s="256"/>
      <c r="AX629" s="256"/>
      <c r="AY629" s="256"/>
      <c r="AZ629" s="256"/>
      <c r="BA629" s="256"/>
      <c r="BB629" s="256"/>
      <c r="BC629" s="256"/>
      <c r="BD629" s="238"/>
      <c r="BE629" s="229" cm="1">
        <f t="array" ref="BE629">IF(ISBLANK(R629), INDEX(Use, $AH629, 4) - AM629*INDEX(Use, $AH629, 6), R629)</f>
        <v>5</v>
      </c>
      <c r="BF629" s="229">
        <f t="shared" si="615"/>
        <v>30</v>
      </c>
      <c r="BG629" s="229">
        <f t="shared" si="641"/>
        <v>13</v>
      </c>
      <c r="BH629" s="229">
        <f t="shared" si="642"/>
        <v>0</v>
      </c>
      <c r="BI629" s="234" cm="1">
        <f t="array" ref="BI629">K629/IF($L629&gt;0, INDEX($AU$23:$BA$77, $L629+20, $AH629), 1)</f>
        <v>0</v>
      </c>
      <c r="BJ629" s="230">
        <f t="shared" si="616"/>
        <v>0</v>
      </c>
      <c r="BK629" s="229">
        <v>35</v>
      </c>
      <c r="BL629" s="230">
        <f t="shared" si="617"/>
        <v>48</v>
      </c>
      <c r="BM629" s="235">
        <f t="shared" si="618"/>
        <v>2.9108720930232557</v>
      </c>
      <c r="BN629" s="235" cm="1">
        <f t="array" ref="BN629">$BI629 * SUMPRODUCT(INDEX($AR$77:$AT$82,,$AI629),INDEX($AU$77:$BA$82,,$AH629), N($AQ$77:$AQ$82&gt;$AO629)) / BM629 / 1000</f>
        <v>0</v>
      </c>
      <c r="BO629" s="232">
        <f t="shared" si="643"/>
        <v>30</v>
      </c>
      <c r="BP629" s="230">
        <f t="shared" si="619"/>
        <v>43</v>
      </c>
      <c r="BQ629" s="235">
        <f t="shared" si="620"/>
        <v>3.2938815789473681</v>
      </c>
      <c r="BR629" s="235" cm="1">
        <f t="array" ref="BR629">$BI629 * IF($AH629&lt;=2,
SUMPRODUCT(INDEX($AR$72:$AT$76,,$AI629), INDEX($AU$72:$BA$76,,$AH629), 1 / ($BB$72:$BB$76*BQ629 + (1-$BB$72:$BB$76)*BM629), N($AQ$72:$AQ$76&gt;$AO629)),
SUMPRODUCT(INDEX($AR$67:$AT$76,,$AI629), INDEX($AU$67:$BA$76,,$AH629), 1 / ($BC$67:$BC$76*BQ629 + (1-$BC$67:$BC$76)*BM629), N($AQ$67:$AQ$76&gt;$AO629))
) / 1000</f>
        <v>0</v>
      </c>
      <c r="BS629" s="232">
        <f t="shared" si="644"/>
        <v>25</v>
      </c>
      <c r="BT629" s="230">
        <f t="shared" si="621"/>
        <v>38</v>
      </c>
      <c r="BU629" s="235">
        <f t="shared" si="622"/>
        <v>3.792954545454545</v>
      </c>
      <c r="BV629" s="235" cm="1">
        <f t="array" ref="BV629">$BI629 * IF($AH629&lt;=2,
SUMPRODUCT(INDEX($AR$67:$AT$71,,$AI629), INDEX($AU$67:$BA$71,,$AH629), 1 / ($BB$67:$BB$71*BU629 + (1-$BB$67:$BB$71)*BQ629), N($AQ$67:$AQ$71&gt;$AO629)),
SUMPRODUCT(INDEX($AR$57:$AT$66,,$AI629), INDEX($AU$57:$BA$66,,$AH629), 1 / ($BC$57:$BC$66*BU629 + (1-$BC$57:$BC$66)*BQ629), N($AQ$57:$AQ$66&gt;$AO629))
) / 1000</f>
        <v>0</v>
      </c>
      <c r="BW629" s="232">
        <f t="shared" si="645"/>
        <v>20</v>
      </c>
      <c r="BX629" s="230">
        <f t="shared" si="623"/>
        <v>33</v>
      </c>
      <c r="BY629" s="235">
        <f t="shared" si="624"/>
        <v>4.4702678571428569</v>
      </c>
      <c r="BZ629" s="235" cm="1">
        <f t="array" ref="BZ629">$BI629 * IF($AH629&lt;=2,
SUMPRODUCT(INDEX($AR$62:$AT$66,,$AI629), INDEX($AU$62:$BA$66,,$AH629), 1 / ($BB$62:$BB$66*BY629 + (1-$BB$62:$BB$66)*BU629), N($AQ$62:$AQ$66&gt;$AO629)),
SUMPRODUCT(INDEX($AR$47:$AT$56,,$AI629), INDEX($AU$47:$BA$56,,$AH629), 1 / ($BC$47:$BC$56*BY629 + (1-$BC$47:$BC$56)*BU629), N($AQ$47:$AQ$56&gt;$AO629))
) / 1000</f>
        <v>0</v>
      </c>
      <c r="CA629" s="235" cm="1">
        <f t="array" ref="CA629">$BI629 * IF($AH629&lt;=2,
SUMPRODUCT(INDEX($AR$23:$AT$61,,$AI629), INDEX($AU$23:$BA$61,,$AH629), 1 / ($BB$23:$BB$61*BY629), N($AQ$23:$AQ$61&gt;$AO629)),
SUMPRODUCT(INDEX($AR$23:$AT$46,,$AI629), INDEX($AU$23:$BA$46,,$AH629), 1 / ($BC$23:$BC$46*BY629), N($AQ$23:$AQ$46&gt;$AO629))
) / 1000</f>
        <v>0</v>
      </c>
      <c r="CB629" s="230">
        <f t="shared" si="625"/>
        <v>0</v>
      </c>
      <c r="CC629" s="238"/>
      <c r="CD629" s="229" cm="1">
        <f t="array" ref="CD629">IF(ISBLANK(Y629), INDEX(Use, $AH629, 4) - AN629*INDEX(Use, $AH629, 6) - (Q629-X629), Y629)</f>
        <v>7</v>
      </c>
      <c r="CE629" s="229">
        <f t="shared" si="626"/>
        <v>32</v>
      </c>
      <c r="CF629" s="230">
        <f t="shared" si="627"/>
        <v>0</v>
      </c>
      <c r="CG629" s="229">
        <v>35</v>
      </c>
      <c r="CH629" s="230">
        <f t="shared" si="628"/>
        <v>48</v>
      </c>
      <c r="CI629" s="235">
        <f t="shared" si="629"/>
        <v>3.0748170731707316</v>
      </c>
      <c r="CJ629" s="235" cm="1">
        <f t="array" ref="CJ629">$BI629 * SUMPRODUCT(INDEX($AR$77:$AT$82,,$AI629),INDEX($AU$77:$BA$82,,$AH629), N($AQ$77:$AQ$82&gt;$AO629)) / CI629 / 1000</f>
        <v>0</v>
      </c>
      <c r="CK629" s="232">
        <f t="shared" si="646"/>
        <v>30</v>
      </c>
      <c r="CL629" s="230">
        <f t="shared" si="630"/>
        <v>43</v>
      </c>
      <c r="CM629" s="235">
        <f t="shared" si="631"/>
        <v>3.5018750000000001</v>
      </c>
      <c r="CN629" s="235" cm="1">
        <f t="array" ref="CN629">$BI629 * IF($AH629&lt;=2,
SUMPRODUCT(INDEX($AR$72:$AT$76,,$AI629), INDEX($AU$72:$BA$76,,$AH629), 1 / ($BB$72:$BB$76*CM629 + (1-$BB$72:$BB$76)*CI629), N($AQ$72:$AQ$76&gt;$AO629)),
SUMPRODUCT(INDEX($AR$67:$AT$76,,$AI629), INDEX($AU$67:$BA$76,,$AH629), 1 / ($BC$67:$BC$76*CM629 + (1-$BC$67:$BC$76)*CI629), N($AQ$67:$AQ$76&gt;$AO629))
) / 1000</f>
        <v>0</v>
      </c>
      <c r="CO629" s="232">
        <f t="shared" si="647"/>
        <v>25</v>
      </c>
      <c r="CP629" s="230">
        <f t="shared" si="632"/>
        <v>38</v>
      </c>
      <c r="CQ629" s="235">
        <f t="shared" si="633"/>
        <v>4.0666935483870965</v>
      </c>
      <c r="CR629" s="235" cm="1">
        <f t="array" ref="CR629">$BI629 * IF($AH629&lt;=2,
SUMPRODUCT(INDEX($AR$67:$AT$71,,$AI629), INDEX($AU$67:$BA$71,,$AH629), 1 / ($BB$67:$BB$71*CQ629 + (1-$BB$67:$BB$71)*CM629), N($AQ$67:$AQ$71&gt;$AO629)),
SUMPRODUCT(INDEX($AR$57:$AT$66,,$AI629), INDEX($AU$57:$BA$66,,$AH629), 1 / ($BC$57:$BC$66*CQ629 + (1-$BC$57:$BC$66)*CM629), N($AQ$57:$AQ$66&gt;$AO629))
) / 1000</f>
        <v>0</v>
      </c>
      <c r="CS629" s="232">
        <f t="shared" si="648"/>
        <v>20</v>
      </c>
      <c r="CT629" s="230">
        <f t="shared" si="634"/>
        <v>33</v>
      </c>
      <c r="CU629" s="235">
        <f t="shared" si="635"/>
        <v>4.8487499999999999</v>
      </c>
      <c r="CV629" s="235" cm="1">
        <f t="array" ref="CV629">$BI629 * IF($AH629&lt;=2,
SUMPRODUCT(INDEX($AR$62:$AT$66,,$AI629), INDEX($AU$62:$BA$66,,$AH629), 1 / ($BB$62:$BB$66*CU629 + (1-$BB$62:$BB$66)*CQ629), N($AQ$62:$AQ$66&gt;$AO629)),
SUMPRODUCT(INDEX($AR$47:$AT$56,,$AI629), INDEX($AU$47:$BA$56,,$AH629), 1 / ($BC$47:$BC$56*CU629 + (1-$BC$47:$BC$56)*CQ629), N($AQ$47:$AQ$56&gt;$AO629))
) / 1000</f>
        <v>0</v>
      </c>
      <c r="CW629" s="235" cm="1">
        <f t="array" ref="CW629">$BI629 * IF($AH629&lt;=2,
SUMPRODUCT(INDEX($AR$23:$AT$61,,$AI629), INDEX($AU$23:$BA$61,,$AH629), 1 / ($BB$23:$BB$61*CU629), N($AQ$23:$AQ$61&gt;$AO629)),
SUMPRODUCT(INDEX($AR$23:$AT$46,,$AI629), INDEX($AU$23:$BA$46,,$AH629), 1 / ($BC$23:$BC$46*CU629), N($AQ$23:$AQ$46&gt;$AO629))
) / 1000</f>
        <v>0</v>
      </c>
      <c r="CX629" s="230">
        <f t="shared" si="636"/>
        <v>0</v>
      </c>
      <c r="CY629" s="238"/>
    </row>
    <row r="630" spans="1:103" s="76" customFormat="1" ht="14.25" customHeight="1" x14ac:dyDescent="0.2">
      <c r="A630" s="231" t="b">
        <f t="shared" si="640"/>
        <v>0</v>
      </c>
      <c r="B630" s="245">
        <v>608</v>
      </c>
      <c r="C630" s="258"/>
      <c r="D630" s="258"/>
      <c r="E630" s="246"/>
      <c r="F630" s="247" t="str">
        <f>IF(ISBLANK(E630), "", VLOOKUP(E630, Z!$A$2:$C$4127, 3, FALSE))</f>
        <v/>
      </c>
      <c r="G630" s="248"/>
      <c r="H630" s="248"/>
      <c r="I630" s="249"/>
      <c r="J630" s="250"/>
      <c r="K630" s="259"/>
      <c r="L630" s="260"/>
      <c r="M630" s="252" t="str" cm="1">
        <f t="array" ref="M630">INDEX(Trad, 53, $A$20)</f>
        <v>Verschmutzt</v>
      </c>
      <c r="N630" s="253"/>
      <c r="O630" s="253"/>
      <c r="P630" s="254"/>
      <c r="Q630" s="251"/>
      <c r="R630" s="251"/>
      <c r="S630" s="264">
        <f t="shared" si="611"/>
        <v>0</v>
      </c>
      <c r="T630" s="252" t="str" cm="1">
        <f t="array" ref="T630">INDEX(Trad, 52, $A$20)</f>
        <v>Sauber</v>
      </c>
      <c r="U630" s="253"/>
      <c r="V630" s="253"/>
      <c r="W630" s="254"/>
      <c r="X630" s="251"/>
      <c r="Y630" s="251"/>
      <c r="Z630" s="264">
        <f t="shared" si="612"/>
        <v>0</v>
      </c>
      <c r="AA630" s="261"/>
      <c r="AB630" s="258"/>
      <c r="AC630" s="246"/>
      <c r="AD630" s="247" t="str">
        <f>IF(ISBLANK(AC630), "", VLOOKUP(AC630, Z!$A$2:$C$4127, 3, FALSE))</f>
        <v/>
      </c>
      <c r="AE630" s="262"/>
      <c r="AF630" s="263">
        <f t="shared" si="613"/>
        <v>0</v>
      </c>
      <c r="AG630" s="238"/>
      <c r="AH630" s="229">
        <f t="shared" si="637"/>
        <v>1</v>
      </c>
      <c r="AI630" s="229">
        <f t="shared" si="638"/>
        <v>1</v>
      </c>
      <c r="AJ630" s="229">
        <f t="shared" si="639"/>
        <v>0</v>
      </c>
      <c r="AK630" s="229">
        <v>0</v>
      </c>
      <c r="AL630" s="229">
        <v>0</v>
      </c>
      <c r="AM630" s="229">
        <v>1</v>
      </c>
      <c r="AN630" s="229">
        <v>0</v>
      </c>
      <c r="AO630" s="229">
        <f t="shared" si="614"/>
        <v>-100</v>
      </c>
      <c r="AP630" s="238"/>
      <c r="AQ630" s="255"/>
      <c r="AR630" s="255"/>
      <c r="AS630" s="256"/>
      <c r="AT630" s="256"/>
      <c r="AU630" s="256"/>
      <c r="AV630" s="256"/>
      <c r="AW630" s="256"/>
      <c r="AX630" s="256"/>
      <c r="AY630" s="256"/>
      <c r="AZ630" s="256"/>
      <c r="BA630" s="256"/>
      <c r="BB630" s="256"/>
      <c r="BC630" s="256"/>
      <c r="BD630" s="238"/>
      <c r="BE630" s="229" cm="1">
        <f t="array" ref="BE630">IF(ISBLANK(R630), INDEX(Use, $AH630, 4) - AM630*INDEX(Use, $AH630, 6), R630)</f>
        <v>5</v>
      </c>
      <c r="BF630" s="229">
        <f t="shared" si="615"/>
        <v>30</v>
      </c>
      <c r="BG630" s="229">
        <f t="shared" si="641"/>
        <v>13</v>
      </c>
      <c r="BH630" s="229">
        <f t="shared" si="642"/>
        <v>0</v>
      </c>
      <c r="BI630" s="234" cm="1">
        <f t="array" ref="BI630">K630/IF($L630&gt;0, INDEX($AU$23:$BA$77, $L630+20, $AH630), 1)</f>
        <v>0</v>
      </c>
      <c r="BJ630" s="230">
        <f t="shared" si="616"/>
        <v>0</v>
      </c>
      <c r="BK630" s="229">
        <v>35</v>
      </c>
      <c r="BL630" s="230">
        <f t="shared" si="617"/>
        <v>48</v>
      </c>
      <c r="BM630" s="235">
        <f t="shared" si="618"/>
        <v>2.9108720930232557</v>
      </c>
      <c r="BN630" s="235" cm="1">
        <f t="array" ref="BN630">$BI630 * SUMPRODUCT(INDEX($AR$77:$AT$82,,$AI630),INDEX($AU$77:$BA$82,,$AH630), N($AQ$77:$AQ$82&gt;$AO630)) / BM630 / 1000</f>
        <v>0</v>
      </c>
      <c r="BO630" s="232">
        <f t="shared" si="643"/>
        <v>30</v>
      </c>
      <c r="BP630" s="230">
        <f t="shared" si="619"/>
        <v>43</v>
      </c>
      <c r="BQ630" s="235">
        <f t="shared" si="620"/>
        <v>3.2938815789473681</v>
      </c>
      <c r="BR630" s="235" cm="1">
        <f t="array" ref="BR630">$BI630 * IF($AH630&lt;=2,
SUMPRODUCT(INDEX($AR$72:$AT$76,,$AI630), INDEX($AU$72:$BA$76,,$AH630), 1 / ($BB$72:$BB$76*BQ630 + (1-$BB$72:$BB$76)*BM630), N($AQ$72:$AQ$76&gt;$AO630)),
SUMPRODUCT(INDEX($AR$67:$AT$76,,$AI630), INDEX($AU$67:$BA$76,,$AH630), 1 / ($BC$67:$BC$76*BQ630 + (1-$BC$67:$BC$76)*BM630), N($AQ$67:$AQ$76&gt;$AO630))
) / 1000</f>
        <v>0</v>
      </c>
      <c r="BS630" s="232">
        <f t="shared" si="644"/>
        <v>25</v>
      </c>
      <c r="BT630" s="230">
        <f t="shared" si="621"/>
        <v>38</v>
      </c>
      <c r="BU630" s="235">
        <f t="shared" si="622"/>
        <v>3.792954545454545</v>
      </c>
      <c r="BV630" s="235" cm="1">
        <f t="array" ref="BV630">$BI630 * IF($AH630&lt;=2,
SUMPRODUCT(INDEX($AR$67:$AT$71,,$AI630), INDEX($AU$67:$BA$71,,$AH630), 1 / ($BB$67:$BB$71*BU630 + (1-$BB$67:$BB$71)*BQ630), N($AQ$67:$AQ$71&gt;$AO630)),
SUMPRODUCT(INDEX($AR$57:$AT$66,,$AI630), INDEX($AU$57:$BA$66,,$AH630), 1 / ($BC$57:$BC$66*BU630 + (1-$BC$57:$BC$66)*BQ630), N($AQ$57:$AQ$66&gt;$AO630))
) / 1000</f>
        <v>0</v>
      </c>
      <c r="BW630" s="232">
        <f t="shared" si="645"/>
        <v>20</v>
      </c>
      <c r="BX630" s="230">
        <f t="shared" si="623"/>
        <v>33</v>
      </c>
      <c r="BY630" s="235">
        <f t="shared" si="624"/>
        <v>4.4702678571428569</v>
      </c>
      <c r="BZ630" s="235" cm="1">
        <f t="array" ref="BZ630">$BI630 * IF($AH630&lt;=2,
SUMPRODUCT(INDEX($AR$62:$AT$66,,$AI630), INDEX($AU$62:$BA$66,,$AH630), 1 / ($BB$62:$BB$66*BY630 + (1-$BB$62:$BB$66)*BU630), N($AQ$62:$AQ$66&gt;$AO630)),
SUMPRODUCT(INDEX($AR$47:$AT$56,,$AI630), INDEX($AU$47:$BA$56,,$AH630), 1 / ($BC$47:$BC$56*BY630 + (1-$BC$47:$BC$56)*BU630), N($AQ$47:$AQ$56&gt;$AO630))
) / 1000</f>
        <v>0</v>
      </c>
      <c r="CA630" s="235" cm="1">
        <f t="array" ref="CA630">$BI630 * IF($AH630&lt;=2,
SUMPRODUCT(INDEX($AR$23:$AT$61,,$AI630), INDEX($AU$23:$BA$61,,$AH630), 1 / ($BB$23:$BB$61*BY630), N($AQ$23:$AQ$61&gt;$AO630)),
SUMPRODUCT(INDEX($AR$23:$AT$46,,$AI630), INDEX($AU$23:$BA$46,,$AH630), 1 / ($BC$23:$BC$46*BY630), N($AQ$23:$AQ$46&gt;$AO630))
) / 1000</f>
        <v>0</v>
      </c>
      <c r="CB630" s="230">
        <f t="shared" si="625"/>
        <v>0</v>
      </c>
      <c r="CC630" s="238"/>
      <c r="CD630" s="229" cm="1">
        <f t="array" ref="CD630">IF(ISBLANK(Y630), INDEX(Use, $AH630, 4) - AN630*INDEX(Use, $AH630, 6) - (Q630-X630), Y630)</f>
        <v>7</v>
      </c>
      <c r="CE630" s="229">
        <f t="shared" si="626"/>
        <v>32</v>
      </c>
      <c r="CF630" s="230">
        <f t="shared" si="627"/>
        <v>0</v>
      </c>
      <c r="CG630" s="229">
        <v>35</v>
      </c>
      <c r="CH630" s="230">
        <f t="shared" si="628"/>
        <v>48</v>
      </c>
      <c r="CI630" s="235">
        <f t="shared" si="629"/>
        <v>3.0748170731707316</v>
      </c>
      <c r="CJ630" s="235" cm="1">
        <f t="array" ref="CJ630">$BI630 * SUMPRODUCT(INDEX($AR$77:$AT$82,,$AI630),INDEX($AU$77:$BA$82,,$AH630), N($AQ$77:$AQ$82&gt;$AO630)) / CI630 / 1000</f>
        <v>0</v>
      </c>
      <c r="CK630" s="232">
        <f t="shared" si="646"/>
        <v>30</v>
      </c>
      <c r="CL630" s="230">
        <f t="shared" si="630"/>
        <v>43</v>
      </c>
      <c r="CM630" s="235">
        <f t="shared" si="631"/>
        <v>3.5018750000000001</v>
      </c>
      <c r="CN630" s="235" cm="1">
        <f t="array" ref="CN630">$BI630 * IF($AH630&lt;=2,
SUMPRODUCT(INDEX($AR$72:$AT$76,,$AI630), INDEX($AU$72:$BA$76,,$AH630), 1 / ($BB$72:$BB$76*CM630 + (1-$BB$72:$BB$76)*CI630), N($AQ$72:$AQ$76&gt;$AO630)),
SUMPRODUCT(INDEX($AR$67:$AT$76,,$AI630), INDEX($AU$67:$BA$76,,$AH630), 1 / ($BC$67:$BC$76*CM630 + (1-$BC$67:$BC$76)*CI630), N($AQ$67:$AQ$76&gt;$AO630))
) / 1000</f>
        <v>0</v>
      </c>
      <c r="CO630" s="232">
        <f t="shared" si="647"/>
        <v>25</v>
      </c>
      <c r="CP630" s="230">
        <f t="shared" si="632"/>
        <v>38</v>
      </c>
      <c r="CQ630" s="235">
        <f t="shared" si="633"/>
        <v>4.0666935483870965</v>
      </c>
      <c r="CR630" s="235" cm="1">
        <f t="array" ref="CR630">$BI630 * IF($AH630&lt;=2,
SUMPRODUCT(INDEX($AR$67:$AT$71,,$AI630), INDEX($AU$67:$BA$71,,$AH630), 1 / ($BB$67:$BB$71*CQ630 + (1-$BB$67:$BB$71)*CM630), N($AQ$67:$AQ$71&gt;$AO630)),
SUMPRODUCT(INDEX($AR$57:$AT$66,,$AI630), INDEX($AU$57:$BA$66,,$AH630), 1 / ($BC$57:$BC$66*CQ630 + (1-$BC$57:$BC$66)*CM630), N($AQ$57:$AQ$66&gt;$AO630))
) / 1000</f>
        <v>0</v>
      </c>
      <c r="CS630" s="232">
        <f t="shared" si="648"/>
        <v>20</v>
      </c>
      <c r="CT630" s="230">
        <f t="shared" si="634"/>
        <v>33</v>
      </c>
      <c r="CU630" s="235">
        <f t="shared" si="635"/>
        <v>4.8487499999999999</v>
      </c>
      <c r="CV630" s="235" cm="1">
        <f t="array" ref="CV630">$BI630 * IF($AH630&lt;=2,
SUMPRODUCT(INDEX($AR$62:$AT$66,,$AI630), INDEX($AU$62:$BA$66,,$AH630), 1 / ($BB$62:$BB$66*CU630 + (1-$BB$62:$BB$66)*CQ630), N($AQ$62:$AQ$66&gt;$AO630)),
SUMPRODUCT(INDEX($AR$47:$AT$56,,$AI630), INDEX($AU$47:$BA$56,,$AH630), 1 / ($BC$47:$BC$56*CU630 + (1-$BC$47:$BC$56)*CQ630), N($AQ$47:$AQ$56&gt;$AO630))
) / 1000</f>
        <v>0</v>
      </c>
      <c r="CW630" s="235" cm="1">
        <f t="array" ref="CW630">$BI630 * IF($AH630&lt;=2,
SUMPRODUCT(INDEX($AR$23:$AT$61,,$AI630), INDEX($AU$23:$BA$61,,$AH630), 1 / ($BB$23:$BB$61*CU630), N($AQ$23:$AQ$61&gt;$AO630)),
SUMPRODUCT(INDEX($AR$23:$AT$46,,$AI630), INDEX($AU$23:$BA$46,,$AH630), 1 / ($BC$23:$BC$46*CU630), N($AQ$23:$AQ$46&gt;$AO630))
) / 1000</f>
        <v>0</v>
      </c>
      <c r="CX630" s="230">
        <f t="shared" si="636"/>
        <v>0</v>
      </c>
      <c r="CY630" s="238"/>
    </row>
    <row r="631" spans="1:103" s="76" customFormat="1" ht="14.25" customHeight="1" x14ac:dyDescent="0.2">
      <c r="A631" s="231" t="b">
        <f t="shared" si="640"/>
        <v>0</v>
      </c>
      <c r="B631" s="245">
        <v>609</v>
      </c>
      <c r="C631" s="258"/>
      <c r="D631" s="258"/>
      <c r="E631" s="246"/>
      <c r="F631" s="247" t="str">
        <f>IF(ISBLANK(E631), "", VLOOKUP(E631, Z!$A$2:$C$4127, 3, FALSE))</f>
        <v/>
      </c>
      <c r="G631" s="248"/>
      <c r="H631" s="248"/>
      <c r="I631" s="249"/>
      <c r="J631" s="250"/>
      <c r="K631" s="259"/>
      <c r="L631" s="260"/>
      <c r="M631" s="252" t="str" cm="1">
        <f t="array" ref="M631">INDEX(Trad, 53, $A$20)</f>
        <v>Verschmutzt</v>
      </c>
      <c r="N631" s="253"/>
      <c r="O631" s="253"/>
      <c r="P631" s="254"/>
      <c r="Q631" s="251"/>
      <c r="R631" s="251"/>
      <c r="S631" s="264">
        <f t="shared" si="611"/>
        <v>0</v>
      </c>
      <c r="T631" s="252" t="str" cm="1">
        <f t="array" ref="T631">INDEX(Trad, 52, $A$20)</f>
        <v>Sauber</v>
      </c>
      <c r="U631" s="253"/>
      <c r="V631" s="253"/>
      <c r="W631" s="254"/>
      <c r="X631" s="251"/>
      <c r="Y631" s="251"/>
      <c r="Z631" s="264">
        <f t="shared" si="612"/>
        <v>0</v>
      </c>
      <c r="AA631" s="261"/>
      <c r="AB631" s="258"/>
      <c r="AC631" s="246"/>
      <c r="AD631" s="247" t="str">
        <f>IF(ISBLANK(AC631), "", VLOOKUP(AC631, Z!$A$2:$C$4127, 3, FALSE))</f>
        <v/>
      </c>
      <c r="AE631" s="262"/>
      <c r="AF631" s="263">
        <f t="shared" si="613"/>
        <v>0</v>
      </c>
      <c r="AG631" s="238"/>
      <c r="AH631" s="229">
        <f t="shared" si="637"/>
        <v>1</v>
      </c>
      <c r="AI631" s="229">
        <f t="shared" si="638"/>
        <v>1</v>
      </c>
      <c r="AJ631" s="229">
        <f t="shared" si="639"/>
        <v>0</v>
      </c>
      <c r="AK631" s="229">
        <v>0</v>
      </c>
      <c r="AL631" s="229">
        <v>0</v>
      </c>
      <c r="AM631" s="229">
        <v>1</v>
      </c>
      <c r="AN631" s="229">
        <v>0</v>
      </c>
      <c r="AO631" s="229">
        <f t="shared" si="614"/>
        <v>-100</v>
      </c>
      <c r="AP631" s="238"/>
      <c r="AQ631" s="255"/>
      <c r="AR631" s="255"/>
      <c r="AS631" s="256"/>
      <c r="AT631" s="256"/>
      <c r="AU631" s="256"/>
      <c r="AV631" s="256"/>
      <c r="AW631" s="256"/>
      <c r="AX631" s="256"/>
      <c r="AY631" s="256"/>
      <c r="AZ631" s="256"/>
      <c r="BA631" s="256"/>
      <c r="BB631" s="256"/>
      <c r="BC631" s="256"/>
      <c r="BD631" s="238"/>
      <c r="BE631" s="229" cm="1">
        <f t="array" ref="BE631">IF(ISBLANK(R631), INDEX(Use, $AH631, 4) - AM631*INDEX(Use, $AH631, 6), R631)</f>
        <v>5</v>
      </c>
      <c r="BF631" s="229">
        <f t="shared" si="615"/>
        <v>30</v>
      </c>
      <c r="BG631" s="229">
        <f t="shared" si="641"/>
        <v>13</v>
      </c>
      <c r="BH631" s="229">
        <f t="shared" si="642"/>
        <v>0</v>
      </c>
      <c r="BI631" s="234" cm="1">
        <f t="array" ref="BI631">K631/IF($L631&gt;0, INDEX($AU$23:$BA$77, $L631+20, $AH631), 1)</f>
        <v>0</v>
      </c>
      <c r="BJ631" s="230">
        <f t="shared" si="616"/>
        <v>0</v>
      </c>
      <c r="BK631" s="229">
        <v>35</v>
      </c>
      <c r="BL631" s="230">
        <f t="shared" si="617"/>
        <v>48</v>
      </c>
      <c r="BM631" s="235">
        <f t="shared" si="618"/>
        <v>2.9108720930232557</v>
      </c>
      <c r="BN631" s="235" cm="1">
        <f t="array" ref="BN631">$BI631 * SUMPRODUCT(INDEX($AR$77:$AT$82,,$AI631),INDEX($AU$77:$BA$82,,$AH631), N($AQ$77:$AQ$82&gt;$AO631)) / BM631 / 1000</f>
        <v>0</v>
      </c>
      <c r="BO631" s="232">
        <f t="shared" si="643"/>
        <v>30</v>
      </c>
      <c r="BP631" s="230">
        <f t="shared" si="619"/>
        <v>43</v>
      </c>
      <c r="BQ631" s="235">
        <f t="shared" si="620"/>
        <v>3.2938815789473681</v>
      </c>
      <c r="BR631" s="235" cm="1">
        <f t="array" ref="BR631">$BI631 * IF($AH631&lt;=2,
SUMPRODUCT(INDEX($AR$72:$AT$76,,$AI631), INDEX($AU$72:$BA$76,,$AH631), 1 / ($BB$72:$BB$76*BQ631 + (1-$BB$72:$BB$76)*BM631), N($AQ$72:$AQ$76&gt;$AO631)),
SUMPRODUCT(INDEX($AR$67:$AT$76,,$AI631), INDEX($AU$67:$BA$76,,$AH631), 1 / ($BC$67:$BC$76*BQ631 + (1-$BC$67:$BC$76)*BM631), N($AQ$67:$AQ$76&gt;$AO631))
) / 1000</f>
        <v>0</v>
      </c>
      <c r="BS631" s="232">
        <f t="shared" si="644"/>
        <v>25</v>
      </c>
      <c r="BT631" s="230">
        <f t="shared" si="621"/>
        <v>38</v>
      </c>
      <c r="BU631" s="235">
        <f t="shared" si="622"/>
        <v>3.792954545454545</v>
      </c>
      <c r="BV631" s="235" cm="1">
        <f t="array" ref="BV631">$BI631 * IF($AH631&lt;=2,
SUMPRODUCT(INDEX($AR$67:$AT$71,,$AI631), INDEX($AU$67:$BA$71,,$AH631), 1 / ($BB$67:$BB$71*BU631 + (1-$BB$67:$BB$71)*BQ631), N($AQ$67:$AQ$71&gt;$AO631)),
SUMPRODUCT(INDEX($AR$57:$AT$66,,$AI631), INDEX($AU$57:$BA$66,,$AH631), 1 / ($BC$57:$BC$66*BU631 + (1-$BC$57:$BC$66)*BQ631), N($AQ$57:$AQ$66&gt;$AO631))
) / 1000</f>
        <v>0</v>
      </c>
      <c r="BW631" s="232">
        <f t="shared" si="645"/>
        <v>20</v>
      </c>
      <c r="BX631" s="230">
        <f t="shared" si="623"/>
        <v>33</v>
      </c>
      <c r="BY631" s="235">
        <f t="shared" si="624"/>
        <v>4.4702678571428569</v>
      </c>
      <c r="BZ631" s="235" cm="1">
        <f t="array" ref="BZ631">$BI631 * IF($AH631&lt;=2,
SUMPRODUCT(INDEX($AR$62:$AT$66,,$AI631), INDEX($AU$62:$BA$66,,$AH631), 1 / ($BB$62:$BB$66*BY631 + (1-$BB$62:$BB$66)*BU631), N($AQ$62:$AQ$66&gt;$AO631)),
SUMPRODUCT(INDEX($AR$47:$AT$56,,$AI631), INDEX($AU$47:$BA$56,,$AH631), 1 / ($BC$47:$BC$56*BY631 + (1-$BC$47:$BC$56)*BU631), N($AQ$47:$AQ$56&gt;$AO631))
) / 1000</f>
        <v>0</v>
      </c>
      <c r="CA631" s="235" cm="1">
        <f t="array" ref="CA631">$BI631 * IF($AH631&lt;=2,
SUMPRODUCT(INDEX($AR$23:$AT$61,,$AI631), INDEX($AU$23:$BA$61,,$AH631), 1 / ($BB$23:$BB$61*BY631), N($AQ$23:$AQ$61&gt;$AO631)),
SUMPRODUCT(INDEX($AR$23:$AT$46,,$AI631), INDEX($AU$23:$BA$46,,$AH631), 1 / ($BC$23:$BC$46*BY631), N($AQ$23:$AQ$46&gt;$AO631))
) / 1000</f>
        <v>0</v>
      </c>
      <c r="CB631" s="230">
        <f t="shared" si="625"/>
        <v>0</v>
      </c>
      <c r="CC631" s="238"/>
      <c r="CD631" s="229" cm="1">
        <f t="array" ref="CD631">IF(ISBLANK(Y631), INDEX(Use, $AH631, 4) - AN631*INDEX(Use, $AH631, 6) - (Q631-X631), Y631)</f>
        <v>7</v>
      </c>
      <c r="CE631" s="229">
        <f t="shared" si="626"/>
        <v>32</v>
      </c>
      <c r="CF631" s="230">
        <f t="shared" si="627"/>
        <v>0</v>
      </c>
      <c r="CG631" s="229">
        <v>35</v>
      </c>
      <c r="CH631" s="230">
        <f t="shared" si="628"/>
        <v>48</v>
      </c>
      <c r="CI631" s="235">
        <f t="shared" si="629"/>
        <v>3.0748170731707316</v>
      </c>
      <c r="CJ631" s="235" cm="1">
        <f t="array" ref="CJ631">$BI631 * SUMPRODUCT(INDEX($AR$77:$AT$82,,$AI631),INDEX($AU$77:$BA$82,,$AH631), N($AQ$77:$AQ$82&gt;$AO631)) / CI631 / 1000</f>
        <v>0</v>
      </c>
      <c r="CK631" s="232">
        <f t="shared" si="646"/>
        <v>30</v>
      </c>
      <c r="CL631" s="230">
        <f t="shared" si="630"/>
        <v>43</v>
      </c>
      <c r="CM631" s="235">
        <f t="shared" si="631"/>
        <v>3.5018750000000001</v>
      </c>
      <c r="CN631" s="235" cm="1">
        <f t="array" ref="CN631">$BI631 * IF($AH631&lt;=2,
SUMPRODUCT(INDEX($AR$72:$AT$76,,$AI631), INDEX($AU$72:$BA$76,,$AH631), 1 / ($BB$72:$BB$76*CM631 + (1-$BB$72:$BB$76)*CI631), N($AQ$72:$AQ$76&gt;$AO631)),
SUMPRODUCT(INDEX($AR$67:$AT$76,,$AI631), INDEX($AU$67:$BA$76,,$AH631), 1 / ($BC$67:$BC$76*CM631 + (1-$BC$67:$BC$76)*CI631), N($AQ$67:$AQ$76&gt;$AO631))
) / 1000</f>
        <v>0</v>
      </c>
      <c r="CO631" s="232">
        <f t="shared" si="647"/>
        <v>25</v>
      </c>
      <c r="CP631" s="230">
        <f t="shared" si="632"/>
        <v>38</v>
      </c>
      <c r="CQ631" s="235">
        <f t="shared" si="633"/>
        <v>4.0666935483870965</v>
      </c>
      <c r="CR631" s="235" cm="1">
        <f t="array" ref="CR631">$BI631 * IF($AH631&lt;=2,
SUMPRODUCT(INDEX($AR$67:$AT$71,,$AI631), INDEX($AU$67:$BA$71,,$AH631), 1 / ($BB$67:$BB$71*CQ631 + (1-$BB$67:$BB$71)*CM631), N($AQ$67:$AQ$71&gt;$AO631)),
SUMPRODUCT(INDEX($AR$57:$AT$66,,$AI631), INDEX($AU$57:$BA$66,,$AH631), 1 / ($BC$57:$BC$66*CQ631 + (1-$BC$57:$BC$66)*CM631), N($AQ$57:$AQ$66&gt;$AO631))
) / 1000</f>
        <v>0</v>
      </c>
      <c r="CS631" s="232">
        <f t="shared" si="648"/>
        <v>20</v>
      </c>
      <c r="CT631" s="230">
        <f t="shared" si="634"/>
        <v>33</v>
      </c>
      <c r="CU631" s="235">
        <f t="shared" si="635"/>
        <v>4.8487499999999999</v>
      </c>
      <c r="CV631" s="235" cm="1">
        <f t="array" ref="CV631">$BI631 * IF($AH631&lt;=2,
SUMPRODUCT(INDEX($AR$62:$AT$66,,$AI631), INDEX($AU$62:$BA$66,,$AH631), 1 / ($BB$62:$BB$66*CU631 + (1-$BB$62:$BB$66)*CQ631), N($AQ$62:$AQ$66&gt;$AO631)),
SUMPRODUCT(INDEX($AR$47:$AT$56,,$AI631), INDEX($AU$47:$BA$56,,$AH631), 1 / ($BC$47:$BC$56*CU631 + (1-$BC$47:$BC$56)*CQ631), N($AQ$47:$AQ$56&gt;$AO631))
) / 1000</f>
        <v>0</v>
      </c>
      <c r="CW631" s="235" cm="1">
        <f t="array" ref="CW631">$BI631 * IF($AH631&lt;=2,
SUMPRODUCT(INDEX($AR$23:$AT$61,,$AI631), INDEX($AU$23:$BA$61,,$AH631), 1 / ($BB$23:$BB$61*CU631), N($AQ$23:$AQ$61&gt;$AO631)),
SUMPRODUCT(INDEX($AR$23:$AT$46,,$AI631), INDEX($AU$23:$BA$46,,$AH631), 1 / ($BC$23:$BC$46*CU631), N($AQ$23:$AQ$46&gt;$AO631))
) / 1000</f>
        <v>0</v>
      </c>
      <c r="CX631" s="230">
        <f t="shared" si="636"/>
        <v>0</v>
      </c>
      <c r="CY631" s="238"/>
    </row>
    <row r="632" spans="1:103" s="76" customFormat="1" ht="14.25" customHeight="1" x14ac:dyDescent="0.2">
      <c r="A632" s="231" t="b">
        <f t="shared" si="640"/>
        <v>0</v>
      </c>
      <c r="B632" s="245">
        <v>610</v>
      </c>
      <c r="C632" s="258"/>
      <c r="D632" s="258"/>
      <c r="E632" s="246"/>
      <c r="F632" s="247" t="str">
        <f>IF(ISBLANK(E632), "", VLOOKUP(E632, Z!$A$2:$C$4127, 3, FALSE))</f>
        <v/>
      </c>
      <c r="G632" s="248"/>
      <c r="H632" s="248"/>
      <c r="I632" s="249"/>
      <c r="J632" s="250"/>
      <c r="K632" s="259"/>
      <c r="L632" s="260"/>
      <c r="M632" s="252" t="str" cm="1">
        <f t="array" ref="M632">INDEX(Trad, 53, $A$20)</f>
        <v>Verschmutzt</v>
      </c>
      <c r="N632" s="253"/>
      <c r="O632" s="253"/>
      <c r="P632" s="254"/>
      <c r="Q632" s="251"/>
      <c r="R632" s="251"/>
      <c r="S632" s="264">
        <f t="shared" si="611"/>
        <v>0</v>
      </c>
      <c r="T632" s="252" t="str" cm="1">
        <f t="array" ref="T632">INDEX(Trad, 52, $A$20)</f>
        <v>Sauber</v>
      </c>
      <c r="U632" s="253"/>
      <c r="V632" s="253"/>
      <c r="W632" s="254"/>
      <c r="X632" s="251"/>
      <c r="Y632" s="251"/>
      <c r="Z632" s="264">
        <f t="shared" si="612"/>
        <v>0</v>
      </c>
      <c r="AA632" s="261"/>
      <c r="AB632" s="258"/>
      <c r="AC632" s="246"/>
      <c r="AD632" s="247" t="str">
        <f>IF(ISBLANK(AC632), "", VLOOKUP(AC632, Z!$A$2:$C$4127, 3, FALSE))</f>
        <v/>
      </c>
      <c r="AE632" s="262"/>
      <c r="AF632" s="263">
        <f t="shared" si="613"/>
        <v>0</v>
      </c>
      <c r="AG632" s="238"/>
      <c r="AH632" s="229">
        <f t="shared" si="637"/>
        <v>1</v>
      </c>
      <c r="AI632" s="229">
        <f t="shared" si="638"/>
        <v>1</v>
      </c>
      <c r="AJ632" s="229">
        <f t="shared" si="639"/>
        <v>0</v>
      </c>
      <c r="AK632" s="229">
        <v>0</v>
      </c>
      <c r="AL632" s="229">
        <v>0</v>
      </c>
      <c r="AM632" s="229">
        <v>1</v>
      </c>
      <c r="AN632" s="229">
        <v>0</v>
      </c>
      <c r="AO632" s="229">
        <f t="shared" si="614"/>
        <v>-100</v>
      </c>
      <c r="AP632" s="238"/>
      <c r="AQ632" s="255"/>
      <c r="AR632" s="255"/>
      <c r="AS632" s="256"/>
      <c r="AT632" s="256"/>
      <c r="AU632" s="256"/>
      <c r="AV632" s="256"/>
      <c r="AW632" s="256"/>
      <c r="AX632" s="256"/>
      <c r="AY632" s="256"/>
      <c r="AZ632" s="256"/>
      <c r="BA632" s="256"/>
      <c r="BB632" s="256"/>
      <c r="BC632" s="256"/>
      <c r="BD632" s="238"/>
      <c r="BE632" s="229" cm="1">
        <f t="array" ref="BE632">IF(ISBLANK(R632), INDEX(Use, $AH632, 4) - AM632*INDEX(Use, $AH632, 6), R632)</f>
        <v>5</v>
      </c>
      <c r="BF632" s="229">
        <f t="shared" si="615"/>
        <v>30</v>
      </c>
      <c r="BG632" s="229">
        <f t="shared" si="641"/>
        <v>13</v>
      </c>
      <c r="BH632" s="229">
        <f t="shared" si="642"/>
        <v>0</v>
      </c>
      <c r="BI632" s="234" cm="1">
        <f t="array" ref="BI632">K632/IF($L632&gt;0, INDEX($AU$23:$BA$77, $L632+20, $AH632), 1)</f>
        <v>0</v>
      </c>
      <c r="BJ632" s="230">
        <f t="shared" si="616"/>
        <v>0</v>
      </c>
      <c r="BK632" s="229">
        <v>35</v>
      </c>
      <c r="BL632" s="230">
        <f t="shared" si="617"/>
        <v>48</v>
      </c>
      <c r="BM632" s="235">
        <f t="shared" si="618"/>
        <v>2.9108720930232557</v>
      </c>
      <c r="BN632" s="235" cm="1">
        <f t="array" ref="BN632">$BI632 * SUMPRODUCT(INDEX($AR$77:$AT$82,,$AI632),INDEX($AU$77:$BA$82,,$AH632), N($AQ$77:$AQ$82&gt;$AO632)) / BM632 / 1000</f>
        <v>0</v>
      </c>
      <c r="BO632" s="232">
        <f t="shared" si="643"/>
        <v>30</v>
      </c>
      <c r="BP632" s="230">
        <f t="shared" si="619"/>
        <v>43</v>
      </c>
      <c r="BQ632" s="235">
        <f t="shared" si="620"/>
        <v>3.2938815789473681</v>
      </c>
      <c r="BR632" s="235" cm="1">
        <f t="array" ref="BR632">$BI632 * IF($AH632&lt;=2,
SUMPRODUCT(INDEX($AR$72:$AT$76,,$AI632), INDEX($AU$72:$BA$76,,$AH632), 1 / ($BB$72:$BB$76*BQ632 + (1-$BB$72:$BB$76)*BM632), N($AQ$72:$AQ$76&gt;$AO632)),
SUMPRODUCT(INDEX($AR$67:$AT$76,,$AI632), INDEX($AU$67:$BA$76,,$AH632), 1 / ($BC$67:$BC$76*BQ632 + (1-$BC$67:$BC$76)*BM632), N($AQ$67:$AQ$76&gt;$AO632))
) / 1000</f>
        <v>0</v>
      </c>
      <c r="BS632" s="232">
        <f t="shared" si="644"/>
        <v>25</v>
      </c>
      <c r="BT632" s="230">
        <f t="shared" si="621"/>
        <v>38</v>
      </c>
      <c r="BU632" s="235">
        <f t="shared" si="622"/>
        <v>3.792954545454545</v>
      </c>
      <c r="BV632" s="235" cm="1">
        <f t="array" ref="BV632">$BI632 * IF($AH632&lt;=2,
SUMPRODUCT(INDEX($AR$67:$AT$71,,$AI632), INDEX($AU$67:$BA$71,,$AH632), 1 / ($BB$67:$BB$71*BU632 + (1-$BB$67:$BB$71)*BQ632), N($AQ$67:$AQ$71&gt;$AO632)),
SUMPRODUCT(INDEX($AR$57:$AT$66,,$AI632), INDEX($AU$57:$BA$66,,$AH632), 1 / ($BC$57:$BC$66*BU632 + (1-$BC$57:$BC$66)*BQ632), N($AQ$57:$AQ$66&gt;$AO632))
) / 1000</f>
        <v>0</v>
      </c>
      <c r="BW632" s="232">
        <f t="shared" si="645"/>
        <v>20</v>
      </c>
      <c r="BX632" s="230">
        <f t="shared" si="623"/>
        <v>33</v>
      </c>
      <c r="BY632" s="235">
        <f t="shared" si="624"/>
        <v>4.4702678571428569</v>
      </c>
      <c r="BZ632" s="235" cm="1">
        <f t="array" ref="BZ632">$BI632 * IF($AH632&lt;=2,
SUMPRODUCT(INDEX($AR$62:$AT$66,,$AI632), INDEX($AU$62:$BA$66,,$AH632), 1 / ($BB$62:$BB$66*BY632 + (1-$BB$62:$BB$66)*BU632), N($AQ$62:$AQ$66&gt;$AO632)),
SUMPRODUCT(INDEX($AR$47:$AT$56,,$AI632), INDEX($AU$47:$BA$56,,$AH632), 1 / ($BC$47:$BC$56*BY632 + (1-$BC$47:$BC$56)*BU632), N($AQ$47:$AQ$56&gt;$AO632))
) / 1000</f>
        <v>0</v>
      </c>
      <c r="CA632" s="235" cm="1">
        <f t="array" ref="CA632">$BI632 * IF($AH632&lt;=2,
SUMPRODUCT(INDEX($AR$23:$AT$61,,$AI632), INDEX($AU$23:$BA$61,,$AH632), 1 / ($BB$23:$BB$61*BY632), N($AQ$23:$AQ$61&gt;$AO632)),
SUMPRODUCT(INDEX($AR$23:$AT$46,,$AI632), INDEX($AU$23:$BA$46,,$AH632), 1 / ($BC$23:$BC$46*BY632), N($AQ$23:$AQ$46&gt;$AO632))
) / 1000</f>
        <v>0</v>
      </c>
      <c r="CB632" s="230">
        <f t="shared" si="625"/>
        <v>0</v>
      </c>
      <c r="CC632" s="238"/>
      <c r="CD632" s="229" cm="1">
        <f t="array" ref="CD632">IF(ISBLANK(Y632), INDEX(Use, $AH632, 4) - AN632*INDEX(Use, $AH632, 6) - (Q632-X632), Y632)</f>
        <v>7</v>
      </c>
      <c r="CE632" s="229">
        <f t="shared" si="626"/>
        <v>32</v>
      </c>
      <c r="CF632" s="230">
        <f t="shared" si="627"/>
        <v>0</v>
      </c>
      <c r="CG632" s="229">
        <v>35</v>
      </c>
      <c r="CH632" s="230">
        <f t="shared" si="628"/>
        <v>48</v>
      </c>
      <c r="CI632" s="235">
        <f t="shared" si="629"/>
        <v>3.0748170731707316</v>
      </c>
      <c r="CJ632" s="235" cm="1">
        <f t="array" ref="CJ632">$BI632 * SUMPRODUCT(INDEX($AR$77:$AT$82,,$AI632),INDEX($AU$77:$BA$82,,$AH632), N($AQ$77:$AQ$82&gt;$AO632)) / CI632 / 1000</f>
        <v>0</v>
      </c>
      <c r="CK632" s="232">
        <f t="shared" si="646"/>
        <v>30</v>
      </c>
      <c r="CL632" s="230">
        <f t="shared" si="630"/>
        <v>43</v>
      </c>
      <c r="CM632" s="235">
        <f t="shared" si="631"/>
        <v>3.5018750000000001</v>
      </c>
      <c r="CN632" s="235" cm="1">
        <f t="array" ref="CN632">$BI632 * IF($AH632&lt;=2,
SUMPRODUCT(INDEX($AR$72:$AT$76,,$AI632), INDEX($AU$72:$BA$76,,$AH632), 1 / ($BB$72:$BB$76*CM632 + (1-$BB$72:$BB$76)*CI632), N($AQ$72:$AQ$76&gt;$AO632)),
SUMPRODUCT(INDEX($AR$67:$AT$76,,$AI632), INDEX($AU$67:$BA$76,,$AH632), 1 / ($BC$67:$BC$76*CM632 + (1-$BC$67:$BC$76)*CI632), N($AQ$67:$AQ$76&gt;$AO632))
) / 1000</f>
        <v>0</v>
      </c>
      <c r="CO632" s="232">
        <f t="shared" si="647"/>
        <v>25</v>
      </c>
      <c r="CP632" s="230">
        <f t="shared" si="632"/>
        <v>38</v>
      </c>
      <c r="CQ632" s="235">
        <f t="shared" si="633"/>
        <v>4.0666935483870965</v>
      </c>
      <c r="CR632" s="235" cm="1">
        <f t="array" ref="CR632">$BI632 * IF($AH632&lt;=2,
SUMPRODUCT(INDEX($AR$67:$AT$71,,$AI632), INDEX($AU$67:$BA$71,,$AH632), 1 / ($BB$67:$BB$71*CQ632 + (1-$BB$67:$BB$71)*CM632), N($AQ$67:$AQ$71&gt;$AO632)),
SUMPRODUCT(INDEX($AR$57:$AT$66,,$AI632), INDEX($AU$57:$BA$66,,$AH632), 1 / ($BC$57:$BC$66*CQ632 + (1-$BC$57:$BC$66)*CM632), N($AQ$57:$AQ$66&gt;$AO632))
) / 1000</f>
        <v>0</v>
      </c>
      <c r="CS632" s="232">
        <f t="shared" si="648"/>
        <v>20</v>
      </c>
      <c r="CT632" s="230">
        <f t="shared" si="634"/>
        <v>33</v>
      </c>
      <c r="CU632" s="235">
        <f t="shared" si="635"/>
        <v>4.8487499999999999</v>
      </c>
      <c r="CV632" s="235" cm="1">
        <f t="array" ref="CV632">$BI632 * IF($AH632&lt;=2,
SUMPRODUCT(INDEX($AR$62:$AT$66,,$AI632), INDEX($AU$62:$BA$66,,$AH632), 1 / ($BB$62:$BB$66*CU632 + (1-$BB$62:$BB$66)*CQ632), N($AQ$62:$AQ$66&gt;$AO632)),
SUMPRODUCT(INDEX($AR$47:$AT$56,,$AI632), INDEX($AU$47:$BA$56,,$AH632), 1 / ($BC$47:$BC$56*CU632 + (1-$BC$47:$BC$56)*CQ632), N($AQ$47:$AQ$56&gt;$AO632))
) / 1000</f>
        <v>0</v>
      </c>
      <c r="CW632" s="235" cm="1">
        <f t="array" ref="CW632">$BI632 * IF($AH632&lt;=2,
SUMPRODUCT(INDEX($AR$23:$AT$61,,$AI632), INDEX($AU$23:$BA$61,,$AH632), 1 / ($BB$23:$BB$61*CU632), N($AQ$23:$AQ$61&gt;$AO632)),
SUMPRODUCT(INDEX($AR$23:$AT$46,,$AI632), INDEX($AU$23:$BA$46,,$AH632), 1 / ($BC$23:$BC$46*CU632), N($AQ$23:$AQ$46&gt;$AO632))
) / 1000</f>
        <v>0</v>
      </c>
      <c r="CX632" s="230">
        <f t="shared" si="636"/>
        <v>0</v>
      </c>
      <c r="CY632" s="238"/>
    </row>
    <row r="633" spans="1:103" s="76" customFormat="1" ht="14.25" customHeight="1" x14ac:dyDescent="0.2">
      <c r="A633" s="231" t="b">
        <f t="shared" si="640"/>
        <v>0</v>
      </c>
      <c r="B633" s="245">
        <v>611</v>
      </c>
      <c r="C633" s="258"/>
      <c r="D633" s="258"/>
      <c r="E633" s="246"/>
      <c r="F633" s="247" t="str">
        <f>IF(ISBLANK(E633), "", VLOOKUP(E633, Z!$A$2:$C$4127, 3, FALSE))</f>
        <v/>
      </c>
      <c r="G633" s="248"/>
      <c r="H633" s="248"/>
      <c r="I633" s="249"/>
      <c r="J633" s="250"/>
      <c r="K633" s="259"/>
      <c r="L633" s="260"/>
      <c r="M633" s="252" t="str" cm="1">
        <f t="array" ref="M633">INDEX(Trad, 53, $A$20)</f>
        <v>Verschmutzt</v>
      </c>
      <c r="N633" s="253"/>
      <c r="O633" s="253"/>
      <c r="P633" s="254"/>
      <c r="Q633" s="251"/>
      <c r="R633" s="251"/>
      <c r="S633" s="264">
        <f t="shared" si="611"/>
        <v>0</v>
      </c>
      <c r="T633" s="252" t="str" cm="1">
        <f t="array" ref="T633">INDEX(Trad, 52, $A$20)</f>
        <v>Sauber</v>
      </c>
      <c r="U633" s="253"/>
      <c r="V633" s="253"/>
      <c r="W633" s="254"/>
      <c r="X633" s="251"/>
      <c r="Y633" s="251"/>
      <c r="Z633" s="264">
        <f t="shared" si="612"/>
        <v>0</v>
      </c>
      <c r="AA633" s="261"/>
      <c r="AB633" s="258"/>
      <c r="AC633" s="246"/>
      <c r="AD633" s="247" t="str">
        <f>IF(ISBLANK(AC633), "", VLOOKUP(AC633, Z!$A$2:$C$4127, 3, FALSE))</f>
        <v/>
      </c>
      <c r="AE633" s="262"/>
      <c r="AF633" s="263">
        <f t="shared" si="613"/>
        <v>0</v>
      </c>
      <c r="AG633" s="238"/>
      <c r="AH633" s="229">
        <f t="shared" si="637"/>
        <v>1</v>
      </c>
      <c r="AI633" s="229">
        <f t="shared" si="638"/>
        <v>1</v>
      </c>
      <c r="AJ633" s="229">
        <f t="shared" si="639"/>
        <v>0</v>
      </c>
      <c r="AK633" s="229">
        <v>0</v>
      </c>
      <c r="AL633" s="229">
        <v>0</v>
      </c>
      <c r="AM633" s="229">
        <v>1</v>
      </c>
      <c r="AN633" s="229">
        <v>0</v>
      </c>
      <c r="AO633" s="229">
        <f t="shared" si="614"/>
        <v>-100</v>
      </c>
      <c r="AP633" s="238"/>
      <c r="AQ633" s="255"/>
      <c r="AR633" s="255"/>
      <c r="AS633" s="256"/>
      <c r="AT633" s="256"/>
      <c r="AU633" s="256"/>
      <c r="AV633" s="256"/>
      <c r="AW633" s="256"/>
      <c r="AX633" s="256"/>
      <c r="AY633" s="256"/>
      <c r="AZ633" s="256"/>
      <c r="BA633" s="256"/>
      <c r="BB633" s="256"/>
      <c r="BC633" s="256"/>
      <c r="BD633" s="238"/>
      <c r="BE633" s="229" cm="1">
        <f t="array" ref="BE633">IF(ISBLANK(R633), INDEX(Use, $AH633, 4) - AM633*INDEX(Use, $AH633, 6), R633)</f>
        <v>5</v>
      </c>
      <c r="BF633" s="229">
        <f t="shared" si="615"/>
        <v>30</v>
      </c>
      <c r="BG633" s="229">
        <f t="shared" si="641"/>
        <v>13</v>
      </c>
      <c r="BH633" s="229">
        <f t="shared" si="642"/>
        <v>0</v>
      </c>
      <c r="BI633" s="234" cm="1">
        <f t="array" ref="BI633">K633/IF($L633&gt;0, INDEX($AU$23:$BA$77, $L633+20, $AH633), 1)</f>
        <v>0</v>
      </c>
      <c r="BJ633" s="230">
        <f t="shared" si="616"/>
        <v>0</v>
      </c>
      <c r="BK633" s="229">
        <v>35</v>
      </c>
      <c r="BL633" s="230">
        <f t="shared" si="617"/>
        <v>48</v>
      </c>
      <c r="BM633" s="235">
        <f t="shared" si="618"/>
        <v>2.9108720930232557</v>
      </c>
      <c r="BN633" s="235" cm="1">
        <f t="array" ref="BN633">$BI633 * SUMPRODUCT(INDEX($AR$77:$AT$82,,$AI633),INDEX($AU$77:$BA$82,,$AH633), N($AQ$77:$AQ$82&gt;$AO633)) / BM633 / 1000</f>
        <v>0</v>
      </c>
      <c r="BO633" s="232">
        <f t="shared" si="643"/>
        <v>30</v>
      </c>
      <c r="BP633" s="230">
        <f t="shared" si="619"/>
        <v>43</v>
      </c>
      <c r="BQ633" s="235">
        <f t="shared" si="620"/>
        <v>3.2938815789473681</v>
      </c>
      <c r="BR633" s="235" cm="1">
        <f t="array" ref="BR633">$BI633 * IF($AH633&lt;=2,
SUMPRODUCT(INDEX($AR$72:$AT$76,,$AI633), INDEX($AU$72:$BA$76,,$AH633), 1 / ($BB$72:$BB$76*BQ633 + (1-$BB$72:$BB$76)*BM633), N($AQ$72:$AQ$76&gt;$AO633)),
SUMPRODUCT(INDEX($AR$67:$AT$76,,$AI633), INDEX($AU$67:$BA$76,,$AH633), 1 / ($BC$67:$BC$76*BQ633 + (1-$BC$67:$BC$76)*BM633), N($AQ$67:$AQ$76&gt;$AO633))
) / 1000</f>
        <v>0</v>
      </c>
      <c r="BS633" s="232">
        <f t="shared" si="644"/>
        <v>25</v>
      </c>
      <c r="BT633" s="230">
        <f t="shared" si="621"/>
        <v>38</v>
      </c>
      <c r="BU633" s="235">
        <f t="shared" si="622"/>
        <v>3.792954545454545</v>
      </c>
      <c r="BV633" s="235" cm="1">
        <f t="array" ref="BV633">$BI633 * IF($AH633&lt;=2,
SUMPRODUCT(INDEX($AR$67:$AT$71,,$AI633), INDEX($AU$67:$BA$71,,$AH633), 1 / ($BB$67:$BB$71*BU633 + (1-$BB$67:$BB$71)*BQ633), N($AQ$67:$AQ$71&gt;$AO633)),
SUMPRODUCT(INDEX($AR$57:$AT$66,,$AI633), INDEX($AU$57:$BA$66,,$AH633), 1 / ($BC$57:$BC$66*BU633 + (1-$BC$57:$BC$66)*BQ633), N($AQ$57:$AQ$66&gt;$AO633))
) / 1000</f>
        <v>0</v>
      </c>
      <c r="BW633" s="232">
        <f t="shared" si="645"/>
        <v>20</v>
      </c>
      <c r="BX633" s="230">
        <f t="shared" si="623"/>
        <v>33</v>
      </c>
      <c r="BY633" s="235">
        <f t="shared" si="624"/>
        <v>4.4702678571428569</v>
      </c>
      <c r="BZ633" s="235" cm="1">
        <f t="array" ref="BZ633">$BI633 * IF($AH633&lt;=2,
SUMPRODUCT(INDEX($AR$62:$AT$66,,$AI633), INDEX($AU$62:$BA$66,,$AH633), 1 / ($BB$62:$BB$66*BY633 + (1-$BB$62:$BB$66)*BU633), N($AQ$62:$AQ$66&gt;$AO633)),
SUMPRODUCT(INDEX($AR$47:$AT$56,,$AI633), INDEX($AU$47:$BA$56,,$AH633), 1 / ($BC$47:$BC$56*BY633 + (1-$BC$47:$BC$56)*BU633), N($AQ$47:$AQ$56&gt;$AO633))
) / 1000</f>
        <v>0</v>
      </c>
      <c r="CA633" s="235" cm="1">
        <f t="array" ref="CA633">$BI633 * IF($AH633&lt;=2,
SUMPRODUCT(INDEX($AR$23:$AT$61,,$AI633), INDEX($AU$23:$BA$61,,$AH633), 1 / ($BB$23:$BB$61*BY633), N($AQ$23:$AQ$61&gt;$AO633)),
SUMPRODUCT(INDEX($AR$23:$AT$46,,$AI633), INDEX($AU$23:$BA$46,,$AH633), 1 / ($BC$23:$BC$46*BY633), N($AQ$23:$AQ$46&gt;$AO633))
) / 1000</f>
        <v>0</v>
      </c>
      <c r="CB633" s="230">
        <f t="shared" si="625"/>
        <v>0</v>
      </c>
      <c r="CC633" s="238"/>
      <c r="CD633" s="229" cm="1">
        <f t="array" ref="CD633">IF(ISBLANK(Y633), INDEX(Use, $AH633, 4) - AN633*INDEX(Use, $AH633, 6) - (Q633-X633), Y633)</f>
        <v>7</v>
      </c>
      <c r="CE633" s="229">
        <f t="shared" si="626"/>
        <v>32</v>
      </c>
      <c r="CF633" s="230">
        <f t="shared" si="627"/>
        <v>0</v>
      </c>
      <c r="CG633" s="229">
        <v>35</v>
      </c>
      <c r="CH633" s="230">
        <f t="shared" si="628"/>
        <v>48</v>
      </c>
      <c r="CI633" s="235">
        <f t="shared" si="629"/>
        <v>3.0748170731707316</v>
      </c>
      <c r="CJ633" s="235" cm="1">
        <f t="array" ref="CJ633">$BI633 * SUMPRODUCT(INDEX($AR$77:$AT$82,,$AI633),INDEX($AU$77:$BA$82,,$AH633), N($AQ$77:$AQ$82&gt;$AO633)) / CI633 / 1000</f>
        <v>0</v>
      </c>
      <c r="CK633" s="232">
        <f t="shared" si="646"/>
        <v>30</v>
      </c>
      <c r="CL633" s="230">
        <f t="shared" si="630"/>
        <v>43</v>
      </c>
      <c r="CM633" s="235">
        <f t="shared" si="631"/>
        <v>3.5018750000000001</v>
      </c>
      <c r="CN633" s="235" cm="1">
        <f t="array" ref="CN633">$BI633 * IF($AH633&lt;=2,
SUMPRODUCT(INDEX($AR$72:$AT$76,,$AI633), INDEX($AU$72:$BA$76,,$AH633), 1 / ($BB$72:$BB$76*CM633 + (1-$BB$72:$BB$76)*CI633), N($AQ$72:$AQ$76&gt;$AO633)),
SUMPRODUCT(INDEX($AR$67:$AT$76,,$AI633), INDEX($AU$67:$BA$76,,$AH633), 1 / ($BC$67:$BC$76*CM633 + (1-$BC$67:$BC$76)*CI633), N($AQ$67:$AQ$76&gt;$AO633))
) / 1000</f>
        <v>0</v>
      </c>
      <c r="CO633" s="232">
        <f t="shared" si="647"/>
        <v>25</v>
      </c>
      <c r="CP633" s="230">
        <f t="shared" si="632"/>
        <v>38</v>
      </c>
      <c r="CQ633" s="235">
        <f t="shared" si="633"/>
        <v>4.0666935483870965</v>
      </c>
      <c r="CR633" s="235" cm="1">
        <f t="array" ref="CR633">$BI633 * IF($AH633&lt;=2,
SUMPRODUCT(INDEX($AR$67:$AT$71,,$AI633), INDEX($AU$67:$BA$71,,$AH633), 1 / ($BB$67:$BB$71*CQ633 + (1-$BB$67:$BB$71)*CM633), N($AQ$67:$AQ$71&gt;$AO633)),
SUMPRODUCT(INDEX($AR$57:$AT$66,,$AI633), INDEX($AU$57:$BA$66,,$AH633), 1 / ($BC$57:$BC$66*CQ633 + (1-$BC$57:$BC$66)*CM633), N($AQ$57:$AQ$66&gt;$AO633))
) / 1000</f>
        <v>0</v>
      </c>
      <c r="CS633" s="232">
        <f t="shared" si="648"/>
        <v>20</v>
      </c>
      <c r="CT633" s="230">
        <f t="shared" si="634"/>
        <v>33</v>
      </c>
      <c r="CU633" s="235">
        <f t="shared" si="635"/>
        <v>4.8487499999999999</v>
      </c>
      <c r="CV633" s="235" cm="1">
        <f t="array" ref="CV633">$BI633 * IF($AH633&lt;=2,
SUMPRODUCT(INDEX($AR$62:$AT$66,,$AI633), INDEX($AU$62:$BA$66,,$AH633), 1 / ($BB$62:$BB$66*CU633 + (1-$BB$62:$BB$66)*CQ633), N($AQ$62:$AQ$66&gt;$AO633)),
SUMPRODUCT(INDEX($AR$47:$AT$56,,$AI633), INDEX($AU$47:$BA$56,,$AH633), 1 / ($BC$47:$BC$56*CU633 + (1-$BC$47:$BC$56)*CQ633), N($AQ$47:$AQ$56&gt;$AO633))
) / 1000</f>
        <v>0</v>
      </c>
      <c r="CW633" s="235" cm="1">
        <f t="array" ref="CW633">$BI633 * IF($AH633&lt;=2,
SUMPRODUCT(INDEX($AR$23:$AT$61,,$AI633), INDEX($AU$23:$BA$61,,$AH633), 1 / ($BB$23:$BB$61*CU633), N($AQ$23:$AQ$61&gt;$AO633)),
SUMPRODUCT(INDEX($AR$23:$AT$46,,$AI633), INDEX($AU$23:$BA$46,,$AH633), 1 / ($BC$23:$BC$46*CU633), N($AQ$23:$AQ$46&gt;$AO633))
) / 1000</f>
        <v>0</v>
      </c>
      <c r="CX633" s="230">
        <f t="shared" si="636"/>
        <v>0</v>
      </c>
      <c r="CY633" s="238"/>
    </row>
    <row r="634" spans="1:103" s="76" customFormat="1" ht="14.25" customHeight="1" x14ac:dyDescent="0.2">
      <c r="A634" s="231" t="b">
        <f t="shared" si="640"/>
        <v>0</v>
      </c>
      <c r="B634" s="245">
        <v>612</v>
      </c>
      <c r="C634" s="258"/>
      <c r="D634" s="258"/>
      <c r="E634" s="246"/>
      <c r="F634" s="247" t="str">
        <f>IF(ISBLANK(E634), "", VLOOKUP(E634, Z!$A$2:$C$4127, 3, FALSE))</f>
        <v/>
      </c>
      <c r="G634" s="248"/>
      <c r="H634" s="248"/>
      <c r="I634" s="249"/>
      <c r="J634" s="250"/>
      <c r="K634" s="259"/>
      <c r="L634" s="260"/>
      <c r="M634" s="252" t="str" cm="1">
        <f t="array" ref="M634">INDEX(Trad, 53, $A$20)</f>
        <v>Verschmutzt</v>
      </c>
      <c r="N634" s="253"/>
      <c r="O634" s="253"/>
      <c r="P634" s="254"/>
      <c r="Q634" s="251"/>
      <c r="R634" s="251"/>
      <c r="S634" s="264">
        <f t="shared" si="611"/>
        <v>0</v>
      </c>
      <c r="T634" s="252" t="str" cm="1">
        <f t="array" ref="T634">INDEX(Trad, 52, $A$20)</f>
        <v>Sauber</v>
      </c>
      <c r="U634" s="253"/>
      <c r="V634" s="253"/>
      <c r="W634" s="254"/>
      <c r="X634" s="251"/>
      <c r="Y634" s="251"/>
      <c r="Z634" s="264">
        <f t="shared" si="612"/>
        <v>0</v>
      </c>
      <c r="AA634" s="261"/>
      <c r="AB634" s="258"/>
      <c r="AC634" s="246"/>
      <c r="AD634" s="247" t="str">
        <f>IF(ISBLANK(AC634), "", VLOOKUP(AC634, Z!$A$2:$C$4127, 3, FALSE))</f>
        <v/>
      </c>
      <c r="AE634" s="262"/>
      <c r="AF634" s="263">
        <f t="shared" si="613"/>
        <v>0</v>
      </c>
      <c r="AG634" s="238"/>
      <c r="AH634" s="229">
        <f t="shared" si="637"/>
        <v>1</v>
      </c>
      <c r="AI634" s="229">
        <f t="shared" si="638"/>
        <v>1</v>
      </c>
      <c r="AJ634" s="229">
        <f t="shared" si="639"/>
        <v>0</v>
      </c>
      <c r="AK634" s="229">
        <v>0</v>
      </c>
      <c r="AL634" s="229">
        <v>0</v>
      </c>
      <c r="AM634" s="229">
        <v>1</v>
      </c>
      <c r="AN634" s="229">
        <v>0</v>
      </c>
      <c r="AO634" s="229">
        <f t="shared" si="614"/>
        <v>-100</v>
      </c>
      <c r="AP634" s="238"/>
      <c r="AQ634" s="255"/>
      <c r="AR634" s="255"/>
      <c r="AS634" s="256"/>
      <c r="AT634" s="256"/>
      <c r="AU634" s="256"/>
      <c r="AV634" s="256"/>
      <c r="AW634" s="256"/>
      <c r="AX634" s="256"/>
      <c r="AY634" s="256"/>
      <c r="AZ634" s="256"/>
      <c r="BA634" s="256"/>
      <c r="BB634" s="256"/>
      <c r="BC634" s="256"/>
      <c r="BD634" s="238"/>
      <c r="BE634" s="229" cm="1">
        <f t="array" ref="BE634">IF(ISBLANK(R634), INDEX(Use, $AH634, 4) - AM634*INDEX(Use, $AH634, 6), R634)</f>
        <v>5</v>
      </c>
      <c r="BF634" s="229">
        <f t="shared" si="615"/>
        <v>30</v>
      </c>
      <c r="BG634" s="229">
        <f t="shared" si="641"/>
        <v>13</v>
      </c>
      <c r="BH634" s="229">
        <f t="shared" si="642"/>
        <v>0</v>
      </c>
      <c r="BI634" s="234" cm="1">
        <f t="array" ref="BI634">K634/IF($L634&gt;0, INDEX($AU$23:$BA$77, $L634+20, $AH634), 1)</f>
        <v>0</v>
      </c>
      <c r="BJ634" s="230">
        <f t="shared" si="616"/>
        <v>0</v>
      </c>
      <c r="BK634" s="229">
        <v>35</v>
      </c>
      <c r="BL634" s="230">
        <f t="shared" si="617"/>
        <v>48</v>
      </c>
      <c r="BM634" s="235">
        <f t="shared" si="618"/>
        <v>2.9108720930232557</v>
      </c>
      <c r="BN634" s="235" cm="1">
        <f t="array" ref="BN634">$BI634 * SUMPRODUCT(INDEX($AR$77:$AT$82,,$AI634),INDEX($AU$77:$BA$82,,$AH634), N($AQ$77:$AQ$82&gt;$AO634)) / BM634 / 1000</f>
        <v>0</v>
      </c>
      <c r="BO634" s="232">
        <f t="shared" si="643"/>
        <v>30</v>
      </c>
      <c r="BP634" s="230">
        <f t="shared" si="619"/>
        <v>43</v>
      </c>
      <c r="BQ634" s="235">
        <f t="shared" si="620"/>
        <v>3.2938815789473681</v>
      </c>
      <c r="BR634" s="235" cm="1">
        <f t="array" ref="BR634">$BI634 * IF($AH634&lt;=2,
SUMPRODUCT(INDEX($AR$72:$AT$76,,$AI634), INDEX($AU$72:$BA$76,,$AH634), 1 / ($BB$72:$BB$76*BQ634 + (1-$BB$72:$BB$76)*BM634), N($AQ$72:$AQ$76&gt;$AO634)),
SUMPRODUCT(INDEX($AR$67:$AT$76,,$AI634), INDEX($AU$67:$BA$76,,$AH634), 1 / ($BC$67:$BC$76*BQ634 + (1-$BC$67:$BC$76)*BM634), N($AQ$67:$AQ$76&gt;$AO634))
) / 1000</f>
        <v>0</v>
      </c>
      <c r="BS634" s="232">
        <f t="shared" si="644"/>
        <v>25</v>
      </c>
      <c r="BT634" s="230">
        <f t="shared" si="621"/>
        <v>38</v>
      </c>
      <c r="BU634" s="235">
        <f t="shared" si="622"/>
        <v>3.792954545454545</v>
      </c>
      <c r="BV634" s="235" cm="1">
        <f t="array" ref="BV634">$BI634 * IF($AH634&lt;=2,
SUMPRODUCT(INDEX($AR$67:$AT$71,,$AI634), INDEX($AU$67:$BA$71,,$AH634), 1 / ($BB$67:$BB$71*BU634 + (1-$BB$67:$BB$71)*BQ634), N($AQ$67:$AQ$71&gt;$AO634)),
SUMPRODUCT(INDEX($AR$57:$AT$66,,$AI634), INDEX($AU$57:$BA$66,,$AH634), 1 / ($BC$57:$BC$66*BU634 + (1-$BC$57:$BC$66)*BQ634), N($AQ$57:$AQ$66&gt;$AO634))
) / 1000</f>
        <v>0</v>
      </c>
      <c r="BW634" s="232">
        <f t="shared" si="645"/>
        <v>20</v>
      </c>
      <c r="BX634" s="230">
        <f t="shared" si="623"/>
        <v>33</v>
      </c>
      <c r="BY634" s="235">
        <f t="shared" si="624"/>
        <v>4.4702678571428569</v>
      </c>
      <c r="BZ634" s="235" cm="1">
        <f t="array" ref="BZ634">$BI634 * IF($AH634&lt;=2,
SUMPRODUCT(INDEX($AR$62:$AT$66,,$AI634), INDEX($AU$62:$BA$66,,$AH634), 1 / ($BB$62:$BB$66*BY634 + (1-$BB$62:$BB$66)*BU634), N($AQ$62:$AQ$66&gt;$AO634)),
SUMPRODUCT(INDEX($AR$47:$AT$56,,$AI634), INDEX($AU$47:$BA$56,,$AH634), 1 / ($BC$47:$BC$56*BY634 + (1-$BC$47:$BC$56)*BU634), N($AQ$47:$AQ$56&gt;$AO634))
) / 1000</f>
        <v>0</v>
      </c>
      <c r="CA634" s="235" cm="1">
        <f t="array" ref="CA634">$BI634 * IF($AH634&lt;=2,
SUMPRODUCT(INDEX($AR$23:$AT$61,,$AI634), INDEX($AU$23:$BA$61,,$AH634), 1 / ($BB$23:$BB$61*BY634), N($AQ$23:$AQ$61&gt;$AO634)),
SUMPRODUCT(INDEX($AR$23:$AT$46,,$AI634), INDEX($AU$23:$BA$46,,$AH634), 1 / ($BC$23:$BC$46*BY634), N($AQ$23:$AQ$46&gt;$AO634))
) / 1000</f>
        <v>0</v>
      </c>
      <c r="CB634" s="230">
        <f t="shared" si="625"/>
        <v>0</v>
      </c>
      <c r="CC634" s="238"/>
      <c r="CD634" s="229" cm="1">
        <f t="array" ref="CD634">IF(ISBLANK(Y634), INDEX(Use, $AH634, 4) - AN634*INDEX(Use, $AH634, 6) - (Q634-X634), Y634)</f>
        <v>7</v>
      </c>
      <c r="CE634" s="229">
        <f t="shared" si="626"/>
        <v>32</v>
      </c>
      <c r="CF634" s="230">
        <f t="shared" si="627"/>
        <v>0</v>
      </c>
      <c r="CG634" s="229">
        <v>35</v>
      </c>
      <c r="CH634" s="230">
        <f t="shared" si="628"/>
        <v>48</v>
      </c>
      <c r="CI634" s="235">
        <f t="shared" si="629"/>
        <v>3.0748170731707316</v>
      </c>
      <c r="CJ634" s="235" cm="1">
        <f t="array" ref="CJ634">$BI634 * SUMPRODUCT(INDEX($AR$77:$AT$82,,$AI634),INDEX($AU$77:$BA$82,,$AH634), N($AQ$77:$AQ$82&gt;$AO634)) / CI634 / 1000</f>
        <v>0</v>
      </c>
      <c r="CK634" s="232">
        <f t="shared" si="646"/>
        <v>30</v>
      </c>
      <c r="CL634" s="230">
        <f t="shared" si="630"/>
        <v>43</v>
      </c>
      <c r="CM634" s="235">
        <f t="shared" si="631"/>
        <v>3.5018750000000001</v>
      </c>
      <c r="CN634" s="235" cm="1">
        <f t="array" ref="CN634">$BI634 * IF($AH634&lt;=2,
SUMPRODUCT(INDEX($AR$72:$AT$76,,$AI634), INDEX($AU$72:$BA$76,,$AH634), 1 / ($BB$72:$BB$76*CM634 + (1-$BB$72:$BB$76)*CI634), N($AQ$72:$AQ$76&gt;$AO634)),
SUMPRODUCT(INDEX($AR$67:$AT$76,,$AI634), INDEX($AU$67:$BA$76,,$AH634), 1 / ($BC$67:$BC$76*CM634 + (1-$BC$67:$BC$76)*CI634), N($AQ$67:$AQ$76&gt;$AO634))
) / 1000</f>
        <v>0</v>
      </c>
      <c r="CO634" s="232">
        <f t="shared" si="647"/>
        <v>25</v>
      </c>
      <c r="CP634" s="230">
        <f t="shared" si="632"/>
        <v>38</v>
      </c>
      <c r="CQ634" s="235">
        <f t="shared" si="633"/>
        <v>4.0666935483870965</v>
      </c>
      <c r="CR634" s="235" cm="1">
        <f t="array" ref="CR634">$BI634 * IF($AH634&lt;=2,
SUMPRODUCT(INDEX($AR$67:$AT$71,,$AI634), INDEX($AU$67:$BA$71,,$AH634), 1 / ($BB$67:$BB$71*CQ634 + (1-$BB$67:$BB$71)*CM634), N($AQ$67:$AQ$71&gt;$AO634)),
SUMPRODUCT(INDEX($AR$57:$AT$66,,$AI634), INDEX($AU$57:$BA$66,,$AH634), 1 / ($BC$57:$BC$66*CQ634 + (1-$BC$57:$BC$66)*CM634), N($AQ$57:$AQ$66&gt;$AO634))
) / 1000</f>
        <v>0</v>
      </c>
      <c r="CS634" s="232">
        <f t="shared" si="648"/>
        <v>20</v>
      </c>
      <c r="CT634" s="230">
        <f t="shared" si="634"/>
        <v>33</v>
      </c>
      <c r="CU634" s="235">
        <f t="shared" si="635"/>
        <v>4.8487499999999999</v>
      </c>
      <c r="CV634" s="235" cm="1">
        <f t="array" ref="CV634">$BI634 * IF($AH634&lt;=2,
SUMPRODUCT(INDEX($AR$62:$AT$66,,$AI634), INDEX($AU$62:$BA$66,,$AH634), 1 / ($BB$62:$BB$66*CU634 + (1-$BB$62:$BB$66)*CQ634), N($AQ$62:$AQ$66&gt;$AO634)),
SUMPRODUCT(INDEX($AR$47:$AT$56,,$AI634), INDEX($AU$47:$BA$56,,$AH634), 1 / ($BC$47:$BC$56*CU634 + (1-$BC$47:$BC$56)*CQ634), N($AQ$47:$AQ$56&gt;$AO634))
) / 1000</f>
        <v>0</v>
      </c>
      <c r="CW634" s="235" cm="1">
        <f t="array" ref="CW634">$BI634 * IF($AH634&lt;=2,
SUMPRODUCT(INDEX($AR$23:$AT$61,,$AI634), INDEX($AU$23:$BA$61,,$AH634), 1 / ($BB$23:$BB$61*CU634), N($AQ$23:$AQ$61&gt;$AO634)),
SUMPRODUCT(INDEX($AR$23:$AT$46,,$AI634), INDEX($AU$23:$BA$46,,$AH634), 1 / ($BC$23:$BC$46*CU634), N($AQ$23:$AQ$46&gt;$AO634))
) / 1000</f>
        <v>0</v>
      </c>
      <c r="CX634" s="230">
        <f t="shared" si="636"/>
        <v>0</v>
      </c>
      <c r="CY634" s="238"/>
    </row>
    <row r="635" spans="1:103" s="76" customFormat="1" ht="14.25" customHeight="1" x14ac:dyDescent="0.2">
      <c r="A635" s="231" t="b">
        <f t="shared" si="640"/>
        <v>0</v>
      </c>
      <c r="B635" s="245">
        <v>613</v>
      </c>
      <c r="C635" s="258"/>
      <c r="D635" s="258"/>
      <c r="E635" s="246"/>
      <c r="F635" s="247" t="str">
        <f>IF(ISBLANK(E635), "", VLOOKUP(E635, Z!$A$2:$C$4127, 3, FALSE))</f>
        <v/>
      </c>
      <c r="G635" s="248"/>
      <c r="H635" s="248"/>
      <c r="I635" s="249"/>
      <c r="J635" s="250"/>
      <c r="K635" s="259"/>
      <c r="L635" s="260"/>
      <c r="M635" s="252" t="str" cm="1">
        <f t="array" ref="M635">INDEX(Trad, 53, $A$20)</f>
        <v>Verschmutzt</v>
      </c>
      <c r="N635" s="253"/>
      <c r="O635" s="253"/>
      <c r="P635" s="254"/>
      <c r="Q635" s="251"/>
      <c r="R635" s="251"/>
      <c r="S635" s="264">
        <f t="shared" ref="S635:S698" si="649">CB635*1000</f>
        <v>0</v>
      </c>
      <c r="T635" s="252" t="str" cm="1">
        <f t="array" ref="T635">INDEX(Trad, 52, $A$20)</f>
        <v>Sauber</v>
      </c>
      <c r="U635" s="253"/>
      <c r="V635" s="253"/>
      <c r="W635" s="254"/>
      <c r="X635" s="251"/>
      <c r="Y635" s="251"/>
      <c r="Z635" s="264">
        <f t="shared" ref="Z635:Z698" si="650">CX635*1000</f>
        <v>0</v>
      </c>
      <c r="AA635" s="261"/>
      <c r="AB635" s="258"/>
      <c r="AC635" s="246"/>
      <c r="AD635" s="247" t="str">
        <f>IF(ISBLANK(AC635), "", VLOOKUP(AC635, Z!$A$2:$C$4127, 3, FALSE))</f>
        <v/>
      </c>
      <c r="AE635" s="262"/>
      <c r="AF635" s="263">
        <f t="shared" ref="AF635:AF698" si="651">0.75*AP$23*(S635-Z635)</f>
        <v>0</v>
      </c>
      <c r="AG635" s="238"/>
      <c r="AH635" s="229">
        <f t="shared" si="637"/>
        <v>1</v>
      </c>
      <c r="AI635" s="229">
        <f t="shared" si="638"/>
        <v>1</v>
      </c>
      <c r="AJ635" s="229">
        <f t="shared" si="639"/>
        <v>0</v>
      </c>
      <c r="AK635" s="229">
        <v>0</v>
      </c>
      <c r="AL635" s="229">
        <v>0</v>
      </c>
      <c r="AM635" s="229">
        <v>1</v>
      </c>
      <c r="AN635" s="229">
        <v>0</v>
      </c>
      <c r="AO635" s="229">
        <f t="shared" ref="AO635:AO698" si="652">IF(AND(J635="x", AH635=5), 11, IF(AND(J635="x", AH635=6), 19, -100))</f>
        <v>-100</v>
      </c>
      <c r="AP635" s="238"/>
      <c r="AQ635" s="255"/>
      <c r="AR635" s="255"/>
      <c r="AS635" s="256"/>
      <c r="AT635" s="256"/>
      <c r="AU635" s="256"/>
      <c r="AV635" s="256"/>
      <c r="AW635" s="256"/>
      <c r="AX635" s="256"/>
      <c r="AY635" s="256"/>
      <c r="AZ635" s="256"/>
      <c r="BA635" s="256"/>
      <c r="BB635" s="256"/>
      <c r="BC635" s="256"/>
      <c r="BD635" s="238"/>
      <c r="BE635" s="229" cm="1">
        <f t="array" ref="BE635">IF(ISBLANK(R635), INDEX(Use, $AH635, 4) - AM635*INDEX(Use, $AH635, 6), R635)</f>
        <v>5</v>
      </c>
      <c r="BF635" s="229">
        <f t="shared" ref="BF635:BF698" si="653">MAX(25, BE635+25)</f>
        <v>30</v>
      </c>
      <c r="BG635" s="229">
        <f t="shared" si="641"/>
        <v>13</v>
      </c>
      <c r="BH635" s="229">
        <f t="shared" si="642"/>
        <v>0</v>
      </c>
      <c r="BI635" s="234" cm="1">
        <f t="array" ref="BI635">K635/IF($L635&gt;0, INDEX($AU$23:$BA$77, $L635+20, $AH635), 1)</f>
        <v>0</v>
      </c>
      <c r="BJ635" s="230">
        <f t="shared" ref="BJ635:BJ698" si="654">P635 /  IF(AH635&lt;=2, 0.7 + 0.3 * (O635-20)/(35-20), 0.4 + 0.6 * (O635-5)/(35-5))</f>
        <v>0</v>
      </c>
      <c r="BK635" s="229">
        <v>35</v>
      </c>
      <c r="BL635" s="230">
        <f t="shared" ref="BL635:BL698" si="655">MAX($N635, MAX($BF635, $BK635 + $BG635 + $BH635 + 0.35*$AK635*$BG635 + BJ635))</f>
        <v>48</v>
      </c>
      <c r="BM635" s="235">
        <f t="shared" ref="BM635:BM698" si="656">0.45*($BE635+273.15)/(BL635-$BE635)</f>
        <v>2.9108720930232557</v>
      </c>
      <c r="BN635" s="235" cm="1">
        <f t="array" ref="BN635">$BI635 * SUMPRODUCT(INDEX($AR$77:$AT$82,,$AI635),INDEX($AU$77:$BA$82,,$AH635), N($AQ$77:$AQ$82&gt;$AO635)) / BM635 / 1000</f>
        <v>0</v>
      </c>
      <c r="BO635" s="232">
        <f t="shared" si="643"/>
        <v>30</v>
      </c>
      <c r="BP635" s="230">
        <f t="shared" ref="BP635:BP698" si="657">MAX($N635, MAX($BF635, BO635 + $BG635 + $BH635 + IF($AH635&lt;=2, (BO635-20)/(35-20), 0.6+0.4*(BO635-5)/(35-5))*0.35*$AK635*$BG635) + IF($AH635&lt;=2,0.9,0.8)*$BJ635)</f>
        <v>43</v>
      </c>
      <c r="BQ635" s="235">
        <f t="shared" ref="BQ635:BQ698" si="658">0.45*($BE635+273.15)/(BP635-$BE635)</f>
        <v>3.2938815789473681</v>
      </c>
      <c r="BR635" s="235" cm="1">
        <f t="array" ref="BR635">$BI635 * IF($AH635&lt;=2,
SUMPRODUCT(INDEX($AR$72:$AT$76,,$AI635), INDEX($AU$72:$BA$76,,$AH635), 1 / ($BB$72:$BB$76*BQ635 + (1-$BB$72:$BB$76)*BM635), N($AQ$72:$AQ$76&gt;$AO635)),
SUMPRODUCT(INDEX($AR$67:$AT$76,,$AI635), INDEX($AU$67:$BA$76,,$AH635), 1 / ($BC$67:$BC$76*BQ635 + (1-$BC$67:$BC$76)*BM635), N($AQ$67:$AQ$76&gt;$AO635))
) / 1000</f>
        <v>0</v>
      </c>
      <c r="BS635" s="232">
        <f t="shared" si="644"/>
        <v>25</v>
      </c>
      <c r="BT635" s="230">
        <f t="shared" ref="BT635:BT698" si="659">MAX($N635, MAX($BF635, BS635 + $BG635 + $BH635 + IF($AH635&lt;=2, (BS635-20)/(35-20), 0.6+0.4*(BS635-5)/(35-5))*0.35*$AK635*$BG635) + IF($AH635&lt;=2,0.8,0.6)*$BJ635)</f>
        <v>38</v>
      </c>
      <c r="BU635" s="235">
        <f t="shared" ref="BU635:BU698" si="660">0.45*($BE635+273.15)/(BT635-$BE635)</f>
        <v>3.792954545454545</v>
      </c>
      <c r="BV635" s="235" cm="1">
        <f t="array" ref="BV635">$BI635 * IF($AH635&lt;=2,
SUMPRODUCT(INDEX($AR$67:$AT$71,,$AI635), INDEX($AU$67:$BA$71,,$AH635), 1 / ($BB$67:$BB$71*BU635 + (1-$BB$67:$BB$71)*BQ635), N($AQ$67:$AQ$71&gt;$AO635)),
SUMPRODUCT(INDEX($AR$57:$AT$66,,$AI635), INDEX($AU$57:$BA$66,,$AH635), 1 / ($BC$57:$BC$66*BU635 + (1-$BC$57:$BC$66)*BQ635), N($AQ$57:$AQ$66&gt;$AO635))
) / 1000</f>
        <v>0</v>
      </c>
      <c r="BW635" s="232">
        <f t="shared" si="645"/>
        <v>20</v>
      </c>
      <c r="BX635" s="230">
        <f t="shared" ref="BX635:BX698" si="661">MAX($N635, MAX($BF635, BW635 + $BG635 + $BH635 + IF($AH635&lt;=2, (BW635-20)/(35-20), 0.6+0.4*(BW635-5)/(35-5))*0.35*$AK635*$BG635) + IF($AH635&lt;=2,0.7,0.4)*$BJ635)</f>
        <v>33</v>
      </c>
      <c r="BY635" s="235">
        <f t="shared" ref="BY635:BY698" si="662">0.45*($BE635+273.15)/(BX635-$BE635)</f>
        <v>4.4702678571428569</v>
      </c>
      <c r="BZ635" s="235" cm="1">
        <f t="array" ref="BZ635">$BI635 * IF($AH635&lt;=2,
SUMPRODUCT(INDEX($AR$62:$AT$66,,$AI635), INDEX($AU$62:$BA$66,,$AH635), 1 / ($BB$62:$BB$66*BY635 + (1-$BB$62:$BB$66)*BU635), N($AQ$62:$AQ$66&gt;$AO635)),
SUMPRODUCT(INDEX($AR$47:$AT$56,,$AI635), INDEX($AU$47:$BA$56,,$AH635), 1 / ($BC$47:$BC$56*BY635 + (1-$BC$47:$BC$56)*BU635), N($AQ$47:$AQ$56&gt;$AO635))
) / 1000</f>
        <v>0</v>
      </c>
      <c r="CA635" s="235" cm="1">
        <f t="array" ref="CA635">$BI635 * IF($AH635&lt;=2,
SUMPRODUCT(INDEX($AR$23:$AT$61,,$AI635), INDEX($AU$23:$BA$61,,$AH635), 1 / ($BB$23:$BB$61*BY635), N($AQ$23:$AQ$61&gt;$AO635)),
SUMPRODUCT(INDEX($AR$23:$AT$46,,$AI635), INDEX($AU$23:$BA$46,,$AH635), 1 / ($BC$23:$BC$46*BY635), N($AQ$23:$AQ$46&gt;$AO635))
) / 1000</f>
        <v>0</v>
      </c>
      <c r="CB635" s="230">
        <f t="shared" ref="CB635:CB698" si="663">BN635+BR635+BV635+BZ635+CA635</f>
        <v>0</v>
      </c>
      <c r="CC635" s="238"/>
      <c r="CD635" s="229" cm="1">
        <f t="array" ref="CD635">IF(ISBLANK(Y635), INDEX(Use, $AH635, 4) - AN635*INDEX(Use, $AH635, 6) - (Q635-X635), Y635)</f>
        <v>7</v>
      </c>
      <c r="CE635" s="229">
        <f t="shared" ref="CE635:CE698" si="664">MAX(25, CD635+25)</f>
        <v>32</v>
      </c>
      <c r="CF635" s="230">
        <f t="shared" ref="CF635:CF698" si="665">W635 /  IF(AH635&lt;=2, 0.7 + 0.3 * (V635-20)/(35-20), 0.4 + 0.6 * (V635-5)/(35-5))</f>
        <v>0</v>
      </c>
      <c r="CG635" s="229">
        <v>35</v>
      </c>
      <c r="CH635" s="230">
        <f t="shared" ref="CH635:CH698" si="666">MAX($U635, MAX($CE635, $BK635 + $BG635 + $BH635 + 0.35*$AL635*$BG635 + CF635))</f>
        <v>48</v>
      </c>
      <c r="CI635" s="235">
        <f t="shared" ref="CI635:CI698" si="667">0.45*($CD635+273.15)/(CH635-$CD635)</f>
        <v>3.0748170731707316</v>
      </c>
      <c r="CJ635" s="235" cm="1">
        <f t="array" ref="CJ635">$BI635 * SUMPRODUCT(INDEX($AR$77:$AT$82,,$AI635),INDEX($AU$77:$BA$82,,$AH635), N($AQ$77:$AQ$82&gt;$AO635)) / CI635 / 1000</f>
        <v>0</v>
      </c>
      <c r="CK635" s="232">
        <f t="shared" si="646"/>
        <v>30</v>
      </c>
      <c r="CL635" s="230">
        <f t="shared" ref="CL635:CL698" si="668">MAX($U635, MAX($CE635, CK635 + $BG635 + $BH635 + IF($AH635&lt;=2, (CK635-20)/(35-20), 0.6+0.4*(CK635-5)/(35-5))*0.35*$AL635*$BG635) + IF($AH635&lt;=2,0.9,0.8)*$CF635)</f>
        <v>43</v>
      </c>
      <c r="CM635" s="235">
        <f t="shared" ref="CM635:CM698" si="669">0.45*($CD635+273.15)/(CL635-$CD635)</f>
        <v>3.5018750000000001</v>
      </c>
      <c r="CN635" s="235" cm="1">
        <f t="array" ref="CN635">$BI635 * IF($AH635&lt;=2,
SUMPRODUCT(INDEX($AR$72:$AT$76,,$AI635), INDEX($AU$72:$BA$76,,$AH635), 1 / ($BB$72:$BB$76*CM635 + (1-$BB$72:$BB$76)*CI635), N($AQ$72:$AQ$76&gt;$AO635)),
SUMPRODUCT(INDEX($AR$67:$AT$76,,$AI635), INDEX($AU$67:$BA$76,,$AH635), 1 / ($BC$67:$BC$76*CM635 + (1-$BC$67:$BC$76)*CI635), N($AQ$67:$AQ$76&gt;$AO635))
) / 1000</f>
        <v>0</v>
      </c>
      <c r="CO635" s="232">
        <f t="shared" si="647"/>
        <v>25</v>
      </c>
      <c r="CP635" s="230">
        <f t="shared" ref="CP635:CP698" si="670">MAX($U635, MAX($CE635, CO635 + $BG635 + $BH635 + IF($AH635&lt;=2, (CO635-20)/(35-20), 0.6+0.4*(CO635-5)/(35-5))*0.35*$AL635*$BG635) + IF($AH635&lt;=2,0.8,0.6)*$CF635)</f>
        <v>38</v>
      </c>
      <c r="CQ635" s="235">
        <f t="shared" ref="CQ635:CQ698" si="671">0.45*($CD635+273.15)/(CP635-$CD635)</f>
        <v>4.0666935483870965</v>
      </c>
      <c r="CR635" s="235" cm="1">
        <f t="array" ref="CR635">$BI635 * IF($AH635&lt;=2,
SUMPRODUCT(INDEX($AR$67:$AT$71,,$AI635), INDEX($AU$67:$BA$71,,$AH635), 1 / ($BB$67:$BB$71*CQ635 + (1-$BB$67:$BB$71)*CM635), N($AQ$67:$AQ$71&gt;$AO635)),
SUMPRODUCT(INDEX($AR$57:$AT$66,,$AI635), INDEX($AU$57:$BA$66,,$AH635), 1 / ($BC$57:$BC$66*CQ635 + (1-$BC$57:$BC$66)*CM635), N($AQ$57:$AQ$66&gt;$AO635))
) / 1000</f>
        <v>0</v>
      </c>
      <c r="CS635" s="232">
        <f t="shared" si="648"/>
        <v>20</v>
      </c>
      <c r="CT635" s="230">
        <f t="shared" ref="CT635:CT698" si="672">MAX($U635, MAX($CE635, CS635 + $BG635 + $BH635 + IF($AH635&lt;=2, (CS635-20)/(35-20), 0.6+0.4*(CS635-5)/(35-5))*0.35*$AL635*$BG635) + IF($AH635&lt;=2,0.7,0.4)*$CF635)</f>
        <v>33</v>
      </c>
      <c r="CU635" s="235">
        <f t="shared" ref="CU635:CU698" si="673">0.45*($CD635+273.15)/(CT635-$CD635)</f>
        <v>4.8487499999999999</v>
      </c>
      <c r="CV635" s="235" cm="1">
        <f t="array" ref="CV635">$BI635 * IF($AH635&lt;=2,
SUMPRODUCT(INDEX($AR$62:$AT$66,,$AI635), INDEX($AU$62:$BA$66,,$AH635), 1 / ($BB$62:$BB$66*CU635 + (1-$BB$62:$BB$66)*CQ635), N($AQ$62:$AQ$66&gt;$AO635)),
SUMPRODUCT(INDEX($AR$47:$AT$56,,$AI635), INDEX($AU$47:$BA$56,,$AH635), 1 / ($BC$47:$BC$56*CU635 + (1-$BC$47:$BC$56)*CQ635), N($AQ$47:$AQ$56&gt;$AO635))
) / 1000</f>
        <v>0</v>
      </c>
      <c r="CW635" s="235" cm="1">
        <f t="array" ref="CW635">$BI635 * IF($AH635&lt;=2,
SUMPRODUCT(INDEX($AR$23:$AT$61,,$AI635), INDEX($AU$23:$BA$61,,$AH635), 1 / ($BB$23:$BB$61*CU635), N($AQ$23:$AQ$61&gt;$AO635)),
SUMPRODUCT(INDEX($AR$23:$AT$46,,$AI635), INDEX($AU$23:$BA$46,,$AH635), 1 / ($BC$23:$BC$46*CU635), N($AQ$23:$AQ$46&gt;$AO635))
) / 1000</f>
        <v>0</v>
      </c>
      <c r="CX635" s="230">
        <f t="shared" ref="CX635:CX698" si="674">CJ635+CN635+CR635+CV635+CW635</f>
        <v>0</v>
      </c>
      <c r="CY635" s="238"/>
    </row>
    <row r="636" spans="1:103" s="76" customFormat="1" ht="14.25" customHeight="1" x14ac:dyDescent="0.2">
      <c r="A636" s="231" t="b">
        <f t="shared" si="640"/>
        <v>0</v>
      </c>
      <c r="B636" s="245">
        <v>614</v>
      </c>
      <c r="C636" s="258"/>
      <c r="D636" s="258"/>
      <c r="E636" s="246"/>
      <c r="F636" s="247" t="str">
        <f>IF(ISBLANK(E636), "", VLOOKUP(E636, Z!$A$2:$C$4127, 3, FALSE))</f>
        <v/>
      </c>
      <c r="G636" s="248"/>
      <c r="H636" s="248"/>
      <c r="I636" s="249"/>
      <c r="J636" s="250"/>
      <c r="K636" s="259"/>
      <c r="L636" s="260"/>
      <c r="M636" s="252" t="str" cm="1">
        <f t="array" ref="M636">INDEX(Trad, 53, $A$20)</f>
        <v>Verschmutzt</v>
      </c>
      <c r="N636" s="253"/>
      <c r="O636" s="253"/>
      <c r="P636" s="254"/>
      <c r="Q636" s="251"/>
      <c r="R636" s="251"/>
      <c r="S636" s="264">
        <f t="shared" si="649"/>
        <v>0</v>
      </c>
      <c r="T636" s="252" t="str" cm="1">
        <f t="array" ref="T636">INDEX(Trad, 52, $A$20)</f>
        <v>Sauber</v>
      </c>
      <c r="U636" s="253"/>
      <c r="V636" s="253"/>
      <c r="W636" s="254"/>
      <c r="X636" s="251"/>
      <c r="Y636" s="251"/>
      <c r="Z636" s="264">
        <f t="shared" si="650"/>
        <v>0</v>
      </c>
      <c r="AA636" s="261"/>
      <c r="AB636" s="258"/>
      <c r="AC636" s="246"/>
      <c r="AD636" s="247" t="str">
        <f>IF(ISBLANK(AC636), "", VLOOKUP(AC636, Z!$A$2:$C$4127, 3, FALSE))</f>
        <v/>
      </c>
      <c r="AE636" s="262"/>
      <c r="AF636" s="263">
        <f t="shared" si="651"/>
        <v>0</v>
      </c>
      <c r="AG636" s="238"/>
      <c r="AH636" s="229">
        <f t="shared" ref="AH636:AH699" si="675">IF(ISBLANK(H636), 1, IFERROR(MATCH(H636, INDEX(Use,,1), 0), IFERROR(MATCH(H636, INDEX(Use,,2), 0), MATCH(H636, INDEX(Use,,3), 0))))</f>
        <v>1</v>
      </c>
      <c r="AI636" s="229">
        <f t="shared" ref="AI636:AI699" si="676">IF(ISBLANK(G636), 1, IFERROR(MATCH(G636, INDEX(Loc,,1), 0), IFERROR(MATCH(G636, INDEX(Loc,,2), 0), MATCH(G636, INDEX(Loc,,3), 0))))</f>
        <v>1</v>
      </c>
      <c r="AJ636" s="229">
        <f t="shared" ref="AJ636:AJ699" si="677">_xlfn.IFNA(IF(IFERROR(MATCH(I636, INDEX(Medium,,1), 0), IFERROR(MATCH(I636, INDEX(Medium,,2), 0), MATCH(I636, INDEX(Medium,,3), 0))) = 2, 1, 0), 0)</f>
        <v>0</v>
      </c>
      <c r="AK636" s="229">
        <v>0</v>
      </c>
      <c r="AL636" s="229">
        <v>0</v>
      </c>
      <c r="AM636" s="229">
        <v>1</v>
      </c>
      <c r="AN636" s="229">
        <v>0</v>
      </c>
      <c r="AO636" s="229">
        <f t="shared" si="652"/>
        <v>-100</v>
      </c>
      <c r="AP636" s="238"/>
      <c r="AQ636" s="255"/>
      <c r="AR636" s="255"/>
      <c r="AS636" s="256"/>
      <c r="AT636" s="256"/>
      <c r="AU636" s="256"/>
      <c r="AV636" s="256"/>
      <c r="AW636" s="256"/>
      <c r="AX636" s="256"/>
      <c r="AY636" s="256"/>
      <c r="AZ636" s="256"/>
      <c r="BA636" s="256"/>
      <c r="BB636" s="256"/>
      <c r="BC636" s="256"/>
      <c r="BD636" s="238"/>
      <c r="BE636" s="229" cm="1">
        <f t="array" ref="BE636">IF(ISBLANK(R636), INDEX(Use, $AH636, 4) - AM636*INDEX(Use, $AH636, 6), R636)</f>
        <v>5</v>
      </c>
      <c r="BF636" s="229">
        <f t="shared" si="653"/>
        <v>30</v>
      </c>
      <c r="BG636" s="229">
        <f t="shared" si="641"/>
        <v>13</v>
      </c>
      <c r="BH636" s="229">
        <f t="shared" si="642"/>
        <v>0</v>
      </c>
      <c r="BI636" s="234" cm="1">
        <f t="array" ref="BI636">K636/IF($L636&gt;0, INDEX($AU$23:$BA$77, $L636+20, $AH636), 1)</f>
        <v>0</v>
      </c>
      <c r="BJ636" s="230">
        <f t="shared" si="654"/>
        <v>0</v>
      </c>
      <c r="BK636" s="229">
        <v>35</v>
      </c>
      <c r="BL636" s="230">
        <f t="shared" si="655"/>
        <v>48</v>
      </c>
      <c r="BM636" s="235">
        <f t="shared" si="656"/>
        <v>2.9108720930232557</v>
      </c>
      <c r="BN636" s="235" cm="1">
        <f t="array" ref="BN636">$BI636 * SUMPRODUCT(INDEX($AR$77:$AT$82,,$AI636),INDEX($AU$77:$BA$82,,$AH636), N($AQ$77:$AQ$82&gt;$AO636)) / BM636 / 1000</f>
        <v>0</v>
      </c>
      <c r="BO636" s="232">
        <f t="shared" si="643"/>
        <v>30</v>
      </c>
      <c r="BP636" s="230">
        <f t="shared" si="657"/>
        <v>43</v>
      </c>
      <c r="BQ636" s="235">
        <f t="shared" si="658"/>
        <v>3.2938815789473681</v>
      </c>
      <c r="BR636" s="235" cm="1">
        <f t="array" ref="BR636">$BI636 * IF($AH636&lt;=2,
SUMPRODUCT(INDEX($AR$72:$AT$76,,$AI636), INDEX($AU$72:$BA$76,,$AH636), 1 / ($BB$72:$BB$76*BQ636 + (1-$BB$72:$BB$76)*BM636), N($AQ$72:$AQ$76&gt;$AO636)),
SUMPRODUCT(INDEX($AR$67:$AT$76,,$AI636), INDEX($AU$67:$BA$76,,$AH636), 1 / ($BC$67:$BC$76*BQ636 + (1-$BC$67:$BC$76)*BM636), N($AQ$67:$AQ$76&gt;$AO636))
) / 1000</f>
        <v>0</v>
      </c>
      <c r="BS636" s="232">
        <f t="shared" si="644"/>
        <v>25</v>
      </c>
      <c r="BT636" s="230">
        <f t="shared" si="659"/>
        <v>38</v>
      </c>
      <c r="BU636" s="235">
        <f t="shared" si="660"/>
        <v>3.792954545454545</v>
      </c>
      <c r="BV636" s="235" cm="1">
        <f t="array" ref="BV636">$BI636 * IF($AH636&lt;=2,
SUMPRODUCT(INDEX($AR$67:$AT$71,,$AI636), INDEX($AU$67:$BA$71,,$AH636), 1 / ($BB$67:$BB$71*BU636 + (1-$BB$67:$BB$71)*BQ636), N($AQ$67:$AQ$71&gt;$AO636)),
SUMPRODUCT(INDEX($AR$57:$AT$66,,$AI636), INDEX($AU$57:$BA$66,,$AH636), 1 / ($BC$57:$BC$66*BU636 + (1-$BC$57:$BC$66)*BQ636), N($AQ$57:$AQ$66&gt;$AO636))
) / 1000</f>
        <v>0</v>
      </c>
      <c r="BW636" s="232">
        <f t="shared" si="645"/>
        <v>20</v>
      </c>
      <c r="BX636" s="230">
        <f t="shared" si="661"/>
        <v>33</v>
      </c>
      <c r="BY636" s="235">
        <f t="shared" si="662"/>
        <v>4.4702678571428569</v>
      </c>
      <c r="BZ636" s="235" cm="1">
        <f t="array" ref="BZ636">$BI636 * IF($AH636&lt;=2,
SUMPRODUCT(INDEX($AR$62:$AT$66,,$AI636), INDEX($AU$62:$BA$66,,$AH636), 1 / ($BB$62:$BB$66*BY636 + (1-$BB$62:$BB$66)*BU636), N($AQ$62:$AQ$66&gt;$AO636)),
SUMPRODUCT(INDEX($AR$47:$AT$56,,$AI636), INDEX($AU$47:$BA$56,,$AH636), 1 / ($BC$47:$BC$56*BY636 + (1-$BC$47:$BC$56)*BU636), N($AQ$47:$AQ$56&gt;$AO636))
) / 1000</f>
        <v>0</v>
      </c>
      <c r="CA636" s="235" cm="1">
        <f t="array" ref="CA636">$BI636 * IF($AH636&lt;=2,
SUMPRODUCT(INDEX($AR$23:$AT$61,,$AI636), INDEX($AU$23:$BA$61,,$AH636), 1 / ($BB$23:$BB$61*BY636), N($AQ$23:$AQ$61&gt;$AO636)),
SUMPRODUCT(INDEX($AR$23:$AT$46,,$AI636), INDEX($AU$23:$BA$46,,$AH636), 1 / ($BC$23:$BC$46*BY636), N($AQ$23:$AQ$46&gt;$AO636))
) / 1000</f>
        <v>0</v>
      </c>
      <c r="CB636" s="230">
        <f t="shared" si="663"/>
        <v>0</v>
      </c>
      <c r="CC636" s="238"/>
      <c r="CD636" s="229" cm="1">
        <f t="array" ref="CD636">IF(ISBLANK(Y636), INDEX(Use, $AH636, 4) - AN636*INDEX(Use, $AH636, 6) - (Q636-X636), Y636)</f>
        <v>7</v>
      </c>
      <c r="CE636" s="229">
        <f t="shared" si="664"/>
        <v>32</v>
      </c>
      <c r="CF636" s="230">
        <f t="shared" si="665"/>
        <v>0</v>
      </c>
      <c r="CG636" s="229">
        <v>35</v>
      </c>
      <c r="CH636" s="230">
        <f t="shared" si="666"/>
        <v>48</v>
      </c>
      <c r="CI636" s="235">
        <f t="shared" si="667"/>
        <v>3.0748170731707316</v>
      </c>
      <c r="CJ636" s="235" cm="1">
        <f t="array" ref="CJ636">$BI636 * SUMPRODUCT(INDEX($AR$77:$AT$82,,$AI636),INDEX($AU$77:$BA$82,,$AH636), N($AQ$77:$AQ$82&gt;$AO636)) / CI636 / 1000</f>
        <v>0</v>
      </c>
      <c r="CK636" s="232">
        <f t="shared" si="646"/>
        <v>30</v>
      </c>
      <c r="CL636" s="230">
        <f t="shared" si="668"/>
        <v>43</v>
      </c>
      <c r="CM636" s="235">
        <f t="shared" si="669"/>
        <v>3.5018750000000001</v>
      </c>
      <c r="CN636" s="235" cm="1">
        <f t="array" ref="CN636">$BI636 * IF($AH636&lt;=2,
SUMPRODUCT(INDEX($AR$72:$AT$76,,$AI636), INDEX($AU$72:$BA$76,,$AH636), 1 / ($BB$72:$BB$76*CM636 + (1-$BB$72:$BB$76)*CI636), N($AQ$72:$AQ$76&gt;$AO636)),
SUMPRODUCT(INDEX($AR$67:$AT$76,,$AI636), INDEX($AU$67:$BA$76,,$AH636), 1 / ($BC$67:$BC$76*CM636 + (1-$BC$67:$BC$76)*CI636), N($AQ$67:$AQ$76&gt;$AO636))
) / 1000</f>
        <v>0</v>
      </c>
      <c r="CO636" s="232">
        <f t="shared" si="647"/>
        <v>25</v>
      </c>
      <c r="CP636" s="230">
        <f t="shared" si="670"/>
        <v>38</v>
      </c>
      <c r="CQ636" s="235">
        <f t="shared" si="671"/>
        <v>4.0666935483870965</v>
      </c>
      <c r="CR636" s="235" cm="1">
        <f t="array" ref="CR636">$BI636 * IF($AH636&lt;=2,
SUMPRODUCT(INDEX($AR$67:$AT$71,,$AI636), INDEX($AU$67:$BA$71,,$AH636), 1 / ($BB$67:$BB$71*CQ636 + (1-$BB$67:$BB$71)*CM636), N($AQ$67:$AQ$71&gt;$AO636)),
SUMPRODUCT(INDEX($AR$57:$AT$66,,$AI636), INDEX($AU$57:$BA$66,,$AH636), 1 / ($BC$57:$BC$66*CQ636 + (1-$BC$57:$BC$66)*CM636), N($AQ$57:$AQ$66&gt;$AO636))
) / 1000</f>
        <v>0</v>
      </c>
      <c r="CS636" s="232">
        <f t="shared" si="648"/>
        <v>20</v>
      </c>
      <c r="CT636" s="230">
        <f t="shared" si="672"/>
        <v>33</v>
      </c>
      <c r="CU636" s="235">
        <f t="shared" si="673"/>
        <v>4.8487499999999999</v>
      </c>
      <c r="CV636" s="235" cm="1">
        <f t="array" ref="CV636">$BI636 * IF($AH636&lt;=2,
SUMPRODUCT(INDEX($AR$62:$AT$66,,$AI636), INDEX($AU$62:$BA$66,,$AH636), 1 / ($BB$62:$BB$66*CU636 + (1-$BB$62:$BB$66)*CQ636), N($AQ$62:$AQ$66&gt;$AO636)),
SUMPRODUCT(INDEX($AR$47:$AT$56,,$AI636), INDEX($AU$47:$BA$56,,$AH636), 1 / ($BC$47:$BC$56*CU636 + (1-$BC$47:$BC$56)*CQ636), N($AQ$47:$AQ$56&gt;$AO636))
) / 1000</f>
        <v>0</v>
      </c>
      <c r="CW636" s="235" cm="1">
        <f t="array" ref="CW636">$BI636 * IF($AH636&lt;=2,
SUMPRODUCT(INDEX($AR$23:$AT$61,,$AI636), INDEX($AU$23:$BA$61,,$AH636), 1 / ($BB$23:$BB$61*CU636), N($AQ$23:$AQ$61&gt;$AO636)),
SUMPRODUCT(INDEX($AR$23:$AT$46,,$AI636), INDEX($AU$23:$BA$46,,$AH636), 1 / ($BC$23:$BC$46*CU636), N($AQ$23:$AQ$46&gt;$AO636))
) / 1000</f>
        <v>0</v>
      </c>
      <c r="CX636" s="230">
        <f t="shared" si="674"/>
        <v>0</v>
      </c>
      <c r="CY636" s="238"/>
    </row>
    <row r="637" spans="1:103" s="76" customFormat="1" ht="14.25" customHeight="1" x14ac:dyDescent="0.2">
      <c r="A637" s="231" t="b">
        <f t="shared" si="640"/>
        <v>0</v>
      </c>
      <c r="B637" s="245">
        <v>615</v>
      </c>
      <c r="C637" s="258"/>
      <c r="D637" s="258"/>
      <c r="E637" s="246"/>
      <c r="F637" s="247" t="str">
        <f>IF(ISBLANK(E637), "", VLOOKUP(E637, Z!$A$2:$C$4127, 3, FALSE))</f>
        <v/>
      </c>
      <c r="G637" s="248"/>
      <c r="H637" s="248"/>
      <c r="I637" s="249"/>
      <c r="J637" s="250"/>
      <c r="K637" s="259"/>
      <c r="L637" s="260"/>
      <c r="M637" s="252" t="str" cm="1">
        <f t="array" ref="M637">INDEX(Trad, 53, $A$20)</f>
        <v>Verschmutzt</v>
      </c>
      <c r="N637" s="253"/>
      <c r="O637" s="253"/>
      <c r="P637" s="254"/>
      <c r="Q637" s="251"/>
      <c r="R637" s="251"/>
      <c r="S637" s="264">
        <f t="shared" si="649"/>
        <v>0</v>
      </c>
      <c r="T637" s="252" t="str" cm="1">
        <f t="array" ref="T637">INDEX(Trad, 52, $A$20)</f>
        <v>Sauber</v>
      </c>
      <c r="U637" s="253"/>
      <c r="V637" s="253"/>
      <c r="W637" s="254"/>
      <c r="X637" s="251"/>
      <c r="Y637" s="251"/>
      <c r="Z637" s="264">
        <f t="shared" si="650"/>
        <v>0</v>
      </c>
      <c r="AA637" s="261"/>
      <c r="AB637" s="258"/>
      <c r="AC637" s="246"/>
      <c r="AD637" s="247" t="str">
        <f>IF(ISBLANK(AC637), "", VLOOKUP(AC637, Z!$A$2:$C$4127, 3, FALSE))</f>
        <v/>
      </c>
      <c r="AE637" s="262"/>
      <c r="AF637" s="263">
        <f t="shared" si="651"/>
        <v>0</v>
      </c>
      <c r="AG637" s="238"/>
      <c r="AH637" s="229">
        <f t="shared" si="675"/>
        <v>1</v>
      </c>
      <c r="AI637" s="229">
        <f t="shared" si="676"/>
        <v>1</v>
      </c>
      <c r="AJ637" s="229">
        <f t="shared" si="677"/>
        <v>0</v>
      </c>
      <c r="AK637" s="229">
        <v>0</v>
      </c>
      <c r="AL637" s="229">
        <v>0</v>
      </c>
      <c r="AM637" s="229">
        <v>1</v>
      </c>
      <c r="AN637" s="229">
        <v>0</v>
      </c>
      <c r="AO637" s="229">
        <f t="shared" si="652"/>
        <v>-100</v>
      </c>
      <c r="AP637" s="238"/>
      <c r="AQ637" s="255"/>
      <c r="AR637" s="255"/>
      <c r="AS637" s="256"/>
      <c r="AT637" s="256"/>
      <c r="AU637" s="256"/>
      <c r="AV637" s="256"/>
      <c r="AW637" s="256"/>
      <c r="AX637" s="256"/>
      <c r="AY637" s="256"/>
      <c r="AZ637" s="256"/>
      <c r="BA637" s="256"/>
      <c r="BB637" s="256"/>
      <c r="BC637" s="256"/>
      <c r="BD637" s="238"/>
      <c r="BE637" s="229" cm="1">
        <f t="array" ref="BE637">IF(ISBLANK(R637), INDEX(Use, $AH637, 4) - AM637*INDEX(Use, $AH637, 6), R637)</f>
        <v>5</v>
      </c>
      <c r="BF637" s="229">
        <f t="shared" si="653"/>
        <v>30</v>
      </c>
      <c r="BG637" s="229">
        <f t="shared" si="641"/>
        <v>13</v>
      </c>
      <c r="BH637" s="229">
        <f t="shared" si="642"/>
        <v>0</v>
      </c>
      <c r="BI637" s="234" cm="1">
        <f t="array" ref="BI637">K637/IF($L637&gt;0, INDEX($AU$23:$BA$77, $L637+20, $AH637), 1)</f>
        <v>0</v>
      </c>
      <c r="BJ637" s="230">
        <f t="shared" si="654"/>
        <v>0</v>
      </c>
      <c r="BK637" s="229">
        <v>35</v>
      </c>
      <c r="BL637" s="230">
        <f t="shared" si="655"/>
        <v>48</v>
      </c>
      <c r="BM637" s="235">
        <f t="shared" si="656"/>
        <v>2.9108720930232557</v>
      </c>
      <c r="BN637" s="235" cm="1">
        <f t="array" ref="BN637">$BI637 * SUMPRODUCT(INDEX($AR$77:$AT$82,,$AI637),INDEX($AU$77:$BA$82,,$AH637), N($AQ$77:$AQ$82&gt;$AO637)) / BM637 / 1000</f>
        <v>0</v>
      </c>
      <c r="BO637" s="232">
        <f t="shared" si="643"/>
        <v>30</v>
      </c>
      <c r="BP637" s="230">
        <f t="shared" si="657"/>
        <v>43</v>
      </c>
      <c r="BQ637" s="235">
        <f t="shared" si="658"/>
        <v>3.2938815789473681</v>
      </c>
      <c r="BR637" s="235" cm="1">
        <f t="array" ref="BR637">$BI637 * IF($AH637&lt;=2,
SUMPRODUCT(INDEX($AR$72:$AT$76,,$AI637), INDEX($AU$72:$BA$76,,$AH637), 1 / ($BB$72:$BB$76*BQ637 + (1-$BB$72:$BB$76)*BM637), N($AQ$72:$AQ$76&gt;$AO637)),
SUMPRODUCT(INDEX($AR$67:$AT$76,,$AI637), INDEX($AU$67:$BA$76,,$AH637), 1 / ($BC$67:$BC$76*BQ637 + (1-$BC$67:$BC$76)*BM637), N($AQ$67:$AQ$76&gt;$AO637))
) / 1000</f>
        <v>0</v>
      </c>
      <c r="BS637" s="232">
        <f t="shared" si="644"/>
        <v>25</v>
      </c>
      <c r="BT637" s="230">
        <f t="shared" si="659"/>
        <v>38</v>
      </c>
      <c r="BU637" s="235">
        <f t="shared" si="660"/>
        <v>3.792954545454545</v>
      </c>
      <c r="BV637" s="235" cm="1">
        <f t="array" ref="BV637">$BI637 * IF($AH637&lt;=2,
SUMPRODUCT(INDEX($AR$67:$AT$71,,$AI637), INDEX($AU$67:$BA$71,,$AH637), 1 / ($BB$67:$BB$71*BU637 + (1-$BB$67:$BB$71)*BQ637), N($AQ$67:$AQ$71&gt;$AO637)),
SUMPRODUCT(INDEX($AR$57:$AT$66,,$AI637), INDEX($AU$57:$BA$66,,$AH637), 1 / ($BC$57:$BC$66*BU637 + (1-$BC$57:$BC$66)*BQ637), N($AQ$57:$AQ$66&gt;$AO637))
) / 1000</f>
        <v>0</v>
      </c>
      <c r="BW637" s="232">
        <f t="shared" si="645"/>
        <v>20</v>
      </c>
      <c r="BX637" s="230">
        <f t="shared" si="661"/>
        <v>33</v>
      </c>
      <c r="BY637" s="235">
        <f t="shared" si="662"/>
        <v>4.4702678571428569</v>
      </c>
      <c r="BZ637" s="235" cm="1">
        <f t="array" ref="BZ637">$BI637 * IF($AH637&lt;=2,
SUMPRODUCT(INDEX($AR$62:$AT$66,,$AI637), INDEX($AU$62:$BA$66,,$AH637), 1 / ($BB$62:$BB$66*BY637 + (1-$BB$62:$BB$66)*BU637), N($AQ$62:$AQ$66&gt;$AO637)),
SUMPRODUCT(INDEX($AR$47:$AT$56,,$AI637), INDEX($AU$47:$BA$56,,$AH637), 1 / ($BC$47:$BC$56*BY637 + (1-$BC$47:$BC$56)*BU637), N($AQ$47:$AQ$56&gt;$AO637))
) / 1000</f>
        <v>0</v>
      </c>
      <c r="CA637" s="235" cm="1">
        <f t="array" ref="CA637">$BI637 * IF($AH637&lt;=2,
SUMPRODUCT(INDEX($AR$23:$AT$61,,$AI637), INDEX($AU$23:$BA$61,,$AH637), 1 / ($BB$23:$BB$61*BY637), N($AQ$23:$AQ$61&gt;$AO637)),
SUMPRODUCT(INDEX($AR$23:$AT$46,,$AI637), INDEX($AU$23:$BA$46,,$AH637), 1 / ($BC$23:$BC$46*BY637), N($AQ$23:$AQ$46&gt;$AO637))
) / 1000</f>
        <v>0</v>
      </c>
      <c r="CB637" s="230">
        <f t="shared" si="663"/>
        <v>0</v>
      </c>
      <c r="CC637" s="238"/>
      <c r="CD637" s="229" cm="1">
        <f t="array" ref="CD637">IF(ISBLANK(Y637), INDEX(Use, $AH637, 4) - AN637*INDEX(Use, $AH637, 6) - (Q637-X637), Y637)</f>
        <v>7</v>
      </c>
      <c r="CE637" s="229">
        <f t="shared" si="664"/>
        <v>32</v>
      </c>
      <c r="CF637" s="230">
        <f t="shared" si="665"/>
        <v>0</v>
      </c>
      <c r="CG637" s="229">
        <v>35</v>
      </c>
      <c r="CH637" s="230">
        <f t="shared" si="666"/>
        <v>48</v>
      </c>
      <c r="CI637" s="235">
        <f t="shared" si="667"/>
        <v>3.0748170731707316</v>
      </c>
      <c r="CJ637" s="235" cm="1">
        <f t="array" ref="CJ637">$BI637 * SUMPRODUCT(INDEX($AR$77:$AT$82,,$AI637),INDEX($AU$77:$BA$82,,$AH637), N($AQ$77:$AQ$82&gt;$AO637)) / CI637 / 1000</f>
        <v>0</v>
      </c>
      <c r="CK637" s="232">
        <f t="shared" si="646"/>
        <v>30</v>
      </c>
      <c r="CL637" s="230">
        <f t="shared" si="668"/>
        <v>43</v>
      </c>
      <c r="CM637" s="235">
        <f t="shared" si="669"/>
        <v>3.5018750000000001</v>
      </c>
      <c r="CN637" s="235" cm="1">
        <f t="array" ref="CN637">$BI637 * IF($AH637&lt;=2,
SUMPRODUCT(INDEX($AR$72:$AT$76,,$AI637), INDEX($AU$72:$BA$76,,$AH637), 1 / ($BB$72:$BB$76*CM637 + (1-$BB$72:$BB$76)*CI637), N($AQ$72:$AQ$76&gt;$AO637)),
SUMPRODUCT(INDEX($AR$67:$AT$76,,$AI637), INDEX($AU$67:$BA$76,,$AH637), 1 / ($BC$67:$BC$76*CM637 + (1-$BC$67:$BC$76)*CI637), N($AQ$67:$AQ$76&gt;$AO637))
) / 1000</f>
        <v>0</v>
      </c>
      <c r="CO637" s="232">
        <f t="shared" si="647"/>
        <v>25</v>
      </c>
      <c r="CP637" s="230">
        <f t="shared" si="670"/>
        <v>38</v>
      </c>
      <c r="CQ637" s="235">
        <f t="shared" si="671"/>
        <v>4.0666935483870965</v>
      </c>
      <c r="CR637" s="235" cm="1">
        <f t="array" ref="CR637">$BI637 * IF($AH637&lt;=2,
SUMPRODUCT(INDEX($AR$67:$AT$71,,$AI637), INDEX($AU$67:$BA$71,,$AH637), 1 / ($BB$67:$BB$71*CQ637 + (1-$BB$67:$BB$71)*CM637), N($AQ$67:$AQ$71&gt;$AO637)),
SUMPRODUCT(INDEX($AR$57:$AT$66,,$AI637), INDEX($AU$57:$BA$66,,$AH637), 1 / ($BC$57:$BC$66*CQ637 + (1-$BC$57:$BC$66)*CM637), N($AQ$57:$AQ$66&gt;$AO637))
) / 1000</f>
        <v>0</v>
      </c>
      <c r="CS637" s="232">
        <f t="shared" si="648"/>
        <v>20</v>
      </c>
      <c r="CT637" s="230">
        <f t="shared" si="672"/>
        <v>33</v>
      </c>
      <c r="CU637" s="235">
        <f t="shared" si="673"/>
        <v>4.8487499999999999</v>
      </c>
      <c r="CV637" s="235" cm="1">
        <f t="array" ref="CV637">$BI637 * IF($AH637&lt;=2,
SUMPRODUCT(INDEX($AR$62:$AT$66,,$AI637), INDEX($AU$62:$BA$66,,$AH637), 1 / ($BB$62:$BB$66*CU637 + (1-$BB$62:$BB$66)*CQ637), N($AQ$62:$AQ$66&gt;$AO637)),
SUMPRODUCT(INDEX($AR$47:$AT$56,,$AI637), INDEX($AU$47:$BA$56,,$AH637), 1 / ($BC$47:$BC$56*CU637 + (1-$BC$47:$BC$56)*CQ637), N($AQ$47:$AQ$56&gt;$AO637))
) / 1000</f>
        <v>0</v>
      </c>
      <c r="CW637" s="235" cm="1">
        <f t="array" ref="CW637">$BI637 * IF($AH637&lt;=2,
SUMPRODUCT(INDEX($AR$23:$AT$61,,$AI637), INDEX($AU$23:$BA$61,,$AH637), 1 / ($BB$23:$BB$61*CU637), N($AQ$23:$AQ$61&gt;$AO637)),
SUMPRODUCT(INDEX($AR$23:$AT$46,,$AI637), INDEX($AU$23:$BA$46,,$AH637), 1 / ($BC$23:$BC$46*CU637), N($AQ$23:$AQ$46&gt;$AO637))
) / 1000</f>
        <v>0</v>
      </c>
      <c r="CX637" s="230">
        <f t="shared" si="674"/>
        <v>0</v>
      </c>
      <c r="CY637" s="238"/>
    </row>
    <row r="638" spans="1:103" s="76" customFormat="1" ht="14.25" customHeight="1" x14ac:dyDescent="0.2">
      <c r="A638" s="231" t="b">
        <f t="shared" si="640"/>
        <v>0</v>
      </c>
      <c r="B638" s="245">
        <v>616</v>
      </c>
      <c r="C638" s="258"/>
      <c r="D638" s="258"/>
      <c r="E638" s="246"/>
      <c r="F638" s="247" t="str">
        <f>IF(ISBLANK(E638), "", VLOOKUP(E638, Z!$A$2:$C$4127, 3, FALSE))</f>
        <v/>
      </c>
      <c r="G638" s="248"/>
      <c r="H638" s="248"/>
      <c r="I638" s="249"/>
      <c r="J638" s="250"/>
      <c r="K638" s="259"/>
      <c r="L638" s="260"/>
      <c r="M638" s="252" t="str" cm="1">
        <f t="array" ref="M638">INDEX(Trad, 53, $A$20)</f>
        <v>Verschmutzt</v>
      </c>
      <c r="N638" s="253"/>
      <c r="O638" s="253"/>
      <c r="P638" s="254"/>
      <c r="Q638" s="251"/>
      <c r="R638" s="251"/>
      <c r="S638" s="264">
        <f t="shared" si="649"/>
        <v>0</v>
      </c>
      <c r="T638" s="252" t="str" cm="1">
        <f t="array" ref="T638">INDEX(Trad, 52, $A$20)</f>
        <v>Sauber</v>
      </c>
      <c r="U638" s="253"/>
      <c r="V638" s="253"/>
      <c r="W638" s="254"/>
      <c r="X638" s="251"/>
      <c r="Y638" s="251"/>
      <c r="Z638" s="264">
        <f t="shared" si="650"/>
        <v>0</v>
      </c>
      <c r="AA638" s="261"/>
      <c r="AB638" s="258"/>
      <c r="AC638" s="246"/>
      <c r="AD638" s="247" t="str">
        <f>IF(ISBLANK(AC638), "", VLOOKUP(AC638, Z!$A$2:$C$4127, 3, FALSE))</f>
        <v/>
      </c>
      <c r="AE638" s="262"/>
      <c r="AF638" s="263">
        <f t="shared" si="651"/>
        <v>0</v>
      </c>
      <c r="AG638" s="238"/>
      <c r="AH638" s="229">
        <f t="shared" si="675"/>
        <v>1</v>
      </c>
      <c r="AI638" s="229">
        <f t="shared" si="676"/>
        <v>1</v>
      </c>
      <c r="AJ638" s="229">
        <f t="shared" si="677"/>
        <v>0</v>
      </c>
      <c r="AK638" s="229">
        <v>0</v>
      </c>
      <c r="AL638" s="229">
        <v>0</v>
      </c>
      <c r="AM638" s="229">
        <v>1</v>
      </c>
      <c r="AN638" s="229">
        <v>0</v>
      </c>
      <c r="AO638" s="229">
        <f t="shared" si="652"/>
        <v>-100</v>
      </c>
      <c r="AP638" s="238"/>
      <c r="AQ638" s="255"/>
      <c r="AR638" s="255"/>
      <c r="AS638" s="256"/>
      <c r="AT638" s="256"/>
      <c r="AU638" s="256"/>
      <c r="AV638" s="256"/>
      <c r="AW638" s="256"/>
      <c r="AX638" s="256"/>
      <c r="AY638" s="256"/>
      <c r="AZ638" s="256"/>
      <c r="BA638" s="256"/>
      <c r="BB638" s="256"/>
      <c r="BC638" s="256"/>
      <c r="BD638" s="238"/>
      <c r="BE638" s="229" cm="1">
        <f t="array" ref="BE638">IF(ISBLANK(R638), INDEX(Use, $AH638, 4) - AM638*INDEX(Use, $AH638, 6), R638)</f>
        <v>5</v>
      </c>
      <c r="BF638" s="229">
        <f t="shared" si="653"/>
        <v>30</v>
      </c>
      <c r="BG638" s="229">
        <f t="shared" si="641"/>
        <v>13</v>
      </c>
      <c r="BH638" s="229">
        <f t="shared" si="642"/>
        <v>0</v>
      </c>
      <c r="BI638" s="234" cm="1">
        <f t="array" ref="BI638">K638/IF($L638&gt;0, INDEX($AU$23:$BA$77, $L638+20, $AH638), 1)</f>
        <v>0</v>
      </c>
      <c r="BJ638" s="230">
        <f t="shared" si="654"/>
        <v>0</v>
      </c>
      <c r="BK638" s="229">
        <v>35</v>
      </c>
      <c r="BL638" s="230">
        <f t="shared" si="655"/>
        <v>48</v>
      </c>
      <c r="BM638" s="235">
        <f t="shared" si="656"/>
        <v>2.9108720930232557</v>
      </c>
      <c r="BN638" s="235" cm="1">
        <f t="array" ref="BN638">$BI638 * SUMPRODUCT(INDEX($AR$77:$AT$82,,$AI638),INDEX($AU$77:$BA$82,,$AH638), N($AQ$77:$AQ$82&gt;$AO638)) / BM638 / 1000</f>
        <v>0</v>
      </c>
      <c r="BO638" s="232">
        <f t="shared" si="643"/>
        <v>30</v>
      </c>
      <c r="BP638" s="230">
        <f t="shared" si="657"/>
        <v>43</v>
      </c>
      <c r="BQ638" s="235">
        <f t="shared" si="658"/>
        <v>3.2938815789473681</v>
      </c>
      <c r="BR638" s="235" cm="1">
        <f t="array" ref="BR638">$BI638 * IF($AH638&lt;=2,
SUMPRODUCT(INDEX($AR$72:$AT$76,,$AI638), INDEX($AU$72:$BA$76,,$AH638), 1 / ($BB$72:$BB$76*BQ638 + (1-$BB$72:$BB$76)*BM638), N($AQ$72:$AQ$76&gt;$AO638)),
SUMPRODUCT(INDEX($AR$67:$AT$76,,$AI638), INDEX($AU$67:$BA$76,,$AH638), 1 / ($BC$67:$BC$76*BQ638 + (1-$BC$67:$BC$76)*BM638), N($AQ$67:$AQ$76&gt;$AO638))
) / 1000</f>
        <v>0</v>
      </c>
      <c r="BS638" s="232">
        <f t="shared" si="644"/>
        <v>25</v>
      </c>
      <c r="BT638" s="230">
        <f t="shared" si="659"/>
        <v>38</v>
      </c>
      <c r="BU638" s="235">
        <f t="shared" si="660"/>
        <v>3.792954545454545</v>
      </c>
      <c r="BV638" s="235" cm="1">
        <f t="array" ref="BV638">$BI638 * IF($AH638&lt;=2,
SUMPRODUCT(INDEX($AR$67:$AT$71,,$AI638), INDEX($AU$67:$BA$71,,$AH638), 1 / ($BB$67:$BB$71*BU638 + (1-$BB$67:$BB$71)*BQ638), N($AQ$67:$AQ$71&gt;$AO638)),
SUMPRODUCT(INDEX($AR$57:$AT$66,,$AI638), INDEX($AU$57:$BA$66,,$AH638), 1 / ($BC$57:$BC$66*BU638 + (1-$BC$57:$BC$66)*BQ638), N($AQ$57:$AQ$66&gt;$AO638))
) / 1000</f>
        <v>0</v>
      </c>
      <c r="BW638" s="232">
        <f t="shared" si="645"/>
        <v>20</v>
      </c>
      <c r="BX638" s="230">
        <f t="shared" si="661"/>
        <v>33</v>
      </c>
      <c r="BY638" s="235">
        <f t="shared" si="662"/>
        <v>4.4702678571428569</v>
      </c>
      <c r="BZ638" s="235" cm="1">
        <f t="array" ref="BZ638">$BI638 * IF($AH638&lt;=2,
SUMPRODUCT(INDEX($AR$62:$AT$66,,$AI638), INDEX($AU$62:$BA$66,,$AH638), 1 / ($BB$62:$BB$66*BY638 + (1-$BB$62:$BB$66)*BU638), N($AQ$62:$AQ$66&gt;$AO638)),
SUMPRODUCT(INDEX($AR$47:$AT$56,,$AI638), INDEX($AU$47:$BA$56,,$AH638), 1 / ($BC$47:$BC$56*BY638 + (1-$BC$47:$BC$56)*BU638), N($AQ$47:$AQ$56&gt;$AO638))
) / 1000</f>
        <v>0</v>
      </c>
      <c r="CA638" s="235" cm="1">
        <f t="array" ref="CA638">$BI638 * IF($AH638&lt;=2,
SUMPRODUCT(INDEX($AR$23:$AT$61,,$AI638), INDEX($AU$23:$BA$61,,$AH638), 1 / ($BB$23:$BB$61*BY638), N($AQ$23:$AQ$61&gt;$AO638)),
SUMPRODUCT(INDEX($AR$23:$AT$46,,$AI638), INDEX($AU$23:$BA$46,,$AH638), 1 / ($BC$23:$BC$46*BY638), N($AQ$23:$AQ$46&gt;$AO638))
) / 1000</f>
        <v>0</v>
      </c>
      <c r="CB638" s="230">
        <f t="shared" si="663"/>
        <v>0</v>
      </c>
      <c r="CC638" s="238"/>
      <c r="CD638" s="229" cm="1">
        <f t="array" ref="CD638">IF(ISBLANK(Y638), INDEX(Use, $AH638, 4) - AN638*INDEX(Use, $AH638, 6) - (Q638-X638), Y638)</f>
        <v>7</v>
      </c>
      <c r="CE638" s="229">
        <f t="shared" si="664"/>
        <v>32</v>
      </c>
      <c r="CF638" s="230">
        <f t="shared" si="665"/>
        <v>0</v>
      </c>
      <c r="CG638" s="229">
        <v>35</v>
      </c>
      <c r="CH638" s="230">
        <f t="shared" si="666"/>
        <v>48</v>
      </c>
      <c r="CI638" s="235">
        <f t="shared" si="667"/>
        <v>3.0748170731707316</v>
      </c>
      <c r="CJ638" s="235" cm="1">
        <f t="array" ref="CJ638">$BI638 * SUMPRODUCT(INDEX($AR$77:$AT$82,,$AI638),INDEX($AU$77:$BA$82,,$AH638), N($AQ$77:$AQ$82&gt;$AO638)) / CI638 / 1000</f>
        <v>0</v>
      </c>
      <c r="CK638" s="232">
        <f t="shared" si="646"/>
        <v>30</v>
      </c>
      <c r="CL638" s="230">
        <f t="shared" si="668"/>
        <v>43</v>
      </c>
      <c r="CM638" s="235">
        <f t="shared" si="669"/>
        <v>3.5018750000000001</v>
      </c>
      <c r="CN638" s="235" cm="1">
        <f t="array" ref="CN638">$BI638 * IF($AH638&lt;=2,
SUMPRODUCT(INDEX($AR$72:$AT$76,,$AI638), INDEX($AU$72:$BA$76,,$AH638), 1 / ($BB$72:$BB$76*CM638 + (1-$BB$72:$BB$76)*CI638), N($AQ$72:$AQ$76&gt;$AO638)),
SUMPRODUCT(INDEX($AR$67:$AT$76,,$AI638), INDEX($AU$67:$BA$76,,$AH638), 1 / ($BC$67:$BC$76*CM638 + (1-$BC$67:$BC$76)*CI638), N($AQ$67:$AQ$76&gt;$AO638))
) / 1000</f>
        <v>0</v>
      </c>
      <c r="CO638" s="232">
        <f t="shared" si="647"/>
        <v>25</v>
      </c>
      <c r="CP638" s="230">
        <f t="shared" si="670"/>
        <v>38</v>
      </c>
      <c r="CQ638" s="235">
        <f t="shared" si="671"/>
        <v>4.0666935483870965</v>
      </c>
      <c r="CR638" s="235" cm="1">
        <f t="array" ref="CR638">$BI638 * IF($AH638&lt;=2,
SUMPRODUCT(INDEX($AR$67:$AT$71,,$AI638), INDEX($AU$67:$BA$71,,$AH638), 1 / ($BB$67:$BB$71*CQ638 + (1-$BB$67:$BB$71)*CM638), N($AQ$67:$AQ$71&gt;$AO638)),
SUMPRODUCT(INDEX($AR$57:$AT$66,,$AI638), INDEX($AU$57:$BA$66,,$AH638), 1 / ($BC$57:$BC$66*CQ638 + (1-$BC$57:$BC$66)*CM638), N($AQ$57:$AQ$66&gt;$AO638))
) / 1000</f>
        <v>0</v>
      </c>
      <c r="CS638" s="232">
        <f t="shared" si="648"/>
        <v>20</v>
      </c>
      <c r="CT638" s="230">
        <f t="shared" si="672"/>
        <v>33</v>
      </c>
      <c r="CU638" s="235">
        <f t="shared" si="673"/>
        <v>4.8487499999999999</v>
      </c>
      <c r="CV638" s="235" cm="1">
        <f t="array" ref="CV638">$BI638 * IF($AH638&lt;=2,
SUMPRODUCT(INDEX($AR$62:$AT$66,,$AI638), INDEX($AU$62:$BA$66,,$AH638), 1 / ($BB$62:$BB$66*CU638 + (1-$BB$62:$BB$66)*CQ638), N($AQ$62:$AQ$66&gt;$AO638)),
SUMPRODUCT(INDEX($AR$47:$AT$56,,$AI638), INDEX($AU$47:$BA$56,,$AH638), 1 / ($BC$47:$BC$56*CU638 + (1-$BC$47:$BC$56)*CQ638), N($AQ$47:$AQ$56&gt;$AO638))
) / 1000</f>
        <v>0</v>
      </c>
      <c r="CW638" s="235" cm="1">
        <f t="array" ref="CW638">$BI638 * IF($AH638&lt;=2,
SUMPRODUCT(INDEX($AR$23:$AT$61,,$AI638), INDEX($AU$23:$BA$61,,$AH638), 1 / ($BB$23:$BB$61*CU638), N($AQ$23:$AQ$61&gt;$AO638)),
SUMPRODUCT(INDEX($AR$23:$AT$46,,$AI638), INDEX($AU$23:$BA$46,,$AH638), 1 / ($BC$23:$BC$46*CU638), N($AQ$23:$AQ$46&gt;$AO638))
) / 1000</f>
        <v>0</v>
      </c>
      <c r="CX638" s="230">
        <f t="shared" si="674"/>
        <v>0</v>
      </c>
      <c r="CY638" s="238"/>
    </row>
    <row r="639" spans="1:103" s="76" customFormat="1" ht="14.25" customHeight="1" x14ac:dyDescent="0.2">
      <c r="A639" s="231" t="b">
        <f t="shared" si="640"/>
        <v>0</v>
      </c>
      <c r="B639" s="245">
        <v>617</v>
      </c>
      <c r="C639" s="258"/>
      <c r="D639" s="258"/>
      <c r="E639" s="246"/>
      <c r="F639" s="247" t="str">
        <f>IF(ISBLANK(E639), "", VLOOKUP(E639, Z!$A$2:$C$4127, 3, FALSE))</f>
        <v/>
      </c>
      <c r="G639" s="248"/>
      <c r="H639" s="248"/>
      <c r="I639" s="249"/>
      <c r="J639" s="250"/>
      <c r="K639" s="259"/>
      <c r="L639" s="260"/>
      <c r="M639" s="252" t="str" cm="1">
        <f t="array" ref="M639">INDEX(Trad, 53, $A$20)</f>
        <v>Verschmutzt</v>
      </c>
      <c r="N639" s="253"/>
      <c r="O639" s="253"/>
      <c r="P639" s="254"/>
      <c r="Q639" s="251"/>
      <c r="R639" s="251"/>
      <c r="S639" s="264">
        <f t="shared" si="649"/>
        <v>0</v>
      </c>
      <c r="T639" s="252" t="str" cm="1">
        <f t="array" ref="T639">INDEX(Trad, 52, $A$20)</f>
        <v>Sauber</v>
      </c>
      <c r="U639" s="253"/>
      <c r="V639" s="253"/>
      <c r="W639" s="254"/>
      <c r="X639" s="251"/>
      <c r="Y639" s="251"/>
      <c r="Z639" s="264">
        <f t="shared" si="650"/>
        <v>0</v>
      </c>
      <c r="AA639" s="261"/>
      <c r="AB639" s="258"/>
      <c r="AC639" s="246"/>
      <c r="AD639" s="247" t="str">
        <f>IF(ISBLANK(AC639), "", VLOOKUP(AC639, Z!$A$2:$C$4127, 3, FALSE))</f>
        <v/>
      </c>
      <c r="AE639" s="262"/>
      <c r="AF639" s="263">
        <f t="shared" si="651"/>
        <v>0</v>
      </c>
      <c r="AG639" s="238"/>
      <c r="AH639" s="229">
        <f t="shared" si="675"/>
        <v>1</v>
      </c>
      <c r="AI639" s="229">
        <f t="shared" si="676"/>
        <v>1</v>
      </c>
      <c r="AJ639" s="229">
        <f t="shared" si="677"/>
        <v>0</v>
      </c>
      <c r="AK639" s="229">
        <v>0</v>
      </c>
      <c r="AL639" s="229">
        <v>0</v>
      </c>
      <c r="AM639" s="229">
        <v>1</v>
      </c>
      <c r="AN639" s="229">
        <v>0</v>
      </c>
      <c r="AO639" s="229">
        <f t="shared" si="652"/>
        <v>-100</v>
      </c>
      <c r="AP639" s="238"/>
      <c r="AQ639" s="255"/>
      <c r="AR639" s="255"/>
      <c r="AS639" s="256"/>
      <c r="AT639" s="256"/>
      <c r="AU639" s="256"/>
      <c r="AV639" s="256"/>
      <c r="AW639" s="256"/>
      <c r="AX639" s="256"/>
      <c r="AY639" s="256"/>
      <c r="AZ639" s="256"/>
      <c r="BA639" s="256"/>
      <c r="BB639" s="256"/>
      <c r="BC639" s="256"/>
      <c r="BD639" s="238"/>
      <c r="BE639" s="229" cm="1">
        <f t="array" ref="BE639">IF(ISBLANK(R639), INDEX(Use, $AH639, 4) - AM639*INDEX(Use, $AH639, 6), R639)</f>
        <v>5</v>
      </c>
      <c r="BF639" s="229">
        <f t="shared" si="653"/>
        <v>30</v>
      </c>
      <c r="BG639" s="229">
        <f t="shared" si="641"/>
        <v>13</v>
      </c>
      <c r="BH639" s="229">
        <f t="shared" si="642"/>
        <v>0</v>
      </c>
      <c r="BI639" s="234" cm="1">
        <f t="array" ref="BI639">K639/IF($L639&gt;0, INDEX($AU$23:$BA$77, $L639+20, $AH639), 1)</f>
        <v>0</v>
      </c>
      <c r="BJ639" s="230">
        <f t="shared" si="654"/>
        <v>0</v>
      </c>
      <c r="BK639" s="229">
        <v>35</v>
      </c>
      <c r="BL639" s="230">
        <f t="shared" si="655"/>
        <v>48</v>
      </c>
      <c r="BM639" s="235">
        <f t="shared" si="656"/>
        <v>2.9108720930232557</v>
      </c>
      <c r="BN639" s="235" cm="1">
        <f t="array" ref="BN639">$BI639 * SUMPRODUCT(INDEX($AR$77:$AT$82,,$AI639),INDEX($AU$77:$BA$82,,$AH639), N($AQ$77:$AQ$82&gt;$AO639)) / BM639 / 1000</f>
        <v>0</v>
      </c>
      <c r="BO639" s="232">
        <f t="shared" si="643"/>
        <v>30</v>
      </c>
      <c r="BP639" s="230">
        <f t="shared" si="657"/>
        <v>43</v>
      </c>
      <c r="BQ639" s="235">
        <f t="shared" si="658"/>
        <v>3.2938815789473681</v>
      </c>
      <c r="BR639" s="235" cm="1">
        <f t="array" ref="BR639">$BI639 * IF($AH639&lt;=2,
SUMPRODUCT(INDEX($AR$72:$AT$76,,$AI639), INDEX($AU$72:$BA$76,,$AH639), 1 / ($BB$72:$BB$76*BQ639 + (1-$BB$72:$BB$76)*BM639), N($AQ$72:$AQ$76&gt;$AO639)),
SUMPRODUCT(INDEX($AR$67:$AT$76,,$AI639), INDEX($AU$67:$BA$76,,$AH639), 1 / ($BC$67:$BC$76*BQ639 + (1-$BC$67:$BC$76)*BM639), N($AQ$67:$AQ$76&gt;$AO639))
) / 1000</f>
        <v>0</v>
      </c>
      <c r="BS639" s="232">
        <f t="shared" si="644"/>
        <v>25</v>
      </c>
      <c r="BT639" s="230">
        <f t="shared" si="659"/>
        <v>38</v>
      </c>
      <c r="BU639" s="235">
        <f t="shared" si="660"/>
        <v>3.792954545454545</v>
      </c>
      <c r="BV639" s="235" cm="1">
        <f t="array" ref="BV639">$BI639 * IF($AH639&lt;=2,
SUMPRODUCT(INDEX($AR$67:$AT$71,,$AI639), INDEX($AU$67:$BA$71,,$AH639), 1 / ($BB$67:$BB$71*BU639 + (1-$BB$67:$BB$71)*BQ639), N($AQ$67:$AQ$71&gt;$AO639)),
SUMPRODUCT(INDEX($AR$57:$AT$66,,$AI639), INDEX($AU$57:$BA$66,,$AH639), 1 / ($BC$57:$BC$66*BU639 + (1-$BC$57:$BC$66)*BQ639), N($AQ$57:$AQ$66&gt;$AO639))
) / 1000</f>
        <v>0</v>
      </c>
      <c r="BW639" s="232">
        <f t="shared" si="645"/>
        <v>20</v>
      </c>
      <c r="BX639" s="230">
        <f t="shared" si="661"/>
        <v>33</v>
      </c>
      <c r="BY639" s="235">
        <f t="shared" si="662"/>
        <v>4.4702678571428569</v>
      </c>
      <c r="BZ639" s="235" cm="1">
        <f t="array" ref="BZ639">$BI639 * IF($AH639&lt;=2,
SUMPRODUCT(INDEX($AR$62:$AT$66,,$AI639), INDEX($AU$62:$BA$66,,$AH639), 1 / ($BB$62:$BB$66*BY639 + (1-$BB$62:$BB$66)*BU639), N($AQ$62:$AQ$66&gt;$AO639)),
SUMPRODUCT(INDEX($AR$47:$AT$56,,$AI639), INDEX($AU$47:$BA$56,,$AH639), 1 / ($BC$47:$BC$56*BY639 + (1-$BC$47:$BC$56)*BU639), N($AQ$47:$AQ$56&gt;$AO639))
) / 1000</f>
        <v>0</v>
      </c>
      <c r="CA639" s="235" cm="1">
        <f t="array" ref="CA639">$BI639 * IF($AH639&lt;=2,
SUMPRODUCT(INDEX($AR$23:$AT$61,,$AI639), INDEX($AU$23:$BA$61,,$AH639), 1 / ($BB$23:$BB$61*BY639), N($AQ$23:$AQ$61&gt;$AO639)),
SUMPRODUCT(INDEX($AR$23:$AT$46,,$AI639), INDEX($AU$23:$BA$46,,$AH639), 1 / ($BC$23:$BC$46*BY639), N($AQ$23:$AQ$46&gt;$AO639))
) / 1000</f>
        <v>0</v>
      </c>
      <c r="CB639" s="230">
        <f t="shared" si="663"/>
        <v>0</v>
      </c>
      <c r="CC639" s="238"/>
      <c r="CD639" s="229" cm="1">
        <f t="array" ref="CD639">IF(ISBLANK(Y639), INDEX(Use, $AH639, 4) - AN639*INDEX(Use, $AH639, 6) - (Q639-X639), Y639)</f>
        <v>7</v>
      </c>
      <c r="CE639" s="229">
        <f t="shared" si="664"/>
        <v>32</v>
      </c>
      <c r="CF639" s="230">
        <f t="shared" si="665"/>
        <v>0</v>
      </c>
      <c r="CG639" s="229">
        <v>35</v>
      </c>
      <c r="CH639" s="230">
        <f t="shared" si="666"/>
        <v>48</v>
      </c>
      <c r="CI639" s="235">
        <f t="shared" si="667"/>
        <v>3.0748170731707316</v>
      </c>
      <c r="CJ639" s="235" cm="1">
        <f t="array" ref="CJ639">$BI639 * SUMPRODUCT(INDEX($AR$77:$AT$82,,$AI639),INDEX($AU$77:$BA$82,,$AH639), N($AQ$77:$AQ$82&gt;$AO639)) / CI639 / 1000</f>
        <v>0</v>
      </c>
      <c r="CK639" s="232">
        <f t="shared" si="646"/>
        <v>30</v>
      </c>
      <c r="CL639" s="230">
        <f t="shared" si="668"/>
        <v>43</v>
      </c>
      <c r="CM639" s="235">
        <f t="shared" si="669"/>
        <v>3.5018750000000001</v>
      </c>
      <c r="CN639" s="235" cm="1">
        <f t="array" ref="CN639">$BI639 * IF($AH639&lt;=2,
SUMPRODUCT(INDEX($AR$72:$AT$76,,$AI639), INDEX($AU$72:$BA$76,,$AH639), 1 / ($BB$72:$BB$76*CM639 + (1-$BB$72:$BB$76)*CI639), N($AQ$72:$AQ$76&gt;$AO639)),
SUMPRODUCT(INDEX($AR$67:$AT$76,,$AI639), INDEX($AU$67:$BA$76,,$AH639), 1 / ($BC$67:$BC$76*CM639 + (1-$BC$67:$BC$76)*CI639), N($AQ$67:$AQ$76&gt;$AO639))
) / 1000</f>
        <v>0</v>
      </c>
      <c r="CO639" s="232">
        <f t="shared" si="647"/>
        <v>25</v>
      </c>
      <c r="CP639" s="230">
        <f t="shared" si="670"/>
        <v>38</v>
      </c>
      <c r="CQ639" s="235">
        <f t="shared" si="671"/>
        <v>4.0666935483870965</v>
      </c>
      <c r="CR639" s="235" cm="1">
        <f t="array" ref="CR639">$BI639 * IF($AH639&lt;=2,
SUMPRODUCT(INDEX($AR$67:$AT$71,,$AI639), INDEX($AU$67:$BA$71,,$AH639), 1 / ($BB$67:$BB$71*CQ639 + (1-$BB$67:$BB$71)*CM639), N($AQ$67:$AQ$71&gt;$AO639)),
SUMPRODUCT(INDEX($AR$57:$AT$66,,$AI639), INDEX($AU$57:$BA$66,,$AH639), 1 / ($BC$57:$BC$66*CQ639 + (1-$BC$57:$BC$66)*CM639), N($AQ$57:$AQ$66&gt;$AO639))
) / 1000</f>
        <v>0</v>
      </c>
      <c r="CS639" s="232">
        <f t="shared" si="648"/>
        <v>20</v>
      </c>
      <c r="CT639" s="230">
        <f t="shared" si="672"/>
        <v>33</v>
      </c>
      <c r="CU639" s="235">
        <f t="shared" si="673"/>
        <v>4.8487499999999999</v>
      </c>
      <c r="CV639" s="235" cm="1">
        <f t="array" ref="CV639">$BI639 * IF($AH639&lt;=2,
SUMPRODUCT(INDEX($AR$62:$AT$66,,$AI639), INDEX($AU$62:$BA$66,,$AH639), 1 / ($BB$62:$BB$66*CU639 + (1-$BB$62:$BB$66)*CQ639), N($AQ$62:$AQ$66&gt;$AO639)),
SUMPRODUCT(INDEX($AR$47:$AT$56,,$AI639), INDEX($AU$47:$BA$56,,$AH639), 1 / ($BC$47:$BC$56*CU639 + (1-$BC$47:$BC$56)*CQ639), N($AQ$47:$AQ$56&gt;$AO639))
) / 1000</f>
        <v>0</v>
      </c>
      <c r="CW639" s="235" cm="1">
        <f t="array" ref="CW639">$BI639 * IF($AH639&lt;=2,
SUMPRODUCT(INDEX($AR$23:$AT$61,,$AI639), INDEX($AU$23:$BA$61,,$AH639), 1 / ($BB$23:$BB$61*CU639), N($AQ$23:$AQ$61&gt;$AO639)),
SUMPRODUCT(INDEX($AR$23:$AT$46,,$AI639), INDEX($AU$23:$BA$46,,$AH639), 1 / ($BC$23:$BC$46*CU639), N($AQ$23:$AQ$46&gt;$AO639))
) / 1000</f>
        <v>0</v>
      </c>
      <c r="CX639" s="230">
        <f t="shared" si="674"/>
        <v>0</v>
      </c>
      <c r="CY639" s="238"/>
    </row>
    <row r="640" spans="1:103" s="76" customFormat="1" ht="14.25" customHeight="1" x14ac:dyDescent="0.2">
      <c r="A640" s="231" t="b">
        <f t="shared" si="640"/>
        <v>0</v>
      </c>
      <c r="B640" s="245">
        <v>618</v>
      </c>
      <c r="C640" s="258"/>
      <c r="D640" s="258"/>
      <c r="E640" s="246"/>
      <c r="F640" s="247" t="str">
        <f>IF(ISBLANK(E640), "", VLOOKUP(E640, Z!$A$2:$C$4127, 3, FALSE))</f>
        <v/>
      </c>
      <c r="G640" s="248"/>
      <c r="H640" s="248"/>
      <c r="I640" s="249"/>
      <c r="J640" s="250"/>
      <c r="K640" s="259"/>
      <c r="L640" s="260"/>
      <c r="M640" s="252" t="str" cm="1">
        <f t="array" ref="M640">INDEX(Trad, 53, $A$20)</f>
        <v>Verschmutzt</v>
      </c>
      <c r="N640" s="253"/>
      <c r="O640" s="253"/>
      <c r="P640" s="254"/>
      <c r="Q640" s="251"/>
      <c r="R640" s="251"/>
      <c r="S640" s="264">
        <f t="shared" si="649"/>
        <v>0</v>
      </c>
      <c r="T640" s="252" t="str" cm="1">
        <f t="array" ref="T640">INDEX(Trad, 52, $A$20)</f>
        <v>Sauber</v>
      </c>
      <c r="U640" s="253"/>
      <c r="V640" s="253"/>
      <c r="W640" s="254"/>
      <c r="X640" s="251"/>
      <c r="Y640" s="251"/>
      <c r="Z640" s="264">
        <f t="shared" si="650"/>
        <v>0</v>
      </c>
      <c r="AA640" s="261"/>
      <c r="AB640" s="258"/>
      <c r="AC640" s="246"/>
      <c r="AD640" s="247" t="str">
        <f>IF(ISBLANK(AC640), "", VLOOKUP(AC640, Z!$A$2:$C$4127, 3, FALSE))</f>
        <v/>
      </c>
      <c r="AE640" s="262"/>
      <c r="AF640" s="263">
        <f t="shared" si="651"/>
        <v>0</v>
      </c>
      <c r="AG640" s="238"/>
      <c r="AH640" s="229">
        <f t="shared" si="675"/>
        <v>1</v>
      </c>
      <c r="AI640" s="229">
        <f t="shared" si="676"/>
        <v>1</v>
      </c>
      <c r="AJ640" s="229">
        <f t="shared" si="677"/>
        <v>0</v>
      </c>
      <c r="AK640" s="229">
        <v>0</v>
      </c>
      <c r="AL640" s="229">
        <v>0</v>
      </c>
      <c r="AM640" s="229">
        <v>1</v>
      </c>
      <c r="AN640" s="229">
        <v>0</v>
      </c>
      <c r="AO640" s="229">
        <f t="shared" si="652"/>
        <v>-100</v>
      </c>
      <c r="AP640" s="238"/>
      <c r="AQ640" s="255"/>
      <c r="AR640" s="255"/>
      <c r="AS640" s="256"/>
      <c r="AT640" s="256"/>
      <c r="AU640" s="256"/>
      <c r="AV640" s="256"/>
      <c r="AW640" s="256"/>
      <c r="AX640" s="256"/>
      <c r="AY640" s="256"/>
      <c r="AZ640" s="256"/>
      <c r="BA640" s="256"/>
      <c r="BB640" s="256"/>
      <c r="BC640" s="256"/>
      <c r="BD640" s="238"/>
      <c r="BE640" s="229" cm="1">
        <f t="array" ref="BE640">IF(ISBLANK(R640), INDEX(Use, $AH640, 4) - AM640*INDEX(Use, $AH640, 6), R640)</f>
        <v>5</v>
      </c>
      <c r="BF640" s="229">
        <f t="shared" si="653"/>
        <v>30</v>
      </c>
      <c r="BG640" s="229">
        <f t="shared" si="641"/>
        <v>13</v>
      </c>
      <c r="BH640" s="229">
        <f t="shared" si="642"/>
        <v>0</v>
      </c>
      <c r="BI640" s="234" cm="1">
        <f t="array" ref="BI640">K640/IF($L640&gt;0, INDEX($AU$23:$BA$77, $L640+20, $AH640), 1)</f>
        <v>0</v>
      </c>
      <c r="BJ640" s="230">
        <f t="shared" si="654"/>
        <v>0</v>
      </c>
      <c r="BK640" s="229">
        <v>35</v>
      </c>
      <c r="BL640" s="230">
        <f t="shared" si="655"/>
        <v>48</v>
      </c>
      <c r="BM640" s="235">
        <f t="shared" si="656"/>
        <v>2.9108720930232557</v>
      </c>
      <c r="BN640" s="235" cm="1">
        <f t="array" ref="BN640">$BI640 * SUMPRODUCT(INDEX($AR$77:$AT$82,,$AI640),INDEX($AU$77:$BA$82,,$AH640), N($AQ$77:$AQ$82&gt;$AO640)) / BM640 / 1000</f>
        <v>0</v>
      </c>
      <c r="BO640" s="232">
        <f t="shared" si="643"/>
        <v>30</v>
      </c>
      <c r="BP640" s="230">
        <f t="shared" si="657"/>
        <v>43</v>
      </c>
      <c r="BQ640" s="235">
        <f t="shared" si="658"/>
        <v>3.2938815789473681</v>
      </c>
      <c r="BR640" s="235" cm="1">
        <f t="array" ref="BR640">$BI640 * IF($AH640&lt;=2,
SUMPRODUCT(INDEX($AR$72:$AT$76,,$AI640), INDEX($AU$72:$BA$76,,$AH640), 1 / ($BB$72:$BB$76*BQ640 + (1-$BB$72:$BB$76)*BM640), N($AQ$72:$AQ$76&gt;$AO640)),
SUMPRODUCT(INDEX($AR$67:$AT$76,,$AI640), INDEX($AU$67:$BA$76,,$AH640), 1 / ($BC$67:$BC$76*BQ640 + (1-$BC$67:$BC$76)*BM640), N($AQ$67:$AQ$76&gt;$AO640))
) / 1000</f>
        <v>0</v>
      </c>
      <c r="BS640" s="232">
        <f t="shared" si="644"/>
        <v>25</v>
      </c>
      <c r="BT640" s="230">
        <f t="shared" si="659"/>
        <v>38</v>
      </c>
      <c r="BU640" s="235">
        <f t="shared" si="660"/>
        <v>3.792954545454545</v>
      </c>
      <c r="BV640" s="235" cm="1">
        <f t="array" ref="BV640">$BI640 * IF($AH640&lt;=2,
SUMPRODUCT(INDEX($AR$67:$AT$71,,$AI640), INDEX($AU$67:$BA$71,,$AH640), 1 / ($BB$67:$BB$71*BU640 + (1-$BB$67:$BB$71)*BQ640), N($AQ$67:$AQ$71&gt;$AO640)),
SUMPRODUCT(INDEX($AR$57:$AT$66,,$AI640), INDEX($AU$57:$BA$66,,$AH640), 1 / ($BC$57:$BC$66*BU640 + (1-$BC$57:$BC$66)*BQ640), N($AQ$57:$AQ$66&gt;$AO640))
) / 1000</f>
        <v>0</v>
      </c>
      <c r="BW640" s="232">
        <f t="shared" si="645"/>
        <v>20</v>
      </c>
      <c r="BX640" s="230">
        <f t="shared" si="661"/>
        <v>33</v>
      </c>
      <c r="BY640" s="235">
        <f t="shared" si="662"/>
        <v>4.4702678571428569</v>
      </c>
      <c r="BZ640" s="235" cm="1">
        <f t="array" ref="BZ640">$BI640 * IF($AH640&lt;=2,
SUMPRODUCT(INDEX($AR$62:$AT$66,,$AI640), INDEX($AU$62:$BA$66,,$AH640), 1 / ($BB$62:$BB$66*BY640 + (1-$BB$62:$BB$66)*BU640), N($AQ$62:$AQ$66&gt;$AO640)),
SUMPRODUCT(INDEX($AR$47:$AT$56,,$AI640), INDEX($AU$47:$BA$56,,$AH640), 1 / ($BC$47:$BC$56*BY640 + (1-$BC$47:$BC$56)*BU640), N($AQ$47:$AQ$56&gt;$AO640))
) / 1000</f>
        <v>0</v>
      </c>
      <c r="CA640" s="235" cm="1">
        <f t="array" ref="CA640">$BI640 * IF($AH640&lt;=2,
SUMPRODUCT(INDEX($AR$23:$AT$61,,$AI640), INDEX($AU$23:$BA$61,,$AH640), 1 / ($BB$23:$BB$61*BY640), N($AQ$23:$AQ$61&gt;$AO640)),
SUMPRODUCT(INDEX($AR$23:$AT$46,,$AI640), INDEX($AU$23:$BA$46,,$AH640), 1 / ($BC$23:$BC$46*BY640), N($AQ$23:$AQ$46&gt;$AO640))
) / 1000</f>
        <v>0</v>
      </c>
      <c r="CB640" s="230">
        <f t="shared" si="663"/>
        <v>0</v>
      </c>
      <c r="CC640" s="238"/>
      <c r="CD640" s="229" cm="1">
        <f t="array" ref="CD640">IF(ISBLANK(Y640), INDEX(Use, $AH640, 4) - AN640*INDEX(Use, $AH640, 6) - (Q640-X640), Y640)</f>
        <v>7</v>
      </c>
      <c r="CE640" s="229">
        <f t="shared" si="664"/>
        <v>32</v>
      </c>
      <c r="CF640" s="230">
        <f t="shared" si="665"/>
        <v>0</v>
      </c>
      <c r="CG640" s="229">
        <v>35</v>
      </c>
      <c r="CH640" s="230">
        <f t="shared" si="666"/>
        <v>48</v>
      </c>
      <c r="CI640" s="235">
        <f t="shared" si="667"/>
        <v>3.0748170731707316</v>
      </c>
      <c r="CJ640" s="235" cm="1">
        <f t="array" ref="CJ640">$BI640 * SUMPRODUCT(INDEX($AR$77:$AT$82,,$AI640),INDEX($AU$77:$BA$82,,$AH640), N($AQ$77:$AQ$82&gt;$AO640)) / CI640 / 1000</f>
        <v>0</v>
      </c>
      <c r="CK640" s="232">
        <f t="shared" si="646"/>
        <v>30</v>
      </c>
      <c r="CL640" s="230">
        <f t="shared" si="668"/>
        <v>43</v>
      </c>
      <c r="CM640" s="235">
        <f t="shared" si="669"/>
        <v>3.5018750000000001</v>
      </c>
      <c r="CN640" s="235" cm="1">
        <f t="array" ref="CN640">$BI640 * IF($AH640&lt;=2,
SUMPRODUCT(INDEX($AR$72:$AT$76,,$AI640), INDEX($AU$72:$BA$76,,$AH640), 1 / ($BB$72:$BB$76*CM640 + (1-$BB$72:$BB$76)*CI640), N($AQ$72:$AQ$76&gt;$AO640)),
SUMPRODUCT(INDEX($AR$67:$AT$76,,$AI640), INDEX($AU$67:$BA$76,,$AH640), 1 / ($BC$67:$BC$76*CM640 + (1-$BC$67:$BC$76)*CI640), N($AQ$67:$AQ$76&gt;$AO640))
) / 1000</f>
        <v>0</v>
      </c>
      <c r="CO640" s="232">
        <f t="shared" si="647"/>
        <v>25</v>
      </c>
      <c r="CP640" s="230">
        <f t="shared" si="670"/>
        <v>38</v>
      </c>
      <c r="CQ640" s="235">
        <f t="shared" si="671"/>
        <v>4.0666935483870965</v>
      </c>
      <c r="CR640" s="235" cm="1">
        <f t="array" ref="CR640">$BI640 * IF($AH640&lt;=2,
SUMPRODUCT(INDEX($AR$67:$AT$71,,$AI640), INDEX($AU$67:$BA$71,,$AH640), 1 / ($BB$67:$BB$71*CQ640 + (1-$BB$67:$BB$71)*CM640), N($AQ$67:$AQ$71&gt;$AO640)),
SUMPRODUCT(INDEX($AR$57:$AT$66,,$AI640), INDEX($AU$57:$BA$66,,$AH640), 1 / ($BC$57:$BC$66*CQ640 + (1-$BC$57:$BC$66)*CM640), N($AQ$57:$AQ$66&gt;$AO640))
) / 1000</f>
        <v>0</v>
      </c>
      <c r="CS640" s="232">
        <f t="shared" si="648"/>
        <v>20</v>
      </c>
      <c r="CT640" s="230">
        <f t="shared" si="672"/>
        <v>33</v>
      </c>
      <c r="CU640" s="235">
        <f t="shared" si="673"/>
        <v>4.8487499999999999</v>
      </c>
      <c r="CV640" s="235" cm="1">
        <f t="array" ref="CV640">$BI640 * IF($AH640&lt;=2,
SUMPRODUCT(INDEX($AR$62:$AT$66,,$AI640), INDEX($AU$62:$BA$66,,$AH640), 1 / ($BB$62:$BB$66*CU640 + (1-$BB$62:$BB$66)*CQ640), N($AQ$62:$AQ$66&gt;$AO640)),
SUMPRODUCT(INDEX($AR$47:$AT$56,,$AI640), INDEX($AU$47:$BA$56,,$AH640), 1 / ($BC$47:$BC$56*CU640 + (1-$BC$47:$BC$56)*CQ640), N($AQ$47:$AQ$56&gt;$AO640))
) / 1000</f>
        <v>0</v>
      </c>
      <c r="CW640" s="235" cm="1">
        <f t="array" ref="CW640">$BI640 * IF($AH640&lt;=2,
SUMPRODUCT(INDEX($AR$23:$AT$61,,$AI640), INDEX($AU$23:$BA$61,,$AH640), 1 / ($BB$23:$BB$61*CU640), N($AQ$23:$AQ$61&gt;$AO640)),
SUMPRODUCT(INDEX($AR$23:$AT$46,,$AI640), INDEX($AU$23:$BA$46,,$AH640), 1 / ($BC$23:$BC$46*CU640), N($AQ$23:$AQ$46&gt;$AO640))
) / 1000</f>
        <v>0</v>
      </c>
      <c r="CX640" s="230">
        <f t="shared" si="674"/>
        <v>0</v>
      </c>
      <c r="CY640" s="238"/>
    </row>
    <row r="641" spans="1:103" s="76" customFormat="1" ht="14.25" customHeight="1" x14ac:dyDescent="0.2">
      <c r="A641" s="231" t="b">
        <f t="shared" si="640"/>
        <v>0</v>
      </c>
      <c r="B641" s="245">
        <v>619</v>
      </c>
      <c r="C641" s="258"/>
      <c r="D641" s="258"/>
      <c r="E641" s="246"/>
      <c r="F641" s="247" t="str">
        <f>IF(ISBLANK(E641), "", VLOOKUP(E641, Z!$A$2:$C$4127, 3, FALSE))</f>
        <v/>
      </c>
      <c r="G641" s="248"/>
      <c r="H641" s="248"/>
      <c r="I641" s="249"/>
      <c r="J641" s="250"/>
      <c r="K641" s="259"/>
      <c r="L641" s="260"/>
      <c r="M641" s="252" t="str" cm="1">
        <f t="array" ref="M641">INDEX(Trad, 53, $A$20)</f>
        <v>Verschmutzt</v>
      </c>
      <c r="N641" s="253"/>
      <c r="O641" s="253"/>
      <c r="P641" s="254"/>
      <c r="Q641" s="251"/>
      <c r="R641" s="251"/>
      <c r="S641" s="264">
        <f t="shared" si="649"/>
        <v>0</v>
      </c>
      <c r="T641" s="252" t="str" cm="1">
        <f t="array" ref="T641">INDEX(Trad, 52, $A$20)</f>
        <v>Sauber</v>
      </c>
      <c r="U641" s="253"/>
      <c r="V641" s="253"/>
      <c r="W641" s="254"/>
      <c r="X641" s="251"/>
      <c r="Y641" s="251"/>
      <c r="Z641" s="264">
        <f t="shared" si="650"/>
        <v>0</v>
      </c>
      <c r="AA641" s="261"/>
      <c r="AB641" s="258"/>
      <c r="AC641" s="246"/>
      <c r="AD641" s="247" t="str">
        <f>IF(ISBLANK(AC641), "", VLOOKUP(AC641, Z!$A$2:$C$4127, 3, FALSE))</f>
        <v/>
      </c>
      <c r="AE641" s="262"/>
      <c r="AF641" s="263">
        <f t="shared" si="651"/>
        <v>0</v>
      </c>
      <c r="AG641" s="238"/>
      <c r="AH641" s="229">
        <f t="shared" si="675"/>
        <v>1</v>
      </c>
      <c r="AI641" s="229">
        <f t="shared" si="676"/>
        <v>1</v>
      </c>
      <c r="AJ641" s="229">
        <f t="shared" si="677"/>
        <v>0</v>
      </c>
      <c r="AK641" s="229">
        <v>0</v>
      </c>
      <c r="AL641" s="229">
        <v>0</v>
      </c>
      <c r="AM641" s="229">
        <v>1</v>
      </c>
      <c r="AN641" s="229">
        <v>0</v>
      </c>
      <c r="AO641" s="229">
        <f t="shared" si="652"/>
        <v>-100</v>
      </c>
      <c r="AP641" s="238"/>
      <c r="AQ641" s="255"/>
      <c r="AR641" s="255"/>
      <c r="AS641" s="256"/>
      <c r="AT641" s="256"/>
      <c r="AU641" s="256"/>
      <c r="AV641" s="256"/>
      <c r="AW641" s="256"/>
      <c r="AX641" s="256"/>
      <c r="AY641" s="256"/>
      <c r="AZ641" s="256"/>
      <c r="BA641" s="256"/>
      <c r="BB641" s="256"/>
      <c r="BC641" s="256"/>
      <c r="BD641" s="238"/>
      <c r="BE641" s="229" cm="1">
        <f t="array" ref="BE641">IF(ISBLANK(R641), INDEX(Use, $AH641, 4) - AM641*INDEX(Use, $AH641, 6), R641)</f>
        <v>5</v>
      </c>
      <c r="BF641" s="229">
        <f t="shared" si="653"/>
        <v>30</v>
      </c>
      <c r="BG641" s="229">
        <f t="shared" si="641"/>
        <v>13</v>
      </c>
      <c r="BH641" s="229">
        <f t="shared" si="642"/>
        <v>0</v>
      </c>
      <c r="BI641" s="234" cm="1">
        <f t="array" ref="BI641">K641/IF($L641&gt;0, INDEX($AU$23:$BA$77, $L641+20, $AH641), 1)</f>
        <v>0</v>
      </c>
      <c r="BJ641" s="230">
        <f t="shared" si="654"/>
        <v>0</v>
      </c>
      <c r="BK641" s="229">
        <v>35</v>
      </c>
      <c r="BL641" s="230">
        <f t="shared" si="655"/>
        <v>48</v>
      </c>
      <c r="BM641" s="235">
        <f t="shared" si="656"/>
        <v>2.9108720930232557</v>
      </c>
      <c r="BN641" s="235" cm="1">
        <f t="array" ref="BN641">$BI641 * SUMPRODUCT(INDEX($AR$77:$AT$82,,$AI641),INDEX($AU$77:$BA$82,,$AH641), N($AQ$77:$AQ$82&gt;$AO641)) / BM641 / 1000</f>
        <v>0</v>
      </c>
      <c r="BO641" s="232">
        <f t="shared" si="643"/>
        <v>30</v>
      </c>
      <c r="BP641" s="230">
        <f t="shared" si="657"/>
        <v>43</v>
      </c>
      <c r="BQ641" s="235">
        <f t="shared" si="658"/>
        <v>3.2938815789473681</v>
      </c>
      <c r="BR641" s="235" cm="1">
        <f t="array" ref="BR641">$BI641 * IF($AH641&lt;=2,
SUMPRODUCT(INDEX($AR$72:$AT$76,,$AI641), INDEX($AU$72:$BA$76,,$AH641), 1 / ($BB$72:$BB$76*BQ641 + (1-$BB$72:$BB$76)*BM641), N($AQ$72:$AQ$76&gt;$AO641)),
SUMPRODUCT(INDEX($AR$67:$AT$76,,$AI641), INDEX($AU$67:$BA$76,,$AH641), 1 / ($BC$67:$BC$76*BQ641 + (1-$BC$67:$BC$76)*BM641), N($AQ$67:$AQ$76&gt;$AO641))
) / 1000</f>
        <v>0</v>
      </c>
      <c r="BS641" s="232">
        <f t="shared" si="644"/>
        <v>25</v>
      </c>
      <c r="BT641" s="230">
        <f t="shared" si="659"/>
        <v>38</v>
      </c>
      <c r="BU641" s="235">
        <f t="shared" si="660"/>
        <v>3.792954545454545</v>
      </c>
      <c r="BV641" s="235" cm="1">
        <f t="array" ref="BV641">$BI641 * IF($AH641&lt;=2,
SUMPRODUCT(INDEX($AR$67:$AT$71,,$AI641), INDEX($AU$67:$BA$71,,$AH641), 1 / ($BB$67:$BB$71*BU641 + (1-$BB$67:$BB$71)*BQ641), N($AQ$67:$AQ$71&gt;$AO641)),
SUMPRODUCT(INDEX($AR$57:$AT$66,,$AI641), INDEX($AU$57:$BA$66,,$AH641), 1 / ($BC$57:$BC$66*BU641 + (1-$BC$57:$BC$66)*BQ641), N($AQ$57:$AQ$66&gt;$AO641))
) / 1000</f>
        <v>0</v>
      </c>
      <c r="BW641" s="232">
        <f t="shared" si="645"/>
        <v>20</v>
      </c>
      <c r="BX641" s="230">
        <f t="shared" si="661"/>
        <v>33</v>
      </c>
      <c r="BY641" s="235">
        <f t="shared" si="662"/>
        <v>4.4702678571428569</v>
      </c>
      <c r="BZ641" s="235" cm="1">
        <f t="array" ref="BZ641">$BI641 * IF($AH641&lt;=2,
SUMPRODUCT(INDEX($AR$62:$AT$66,,$AI641), INDEX($AU$62:$BA$66,,$AH641), 1 / ($BB$62:$BB$66*BY641 + (1-$BB$62:$BB$66)*BU641), N($AQ$62:$AQ$66&gt;$AO641)),
SUMPRODUCT(INDEX($AR$47:$AT$56,,$AI641), INDEX($AU$47:$BA$56,,$AH641), 1 / ($BC$47:$BC$56*BY641 + (1-$BC$47:$BC$56)*BU641), N($AQ$47:$AQ$56&gt;$AO641))
) / 1000</f>
        <v>0</v>
      </c>
      <c r="CA641" s="235" cm="1">
        <f t="array" ref="CA641">$BI641 * IF($AH641&lt;=2,
SUMPRODUCT(INDEX($AR$23:$AT$61,,$AI641), INDEX($AU$23:$BA$61,,$AH641), 1 / ($BB$23:$BB$61*BY641), N($AQ$23:$AQ$61&gt;$AO641)),
SUMPRODUCT(INDEX($AR$23:$AT$46,,$AI641), INDEX($AU$23:$BA$46,,$AH641), 1 / ($BC$23:$BC$46*BY641), N($AQ$23:$AQ$46&gt;$AO641))
) / 1000</f>
        <v>0</v>
      </c>
      <c r="CB641" s="230">
        <f t="shared" si="663"/>
        <v>0</v>
      </c>
      <c r="CC641" s="238"/>
      <c r="CD641" s="229" cm="1">
        <f t="array" ref="CD641">IF(ISBLANK(Y641), INDEX(Use, $AH641, 4) - AN641*INDEX(Use, $AH641, 6) - (Q641-X641), Y641)</f>
        <v>7</v>
      </c>
      <c r="CE641" s="229">
        <f t="shared" si="664"/>
        <v>32</v>
      </c>
      <c r="CF641" s="230">
        <f t="shared" si="665"/>
        <v>0</v>
      </c>
      <c r="CG641" s="229">
        <v>35</v>
      </c>
      <c r="CH641" s="230">
        <f t="shared" si="666"/>
        <v>48</v>
      </c>
      <c r="CI641" s="235">
        <f t="shared" si="667"/>
        <v>3.0748170731707316</v>
      </c>
      <c r="CJ641" s="235" cm="1">
        <f t="array" ref="CJ641">$BI641 * SUMPRODUCT(INDEX($AR$77:$AT$82,,$AI641),INDEX($AU$77:$BA$82,,$AH641), N($AQ$77:$AQ$82&gt;$AO641)) / CI641 / 1000</f>
        <v>0</v>
      </c>
      <c r="CK641" s="232">
        <f t="shared" si="646"/>
        <v>30</v>
      </c>
      <c r="CL641" s="230">
        <f t="shared" si="668"/>
        <v>43</v>
      </c>
      <c r="CM641" s="235">
        <f t="shared" si="669"/>
        <v>3.5018750000000001</v>
      </c>
      <c r="CN641" s="235" cm="1">
        <f t="array" ref="CN641">$BI641 * IF($AH641&lt;=2,
SUMPRODUCT(INDEX($AR$72:$AT$76,,$AI641), INDEX($AU$72:$BA$76,,$AH641), 1 / ($BB$72:$BB$76*CM641 + (1-$BB$72:$BB$76)*CI641), N($AQ$72:$AQ$76&gt;$AO641)),
SUMPRODUCT(INDEX($AR$67:$AT$76,,$AI641), INDEX($AU$67:$BA$76,,$AH641), 1 / ($BC$67:$BC$76*CM641 + (1-$BC$67:$BC$76)*CI641), N($AQ$67:$AQ$76&gt;$AO641))
) / 1000</f>
        <v>0</v>
      </c>
      <c r="CO641" s="232">
        <f t="shared" si="647"/>
        <v>25</v>
      </c>
      <c r="CP641" s="230">
        <f t="shared" si="670"/>
        <v>38</v>
      </c>
      <c r="CQ641" s="235">
        <f t="shared" si="671"/>
        <v>4.0666935483870965</v>
      </c>
      <c r="CR641" s="235" cm="1">
        <f t="array" ref="CR641">$BI641 * IF($AH641&lt;=2,
SUMPRODUCT(INDEX($AR$67:$AT$71,,$AI641), INDEX($AU$67:$BA$71,,$AH641), 1 / ($BB$67:$BB$71*CQ641 + (1-$BB$67:$BB$71)*CM641), N($AQ$67:$AQ$71&gt;$AO641)),
SUMPRODUCT(INDEX($AR$57:$AT$66,,$AI641), INDEX($AU$57:$BA$66,,$AH641), 1 / ($BC$57:$BC$66*CQ641 + (1-$BC$57:$BC$66)*CM641), N($AQ$57:$AQ$66&gt;$AO641))
) / 1000</f>
        <v>0</v>
      </c>
      <c r="CS641" s="232">
        <f t="shared" si="648"/>
        <v>20</v>
      </c>
      <c r="CT641" s="230">
        <f t="shared" si="672"/>
        <v>33</v>
      </c>
      <c r="CU641" s="235">
        <f t="shared" si="673"/>
        <v>4.8487499999999999</v>
      </c>
      <c r="CV641" s="235" cm="1">
        <f t="array" ref="CV641">$BI641 * IF($AH641&lt;=2,
SUMPRODUCT(INDEX($AR$62:$AT$66,,$AI641), INDEX($AU$62:$BA$66,,$AH641), 1 / ($BB$62:$BB$66*CU641 + (1-$BB$62:$BB$66)*CQ641), N($AQ$62:$AQ$66&gt;$AO641)),
SUMPRODUCT(INDEX($AR$47:$AT$56,,$AI641), INDEX($AU$47:$BA$56,,$AH641), 1 / ($BC$47:$BC$56*CU641 + (1-$BC$47:$BC$56)*CQ641), N($AQ$47:$AQ$56&gt;$AO641))
) / 1000</f>
        <v>0</v>
      </c>
      <c r="CW641" s="235" cm="1">
        <f t="array" ref="CW641">$BI641 * IF($AH641&lt;=2,
SUMPRODUCT(INDEX($AR$23:$AT$61,,$AI641), INDEX($AU$23:$BA$61,,$AH641), 1 / ($BB$23:$BB$61*CU641), N($AQ$23:$AQ$61&gt;$AO641)),
SUMPRODUCT(INDEX($AR$23:$AT$46,,$AI641), INDEX($AU$23:$BA$46,,$AH641), 1 / ($BC$23:$BC$46*CU641), N($AQ$23:$AQ$46&gt;$AO641))
) / 1000</f>
        <v>0</v>
      </c>
      <c r="CX641" s="230">
        <f t="shared" si="674"/>
        <v>0</v>
      </c>
      <c r="CY641" s="238"/>
    </row>
    <row r="642" spans="1:103" s="76" customFormat="1" ht="14.25" customHeight="1" x14ac:dyDescent="0.2">
      <c r="A642" s="231" t="b">
        <f t="shared" si="640"/>
        <v>0</v>
      </c>
      <c r="B642" s="245">
        <v>620</v>
      </c>
      <c r="C642" s="258"/>
      <c r="D642" s="258"/>
      <c r="E642" s="246"/>
      <c r="F642" s="247" t="str">
        <f>IF(ISBLANK(E642), "", VLOOKUP(E642, Z!$A$2:$C$4127, 3, FALSE))</f>
        <v/>
      </c>
      <c r="G642" s="248"/>
      <c r="H642" s="248"/>
      <c r="I642" s="249"/>
      <c r="J642" s="250"/>
      <c r="K642" s="259"/>
      <c r="L642" s="260"/>
      <c r="M642" s="252" t="str" cm="1">
        <f t="array" ref="M642">INDEX(Trad, 53, $A$20)</f>
        <v>Verschmutzt</v>
      </c>
      <c r="N642" s="253"/>
      <c r="O642" s="253"/>
      <c r="P642" s="254"/>
      <c r="Q642" s="251"/>
      <c r="R642" s="251"/>
      <c r="S642" s="264">
        <f t="shared" si="649"/>
        <v>0</v>
      </c>
      <c r="T642" s="252" t="str" cm="1">
        <f t="array" ref="T642">INDEX(Trad, 52, $A$20)</f>
        <v>Sauber</v>
      </c>
      <c r="U642" s="253"/>
      <c r="V642" s="253"/>
      <c r="W642" s="254"/>
      <c r="X642" s="251"/>
      <c r="Y642" s="251"/>
      <c r="Z642" s="264">
        <f t="shared" si="650"/>
        <v>0</v>
      </c>
      <c r="AA642" s="261"/>
      <c r="AB642" s="258"/>
      <c r="AC642" s="246"/>
      <c r="AD642" s="247" t="str">
        <f>IF(ISBLANK(AC642), "", VLOOKUP(AC642, Z!$A$2:$C$4127, 3, FALSE))</f>
        <v/>
      </c>
      <c r="AE642" s="262"/>
      <c r="AF642" s="263">
        <f t="shared" si="651"/>
        <v>0</v>
      </c>
      <c r="AG642" s="238"/>
      <c r="AH642" s="229">
        <f t="shared" si="675"/>
        <v>1</v>
      </c>
      <c r="AI642" s="229">
        <f t="shared" si="676"/>
        <v>1</v>
      </c>
      <c r="AJ642" s="229">
        <f t="shared" si="677"/>
        <v>0</v>
      </c>
      <c r="AK642" s="229">
        <v>0</v>
      </c>
      <c r="AL642" s="229">
        <v>0</v>
      </c>
      <c r="AM642" s="229">
        <v>1</v>
      </c>
      <c r="AN642" s="229">
        <v>0</v>
      </c>
      <c r="AO642" s="229">
        <f t="shared" si="652"/>
        <v>-100</v>
      </c>
      <c r="AP642" s="238"/>
      <c r="AQ642" s="255"/>
      <c r="AR642" s="255"/>
      <c r="AS642" s="256"/>
      <c r="AT642" s="256"/>
      <c r="AU642" s="256"/>
      <c r="AV642" s="256"/>
      <c r="AW642" s="256"/>
      <c r="AX642" s="256"/>
      <c r="AY642" s="256"/>
      <c r="AZ642" s="256"/>
      <c r="BA642" s="256"/>
      <c r="BB642" s="256"/>
      <c r="BC642" s="256"/>
      <c r="BD642" s="238"/>
      <c r="BE642" s="229" cm="1">
        <f t="array" ref="BE642">IF(ISBLANK(R642), INDEX(Use, $AH642, 4) - AM642*INDEX(Use, $AH642, 6), R642)</f>
        <v>5</v>
      </c>
      <c r="BF642" s="229">
        <f t="shared" si="653"/>
        <v>30</v>
      </c>
      <c r="BG642" s="229">
        <f t="shared" si="641"/>
        <v>13</v>
      </c>
      <c r="BH642" s="229">
        <f t="shared" si="642"/>
        <v>0</v>
      </c>
      <c r="BI642" s="234" cm="1">
        <f t="array" ref="BI642">K642/IF($L642&gt;0, INDEX($AU$23:$BA$77, $L642+20, $AH642), 1)</f>
        <v>0</v>
      </c>
      <c r="BJ642" s="230">
        <f t="shared" si="654"/>
        <v>0</v>
      </c>
      <c r="BK642" s="229">
        <v>35</v>
      </c>
      <c r="BL642" s="230">
        <f t="shared" si="655"/>
        <v>48</v>
      </c>
      <c r="BM642" s="235">
        <f t="shared" si="656"/>
        <v>2.9108720930232557</v>
      </c>
      <c r="BN642" s="235" cm="1">
        <f t="array" ref="BN642">$BI642 * SUMPRODUCT(INDEX($AR$77:$AT$82,,$AI642),INDEX($AU$77:$BA$82,,$AH642), N($AQ$77:$AQ$82&gt;$AO642)) / BM642 / 1000</f>
        <v>0</v>
      </c>
      <c r="BO642" s="232">
        <f t="shared" si="643"/>
        <v>30</v>
      </c>
      <c r="BP642" s="230">
        <f t="shared" si="657"/>
        <v>43</v>
      </c>
      <c r="BQ642" s="235">
        <f t="shared" si="658"/>
        <v>3.2938815789473681</v>
      </c>
      <c r="BR642" s="235" cm="1">
        <f t="array" ref="BR642">$BI642 * IF($AH642&lt;=2,
SUMPRODUCT(INDEX($AR$72:$AT$76,,$AI642), INDEX($AU$72:$BA$76,,$AH642), 1 / ($BB$72:$BB$76*BQ642 + (1-$BB$72:$BB$76)*BM642), N($AQ$72:$AQ$76&gt;$AO642)),
SUMPRODUCT(INDEX($AR$67:$AT$76,,$AI642), INDEX($AU$67:$BA$76,,$AH642), 1 / ($BC$67:$BC$76*BQ642 + (1-$BC$67:$BC$76)*BM642), N($AQ$67:$AQ$76&gt;$AO642))
) / 1000</f>
        <v>0</v>
      </c>
      <c r="BS642" s="232">
        <f t="shared" si="644"/>
        <v>25</v>
      </c>
      <c r="BT642" s="230">
        <f t="shared" si="659"/>
        <v>38</v>
      </c>
      <c r="BU642" s="235">
        <f t="shared" si="660"/>
        <v>3.792954545454545</v>
      </c>
      <c r="BV642" s="235" cm="1">
        <f t="array" ref="BV642">$BI642 * IF($AH642&lt;=2,
SUMPRODUCT(INDEX($AR$67:$AT$71,,$AI642), INDEX($AU$67:$BA$71,,$AH642), 1 / ($BB$67:$BB$71*BU642 + (1-$BB$67:$BB$71)*BQ642), N($AQ$67:$AQ$71&gt;$AO642)),
SUMPRODUCT(INDEX($AR$57:$AT$66,,$AI642), INDEX($AU$57:$BA$66,,$AH642), 1 / ($BC$57:$BC$66*BU642 + (1-$BC$57:$BC$66)*BQ642), N($AQ$57:$AQ$66&gt;$AO642))
) / 1000</f>
        <v>0</v>
      </c>
      <c r="BW642" s="232">
        <f t="shared" si="645"/>
        <v>20</v>
      </c>
      <c r="BX642" s="230">
        <f t="shared" si="661"/>
        <v>33</v>
      </c>
      <c r="BY642" s="235">
        <f t="shared" si="662"/>
        <v>4.4702678571428569</v>
      </c>
      <c r="BZ642" s="235" cm="1">
        <f t="array" ref="BZ642">$BI642 * IF($AH642&lt;=2,
SUMPRODUCT(INDEX($AR$62:$AT$66,,$AI642), INDEX($AU$62:$BA$66,,$AH642), 1 / ($BB$62:$BB$66*BY642 + (1-$BB$62:$BB$66)*BU642), N($AQ$62:$AQ$66&gt;$AO642)),
SUMPRODUCT(INDEX($AR$47:$AT$56,,$AI642), INDEX($AU$47:$BA$56,,$AH642), 1 / ($BC$47:$BC$56*BY642 + (1-$BC$47:$BC$56)*BU642), N($AQ$47:$AQ$56&gt;$AO642))
) / 1000</f>
        <v>0</v>
      </c>
      <c r="CA642" s="235" cm="1">
        <f t="array" ref="CA642">$BI642 * IF($AH642&lt;=2,
SUMPRODUCT(INDEX($AR$23:$AT$61,,$AI642), INDEX($AU$23:$BA$61,,$AH642), 1 / ($BB$23:$BB$61*BY642), N($AQ$23:$AQ$61&gt;$AO642)),
SUMPRODUCT(INDEX($AR$23:$AT$46,,$AI642), INDEX($AU$23:$BA$46,,$AH642), 1 / ($BC$23:$BC$46*BY642), N($AQ$23:$AQ$46&gt;$AO642))
) / 1000</f>
        <v>0</v>
      </c>
      <c r="CB642" s="230">
        <f t="shared" si="663"/>
        <v>0</v>
      </c>
      <c r="CC642" s="238"/>
      <c r="CD642" s="229" cm="1">
        <f t="array" ref="CD642">IF(ISBLANK(Y642), INDEX(Use, $AH642, 4) - AN642*INDEX(Use, $AH642, 6) - (Q642-X642), Y642)</f>
        <v>7</v>
      </c>
      <c r="CE642" s="229">
        <f t="shared" si="664"/>
        <v>32</v>
      </c>
      <c r="CF642" s="230">
        <f t="shared" si="665"/>
        <v>0</v>
      </c>
      <c r="CG642" s="229">
        <v>35</v>
      </c>
      <c r="CH642" s="230">
        <f t="shared" si="666"/>
        <v>48</v>
      </c>
      <c r="CI642" s="235">
        <f t="shared" si="667"/>
        <v>3.0748170731707316</v>
      </c>
      <c r="CJ642" s="235" cm="1">
        <f t="array" ref="CJ642">$BI642 * SUMPRODUCT(INDEX($AR$77:$AT$82,,$AI642),INDEX($AU$77:$BA$82,,$AH642), N($AQ$77:$AQ$82&gt;$AO642)) / CI642 / 1000</f>
        <v>0</v>
      </c>
      <c r="CK642" s="232">
        <f t="shared" si="646"/>
        <v>30</v>
      </c>
      <c r="CL642" s="230">
        <f t="shared" si="668"/>
        <v>43</v>
      </c>
      <c r="CM642" s="235">
        <f t="shared" si="669"/>
        <v>3.5018750000000001</v>
      </c>
      <c r="CN642" s="235" cm="1">
        <f t="array" ref="CN642">$BI642 * IF($AH642&lt;=2,
SUMPRODUCT(INDEX($AR$72:$AT$76,,$AI642), INDEX($AU$72:$BA$76,,$AH642), 1 / ($BB$72:$BB$76*CM642 + (1-$BB$72:$BB$76)*CI642), N($AQ$72:$AQ$76&gt;$AO642)),
SUMPRODUCT(INDEX($AR$67:$AT$76,,$AI642), INDEX($AU$67:$BA$76,,$AH642), 1 / ($BC$67:$BC$76*CM642 + (1-$BC$67:$BC$76)*CI642), N($AQ$67:$AQ$76&gt;$AO642))
) / 1000</f>
        <v>0</v>
      </c>
      <c r="CO642" s="232">
        <f t="shared" si="647"/>
        <v>25</v>
      </c>
      <c r="CP642" s="230">
        <f t="shared" si="670"/>
        <v>38</v>
      </c>
      <c r="CQ642" s="235">
        <f t="shared" si="671"/>
        <v>4.0666935483870965</v>
      </c>
      <c r="CR642" s="235" cm="1">
        <f t="array" ref="CR642">$BI642 * IF($AH642&lt;=2,
SUMPRODUCT(INDEX($AR$67:$AT$71,,$AI642), INDEX($AU$67:$BA$71,,$AH642), 1 / ($BB$67:$BB$71*CQ642 + (1-$BB$67:$BB$71)*CM642), N($AQ$67:$AQ$71&gt;$AO642)),
SUMPRODUCT(INDEX($AR$57:$AT$66,,$AI642), INDEX($AU$57:$BA$66,,$AH642), 1 / ($BC$57:$BC$66*CQ642 + (1-$BC$57:$BC$66)*CM642), N($AQ$57:$AQ$66&gt;$AO642))
) / 1000</f>
        <v>0</v>
      </c>
      <c r="CS642" s="232">
        <f t="shared" si="648"/>
        <v>20</v>
      </c>
      <c r="CT642" s="230">
        <f t="shared" si="672"/>
        <v>33</v>
      </c>
      <c r="CU642" s="235">
        <f t="shared" si="673"/>
        <v>4.8487499999999999</v>
      </c>
      <c r="CV642" s="235" cm="1">
        <f t="array" ref="CV642">$BI642 * IF($AH642&lt;=2,
SUMPRODUCT(INDEX($AR$62:$AT$66,,$AI642), INDEX($AU$62:$BA$66,,$AH642), 1 / ($BB$62:$BB$66*CU642 + (1-$BB$62:$BB$66)*CQ642), N($AQ$62:$AQ$66&gt;$AO642)),
SUMPRODUCT(INDEX($AR$47:$AT$56,,$AI642), INDEX($AU$47:$BA$56,,$AH642), 1 / ($BC$47:$BC$56*CU642 + (1-$BC$47:$BC$56)*CQ642), N($AQ$47:$AQ$56&gt;$AO642))
) / 1000</f>
        <v>0</v>
      </c>
      <c r="CW642" s="235" cm="1">
        <f t="array" ref="CW642">$BI642 * IF($AH642&lt;=2,
SUMPRODUCT(INDEX($AR$23:$AT$61,,$AI642), INDEX($AU$23:$BA$61,,$AH642), 1 / ($BB$23:$BB$61*CU642), N($AQ$23:$AQ$61&gt;$AO642)),
SUMPRODUCT(INDEX($AR$23:$AT$46,,$AI642), INDEX($AU$23:$BA$46,,$AH642), 1 / ($BC$23:$BC$46*CU642), N($AQ$23:$AQ$46&gt;$AO642))
) / 1000</f>
        <v>0</v>
      </c>
      <c r="CX642" s="230">
        <f t="shared" si="674"/>
        <v>0</v>
      </c>
      <c r="CY642" s="238"/>
    </row>
    <row r="643" spans="1:103" s="76" customFormat="1" ht="14.25" customHeight="1" x14ac:dyDescent="0.2">
      <c r="A643" s="231" t="b">
        <f t="shared" si="640"/>
        <v>0</v>
      </c>
      <c r="B643" s="245">
        <v>621</v>
      </c>
      <c r="C643" s="258"/>
      <c r="D643" s="258"/>
      <c r="E643" s="246"/>
      <c r="F643" s="247" t="str">
        <f>IF(ISBLANK(E643), "", VLOOKUP(E643, Z!$A$2:$C$4127, 3, FALSE))</f>
        <v/>
      </c>
      <c r="G643" s="248"/>
      <c r="H643" s="248"/>
      <c r="I643" s="249"/>
      <c r="J643" s="250"/>
      <c r="K643" s="259"/>
      <c r="L643" s="260"/>
      <c r="M643" s="252" t="str" cm="1">
        <f t="array" ref="M643">INDEX(Trad, 53, $A$20)</f>
        <v>Verschmutzt</v>
      </c>
      <c r="N643" s="253"/>
      <c r="O643" s="253"/>
      <c r="P643" s="254"/>
      <c r="Q643" s="251"/>
      <c r="R643" s="251"/>
      <c r="S643" s="264">
        <f t="shared" si="649"/>
        <v>0</v>
      </c>
      <c r="T643" s="252" t="str" cm="1">
        <f t="array" ref="T643">INDEX(Trad, 52, $A$20)</f>
        <v>Sauber</v>
      </c>
      <c r="U643" s="253"/>
      <c r="V643" s="253"/>
      <c r="W643" s="254"/>
      <c r="X643" s="251"/>
      <c r="Y643" s="251"/>
      <c r="Z643" s="264">
        <f t="shared" si="650"/>
        <v>0</v>
      </c>
      <c r="AA643" s="261"/>
      <c r="AB643" s="258"/>
      <c r="AC643" s="246"/>
      <c r="AD643" s="247" t="str">
        <f>IF(ISBLANK(AC643), "", VLOOKUP(AC643, Z!$A$2:$C$4127, 3, FALSE))</f>
        <v/>
      </c>
      <c r="AE643" s="262"/>
      <c r="AF643" s="263">
        <f t="shared" si="651"/>
        <v>0</v>
      </c>
      <c r="AG643" s="238"/>
      <c r="AH643" s="229">
        <f t="shared" si="675"/>
        <v>1</v>
      </c>
      <c r="AI643" s="229">
        <f t="shared" si="676"/>
        <v>1</v>
      </c>
      <c r="AJ643" s="229">
        <f t="shared" si="677"/>
        <v>0</v>
      </c>
      <c r="AK643" s="229">
        <v>0</v>
      </c>
      <c r="AL643" s="229">
        <v>0</v>
      </c>
      <c r="AM643" s="229">
        <v>1</v>
      </c>
      <c r="AN643" s="229">
        <v>0</v>
      </c>
      <c r="AO643" s="229">
        <f t="shared" si="652"/>
        <v>-100</v>
      </c>
      <c r="AP643" s="238"/>
      <c r="AQ643" s="255"/>
      <c r="AR643" s="255"/>
      <c r="AS643" s="256"/>
      <c r="AT643" s="256"/>
      <c r="AU643" s="256"/>
      <c r="AV643" s="256"/>
      <c r="AW643" s="256"/>
      <c r="AX643" s="256"/>
      <c r="AY643" s="256"/>
      <c r="AZ643" s="256"/>
      <c r="BA643" s="256"/>
      <c r="BB643" s="256"/>
      <c r="BC643" s="256"/>
      <c r="BD643" s="238"/>
      <c r="BE643" s="229" cm="1">
        <f t="array" ref="BE643">IF(ISBLANK(R643), INDEX(Use, $AH643, 4) - AM643*INDEX(Use, $AH643, 6), R643)</f>
        <v>5</v>
      </c>
      <c r="BF643" s="229">
        <f t="shared" si="653"/>
        <v>30</v>
      </c>
      <c r="BG643" s="229">
        <f t="shared" si="641"/>
        <v>13</v>
      </c>
      <c r="BH643" s="229">
        <f t="shared" si="642"/>
        <v>0</v>
      </c>
      <c r="BI643" s="234" cm="1">
        <f t="array" ref="BI643">K643/IF($L643&gt;0, INDEX($AU$23:$BA$77, $L643+20, $AH643), 1)</f>
        <v>0</v>
      </c>
      <c r="BJ643" s="230">
        <f t="shared" si="654"/>
        <v>0</v>
      </c>
      <c r="BK643" s="229">
        <v>35</v>
      </c>
      <c r="BL643" s="230">
        <f t="shared" si="655"/>
        <v>48</v>
      </c>
      <c r="BM643" s="235">
        <f t="shared" si="656"/>
        <v>2.9108720930232557</v>
      </c>
      <c r="BN643" s="235" cm="1">
        <f t="array" ref="BN643">$BI643 * SUMPRODUCT(INDEX($AR$77:$AT$82,,$AI643),INDEX($AU$77:$BA$82,,$AH643), N($AQ$77:$AQ$82&gt;$AO643)) / BM643 / 1000</f>
        <v>0</v>
      </c>
      <c r="BO643" s="232">
        <f t="shared" si="643"/>
        <v>30</v>
      </c>
      <c r="BP643" s="230">
        <f t="shared" si="657"/>
        <v>43</v>
      </c>
      <c r="BQ643" s="235">
        <f t="shared" si="658"/>
        <v>3.2938815789473681</v>
      </c>
      <c r="BR643" s="235" cm="1">
        <f t="array" ref="BR643">$BI643 * IF($AH643&lt;=2,
SUMPRODUCT(INDEX($AR$72:$AT$76,,$AI643), INDEX($AU$72:$BA$76,,$AH643), 1 / ($BB$72:$BB$76*BQ643 + (1-$BB$72:$BB$76)*BM643), N($AQ$72:$AQ$76&gt;$AO643)),
SUMPRODUCT(INDEX($AR$67:$AT$76,,$AI643), INDEX($AU$67:$BA$76,,$AH643), 1 / ($BC$67:$BC$76*BQ643 + (1-$BC$67:$BC$76)*BM643), N($AQ$67:$AQ$76&gt;$AO643))
) / 1000</f>
        <v>0</v>
      </c>
      <c r="BS643" s="232">
        <f t="shared" si="644"/>
        <v>25</v>
      </c>
      <c r="BT643" s="230">
        <f t="shared" si="659"/>
        <v>38</v>
      </c>
      <c r="BU643" s="235">
        <f t="shared" si="660"/>
        <v>3.792954545454545</v>
      </c>
      <c r="BV643" s="235" cm="1">
        <f t="array" ref="BV643">$BI643 * IF($AH643&lt;=2,
SUMPRODUCT(INDEX($AR$67:$AT$71,,$AI643), INDEX($AU$67:$BA$71,,$AH643), 1 / ($BB$67:$BB$71*BU643 + (1-$BB$67:$BB$71)*BQ643), N($AQ$67:$AQ$71&gt;$AO643)),
SUMPRODUCT(INDEX($AR$57:$AT$66,,$AI643), INDEX($AU$57:$BA$66,,$AH643), 1 / ($BC$57:$BC$66*BU643 + (1-$BC$57:$BC$66)*BQ643), N($AQ$57:$AQ$66&gt;$AO643))
) / 1000</f>
        <v>0</v>
      </c>
      <c r="BW643" s="232">
        <f t="shared" si="645"/>
        <v>20</v>
      </c>
      <c r="BX643" s="230">
        <f t="shared" si="661"/>
        <v>33</v>
      </c>
      <c r="BY643" s="235">
        <f t="shared" si="662"/>
        <v>4.4702678571428569</v>
      </c>
      <c r="BZ643" s="235" cm="1">
        <f t="array" ref="BZ643">$BI643 * IF($AH643&lt;=2,
SUMPRODUCT(INDEX($AR$62:$AT$66,,$AI643), INDEX($AU$62:$BA$66,,$AH643), 1 / ($BB$62:$BB$66*BY643 + (1-$BB$62:$BB$66)*BU643), N($AQ$62:$AQ$66&gt;$AO643)),
SUMPRODUCT(INDEX($AR$47:$AT$56,,$AI643), INDEX($AU$47:$BA$56,,$AH643), 1 / ($BC$47:$BC$56*BY643 + (1-$BC$47:$BC$56)*BU643), N($AQ$47:$AQ$56&gt;$AO643))
) / 1000</f>
        <v>0</v>
      </c>
      <c r="CA643" s="235" cm="1">
        <f t="array" ref="CA643">$BI643 * IF($AH643&lt;=2,
SUMPRODUCT(INDEX($AR$23:$AT$61,,$AI643), INDEX($AU$23:$BA$61,,$AH643), 1 / ($BB$23:$BB$61*BY643), N($AQ$23:$AQ$61&gt;$AO643)),
SUMPRODUCT(INDEX($AR$23:$AT$46,,$AI643), INDEX($AU$23:$BA$46,,$AH643), 1 / ($BC$23:$BC$46*BY643), N($AQ$23:$AQ$46&gt;$AO643))
) / 1000</f>
        <v>0</v>
      </c>
      <c r="CB643" s="230">
        <f t="shared" si="663"/>
        <v>0</v>
      </c>
      <c r="CC643" s="238"/>
      <c r="CD643" s="229" cm="1">
        <f t="array" ref="CD643">IF(ISBLANK(Y643), INDEX(Use, $AH643, 4) - AN643*INDEX(Use, $AH643, 6) - (Q643-X643), Y643)</f>
        <v>7</v>
      </c>
      <c r="CE643" s="229">
        <f t="shared" si="664"/>
        <v>32</v>
      </c>
      <c r="CF643" s="230">
        <f t="shared" si="665"/>
        <v>0</v>
      </c>
      <c r="CG643" s="229">
        <v>35</v>
      </c>
      <c r="CH643" s="230">
        <f t="shared" si="666"/>
        <v>48</v>
      </c>
      <c r="CI643" s="235">
        <f t="shared" si="667"/>
        <v>3.0748170731707316</v>
      </c>
      <c r="CJ643" s="235" cm="1">
        <f t="array" ref="CJ643">$BI643 * SUMPRODUCT(INDEX($AR$77:$AT$82,,$AI643),INDEX($AU$77:$BA$82,,$AH643), N($AQ$77:$AQ$82&gt;$AO643)) / CI643 / 1000</f>
        <v>0</v>
      </c>
      <c r="CK643" s="232">
        <f t="shared" si="646"/>
        <v>30</v>
      </c>
      <c r="CL643" s="230">
        <f t="shared" si="668"/>
        <v>43</v>
      </c>
      <c r="CM643" s="235">
        <f t="shared" si="669"/>
        <v>3.5018750000000001</v>
      </c>
      <c r="CN643" s="235" cm="1">
        <f t="array" ref="CN643">$BI643 * IF($AH643&lt;=2,
SUMPRODUCT(INDEX($AR$72:$AT$76,,$AI643), INDEX($AU$72:$BA$76,,$AH643), 1 / ($BB$72:$BB$76*CM643 + (1-$BB$72:$BB$76)*CI643), N($AQ$72:$AQ$76&gt;$AO643)),
SUMPRODUCT(INDEX($AR$67:$AT$76,,$AI643), INDEX($AU$67:$BA$76,,$AH643), 1 / ($BC$67:$BC$76*CM643 + (1-$BC$67:$BC$76)*CI643), N($AQ$67:$AQ$76&gt;$AO643))
) / 1000</f>
        <v>0</v>
      </c>
      <c r="CO643" s="232">
        <f t="shared" si="647"/>
        <v>25</v>
      </c>
      <c r="CP643" s="230">
        <f t="shared" si="670"/>
        <v>38</v>
      </c>
      <c r="CQ643" s="235">
        <f t="shared" si="671"/>
        <v>4.0666935483870965</v>
      </c>
      <c r="CR643" s="235" cm="1">
        <f t="array" ref="CR643">$BI643 * IF($AH643&lt;=2,
SUMPRODUCT(INDEX($AR$67:$AT$71,,$AI643), INDEX($AU$67:$BA$71,,$AH643), 1 / ($BB$67:$BB$71*CQ643 + (1-$BB$67:$BB$71)*CM643), N($AQ$67:$AQ$71&gt;$AO643)),
SUMPRODUCT(INDEX($AR$57:$AT$66,,$AI643), INDEX($AU$57:$BA$66,,$AH643), 1 / ($BC$57:$BC$66*CQ643 + (1-$BC$57:$BC$66)*CM643), N($AQ$57:$AQ$66&gt;$AO643))
) / 1000</f>
        <v>0</v>
      </c>
      <c r="CS643" s="232">
        <f t="shared" si="648"/>
        <v>20</v>
      </c>
      <c r="CT643" s="230">
        <f t="shared" si="672"/>
        <v>33</v>
      </c>
      <c r="CU643" s="235">
        <f t="shared" si="673"/>
        <v>4.8487499999999999</v>
      </c>
      <c r="CV643" s="235" cm="1">
        <f t="array" ref="CV643">$BI643 * IF($AH643&lt;=2,
SUMPRODUCT(INDEX($AR$62:$AT$66,,$AI643), INDEX($AU$62:$BA$66,,$AH643), 1 / ($BB$62:$BB$66*CU643 + (1-$BB$62:$BB$66)*CQ643), N($AQ$62:$AQ$66&gt;$AO643)),
SUMPRODUCT(INDEX($AR$47:$AT$56,,$AI643), INDEX($AU$47:$BA$56,,$AH643), 1 / ($BC$47:$BC$56*CU643 + (1-$BC$47:$BC$56)*CQ643), N($AQ$47:$AQ$56&gt;$AO643))
) / 1000</f>
        <v>0</v>
      </c>
      <c r="CW643" s="235" cm="1">
        <f t="array" ref="CW643">$BI643 * IF($AH643&lt;=2,
SUMPRODUCT(INDEX($AR$23:$AT$61,,$AI643), INDEX($AU$23:$BA$61,,$AH643), 1 / ($BB$23:$BB$61*CU643), N($AQ$23:$AQ$61&gt;$AO643)),
SUMPRODUCT(INDEX($AR$23:$AT$46,,$AI643), INDEX($AU$23:$BA$46,,$AH643), 1 / ($BC$23:$BC$46*CU643), N($AQ$23:$AQ$46&gt;$AO643))
) / 1000</f>
        <v>0</v>
      </c>
      <c r="CX643" s="230">
        <f t="shared" si="674"/>
        <v>0</v>
      </c>
      <c r="CY643" s="238"/>
    </row>
    <row r="644" spans="1:103" s="76" customFormat="1" ht="14.25" customHeight="1" x14ac:dyDescent="0.2">
      <c r="A644" s="231" t="b">
        <f t="shared" si="640"/>
        <v>0</v>
      </c>
      <c r="B644" s="245">
        <v>622</v>
      </c>
      <c r="C644" s="258"/>
      <c r="D644" s="258"/>
      <c r="E644" s="246"/>
      <c r="F644" s="247" t="str">
        <f>IF(ISBLANK(E644), "", VLOOKUP(E644, Z!$A$2:$C$4127, 3, FALSE))</f>
        <v/>
      </c>
      <c r="G644" s="248"/>
      <c r="H644" s="248"/>
      <c r="I644" s="249"/>
      <c r="J644" s="250"/>
      <c r="K644" s="259"/>
      <c r="L644" s="260"/>
      <c r="M644" s="252" t="str" cm="1">
        <f t="array" ref="M644">INDEX(Trad, 53, $A$20)</f>
        <v>Verschmutzt</v>
      </c>
      <c r="N644" s="253"/>
      <c r="O644" s="253"/>
      <c r="P644" s="254"/>
      <c r="Q644" s="251"/>
      <c r="R644" s="251"/>
      <c r="S644" s="264">
        <f t="shared" si="649"/>
        <v>0</v>
      </c>
      <c r="T644" s="252" t="str" cm="1">
        <f t="array" ref="T644">INDEX(Trad, 52, $A$20)</f>
        <v>Sauber</v>
      </c>
      <c r="U644" s="253"/>
      <c r="V644" s="253"/>
      <c r="W644" s="254"/>
      <c r="X644" s="251"/>
      <c r="Y644" s="251"/>
      <c r="Z644" s="264">
        <f t="shared" si="650"/>
        <v>0</v>
      </c>
      <c r="AA644" s="261"/>
      <c r="AB644" s="258"/>
      <c r="AC644" s="246"/>
      <c r="AD644" s="247" t="str">
        <f>IF(ISBLANK(AC644), "", VLOOKUP(AC644, Z!$A$2:$C$4127, 3, FALSE))</f>
        <v/>
      </c>
      <c r="AE644" s="262"/>
      <c r="AF644" s="263">
        <f t="shared" si="651"/>
        <v>0</v>
      </c>
      <c r="AG644" s="238"/>
      <c r="AH644" s="229">
        <f t="shared" si="675"/>
        <v>1</v>
      </c>
      <c r="AI644" s="229">
        <f t="shared" si="676"/>
        <v>1</v>
      </c>
      <c r="AJ644" s="229">
        <f t="shared" si="677"/>
        <v>0</v>
      </c>
      <c r="AK644" s="229">
        <v>0</v>
      </c>
      <c r="AL644" s="229">
        <v>0</v>
      </c>
      <c r="AM644" s="229">
        <v>1</v>
      </c>
      <c r="AN644" s="229">
        <v>0</v>
      </c>
      <c r="AO644" s="229">
        <f t="shared" si="652"/>
        <v>-100</v>
      </c>
      <c r="AP644" s="238"/>
      <c r="AQ644" s="255"/>
      <c r="AR644" s="255"/>
      <c r="AS644" s="256"/>
      <c r="AT644" s="256"/>
      <c r="AU644" s="256"/>
      <c r="AV644" s="256"/>
      <c r="AW644" s="256"/>
      <c r="AX644" s="256"/>
      <c r="AY644" s="256"/>
      <c r="AZ644" s="256"/>
      <c r="BA644" s="256"/>
      <c r="BB644" s="256"/>
      <c r="BC644" s="256"/>
      <c r="BD644" s="238"/>
      <c r="BE644" s="229" cm="1">
        <f t="array" ref="BE644">IF(ISBLANK(R644), INDEX(Use, $AH644, 4) - AM644*INDEX(Use, $AH644, 6), R644)</f>
        <v>5</v>
      </c>
      <c r="BF644" s="229">
        <f t="shared" si="653"/>
        <v>30</v>
      </c>
      <c r="BG644" s="229">
        <f t="shared" si="641"/>
        <v>13</v>
      </c>
      <c r="BH644" s="229">
        <f t="shared" si="642"/>
        <v>0</v>
      </c>
      <c r="BI644" s="234" cm="1">
        <f t="array" ref="BI644">K644/IF($L644&gt;0, INDEX($AU$23:$BA$77, $L644+20, $AH644), 1)</f>
        <v>0</v>
      </c>
      <c r="BJ644" s="230">
        <f t="shared" si="654"/>
        <v>0</v>
      </c>
      <c r="BK644" s="229">
        <v>35</v>
      </c>
      <c r="BL644" s="230">
        <f t="shared" si="655"/>
        <v>48</v>
      </c>
      <c r="BM644" s="235">
        <f t="shared" si="656"/>
        <v>2.9108720930232557</v>
      </c>
      <c r="BN644" s="235" cm="1">
        <f t="array" ref="BN644">$BI644 * SUMPRODUCT(INDEX($AR$77:$AT$82,,$AI644),INDEX($AU$77:$BA$82,,$AH644), N($AQ$77:$AQ$82&gt;$AO644)) / BM644 / 1000</f>
        <v>0</v>
      </c>
      <c r="BO644" s="232">
        <f t="shared" si="643"/>
        <v>30</v>
      </c>
      <c r="BP644" s="230">
        <f t="shared" si="657"/>
        <v>43</v>
      </c>
      <c r="BQ644" s="235">
        <f t="shared" si="658"/>
        <v>3.2938815789473681</v>
      </c>
      <c r="BR644" s="235" cm="1">
        <f t="array" ref="BR644">$BI644 * IF($AH644&lt;=2,
SUMPRODUCT(INDEX($AR$72:$AT$76,,$AI644), INDEX($AU$72:$BA$76,,$AH644), 1 / ($BB$72:$BB$76*BQ644 + (1-$BB$72:$BB$76)*BM644), N($AQ$72:$AQ$76&gt;$AO644)),
SUMPRODUCT(INDEX($AR$67:$AT$76,,$AI644), INDEX($AU$67:$BA$76,,$AH644), 1 / ($BC$67:$BC$76*BQ644 + (1-$BC$67:$BC$76)*BM644), N($AQ$67:$AQ$76&gt;$AO644))
) / 1000</f>
        <v>0</v>
      </c>
      <c r="BS644" s="232">
        <f t="shared" si="644"/>
        <v>25</v>
      </c>
      <c r="BT644" s="230">
        <f t="shared" si="659"/>
        <v>38</v>
      </c>
      <c r="BU644" s="235">
        <f t="shared" si="660"/>
        <v>3.792954545454545</v>
      </c>
      <c r="BV644" s="235" cm="1">
        <f t="array" ref="BV644">$BI644 * IF($AH644&lt;=2,
SUMPRODUCT(INDEX($AR$67:$AT$71,,$AI644), INDEX($AU$67:$BA$71,,$AH644), 1 / ($BB$67:$BB$71*BU644 + (1-$BB$67:$BB$71)*BQ644), N($AQ$67:$AQ$71&gt;$AO644)),
SUMPRODUCT(INDEX($AR$57:$AT$66,,$AI644), INDEX($AU$57:$BA$66,,$AH644), 1 / ($BC$57:$BC$66*BU644 + (1-$BC$57:$BC$66)*BQ644), N($AQ$57:$AQ$66&gt;$AO644))
) / 1000</f>
        <v>0</v>
      </c>
      <c r="BW644" s="232">
        <f t="shared" si="645"/>
        <v>20</v>
      </c>
      <c r="BX644" s="230">
        <f t="shared" si="661"/>
        <v>33</v>
      </c>
      <c r="BY644" s="235">
        <f t="shared" si="662"/>
        <v>4.4702678571428569</v>
      </c>
      <c r="BZ644" s="235" cm="1">
        <f t="array" ref="BZ644">$BI644 * IF($AH644&lt;=2,
SUMPRODUCT(INDEX($AR$62:$AT$66,,$AI644), INDEX($AU$62:$BA$66,,$AH644), 1 / ($BB$62:$BB$66*BY644 + (1-$BB$62:$BB$66)*BU644), N($AQ$62:$AQ$66&gt;$AO644)),
SUMPRODUCT(INDEX($AR$47:$AT$56,,$AI644), INDEX($AU$47:$BA$56,,$AH644), 1 / ($BC$47:$BC$56*BY644 + (1-$BC$47:$BC$56)*BU644), N($AQ$47:$AQ$56&gt;$AO644))
) / 1000</f>
        <v>0</v>
      </c>
      <c r="CA644" s="235" cm="1">
        <f t="array" ref="CA644">$BI644 * IF($AH644&lt;=2,
SUMPRODUCT(INDEX($AR$23:$AT$61,,$AI644), INDEX($AU$23:$BA$61,,$AH644), 1 / ($BB$23:$BB$61*BY644), N($AQ$23:$AQ$61&gt;$AO644)),
SUMPRODUCT(INDEX($AR$23:$AT$46,,$AI644), INDEX($AU$23:$BA$46,,$AH644), 1 / ($BC$23:$BC$46*BY644), N($AQ$23:$AQ$46&gt;$AO644))
) / 1000</f>
        <v>0</v>
      </c>
      <c r="CB644" s="230">
        <f t="shared" si="663"/>
        <v>0</v>
      </c>
      <c r="CC644" s="238"/>
      <c r="CD644" s="229" cm="1">
        <f t="array" ref="CD644">IF(ISBLANK(Y644), INDEX(Use, $AH644, 4) - AN644*INDEX(Use, $AH644, 6) - (Q644-X644), Y644)</f>
        <v>7</v>
      </c>
      <c r="CE644" s="229">
        <f t="shared" si="664"/>
        <v>32</v>
      </c>
      <c r="CF644" s="230">
        <f t="shared" si="665"/>
        <v>0</v>
      </c>
      <c r="CG644" s="229">
        <v>35</v>
      </c>
      <c r="CH644" s="230">
        <f t="shared" si="666"/>
        <v>48</v>
      </c>
      <c r="CI644" s="235">
        <f t="shared" si="667"/>
        <v>3.0748170731707316</v>
      </c>
      <c r="CJ644" s="235" cm="1">
        <f t="array" ref="CJ644">$BI644 * SUMPRODUCT(INDEX($AR$77:$AT$82,,$AI644),INDEX($AU$77:$BA$82,,$AH644), N($AQ$77:$AQ$82&gt;$AO644)) / CI644 / 1000</f>
        <v>0</v>
      </c>
      <c r="CK644" s="232">
        <f t="shared" si="646"/>
        <v>30</v>
      </c>
      <c r="CL644" s="230">
        <f t="shared" si="668"/>
        <v>43</v>
      </c>
      <c r="CM644" s="235">
        <f t="shared" si="669"/>
        <v>3.5018750000000001</v>
      </c>
      <c r="CN644" s="235" cm="1">
        <f t="array" ref="CN644">$BI644 * IF($AH644&lt;=2,
SUMPRODUCT(INDEX($AR$72:$AT$76,,$AI644), INDEX($AU$72:$BA$76,,$AH644), 1 / ($BB$72:$BB$76*CM644 + (1-$BB$72:$BB$76)*CI644), N($AQ$72:$AQ$76&gt;$AO644)),
SUMPRODUCT(INDEX($AR$67:$AT$76,,$AI644), INDEX($AU$67:$BA$76,,$AH644), 1 / ($BC$67:$BC$76*CM644 + (1-$BC$67:$BC$76)*CI644), N($AQ$67:$AQ$76&gt;$AO644))
) / 1000</f>
        <v>0</v>
      </c>
      <c r="CO644" s="232">
        <f t="shared" si="647"/>
        <v>25</v>
      </c>
      <c r="CP644" s="230">
        <f t="shared" si="670"/>
        <v>38</v>
      </c>
      <c r="CQ644" s="235">
        <f t="shared" si="671"/>
        <v>4.0666935483870965</v>
      </c>
      <c r="CR644" s="235" cm="1">
        <f t="array" ref="CR644">$BI644 * IF($AH644&lt;=2,
SUMPRODUCT(INDEX($AR$67:$AT$71,,$AI644), INDEX($AU$67:$BA$71,,$AH644), 1 / ($BB$67:$BB$71*CQ644 + (1-$BB$67:$BB$71)*CM644), N($AQ$67:$AQ$71&gt;$AO644)),
SUMPRODUCT(INDEX($AR$57:$AT$66,,$AI644), INDEX($AU$57:$BA$66,,$AH644), 1 / ($BC$57:$BC$66*CQ644 + (1-$BC$57:$BC$66)*CM644), N($AQ$57:$AQ$66&gt;$AO644))
) / 1000</f>
        <v>0</v>
      </c>
      <c r="CS644" s="232">
        <f t="shared" si="648"/>
        <v>20</v>
      </c>
      <c r="CT644" s="230">
        <f t="shared" si="672"/>
        <v>33</v>
      </c>
      <c r="CU644" s="235">
        <f t="shared" si="673"/>
        <v>4.8487499999999999</v>
      </c>
      <c r="CV644" s="235" cm="1">
        <f t="array" ref="CV644">$BI644 * IF($AH644&lt;=2,
SUMPRODUCT(INDEX($AR$62:$AT$66,,$AI644), INDEX($AU$62:$BA$66,,$AH644), 1 / ($BB$62:$BB$66*CU644 + (1-$BB$62:$BB$66)*CQ644), N($AQ$62:$AQ$66&gt;$AO644)),
SUMPRODUCT(INDEX($AR$47:$AT$56,,$AI644), INDEX($AU$47:$BA$56,,$AH644), 1 / ($BC$47:$BC$56*CU644 + (1-$BC$47:$BC$56)*CQ644), N($AQ$47:$AQ$56&gt;$AO644))
) / 1000</f>
        <v>0</v>
      </c>
      <c r="CW644" s="235" cm="1">
        <f t="array" ref="CW644">$BI644 * IF($AH644&lt;=2,
SUMPRODUCT(INDEX($AR$23:$AT$61,,$AI644), INDEX($AU$23:$BA$61,,$AH644), 1 / ($BB$23:$BB$61*CU644), N($AQ$23:$AQ$61&gt;$AO644)),
SUMPRODUCT(INDEX($AR$23:$AT$46,,$AI644), INDEX($AU$23:$BA$46,,$AH644), 1 / ($BC$23:$BC$46*CU644), N($AQ$23:$AQ$46&gt;$AO644))
) / 1000</f>
        <v>0</v>
      </c>
      <c r="CX644" s="230">
        <f t="shared" si="674"/>
        <v>0</v>
      </c>
      <c r="CY644" s="238"/>
    </row>
    <row r="645" spans="1:103" s="76" customFormat="1" ht="14.25" customHeight="1" x14ac:dyDescent="0.2">
      <c r="A645" s="231" t="b">
        <f t="shared" si="640"/>
        <v>0</v>
      </c>
      <c r="B645" s="245">
        <v>623</v>
      </c>
      <c r="C645" s="258"/>
      <c r="D645" s="258"/>
      <c r="E645" s="246"/>
      <c r="F645" s="247" t="str">
        <f>IF(ISBLANK(E645), "", VLOOKUP(E645, Z!$A$2:$C$4127, 3, FALSE))</f>
        <v/>
      </c>
      <c r="G645" s="248"/>
      <c r="H645" s="248"/>
      <c r="I645" s="249"/>
      <c r="J645" s="250"/>
      <c r="K645" s="259"/>
      <c r="L645" s="260"/>
      <c r="M645" s="252" t="str" cm="1">
        <f t="array" ref="M645">INDEX(Trad, 53, $A$20)</f>
        <v>Verschmutzt</v>
      </c>
      <c r="N645" s="253"/>
      <c r="O645" s="253"/>
      <c r="P645" s="254"/>
      <c r="Q645" s="251"/>
      <c r="R645" s="251"/>
      <c r="S645" s="264">
        <f t="shared" si="649"/>
        <v>0</v>
      </c>
      <c r="T645" s="252" t="str" cm="1">
        <f t="array" ref="T645">INDEX(Trad, 52, $A$20)</f>
        <v>Sauber</v>
      </c>
      <c r="U645" s="253"/>
      <c r="V645" s="253"/>
      <c r="W645" s="254"/>
      <c r="X645" s="251"/>
      <c r="Y645" s="251"/>
      <c r="Z645" s="264">
        <f t="shared" si="650"/>
        <v>0</v>
      </c>
      <c r="AA645" s="261"/>
      <c r="AB645" s="258"/>
      <c r="AC645" s="246"/>
      <c r="AD645" s="247" t="str">
        <f>IF(ISBLANK(AC645), "", VLOOKUP(AC645, Z!$A$2:$C$4127, 3, FALSE))</f>
        <v/>
      </c>
      <c r="AE645" s="262"/>
      <c r="AF645" s="263">
        <f t="shared" si="651"/>
        <v>0</v>
      </c>
      <c r="AG645" s="238"/>
      <c r="AH645" s="229">
        <f t="shared" si="675"/>
        <v>1</v>
      </c>
      <c r="AI645" s="229">
        <f t="shared" si="676"/>
        <v>1</v>
      </c>
      <c r="AJ645" s="229">
        <f t="shared" si="677"/>
        <v>0</v>
      </c>
      <c r="AK645" s="229">
        <v>0</v>
      </c>
      <c r="AL645" s="229">
        <v>0</v>
      </c>
      <c r="AM645" s="229">
        <v>1</v>
      </c>
      <c r="AN645" s="229">
        <v>0</v>
      </c>
      <c r="AO645" s="229">
        <f t="shared" si="652"/>
        <v>-100</v>
      </c>
      <c r="AP645" s="238"/>
      <c r="AQ645" s="255"/>
      <c r="AR645" s="255"/>
      <c r="AS645" s="256"/>
      <c r="AT645" s="256"/>
      <c r="AU645" s="256"/>
      <c r="AV645" s="256"/>
      <c r="AW645" s="256"/>
      <c r="AX645" s="256"/>
      <c r="AY645" s="256"/>
      <c r="AZ645" s="256"/>
      <c r="BA645" s="256"/>
      <c r="BB645" s="256"/>
      <c r="BC645" s="256"/>
      <c r="BD645" s="238"/>
      <c r="BE645" s="229" cm="1">
        <f t="array" ref="BE645">IF(ISBLANK(R645), INDEX(Use, $AH645, 4) - AM645*INDEX(Use, $AH645, 6), R645)</f>
        <v>5</v>
      </c>
      <c r="BF645" s="229">
        <f t="shared" si="653"/>
        <v>30</v>
      </c>
      <c r="BG645" s="229">
        <f t="shared" si="641"/>
        <v>13</v>
      </c>
      <c r="BH645" s="229">
        <f t="shared" si="642"/>
        <v>0</v>
      </c>
      <c r="BI645" s="234" cm="1">
        <f t="array" ref="BI645">K645/IF($L645&gt;0, INDEX($AU$23:$BA$77, $L645+20, $AH645), 1)</f>
        <v>0</v>
      </c>
      <c r="BJ645" s="230">
        <f t="shared" si="654"/>
        <v>0</v>
      </c>
      <c r="BK645" s="229">
        <v>35</v>
      </c>
      <c r="BL645" s="230">
        <f t="shared" si="655"/>
        <v>48</v>
      </c>
      <c r="BM645" s="235">
        <f t="shared" si="656"/>
        <v>2.9108720930232557</v>
      </c>
      <c r="BN645" s="235" cm="1">
        <f t="array" ref="BN645">$BI645 * SUMPRODUCT(INDEX($AR$77:$AT$82,,$AI645),INDEX($AU$77:$BA$82,,$AH645), N($AQ$77:$AQ$82&gt;$AO645)) / BM645 / 1000</f>
        <v>0</v>
      </c>
      <c r="BO645" s="232">
        <f t="shared" si="643"/>
        <v>30</v>
      </c>
      <c r="BP645" s="230">
        <f t="shared" si="657"/>
        <v>43</v>
      </c>
      <c r="BQ645" s="235">
        <f t="shared" si="658"/>
        <v>3.2938815789473681</v>
      </c>
      <c r="BR645" s="235" cm="1">
        <f t="array" ref="BR645">$BI645 * IF($AH645&lt;=2,
SUMPRODUCT(INDEX($AR$72:$AT$76,,$AI645), INDEX($AU$72:$BA$76,,$AH645), 1 / ($BB$72:$BB$76*BQ645 + (1-$BB$72:$BB$76)*BM645), N($AQ$72:$AQ$76&gt;$AO645)),
SUMPRODUCT(INDEX($AR$67:$AT$76,,$AI645), INDEX($AU$67:$BA$76,,$AH645), 1 / ($BC$67:$BC$76*BQ645 + (1-$BC$67:$BC$76)*BM645), N($AQ$67:$AQ$76&gt;$AO645))
) / 1000</f>
        <v>0</v>
      </c>
      <c r="BS645" s="232">
        <f t="shared" si="644"/>
        <v>25</v>
      </c>
      <c r="BT645" s="230">
        <f t="shared" si="659"/>
        <v>38</v>
      </c>
      <c r="BU645" s="235">
        <f t="shared" si="660"/>
        <v>3.792954545454545</v>
      </c>
      <c r="BV645" s="235" cm="1">
        <f t="array" ref="BV645">$BI645 * IF($AH645&lt;=2,
SUMPRODUCT(INDEX($AR$67:$AT$71,,$AI645), INDEX($AU$67:$BA$71,,$AH645), 1 / ($BB$67:$BB$71*BU645 + (1-$BB$67:$BB$71)*BQ645), N($AQ$67:$AQ$71&gt;$AO645)),
SUMPRODUCT(INDEX($AR$57:$AT$66,,$AI645), INDEX($AU$57:$BA$66,,$AH645), 1 / ($BC$57:$BC$66*BU645 + (1-$BC$57:$BC$66)*BQ645), N($AQ$57:$AQ$66&gt;$AO645))
) / 1000</f>
        <v>0</v>
      </c>
      <c r="BW645" s="232">
        <f t="shared" si="645"/>
        <v>20</v>
      </c>
      <c r="BX645" s="230">
        <f t="shared" si="661"/>
        <v>33</v>
      </c>
      <c r="BY645" s="235">
        <f t="shared" si="662"/>
        <v>4.4702678571428569</v>
      </c>
      <c r="BZ645" s="235" cm="1">
        <f t="array" ref="BZ645">$BI645 * IF($AH645&lt;=2,
SUMPRODUCT(INDEX($AR$62:$AT$66,,$AI645), INDEX($AU$62:$BA$66,,$AH645), 1 / ($BB$62:$BB$66*BY645 + (1-$BB$62:$BB$66)*BU645), N($AQ$62:$AQ$66&gt;$AO645)),
SUMPRODUCT(INDEX($AR$47:$AT$56,,$AI645), INDEX($AU$47:$BA$56,,$AH645), 1 / ($BC$47:$BC$56*BY645 + (1-$BC$47:$BC$56)*BU645), N($AQ$47:$AQ$56&gt;$AO645))
) / 1000</f>
        <v>0</v>
      </c>
      <c r="CA645" s="235" cm="1">
        <f t="array" ref="CA645">$BI645 * IF($AH645&lt;=2,
SUMPRODUCT(INDEX($AR$23:$AT$61,,$AI645), INDEX($AU$23:$BA$61,,$AH645), 1 / ($BB$23:$BB$61*BY645), N($AQ$23:$AQ$61&gt;$AO645)),
SUMPRODUCT(INDEX($AR$23:$AT$46,,$AI645), INDEX($AU$23:$BA$46,,$AH645), 1 / ($BC$23:$BC$46*BY645), N($AQ$23:$AQ$46&gt;$AO645))
) / 1000</f>
        <v>0</v>
      </c>
      <c r="CB645" s="230">
        <f t="shared" si="663"/>
        <v>0</v>
      </c>
      <c r="CC645" s="238"/>
      <c r="CD645" s="229" cm="1">
        <f t="array" ref="CD645">IF(ISBLANK(Y645), INDEX(Use, $AH645, 4) - AN645*INDEX(Use, $AH645, 6) - (Q645-X645), Y645)</f>
        <v>7</v>
      </c>
      <c r="CE645" s="229">
        <f t="shared" si="664"/>
        <v>32</v>
      </c>
      <c r="CF645" s="230">
        <f t="shared" si="665"/>
        <v>0</v>
      </c>
      <c r="CG645" s="229">
        <v>35</v>
      </c>
      <c r="CH645" s="230">
        <f t="shared" si="666"/>
        <v>48</v>
      </c>
      <c r="CI645" s="235">
        <f t="shared" si="667"/>
        <v>3.0748170731707316</v>
      </c>
      <c r="CJ645" s="235" cm="1">
        <f t="array" ref="CJ645">$BI645 * SUMPRODUCT(INDEX($AR$77:$AT$82,,$AI645),INDEX($AU$77:$BA$82,,$AH645), N($AQ$77:$AQ$82&gt;$AO645)) / CI645 / 1000</f>
        <v>0</v>
      </c>
      <c r="CK645" s="232">
        <f t="shared" si="646"/>
        <v>30</v>
      </c>
      <c r="CL645" s="230">
        <f t="shared" si="668"/>
        <v>43</v>
      </c>
      <c r="CM645" s="235">
        <f t="shared" si="669"/>
        <v>3.5018750000000001</v>
      </c>
      <c r="CN645" s="235" cm="1">
        <f t="array" ref="CN645">$BI645 * IF($AH645&lt;=2,
SUMPRODUCT(INDEX($AR$72:$AT$76,,$AI645), INDEX($AU$72:$BA$76,,$AH645), 1 / ($BB$72:$BB$76*CM645 + (1-$BB$72:$BB$76)*CI645), N($AQ$72:$AQ$76&gt;$AO645)),
SUMPRODUCT(INDEX($AR$67:$AT$76,,$AI645), INDEX($AU$67:$BA$76,,$AH645), 1 / ($BC$67:$BC$76*CM645 + (1-$BC$67:$BC$76)*CI645), N($AQ$67:$AQ$76&gt;$AO645))
) / 1000</f>
        <v>0</v>
      </c>
      <c r="CO645" s="232">
        <f t="shared" si="647"/>
        <v>25</v>
      </c>
      <c r="CP645" s="230">
        <f t="shared" si="670"/>
        <v>38</v>
      </c>
      <c r="CQ645" s="235">
        <f t="shared" si="671"/>
        <v>4.0666935483870965</v>
      </c>
      <c r="CR645" s="235" cm="1">
        <f t="array" ref="CR645">$BI645 * IF($AH645&lt;=2,
SUMPRODUCT(INDEX($AR$67:$AT$71,,$AI645), INDEX($AU$67:$BA$71,,$AH645), 1 / ($BB$67:$BB$71*CQ645 + (1-$BB$67:$BB$71)*CM645), N($AQ$67:$AQ$71&gt;$AO645)),
SUMPRODUCT(INDEX($AR$57:$AT$66,,$AI645), INDEX($AU$57:$BA$66,,$AH645), 1 / ($BC$57:$BC$66*CQ645 + (1-$BC$57:$BC$66)*CM645), N($AQ$57:$AQ$66&gt;$AO645))
) / 1000</f>
        <v>0</v>
      </c>
      <c r="CS645" s="232">
        <f t="shared" si="648"/>
        <v>20</v>
      </c>
      <c r="CT645" s="230">
        <f t="shared" si="672"/>
        <v>33</v>
      </c>
      <c r="CU645" s="235">
        <f t="shared" si="673"/>
        <v>4.8487499999999999</v>
      </c>
      <c r="CV645" s="235" cm="1">
        <f t="array" ref="CV645">$BI645 * IF($AH645&lt;=2,
SUMPRODUCT(INDEX($AR$62:$AT$66,,$AI645), INDEX($AU$62:$BA$66,,$AH645), 1 / ($BB$62:$BB$66*CU645 + (1-$BB$62:$BB$66)*CQ645), N($AQ$62:$AQ$66&gt;$AO645)),
SUMPRODUCT(INDEX($AR$47:$AT$56,,$AI645), INDEX($AU$47:$BA$56,,$AH645), 1 / ($BC$47:$BC$56*CU645 + (1-$BC$47:$BC$56)*CQ645), N($AQ$47:$AQ$56&gt;$AO645))
) / 1000</f>
        <v>0</v>
      </c>
      <c r="CW645" s="235" cm="1">
        <f t="array" ref="CW645">$BI645 * IF($AH645&lt;=2,
SUMPRODUCT(INDEX($AR$23:$AT$61,,$AI645), INDEX($AU$23:$BA$61,,$AH645), 1 / ($BB$23:$BB$61*CU645), N($AQ$23:$AQ$61&gt;$AO645)),
SUMPRODUCT(INDEX($AR$23:$AT$46,,$AI645), INDEX($AU$23:$BA$46,,$AH645), 1 / ($BC$23:$BC$46*CU645), N($AQ$23:$AQ$46&gt;$AO645))
) / 1000</f>
        <v>0</v>
      </c>
      <c r="CX645" s="230">
        <f t="shared" si="674"/>
        <v>0</v>
      </c>
      <c r="CY645" s="238"/>
    </row>
    <row r="646" spans="1:103" s="76" customFormat="1" ht="14.25" customHeight="1" x14ac:dyDescent="0.2">
      <c r="A646" s="231" t="b">
        <f t="shared" si="640"/>
        <v>0</v>
      </c>
      <c r="B646" s="245">
        <v>624</v>
      </c>
      <c r="C646" s="258"/>
      <c r="D646" s="258"/>
      <c r="E646" s="246"/>
      <c r="F646" s="247" t="str">
        <f>IF(ISBLANK(E646), "", VLOOKUP(E646, Z!$A$2:$C$4127, 3, FALSE))</f>
        <v/>
      </c>
      <c r="G646" s="248"/>
      <c r="H646" s="248"/>
      <c r="I646" s="249"/>
      <c r="J646" s="250"/>
      <c r="K646" s="259"/>
      <c r="L646" s="260"/>
      <c r="M646" s="252" t="str" cm="1">
        <f t="array" ref="M646">INDEX(Trad, 53, $A$20)</f>
        <v>Verschmutzt</v>
      </c>
      <c r="N646" s="253"/>
      <c r="O646" s="253"/>
      <c r="P646" s="254"/>
      <c r="Q646" s="251"/>
      <c r="R646" s="251"/>
      <c r="S646" s="264">
        <f t="shared" si="649"/>
        <v>0</v>
      </c>
      <c r="T646" s="252" t="str" cm="1">
        <f t="array" ref="T646">INDEX(Trad, 52, $A$20)</f>
        <v>Sauber</v>
      </c>
      <c r="U646" s="253"/>
      <c r="V646" s="253"/>
      <c r="W646" s="254"/>
      <c r="X646" s="251"/>
      <c r="Y646" s="251"/>
      <c r="Z646" s="264">
        <f t="shared" si="650"/>
        <v>0</v>
      </c>
      <c r="AA646" s="261"/>
      <c r="AB646" s="258"/>
      <c r="AC646" s="246"/>
      <c r="AD646" s="247" t="str">
        <f>IF(ISBLANK(AC646), "", VLOOKUP(AC646, Z!$A$2:$C$4127, 3, FALSE))</f>
        <v/>
      </c>
      <c r="AE646" s="262"/>
      <c r="AF646" s="263">
        <f t="shared" si="651"/>
        <v>0</v>
      </c>
      <c r="AG646" s="238"/>
      <c r="AH646" s="229">
        <f t="shared" si="675"/>
        <v>1</v>
      </c>
      <c r="AI646" s="229">
        <f t="shared" si="676"/>
        <v>1</v>
      </c>
      <c r="AJ646" s="229">
        <f t="shared" si="677"/>
        <v>0</v>
      </c>
      <c r="AK646" s="229">
        <v>0</v>
      </c>
      <c r="AL646" s="229">
        <v>0</v>
      </c>
      <c r="AM646" s="229">
        <v>1</v>
      </c>
      <c r="AN646" s="229">
        <v>0</v>
      </c>
      <c r="AO646" s="229">
        <f t="shared" si="652"/>
        <v>-100</v>
      </c>
      <c r="AP646" s="238"/>
      <c r="AQ646" s="255"/>
      <c r="AR646" s="255"/>
      <c r="AS646" s="256"/>
      <c r="AT646" s="256"/>
      <c r="AU646" s="256"/>
      <c r="AV646" s="256"/>
      <c r="AW646" s="256"/>
      <c r="AX646" s="256"/>
      <c r="AY646" s="256"/>
      <c r="AZ646" s="256"/>
      <c r="BA646" s="256"/>
      <c r="BB646" s="256"/>
      <c r="BC646" s="256"/>
      <c r="BD646" s="238"/>
      <c r="BE646" s="229" cm="1">
        <f t="array" ref="BE646">IF(ISBLANK(R646), INDEX(Use, $AH646, 4) - AM646*INDEX(Use, $AH646, 6), R646)</f>
        <v>5</v>
      </c>
      <c r="BF646" s="229">
        <f t="shared" si="653"/>
        <v>30</v>
      </c>
      <c r="BG646" s="229">
        <f t="shared" si="641"/>
        <v>13</v>
      </c>
      <c r="BH646" s="229">
        <f t="shared" si="642"/>
        <v>0</v>
      </c>
      <c r="BI646" s="234" cm="1">
        <f t="array" ref="BI646">K646/IF($L646&gt;0, INDEX($AU$23:$BA$77, $L646+20, $AH646), 1)</f>
        <v>0</v>
      </c>
      <c r="BJ646" s="230">
        <f t="shared" si="654"/>
        <v>0</v>
      </c>
      <c r="BK646" s="229">
        <v>35</v>
      </c>
      <c r="BL646" s="230">
        <f t="shared" si="655"/>
        <v>48</v>
      </c>
      <c r="BM646" s="235">
        <f t="shared" si="656"/>
        <v>2.9108720930232557</v>
      </c>
      <c r="BN646" s="235" cm="1">
        <f t="array" ref="BN646">$BI646 * SUMPRODUCT(INDEX($AR$77:$AT$82,,$AI646),INDEX($AU$77:$BA$82,,$AH646), N($AQ$77:$AQ$82&gt;$AO646)) / BM646 / 1000</f>
        <v>0</v>
      </c>
      <c r="BO646" s="232">
        <f t="shared" si="643"/>
        <v>30</v>
      </c>
      <c r="BP646" s="230">
        <f t="shared" si="657"/>
        <v>43</v>
      </c>
      <c r="BQ646" s="235">
        <f t="shared" si="658"/>
        <v>3.2938815789473681</v>
      </c>
      <c r="BR646" s="235" cm="1">
        <f t="array" ref="BR646">$BI646 * IF($AH646&lt;=2,
SUMPRODUCT(INDEX($AR$72:$AT$76,,$AI646), INDEX($AU$72:$BA$76,,$AH646), 1 / ($BB$72:$BB$76*BQ646 + (1-$BB$72:$BB$76)*BM646), N($AQ$72:$AQ$76&gt;$AO646)),
SUMPRODUCT(INDEX($AR$67:$AT$76,,$AI646), INDEX($AU$67:$BA$76,,$AH646), 1 / ($BC$67:$BC$76*BQ646 + (1-$BC$67:$BC$76)*BM646), N($AQ$67:$AQ$76&gt;$AO646))
) / 1000</f>
        <v>0</v>
      </c>
      <c r="BS646" s="232">
        <f t="shared" si="644"/>
        <v>25</v>
      </c>
      <c r="BT646" s="230">
        <f t="shared" si="659"/>
        <v>38</v>
      </c>
      <c r="BU646" s="235">
        <f t="shared" si="660"/>
        <v>3.792954545454545</v>
      </c>
      <c r="BV646" s="235" cm="1">
        <f t="array" ref="BV646">$BI646 * IF($AH646&lt;=2,
SUMPRODUCT(INDEX($AR$67:$AT$71,,$AI646), INDEX($AU$67:$BA$71,,$AH646), 1 / ($BB$67:$BB$71*BU646 + (1-$BB$67:$BB$71)*BQ646), N($AQ$67:$AQ$71&gt;$AO646)),
SUMPRODUCT(INDEX($AR$57:$AT$66,,$AI646), INDEX($AU$57:$BA$66,,$AH646), 1 / ($BC$57:$BC$66*BU646 + (1-$BC$57:$BC$66)*BQ646), N($AQ$57:$AQ$66&gt;$AO646))
) / 1000</f>
        <v>0</v>
      </c>
      <c r="BW646" s="232">
        <f t="shared" si="645"/>
        <v>20</v>
      </c>
      <c r="BX646" s="230">
        <f t="shared" si="661"/>
        <v>33</v>
      </c>
      <c r="BY646" s="235">
        <f t="shared" si="662"/>
        <v>4.4702678571428569</v>
      </c>
      <c r="BZ646" s="235" cm="1">
        <f t="array" ref="BZ646">$BI646 * IF($AH646&lt;=2,
SUMPRODUCT(INDEX($AR$62:$AT$66,,$AI646), INDEX($AU$62:$BA$66,,$AH646), 1 / ($BB$62:$BB$66*BY646 + (1-$BB$62:$BB$66)*BU646), N($AQ$62:$AQ$66&gt;$AO646)),
SUMPRODUCT(INDEX($AR$47:$AT$56,,$AI646), INDEX($AU$47:$BA$56,,$AH646), 1 / ($BC$47:$BC$56*BY646 + (1-$BC$47:$BC$56)*BU646), N($AQ$47:$AQ$56&gt;$AO646))
) / 1000</f>
        <v>0</v>
      </c>
      <c r="CA646" s="235" cm="1">
        <f t="array" ref="CA646">$BI646 * IF($AH646&lt;=2,
SUMPRODUCT(INDEX($AR$23:$AT$61,,$AI646), INDEX($AU$23:$BA$61,,$AH646), 1 / ($BB$23:$BB$61*BY646), N($AQ$23:$AQ$61&gt;$AO646)),
SUMPRODUCT(INDEX($AR$23:$AT$46,,$AI646), INDEX($AU$23:$BA$46,,$AH646), 1 / ($BC$23:$BC$46*BY646), N($AQ$23:$AQ$46&gt;$AO646))
) / 1000</f>
        <v>0</v>
      </c>
      <c r="CB646" s="230">
        <f t="shared" si="663"/>
        <v>0</v>
      </c>
      <c r="CC646" s="238"/>
      <c r="CD646" s="229" cm="1">
        <f t="array" ref="CD646">IF(ISBLANK(Y646), INDEX(Use, $AH646, 4) - AN646*INDEX(Use, $AH646, 6) - (Q646-X646), Y646)</f>
        <v>7</v>
      </c>
      <c r="CE646" s="229">
        <f t="shared" si="664"/>
        <v>32</v>
      </c>
      <c r="CF646" s="230">
        <f t="shared" si="665"/>
        <v>0</v>
      </c>
      <c r="CG646" s="229">
        <v>35</v>
      </c>
      <c r="CH646" s="230">
        <f t="shared" si="666"/>
        <v>48</v>
      </c>
      <c r="CI646" s="235">
        <f t="shared" si="667"/>
        <v>3.0748170731707316</v>
      </c>
      <c r="CJ646" s="235" cm="1">
        <f t="array" ref="CJ646">$BI646 * SUMPRODUCT(INDEX($AR$77:$AT$82,,$AI646),INDEX($AU$77:$BA$82,,$AH646), N($AQ$77:$AQ$82&gt;$AO646)) / CI646 / 1000</f>
        <v>0</v>
      </c>
      <c r="CK646" s="232">
        <f t="shared" si="646"/>
        <v>30</v>
      </c>
      <c r="CL646" s="230">
        <f t="shared" si="668"/>
        <v>43</v>
      </c>
      <c r="CM646" s="235">
        <f t="shared" si="669"/>
        <v>3.5018750000000001</v>
      </c>
      <c r="CN646" s="235" cm="1">
        <f t="array" ref="CN646">$BI646 * IF($AH646&lt;=2,
SUMPRODUCT(INDEX($AR$72:$AT$76,,$AI646), INDEX($AU$72:$BA$76,,$AH646), 1 / ($BB$72:$BB$76*CM646 + (1-$BB$72:$BB$76)*CI646), N($AQ$72:$AQ$76&gt;$AO646)),
SUMPRODUCT(INDEX($AR$67:$AT$76,,$AI646), INDEX($AU$67:$BA$76,,$AH646), 1 / ($BC$67:$BC$76*CM646 + (1-$BC$67:$BC$76)*CI646), N($AQ$67:$AQ$76&gt;$AO646))
) / 1000</f>
        <v>0</v>
      </c>
      <c r="CO646" s="232">
        <f t="shared" si="647"/>
        <v>25</v>
      </c>
      <c r="CP646" s="230">
        <f t="shared" si="670"/>
        <v>38</v>
      </c>
      <c r="CQ646" s="235">
        <f t="shared" si="671"/>
        <v>4.0666935483870965</v>
      </c>
      <c r="CR646" s="235" cm="1">
        <f t="array" ref="CR646">$BI646 * IF($AH646&lt;=2,
SUMPRODUCT(INDEX($AR$67:$AT$71,,$AI646), INDEX($AU$67:$BA$71,,$AH646), 1 / ($BB$67:$BB$71*CQ646 + (1-$BB$67:$BB$71)*CM646), N($AQ$67:$AQ$71&gt;$AO646)),
SUMPRODUCT(INDEX($AR$57:$AT$66,,$AI646), INDEX($AU$57:$BA$66,,$AH646), 1 / ($BC$57:$BC$66*CQ646 + (1-$BC$57:$BC$66)*CM646), N($AQ$57:$AQ$66&gt;$AO646))
) / 1000</f>
        <v>0</v>
      </c>
      <c r="CS646" s="232">
        <f t="shared" si="648"/>
        <v>20</v>
      </c>
      <c r="CT646" s="230">
        <f t="shared" si="672"/>
        <v>33</v>
      </c>
      <c r="CU646" s="235">
        <f t="shared" si="673"/>
        <v>4.8487499999999999</v>
      </c>
      <c r="CV646" s="235" cm="1">
        <f t="array" ref="CV646">$BI646 * IF($AH646&lt;=2,
SUMPRODUCT(INDEX($AR$62:$AT$66,,$AI646), INDEX($AU$62:$BA$66,,$AH646), 1 / ($BB$62:$BB$66*CU646 + (1-$BB$62:$BB$66)*CQ646), N($AQ$62:$AQ$66&gt;$AO646)),
SUMPRODUCT(INDEX($AR$47:$AT$56,,$AI646), INDEX($AU$47:$BA$56,,$AH646), 1 / ($BC$47:$BC$56*CU646 + (1-$BC$47:$BC$56)*CQ646), N($AQ$47:$AQ$56&gt;$AO646))
) / 1000</f>
        <v>0</v>
      </c>
      <c r="CW646" s="235" cm="1">
        <f t="array" ref="CW646">$BI646 * IF($AH646&lt;=2,
SUMPRODUCT(INDEX($AR$23:$AT$61,,$AI646), INDEX($AU$23:$BA$61,,$AH646), 1 / ($BB$23:$BB$61*CU646), N($AQ$23:$AQ$61&gt;$AO646)),
SUMPRODUCT(INDEX($AR$23:$AT$46,,$AI646), INDEX($AU$23:$BA$46,,$AH646), 1 / ($BC$23:$BC$46*CU646), N($AQ$23:$AQ$46&gt;$AO646))
) / 1000</f>
        <v>0</v>
      </c>
      <c r="CX646" s="230">
        <f t="shared" si="674"/>
        <v>0</v>
      </c>
      <c r="CY646" s="238"/>
    </row>
    <row r="647" spans="1:103" s="76" customFormat="1" ht="14.25" customHeight="1" x14ac:dyDescent="0.2">
      <c r="A647" s="231" t="b">
        <f t="shared" si="640"/>
        <v>0</v>
      </c>
      <c r="B647" s="245">
        <v>625</v>
      </c>
      <c r="C647" s="258"/>
      <c r="D647" s="258"/>
      <c r="E647" s="246"/>
      <c r="F647" s="247" t="str">
        <f>IF(ISBLANK(E647), "", VLOOKUP(E647, Z!$A$2:$C$4127, 3, FALSE))</f>
        <v/>
      </c>
      <c r="G647" s="248"/>
      <c r="H647" s="248"/>
      <c r="I647" s="249"/>
      <c r="J647" s="250"/>
      <c r="K647" s="259"/>
      <c r="L647" s="260"/>
      <c r="M647" s="252" t="str" cm="1">
        <f t="array" ref="M647">INDEX(Trad, 53, $A$20)</f>
        <v>Verschmutzt</v>
      </c>
      <c r="N647" s="253"/>
      <c r="O647" s="253"/>
      <c r="P647" s="254"/>
      <c r="Q647" s="251"/>
      <c r="R647" s="251"/>
      <c r="S647" s="264">
        <f t="shared" si="649"/>
        <v>0</v>
      </c>
      <c r="T647" s="252" t="str" cm="1">
        <f t="array" ref="T647">INDEX(Trad, 52, $A$20)</f>
        <v>Sauber</v>
      </c>
      <c r="U647" s="253"/>
      <c r="V647" s="253"/>
      <c r="W647" s="254"/>
      <c r="X647" s="251"/>
      <c r="Y647" s="251"/>
      <c r="Z647" s="264">
        <f t="shared" si="650"/>
        <v>0</v>
      </c>
      <c r="AA647" s="261"/>
      <c r="AB647" s="258"/>
      <c r="AC647" s="246"/>
      <c r="AD647" s="247" t="str">
        <f>IF(ISBLANK(AC647), "", VLOOKUP(AC647, Z!$A$2:$C$4127, 3, FALSE))</f>
        <v/>
      </c>
      <c r="AE647" s="262"/>
      <c r="AF647" s="263">
        <f t="shared" si="651"/>
        <v>0</v>
      </c>
      <c r="AG647" s="238"/>
      <c r="AH647" s="229">
        <f t="shared" si="675"/>
        <v>1</v>
      </c>
      <c r="AI647" s="229">
        <f t="shared" si="676"/>
        <v>1</v>
      </c>
      <c r="AJ647" s="229">
        <f t="shared" si="677"/>
        <v>0</v>
      </c>
      <c r="AK647" s="229">
        <v>0</v>
      </c>
      <c r="AL647" s="229">
        <v>0</v>
      </c>
      <c r="AM647" s="229">
        <v>1</v>
      </c>
      <c r="AN647" s="229">
        <v>0</v>
      </c>
      <c r="AO647" s="229">
        <f t="shared" si="652"/>
        <v>-100</v>
      </c>
      <c r="AP647" s="238"/>
      <c r="AQ647" s="255"/>
      <c r="AR647" s="255"/>
      <c r="AS647" s="256"/>
      <c r="AT647" s="256"/>
      <c r="AU647" s="256"/>
      <c r="AV647" s="256"/>
      <c r="AW647" s="256"/>
      <c r="AX647" s="256"/>
      <c r="AY647" s="256"/>
      <c r="AZ647" s="256"/>
      <c r="BA647" s="256"/>
      <c r="BB647" s="256"/>
      <c r="BC647" s="256"/>
      <c r="BD647" s="238"/>
      <c r="BE647" s="229" cm="1">
        <f t="array" ref="BE647">IF(ISBLANK(R647), INDEX(Use, $AH647, 4) - AM647*INDEX(Use, $AH647, 6), R647)</f>
        <v>5</v>
      </c>
      <c r="BF647" s="229">
        <f t="shared" si="653"/>
        <v>30</v>
      </c>
      <c r="BG647" s="229">
        <f t="shared" si="641"/>
        <v>13</v>
      </c>
      <c r="BH647" s="229">
        <f t="shared" si="642"/>
        <v>0</v>
      </c>
      <c r="BI647" s="234" cm="1">
        <f t="array" ref="BI647">K647/IF($L647&gt;0, INDEX($AU$23:$BA$77, $L647+20, $AH647), 1)</f>
        <v>0</v>
      </c>
      <c r="BJ647" s="230">
        <f t="shared" si="654"/>
        <v>0</v>
      </c>
      <c r="BK647" s="229">
        <v>35</v>
      </c>
      <c r="BL647" s="230">
        <f t="shared" si="655"/>
        <v>48</v>
      </c>
      <c r="BM647" s="235">
        <f t="shared" si="656"/>
        <v>2.9108720930232557</v>
      </c>
      <c r="BN647" s="235" cm="1">
        <f t="array" ref="BN647">$BI647 * SUMPRODUCT(INDEX($AR$77:$AT$82,,$AI647),INDEX($AU$77:$BA$82,,$AH647), N($AQ$77:$AQ$82&gt;$AO647)) / BM647 / 1000</f>
        <v>0</v>
      </c>
      <c r="BO647" s="232">
        <f t="shared" si="643"/>
        <v>30</v>
      </c>
      <c r="BP647" s="230">
        <f t="shared" si="657"/>
        <v>43</v>
      </c>
      <c r="BQ647" s="235">
        <f t="shared" si="658"/>
        <v>3.2938815789473681</v>
      </c>
      <c r="BR647" s="235" cm="1">
        <f t="array" ref="BR647">$BI647 * IF($AH647&lt;=2,
SUMPRODUCT(INDEX($AR$72:$AT$76,,$AI647), INDEX($AU$72:$BA$76,,$AH647), 1 / ($BB$72:$BB$76*BQ647 + (1-$BB$72:$BB$76)*BM647), N($AQ$72:$AQ$76&gt;$AO647)),
SUMPRODUCT(INDEX($AR$67:$AT$76,,$AI647), INDEX($AU$67:$BA$76,,$AH647), 1 / ($BC$67:$BC$76*BQ647 + (1-$BC$67:$BC$76)*BM647), N($AQ$67:$AQ$76&gt;$AO647))
) / 1000</f>
        <v>0</v>
      </c>
      <c r="BS647" s="232">
        <f t="shared" si="644"/>
        <v>25</v>
      </c>
      <c r="BT647" s="230">
        <f t="shared" si="659"/>
        <v>38</v>
      </c>
      <c r="BU647" s="235">
        <f t="shared" si="660"/>
        <v>3.792954545454545</v>
      </c>
      <c r="BV647" s="235" cm="1">
        <f t="array" ref="BV647">$BI647 * IF($AH647&lt;=2,
SUMPRODUCT(INDEX($AR$67:$AT$71,,$AI647), INDEX($AU$67:$BA$71,,$AH647), 1 / ($BB$67:$BB$71*BU647 + (1-$BB$67:$BB$71)*BQ647), N($AQ$67:$AQ$71&gt;$AO647)),
SUMPRODUCT(INDEX($AR$57:$AT$66,,$AI647), INDEX($AU$57:$BA$66,,$AH647), 1 / ($BC$57:$BC$66*BU647 + (1-$BC$57:$BC$66)*BQ647), N($AQ$57:$AQ$66&gt;$AO647))
) / 1000</f>
        <v>0</v>
      </c>
      <c r="BW647" s="232">
        <f t="shared" si="645"/>
        <v>20</v>
      </c>
      <c r="BX647" s="230">
        <f t="shared" si="661"/>
        <v>33</v>
      </c>
      <c r="BY647" s="235">
        <f t="shared" si="662"/>
        <v>4.4702678571428569</v>
      </c>
      <c r="BZ647" s="235" cm="1">
        <f t="array" ref="BZ647">$BI647 * IF($AH647&lt;=2,
SUMPRODUCT(INDEX($AR$62:$AT$66,,$AI647), INDEX($AU$62:$BA$66,,$AH647), 1 / ($BB$62:$BB$66*BY647 + (1-$BB$62:$BB$66)*BU647), N($AQ$62:$AQ$66&gt;$AO647)),
SUMPRODUCT(INDEX($AR$47:$AT$56,,$AI647), INDEX($AU$47:$BA$56,,$AH647), 1 / ($BC$47:$BC$56*BY647 + (1-$BC$47:$BC$56)*BU647), N($AQ$47:$AQ$56&gt;$AO647))
) / 1000</f>
        <v>0</v>
      </c>
      <c r="CA647" s="235" cm="1">
        <f t="array" ref="CA647">$BI647 * IF($AH647&lt;=2,
SUMPRODUCT(INDEX($AR$23:$AT$61,,$AI647), INDEX($AU$23:$BA$61,,$AH647), 1 / ($BB$23:$BB$61*BY647), N($AQ$23:$AQ$61&gt;$AO647)),
SUMPRODUCT(INDEX($AR$23:$AT$46,,$AI647), INDEX($AU$23:$BA$46,,$AH647), 1 / ($BC$23:$BC$46*BY647), N($AQ$23:$AQ$46&gt;$AO647))
) / 1000</f>
        <v>0</v>
      </c>
      <c r="CB647" s="230">
        <f t="shared" si="663"/>
        <v>0</v>
      </c>
      <c r="CC647" s="238"/>
      <c r="CD647" s="229" cm="1">
        <f t="array" ref="CD647">IF(ISBLANK(Y647), INDEX(Use, $AH647, 4) - AN647*INDEX(Use, $AH647, 6) - (Q647-X647), Y647)</f>
        <v>7</v>
      </c>
      <c r="CE647" s="229">
        <f t="shared" si="664"/>
        <v>32</v>
      </c>
      <c r="CF647" s="230">
        <f t="shared" si="665"/>
        <v>0</v>
      </c>
      <c r="CG647" s="229">
        <v>35</v>
      </c>
      <c r="CH647" s="230">
        <f t="shared" si="666"/>
        <v>48</v>
      </c>
      <c r="CI647" s="235">
        <f t="shared" si="667"/>
        <v>3.0748170731707316</v>
      </c>
      <c r="CJ647" s="235" cm="1">
        <f t="array" ref="CJ647">$BI647 * SUMPRODUCT(INDEX($AR$77:$AT$82,,$AI647),INDEX($AU$77:$BA$82,,$AH647), N($AQ$77:$AQ$82&gt;$AO647)) / CI647 / 1000</f>
        <v>0</v>
      </c>
      <c r="CK647" s="232">
        <f t="shared" si="646"/>
        <v>30</v>
      </c>
      <c r="CL647" s="230">
        <f t="shared" si="668"/>
        <v>43</v>
      </c>
      <c r="CM647" s="235">
        <f t="shared" si="669"/>
        <v>3.5018750000000001</v>
      </c>
      <c r="CN647" s="235" cm="1">
        <f t="array" ref="CN647">$BI647 * IF($AH647&lt;=2,
SUMPRODUCT(INDEX($AR$72:$AT$76,,$AI647), INDEX($AU$72:$BA$76,,$AH647), 1 / ($BB$72:$BB$76*CM647 + (1-$BB$72:$BB$76)*CI647), N($AQ$72:$AQ$76&gt;$AO647)),
SUMPRODUCT(INDEX($AR$67:$AT$76,,$AI647), INDEX($AU$67:$BA$76,,$AH647), 1 / ($BC$67:$BC$76*CM647 + (1-$BC$67:$BC$76)*CI647), N($AQ$67:$AQ$76&gt;$AO647))
) / 1000</f>
        <v>0</v>
      </c>
      <c r="CO647" s="232">
        <f t="shared" si="647"/>
        <v>25</v>
      </c>
      <c r="CP647" s="230">
        <f t="shared" si="670"/>
        <v>38</v>
      </c>
      <c r="CQ647" s="235">
        <f t="shared" si="671"/>
        <v>4.0666935483870965</v>
      </c>
      <c r="CR647" s="235" cm="1">
        <f t="array" ref="CR647">$BI647 * IF($AH647&lt;=2,
SUMPRODUCT(INDEX($AR$67:$AT$71,,$AI647), INDEX($AU$67:$BA$71,,$AH647), 1 / ($BB$67:$BB$71*CQ647 + (1-$BB$67:$BB$71)*CM647), N($AQ$67:$AQ$71&gt;$AO647)),
SUMPRODUCT(INDEX($AR$57:$AT$66,,$AI647), INDEX($AU$57:$BA$66,,$AH647), 1 / ($BC$57:$BC$66*CQ647 + (1-$BC$57:$BC$66)*CM647), N($AQ$57:$AQ$66&gt;$AO647))
) / 1000</f>
        <v>0</v>
      </c>
      <c r="CS647" s="232">
        <f t="shared" si="648"/>
        <v>20</v>
      </c>
      <c r="CT647" s="230">
        <f t="shared" si="672"/>
        <v>33</v>
      </c>
      <c r="CU647" s="235">
        <f t="shared" si="673"/>
        <v>4.8487499999999999</v>
      </c>
      <c r="CV647" s="235" cm="1">
        <f t="array" ref="CV647">$BI647 * IF($AH647&lt;=2,
SUMPRODUCT(INDEX($AR$62:$AT$66,,$AI647), INDEX($AU$62:$BA$66,,$AH647), 1 / ($BB$62:$BB$66*CU647 + (1-$BB$62:$BB$66)*CQ647), N($AQ$62:$AQ$66&gt;$AO647)),
SUMPRODUCT(INDEX($AR$47:$AT$56,,$AI647), INDEX($AU$47:$BA$56,,$AH647), 1 / ($BC$47:$BC$56*CU647 + (1-$BC$47:$BC$56)*CQ647), N($AQ$47:$AQ$56&gt;$AO647))
) / 1000</f>
        <v>0</v>
      </c>
      <c r="CW647" s="235" cm="1">
        <f t="array" ref="CW647">$BI647 * IF($AH647&lt;=2,
SUMPRODUCT(INDEX($AR$23:$AT$61,,$AI647), INDEX($AU$23:$BA$61,,$AH647), 1 / ($BB$23:$BB$61*CU647), N($AQ$23:$AQ$61&gt;$AO647)),
SUMPRODUCT(INDEX($AR$23:$AT$46,,$AI647), INDEX($AU$23:$BA$46,,$AH647), 1 / ($BC$23:$BC$46*CU647), N($AQ$23:$AQ$46&gt;$AO647))
) / 1000</f>
        <v>0</v>
      </c>
      <c r="CX647" s="230">
        <f t="shared" si="674"/>
        <v>0</v>
      </c>
      <c r="CY647" s="238"/>
    </row>
    <row r="648" spans="1:103" s="76" customFormat="1" ht="14.25" customHeight="1" x14ac:dyDescent="0.2">
      <c r="A648" s="231" t="b">
        <f t="shared" si="640"/>
        <v>0</v>
      </c>
      <c r="B648" s="245">
        <v>626</v>
      </c>
      <c r="C648" s="258"/>
      <c r="D648" s="258"/>
      <c r="E648" s="246"/>
      <c r="F648" s="247" t="str">
        <f>IF(ISBLANK(E648), "", VLOOKUP(E648, Z!$A$2:$C$4127, 3, FALSE))</f>
        <v/>
      </c>
      <c r="G648" s="248"/>
      <c r="H648" s="248"/>
      <c r="I648" s="249"/>
      <c r="J648" s="250"/>
      <c r="K648" s="259"/>
      <c r="L648" s="260"/>
      <c r="M648" s="252" t="str" cm="1">
        <f t="array" ref="M648">INDEX(Trad, 53, $A$20)</f>
        <v>Verschmutzt</v>
      </c>
      <c r="N648" s="253"/>
      <c r="O648" s="253"/>
      <c r="P648" s="254"/>
      <c r="Q648" s="251"/>
      <c r="R648" s="251"/>
      <c r="S648" s="264">
        <f t="shared" si="649"/>
        <v>0</v>
      </c>
      <c r="T648" s="252" t="str" cm="1">
        <f t="array" ref="T648">INDEX(Trad, 52, $A$20)</f>
        <v>Sauber</v>
      </c>
      <c r="U648" s="253"/>
      <c r="V648" s="253"/>
      <c r="W648" s="254"/>
      <c r="X648" s="251"/>
      <c r="Y648" s="251"/>
      <c r="Z648" s="264">
        <f t="shared" si="650"/>
        <v>0</v>
      </c>
      <c r="AA648" s="261"/>
      <c r="AB648" s="258"/>
      <c r="AC648" s="246"/>
      <c r="AD648" s="247" t="str">
        <f>IF(ISBLANK(AC648), "", VLOOKUP(AC648, Z!$A$2:$C$4127, 3, FALSE))</f>
        <v/>
      </c>
      <c r="AE648" s="262"/>
      <c r="AF648" s="263">
        <f t="shared" si="651"/>
        <v>0</v>
      </c>
      <c r="AG648" s="238"/>
      <c r="AH648" s="229">
        <f t="shared" si="675"/>
        <v>1</v>
      </c>
      <c r="AI648" s="229">
        <f t="shared" si="676"/>
        <v>1</v>
      </c>
      <c r="AJ648" s="229">
        <f t="shared" si="677"/>
        <v>0</v>
      </c>
      <c r="AK648" s="229">
        <v>0</v>
      </c>
      <c r="AL648" s="229">
        <v>0</v>
      </c>
      <c r="AM648" s="229">
        <v>1</v>
      </c>
      <c r="AN648" s="229">
        <v>0</v>
      </c>
      <c r="AO648" s="229">
        <f t="shared" si="652"/>
        <v>-100</v>
      </c>
      <c r="AP648" s="238"/>
      <c r="AQ648" s="255"/>
      <c r="AR648" s="255"/>
      <c r="AS648" s="256"/>
      <c r="AT648" s="256"/>
      <c r="AU648" s="256"/>
      <c r="AV648" s="256"/>
      <c r="AW648" s="256"/>
      <c r="AX648" s="256"/>
      <c r="AY648" s="256"/>
      <c r="AZ648" s="256"/>
      <c r="BA648" s="256"/>
      <c r="BB648" s="256"/>
      <c r="BC648" s="256"/>
      <c r="BD648" s="238"/>
      <c r="BE648" s="229" cm="1">
        <f t="array" ref="BE648">IF(ISBLANK(R648), INDEX(Use, $AH648, 4) - AM648*INDEX(Use, $AH648, 6), R648)</f>
        <v>5</v>
      </c>
      <c r="BF648" s="229">
        <f t="shared" si="653"/>
        <v>30</v>
      </c>
      <c r="BG648" s="229">
        <f t="shared" si="641"/>
        <v>13</v>
      </c>
      <c r="BH648" s="229">
        <f t="shared" si="642"/>
        <v>0</v>
      </c>
      <c r="BI648" s="234" cm="1">
        <f t="array" ref="BI648">K648/IF($L648&gt;0, INDEX($AU$23:$BA$77, $L648+20, $AH648), 1)</f>
        <v>0</v>
      </c>
      <c r="BJ648" s="230">
        <f t="shared" si="654"/>
        <v>0</v>
      </c>
      <c r="BK648" s="229">
        <v>35</v>
      </c>
      <c r="BL648" s="230">
        <f t="shared" si="655"/>
        <v>48</v>
      </c>
      <c r="BM648" s="235">
        <f t="shared" si="656"/>
        <v>2.9108720930232557</v>
      </c>
      <c r="BN648" s="235" cm="1">
        <f t="array" ref="BN648">$BI648 * SUMPRODUCT(INDEX($AR$77:$AT$82,,$AI648),INDEX($AU$77:$BA$82,,$AH648), N($AQ$77:$AQ$82&gt;$AO648)) / BM648 / 1000</f>
        <v>0</v>
      </c>
      <c r="BO648" s="232">
        <f t="shared" si="643"/>
        <v>30</v>
      </c>
      <c r="BP648" s="230">
        <f t="shared" si="657"/>
        <v>43</v>
      </c>
      <c r="BQ648" s="235">
        <f t="shared" si="658"/>
        <v>3.2938815789473681</v>
      </c>
      <c r="BR648" s="235" cm="1">
        <f t="array" ref="BR648">$BI648 * IF($AH648&lt;=2,
SUMPRODUCT(INDEX($AR$72:$AT$76,,$AI648), INDEX($AU$72:$BA$76,,$AH648), 1 / ($BB$72:$BB$76*BQ648 + (1-$BB$72:$BB$76)*BM648), N($AQ$72:$AQ$76&gt;$AO648)),
SUMPRODUCT(INDEX($AR$67:$AT$76,,$AI648), INDEX($AU$67:$BA$76,,$AH648), 1 / ($BC$67:$BC$76*BQ648 + (1-$BC$67:$BC$76)*BM648), N($AQ$67:$AQ$76&gt;$AO648))
) / 1000</f>
        <v>0</v>
      </c>
      <c r="BS648" s="232">
        <f t="shared" si="644"/>
        <v>25</v>
      </c>
      <c r="BT648" s="230">
        <f t="shared" si="659"/>
        <v>38</v>
      </c>
      <c r="BU648" s="235">
        <f t="shared" si="660"/>
        <v>3.792954545454545</v>
      </c>
      <c r="BV648" s="235" cm="1">
        <f t="array" ref="BV648">$BI648 * IF($AH648&lt;=2,
SUMPRODUCT(INDEX($AR$67:$AT$71,,$AI648), INDEX($AU$67:$BA$71,,$AH648), 1 / ($BB$67:$BB$71*BU648 + (1-$BB$67:$BB$71)*BQ648), N($AQ$67:$AQ$71&gt;$AO648)),
SUMPRODUCT(INDEX($AR$57:$AT$66,,$AI648), INDEX($AU$57:$BA$66,,$AH648), 1 / ($BC$57:$BC$66*BU648 + (1-$BC$57:$BC$66)*BQ648), N($AQ$57:$AQ$66&gt;$AO648))
) / 1000</f>
        <v>0</v>
      </c>
      <c r="BW648" s="232">
        <f t="shared" si="645"/>
        <v>20</v>
      </c>
      <c r="BX648" s="230">
        <f t="shared" si="661"/>
        <v>33</v>
      </c>
      <c r="BY648" s="235">
        <f t="shared" si="662"/>
        <v>4.4702678571428569</v>
      </c>
      <c r="BZ648" s="235" cm="1">
        <f t="array" ref="BZ648">$BI648 * IF($AH648&lt;=2,
SUMPRODUCT(INDEX($AR$62:$AT$66,,$AI648), INDEX($AU$62:$BA$66,,$AH648), 1 / ($BB$62:$BB$66*BY648 + (1-$BB$62:$BB$66)*BU648), N($AQ$62:$AQ$66&gt;$AO648)),
SUMPRODUCT(INDEX($AR$47:$AT$56,,$AI648), INDEX($AU$47:$BA$56,,$AH648), 1 / ($BC$47:$BC$56*BY648 + (1-$BC$47:$BC$56)*BU648), N($AQ$47:$AQ$56&gt;$AO648))
) / 1000</f>
        <v>0</v>
      </c>
      <c r="CA648" s="235" cm="1">
        <f t="array" ref="CA648">$BI648 * IF($AH648&lt;=2,
SUMPRODUCT(INDEX($AR$23:$AT$61,,$AI648), INDEX($AU$23:$BA$61,,$AH648), 1 / ($BB$23:$BB$61*BY648), N($AQ$23:$AQ$61&gt;$AO648)),
SUMPRODUCT(INDEX($AR$23:$AT$46,,$AI648), INDEX($AU$23:$BA$46,,$AH648), 1 / ($BC$23:$BC$46*BY648), N($AQ$23:$AQ$46&gt;$AO648))
) / 1000</f>
        <v>0</v>
      </c>
      <c r="CB648" s="230">
        <f t="shared" si="663"/>
        <v>0</v>
      </c>
      <c r="CC648" s="238"/>
      <c r="CD648" s="229" cm="1">
        <f t="array" ref="CD648">IF(ISBLANK(Y648), INDEX(Use, $AH648, 4) - AN648*INDEX(Use, $AH648, 6) - (Q648-X648), Y648)</f>
        <v>7</v>
      </c>
      <c r="CE648" s="229">
        <f t="shared" si="664"/>
        <v>32</v>
      </c>
      <c r="CF648" s="230">
        <f t="shared" si="665"/>
        <v>0</v>
      </c>
      <c r="CG648" s="229">
        <v>35</v>
      </c>
      <c r="CH648" s="230">
        <f t="shared" si="666"/>
        <v>48</v>
      </c>
      <c r="CI648" s="235">
        <f t="shared" si="667"/>
        <v>3.0748170731707316</v>
      </c>
      <c r="CJ648" s="235" cm="1">
        <f t="array" ref="CJ648">$BI648 * SUMPRODUCT(INDEX($AR$77:$AT$82,,$AI648),INDEX($AU$77:$BA$82,,$AH648), N($AQ$77:$AQ$82&gt;$AO648)) / CI648 / 1000</f>
        <v>0</v>
      </c>
      <c r="CK648" s="232">
        <f t="shared" si="646"/>
        <v>30</v>
      </c>
      <c r="CL648" s="230">
        <f t="shared" si="668"/>
        <v>43</v>
      </c>
      <c r="CM648" s="235">
        <f t="shared" si="669"/>
        <v>3.5018750000000001</v>
      </c>
      <c r="CN648" s="235" cm="1">
        <f t="array" ref="CN648">$BI648 * IF($AH648&lt;=2,
SUMPRODUCT(INDEX($AR$72:$AT$76,,$AI648), INDEX($AU$72:$BA$76,,$AH648), 1 / ($BB$72:$BB$76*CM648 + (1-$BB$72:$BB$76)*CI648), N($AQ$72:$AQ$76&gt;$AO648)),
SUMPRODUCT(INDEX($AR$67:$AT$76,,$AI648), INDEX($AU$67:$BA$76,,$AH648), 1 / ($BC$67:$BC$76*CM648 + (1-$BC$67:$BC$76)*CI648), N($AQ$67:$AQ$76&gt;$AO648))
) / 1000</f>
        <v>0</v>
      </c>
      <c r="CO648" s="232">
        <f t="shared" si="647"/>
        <v>25</v>
      </c>
      <c r="CP648" s="230">
        <f t="shared" si="670"/>
        <v>38</v>
      </c>
      <c r="CQ648" s="235">
        <f t="shared" si="671"/>
        <v>4.0666935483870965</v>
      </c>
      <c r="CR648" s="235" cm="1">
        <f t="array" ref="CR648">$BI648 * IF($AH648&lt;=2,
SUMPRODUCT(INDEX($AR$67:$AT$71,,$AI648), INDEX($AU$67:$BA$71,,$AH648), 1 / ($BB$67:$BB$71*CQ648 + (1-$BB$67:$BB$71)*CM648), N($AQ$67:$AQ$71&gt;$AO648)),
SUMPRODUCT(INDEX($AR$57:$AT$66,,$AI648), INDEX($AU$57:$BA$66,,$AH648), 1 / ($BC$57:$BC$66*CQ648 + (1-$BC$57:$BC$66)*CM648), N($AQ$57:$AQ$66&gt;$AO648))
) / 1000</f>
        <v>0</v>
      </c>
      <c r="CS648" s="232">
        <f t="shared" si="648"/>
        <v>20</v>
      </c>
      <c r="CT648" s="230">
        <f t="shared" si="672"/>
        <v>33</v>
      </c>
      <c r="CU648" s="235">
        <f t="shared" si="673"/>
        <v>4.8487499999999999</v>
      </c>
      <c r="CV648" s="235" cm="1">
        <f t="array" ref="CV648">$BI648 * IF($AH648&lt;=2,
SUMPRODUCT(INDEX($AR$62:$AT$66,,$AI648), INDEX($AU$62:$BA$66,,$AH648), 1 / ($BB$62:$BB$66*CU648 + (1-$BB$62:$BB$66)*CQ648), N($AQ$62:$AQ$66&gt;$AO648)),
SUMPRODUCT(INDEX($AR$47:$AT$56,,$AI648), INDEX($AU$47:$BA$56,,$AH648), 1 / ($BC$47:$BC$56*CU648 + (1-$BC$47:$BC$56)*CQ648), N($AQ$47:$AQ$56&gt;$AO648))
) / 1000</f>
        <v>0</v>
      </c>
      <c r="CW648" s="235" cm="1">
        <f t="array" ref="CW648">$BI648 * IF($AH648&lt;=2,
SUMPRODUCT(INDEX($AR$23:$AT$61,,$AI648), INDEX($AU$23:$BA$61,,$AH648), 1 / ($BB$23:$BB$61*CU648), N($AQ$23:$AQ$61&gt;$AO648)),
SUMPRODUCT(INDEX($AR$23:$AT$46,,$AI648), INDEX($AU$23:$BA$46,,$AH648), 1 / ($BC$23:$BC$46*CU648), N($AQ$23:$AQ$46&gt;$AO648))
) / 1000</f>
        <v>0</v>
      </c>
      <c r="CX648" s="230">
        <f t="shared" si="674"/>
        <v>0</v>
      </c>
      <c r="CY648" s="238"/>
    </row>
    <row r="649" spans="1:103" s="76" customFormat="1" ht="14.25" customHeight="1" x14ac:dyDescent="0.2">
      <c r="A649" s="231" t="b">
        <f t="shared" si="640"/>
        <v>0</v>
      </c>
      <c r="B649" s="245">
        <v>627</v>
      </c>
      <c r="C649" s="258"/>
      <c r="D649" s="258"/>
      <c r="E649" s="246"/>
      <c r="F649" s="247" t="str">
        <f>IF(ISBLANK(E649), "", VLOOKUP(E649, Z!$A$2:$C$4127, 3, FALSE))</f>
        <v/>
      </c>
      <c r="G649" s="248"/>
      <c r="H649" s="248"/>
      <c r="I649" s="249"/>
      <c r="J649" s="250"/>
      <c r="K649" s="259"/>
      <c r="L649" s="260"/>
      <c r="M649" s="252" t="str" cm="1">
        <f t="array" ref="M649">INDEX(Trad, 53, $A$20)</f>
        <v>Verschmutzt</v>
      </c>
      <c r="N649" s="253"/>
      <c r="O649" s="253"/>
      <c r="P649" s="254"/>
      <c r="Q649" s="251"/>
      <c r="R649" s="251"/>
      <c r="S649" s="264">
        <f t="shared" si="649"/>
        <v>0</v>
      </c>
      <c r="T649" s="252" t="str" cm="1">
        <f t="array" ref="T649">INDEX(Trad, 52, $A$20)</f>
        <v>Sauber</v>
      </c>
      <c r="U649" s="253"/>
      <c r="V649" s="253"/>
      <c r="W649" s="254"/>
      <c r="X649" s="251"/>
      <c r="Y649" s="251"/>
      <c r="Z649" s="264">
        <f t="shared" si="650"/>
        <v>0</v>
      </c>
      <c r="AA649" s="261"/>
      <c r="AB649" s="258"/>
      <c r="AC649" s="246"/>
      <c r="AD649" s="247" t="str">
        <f>IF(ISBLANK(AC649), "", VLOOKUP(AC649, Z!$A$2:$C$4127, 3, FALSE))</f>
        <v/>
      </c>
      <c r="AE649" s="262"/>
      <c r="AF649" s="263">
        <f t="shared" si="651"/>
        <v>0</v>
      </c>
      <c r="AG649" s="238"/>
      <c r="AH649" s="229">
        <f t="shared" si="675"/>
        <v>1</v>
      </c>
      <c r="AI649" s="229">
        <f t="shared" si="676"/>
        <v>1</v>
      </c>
      <c r="AJ649" s="229">
        <f t="shared" si="677"/>
        <v>0</v>
      </c>
      <c r="AK649" s="229">
        <v>0</v>
      </c>
      <c r="AL649" s="229">
        <v>0</v>
      </c>
      <c r="AM649" s="229">
        <v>1</v>
      </c>
      <c r="AN649" s="229">
        <v>0</v>
      </c>
      <c r="AO649" s="229">
        <f t="shared" si="652"/>
        <v>-100</v>
      </c>
      <c r="AP649" s="238"/>
      <c r="AQ649" s="255"/>
      <c r="AR649" s="255"/>
      <c r="AS649" s="256"/>
      <c r="AT649" s="256"/>
      <c r="AU649" s="256"/>
      <c r="AV649" s="256"/>
      <c r="AW649" s="256"/>
      <c r="AX649" s="256"/>
      <c r="AY649" s="256"/>
      <c r="AZ649" s="256"/>
      <c r="BA649" s="256"/>
      <c r="BB649" s="256"/>
      <c r="BC649" s="256"/>
      <c r="BD649" s="238"/>
      <c r="BE649" s="229" cm="1">
        <f t="array" ref="BE649">IF(ISBLANK(R649), INDEX(Use, $AH649, 4) - AM649*INDEX(Use, $AH649, 6), R649)</f>
        <v>5</v>
      </c>
      <c r="BF649" s="229">
        <f t="shared" si="653"/>
        <v>30</v>
      </c>
      <c r="BG649" s="229">
        <f t="shared" si="641"/>
        <v>13</v>
      </c>
      <c r="BH649" s="229">
        <f t="shared" si="642"/>
        <v>0</v>
      </c>
      <c r="BI649" s="234" cm="1">
        <f t="array" ref="BI649">K649/IF($L649&gt;0, INDEX($AU$23:$BA$77, $L649+20, $AH649), 1)</f>
        <v>0</v>
      </c>
      <c r="BJ649" s="230">
        <f t="shared" si="654"/>
        <v>0</v>
      </c>
      <c r="BK649" s="229">
        <v>35</v>
      </c>
      <c r="BL649" s="230">
        <f t="shared" si="655"/>
        <v>48</v>
      </c>
      <c r="BM649" s="235">
        <f t="shared" si="656"/>
        <v>2.9108720930232557</v>
      </c>
      <c r="BN649" s="235" cm="1">
        <f t="array" ref="BN649">$BI649 * SUMPRODUCT(INDEX($AR$77:$AT$82,,$AI649),INDEX($AU$77:$BA$82,,$AH649), N($AQ$77:$AQ$82&gt;$AO649)) / BM649 / 1000</f>
        <v>0</v>
      </c>
      <c r="BO649" s="232">
        <f t="shared" si="643"/>
        <v>30</v>
      </c>
      <c r="BP649" s="230">
        <f t="shared" si="657"/>
        <v>43</v>
      </c>
      <c r="BQ649" s="235">
        <f t="shared" si="658"/>
        <v>3.2938815789473681</v>
      </c>
      <c r="BR649" s="235" cm="1">
        <f t="array" ref="BR649">$BI649 * IF($AH649&lt;=2,
SUMPRODUCT(INDEX($AR$72:$AT$76,,$AI649), INDEX($AU$72:$BA$76,,$AH649), 1 / ($BB$72:$BB$76*BQ649 + (1-$BB$72:$BB$76)*BM649), N($AQ$72:$AQ$76&gt;$AO649)),
SUMPRODUCT(INDEX($AR$67:$AT$76,,$AI649), INDEX($AU$67:$BA$76,,$AH649), 1 / ($BC$67:$BC$76*BQ649 + (1-$BC$67:$BC$76)*BM649), N($AQ$67:$AQ$76&gt;$AO649))
) / 1000</f>
        <v>0</v>
      </c>
      <c r="BS649" s="232">
        <f t="shared" si="644"/>
        <v>25</v>
      </c>
      <c r="BT649" s="230">
        <f t="shared" si="659"/>
        <v>38</v>
      </c>
      <c r="BU649" s="235">
        <f t="shared" si="660"/>
        <v>3.792954545454545</v>
      </c>
      <c r="BV649" s="235" cm="1">
        <f t="array" ref="BV649">$BI649 * IF($AH649&lt;=2,
SUMPRODUCT(INDEX($AR$67:$AT$71,,$AI649), INDEX($AU$67:$BA$71,,$AH649), 1 / ($BB$67:$BB$71*BU649 + (1-$BB$67:$BB$71)*BQ649), N($AQ$67:$AQ$71&gt;$AO649)),
SUMPRODUCT(INDEX($AR$57:$AT$66,,$AI649), INDEX($AU$57:$BA$66,,$AH649), 1 / ($BC$57:$BC$66*BU649 + (1-$BC$57:$BC$66)*BQ649), N($AQ$57:$AQ$66&gt;$AO649))
) / 1000</f>
        <v>0</v>
      </c>
      <c r="BW649" s="232">
        <f t="shared" si="645"/>
        <v>20</v>
      </c>
      <c r="BX649" s="230">
        <f t="shared" si="661"/>
        <v>33</v>
      </c>
      <c r="BY649" s="235">
        <f t="shared" si="662"/>
        <v>4.4702678571428569</v>
      </c>
      <c r="BZ649" s="235" cm="1">
        <f t="array" ref="BZ649">$BI649 * IF($AH649&lt;=2,
SUMPRODUCT(INDEX($AR$62:$AT$66,,$AI649), INDEX($AU$62:$BA$66,,$AH649), 1 / ($BB$62:$BB$66*BY649 + (1-$BB$62:$BB$66)*BU649), N($AQ$62:$AQ$66&gt;$AO649)),
SUMPRODUCT(INDEX($AR$47:$AT$56,,$AI649), INDEX($AU$47:$BA$56,,$AH649), 1 / ($BC$47:$BC$56*BY649 + (1-$BC$47:$BC$56)*BU649), N($AQ$47:$AQ$56&gt;$AO649))
) / 1000</f>
        <v>0</v>
      </c>
      <c r="CA649" s="235" cm="1">
        <f t="array" ref="CA649">$BI649 * IF($AH649&lt;=2,
SUMPRODUCT(INDEX($AR$23:$AT$61,,$AI649), INDEX($AU$23:$BA$61,,$AH649), 1 / ($BB$23:$BB$61*BY649), N($AQ$23:$AQ$61&gt;$AO649)),
SUMPRODUCT(INDEX($AR$23:$AT$46,,$AI649), INDEX($AU$23:$BA$46,,$AH649), 1 / ($BC$23:$BC$46*BY649), N($AQ$23:$AQ$46&gt;$AO649))
) / 1000</f>
        <v>0</v>
      </c>
      <c r="CB649" s="230">
        <f t="shared" si="663"/>
        <v>0</v>
      </c>
      <c r="CC649" s="238"/>
      <c r="CD649" s="229" cm="1">
        <f t="array" ref="CD649">IF(ISBLANK(Y649), INDEX(Use, $AH649, 4) - AN649*INDEX(Use, $AH649, 6) - (Q649-X649), Y649)</f>
        <v>7</v>
      </c>
      <c r="CE649" s="229">
        <f t="shared" si="664"/>
        <v>32</v>
      </c>
      <c r="CF649" s="230">
        <f t="shared" si="665"/>
        <v>0</v>
      </c>
      <c r="CG649" s="229">
        <v>35</v>
      </c>
      <c r="CH649" s="230">
        <f t="shared" si="666"/>
        <v>48</v>
      </c>
      <c r="CI649" s="235">
        <f t="shared" si="667"/>
        <v>3.0748170731707316</v>
      </c>
      <c r="CJ649" s="235" cm="1">
        <f t="array" ref="CJ649">$BI649 * SUMPRODUCT(INDEX($AR$77:$AT$82,,$AI649),INDEX($AU$77:$BA$82,,$AH649), N($AQ$77:$AQ$82&gt;$AO649)) / CI649 / 1000</f>
        <v>0</v>
      </c>
      <c r="CK649" s="232">
        <f t="shared" si="646"/>
        <v>30</v>
      </c>
      <c r="CL649" s="230">
        <f t="shared" si="668"/>
        <v>43</v>
      </c>
      <c r="CM649" s="235">
        <f t="shared" si="669"/>
        <v>3.5018750000000001</v>
      </c>
      <c r="CN649" s="235" cm="1">
        <f t="array" ref="CN649">$BI649 * IF($AH649&lt;=2,
SUMPRODUCT(INDEX($AR$72:$AT$76,,$AI649), INDEX($AU$72:$BA$76,,$AH649), 1 / ($BB$72:$BB$76*CM649 + (1-$BB$72:$BB$76)*CI649), N($AQ$72:$AQ$76&gt;$AO649)),
SUMPRODUCT(INDEX($AR$67:$AT$76,,$AI649), INDEX($AU$67:$BA$76,,$AH649), 1 / ($BC$67:$BC$76*CM649 + (1-$BC$67:$BC$76)*CI649), N($AQ$67:$AQ$76&gt;$AO649))
) / 1000</f>
        <v>0</v>
      </c>
      <c r="CO649" s="232">
        <f t="shared" si="647"/>
        <v>25</v>
      </c>
      <c r="CP649" s="230">
        <f t="shared" si="670"/>
        <v>38</v>
      </c>
      <c r="CQ649" s="235">
        <f t="shared" si="671"/>
        <v>4.0666935483870965</v>
      </c>
      <c r="CR649" s="235" cm="1">
        <f t="array" ref="CR649">$BI649 * IF($AH649&lt;=2,
SUMPRODUCT(INDEX($AR$67:$AT$71,,$AI649), INDEX($AU$67:$BA$71,,$AH649), 1 / ($BB$67:$BB$71*CQ649 + (1-$BB$67:$BB$71)*CM649), N($AQ$67:$AQ$71&gt;$AO649)),
SUMPRODUCT(INDEX($AR$57:$AT$66,,$AI649), INDEX($AU$57:$BA$66,,$AH649), 1 / ($BC$57:$BC$66*CQ649 + (1-$BC$57:$BC$66)*CM649), N($AQ$57:$AQ$66&gt;$AO649))
) / 1000</f>
        <v>0</v>
      </c>
      <c r="CS649" s="232">
        <f t="shared" si="648"/>
        <v>20</v>
      </c>
      <c r="CT649" s="230">
        <f t="shared" si="672"/>
        <v>33</v>
      </c>
      <c r="CU649" s="235">
        <f t="shared" si="673"/>
        <v>4.8487499999999999</v>
      </c>
      <c r="CV649" s="235" cm="1">
        <f t="array" ref="CV649">$BI649 * IF($AH649&lt;=2,
SUMPRODUCT(INDEX($AR$62:$AT$66,,$AI649), INDEX($AU$62:$BA$66,,$AH649), 1 / ($BB$62:$BB$66*CU649 + (1-$BB$62:$BB$66)*CQ649), N($AQ$62:$AQ$66&gt;$AO649)),
SUMPRODUCT(INDEX($AR$47:$AT$56,,$AI649), INDEX($AU$47:$BA$56,,$AH649), 1 / ($BC$47:$BC$56*CU649 + (1-$BC$47:$BC$56)*CQ649), N($AQ$47:$AQ$56&gt;$AO649))
) / 1000</f>
        <v>0</v>
      </c>
      <c r="CW649" s="235" cm="1">
        <f t="array" ref="CW649">$BI649 * IF($AH649&lt;=2,
SUMPRODUCT(INDEX($AR$23:$AT$61,,$AI649), INDEX($AU$23:$BA$61,,$AH649), 1 / ($BB$23:$BB$61*CU649), N($AQ$23:$AQ$61&gt;$AO649)),
SUMPRODUCT(INDEX($AR$23:$AT$46,,$AI649), INDEX($AU$23:$BA$46,,$AH649), 1 / ($BC$23:$BC$46*CU649), N($AQ$23:$AQ$46&gt;$AO649))
) / 1000</f>
        <v>0</v>
      </c>
      <c r="CX649" s="230">
        <f t="shared" si="674"/>
        <v>0</v>
      </c>
      <c r="CY649" s="238"/>
    </row>
    <row r="650" spans="1:103" s="76" customFormat="1" ht="14.25" customHeight="1" x14ac:dyDescent="0.2">
      <c r="A650" s="231" t="b">
        <f t="shared" si="640"/>
        <v>0</v>
      </c>
      <c r="B650" s="245">
        <v>628</v>
      </c>
      <c r="C650" s="258"/>
      <c r="D650" s="258"/>
      <c r="E650" s="246"/>
      <c r="F650" s="247" t="str">
        <f>IF(ISBLANK(E650), "", VLOOKUP(E650, Z!$A$2:$C$4127, 3, FALSE))</f>
        <v/>
      </c>
      <c r="G650" s="248"/>
      <c r="H650" s="248"/>
      <c r="I650" s="249"/>
      <c r="J650" s="250"/>
      <c r="K650" s="259"/>
      <c r="L650" s="260"/>
      <c r="M650" s="252" t="str" cm="1">
        <f t="array" ref="M650">INDEX(Trad, 53, $A$20)</f>
        <v>Verschmutzt</v>
      </c>
      <c r="N650" s="253"/>
      <c r="O650" s="253"/>
      <c r="P650" s="254"/>
      <c r="Q650" s="251"/>
      <c r="R650" s="251"/>
      <c r="S650" s="264">
        <f t="shared" si="649"/>
        <v>0</v>
      </c>
      <c r="T650" s="252" t="str" cm="1">
        <f t="array" ref="T650">INDEX(Trad, 52, $A$20)</f>
        <v>Sauber</v>
      </c>
      <c r="U650" s="253"/>
      <c r="V650" s="253"/>
      <c r="W650" s="254"/>
      <c r="X650" s="251"/>
      <c r="Y650" s="251"/>
      <c r="Z650" s="264">
        <f t="shared" si="650"/>
        <v>0</v>
      </c>
      <c r="AA650" s="261"/>
      <c r="AB650" s="258"/>
      <c r="AC650" s="246"/>
      <c r="AD650" s="247" t="str">
        <f>IF(ISBLANK(AC650), "", VLOOKUP(AC650, Z!$A$2:$C$4127, 3, FALSE))</f>
        <v/>
      </c>
      <c r="AE650" s="262"/>
      <c r="AF650" s="263">
        <f t="shared" si="651"/>
        <v>0</v>
      </c>
      <c r="AG650" s="238"/>
      <c r="AH650" s="229">
        <f t="shared" si="675"/>
        <v>1</v>
      </c>
      <c r="AI650" s="229">
        <f t="shared" si="676"/>
        <v>1</v>
      </c>
      <c r="AJ650" s="229">
        <f t="shared" si="677"/>
        <v>0</v>
      </c>
      <c r="AK650" s="229">
        <v>0</v>
      </c>
      <c r="AL650" s="229">
        <v>0</v>
      </c>
      <c r="AM650" s="229">
        <v>1</v>
      </c>
      <c r="AN650" s="229">
        <v>0</v>
      </c>
      <c r="AO650" s="229">
        <f t="shared" si="652"/>
        <v>-100</v>
      </c>
      <c r="AP650" s="238"/>
      <c r="AQ650" s="255"/>
      <c r="AR650" s="255"/>
      <c r="AS650" s="256"/>
      <c r="AT650" s="256"/>
      <c r="AU650" s="256"/>
      <c r="AV650" s="256"/>
      <c r="AW650" s="256"/>
      <c r="AX650" s="256"/>
      <c r="AY650" s="256"/>
      <c r="AZ650" s="256"/>
      <c r="BA650" s="256"/>
      <c r="BB650" s="256"/>
      <c r="BC650" s="256"/>
      <c r="BD650" s="238"/>
      <c r="BE650" s="229" cm="1">
        <f t="array" ref="BE650">IF(ISBLANK(R650), INDEX(Use, $AH650, 4) - AM650*INDEX(Use, $AH650, 6), R650)</f>
        <v>5</v>
      </c>
      <c r="BF650" s="229">
        <f t="shared" si="653"/>
        <v>30</v>
      </c>
      <c r="BG650" s="229">
        <f t="shared" si="641"/>
        <v>13</v>
      </c>
      <c r="BH650" s="229">
        <f t="shared" si="642"/>
        <v>0</v>
      </c>
      <c r="BI650" s="234" cm="1">
        <f t="array" ref="BI650">K650/IF($L650&gt;0, INDEX($AU$23:$BA$77, $L650+20, $AH650), 1)</f>
        <v>0</v>
      </c>
      <c r="BJ650" s="230">
        <f t="shared" si="654"/>
        <v>0</v>
      </c>
      <c r="BK650" s="229">
        <v>35</v>
      </c>
      <c r="BL650" s="230">
        <f t="shared" si="655"/>
        <v>48</v>
      </c>
      <c r="BM650" s="235">
        <f t="shared" si="656"/>
        <v>2.9108720930232557</v>
      </c>
      <c r="BN650" s="235" cm="1">
        <f t="array" ref="BN650">$BI650 * SUMPRODUCT(INDEX($AR$77:$AT$82,,$AI650),INDEX($AU$77:$BA$82,,$AH650), N($AQ$77:$AQ$82&gt;$AO650)) / BM650 / 1000</f>
        <v>0</v>
      </c>
      <c r="BO650" s="232">
        <f t="shared" si="643"/>
        <v>30</v>
      </c>
      <c r="BP650" s="230">
        <f t="shared" si="657"/>
        <v>43</v>
      </c>
      <c r="BQ650" s="235">
        <f t="shared" si="658"/>
        <v>3.2938815789473681</v>
      </c>
      <c r="BR650" s="235" cm="1">
        <f t="array" ref="BR650">$BI650 * IF($AH650&lt;=2,
SUMPRODUCT(INDEX($AR$72:$AT$76,,$AI650), INDEX($AU$72:$BA$76,,$AH650), 1 / ($BB$72:$BB$76*BQ650 + (1-$BB$72:$BB$76)*BM650), N($AQ$72:$AQ$76&gt;$AO650)),
SUMPRODUCT(INDEX($AR$67:$AT$76,,$AI650), INDEX($AU$67:$BA$76,,$AH650), 1 / ($BC$67:$BC$76*BQ650 + (1-$BC$67:$BC$76)*BM650), N($AQ$67:$AQ$76&gt;$AO650))
) / 1000</f>
        <v>0</v>
      </c>
      <c r="BS650" s="232">
        <f t="shared" si="644"/>
        <v>25</v>
      </c>
      <c r="BT650" s="230">
        <f t="shared" si="659"/>
        <v>38</v>
      </c>
      <c r="BU650" s="235">
        <f t="shared" si="660"/>
        <v>3.792954545454545</v>
      </c>
      <c r="BV650" s="235" cm="1">
        <f t="array" ref="BV650">$BI650 * IF($AH650&lt;=2,
SUMPRODUCT(INDEX($AR$67:$AT$71,,$AI650), INDEX($AU$67:$BA$71,,$AH650), 1 / ($BB$67:$BB$71*BU650 + (1-$BB$67:$BB$71)*BQ650), N($AQ$67:$AQ$71&gt;$AO650)),
SUMPRODUCT(INDEX($AR$57:$AT$66,,$AI650), INDEX($AU$57:$BA$66,,$AH650), 1 / ($BC$57:$BC$66*BU650 + (1-$BC$57:$BC$66)*BQ650), N($AQ$57:$AQ$66&gt;$AO650))
) / 1000</f>
        <v>0</v>
      </c>
      <c r="BW650" s="232">
        <f t="shared" si="645"/>
        <v>20</v>
      </c>
      <c r="BX650" s="230">
        <f t="shared" si="661"/>
        <v>33</v>
      </c>
      <c r="BY650" s="235">
        <f t="shared" si="662"/>
        <v>4.4702678571428569</v>
      </c>
      <c r="BZ650" s="235" cm="1">
        <f t="array" ref="BZ650">$BI650 * IF($AH650&lt;=2,
SUMPRODUCT(INDEX($AR$62:$AT$66,,$AI650), INDEX($AU$62:$BA$66,,$AH650), 1 / ($BB$62:$BB$66*BY650 + (1-$BB$62:$BB$66)*BU650), N($AQ$62:$AQ$66&gt;$AO650)),
SUMPRODUCT(INDEX($AR$47:$AT$56,,$AI650), INDEX($AU$47:$BA$56,,$AH650), 1 / ($BC$47:$BC$56*BY650 + (1-$BC$47:$BC$56)*BU650), N($AQ$47:$AQ$56&gt;$AO650))
) / 1000</f>
        <v>0</v>
      </c>
      <c r="CA650" s="235" cm="1">
        <f t="array" ref="CA650">$BI650 * IF($AH650&lt;=2,
SUMPRODUCT(INDEX($AR$23:$AT$61,,$AI650), INDEX($AU$23:$BA$61,,$AH650), 1 / ($BB$23:$BB$61*BY650), N($AQ$23:$AQ$61&gt;$AO650)),
SUMPRODUCT(INDEX($AR$23:$AT$46,,$AI650), INDEX($AU$23:$BA$46,,$AH650), 1 / ($BC$23:$BC$46*BY650), N($AQ$23:$AQ$46&gt;$AO650))
) / 1000</f>
        <v>0</v>
      </c>
      <c r="CB650" s="230">
        <f t="shared" si="663"/>
        <v>0</v>
      </c>
      <c r="CC650" s="238"/>
      <c r="CD650" s="229" cm="1">
        <f t="array" ref="CD650">IF(ISBLANK(Y650), INDEX(Use, $AH650, 4) - AN650*INDEX(Use, $AH650, 6) - (Q650-X650), Y650)</f>
        <v>7</v>
      </c>
      <c r="CE650" s="229">
        <f t="shared" si="664"/>
        <v>32</v>
      </c>
      <c r="CF650" s="230">
        <f t="shared" si="665"/>
        <v>0</v>
      </c>
      <c r="CG650" s="229">
        <v>35</v>
      </c>
      <c r="CH650" s="230">
        <f t="shared" si="666"/>
        <v>48</v>
      </c>
      <c r="CI650" s="235">
        <f t="shared" si="667"/>
        <v>3.0748170731707316</v>
      </c>
      <c r="CJ650" s="235" cm="1">
        <f t="array" ref="CJ650">$BI650 * SUMPRODUCT(INDEX($AR$77:$AT$82,,$AI650),INDEX($AU$77:$BA$82,,$AH650), N($AQ$77:$AQ$82&gt;$AO650)) / CI650 / 1000</f>
        <v>0</v>
      </c>
      <c r="CK650" s="232">
        <f t="shared" si="646"/>
        <v>30</v>
      </c>
      <c r="CL650" s="230">
        <f t="shared" si="668"/>
        <v>43</v>
      </c>
      <c r="CM650" s="235">
        <f t="shared" si="669"/>
        <v>3.5018750000000001</v>
      </c>
      <c r="CN650" s="235" cm="1">
        <f t="array" ref="CN650">$BI650 * IF($AH650&lt;=2,
SUMPRODUCT(INDEX($AR$72:$AT$76,,$AI650), INDEX($AU$72:$BA$76,,$AH650), 1 / ($BB$72:$BB$76*CM650 + (1-$BB$72:$BB$76)*CI650), N($AQ$72:$AQ$76&gt;$AO650)),
SUMPRODUCT(INDEX($AR$67:$AT$76,,$AI650), INDEX($AU$67:$BA$76,,$AH650), 1 / ($BC$67:$BC$76*CM650 + (1-$BC$67:$BC$76)*CI650), N($AQ$67:$AQ$76&gt;$AO650))
) / 1000</f>
        <v>0</v>
      </c>
      <c r="CO650" s="232">
        <f t="shared" si="647"/>
        <v>25</v>
      </c>
      <c r="CP650" s="230">
        <f t="shared" si="670"/>
        <v>38</v>
      </c>
      <c r="CQ650" s="235">
        <f t="shared" si="671"/>
        <v>4.0666935483870965</v>
      </c>
      <c r="CR650" s="235" cm="1">
        <f t="array" ref="CR650">$BI650 * IF($AH650&lt;=2,
SUMPRODUCT(INDEX($AR$67:$AT$71,,$AI650), INDEX($AU$67:$BA$71,,$AH650), 1 / ($BB$67:$BB$71*CQ650 + (1-$BB$67:$BB$71)*CM650), N($AQ$67:$AQ$71&gt;$AO650)),
SUMPRODUCT(INDEX($AR$57:$AT$66,,$AI650), INDEX($AU$57:$BA$66,,$AH650), 1 / ($BC$57:$BC$66*CQ650 + (1-$BC$57:$BC$66)*CM650), N($AQ$57:$AQ$66&gt;$AO650))
) / 1000</f>
        <v>0</v>
      </c>
      <c r="CS650" s="232">
        <f t="shared" si="648"/>
        <v>20</v>
      </c>
      <c r="CT650" s="230">
        <f t="shared" si="672"/>
        <v>33</v>
      </c>
      <c r="CU650" s="235">
        <f t="shared" si="673"/>
        <v>4.8487499999999999</v>
      </c>
      <c r="CV650" s="235" cm="1">
        <f t="array" ref="CV650">$BI650 * IF($AH650&lt;=2,
SUMPRODUCT(INDEX($AR$62:$AT$66,,$AI650), INDEX($AU$62:$BA$66,,$AH650), 1 / ($BB$62:$BB$66*CU650 + (1-$BB$62:$BB$66)*CQ650), N($AQ$62:$AQ$66&gt;$AO650)),
SUMPRODUCT(INDEX($AR$47:$AT$56,,$AI650), INDEX($AU$47:$BA$56,,$AH650), 1 / ($BC$47:$BC$56*CU650 + (1-$BC$47:$BC$56)*CQ650), N($AQ$47:$AQ$56&gt;$AO650))
) / 1000</f>
        <v>0</v>
      </c>
      <c r="CW650" s="235" cm="1">
        <f t="array" ref="CW650">$BI650 * IF($AH650&lt;=2,
SUMPRODUCT(INDEX($AR$23:$AT$61,,$AI650), INDEX($AU$23:$BA$61,,$AH650), 1 / ($BB$23:$BB$61*CU650), N($AQ$23:$AQ$61&gt;$AO650)),
SUMPRODUCT(INDEX($AR$23:$AT$46,,$AI650), INDEX($AU$23:$BA$46,,$AH650), 1 / ($BC$23:$BC$46*CU650), N($AQ$23:$AQ$46&gt;$AO650))
) / 1000</f>
        <v>0</v>
      </c>
      <c r="CX650" s="230">
        <f t="shared" si="674"/>
        <v>0</v>
      </c>
      <c r="CY650" s="238"/>
    </row>
    <row r="651" spans="1:103" s="76" customFormat="1" ht="14.25" customHeight="1" x14ac:dyDescent="0.2">
      <c r="A651" s="231" t="b">
        <f t="shared" si="640"/>
        <v>0</v>
      </c>
      <c r="B651" s="245">
        <v>629</v>
      </c>
      <c r="C651" s="258"/>
      <c r="D651" s="258"/>
      <c r="E651" s="246"/>
      <c r="F651" s="247" t="str">
        <f>IF(ISBLANK(E651), "", VLOOKUP(E651, Z!$A$2:$C$4127, 3, FALSE))</f>
        <v/>
      </c>
      <c r="G651" s="248"/>
      <c r="H651" s="248"/>
      <c r="I651" s="249"/>
      <c r="J651" s="250"/>
      <c r="K651" s="259"/>
      <c r="L651" s="260"/>
      <c r="M651" s="252" t="str" cm="1">
        <f t="array" ref="M651">INDEX(Trad, 53, $A$20)</f>
        <v>Verschmutzt</v>
      </c>
      <c r="N651" s="253"/>
      <c r="O651" s="253"/>
      <c r="P651" s="254"/>
      <c r="Q651" s="251"/>
      <c r="R651" s="251"/>
      <c r="S651" s="264">
        <f t="shared" si="649"/>
        <v>0</v>
      </c>
      <c r="T651" s="252" t="str" cm="1">
        <f t="array" ref="T651">INDEX(Trad, 52, $A$20)</f>
        <v>Sauber</v>
      </c>
      <c r="U651" s="253"/>
      <c r="V651" s="253"/>
      <c r="W651" s="254"/>
      <c r="X651" s="251"/>
      <c r="Y651" s="251"/>
      <c r="Z651" s="264">
        <f t="shared" si="650"/>
        <v>0</v>
      </c>
      <c r="AA651" s="261"/>
      <c r="AB651" s="258"/>
      <c r="AC651" s="246"/>
      <c r="AD651" s="247" t="str">
        <f>IF(ISBLANK(AC651), "", VLOOKUP(AC651, Z!$A$2:$C$4127, 3, FALSE))</f>
        <v/>
      </c>
      <c r="AE651" s="262"/>
      <c r="AF651" s="263">
        <f t="shared" si="651"/>
        <v>0</v>
      </c>
      <c r="AG651" s="238"/>
      <c r="AH651" s="229">
        <f t="shared" si="675"/>
        <v>1</v>
      </c>
      <c r="AI651" s="229">
        <f t="shared" si="676"/>
        <v>1</v>
      </c>
      <c r="AJ651" s="229">
        <f t="shared" si="677"/>
        <v>0</v>
      </c>
      <c r="AK651" s="229">
        <v>0</v>
      </c>
      <c r="AL651" s="229">
        <v>0</v>
      </c>
      <c r="AM651" s="229">
        <v>1</v>
      </c>
      <c r="AN651" s="229">
        <v>0</v>
      </c>
      <c r="AO651" s="229">
        <f t="shared" si="652"/>
        <v>-100</v>
      </c>
      <c r="AP651" s="238"/>
      <c r="AQ651" s="255"/>
      <c r="AR651" s="255"/>
      <c r="AS651" s="256"/>
      <c r="AT651" s="256"/>
      <c r="AU651" s="256"/>
      <c r="AV651" s="256"/>
      <c r="AW651" s="256"/>
      <c r="AX651" s="256"/>
      <c r="AY651" s="256"/>
      <c r="AZ651" s="256"/>
      <c r="BA651" s="256"/>
      <c r="BB651" s="256"/>
      <c r="BC651" s="256"/>
      <c r="BD651" s="238"/>
      <c r="BE651" s="229" cm="1">
        <f t="array" ref="BE651">IF(ISBLANK(R651), INDEX(Use, $AH651, 4) - AM651*INDEX(Use, $AH651, 6), R651)</f>
        <v>5</v>
      </c>
      <c r="BF651" s="229">
        <f t="shared" si="653"/>
        <v>30</v>
      </c>
      <c r="BG651" s="229">
        <f t="shared" si="641"/>
        <v>13</v>
      </c>
      <c r="BH651" s="229">
        <f t="shared" si="642"/>
        <v>0</v>
      </c>
      <c r="BI651" s="234" cm="1">
        <f t="array" ref="BI651">K651/IF($L651&gt;0, INDEX($AU$23:$BA$77, $L651+20, $AH651), 1)</f>
        <v>0</v>
      </c>
      <c r="BJ651" s="230">
        <f t="shared" si="654"/>
        <v>0</v>
      </c>
      <c r="BK651" s="229">
        <v>35</v>
      </c>
      <c r="BL651" s="230">
        <f t="shared" si="655"/>
        <v>48</v>
      </c>
      <c r="BM651" s="235">
        <f t="shared" si="656"/>
        <v>2.9108720930232557</v>
      </c>
      <c r="BN651" s="235" cm="1">
        <f t="array" ref="BN651">$BI651 * SUMPRODUCT(INDEX($AR$77:$AT$82,,$AI651),INDEX($AU$77:$BA$82,,$AH651), N($AQ$77:$AQ$82&gt;$AO651)) / BM651 / 1000</f>
        <v>0</v>
      </c>
      <c r="BO651" s="232">
        <f t="shared" si="643"/>
        <v>30</v>
      </c>
      <c r="BP651" s="230">
        <f t="shared" si="657"/>
        <v>43</v>
      </c>
      <c r="BQ651" s="235">
        <f t="shared" si="658"/>
        <v>3.2938815789473681</v>
      </c>
      <c r="BR651" s="235" cm="1">
        <f t="array" ref="BR651">$BI651 * IF($AH651&lt;=2,
SUMPRODUCT(INDEX($AR$72:$AT$76,,$AI651), INDEX($AU$72:$BA$76,,$AH651), 1 / ($BB$72:$BB$76*BQ651 + (1-$BB$72:$BB$76)*BM651), N($AQ$72:$AQ$76&gt;$AO651)),
SUMPRODUCT(INDEX($AR$67:$AT$76,,$AI651), INDEX($AU$67:$BA$76,,$AH651), 1 / ($BC$67:$BC$76*BQ651 + (1-$BC$67:$BC$76)*BM651), N($AQ$67:$AQ$76&gt;$AO651))
) / 1000</f>
        <v>0</v>
      </c>
      <c r="BS651" s="232">
        <f t="shared" si="644"/>
        <v>25</v>
      </c>
      <c r="BT651" s="230">
        <f t="shared" si="659"/>
        <v>38</v>
      </c>
      <c r="BU651" s="235">
        <f t="shared" si="660"/>
        <v>3.792954545454545</v>
      </c>
      <c r="BV651" s="235" cm="1">
        <f t="array" ref="BV651">$BI651 * IF($AH651&lt;=2,
SUMPRODUCT(INDEX($AR$67:$AT$71,,$AI651), INDEX($AU$67:$BA$71,,$AH651), 1 / ($BB$67:$BB$71*BU651 + (1-$BB$67:$BB$71)*BQ651), N($AQ$67:$AQ$71&gt;$AO651)),
SUMPRODUCT(INDEX($AR$57:$AT$66,,$AI651), INDEX($AU$57:$BA$66,,$AH651), 1 / ($BC$57:$BC$66*BU651 + (1-$BC$57:$BC$66)*BQ651), N($AQ$57:$AQ$66&gt;$AO651))
) / 1000</f>
        <v>0</v>
      </c>
      <c r="BW651" s="232">
        <f t="shared" si="645"/>
        <v>20</v>
      </c>
      <c r="BX651" s="230">
        <f t="shared" si="661"/>
        <v>33</v>
      </c>
      <c r="BY651" s="235">
        <f t="shared" si="662"/>
        <v>4.4702678571428569</v>
      </c>
      <c r="BZ651" s="235" cm="1">
        <f t="array" ref="BZ651">$BI651 * IF($AH651&lt;=2,
SUMPRODUCT(INDEX($AR$62:$AT$66,,$AI651), INDEX($AU$62:$BA$66,,$AH651), 1 / ($BB$62:$BB$66*BY651 + (1-$BB$62:$BB$66)*BU651), N($AQ$62:$AQ$66&gt;$AO651)),
SUMPRODUCT(INDEX($AR$47:$AT$56,,$AI651), INDEX($AU$47:$BA$56,,$AH651), 1 / ($BC$47:$BC$56*BY651 + (1-$BC$47:$BC$56)*BU651), N($AQ$47:$AQ$56&gt;$AO651))
) / 1000</f>
        <v>0</v>
      </c>
      <c r="CA651" s="235" cm="1">
        <f t="array" ref="CA651">$BI651 * IF($AH651&lt;=2,
SUMPRODUCT(INDEX($AR$23:$AT$61,,$AI651), INDEX($AU$23:$BA$61,,$AH651), 1 / ($BB$23:$BB$61*BY651), N($AQ$23:$AQ$61&gt;$AO651)),
SUMPRODUCT(INDEX($AR$23:$AT$46,,$AI651), INDEX($AU$23:$BA$46,,$AH651), 1 / ($BC$23:$BC$46*BY651), N($AQ$23:$AQ$46&gt;$AO651))
) / 1000</f>
        <v>0</v>
      </c>
      <c r="CB651" s="230">
        <f t="shared" si="663"/>
        <v>0</v>
      </c>
      <c r="CC651" s="238"/>
      <c r="CD651" s="229" cm="1">
        <f t="array" ref="CD651">IF(ISBLANK(Y651), INDEX(Use, $AH651, 4) - AN651*INDEX(Use, $AH651, 6) - (Q651-X651), Y651)</f>
        <v>7</v>
      </c>
      <c r="CE651" s="229">
        <f t="shared" si="664"/>
        <v>32</v>
      </c>
      <c r="CF651" s="230">
        <f t="shared" si="665"/>
        <v>0</v>
      </c>
      <c r="CG651" s="229">
        <v>35</v>
      </c>
      <c r="CH651" s="230">
        <f t="shared" si="666"/>
        <v>48</v>
      </c>
      <c r="CI651" s="235">
        <f t="shared" si="667"/>
        <v>3.0748170731707316</v>
      </c>
      <c r="CJ651" s="235" cm="1">
        <f t="array" ref="CJ651">$BI651 * SUMPRODUCT(INDEX($AR$77:$AT$82,,$AI651),INDEX($AU$77:$BA$82,,$AH651), N($AQ$77:$AQ$82&gt;$AO651)) / CI651 / 1000</f>
        <v>0</v>
      </c>
      <c r="CK651" s="232">
        <f t="shared" si="646"/>
        <v>30</v>
      </c>
      <c r="CL651" s="230">
        <f t="shared" si="668"/>
        <v>43</v>
      </c>
      <c r="CM651" s="235">
        <f t="shared" si="669"/>
        <v>3.5018750000000001</v>
      </c>
      <c r="CN651" s="235" cm="1">
        <f t="array" ref="CN651">$BI651 * IF($AH651&lt;=2,
SUMPRODUCT(INDEX($AR$72:$AT$76,,$AI651), INDEX($AU$72:$BA$76,,$AH651), 1 / ($BB$72:$BB$76*CM651 + (1-$BB$72:$BB$76)*CI651), N($AQ$72:$AQ$76&gt;$AO651)),
SUMPRODUCT(INDEX($AR$67:$AT$76,,$AI651), INDEX($AU$67:$BA$76,,$AH651), 1 / ($BC$67:$BC$76*CM651 + (1-$BC$67:$BC$76)*CI651), N($AQ$67:$AQ$76&gt;$AO651))
) / 1000</f>
        <v>0</v>
      </c>
      <c r="CO651" s="232">
        <f t="shared" si="647"/>
        <v>25</v>
      </c>
      <c r="CP651" s="230">
        <f t="shared" si="670"/>
        <v>38</v>
      </c>
      <c r="CQ651" s="235">
        <f t="shared" si="671"/>
        <v>4.0666935483870965</v>
      </c>
      <c r="CR651" s="235" cm="1">
        <f t="array" ref="CR651">$BI651 * IF($AH651&lt;=2,
SUMPRODUCT(INDEX($AR$67:$AT$71,,$AI651), INDEX($AU$67:$BA$71,,$AH651), 1 / ($BB$67:$BB$71*CQ651 + (1-$BB$67:$BB$71)*CM651), N($AQ$67:$AQ$71&gt;$AO651)),
SUMPRODUCT(INDEX($AR$57:$AT$66,,$AI651), INDEX($AU$57:$BA$66,,$AH651), 1 / ($BC$57:$BC$66*CQ651 + (1-$BC$57:$BC$66)*CM651), N($AQ$57:$AQ$66&gt;$AO651))
) / 1000</f>
        <v>0</v>
      </c>
      <c r="CS651" s="232">
        <f t="shared" si="648"/>
        <v>20</v>
      </c>
      <c r="CT651" s="230">
        <f t="shared" si="672"/>
        <v>33</v>
      </c>
      <c r="CU651" s="235">
        <f t="shared" si="673"/>
        <v>4.8487499999999999</v>
      </c>
      <c r="CV651" s="235" cm="1">
        <f t="array" ref="CV651">$BI651 * IF($AH651&lt;=2,
SUMPRODUCT(INDEX($AR$62:$AT$66,,$AI651), INDEX($AU$62:$BA$66,,$AH651), 1 / ($BB$62:$BB$66*CU651 + (1-$BB$62:$BB$66)*CQ651), N($AQ$62:$AQ$66&gt;$AO651)),
SUMPRODUCT(INDEX($AR$47:$AT$56,,$AI651), INDEX($AU$47:$BA$56,,$AH651), 1 / ($BC$47:$BC$56*CU651 + (1-$BC$47:$BC$56)*CQ651), N($AQ$47:$AQ$56&gt;$AO651))
) / 1000</f>
        <v>0</v>
      </c>
      <c r="CW651" s="235" cm="1">
        <f t="array" ref="CW651">$BI651 * IF($AH651&lt;=2,
SUMPRODUCT(INDEX($AR$23:$AT$61,,$AI651), INDEX($AU$23:$BA$61,,$AH651), 1 / ($BB$23:$BB$61*CU651), N($AQ$23:$AQ$61&gt;$AO651)),
SUMPRODUCT(INDEX($AR$23:$AT$46,,$AI651), INDEX($AU$23:$BA$46,,$AH651), 1 / ($BC$23:$BC$46*CU651), N($AQ$23:$AQ$46&gt;$AO651))
) / 1000</f>
        <v>0</v>
      </c>
      <c r="CX651" s="230">
        <f t="shared" si="674"/>
        <v>0</v>
      </c>
      <c r="CY651" s="238"/>
    </row>
    <row r="652" spans="1:103" s="76" customFormat="1" ht="14.25" customHeight="1" x14ac:dyDescent="0.2">
      <c r="A652" s="231" t="b">
        <f t="shared" si="640"/>
        <v>0</v>
      </c>
      <c r="B652" s="245">
        <v>630</v>
      </c>
      <c r="C652" s="258"/>
      <c r="D652" s="258"/>
      <c r="E652" s="246"/>
      <c r="F652" s="247" t="str">
        <f>IF(ISBLANK(E652), "", VLOOKUP(E652, Z!$A$2:$C$4127, 3, FALSE))</f>
        <v/>
      </c>
      <c r="G652" s="248"/>
      <c r="H652" s="248"/>
      <c r="I652" s="249"/>
      <c r="J652" s="250"/>
      <c r="K652" s="259"/>
      <c r="L652" s="260"/>
      <c r="M652" s="252" t="str" cm="1">
        <f t="array" ref="M652">INDEX(Trad, 53, $A$20)</f>
        <v>Verschmutzt</v>
      </c>
      <c r="N652" s="253"/>
      <c r="O652" s="253"/>
      <c r="P652" s="254"/>
      <c r="Q652" s="251"/>
      <c r="R652" s="251"/>
      <c r="S652" s="264">
        <f t="shared" si="649"/>
        <v>0</v>
      </c>
      <c r="T652" s="252" t="str" cm="1">
        <f t="array" ref="T652">INDEX(Trad, 52, $A$20)</f>
        <v>Sauber</v>
      </c>
      <c r="U652" s="253"/>
      <c r="V652" s="253"/>
      <c r="W652" s="254"/>
      <c r="X652" s="251"/>
      <c r="Y652" s="251"/>
      <c r="Z652" s="264">
        <f t="shared" si="650"/>
        <v>0</v>
      </c>
      <c r="AA652" s="261"/>
      <c r="AB652" s="258"/>
      <c r="AC652" s="246"/>
      <c r="AD652" s="247" t="str">
        <f>IF(ISBLANK(AC652), "", VLOOKUP(AC652, Z!$A$2:$C$4127, 3, FALSE))</f>
        <v/>
      </c>
      <c r="AE652" s="262"/>
      <c r="AF652" s="263">
        <f t="shared" si="651"/>
        <v>0</v>
      </c>
      <c r="AG652" s="238"/>
      <c r="AH652" s="229">
        <f t="shared" si="675"/>
        <v>1</v>
      </c>
      <c r="AI652" s="229">
        <f t="shared" si="676"/>
        <v>1</v>
      </c>
      <c r="AJ652" s="229">
        <f t="shared" si="677"/>
        <v>0</v>
      </c>
      <c r="AK652" s="229">
        <v>0</v>
      </c>
      <c r="AL652" s="229">
        <v>0</v>
      </c>
      <c r="AM652" s="229">
        <v>1</v>
      </c>
      <c r="AN652" s="229">
        <v>0</v>
      </c>
      <c r="AO652" s="229">
        <f t="shared" si="652"/>
        <v>-100</v>
      </c>
      <c r="AP652" s="238"/>
      <c r="AQ652" s="255"/>
      <c r="AR652" s="255"/>
      <c r="AS652" s="256"/>
      <c r="AT652" s="256"/>
      <c r="AU652" s="256"/>
      <c r="AV652" s="256"/>
      <c r="AW652" s="256"/>
      <c r="AX652" s="256"/>
      <c r="AY652" s="256"/>
      <c r="AZ652" s="256"/>
      <c r="BA652" s="256"/>
      <c r="BB652" s="256"/>
      <c r="BC652" s="256"/>
      <c r="BD652" s="238"/>
      <c r="BE652" s="229" cm="1">
        <f t="array" ref="BE652">IF(ISBLANK(R652), INDEX(Use, $AH652, 4) - AM652*INDEX(Use, $AH652, 6), R652)</f>
        <v>5</v>
      </c>
      <c r="BF652" s="229">
        <f t="shared" si="653"/>
        <v>30</v>
      </c>
      <c r="BG652" s="229">
        <f t="shared" si="641"/>
        <v>13</v>
      </c>
      <c r="BH652" s="229">
        <f t="shared" si="642"/>
        <v>0</v>
      </c>
      <c r="BI652" s="234" cm="1">
        <f t="array" ref="BI652">K652/IF($L652&gt;0, INDEX($AU$23:$BA$77, $L652+20, $AH652), 1)</f>
        <v>0</v>
      </c>
      <c r="BJ652" s="230">
        <f t="shared" si="654"/>
        <v>0</v>
      </c>
      <c r="BK652" s="229">
        <v>35</v>
      </c>
      <c r="BL652" s="230">
        <f t="shared" si="655"/>
        <v>48</v>
      </c>
      <c r="BM652" s="235">
        <f t="shared" si="656"/>
        <v>2.9108720930232557</v>
      </c>
      <c r="BN652" s="235" cm="1">
        <f t="array" ref="BN652">$BI652 * SUMPRODUCT(INDEX($AR$77:$AT$82,,$AI652),INDEX($AU$77:$BA$82,,$AH652), N($AQ$77:$AQ$82&gt;$AO652)) / BM652 / 1000</f>
        <v>0</v>
      </c>
      <c r="BO652" s="232">
        <f t="shared" si="643"/>
        <v>30</v>
      </c>
      <c r="BP652" s="230">
        <f t="shared" si="657"/>
        <v>43</v>
      </c>
      <c r="BQ652" s="235">
        <f t="shared" si="658"/>
        <v>3.2938815789473681</v>
      </c>
      <c r="BR652" s="235" cm="1">
        <f t="array" ref="BR652">$BI652 * IF($AH652&lt;=2,
SUMPRODUCT(INDEX($AR$72:$AT$76,,$AI652), INDEX($AU$72:$BA$76,,$AH652), 1 / ($BB$72:$BB$76*BQ652 + (1-$BB$72:$BB$76)*BM652), N($AQ$72:$AQ$76&gt;$AO652)),
SUMPRODUCT(INDEX($AR$67:$AT$76,,$AI652), INDEX($AU$67:$BA$76,,$AH652), 1 / ($BC$67:$BC$76*BQ652 + (1-$BC$67:$BC$76)*BM652), N($AQ$67:$AQ$76&gt;$AO652))
) / 1000</f>
        <v>0</v>
      </c>
      <c r="BS652" s="232">
        <f t="shared" si="644"/>
        <v>25</v>
      </c>
      <c r="BT652" s="230">
        <f t="shared" si="659"/>
        <v>38</v>
      </c>
      <c r="BU652" s="235">
        <f t="shared" si="660"/>
        <v>3.792954545454545</v>
      </c>
      <c r="BV652" s="235" cm="1">
        <f t="array" ref="BV652">$BI652 * IF($AH652&lt;=2,
SUMPRODUCT(INDEX($AR$67:$AT$71,,$AI652), INDEX($AU$67:$BA$71,,$AH652), 1 / ($BB$67:$BB$71*BU652 + (1-$BB$67:$BB$71)*BQ652), N($AQ$67:$AQ$71&gt;$AO652)),
SUMPRODUCT(INDEX($AR$57:$AT$66,,$AI652), INDEX($AU$57:$BA$66,,$AH652), 1 / ($BC$57:$BC$66*BU652 + (1-$BC$57:$BC$66)*BQ652), N($AQ$57:$AQ$66&gt;$AO652))
) / 1000</f>
        <v>0</v>
      </c>
      <c r="BW652" s="232">
        <f t="shared" si="645"/>
        <v>20</v>
      </c>
      <c r="BX652" s="230">
        <f t="shared" si="661"/>
        <v>33</v>
      </c>
      <c r="BY652" s="235">
        <f t="shared" si="662"/>
        <v>4.4702678571428569</v>
      </c>
      <c r="BZ652" s="235" cm="1">
        <f t="array" ref="BZ652">$BI652 * IF($AH652&lt;=2,
SUMPRODUCT(INDEX($AR$62:$AT$66,,$AI652), INDEX($AU$62:$BA$66,,$AH652), 1 / ($BB$62:$BB$66*BY652 + (1-$BB$62:$BB$66)*BU652), N($AQ$62:$AQ$66&gt;$AO652)),
SUMPRODUCT(INDEX($AR$47:$AT$56,,$AI652), INDEX($AU$47:$BA$56,,$AH652), 1 / ($BC$47:$BC$56*BY652 + (1-$BC$47:$BC$56)*BU652), N($AQ$47:$AQ$56&gt;$AO652))
) / 1000</f>
        <v>0</v>
      </c>
      <c r="CA652" s="235" cm="1">
        <f t="array" ref="CA652">$BI652 * IF($AH652&lt;=2,
SUMPRODUCT(INDEX($AR$23:$AT$61,,$AI652), INDEX($AU$23:$BA$61,,$AH652), 1 / ($BB$23:$BB$61*BY652), N($AQ$23:$AQ$61&gt;$AO652)),
SUMPRODUCT(INDEX($AR$23:$AT$46,,$AI652), INDEX($AU$23:$BA$46,,$AH652), 1 / ($BC$23:$BC$46*BY652), N($AQ$23:$AQ$46&gt;$AO652))
) / 1000</f>
        <v>0</v>
      </c>
      <c r="CB652" s="230">
        <f t="shared" si="663"/>
        <v>0</v>
      </c>
      <c r="CC652" s="238"/>
      <c r="CD652" s="229" cm="1">
        <f t="array" ref="CD652">IF(ISBLANK(Y652), INDEX(Use, $AH652, 4) - AN652*INDEX(Use, $AH652, 6) - (Q652-X652), Y652)</f>
        <v>7</v>
      </c>
      <c r="CE652" s="229">
        <f t="shared" si="664"/>
        <v>32</v>
      </c>
      <c r="CF652" s="230">
        <f t="shared" si="665"/>
        <v>0</v>
      </c>
      <c r="CG652" s="229">
        <v>35</v>
      </c>
      <c r="CH652" s="230">
        <f t="shared" si="666"/>
        <v>48</v>
      </c>
      <c r="CI652" s="235">
        <f t="shared" si="667"/>
        <v>3.0748170731707316</v>
      </c>
      <c r="CJ652" s="235" cm="1">
        <f t="array" ref="CJ652">$BI652 * SUMPRODUCT(INDEX($AR$77:$AT$82,,$AI652),INDEX($AU$77:$BA$82,,$AH652), N($AQ$77:$AQ$82&gt;$AO652)) / CI652 / 1000</f>
        <v>0</v>
      </c>
      <c r="CK652" s="232">
        <f t="shared" si="646"/>
        <v>30</v>
      </c>
      <c r="CL652" s="230">
        <f t="shared" si="668"/>
        <v>43</v>
      </c>
      <c r="CM652" s="235">
        <f t="shared" si="669"/>
        <v>3.5018750000000001</v>
      </c>
      <c r="CN652" s="235" cm="1">
        <f t="array" ref="CN652">$BI652 * IF($AH652&lt;=2,
SUMPRODUCT(INDEX($AR$72:$AT$76,,$AI652), INDEX($AU$72:$BA$76,,$AH652), 1 / ($BB$72:$BB$76*CM652 + (1-$BB$72:$BB$76)*CI652), N($AQ$72:$AQ$76&gt;$AO652)),
SUMPRODUCT(INDEX($AR$67:$AT$76,,$AI652), INDEX($AU$67:$BA$76,,$AH652), 1 / ($BC$67:$BC$76*CM652 + (1-$BC$67:$BC$76)*CI652), N($AQ$67:$AQ$76&gt;$AO652))
) / 1000</f>
        <v>0</v>
      </c>
      <c r="CO652" s="232">
        <f t="shared" si="647"/>
        <v>25</v>
      </c>
      <c r="CP652" s="230">
        <f t="shared" si="670"/>
        <v>38</v>
      </c>
      <c r="CQ652" s="235">
        <f t="shared" si="671"/>
        <v>4.0666935483870965</v>
      </c>
      <c r="CR652" s="235" cm="1">
        <f t="array" ref="CR652">$BI652 * IF($AH652&lt;=2,
SUMPRODUCT(INDEX($AR$67:$AT$71,,$AI652), INDEX($AU$67:$BA$71,,$AH652), 1 / ($BB$67:$BB$71*CQ652 + (1-$BB$67:$BB$71)*CM652), N($AQ$67:$AQ$71&gt;$AO652)),
SUMPRODUCT(INDEX($AR$57:$AT$66,,$AI652), INDEX($AU$57:$BA$66,,$AH652), 1 / ($BC$57:$BC$66*CQ652 + (1-$BC$57:$BC$66)*CM652), N($AQ$57:$AQ$66&gt;$AO652))
) / 1000</f>
        <v>0</v>
      </c>
      <c r="CS652" s="232">
        <f t="shared" si="648"/>
        <v>20</v>
      </c>
      <c r="CT652" s="230">
        <f t="shared" si="672"/>
        <v>33</v>
      </c>
      <c r="CU652" s="235">
        <f t="shared" si="673"/>
        <v>4.8487499999999999</v>
      </c>
      <c r="CV652" s="235" cm="1">
        <f t="array" ref="CV652">$BI652 * IF($AH652&lt;=2,
SUMPRODUCT(INDEX($AR$62:$AT$66,,$AI652), INDEX($AU$62:$BA$66,,$AH652), 1 / ($BB$62:$BB$66*CU652 + (1-$BB$62:$BB$66)*CQ652), N($AQ$62:$AQ$66&gt;$AO652)),
SUMPRODUCT(INDEX($AR$47:$AT$56,,$AI652), INDEX($AU$47:$BA$56,,$AH652), 1 / ($BC$47:$BC$56*CU652 + (1-$BC$47:$BC$56)*CQ652), N($AQ$47:$AQ$56&gt;$AO652))
) / 1000</f>
        <v>0</v>
      </c>
      <c r="CW652" s="235" cm="1">
        <f t="array" ref="CW652">$BI652 * IF($AH652&lt;=2,
SUMPRODUCT(INDEX($AR$23:$AT$61,,$AI652), INDEX($AU$23:$BA$61,,$AH652), 1 / ($BB$23:$BB$61*CU652), N($AQ$23:$AQ$61&gt;$AO652)),
SUMPRODUCT(INDEX($AR$23:$AT$46,,$AI652), INDEX($AU$23:$BA$46,,$AH652), 1 / ($BC$23:$BC$46*CU652), N($AQ$23:$AQ$46&gt;$AO652))
) / 1000</f>
        <v>0</v>
      </c>
      <c r="CX652" s="230">
        <f t="shared" si="674"/>
        <v>0</v>
      </c>
      <c r="CY652" s="238"/>
    </row>
    <row r="653" spans="1:103" s="76" customFormat="1" ht="14.25" customHeight="1" x14ac:dyDescent="0.2">
      <c r="A653" s="231" t="b">
        <f t="shared" si="640"/>
        <v>0</v>
      </c>
      <c r="B653" s="245">
        <v>631</v>
      </c>
      <c r="C653" s="258"/>
      <c r="D653" s="258"/>
      <c r="E653" s="246"/>
      <c r="F653" s="247" t="str">
        <f>IF(ISBLANK(E653), "", VLOOKUP(E653, Z!$A$2:$C$4127, 3, FALSE))</f>
        <v/>
      </c>
      <c r="G653" s="248"/>
      <c r="H653" s="248"/>
      <c r="I653" s="249"/>
      <c r="J653" s="250"/>
      <c r="K653" s="259"/>
      <c r="L653" s="260"/>
      <c r="M653" s="252" t="str" cm="1">
        <f t="array" ref="M653">INDEX(Trad, 53, $A$20)</f>
        <v>Verschmutzt</v>
      </c>
      <c r="N653" s="253"/>
      <c r="O653" s="253"/>
      <c r="P653" s="254"/>
      <c r="Q653" s="251"/>
      <c r="R653" s="251"/>
      <c r="S653" s="264">
        <f t="shared" si="649"/>
        <v>0</v>
      </c>
      <c r="T653" s="252" t="str" cm="1">
        <f t="array" ref="T653">INDEX(Trad, 52, $A$20)</f>
        <v>Sauber</v>
      </c>
      <c r="U653" s="253"/>
      <c r="V653" s="253"/>
      <c r="W653" s="254"/>
      <c r="X653" s="251"/>
      <c r="Y653" s="251"/>
      <c r="Z653" s="264">
        <f t="shared" si="650"/>
        <v>0</v>
      </c>
      <c r="AA653" s="261"/>
      <c r="AB653" s="258"/>
      <c r="AC653" s="246"/>
      <c r="AD653" s="247" t="str">
        <f>IF(ISBLANK(AC653), "", VLOOKUP(AC653, Z!$A$2:$C$4127, 3, FALSE))</f>
        <v/>
      </c>
      <c r="AE653" s="262"/>
      <c r="AF653" s="263">
        <f t="shared" si="651"/>
        <v>0</v>
      </c>
      <c r="AG653" s="238"/>
      <c r="AH653" s="229">
        <f t="shared" si="675"/>
        <v>1</v>
      </c>
      <c r="AI653" s="229">
        <f t="shared" si="676"/>
        <v>1</v>
      </c>
      <c r="AJ653" s="229">
        <f t="shared" si="677"/>
        <v>0</v>
      </c>
      <c r="AK653" s="229">
        <v>0</v>
      </c>
      <c r="AL653" s="229">
        <v>0</v>
      </c>
      <c r="AM653" s="229">
        <v>1</v>
      </c>
      <c r="AN653" s="229">
        <v>0</v>
      </c>
      <c r="AO653" s="229">
        <f t="shared" si="652"/>
        <v>-100</v>
      </c>
      <c r="AP653" s="238"/>
      <c r="AQ653" s="255"/>
      <c r="AR653" s="255"/>
      <c r="AS653" s="256"/>
      <c r="AT653" s="256"/>
      <c r="AU653" s="256"/>
      <c r="AV653" s="256"/>
      <c r="AW653" s="256"/>
      <c r="AX653" s="256"/>
      <c r="AY653" s="256"/>
      <c r="AZ653" s="256"/>
      <c r="BA653" s="256"/>
      <c r="BB653" s="256"/>
      <c r="BC653" s="256"/>
      <c r="BD653" s="238"/>
      <c r="BE653" s="229" cm="1">
        <f t="array" ref="BE653">IF(ISBLANK(R653), INDEX(Use, $AH653, 4) - AM653*INDEX(Use, $AH653, 6), R653)</f>
        <v>5</v>
      </c>
      <c r="BF653" s="229">
        <f t="shared" si="653"/>
        <v>30</v>
      </c>
      <c r="BG653" s="229">
        <f t="shared" si="641"/>
        <v>13</v>
      </c>
      <c r="BH653" s="229">
        <f t="shared" si="642"/>
        <v>0</v>
      </c>
      <c r="BI653" s="234" cm="1">
        <f t="array" ref="BI653">K653/IF($L653&gt;0, INDEX($AU$23:$BA$77, $L653+20, $AH653), 1)</f>
        <v>0</v>
      </c>
      <c r="BJ653" s="230">
        <f t="shared" si="654"/>
        <v>0</v>
      </c>
      <c r="BK653" s="229">
        <v>35</v>
      </c>
      <c r="BL653" s="230">
        <f t="shared" si="655"/>
        <v>48</v>
      </c>
      <c r="BM653" s="235">
        <f t="shared" si="656"/>
        <v>2.9108720930232557</v>
      </c>
      <c r="BN653" s="235" cm="1">
        <f t="array" ref="BN653">$BI653 * SUMPRODUCT(INDEX($AR$77:$AT$82,,$AI653),INDEX($AU$77:$BA$82,,$AH653), N($AQ$77:$AQ$82&gt;$AO653)) / BM653 / 1000</f>
        <v>0</v>
      </c>
      <c r="BO653" s="232">
        <f t="shared" si="643"/>
        <v>30</v>
      </c>
      <c r="BP653" s="230">
        <f t="shared" si="657"/>
        <v>43</v>
      </c>
      <c r="BQ653" s="235">
        <f t="shared" si="658"/>
        <v>3.2938815789473681</v>
      </c>
      <c r="BR653" s="235" cm="1">
        <f t="array" ref="BR653">$BI653 * IF($AH653&lt;=2,
SUMPRODUCT(INDEX($AR$72:$AT$76,,$AI653), INDEX($AU$72:$BA$76,,$AH653), 1 / ($BB$72:$BB$76*BQ653 + (1-$BB$72:$BB$76)*BM653), N($AQ$72:$AQ$76&gt;$AO653)),
SUMPRODUCT(INDEX($AR$67:$AT$76,,$AI653), INDEX($AU$67:$BA$76,,$AH653), 1 / ($BC$67:$BC$76*BQ653 + (1-$BC$67:$BC$76)*BM653), N($AQ$67:$AQ$76&gt;$AO653))
) / 1000</f>
        <v>0</v>
      </c>
      <c r="BS653" s="232">
        <f t="shared" si="644"/>
        <v>25</v>
      </c>
      <c r="BT653" s="230">
        <f t="shared" si="659"/>
        <v>38</v>
      </c>
      <c r="BU653" s="235">
        <f t="shared" si="660"/>
        <v>3.792954545454545</v>
      </c>
      <c r="BV653" s="235" cm="1">
        <f t="array" ref="BV653">$BI653 * IF($AH653&lt;=2,
SUMPRODUCT(INDEX($AR$67:$AT$71,,$AI653), INDEX($AU$67:$BA$71,,$AH653), 1 / ($BB$67:$BB$71*BU653 + (1-$BB$67:$BB$71)*BQ653), N($AQ$67:$AQ$71&gt;$AO653)),
SUMPRODUCT(INDEX($AR$57:$AT$66,,$AI653), INDEX($AU$57:$BA$66,,$AH653), 1 / ($BC$57:$BC$66*BU653 + (1-$BC$57:$BC$66)*BQ653), N($AQ$57:$AQ$66&gt;$AO653))
) / 1000</f>
        <v>0</v>
      </c>
      <c r="BW653" s="232">
        <f t="shared" si="645"/>
        <v>20</v>
      </c>
      <c r="BX653" s="230">
        <f t="shared" si="661"/>
        <v>33</v>
      </c>
      <c r="BY653" s="235">
        <f t="shared" si="662"/>
        <v>4.4702678571428569</v>
      </c>
      <c r="BZ653" s="235" cm="1">
        <f t="array" ref="BZ653">$BI653 * IF($AH653&lt;=2,
SUMPRODUCT(INDEX($AR$62:$AT$66,,$AI653), INDEX($AU$62:$BA$66,,$AH653), 1 / ($BB$62:$BB$66*BY653 + (1-$BB$62:$BB$66)*BU653), N($AQ$62:$AQ$66&gt;$AO653)),
SUMPRODUCT(INDEX($AR$47:$AT$56,,$AI653), INDEX($AU$47:$BA$56,,$AH653), 1 / ($BC$47:$BC$56*BY653 + (1-$BC$47:$BC$56)*BU653), N($AQ$47:$AQ$56&gt;$AO653))
) / 1000</f>
        <v>0</v>
      </c>
      <c r="CA653" s="235" cm="1">
        <f t="array" ref="CA653">$BI653 * IF($AH653&lt;=2,
SUMPRODUCT(INDEX($AR$23:$AT$61,,$AI653), INDEX($AU$23:$BA$61,,$AH653), 1 / ($BB$23:$BB$61*BY653), N($AQ$23:$AQ$61&gt;$AO653)),
SUMPRODUCT(INDEX($AR$23:$AT$46,,$AI653), INDEX($AU$23:$BA$46,,$AH653), 1 / ($BC$23:$BC$46*BY653), N($AQ$23:$AQ$46&gt;$AO653))
) / 1000</f>
        <v>0</v>
      </c>
      <c r="CB653" s="230">
        <f t="shared" si="663"/>
        <v>0</v>
      </c>
      <c r="CC653" s="238"/>
      <c r="CD653" s="229" cm="1">
        <f t="array" ref="CD653">IF(ISBLANK(Y653), INDEX(Use, $AH653, 4) - AN653*INDEX(Use, $AH653, 6) - (Q653-X653), Y653)</f>
        <v>7</v>
      </c>
      <c r="CE653" s="229">
        <f t="shared" si="664"/>
        <v>32</v>
      </c>
      <c r="CF653" s="230">
        <f t="shared" si="665"/>
        <v>0</v>
      </c>
      <c r="CG653" s="229">
        <v>35</v>
      </c>
      <c r="CH653" s="230">
        <f t="shared" si="666"/>
        <v>48</v>
      </c>
      <c r="CI653" s="235">
        <f t="shared" si="667"/>
        <v>3.0748170731707316</v>
      </c>
      <c r="CJ653" s="235" cm="1">
        <f t="array" ref="CJ653">$BI653 * SUMPRODUCT(INDEX($AR$77:$AT$82,,$AI653),INDEX($AU$77:$BA$82,,$AH653), N($AQ$77:$AQ$82&gt;$AO653)) / CI653 / 1000</f>
        <v>0</v>
      </c>
      <c r="CK653" s="232">
        <f t="shared" si="646"/>
        <v>30</v>
      </c>
      <c r="CL653" s="230">
        <f t="shared" si="668"/>
        <v>43</v>
      </c>
      <c r="CM653" s="235">
        <f t="shared" si="669"/>
        <v>3.5018750000000001</v>
      </c>
      <c r="CN653" s="235" cm="1">
        <f t="array" ref="CN653">$BI653 * IF($AH653&lt;=2,
SUMPRODUCT(INDEX($AR$72:$AT$76,,$AI653), INDEX($AU$72:$BA$76,,$AH653), 1 / ($BB$72:$BB$76*CM653 + (1-$BB$72:$BB$76)*CI653), N($AQ$72:$AQ$76&gt;$AO653)),
SUMPRODUCT(INDEX($AR$67:$AT$76,,$AI653), INDEX($AU$67:$BA$76,,$AH653), 1 / ($BC$67:$BC$76*CM653 + (1-$BC$67:$BC$76)*CI653), N($AQ$67:$AQ$76&gt;$AO653))
) / 1000</f>
        <v>0</v>
      </c>
      <c r="CO653" s="232">
        <f t="shared" si="647"/>
        <v>25</v>
      </c>
      <c r="CP653" s="230">
        <f t="shared" si="670"/>
        <v>38</v>
      </c>
      <c r="CQ653" s="235">
        <f t="shared" si="671"/>
        <v>4.0666935483870965</v>
      </c>
      <c r="CR653" s="235" cm="1">
        <f t="array" ref="CR653">$BI653 * IF($AH653&lt;=2,
SUMPRODUCT(INDEX($AR$67:$AT$71,,$AI653), INDEX($AU$67:$BA$71,,$AH653), 1 / ($BB$67:$BB$71*CQ653 + (1-$BB$67:$BB$71)*CM653), N($AQ$67:$AQ$71&gt;$AO653)),
SUMPRODUCT(INDEX($AR$57:$AT$66,,$AI653), INDEX($AU$57:$BA$66,,$AH653), 1 / ($BC$57:$BC$66*CQ653 + (1-$BC$57:$BC$66)*CM653), N($AQ$57:$AQ$66&gt;$AO653))
) / 1000</f>
        <v>0</v>
      </c>
      <c r="CS653" s="232">
        <f t="shared" si="648"/>
        <v>20</v>
      </c>
      <c r="CT653" s="230">
        <f t="shared" si="672"/>
        <v>33</v>
      </c>
      <c r="CU653" s="235">
        <f t="shared" si="673"/>
        <v>4.8487499999999999</v>
      </c>
      <c r="CV653" s="235" cm="1">
        <f t="array" ref="CV653">$BI653 * IF($AH653&lt;=2,
SUMPRODUCT(INDEX($AR$62:$AT$66,,$AI653), INDEX($AU$62:$BA$66,,$AH653), 1 / ($BB$62:$BB$66*CU653 + (1-$BB$62:$BB$66)*CQ653), N($AQ$62:$AQ$66&gt;$AO653)),
SUMPRODUCT(INDEX($AR$47:$AT$56,,$AI653), INDEX($AU$47:$BA$56,,$AH653), 1 / ($BC$47:$BC$56*CU653 + (1-$BC$47:$BC$56)*CQ653), N($AQ$47:$AQ$56&gt;$AO653))
) / 1000</f>
        <v>0</v>
      </c>
      <c r="CW653" s="235" cm="1">
        <f t="array" ref="CW653">$BI653 * IF($AH653&lt;=2,
SUMPRODUCT(INDEX($AR$23:$AT$61,,$AI653), INDEX($AU$23:$BA$61,,$AH653), 1 / ($BB$23:$BB$61*CU653), N($AQ$23:$AQ$61&gt;$AO653)),
SUMPRODUCT(INDEX($AR$23:$AT$46,,$AI653), INDEX($AU$23:$BA$46,,$AH653), 1 / ($BC$23:$BC$46*CU653), N($AQ$23:$AQ$46&gt;$AO653))
) / 1000</f>
        <v>0</v>
      </c>
      <c r="CX653" s="230">
        <f t="shared" si="674"/>
        <v>0</v>
      </c>
      <c r="CY653" s="238"/>
    </row>
    <row r="654" spans="1:103" s="76" customFormat="1" ht="14.25" customHeight="1" x14ac:dyDescent="0.2">
      <c r="A654" s="231" t="b">
        <f t="shared" si="640"/>
        <v>0</v>
      </c>
      <c r="B654" s="245">
        <v>632</v>
      </c>
      <c r="C654" s="258"/>
      <c r="D654" s="258"/>
      <c r="E654" s="246"/>
      <c r="F654" s="247" t="str">
        <f>IF(ISBLANK(E654), "", VLOOKUP(E654, Z!$A$2:$C$4127, 3, FALSE))</f>
        <v/>
      </c>
      <c r="G654" s="248"/>
      <c r="H654" s="248"/>
      <c r="I654" s="249"/>
      <c r="J654" s="250"/>
      <c r="K654" s="259"/>
      <c r="L654" s="260"/>
      <c r="M654" s="252" t="str" cm="1">
        <f t="array" ref="M654">INDEX(Trad, 53, $A$20)</f>
        <v>Verschmutzt</v>
      </c>
      <c r="N654" s="253"/>
      <c r="O654" s="253"/>
      <c r="P654" s="254"/>
      <c r="Q654" s="251"/>
      <c r="R654" s="251"/>
      <c r="S654" s="264">
        <f t="shared" si="649"/>
        <v>0</v>
      </c>
      <c r="T654" s="252" t="str" cm="1">
        <f t="array" ref="T654">INDEX(Trad, 52, $A$20)</f>
        <v>Sauber</v>
      </c>
      <c r="U654" s="253"/>
      <c r="V654" s="253"/>
      <c r="W654" s="254"/>
      <c r="X654" s="251"/>
      <c r="Y654" s="251"/>
      <c r="Z654" s="264">
        <f t="shared" si="650"/>
        <v>0</v>
      </c>
      <c r="AA654" s="261"/>
      <c r="AB654" s="258"/>
      <c r="AC654" s="246"/>
      <c r="AD654" s="247" t="str">
        <f>IF(ISBLANK(AC654), "", VLOOKUP(AC654, Z!$A$2:$C$4127, 3, FALSE))</f>
        <v/>
      </c>
      <c r="AE654" s="262"/>
      <c r="AF654" s="263">
        <f t="shared" si="651"/>
        <v>0</v>
      </c>
      <c r="AG654" s="238"/>
      <c r="AH654" s="229">
        <f t="shared" si="675"/>
        <v>1</v>
      </c>
      <c r="AI654" s="229">
        <f t="shared" si="676"/>
        <v>1</v>
      </c>
      <c r="AJ654" s="229">
        <f t="shared" si="677"/>
        <v>0</v>
      </c>
      <c r="AK654" s="229">
        <v>0</v>
      </c>
      <c r="AL654" s="229">
        <v>0</v>
      </c>
      <c r="AM654" s="229">
        <v>1</v>
      </c>
      <c r="AN654" s="229">
        <v>0</v>
      </c>
      <c r="AO654" s="229">
        <f t="shared" si="652"/>
        <v>-100</v>
      </c>
      <c r="AP654" s="238"/>
      <c r="AQ654" s="255"/>
      <c r="AR654" s="255"/>
      <c r="AS654" s="256"/>
      <c r="AT654" s="256"/>
      <c r="AU654" s="256"/>
      <c r="AV654" s="256"/>
      <c r="AW654" s="256"/>
      <c r="AX654" s="256"/>
      <c r="AY654" s="256"/>
      <c r="AZ654" s="256"/>
      <c r="BA654" s="256"/>
      <c r="BB654" s="256"/>
      <c r="BC654" s="256"/>
      <c r="BD654" s="238"/>
      <c r="BE654" s="229" cm="1">
        <f t="array" ref="BE654">IF(ISBLANK(R654), INDEX(Use, $AH654, 4) - AM654*INDEX(Use, $AH654, 6), R654)</f>
        <v>5</v>
      </c>
      <c r="BF654" s="229">
        <f t="shared" si="653"/>
        <v>30</v>
      </c>
      <c r="BG654" s="229">
        <f t="shared" si="641"/>
        <v>13</v>
      </c>
      <c r="BH654" s="229">
        <f t="shared" si="642"/>
        <v>0</v>
      </c>
      <c r="BI654" s="234" cm="1">
        <f t="array" ref="BI654">K654/IF($L654&gt;0, INDEX($AU$23:$BA$77, $L654+20, $AH654), 1)</f>
        <v>0</v>
      </c>
      <c r="BJ654" s="230">
        <f t="shared" si="654"/>
        <v>0</v>
      </c>
      <c r="BK654" s="229">
        <v>35</v>
      </c>
      <c r="BL654" s="230">
        <f t="shared" si="655"/>
        <v>48</v>
      </c>
      <c r="BM654" s="235">
        <f t="shared" si="656"/>
        <v>2.9108720930232557</v>
      </c>
      <c r="BN654" s="235" cm="1">
        <f t="array" ref="BN654">$BI654 * SUMPRODUCT(INDEX($AR$77:$AT$82,,$AI654),INDEX($AU$77:$BA$82,,$AH654), N($AQ$77:$AQ$82&gt;$AO654)) / BM654 / 1000</f>
        <v>0</v>
      </c>
      <c r="BO654" s="232">
        <f t="shared" si="643"/>
        <v>30</v>
      </c>
      <c r="BP654" s="230">
        <f t="shared" si="657"/>
        <v>43</v>
      </c>
      <c r="BQ654" s="235">
        <f t="shared" si="658"/>
        <v>3.2938815789473681</v>
      </c>
      <c r="BR654" s="235" cm="1">
        <f t="array" ref="BR654">$BI654 * IF($AH654&lt;=2,
SUMPRODUCT(INDEX($AR$72:$AT$76,,$AI654), INDEX($AU$72:$BA$76,,$AH654), 1 / ($BB$72:$BB$76*BQ654 + (1-$BB$72:$BB$76)*BM654), N($AQ$72:$AQ$76&gt;$AO654)),
SUMPRODUCT(INDEX($AR$67:$AT$76,,$AI654), INDEX($AU$67:$BA$76,,$AH654), 1 / ($BC$67:$BC$76*BQ654 + (1-$BC$67:$BC$76)*BM654), N($AQ$67:$AQ$76&gt;$AO654))
) / 1000</f>
        <v>0</v>
      </c>
      <c r="BS654" s="232">
        <f t="shared" si="644"/>
        <v>25</v>
      </c>
      <c r="BT654" s="230">
        <f t="shared" si="659"/>
        <v>38</v>
      </c>
      <c r="BU654" s="235">
        <f t="shared" si="660"/>
        <v>3.792954545454545</v>
      </c>
      <c r="BV654" s="235" cm="1">
        <f t="array" ref="BV654">$BI654 * IF($AH654&lt;=2,
SUMPRODUCT(INDEX($AR$67:$AT$71,,$AI654), INDEX($AU$67:$BA$71,,$AH654), 1 / ($BB$67:$BB$71*BU654 + (1-$BB$67:$BB$71)*BQ654), N($AQ$67:$AQ$71&gt;$AO654)),
SUMPRODUCT(INDEX($AR$57:$AT$66,,$AI654), INDEX($AU$57:$BA$66,,$AH654), 1 / ($BC$57:$BC$66*BU654 + (1-$BC$57:$BC$66)*BQ654), N($AQ$57:$AQ$66&gt;$AO654))
) / 1000</f>
        <v>0</v>
      </c>
      <c r="BW654" s="232">
        <f t="shared" si="645"/>
        <v>20</v>
      </c>
      <c r="BX654" s="230">
        <f t="shared" si="661"/>
        <v>33</v>
      </c>
      <c r="BY654" s="235">
        <f t="shared" si="662"/>
        <v>4.4702678571428569</v>
      </c>
      <c r="BZ654" s="235" cm="1">
        <f t="array" ref="BZ654">$BI654 * IF($AH654&lt;=2,
SUMPRODUCT(INDEX($AR$62:$AT$66,,$AI654), INDEX($AU$62:$BA$66,,$AH654), 1 / ($BB$62:$BB$66*BY654 + (1-$BB$62:$BB$66)*BU654), N($AQ$62:$AQ$66&gt;$AO654)),
SUMPRODUCT(INDEX($AR$47:$AT$56,,$AI654), INDEX($AU$47:$BA$56,,$AH654), 1 / ($BC$47:$BC$56*BY654 + (1-$BC$47:$BC$56)*BU654), N($AQ$47:$AQ$56&gt;$AO654))
) / 1000</f>
        <v>0</v>
      </c>
      <c r="CA654" s="235" cm="1">
        <f t="array" ref="CA654">$BI654 * IF($AH654&lt;=2,
SUMPRODUCT(INDEX($AR$23:$AT$61,,$AI654), INDEX($AU$23:$BA$61,,$AH654), 1 / ($BB$23:$BB$61*BY654), N($AQ$23:$AQ$61&gt;$AO654)),
SUMPRODUCT(INDEX($AR$23:$AT$46,,$AI654), INDEX($AU$23:$BA$46,,$AH654), 1 / ($BC$23:$BC$46*BY654), N($AQ$23:$AQ$46&gt;$AO654))
) / 1000</f>
        <v>0</v>
      </c>
      <c r="CB654" s="230">
        <f t="shared" si="663"/>
        <v>0</v>
      </c>
      <c r="CC654" s="238"/>
      <c r="CD654" s="229" cm="1">
        <f t="array" ref="CD654">IF(ISBLANK(Y654), INDEX(Use, $AH654, 4) - AN654*INDEX(Use, $AH654, 6) - (Q654-X654), Y654)</f>
        <v>7</v>
      </c>
      <c r="CE654" s="229">
        <f t="shared" si="664"/>
        <v>32</v>
      </c>
      <c r="CF654" s="230">
        <f t="shared" si="665"/>
        <v>0</v>
      </c>
      <c r="CG654" s="229">
        <v>35</v>
      </c>
      <c r="CH654" s="230">
        <f t="shared" si="666"/>
        <v>48</v>
      </c>
      <c r="CI654" s="235">
        <f t="shared" si="667"/>
        <v>3.0748170731707316</v>
      </c>
      <c r="CJ654" s="235" cm="1">
        <f t="array" ref="CJ654">$BI654 * SUMPRODUCT(INDEX($AR$77:$AT$82,,$AI654),INDEX($AU$77:$BA$82,,$AH654), N($AQ$77:$AQ$82&gt;$AO654)) / CI654 / 1000</f>
        <v>0</v>
      </c>
      <c r="CK654" s="232">
        <f t="shared" si="646"/>
        <v>30</v>
      </c>
      <c r="CL654" s="230">
        <f t="shared" si="668"/>
        <v>43</v>
      </c>
      <c r="CM654" s="235">
        <f t="shared" si="669"/>
        <v>3.5018750000000001</v>
      </c>
      <c r="CN654" s="235" cm="1">
        <f t="array" ref="CN654">$BI654 * IF($AH654&lt;=2,
SUMPRODUCT(INDEX($AR$72:$AT$76,,$AI654), INDEX($AU$72:$BA$76,,$AH654), 1 / ($BB$72:$BB$76*CM654 + (1-$BB$72:$BB$76)*CI654), N($AQ$72:$AQ$76&gt;$AO654)),
SUMPRODUCT(INDEX($AR$67:$AT$76,,$AI654), INDEX($AU$67:$BA$76,,$AH654), 1 / ($BC$67:$BC$76*CM654 + (1-$BC$67:$BC$76)*CI654), N($AQ$67:$AQ$76&gt;$AO654))
) / 1000</f>
        <v>0</v>
      </c>
      <c r="CO654" s="232">
        <f t="shared" si="647"/>
        <v>25</v>
      </c>
      <c r="CP654" s="230">
        <f t="shared" si="670"/>
        <v>38</v>
      </c>
      <c r="CQ654" s="235">
        <f t="shared" si="671"/>
        <v>4.0666935483870965</v>
      </c>
      <c r="CR654" s="235" cm="1">
        <f t="array" ref="CR654">$BI654 * IF($AH654&lt;=2,
SUMPRODUCT(INDEX($AR$67:$AT$71,,$AI654), INDEX($AU$67:$BA$71,,$AH654), 1 / ($BB$67:$BB$71*CQ654 + (1-$BB$67:$BB$71)*CM654), N($AQ$67:$AQ$71&gt;$AO654)),
SUMPRODUCT(INDEX($AR$57:$AT$66,,$AI654), INDEX($AU$57:$BA$66,,$AH654), 1 / ($BC$57:$BC$66*CQ654 + (1-$BC$57:$BC$66)*CM654), N($AQ$57:$AQ$66&gt;$AO654))
) / 1000</f>
        <v>0</v>
      </c>
      <c r="CS654" s="232">
        <f t="shared" si="648"/>
        <v>20</v>
      </c>
      <c r="CT654" s="230">
        <f t="shared" si="672"/>
        <v>33</v>
      </c>
      <c r="CU654" s="235">
        <f t="shared" si="673"/>
        <v>4.8487499999999999</v>
      </c>
      <c r="CV654" s="235" cm="1">
        <f t="array" ref="CV654">$BI654 * IF($AH654&lt;=2,
SUMPRODUCT(INDEX($AR$62:$AT$66,,$AI654), INDEX($AU$62:$BA$66,,$AH654), 1 / ($BB$62:$BB$66*CU654 + (1-$BB$62:$BB$66)*CQ654), N($AQ$62:$AQ$66&gt;$AO654)),
SUMPRODUCT(INDEX($AR$47:$AT$56,,$AI654), INDEX($AU$47:$BA$56,,$AH654), 1 / ($BC$47:$BC$56*CU654 + (1-$BC$47:$BC$56)*CQ654), N($AQ$47:$AQ$56&gt;$AO654))
) / 1000</f>
        <v>0</v>
      </c>
      <c r="CW654" s="235" cm="1">
        <f t="array" ref="CW654">$BI654 * IF($AH654&lt;=2,
SUMPRODUCT(INDEX($AR$23:$AT$61,,$AI654), INDEX($AU$23:$BA$61,,$AH654), 1 / ($BB$23:$BB$61*CU654), N($AQ$23:$AQ$61&gt;$AO654)),
SUMPRODUCT(INDEX($AR$23:$AT$46,,$AI654), INDEX($AU$23:$BA$46,,$AH654), 1 / ($BC$23:$BC$46*CU654), N($AQ$23:$AQ$46&gt;$AO654))
) / 1000</f>
        <v>0</v>
      </c>
      <c r="CX654" s="230">
        <f t="shared" si="674"/>
        <v>0</v>
      </c>
      <c r="CY654" s="238"/>
    </row>
    <row r="655" spans="1:103" s="76" customFormat="1" ht="14.25" customHeight="1" x14ac:dyDescent="0.2">
      <c r="A655" s="231" t="b">
        <f t="shared" si="640"/>
        <v>0</v>
      </c>
      <c r="B655" s="245">
        <v>633</v>
      </c>
      <c r="C655" s="258"/>
      <c r="D655" s="258"/>
      <c r="E655" s="246"/>
      <c r="F655" s="247" t="str">
        <f>IF(ISBLANK(E655), "", VLOOKUP(E655, Z!$A$2:$C$4127, 3, FALSE))</f>
        <v/>
      </c>
      <c r="G655" s="248"/>
      <c r="H655" s="248"/>
      <c r="I655" s="249"/>
      <c r="J655" s="250"/>
      <c r="K655" s="259"/>
      <c r="L655" s="260"/>
      <c r="M655" s="252" t="str" cm="1">
        <f t="array" ref="M655">INDEX(Trad, 53, $A$20)</f>
        <v>Verschmutzt</v>
      </c>
      <c r="N655" s="253"/>
      <c r="O655" s="253"/>
      <c r="P655" s="254"/>
      <c r="Q655" s="251"/>
      <c r="R655" s="251"/>
      <c r="S655" s="264">
        <f t="shared" si="649"/>
        <v>0</v>
      </c>
      <c r="T655" s="252" t="str" cm="1">
        <f t="array" ref="T655">INDEX(Trad, 52, $A$20)</f>
        <v>Sauber</v>
      </c>
      <c r="U655" s="253"/>
      <c r="V655" s="253"/>
      <c r="W655" s="254"/>
      <c r="X655" s="251"/>
      <c r="Y655" s="251"/>
      <c r="Z655" s="264">
        <f t="shared" si="650"/>
        <v>0</v>
      </c>
      <c r="AA655" s="261"/>
      <c r="AB655" s="258"/>
      <c r="AC655" s="246"/>
      <c r="AD655" s="247" t="str">
        <f>IF(ISBLANK(AC655), "", VLOOKUP(AC655, Z!$A$2:$C$4127, 3, FALSE))</f>
        <v/>
      </c>
      <c r="AE655" s="262"/>
      <c r="AF655" s="263">
        <f t="shared" si="651"/>
        <v>0</v>
      </c>
      <c r="AG655" s="238"/>
      <c r="AH655" s="229">
        <f t="shared" si="675"/>
        <v>1</v>
      </c>
      <c r="AI655" s="229">
        <f t="shared" si="676"/>
        <v>1</v>
      </c>
      <c r="AJ655" s="229">
        <f t="shared" si="677"/>
        <v>0</v>
      </c>
      <c r="AK655" s="229">
        <v>0</v>
      </c>
      <c r="AL655" s="229">
        <v>0</v>
      </c>
      <c r="AM655" s="229">
        <v>1</v>
      </c>
      <c r="AN655" s="229">
        <v>0</v>
      </c>
      <c r="AO655" s="229">
        <f t="shared" si="652"/>
        <v>-100</v>
      </c>
      <c r="AP655" s="238"/>
      <c r="AQ655" s="255"/>
      <c r="AR655" s="255"/>
      <c r="AS655" s="256"/>
      <c r="AT655" s="256"/>
      <c r="AU655" s="256"/>
      <c r="AV655" s="256"/>
      <c r="AW655" s="256"/>
      <c r="AX655" s="256"/>
      <c r="AY655" s="256"/>
      <c r="AZ655" s="256"/>
      <c r="BA655" s="256"/>
      <c r="BB655" s="256"/>
      <c r="BC655" s="256"/>
      <c r="BD655" s="238"/>
      <c r="BE655" s="229" cm="1">
        <f t="array" ref="BE655">IF(ISBLANK(R655), INDEX(Use, $AH655, 4) - AM655*INDEX(Use, $AH655, 6), R655)</f>
        <v>5</v>
      </c>
      <c r="BF655" s="229">
        <f t="shared" si="653"/>
        <v>30</v>
      </c>
      <c r="BG655" s="229">
        <f t="shared" si="641"/>
        <v>13</v>
      </c>
      <c r="BH655" s="229">
        <f t="shared" si="642"/>
        <v>0</v>
      </c>
      <c r="BI655" s="234" cm="1">
        <f t="array" ref="BI655">K655/IF($L655&gt;0, INDEX($AU$23:$BA$77, $L655+20, $AH655), 1)</f>
        <v>0</v>
      </c>
      <c r="BJ655" s="230">
        <f t="shared" si="654"/>
        <v>0</v>
      </c>
      <c r="BK655" s="229">
        <v>35</v>
      </c>
      <c r="BL655" s="230">
        <f t="shared" si="655"/>
        <v>48</v>
      </c>
      <c r="BM655" s="235">
        <f t="shared" si="656"/>
        <v>2.9108720930232557</v>
      </c>
      <c r="BN655" s="235" cm="1">
        <f t="array" ref="BN655">$BI655 * SUMPRODUCT(INDEX($AR$77:$AT$82,,$AI655),INDEX($AU$77:$BA$82,,$AH655), N($AQ$77:$AQ$82&gt;$AO655)) / BM655 / 1000</f>
        <v>0</v>
      </c>
      <c r="BO655" s="232">
        <f t="shared" si="643"/>
        <v>30</v>
      </c>
      <c r="BP655" s="230">
        <f t="shared" si="657"/>
        <v>43</v>
      </c>
      <c r="BQ655" s="235">
        <f t="shared" si="658"/>
        <v>3.2938815789473681</v>
      </c>
      <c r="BR655" s="235" cm="1">
        <f t="array" ref="BR655">$BI655 * IF($AH655&lt;=2,
SUMPRODUCT(INDEX($AR$72:$AT$76,,$AI655), INDEX($AU$72:$BA$76,,$AH655), 1 / ($BB$72:$BB$76*BQ655 + (1-$BB$72:$BB$76)*BM655), N($AQ$72:$AQ$76&gt;$AO655)),
SUMPRODUCT(INDEX($AR$67:$AT$76,,$AI655), INDEX($AU$67:$BA$76,,$AH655), 1 / ($BC$67:$BC$76*BQ655 + (1-$BC$67:$BC$76)*BM655), N($AQ$67:$AQ$76&gt;$AO655))
) / 1000</f>
        <v>0</v>
      </c>
      <c r="BS655" s="232">
        <f t="shared" si="644"/>
        <v>25</v>
      </c>
      <c r="BT655" s="230">
        <f t="shared" si="659"/>
        <v>38</v>
      </c>
      <c r="BU655" s="235">
        <f t="shared" si="660"/>
        <v>3.792954545454545</v>
      </c>
      <c r="BV655" s="235" cm="1">
        <f t="array" ref="BV655">$BI655 * IF($AH655&lt;=2,
SUMPRODUCT(INDEX($AR$67:$AT$71,,$AI655), INDEX($AU$67:$BA$71,,$AH655), 1 / ($BB$67:$BB$71*BU655 + (1-$BB$67:$BB$71)*BQ655), N($AQ$67:$AQ$71&gt;$AO655)),
SUMPRODUCT(INDEX($AR$57:$AT$66,,$AI655), INDEX($AU$57:$BA$66,,$AH655), 1 / ($BC$57:$BC$66*BU655 + (1-$BC$57:$BC$66)*BQ655), N($AQ$57:$AQ$66&gt;$AO655))
) / 1000</f>
        <v>0</v>
      </c>
      <c r="BW655" s="232">
        <f t="shared" si="645"/>
        <v>20</v>
      </c>
      <c r="BX655" s="230">
        <f t="shared" si="661"/>
        <v>33</v>
      </c>
      <c r="BY655" s="235">
        <f t="shared" si="662"/>
        <v>4.4702678571428569</v>
      </c>
      <c r="BZ655" s="235" cm="1">
        <f t="array" ref="BZ655">$BI655 * IF($AH655&lt;=2,
SUMPRODUCT(INDEX($AR$62:$AT$66,,$AI655), INDEX($AU$62:$BA$66,,$AH655), 1 / ($BB$62:$BB$66*BY655 + (1-$BB$62:$BB$66)*BU655), N($AQ$62:$AQ$66&gt;$AO655)),
SUMPRODUCT(INDEX($AR$47:$AT$56,,$AI655), INDEX($AU$47:$BA$56,,$AH655), 1 / ($BC$47:$BC$56*BY655 + (1-$BC$47:$BC$56)*BU655), N($AQ$47:$AQ$56&gt;$AO655))
) / 1000</f>
        <v>0</v>
      </c>
      <c r="CA655" s="235" cm="1">
        <f t="array" ref="CA655">$BI655 * IF($AH655&lt;=2,
SUMPRODUCT(INDEX($AR$23:$AT$61,,$AI655), INDEX($AU$23:$BA$61,,$AH655), 1 / ($BB$23:$BB$61*BY655), N($AQ$23:$AQ$61&gt;$AO655)),
SUMPRODUCT(INDEX($AR$23:$AT$46,,$AI655), INDEX($AU$23:$BA$46,,$AH655), 1 / ($BC$23:$BC$46*BY655), N($AQ$23:$AQ$46&gt;$AO655))
) / 1000</f>
        <v>0</v>
      </c>
      <c r="CB655" s="230">
        <f t="shared" si="663"/>
        <v>0</v>
      </c>
      <c r="CC655" s="238"/>
      <c r="CD655" s="229" cm="1">
        <f t="array" ref="CD655">IF(ISBLANK(Y655), INDEX(Use, $AH655, 4) - AN655*INDEX(Use, $AH655, 6) - (Q655-X655), Y655)</f>
        <v>7</v>
      </c>
      <c r="CE655" s="229">
        <f t="shared" si="664"/>
        <v>32</v>
      </c>
      <c r="CF655" s="230">
        <f t="shared" si="665"/>
        <v>0</v>
      </c>
      <c r="CG655" s="229">
        <v>35</v>
      </c>
      <c r="CH655" s="230">
        <f t="shared" si="666"/>
        <v>48</v>
      </c>
      <c r="CI655" s="235">
        <f t="shared" si="667"/>
        <v>3.0748170731707316</v>
      </c>
      <c r="CJ655" s="235" cm="1">
        <f t="array" ref="CJ655">$BI655 * SUMPRODUCT(INDEX($AR$77:$AT$82,,$AI655),INDEX($AU$77:$BA$82,,$AH655), N($AQ$77:$AQ$82&gt;$AO655)) / CI655 / 1000</f>
        <v>0</v>
      </c>
      <c r="CK655" s="232">
        <f t="shared" si="646"/>
        <v>30</v>
      </c>
      <c r="CL655" s="230">
        <f t="shared" si="668"/>
        <v>43</v>
      </c>
      <c r="CM655" s="235">
        <f t="shared" si="669"/>
        <v>3.5018750000000001</v>
      </c>
      <c r="CN655" s="235" cm="1">
        <f t="array" ref="CN655">$BI655 * IF($AH655&lt;=2,
SUMPRODUCT(INDEX($AR$72:$AT$76,,$AI655), INDEX($AU$72:$BA$76,,$AH655), 1 / ($BB$72:$BB$76*CM655 + (1-$BB$72:$BB$76)*CI655), N($AQ$72:$AQ$76&gt;$AO655)),
SUMPRODUCT(INDEX($AR$67:$AT$76,,$AI655), INDEX($AU$67:$BA$76,,$AH655), 1 / ($BC$67:$BC$76*CM655 + (1-$BC$67:$BC$76)*CI655), N($AQ$67:$AQ$76&gt;$AO655))
) / 1000</f>
        <v>0</v>
      </c>
      <c r="CO655" s="232">
        <f t="shared" si="647"/>
        <v>25</v>
      </c>
      <c r="CP655" s="230">
        <f t="shared" si="670"/>
        <v>38</v>
      </c>
      <c r="CQ655" s="235">
        <f t="shared" si="671"/>
        <v>4.0666935483870965</v>
      </c>
      <c r="CR655" s="235" cm="1">
        <f t="array" ref="CR655">$BI655 * IF($AH655&lt;=2,
SUMPRODUCT(INDEX($AR$67:$AT$71,,$AI655), INDEX($AU$67:$BA$71,,$AH655), 1 / ($BB$67:$BB$71*CQ655 + (1-$BB$67:$BB$71)*CM655), N($AQ$67:$AQ$71&gt;$AO655)),
SUMPRODUCT(INDEX($AR$57:$AT$66,,$AI655), INDEX($AU$57:$BA$66,,$AH655), 1 / ($BC$57:$BC$66*CQ655 + (1-$BC$57:$BC$66)*CM655), N($AQ$57:$AQ$66&gt;$AO655))
) / 1000</f>
        <v>0</v>
      </c>
      <c r="CS655" s="232">
        <f t="shared" si="648"/>
        <v>20</v>
      </c>
      <c r="CT655" s="230">
        <f t="shared" si="672"/>
        <v>33</v>
      </c>
      <c r="CU655" s="235">
        <f t="shared" si="673"/>
        <v>4.8487499999999999</v>
      </c>
      <c r="CV655" s="235" cm="1">
        <f t="array" ref="CV655">$BI655 * IF($AH655&lt;=2,
SUMPRODUCT(INDEX($AR$62:$AT$66,,$AI655), INDEX($AU$62:$BA$66,,$AH655), 1 / ($BB$62:$BB$66*CU655 + (1-$BB$62:$BB$66)*CQ655), N($AQ$62:$AQ$66&gt;$AO655)),
SUMPRODUCT(INDEX($AR$47:$AT$56,,$AI655), INDEX($AU$47:$BA$56,,$AH655), 1 / ($BC$47:$BC$56*CU655 + (1-$BC$47:$BC$56)*CQ655), N($AQ$47:$AQ$56&gt;$AO655))
) / 1000</f>
        <v>0</v>
      </c>
      <c r="CW655" s="235" cm="1">
        <f t="array" ref="CW655">$BI655 * IF($AH655&lt;=2,
SUMPRODUCT(INDEX($AR$23:$AT$61,,$AI655), INDEX($AU$23:$BA$61,,$AH655), 1 / ($BB$23:$BB$61*CU655), N($AQ$23:$AQ$61&gt;$AO655)),
SUMPRODUCT(INDEX($AR$23:$AT$46,,$AI655), INDEX($AU$23:$BA$46,,$AH655), 1 / ($BC$23:$BC$46*CU655), N($AQ$23:$AQ$46&gt;$AO655))
) / 1000</f>
        <v>0</v>
      </c>
      <c r="CX655" s="230">
        <f t="shared" si="674"/>
        <v>0</v>
      </c>
      <c r="CY655" s="238"/>
    </row>
    <row r="656" spans="1:103" s="76" customFormat="1" ht="14.25" customHeight="1" x14ac:dyDescent="0.2">
      <c r="A656" s="231" t="b">
        <f t="shared" si="640"/>
        <v>0</v>
      </c>
      <c r="B656" s="245">
        <v>634</v>
      </c>
      <c r="C656" s="258"/>
      <c r="D656" s="258"/>
      <c r="E656" s="246"/>
      <c r="F656" s="247" t="str">
        <f>IF(ISBLANK(E656), "", VLOOKUP(E656, Z!$A$2:$C$4127, 3, FALSE))</f>
        <v/>
      </c>
      <c r="G656" s="248"/>
      <c r="H656" s="248"/>
      <c r="I656" s="249"/>
      <c r="J656" s="250"/>
      <c r="K656" s="259"/>
      <c r="L656" s="260"/>
      <c r="M656" s="252" t="str" cm="1">
        <f t="array" ref="M656">INDEX(Trad, 53, $A$20)</f>
        <v>Verschmutzt</v>
      </c>
      <c r="N656" s="253"/>
      <c r="O656" s="253"/>
      <c r="P656" s="254"/>
      <c r="Q656" s="251"/>
      <c r="R656" s="251"/>
      <c r="S656" s="264">
        <f t="shared" si="649"/>
        <v>0</v>
      </c>
      <c r="T656" s="252" t="str" cm="1">
        <f t="array" ref="T656">INDEX(Trad, 52, $A$20)</f>
        <v>Sauber</v>
      </c>
      <c r="U656" s="253"/>
      <c r="V656" s="253"/>
      <c r="W656" s="254"/>
      <c r="X656" s="251"/>
      <c r="Y656" s="251"/>
      <c r="Z656" s="264">
        <f t="shared" si="650"/>
        <v>0</v>
      </c>
      <c r="AA656" s="261"/>
      <c r="AB656" s="258"/>
      <c r="AC656" s="246"/>
      <c r="AD656" s="247" t="str">
        <f>IF(ISBLANK(AC656), "", VLOOKUP(AC656, Z!$A$2:$C$4127, 3, FALSE))</f>
        <v/>
      </c>
      <c r="AE656" s="262"/>
      <c r="AF656" s="263">
        <f t="shared" si="651"/>
        <v>0</v>
      </c>
      <c r="AG656" s="238"/>
      <c r="AH656" s="229">
        <f t="shared" si="675"/>
        <v>1</v>
      </c>
      <c r="AI656" s="229">
        <f t="shared" si="676"/>
        <v>1</v>
      </c>
      <c r="AJ656" s="229">
        <f t="shared" si="677"/>
        <v>0</v>
      </c>
      <c r="AK656" s="229">
        <v>0</v>
      </c>
      <c r="AL656" s="229">
        <v>0</v>
      </c>
      <c r="AM656" s="229">
        <v>1</v>
      </c>
      <c r="AN656" s="229">
        <v>0</v>
      </c>
      <c r="AO656" s="229">
        <f t="shared" si="652"/>
        <v>-100</v>
      </c>
      <c r="AP656" s="238"/>
      <c r="AQ656" s="255"/>
      <c r="AR656" s="255"/>
      <c r="AS656" s="256"/>
      <c r="AT656" s="256"/>
      <c r="AU656" s="256"/>
      <c r="AV656" s="256"/>
      <c r="AW656" s="256"/>
      <c r="AX656" s="256"/>
      <c r="AY656" s="256"/>
      <c r="AZ656" s="256"/>
      <c r="BA656" s="256"/>
      <c r="BB656" s="256"/>
      <c r="BC656" s="256"/>
      <c r="BD656" s="238"/>
      <c r="BE656" s="229" cm="1">
        <f t="array" ref="BE656">IF(ISBLANK(R656), INDEX(Use, $AH656, 4) - AM656*INDEX(Use, $AH656, 6), R656)</f>
        <v>5</v>
      </c>
      <c r="BF656" s="229">
        <f t="shared" si="653"/>
        <v>30</v>
      </c>
      <c r="BG656" s="229">
        <f t="shared" si="641"/>
        <v>13</v>
      </c>
      <c r="BH656" s="229">
        <f t="shared" si="642"/>
        <v>0</v>
      </c>
      <c r="BI656" s="234" cm="1">
        <f t="array" ref="BI656">K656/IF($L656&gt;0, INDEX($AU$23:$BA$77, $L656+20, $AH656), 1)</f>
        <v>0</v>
      </c>
      <c r="BJ656" s="230">
        <f t="shared" si="654"/>
        <v>0</v>
      </c>
      <c r="BK656" s="229">
        <v>35</v>
      </c>
      <c r="BL656" s="230">
        <f t="shared" si="655"/>
        <v>48</v>
      </c>
      <c r="BM656" s="235">
        <f t="shared" si="656"/>
        <v>2.9108720930232557</v>
      </c>
      <c r="BN656" s="235" cm="1">
        <f t="array" ref="BN656">$BI656 * SUMPRODUCT(INDEX($AR$77:$AT$82,,$AI656),INDEX($AU$77:$BA$82,,$AH656), N($AQ$77:$AQ$82&gt;$AO656)) / BM656 / 1000</f>
        <v>0</v>
      </c>
      <c r="BO656" s="232">
        <f t="shared" si="643"/>
        <v>30</v>
      </c>
      <c r="BP656" s="230">
        <f t="shared" si="657"/>
        <v>43</v>
      </c>
      <c r="BQ656" s="235">
        <f t="shared" si="658"/>
        <v>3.2938815789473681</v>
      </c>
      <c r="BR656" s="235" cm="1">
        <f t="array" ref="BR656">$BI656 * IF($AH656&lt;=2,
SUMPRODUCT(INDEX($AR$72:$AT$76,,$AI656), INDEX($AU$72:$BA$76,,$AH656), 1 / ($BB$72:$BB$76*BQ656 + (1-$BB$72:$BB$76)*BM656), N($AQ$72:$AQ$76&gt;$AO656)),
SUMPRODUCT(INDEX($AR$67:$AT$76,,$AI656), INDEX($AU$67:$BA$76,,$AH656), 1 / ($BC$67:$BC$76*BQ656 + (1-$BC$67:$BC$76)*BM656), N($AQ$67:$AQ$76&gt;$AO656))
) / 1000</f>
        <v>0</v>
      </c>
      <c r="BS656" s="232">
        <f t="shared" si="644"/>
        <v>25</v>
      </c>
      <c r="BT656" s="230">
        <f t="shared" si="659"/>
        <v>38</v>
      </c>
      <c r="BU656" s="235">
        <f t="shared" si="660"/>
        <v>3.792954545454545</v>
      </c>
      <c r="BV656" s="235" cm="1">
        <f t="array" ref="BV656">$BI656 * IF($AH656&lt;=2,
SUMPRODUCT(INDEX($AR$67:$AT$71,,$AI656), INDEX($AU$67:$BA$71,,$AH656), 1 / ($BB$67:$BB$71*BU656 + (1-$BB$67:$BB$71)*BQ656), N($AQ$67:$AQ$71&gt;$AO656)),
SUMPRODUCT(INDEX($AR$57:$AT$66,,$AI656), INDEX($AU$57:$BA$66,,$AH656), 1 / ($BC$57:$BC$66*BU656 + (1-$BC$57:$BC$66)*BQ656), N($AQ$57:$AQ$66&gt;$AO656))
) / 1000</f>
        <v>0</v>
      </c>
      <c r="BW656" s="232">
        <f t="shared" si="645"/>
        <v>20</v>
      </c>
      <c r="BX656" s="230">
        <f t="shared" si="661"/>
        <v>33</v>
      </c>
      <c r="BY656" s="235">
        <f t="shared" si="662"/>
        <v>4.4702678571428569</v>
      </c>
      <c r="BZ656" s="235" cm="1">
        <f t="array" ref="BZ656">$BI656 * IF($AH656&lt;=2,
SUMPRODUCT(INDEX($AR$62:$AT$66,,$AI656), INDEX($AU$62:$BA$66,,$AH656), 1 / ($BB$62:$BB$66*BY656 + (1-$BB$62:$BB$66)*BU656), N($AQ$62:$AQ$66&gt;$AO656)),
SUMPRODUCT(INDEX($AR$47:$AT$56,,$AI656), INDEX($AU$47:$BA$56,,$AH656), 1 / ($BC$47:$BC$56*BY656 + (1-$BC$47:$BC$56)*BU656), N($AQ$47:$AQ$56&gt;$AO656))
) / 1000</f>
        <v>0</v>
      </c>
      <c r="CA656" s="235" cm="1">
        <f t="array" ref="CA656">$BI656 * IF($AH656&lt;=2,
SUMPRODUCT(INDEX($AR$23:$AT$61,,$AI656), INDEX($AU$23:$BA$61,,$AH656), 1 / ($BB$23:$BB$61*BY656), N($AQ$23:$AQ$61&gt;$AO656)),
SUMPRODUCT(INDEX($AR$23:$AT$46,,$AI656), INDEX($AU$23:$BA$46,,$AH656), 1 / ($BC$23:$BC$46*BY656), N($AQ$23:$AQ$46&gt;$AO656))
) / 1000</f>
        <v>0</v>
      </c>
      <c r="CB656" s="230">
        <f t="shared" si="663"/>
        <v>0</v>
      </c>
      <c r="CC656" s="238"/>
      <c r="CD656" s="229" cm="1">
        <f t="array" ref="CD656">IF(ISBLANK(Y656), INDEX(Use, $AH656, 4) - AN656*INDEX(Use, $AH656, 6) - (Q656-X656), Y656)</f>
        <v>7</v>
      </c>
      <c r="CE656" s="229">
        <f t="shared" si="664"/>
        <v>32</v>
      </c>
      <c r="CF656" s="230">
        <f t="shared" si="665"/>
        <v>0</v>
      </c>
      <c r="CG656" s="229">
        <v>35</v>
      </c>
      <c r="CH656" s="230">
        <f t="shared" si="666"/>
        <v>48</v>
      </c>
      <c r="CI656" s="235">
        <f t="shared" si="667"/>
        <v>3.0748170731707316</v>
      </c>
      <c r="CJ656" s="235" cm="1">
        <f t="array" ref="CJ656">$BI656 * SUMPRODUCT(INDEX($AR$77:$AT$82,,$AI656),INDEX($AU$77:$BA$82,,$AH656), N($AQ$77:$AQ$82&gt;$AO656)) / CI656 / 1000</f>
        <v>0</v>
      </c>
      <c r="CK656" s="232">
        <f t="shared" si="646"/>
        <v>30</v>
      </c>
      <c r="CL656" s="230">
        <f t="shared" si="668"/>
        <v>43</v>
      </c>
      <c r="CM656" s="235">
        <f t="shared" si="669"/>
        <v>3.5018750000000001</v>
      </c>
      <c r="CN656" s="235" cm="1">
        <f t="array" ref="CN656">$BI656 * IF($AH656&lt;=2,
SUMPRODUCT(INDEX($AR$72:$AT$76,,$AI656), INDEX($AU$72:$BA$76,,$AH656), 1 / ($BB$72:$BB$76*CM656 + (1-$BB$72:$BB$76)*CI656), N($AQ$72:$AQ$76&gt;$AO656)),
SUMPRODUCT(INDEX($AR$67:$AT$76,,$AI656), INDEX($AU$67:$BA$76,,$AH656), 1 / ($BC$67:$BC$76*CM656 + (1-$BC$67:$BC$76)*CI656), N($AQ$67:$AQ$76&gt;$AO656))
) / 1000</f>
        <v>0</v>
      </c>
      <c r="CO656" s="232">
        <f t="shared" si="647"/>
        <v>25</v>
      </c>
      <c r="CP656" s="230">
        <f t="shared" si="670"/>
        <v>38</v>
      </c>
      <c r="CQ656" s="235">
        <f t="shared" si="671"/>
        <v>4.0666935483870965</v>
      </c>
      <c r="CR656" s="235" cm="1">
        <f t="array" ref="CR656">$BI656 * IF($AH656&lt;=2,
SUMPRODUCT(INDEX($AR$67:$AT$71,,$AI656), INDEX($AU$67:$BA$71,,$AH656), 1 / ($BB$67:$BB$71*CQ656 + (1-$BB$67:$BB$71)*CM656), N($AQ$67:$AQ$71&gt;$AO656)),
SUMPRODUCT(INDEX($AR$57:$AT$66,,$AI656), INDEX($AU$57:$BA$66,,$AH656), 1 / ($BC$57:$BC$66*CQ656 + (1-$BC$57:$BC$66)*CM656), N($AQ$57:$AQ$66&gt;$AO656))
) / 1000</f>
        <v>0</v>
      </c>
      <c r="CS656" s="232">
        <f t="shared" si="648"/>
        <v>20</v>
      </c>
      <c r="CT656" s="230">
        <f t="shared" si="672"/>
        <v>33</v>
      </c>
      <c r="CU656" s="235">
        <f t="shared" si="673"/>
        <v>4.8487499999999999</v>
      </c>
      <c r="CV656" s="235" cm="1">
        <f t="array" ref="CV656">$BI656 * IF($AH656&lt;=2,
SUMPRODUCT(INDEX($AR$62:$AT$66,,$AI656), INDEX($AU$62:$BA$66,,$AH656), 1 / ($BB$62:$BB$66*CU656 + (1-$BB$62:$BB$66)*CQ656), N($AQ$62:$AQ$66&gt;$AO656)),
SUMPRODUCT(INDEX($AR$47:$AT$56,,$AI656), INDEX($AU$47:$BA$56,,$AH656), 1 / ($BC$47:$BC$56*CU656 + (1-$BC$47:$BC$56)*CQ656), N($AQ$47:$AQ$56&gt;$AO656))
) / 1000</f>
        <v>0</v>
      </c>
      <c r="CW656" s="235" cm="1">
        <f t="array" ref="CW656">$BI656 * IF($AH656&lt;=2,
SUMPRODUCT(INDEX($AR$23:$AT$61,,$AI656), INDEX($AU$23:$BA$61,,$AH656), 1 / ($BB$23:$BB$61*CU656), N($AQ$23:$AQ$61&gt;$AO656)),
SUMPRODUCT(INDEX($AR$23:$AT$46,,$AI656), INDEX($AU$23:$BA$46,,$AH656), 1 / ($BC$23:$BC$46*CU656), N($AQ$23:$AQ$46&gt;$AO656))
) / 1000</f>
        <v>0</v>
      </c>
      <c r="CX656" s="230">
        <f t="shared" si="674"/>
        <v>0</v>
      </c>
      <c r="CY656" s="238"/>
    </row>
    <row r="657" spans="1:103" s="76" customFormat="1" ht="14.25" customHeight="1" x14ac:dyDescent="0.2">
      <c r="A657" s="231" t="b">
        <f t="shared" si="640"/>
        <v>0</v>
      </c>
      <c r="B657" s="245">
        <v>635</v>
      </c>
      <c r="C657" s="258"/>
      <c r="D657" s="258"/>
      <c r="E657" s="246"/>
      <c r="F657" s="247" t="str">
        <f>IF(ISBLANK(E657), "", VLOOKUP(E657, Z!$A$2:$C$4127, 3, FALSE))</f>
        <v/>
      </c>
      <c r="G657" s="248"/>
      <c r="H657" s="248"/>
      <c r="I657" s="249"/>
      <c r="J657" s="250"/>
      <c r="K657" s="259"/>
      <c r="L657" s="260"/>
      <c r="M657" s="252" t="str" cm="1">
        <f t="array" ref="M657">INDEX(Trad, 53, $A$20)</f>
        <v>Verschmutzt</v>
      </c>
      <c r="N657" s="253"/>
      <c r="O657" s="253"/>
      <c r="P657" s="254"/>
      <c r="Q657" s="251"/>
      <c r="R657" s="251"/>
      <c r="S657" s="264">
        <f t="shared" si="649"/>
        <v>0</v>
      </c>
      <c r="T657" s="252" t="str" cm="1">
        <f t="array" ref="T657">INDEX(Trad, 52, $A$20)</f>
        <v>Sauber</v>
      </c>
      <c r="U657" s="253"/>
      <c r="V657" s="253"/>
      <c r="W657" s="254"/>
      <c r="X657" s="251"/>
      <c r="Y657" s="251"/>
      <c r="Z657" s="264">
        <f t="shared" si="650"/>
        <v>0</v>
      </c>
      <c r="AA657" s="261"/>
      <c r="AB657" s="258"/>
      <c r="AC657" s="246"/>
      <c r="AD657" s="247" t="str">
        <f>IF(ISBLANK(AC657), "", VLOOKUP(AC657, Z!$A$2:$C$4127, 3, FALSE))</f>
        <v/>
      </c>
      <c r="AE657" s="262"/>
      <c r="AF657" s="263">
        <f t="shared" si="651"/>
        <v>0</v>
      </c>
      <c r="AG657" s="238"/>
      <c r="AH657" s="229">
        <f t="shared" si="675"/>
        <v>1</v>
      </c>
      <c r="AI657" s="229">
        <f t="shared" si="676"/>
        <v>1</v>
      </c>
      <c r="AJ657" s="229">
        <f t="shared" si="677"/>
        <v>0</v>
      </c>
      <c r="AK657" s="229">
        <v>0</v>
      </c>
      <c r="AL657" s="229">
        <v>0</v>
      </c>
      <c r="AM657" s="229">
        <v>1</v>
      </c>
      <c r="AN657" s="229">
        <v>0</v>
      </c>
      <c r="AO657" s="229">
        <f t="shared" si="652"/>
        <v>-100</v>
      </c>
      <c r="AP657" s="238"/>
      <c r="AQ657" s="255"/>
      <c r="AR657" s="255"/>
      <c r="AS657" s="256"/>
      <c r="AT657" s="256"/>
      <c r="AU657" s="256"/>
      <c r="AV657" s="256"/>
      <c r="AW657" s="256"/>
      <c r="AX657" s="256"/>
      <c r="AY657" s="256"/>
      <c r="AZ657" s="256"/>
      <c r="BA657" s="256"/>
      <c r="BB657" s="256"/>
      <c r="BC657" s="256"/>
      <c r="BD657" s="238"/>
      <c r="BE657" s="229" cm="1">
        <f t="array" ref="BE657">IF(ISBLANK(R657), INDEX(Use, $AH657, 4) - AM657*INDEX(Use, $AH657, 6), R657)</f>
        <v>5</v>
      </c>
      <c r="BF657" s="229">
        <f t="shared" si="653"/>
        <v>30</v>
      </c>
      <c r="BG657" s="229">
        <f t="shared" si="641"/>
        <v>13</v>
      </c>
      <c r="BH657" s="229">
        <f t="shared" si="642"/>
        <v>0</v>
      </c>
      <c r="BI657" s="234" cm="1">
        <f t="array" ref="BI657">K657/IF($L657&gt;0, INDEX($AU$23:$BA$77, $L657+20, $AH657), 1)</f>
        <v>0</v>
      </c>
      <c r="BJ657" s="230">
        <f t="shared" si="654"/>
        <v>0</v>
      </c>
      <c r="BK657" s="229">
        <v>35</v>
      </c>
      <c r="BL657" s="230">
        <f t="shared" si="655"/>
        <v>48</v>
      </c>
      <c r="BM657" s="235">
        <f t="shared" si="656"/>
        <v>2.9108720930232557</v>
      </c>
      <c r="BN657" s="235" cm="1">
        <f t="array" ref="BN657">$BI657 * SUMPRODUCT(INDEX($AR$77:$AT$82,,$AI657),INDEX($AU$77:$BA$82,,$AH657), N($AQ$77:$AQ$82&gt;$AO657)) / BM657 / 1000</f>
        <v>0</v>
      </c>
      <c r="BO657" s="232">
        <f t="shared" si="643"/>
        <v>30</v>
      </c>
      <c r="BP657" s="230">
        <f t="shared" si="657"/>
        <v>43</v>
      </c>
      <c r="BQ657" s="235">
        <f t="shared" si="658"/>
        <v>3.2938815789473681</v>
      </c>
      <c r="BR657" s="235" cm="1">
        <f t="array" ref="BR657">$BI657 * IF($AH657&lt;=2,
SUMPRODUCT(INDEX($AR$72:$AT$76,,$AI657), INDEX($AU$72:$BA$76,,$AH657), 1 / ($BB$72:$BB$76*BQ657 + (1-$BB$72:$BB$76)*BM657), N($AQ$72:$AQ$76&gt;$AO657)),
SUMPRODUCT(INDEX($AR$67:$AT$76,,$AI657), INDEX($AU$67:$BA$76,,$AH657), 1 / ($BC$67:$BC$76*BQ657 + (1-$BC$67:$BC$76)*BM657), N($AQ$67:$AQ$76&gt;$AO657))
) / 1000</f>
        <v>0</v>
      </c>
      <c r="BS657" s="232">
        <f t="shared" si="644"/>
        <v>25</v>
      </c>
      <c r="BT657" s="230">
        <f t="shared" si="659"/>
        <v>38</v>
      </c>
      <c r="BU657" s="235">
        <f t="shared" si="660"/>
        <v>3.792954545454545</v>
      </c>
      <c r="BV657" s="235" cm="1">
        <f t="array" ref="BV657">$BI657 * IF($AH657&lt;=2,
SUMPRODUCT(INDEX($AR$67:$AT$71,,$AI657), INDEX($AU$67:$BA$71,,$AH657), 1 / ($BB$67:$BB$71*BU657 + (1-$BB$67:$BB$71)*BQ657), N($AQ$67:$AQ$71&gt;$AO657)),
SUMPRODUCT(INDEX($AR$57:$AT$66,,$AI657), INDEX($AU$57:$BA$66,,$AH657), 1 / ($BC$57:$BC$66*BU657 + (1-$BC$57:$BC$66)*BQ657), N($AQ$57:$AQ$66&gt;$AO657))
) / 1000</f>
        <v>0</v>
      </c>
      <c r="BW657" s="232">
        <f t="shared" si="645"/>
        <v>20</v>
      </c>
      <c r="BX657" s="230">
        <f t="shared" si="661"/>
        <v>33</v>
      </c>
      <c r="BY657" s="235">
        <f t="shared" si="662"/>
        <v>4.4702678571428569</v>
      </c>
      <c r="BZ657" s="235" cm="1">
        <f t="array" ref="BZ657">$BI657 * IF($AH657&lt;=2,
SUMPRODUCT(INDEX($AR$62:$AT$66,,$AI657), INDEX($AU$62:$BA$66,,$AH657), 1 / ($BB$62:$BB$66*BY657 + (1-$BB$62:$BB$66)*BU657), N($AQ$62:$AQ$66&gt;$AO657)),
SUMPRODUCT(INDEX($AR$47:$AT$56,,$AI657), INDEX($AU$47:$BA$56,,$AH657), 1 / ($BC$47:$BC$56*BY657 + (1-$BC$47:$BC$56)*BU657), N($AQ$47:$AQ$56&gt;$AO657))
) / 1000</f>
        <v>0</v>
      </c>
      <c r="CA657" s="235" cm="1">
        <f t="array" ref="CA657">$BI657 * IF($AH657&lt;=2,
SUMPRODUCT(INDEX($AR$23:$AT$61,,$AI657), INDEX($AU$23:$BA$61,,$AH657), 1 / ($BB$23:$BB$61*BY657), N($AQ$23:$AQ$61&gt;$AO657)),
SUMPRODUCT(INDEX($AR$23:$AT$46,,$AI657), INDEX($AU$23:$BA$46,,$AH657), 1 / ($BC$23:$BC$46*BY657), N($AQ$23:$AQ$46&gt;$AO657))
) / 1000</f>
        <v>0</v>
      </c>
      <c r="CB657" s="230">
        <f t="shared" si="663"/>
        <v>0</v>
      </c>
      <c r="CC657" s="238"/>
      <c r="CD657" s="229" cm="1">
        <f t="array" ref="CD657">IF(ISBLANK(Y657), INDEX(Use, $AH657, 4) - AN657*INDEX(Use, $AH657, 6) - (Q657-X657), Y657)</f>
        <v>7</v>
      </c>
      <c r="CE657" s="229">
        <f t="shared" si="664"/>
        <v>32</v>
      </c>
      <c r="CF657" s="230">
        <f t="shared" si="665"/>
        <v>0</v>
      </c>
      <c r="CG657" s="229">
        <v>35</v>
      </c>
      <c r="CH657" s="230">
        <f t="shared" si="666"/>
        <v>48</v>
      </c>
      <c r="CI657" s="235">
        <f t="shared" si="667"/>
        <v>3.0748170731707316</v>
      </c>
      <c r="CJ657" s="235" cm="1">
        <f t="array" ref="CJ657">$BI657 * SUMPRODUCT(INDEX($AR$77:$AT$82,,$AI657),INDEX($AU$77:$BA$82,,$AH657), N($AQ$77:$AQ$82&gt;$AO657)) / CI657 / 1000</f>
        <v>0</v>
      </c>
      <c r="CK657" s="232">
        <f t="shared" si="646"/>
        <v>30</v>
      </c>
      <c r="CL657" s="230">
        <f t="shared" si="668"/>
        <v>43</v>
      </c>
      <c r="CM657" s="235">
        <f t="shared" si="669"/>
        <v>3.5018750000000001</v>
      </c>
      <c r="CN657" s="235" cm="1">
        <f t="array" ref="CN657">$BI657 * IF($AH657&lt;=2,
SUMPRODUCT(INDEX($AR$72:$AT$76,,$AI657), INDEX($AU$72:$BA$76,,$AH657), 1 / ($BB$72:$BB$76*CM657 + (1-$BB$72:$BB$76)*CI657), N($AQ$72:$AQ$76&gt;$AO657)),
SUMPRODUCT(INDEX($AR$67:$AT$76,,$AI657), INDEX($AU$67:$BA$76,,$AH657), 1 / ($BC$67:$BC$76*CM657 + (1-$BC$67:$BC$76)*CI657), N($AQ$67:$AQ$76&gt;$AO657))
) / 1000</f>
        <v>0</v>
      </c>
      <c r="CO657" s="232">
        <f t="shared" si="647"/>
        <v>25</v>
      </c>
      <c r="CP657" s="230">
        <f t="shared" si="670"/>
        <v>38</v>
      </c>
      <c r="CQ657" s="235">
        <f t="shared" si="671"/>
        <v>4.0666935483870965</v>
      </c>
      <c r="CR657" s="235" cm="1">
        <f t="array" ref="CR657">$BI657 * IF($AH657&lt;=2,
SUMPRODUCT(INDEX($AR$67:$AT$71,,$AI657), INDEX($AU$67:$BA$71,,$AH657), 1 / ($BB$67:$BB$71*CQ657 + (1-$BB$67:$BB$71)*CM657), N($AQ$67:$AQ$71&gt;$AO657)),
SUMPRODUCT(INDEX($AR$57:$AT$66,,$AI657), INDEX($AU$57:$BA$66,,$AH657), 1 / ($BC$57:$BC$66*CQ657 + (1-$BC$57:$BC$66)*CM657), N($AQ$57:$AQ$66&gt;$AO657))
) / 1000</f>
        <v>0</v>
      </c>
      <c r="CS657" s="232">
        <f t="shared" si="648"/>
        <v>20</v>
      </c>
      <c r="CT657" s="230">
        <f t="shared" si="672"/>
        <v>33</v>
      </c>
      <c r="CU657" s="235">
        <f t="shared" si="673"/>
        <v>4.8487499999999999</v>
      </c>
      <c r="CV657" s="235" cm="1">
        <f t="array" ref="CV657">$BI657 * IF($AH657&lt;=2,
SUMPRODUCT(INDEX($AR$62:$AT$66,,$AI657), INDEX($AU$62:$BA$66,,$AH657), 1 / ($BB$62:$BB$66*CU657 + (1-$BB$62:$BB$66)*CQ657), N($AQ$62:$AQ$66&gt;$AO657)),
SUMPRODUCT(INDEX($AR$47:$AT$56,,$AI657), INDEX($AU$47:$BA$56,,$AH657), 1 / ($BC$47:$BC$56*CU657 + (1-$BC$47:$BC$56)*CQ657), N($AQ$47:$AQ$56&gt;$AO657))
) / 1000</f>
        <v>0</v>
      </c>
      <c r="CW657" s="235" cm="1">
        <f t="array" ref="CW657">$BI657 * IF($AH657&lt;=2,
SUMPRODUCT(INDEX($AR$23:$AT$61,,$AI657), INDEX($AU$23:$BA$61,,$AH657), 1 / ($BB$23:$BB$61*CU657), N($AQ$23:$AQ$61&gt;$AO657)),
SUMPRODUCT(INDEX($AR$23:$AT$46,,$AI657), INDEX($AU$23:$BA$46,,$AH657), 1 / ($BC$23:$BC$46*CU657), N($AQ$23:$AQ$46&gt;$AO657))
) / 1000</f>
        <v>0</v>
      </c>
      <c r="CX657" s="230">
        <f t="shared" si="674"/>
        <v>0</v>
      </c>
      <c r="CY657" s="238"/>
    </row>
    <row r="658" spans="1:103" s="76" customFormat="1" ht="14.25" customHeight="1" x14ac:dyDescent="0.2">
      <c r="A658" s="231" t="b">
        <f t="shared" si="640"/>
        <v>0</v>
      </c>
      <c r="B658" s="245">
        <v>636</v>
      </c>
      <c r="C658" s="258"/>
      <c r="D658" s="258"/>
      <c r="E658" s="246"/>
      <c r="F658" s="247" t="str">
        <f>IF(ISBLANK(E658), "", VLOOKUP(E658, Z!$A$2:$C$4127, 3, FALSE))</f>
        <v/>
      </c>
      <c r="G658" s="248"/>
      <c r="H658" s="248"/>
      <c r="I658" s="249"/>
      <c r="J658" s="250"/>
      <c r="K658" s="259"/>
      <c r="L658" s="260"/>
      <c r="M658" s="252" t="str" cm="1">
        <f t="array" ref="M658">INDEX(Trad, 53, $A$20)</f>
        <v>Verschmutzt</v>
      </c>
      <c r="N658" s="253"/>
      <c r="O658" s="253"/>
      <c r="P658" s="254"/>
      <c r="Q658" s="251"/>
      <c r="R658" s="251"/>
      <c r="S658" s="264">
        <f t="shared" si="649"/>
        <v>0</v>
      </c>
      <c r="T658" s="252" t="str" cm="1">
        <f t="array" ref="T658">INDEX(Trad, 52, $A$20)</f>
        <v>Sauber</v>
      </c>
      <c r="U658" s="253"/>
      <c r="V658" s="253"/>
      <c r="W658" s="254"/>
      <c r="X658" s="251"/>
      <c r="Y658" s="251"/>
      <c r="Z658" s="264">
        <f t="shared" si="650"/>
        <v>0</v>
      </c>
      <c r="AA658" s="261"/>
      <c r="AB658" s="258"/>
      <c r="AC658" s="246"/>
      <c r="AD658" s="247" t="str">
        <f>IF(ISBLANK(AC658), "", VLOOKUP(AC658, Z!$A$2:$C$4127, 3, FALSE))</f>
        <v/>
      </c>
      <c r="AE658" s="262"/>
      <c r="AF658" s="263">
        <f t="shared" si="651"/>
        <v>0</v>
      </c>
      <c r="AG658" s="238"/>
      <c r="AH658" s="229">
        <f t="shared" si="675"/>
        <v>1</v>
      </c>
      <c r="AI658" s="229">
        <f t="shared" si="676"/>
        <v>1</v>
      </c>
      <c r="AJ658" s="229">
        <f t="shared" si="677"/>
        <v>0</v>
      </c>
      <c r="AK658" s="229">
        <v>0</v>
      </c>
      <c r="AL658" s="229">
        <v>0</v>
      </c>
      <c r="AM658" s="229">
        <v>1</v>
      </c>
      <c r="AN658" s="229">
        <v>0</v>
      </c>
      <c r="AO658" s="229">
        <f t="shared" si="652"/>
        <v>-100</v>
      </c>
      <c r="AP658" s="238"/>
      <c r="AQ658" s="255"/>
      <c r="AR658" s="255"/>
      <c r="AS658" s="256"/>
      <c r="AT658" s="256"/>
      <c r="AU658" s="256"/>
      <c r="AV658" s="256"/>
      <c r="AW658" s="256"/>
      <c r="AX658" s="256"/>
      <c r="AY658" s="256"/>
      <c r="AZ658" s="256"/>
      <c r="BA658" s="256"/>
      <c r="BB658" s="256"/>
      <c r="BC658" s="256"/>
      <c r="BD658" s="238"/>
      <c r="BE658" s="229" cm="1">
        <f t="array" ref="BE658">IF(ISBLANK(R658), INDEX(Use, $AH658, 4) - AM658*INDEX(Use, $AH658, 6), R658)</f>
        <v>5</v>
      </c>
      <c r="BF658" s="229">
        <f t="shared" si="653"/>
        <v>30</v>
      </c>
      <c r="BG658" s="229">
        <f t="shared" si="641"/>
        <v>13</v>
      </c>
      <c r="BH658" s="229">
        <f t="shared" si="642"/>
        <v>0</v>
      </c>
      <c r="BI658" s="234" cm="1">
        <f t="array" ref="BI658">K658/IF($L658&gt;0, INDEX($AU$23:$BA$77, $L658+20, $AH658), 1)</f>
        <v>0</v>
      </c>
      <c r="BJ658" s="230">
        <f t="shared" si="654"/>
        <v>0</v>
      </c>
      <c r="BK658" s="229">
        <v>35</v>
      </c>
      <c r="BL658" s="230">
        <f t="shared" si="655"/>
        <v>48</v>
      </c>
      <c r="BM658" s="235">
        <f t="shared" si="656"/>
        <v>2.9108720930232557</v>
      </c>
      <c r="BN658" s="235" cm="1">
        <f t="array" ref="BN658">$BI658 * SUMPRODUCT(INDEX($AR$77:$AT$82,,$AI658),INDEX($AU$77:$BA$82,,$AH658), N($AQ$77:$AQ$82&gt;$AO658)) / BM658 / 1000</f>
        <v>0</v>
      </c>
      <c r="BO658" s="232">
        <f t="shared" si="643"/>
        <v>30</v>
      </c>
      <c r="BP658" s="230">
        <f t="shared" si="657"/>
        <v>43</v>
      </c>
      <c r="BQ658" s="235">
        <f t="shared" si="658"/>
        <v>3.2938815789473681</v>
      </c>
      <c r="BR658" s="235" cm="1">
        <f t="array" ref="BR658">$BI658 * IF($AH658&lt;=2,
SUMPRODUCT(INDEX($AR$72:$AT$76,,$AI658), INDEX($AU$72:$BA$76,,$AH658), 1 / ($BB$72:$BB$76*BQ658 + (1-$BB$72:$BB$76)*BM658), N($AQ$72:$AQ$76&gt;$AO658)),
SUMPRODUCT(INDEX($AR$67:$AT$76,,$AI658), INDEX($AU$67:$BA$76,,$AH658), 1 / ($BC$67:$BC$76*BQ658 + (1-$BC$67:$BC$76)*BM658), N($AQ$67:$AQ$76&gt;$AO658))
) / 1000</f>
        <v>0</v>
      </c>
      <c r="BS658" s="232">
        <f t="shared" si="644"/>
        <v>25</v>
      </c>
      <c r="BT658" s="230">
        <f t="shared" si="659"/>
        <v>38</v>
      </c>
      <c r="BU658" s="235">
        <f t="shared" si="660"/>
        <v>3.792954545454545</v>
      </c>
      <c r="BV658" s="235" cm="1">
        <f t="array" ref="BV658">$BI658 * IF($AH658&lt;=2,
SUMPRODUCT(INDEX($AR$67:$AT$71,,$AI658), INDEX($AU$67:$BA$71,,$AH658), 1 / ($BB$67:$BB$71*BU658 + (1-$BB$67:$BB$71)*BQ658), N($AQ$67:$AQ$71&gt;$AO658)),
SUMPRODUCT(INDEX($AR$57:$AT$66,,$AI658), INDEX($AU$57:$BA$66,,$AH658), 1 / ($BC$57:$BC$66*BU658 + (1-$BC$57:$BC$66)*BQ658), N($AQ$57:$AQ$66&gt;$AO658))
) / 1000</f>
        <v>0</v>
      </c>
      <c r="BW658" s="232">
        <f t="shared" si="645"/>
        <v>20</v>
      </c>
      <c r="BX658" s="230">
        <f t="shared" si="661"/>
        <v>33</v>
      </c>
      <c r="BY658" s="235">
        <f t="shared" si="662"/>
        <v>4.4702678571428569</v>
      </c>
      <c r="BZ658" s="235" cm="1">
        <f t="array" ref="BZ658">$BI658 * IF($AH658&lt;=2,
SUMPRODUCT(INDEX($AR$62:$AT$66,,$AI658), INDEX($AU$62:$BA$66,,$AH658), 1 / ($BB$62:$BB$66*BY658 + (1-$BB$62:$BB$66)*BU658), N($AQ$62:$AQ$66&gt;$AO658)),
SUMPRODUCT(INDEX($AR$47:$AT$56,,$AI658), INDEX($AU$47:$BA$56,,$AH658), 1 / ($BC$47:$BC$56*BY658 + (1-$BC$47:$BC$56)*BU658), N($AQ$47:$AQ$56&gt;$AO658))
) / 1000</f>
        <v>0</v>
      </c>
      <c r="CA658" s="235" cm="1">
        <f t="array" ref="CA658">$BI658 * IF($AH658&lt;=2,
SUMPRODUCT(INDEX($AR$23:$AT$61,,$AI658), INDEX($AU$23:$BA$61,,$AH658), 1 / ($BB$23:$BB$61*BY658), N($AQ$23:$AQ$61&gt;$AO658)),
SUMPRODUCT(INDEX($AR$23:$AT$46,,$AI658), INDEX($AU$23:$BA$46,,$AH658), 1 / ($BC$23:$BC$46*BY658), N($AQ$23:$AQ$46&gt;$AO658))
) / 1000</f>
        <v>0</v>
      </c>
      <c r="CB658" s="230">
        <f t="shared" si="663"/>
        <v>0</v>
      </c>
      <c r="CC658" s="238"/>
      <c r="CD658" s="229" cm="1">
        <f t="array" ref="CD658">IF(ISBLANK(Y658), INDEX(Use, $AH658, 4) - AN658*INDEX(Use, $AH658, 6) - (Q658-X658), Y658)</f>
        <v>7</v>
      </c>
      <c r="CE658" s="229">
        <f t="shared" si="664"/>
        <v>32</v>
      </c>
      <c r="CF658" s="230">
        <f t="shared" si="665"/>
        <v>0</v>
      </c>
      <c r="CG658" s="229">
        <v>35</v>
      </c>
      <c r="CH658" s="230">
        <f t="shared" si="666"/>
        <v>48</v>
      </c>
      <c r="CI658" s="235">
        <f t="shared" si="667"/>
        <v>3.0748170731707316</v>
      </c>
      <c r="CJ658" s="235" cm="1">
        <f t="array" ref="CJ658">$BI658 * SUMPRODUCT(INDEX($AR$77:$AT$82,,$AI658),INDEX($AU$77:$BA$82,,$AH658), N($AQ$77:$AQ$82&gt;$AO658)) / CI658 / 1000</f>
        <v>0</v>
      </c>
      <c r="CK658" s="232">
        <f t="shared" si="646"/>
        <v>30</v>
      </c>
      <c r="CL658" s="230">
        <f t="shared" si="668"/>
        <v>43</v>
      </c>
      <c r="CM658" s="235">
        <f t="shared" si="669"/>
        <v>3.5018750000000001</v>
      </c>
      <c r="CN658" s="235" cm="1">
        <f t="array" ref="CN658">$BI658 * IF($AH658&lt;=2,
SUMPRODUCT(INDEX($AR$72:$AT$76,,$AI658), INDEX($AU$72:$BA$76,,$AH658), 1 / ($BB$72:$BB$76*CM658 + (1-$BB$72:$BB$76)*CI658), N($AQ$72:$AQ$76&gt;$AO658)),
SUMPRODUCT(INDEX($AR$67:$AT$76,,$AI658), INDEX($AU$67:$BA$76,,$AH658), 1 / ($BC$67:$BC$76*CM658 + (1-$BC$67:$BC$76)*CI658), N($AQ$67:$AQ$76&gt;$AO658))
) / 1000</f>
        <v>0</v>
      </c>
      <c r="CO658" s="232">
        <f t="shared" si="647"/>
        <v>25</v>
      </c>
      <c r="CP658" s="230">
        <f t="shared" si="670"/>
        <v>38</v>
      </c>
      <c r="CQ658" s="235">
        <f t="shared" si="671"/>
        <v>4.0666935483870965</v>
      </c>
      <c r="CR658" s="235" cm="1">
        <f t="array" ref="CR658">$BI658 * IF($AH658&lt;=2,
SUMPRODUCT(INDEX($AR$67:$AT$71,,$AI658), INDEX($AU$67:$BA$71,,$AH658), 1 / ($BB$67:$BB$71*CQ658 + (1-$BB$67:$BB$71)*CM658), N($AQ$67:$AQ$71&gt;$AO658)),
SUMPRODUCT(INDEX($AR$57:$AT$66,,$AI658), INDEX($AU$57:$BA$66,,$AH658), 1 / ($BC$57:$BC$66*CQ658 + (1-$BC$57:$BC$66)*CM658), N($AQ$57:$AQ$66&gt;$AO658))
) / 1000</f>
        <v>0</v>
      </c>
      <c r="CS658" s="232">
        <f t="shared" si="648"/>
        <v>20</v>
      </c>
      <c r="CT658" s="230">
        <f t="shared" si="672"/>
        <v>33</v>
      </c>
      <c r="CU658" s="235">
        <f t="shared" si="673"/>
        <v>4.8487499999999999</v>
      </c>
      <c r="CV658" s="235" cm="1">
        <f t="array" ref="CV658">$BI658 * IF($AH658&lt;=2,
SUMPRODUCT(INDEX($AR$62:$AT$66,,$AI658), INDEX($AU$62:$BA$66,,$AH658), 1 / ($BB$62:$BB$66*CU658 + (1-$BB$62:$BB$66)*CQ658), N($AQ$62:$AQ$66&gt;$AO658)),
SUMPRODUCT(INDEX($AR$47:$AT$56,,$AI658), INDEX($AU$47:$BA$56,,$AH658), 1 / ($BC$47:$BC$56*CU658 + (1-$BC$47:$BC$56)*CQ658), N($AQ$47:$AQ$56&gt;$AO658))
) / 1000</f>
        <v>0</v>
      </c>
      <c r="CW658" s="235" cm="1">
        <f t="array" ref="CW658">$BI658 * IF($AH658&lt;=2,
SUMPRODUCT(INDEX($AR$23:$AT$61,,$AI658), INDEX($AU$23:$BA$61,,$AH658), 1 / ($BB$23:$BB$61*CU658), N($AQ$23:$AQ$61&gt;$AO658)),
SUMPRODUCT(INDEX($AR$23:$AT$46,,$AI658), INDEX($AU$23:$BA$46,,$AH658), 1 / ($BC$23:$BC$46*CU658), N($AQ$23:$AQ$46&gt;$AO658))
) / 1000</f>
        <v>0</v>
      </c>
      <c r="CX658" s="230">
        <f t="shared" si="674"/>
        <v>0</v>
      </c>
      <c r="CY658" s="238"/>
    </row>
    <row r="659" spans="1:103" s="76" customFormat="1" ht="14.25" customHeight="1" x14ac:dyDescent="0.2">
      <c r="A659" s="231" t="b">
        <f t="shared" si="640"/>
        <v>0</v>
      </c>
      <c r="B659" s="245">
        <v>637</v>
      </c>
      <c r="C659" s="258"/>
      <c r="D659" s="258"/>
      <c r="E659" s="246"/>
      <c r="F659" s="247" t="str">
        <f>IF(ISBLANK(E659), "", VLOOKUP(E659, Z!$A$2:$C$4127, 3, FALSE))</f>
        <v/>
      </c>
      <c r="G659" s="248"/>
      <c r="H659" s="248"/>
      <c r="I659" s="249"/>
      <c r="J659" s="250"/>
      <c r="K659" s="259"/>
      <c r="L659" s="260"/>
      <c r="M659" s="252" t="str" cm="1">
        <f t="array" ref="M659">INDEX(Trad, 53, $A$20)</f>
        <v>Verschmutzt</v>
      </c>
      <c r="N659" s="253"/>
      <c r="O659" s="253"/>
      <c r="P659" s="254"/>
      <c r="Q659" s="251"/>
      <c r="R659" s="251"/>
      <c r="S659" s="264">
        <f t="shared" si="649"/>
        <v>0</v>
      </c>
      <c r="T659" s="252" t="str" cm="1">
        <f t="array" ref="T659">INDEX(Trad, 52, $A$20)</f>
        <v>Sauber</v>
      </c>
      <c r="U659" s="253"/>
      <c r="V659" s="253"/>
      <c r="W659" s="254"/>
      <c r="X659" s="251"/>
      <c r="Y659" s="251"/>
      <c r="Z659" s="264">
        <f t="shared" si="650"/>
        <v>0</v>
      </c>
      <c r="AA659" s="261"/>
      <c r="AB659" s="258"/>
      <c r="AC659" s="246"/>
      <c r="AD659" s="247" t="str">
        <f>IF(ISBLANK(AC659), "", VLOOKUP(AC659, Z!$A$2:$C$4127, 3, FALSE))</f>
        <v/>
      </c>
      <c r="AE659" s="262"/>
      <c r="AF659" s="263">
        <f t="shared" si="651"/>
        <v>0</v>
      </c>
      <c r="AG659" s="238"/>
      <c r="AH659" s="229">
        <f t="shared" si="675"/>
        <v>1</v>
      </c>
      <c r="AI659" s="229">
        <f t="shared" si="676"/>
        <v>1</v>
      </c>
      <c r="AJ659" s="229">
        <f t="shared" si="677"/>
        <v>0</v>
      </c>
      <c r="AK659" s="229">
        <v>0</v>
      </c>
      <c r="AL659" s="229">
        <v>0</v>
      </c>
      <c r="AM659" s="229">
        <v>1</v>
      </c>
      <c r="AN659" s="229">
        <v>0</v>
      </c>
      <c r="AO659" s="229">
        <f t="shared" si="652"/>
        <v>-100</v>
      </c>
      <c r="AP659" s="238"/>
      <c r="AQ659" s="255"/>
      <c r="AR659" s="255"/>
      <c r="AS659" s="256"/>
      <c r="AT659" s="256"/>
      <c r="AU659" s="256"/>
      <c r="AV659" s="256"/>
      <c r="AW659" s="256"/>
      <c r="AX659" s="256"/>
      <c r="AY659" s="256"/>
      <c r="AZ659" s="256"/>
      <c r="BA659" s="256"/>
      <c r="BB659" s="256"/>
      <c r="BC659" s="256"/>
      <c r="BD659" s="238"/>
      <c r="BE659" s="229" cm="1">
        <f t="array" ref="BE659">IF(ISBLANK(R659), INDEX(Use, $AH659, 4) - AM659*INDEX(Use, $AH659, 6), R659)</f>
        <v>5</v>
      </c>
      <c r="BF659" s="229">
        <f t="shared" si="653"/>
        <v>30</v>
      </c>
      <c r="BG659" s="229">
        <f t="shared" si="641"/>
        <v>13</v>
      </c>
      <c r="BH659" s="229">
        <f t="shared" si="642"/>
        <v>0</v>
      </c>
      <c r="BI659" s="234" cm="1">
        <f t="array" ref="BI659">K659/IF($L659&gt;0, INDEX($AU$23:$BA$77, $L659+20, $AH659), 1)</f>
        <v>0</v>
      </c>
      <c r="BJ659" s="230">
        <f t="shared" si="654"/>
        <v>0</v>
      </c>
      <c r="BK659" s="229">
        <v>35</v>
      </c>
      <c r="BL659" s="230">
        <f t="shared" si="655"/>
        <v>48</v>
      </c>
      <c r="BM659" s="235">
        <f t="shared" si="656"/>
        <v>2.9108720930232557</v>
      </c>
      <c r="BN659" s="235" cm="1">
        <f t="array" ref="BN659">$BI659 * SUMPRODUCT(INDEX($AR$77:$AT$82,,$AI659),INDEX($AU$77:$BA$82,,$AH659), N($AQ$77:$AQ$82&gt;$AO659)) / BM659 / 1000</f>
        <v>0</v>
      </c>
      <c r="BO659" s="232">
        <f t="shared" si="643"/>
        <v>30</v>
      </c>
      <c r="BP659" s="230">
        <f t="shared" si="657"/>
        <v>43</v>
      </c>
      <c r="BQ659" s="235">
        <f t="shared" si="658"/>
        <v>3.2938815789473681</v>
      </c>
      <c r="BR659" s="235" cm="1">
        <f t="array" ref="BR659">$BI659 * IF($AH659&lt;=2,
SUMPRODUCT(INDEX($AR$72:$AT$76,,$AI659), INDEX($AU$72:$BA$76,,$AH659), 1 / ($BB$72:$BB$76*BQ659 + (1-$BB$72:$BB$76)*BM659), N($AQ$72:$AQ$76&gt;$AO659)),
SUMPRODUCT(INDEX($AR$67:$AT$76,,$AI659), INDEX($AU$67:$BA$76,,$AH659), 1 / ($BC$67:$BC$76*BQ659 + (1-$BC$67:$BC$76)*BM659), N($AQ$67:$AQ$76&gt;$AO659))
) / 1000</f>
        <v>0</v>
      </c>
      <c r="BS659" s="232">
        <f t="shared" si="644"/>
        <v>25</v>
      </c>
      <c r="BT659" s="230">
        <f t="shared" si="659"/>
        <v>38</v>
      </c>
      <c r="BU659" s="235">
        <f t="shared" si="660"/>
        <v>3.792954545454545</v>
      </c>
      <c r="BV659" s="235" cm="1">
        <f t="array" ref="BV659">$BI659 * IF($AH659&lt;=2,
SUMPRODUCT(INDEX($AR$67:$AT$71,,$AI659), INDEX($AU$67:$BA$71,,$AH659), 1 / ($BB$67:$BB$71*BU659 + (1-$BB$67:$BB$71)*BQ659), N($AQ$67:$AQ$71&gt;$AO659)),
SUMPRODUCT(INDEX($AR$57:$AT$66,,$AI659), INDEX($AU$57:$BA$66,,$AH659), 1 / ($BC$57:$BC$66*BU659 + (1-$BC$57:$BC$66)*BQ659), N($AQ$57:$AQ$66&gt;$AO659))
) / 1000</f>
        <v>0</v>
      </c>
      <c r="BW659" s="232">
        <f t="shared" si="645"/>
        <v>20</v>
      </c>
      <c r="BX659" s="230">
        <f t="shared" si="661"/>
        <v>33</v>
      </c>
      <c r="BY659" s="235">
        <f t="shared" si="662"/>
        <v>4.4702678571428569</v>
      </c>
      <c r="BZ659" s="235" cm="1">
        <f t="array" ref="BZ659">$BI659 * IF($AH659&lt;=2,
SUMPRODUCT(INDEX($AR$62:$AT$66,,$AI659), INDEX($AU$62:$BA$66,,$AH659), 1 / ($BB$62:$BB$66*BY659 + (1-$BB$62:$BB$66)*BU659), N($AQ$62:$AQ$66&gt;$AO659)),
SUMPRODUCT(INDEX($AR$47:$AT$56,,$AI659), INDEX($AU$47:$BA$56,,$AH659), 1 / ($BC$47:$BC$56*BY659 + (1-$BC$47:$BC$56)*BU659), N($AQ$47:$AQ$56&gt;$AO659))
) / 1000</f>
        <v>0</v>
      </c>
      <c r="CA659" s="235" cm="1">
        <f t="array" ref="CA659">$BI659 * IF($AH659&lt;=2,
SUMPRODUCT(INDEX($AR$23:$AT$61,,$AI659), INDEX($AU$23:$BA$61,,$AH659), 1 / ($BB$23:$BB$61*BY659), N($AQ$23:$AQ$61&gt;$AO659)),
SUMPRODUCT(INDEX($AR$23:$AT$46,,$AI659), INDEX($AU$23:$BA$46,,$AH659), 1 / ($BC$23:$BC$46*BY659), N($AQ$23:$AQ$46&gt;$AO659))
) / 1000</f>
        <v>0</v>
      </c>
      <c r="CB659" s="230">
        <f t="shared" si="663"/>
        <v>0</v>
      </c>
      <c r="CC659" s="238"/>
      <c r="CD659" s="229" cm="1">
        <f t="array" ref="CD659">IF(ISBLANK(Y659), INDEX(Use, $AH659, 4) - AN659*INDEX(Use, $AH659, 6) - (Q659-X659), Y659)</f>
        <v>7</v>
      </c>
      <c r="CE659" s="229">
        <f t="shared" si="664"/>
        <v>32</v>
      </c>
      <c r="CF659" s="230">
        <f t="shared" si="665"/>
        <v>0</v>
      </c>
      <c r="CG659" s="229">
        <v>35</v>
      </c>
      <c r="CH659" s="230">
        <f t="shared" si="666"/>
        <v>48</v>
      </c>
      <c r="CI659" s="235">
        <f t="shared" si="667"/>
        <v>3.0748170731707316</v>
      </c>
      <c r="CJ659" s="235" cm="1">
        <f t="array" ref="CJ659">$BI659 * SUMPRODUCT(INDEX($AR$77:$AT$82,,$AI659),INDEX($AU$77:$BA$82,,$AH659), N($AQ$77:$AQ$82&gt;$AO659)) / CI659 / 1000</f>
        <v>0</v>
      </c>
      <c r="CK659" s="232">
        <f t="shared" si="646"/>
        <v>30</v>
      </c>
      <c r="CL659" s="230">
        <f t="shared" si="668"/>
        <v>43</v>
      </c>
      <c r="CM659" s="235">
        <f t="shared" si="669"/>
        <v>3.5018750000000001</v>
      </c>
      <c r="CN659" s="235" cm="1">
        <f t="array" ref="CN659">$BI659 * IF($AH659&lt;=2,
SUMPRODUCT(INDEX($AR$72:$AT$76,,$AI659), INDEX($AU$72:$BA$76,,$AH659), 1 / ($BB$72:$BB$76*CM659 + (1-$BB$72:$BB$76)*CI659), N($AQ$72:$AQ$76&gt;$AO659)),
SUMPRODUCT(INDEX($AR$67:$AT$76,,$AI659), INDEX($AU$67:$BA$76,,$AH659), 1 / ($BC$67:$BC$76*CM659 + (1-$BC$67:$BC$76)*CI659), N($AQ$67:$AQ$76&gt;$AO659))
) / 1000</f>
        <v>0</v>
      </c>
      <c r="CO659" s="232">
        <f t="shared" si="647"/>
        <v>25</v>
      </c>
      <c r="CP659" s="230">
        <f t="shared" si="670"/>
        <v>38</v>
      </c>
      <c r="CQ659" s="235">
        <f t="shared" si="671"/>
        <v>4.0666935483870965</v>
      </c>
      <c r="CR659" s="235" cm="1">
        <f t="array" ref="CR659">$BI659 * IF($AH659&lt;=2,
SUMPRODUCT(INDEX($AR$67:$AT$71,,$AI659), INDEX($AU$67:$BA$71,,$AH659), 1 / ($BB$67:$BB$71*CQ659 + (1-$BB$67:$BB$71)*CM659), N($AQ$67:$AQ$71&gt;$AO659)),
SUMPRODUCT(INDEX($AR$57:$AT$66,,$AI659), INDEX($AU$57:$BA$66,,$AH659), 1 / ($BC$57:$BC$66*CQ659 + (1-$BC$57:$BC$66)*CM659), N($AQ$57:$AQ$66&gt;$AO659))
) / 1000</f>
        <v>0</v>
      </c>
      <c r="CS659" s="232">
        <f t="shared" si="648"/>
        <v>20</v>
      </c>
      <c r="CT659" s="230">
        <f t="shared" si="672"/>
        <v>33</v>
      </c>
      <c r="CU659" s="235">
        <f t="shared" si="673"/>
        <v>4.8487499999999999</v>
      </c>
      <c r="CV659" s="235" cm="1">
        <f t="array" ref="CV659">$BI659 * IF($AH659&lt;=2,
SUMPRODUCT(INDEX($AR$62:$AT$66,,$AI659), INDEX($AU$62:$BA$66,,$AH659), 1 / ($BB$62:$BB$66*CU659 + (1-$BB$62:$BB$66)*CQ659), N($AQ$62:$AQ$66&gt;$AO659)),
SUMPRODUCT(INDEX($AR$47:$AT$56,,$AI659), INDEX($AU$47:$BA$56,,$AH659), 1 / ($BC$47:$BC$56*CU659 + (1-$BC$47:$BC$56)*CQ659), N($AQ$47:$AQ$56&gt;$AO659))
) / 1000</f>
        <v>0</v>
      </c>
      <c r="CW659" s="235" cm="1">
        <f t="array" ref="CW659">$BI659 * IF($AH659&lt;=2,
SUMPRODUCT(INDEX($AR$23:$AT$61,,$AI659), INDEX($AU$23:$BA$61,,$AH659), 1 / ($BB$23:$BB$61*CU659), N($AQ$23:$AQ$61&gt;$AO659)),
SUMPRODUCT(INDEX($AR$23:$AT$46,,$AI659), INDEX($AU$23:$BA$46,,$AH659), 1 / ($BC$23:$BC$46*CU659), N($AQ$23:$AQ$46&gt;$AO659))
) / 1000</f>
        <v>0</v>
      </c>
      <c r="CX659" s="230">
        <f t="shared" si="674"/>
        <v>0</v>
      </c>
      <c r="CY659" s="238"/>
    </row>
    <row r="660" spans="1:103" s="76" customFormat="1" ht="14.25" customHeight="1" x14ac:dyDescent="0.2">
      <c r="A660" s="231" t="b">
        <f t="shared" si="640"/>
        <v>0</v>
      </c>
      <c r="B660" s="245">
        <v>638</v>
      </c>
      <c r="C660" s="258"/>
      <c r="D660" s="258"/>
      <c r="E660" s="246"/>
      <c r="F660" s="247" t="str">
        <f>IF(ISBLANK(E660), "", VLOOKUP(E660, Z!$A$2:$C$4127, 3, FALSE))</f>
        <v/>
      </c>
      <c r="G660" s="248"/>
      <c r="H660" s="248"/>
      <c r="I660" s="249"/>
      <c r="J660" s="250"/>
      <c r="K660" s="259"/>
      <c r="L660" s="260"/>
      <c r="M660" s="252" t="str" cm="1">
        <f t="array" ref="M660">INDEX(Trad, 53, $A$20)</f>
        <v>Verschmutzt</v>
      </c>
      <c r="N660" s="253"/>
      <c r="O660" s="253"/>
      <c r="P660" s="254"/>
      <c r="Q660" s="251"/>
      <c r="R660" s="251"/>
      <c r="S660" s="264">
        <f t="shared" si="649"/>
        <v>0</v>
      </c>
      <c r="T660" s="252" t="str" cm="1">
        <f t="array" ref="T660">INDEX(Trad, 52, $A$20)</f>
        <v>Sauber</v>
      </c>
      <c r="U660" s="253"/>
      <c r="V660" s="253"/>
      <c r="W660" s="254"/>
      <c r="X660" s="251"/>
      <c r="Y660" s="251"/>
      <c r="Z660" s="264">
        <f t="shared" si="650"/>
        <v>0</v>
      </c>
      <c r="AA660" s="261"/>
      <c r="AB660" s="258"/>
      <c r="AC660" s="246"/>
      <c r="AD660" s="247" t="str">
        <f>IF(ISBLANK(AC660), "", VLOOKUP(AC660, Z!$A$2:$C$4127, 3, FALSE))</f>
        <v/>
      </c>
      <c r="AE660" s="262"/>
      <c r="AF660" s="263">
        <f t="shared" si="651"/>
        <v>0</v>
      </c>
      <c r="AG660" s="238"/>
      <c r="AH660" s="229">
        <f t="shared" si="675"/>
        <v>1</v>
      </c>
      <c r="AI660" s="229">
        <f t="shared" si="676"/>
        <v>1</v>
      </c>
      <c r="AJ660" s="229">
        <f t="shared" si="677"/>
        <v>0</v>
      </c>
      <c r="AK660" s="229">
        <v>0</v>
      </c>
      <c r="AL660" s="229">
        <v>0</v>
      </c>
      <c r="AM660" s="229">
        <v>1</v>
      </c>
      <c r="AN660" s="229">
        <v>0</v>
      </c>
      <c r="AO660" s="229">
        <f t="shared" si="652"/>
        <v>-100</v>
      </c>
      <c r="AP660" s="238"/>
      <c r="AQ660" s="255"/>
      <c r="AR660" s="255"/>
      <c r="AS660" s="256"/>
      <c r="AT660" s="256"/>
      <c r="AU660" s="256"/>
      <c r="AV660" s="256"/>
      <c r="AW660" s="256"/>
      <c r="AX660" s="256"/>
      <c r="AY660" s="256"/>
      <c r="AZ660" s="256"/>
      <c r="BA660" s="256"/>
      <c r="BB660" s="256"/>
      <c r="BC660" s="256"/>
      <c r="BD660" s="238"/>
      <c r="BE660" s="229" cm="1">
        <f t="array" ref="BE660">IF(ISBLANK(R660), INDEX(Use, $AH660, 4) - AM660*INDEX(Use, $AH660, 6), R660)</f>
        <v>5</v>
      </c>
      <c r="BF660" s="229">
        <f t="shared" si="653"/>
        <v>30</v>
      </c>
      <c r="BG660" s="229">
        <f t="shared" si="641"/>
        <v>13</v>
      </c>
      <c r="BH660" s="229">
        <f t="shared" si="642"/>
        <v>0</v>
      </c>
      <c r="BI660" s="234" cm="1">
        <f t="array" ref="BI660">K660/IF($L660&gt;0, INDEX($AU$23:$BA$77, $L660+20, $AH660), 1)</f>
        <v>0</v>
      </c>
      <c r="BJ660" s="230">
        <f t="shared" si="654"/>
        <v>0</v>
      </c>
      <c r="BK660" s="229">
        <v>35</v>
      </c>
      <c r="BL660" s="230">
        <f t="shared" si="655"/>
        <v>48</v>
      </c>
      <c r="BM660" s="235">
        <f t="shared" si="656"/>
        <v>2.9108720930232557</v>
      </c>
      <c r="BN660" s="235" cm="1">
        <f t="array" ref="BN660">$BI660 * SUMPRODUCT(INDEX($AR$77:$AT$82,,$AI660),INDEX($AU$77:$BA$82,,$AH660), N($AQ$77:$AQ$82&gt;$AO660)) / BM660 / 1000</f>
        <v>0</v>
      </c>
      <c r="BO660" s="232">
        <f t="shared" si="643"/>
        <v>30</v>
      </c>
      <c r="BP660" s="230">
        <f t="shared" si="657"/>
        <v>43</v>
      </c>
      <c r="BQ660" s="235">
        <f t="shared" si="658"/>
        <v>3.2938815789473681</v>
      </c>
      <c r="BR660" s="235" cm="1">
        <f t="array" ref="BR660">$BI660 * IF($AH660&lt;=2,
SUMPRODUCT(INDEX($AR$72:$AT$76,,$AI660), INDEX($AU$72:$BA$76,,$AH660), 1 / ($BB$72:$BB$76*BQ660 + (1-$BB$72:$BB$76)*BM660), N($AQ$72:$AQ$76&gt;$AO660)),
SUMPRODUCT(INDEX($AR$67:$AT$76,,$AI660), INDEX($AU$67:$BA$76,,$AH660), 1 / ($BC$67:$BC$76*BQ660 + (1-$BC$67:$BC$76)*BM660), N($AQ$67:$AQ$76&gt;$AO660))
) / 1000</f>
        <v>0</v>
      </c>
      <c r="BS660" s="232">
        <f t="shared" si="644"/>
        <v>25</v>
      </c>
      <c r="BT660" s="230">
        <f t="shared" si="659"/>
        <v>38</v>
      </c>
      <c r="BU660" s="235">
        <f t="shared" si="660"/>
        <v>3.792954545454545</v>
      </c>
      <c r="BV660" s="235" cm="1">
        <f t="array" ref="BV660">$BI660 * IF($AH660&lt;=2,
SUMPRODUCT(INDEX($AR$67:$AT$71,,$AI660), INDEX($AU$67:$BA$71,,$AH660), 1 / ($BB$67:$BB$71*BU660 + (1-$BB$67:$BB$71)*BQ660), N($AQ$67:$AQ$71&gt;$AO660)),
SUMPRODUCT(INDEX($AR$57:$AT$66,,$AI660), INDEX($AU$57:$BA$66,,$AH660), 1 / ($BC$57:$BC$66*BU660 + (1-$BC$57:$BC$66)*BQ660), N($AQ$57:$AQ$66&gt;$AO660))
) / 1000</f>
        <v>0</v>
      </c>
      <c r="BW660" s="232">
        <f t="shared" si="645"/>
        <v>20</v>
      </c>
      <c r="BX660" s="230">
        <f t="shared" si="661"/>
        <v>33</v>
      </c>
      <c r="BY660" s="235">
        <f t="shared" si="662"/>
        <v>4.4702678571428569</v>
      </c>
      <c r="BZ660" s="235" cm="1">
        <f t="array" ref="BZ660">$BI660 * IF($AH660&lt;=2,
SUMPRODUCT(INDEX($AR$62:$AT$66,,$AI660), INDEX($AU$62:$BA$66,,$AH660), 1 / ($BB$62:$BB$66*BY660 + (1-$BB$62:$BB$66)*BU660), N($AQ$62:$AQ$66&gt;$AO660)),
SUMPRODUCT(INDEX($AR$47:$AT$56,,$AI660), INDEX($AU$47:$BA$56,,$AH660), 1 / ($BC$47:$BC$56*BY660 + (1-$BC$47:$BC$56)*BU660), N($AQ$47:$AQ$56&gt;$AO660))
) / 1000</f>
        <v>0</v>
      </c>
      <c r="CA660" s="235" cm="1">
        <f t="array" ref="CA660">$BI660 * IF($AH660&lt;=2,
SUMPRODUCT(INDEX($AR$23:$AT$61,,$AI660), INDEX($AU$23:$BA$61,,$AH660), 1 / ($BB$23:$BB$61*BY660), N($AQ$23:$AQ$61&gt;$AO660)),
SUMPRODUCT(INDEX($AR$23:$AT$46,,$AI660), INDEX($AU$23:$BA$46,,$AH660), 1 / ($BC$23:$BC$46*BY660), N($AQ$23:$AQ$46&gt;$AO660))
) / 1000</f>
        <v>0</v>
      </c>
      <c r="CB660" s="230">
        <f t="shared" si="663"/>
        <v>0</v>
      </c>
      <c r="CC660" s="238"/>
      <c r="CD660" s="229" cm="1">
        <f t="array" ref="CD660">IF(ISBLANK(Y660), INDEX(Use, $AH660, 4) - AN660*INDEX(Use, $AH660, 6) - (Q660-X660), Y660)</f>
        <v>7</v>
      </c>
      <c r="CE660" s="229">
        <f t="shared" si="664"/>
        <v>32</v>
      </c>
      <c r="CF660" s="230">
        <f t="shared" si="665"/>
        <v>0</v>
      </c>
      <c r="CG660" s="229">
        <v>35</v>
      </c>
      <c r="CH660" s="230">
        <f t="shared" si="666"/>
        <v>48</v>
      </c>
      <c r="CI660" s="235">
        <f t="shared" si="667"/>
        <v>3.0748170731707316</v>
      </c>
      <c r="CJ660" s="235" cm="1">
        <f t="array" ref="CJ660">$BI660 * SUMPRODUCT(INDEX($AR$77:$AT$82,,$AI660),INDEX($AU$77:$BA$82,,$AH660), N($AQ$77:$AQ$82&gt;$AO660)) / CI660 / 1000</f>
        <v>0</v>
      </c>
      <c r="CK660" s="232">
        <f t="shared" si="646"/>
        <v>30</v>
      </c>
      <c r="CL660" s="230">
        <f t="shared" si="668"/>
        <v>43</v>
      </c>
      <c r="CM660" s="235">
        <f t="shared" si="669"/>
        <v>3.5018750000000001</v>
      </c>
      <c r="CN660" s="235" cm="1">
        <f t="array" ref="CN660">$BI660 * IF($AH660&lt;=2,
SUMPRODUCT(INDEX($AR$72:$AT$76,,$AI660), INDEX($AU$72:$BA$76,,$AH660), 1 / ($BB$72:$BB$76*CM660 + (1-$BB$72:$BB$76)*CI660), N($AQ$72:$AQ$76&gt;$AO660)),
SUMPRODUCT(INDEX($AR$67:$AT$76,,$AI660), INDEX($AU$67:$BA$76,,$AH660), 1 / ($BC$67:$BC$76*CM660 + (1-$BC$67:$BC$76)*CI660), N($AQ$67:$AQ$76&gt;$AO660))
) / 1000</f>
        <v>0</v>
      </c>
      <c r="CO660" s="232">
        <f t="shared" si="647"/>
        <v>25</v>
      </c>
      <c r="CP660" s="230">
        <f t="shared" si="670"/>
        <v>38</v>
      </c>
      <c r="CQ660" s="235">
        <f t="shared" si="671"/>
        <v>4.0666935483870965</v>
      </c>
      <c r="CR660" s="235" cm="1">
        <f t="array" ref="CR660">$BI660 * IF($AH660&lt;=2,
SUMPRODUCT(INDEX($AR$67:$AT$71,,$AI660), INDEX($AU$67:$BA$71,,$AH660), 1 / ($BB$67:$BB$71*CQ660 + (1-$BB$67:$BB$71)*CM660), N($AQ$67:$AQ$71&gt;$AO660)),
SUMPRODUCT(INDEX($AR$57:$AT$66,,$AI660), INDEX($AU$57:$BA$66,,$AH660), 1 / ($BC$57:$BC$66*CQ660 + (1-$BC$57:$BC$66)*CM660), N($AQ$57:$AQ$66&gt;$AO660))
) / 1000</f>
        <v>0</v>
      </c>
      <c r="CS660" s="232">
        <f t="shared" si="648"/>
        <v>20</v>
      </c>
      <c r="CT660" s="230">
        <f t="shared" si="672"/>
        <v>33</v>
      </c>
      <c r="CU660" s="235">
        <f t="shared" si="673"/>
        <v>4.8487499999999999</v>
      </c>
      <c r="CV660" s="235" cm="1">
        <f t="array" ref="CV660">$BI660 * IF($AH660&lt;=2,
SUMPRODUCT(INDEX($AR$62:$AT$66,,$AI660), INDEX($AU$62:$BA$66,,$AH660), 1 / ($BB$62:$BB$66*CU660 + (1-$BB$62:$BB$66)*CQ660), N($AQ$62:$AQ$66&gt;$AO660)),
SUMPRODUCT(INDEX($AR$47:$AT$56,,$AI660), INDEX($AU$47:$BA$56,,$AH660), 1 / ($BC$47:$BC$56*CU660 + (1-$BC$47:$BC$56)*CQ660), N($AQ$47:$AQ$56&gt;$AO660))
) / 1000</f>
        <v>0</v>
      </c>
      <c r="CW660" s="235" cm="1">
        <f t="array" ref="CW660">$BI660 * IF($AH660&lt;=2,
SUMPRODUCT(INDEX($AR$23:$AT$61,,$AI660), INDEX($AU$23:$BA$61,,$AH660), 1 / ($BB$23:$BB$61*CU660), N($AQ$23:$AQ$61&gt;$AO660)),
SUMPRODUCT(INDEX($AR$23:$AT$46,,$AI660), INDEX($AU$23:$BA$46,,$AH660), 1 / ($BC$23:$BC$46*CU660), N($AQ$23:$AQ$46&gt;$AO660))
) / 1000</f>
        <v>0</v>
      </c>
      <c r="CX660" s="230">
        <f t="shared" si="674"/>
        <v>0</v>
      </c>
      <c r="CY660" s="238"/>
    </row>
    <row r="661" spans="1:103" s="76" customFormat="1" ht="14.25" customHeight="1" x14ac:dyDescent="0.2">
      <c r="A661" s="231" t="b">
        <f t="shared" si="640"/>
        <v>0</v>
      </c>
      <c r="B661" s="245">
        <v>639</v>
      </c>
      <c r="C661" s="258"/>
      <c r="D661" s="258"/>
      <c r="E661" s="246"/>
      <c r="F661" s="247" t="str">
        <f>IF(ISBLANK(E661), "", VLOOKUP(E661, Z!$A$2:$C$4127, 3, FALSE))</f>
        <v/>
      </c>
      <c r="G661" s="248"/>
      <c r="H661" s="248"/>
      <c r="I661" s="249"/>
      <c r="J661" s="250"/>
      <c r="K661" s="259"/>
      <c r="L661" s="260"/>
      <c r="M661" s="252" t="str" cm="1">
        <f t="array" ref="M661">INDEX(Trad, 53, $A$20)</f>
        <v>Verschmutzt</v>
      </c>
      <c r="N661" s="253"/>
      <c r="O661" s="253"/>
      <c r="P661" s="254"/>
      <c r="Q661" s="251"/>
      <c r="R661" s="251"/>
      <c r="S661" s="264">
        <f t="shared" si="649"/>
        <v>0</v>
      </c>
      <c r="T661" s="252" t="str" cm="1">
        <f t="array" ref="T661">INDEX(Trad, 52, $A$20)</f>
        <v>Sauber</v>
      </c>
      <c r="U661" s="253"/>
      <c r="V661" s="253"/>
      <c r="W661" s="254"/>
      <c r="X661" s="251"/>
      <c r="Y661" s="251"/>
      <c r="Z661" s="264">
        <f t="shared" si="650"/>
        <v>0</v>
      </c>
      <c r="AA661" s="261"/>
      <c r="AB661" s="258"/>
      <c r="AC661" s="246"/>
      <c r="AD661" s="247" t="str">
        <f>IF(ISBLANK(AC661), "", VLOOKUP(AC661, Z!$A$2:$C$4127, 3, FALSE))</f>
        <v/>
      </c>
      <c r="AE661" s="262"/>
      <c r="AF661" s="263">
        <f t="shared" si="651"/>
        <v>0</v>
      </c>
      <c r="AG661" s="238"/>
      <c r="AH661" s="229">
        <f t="shared" si="675"/>
        <v>1</v>
      </c>
      <c r="AI661" s="229">
        <f t="shared" si="676"/>
        <v>1</v>
      </c>
      <c r="AJ661" s="229">
        <f t="shared" si="677"/>
        <v>0</v>
      </c>
      <c r="AK661" s="229">
        <v>0</v>
      </c>
      <c r="AL661" s="229">
        <v>0</v>
      </c>
      <c r="AM661" s="229">
        <v>1</v>
      </c>
      <c r="AN661" s="229">
        <v>0</v>
      </c>
      <c r="AO661" s="229">
        <f t="shared" si="652"/>
        <v>-100</v>
      </c>
      <c r="AP661" s="238"/>
      <c r="AQ661" s="255"/>
      <c r="AR661" s="255"/>
      <c r="AS661" s="256"/>
      <c r="AT661" s="256"/>
      <c r="AU661" s="256"/>
      <c r="AV661" s="256"/>
      <c r="AW661" s="256"/>
      <c r="AX661" s="256"/>
      <c r="AY661" s="256"/>
      <c r="AZ661" s="256"/>
      <c r="BA661" s="256"/>
      <c r="BB661" s="256"/>
      <c r="BC661" s="256"/>
      <c r="BD661" s="238"/>
      <c r="BE661" s="229" cm="1">
        <f t="array" ref="BE661">IF(ISBLANK(R661), INDEX(Use, $AH661, 4) - AM661*INDEX(Use, $AH661, 6), R661)</f>
        <v>5</v>
      </c>
      <c r="BF661" s="229">
        <f t="shared" si="653"/>
        <v>30</v>
      </c>
      <c r="BG661" s="229">
        <f t="shared" si="641"/>
        <v>13</v>
      </c>
      <c r="BH661" s="229">
        <f t="shared" si="642"/>
        <v>0</v>
      </c>
      <c r="BI661" s="234" cm="1">
        <f t="array" ref="BI661">K661/IF($L661&gt;0, INDEX($AU$23:$BA$77, $L661+20, $AH661), 1)</f>
        <v>0</v>
      </c>
      <c r="BJ661" s="230">
        <f t="shared" si="654"/>
        <v>0</v>
      </c>
      <c r="BK661" s="229">
        <v>35</v>
      </c>
      <c r="BL661" s="230">
        <f t="shared" si="655"/>
        <v>48</v>
      </c>
      <c r="BM661" s="235">
        <f t="shared" si="656"/>
        <v>2.9108720930232557</v>
      </c>
      <c r="BN661" s="235" cm="1">
        <f t="array" ref="BN661">$BI661 * SUMPRODUCT(INDEX($AR$77:$AT$82,,$AI661),INDEX($AU$77:$BA$82,,$AH661), N($AQ$77:$AQ$82&gt;$AO661)) / BM661 / 1000</f>
        <v>0</v>
      </c>
      <c r="BO661" s="232">
        <f t="shared" si="643"/>
        <v>30</v>
      </c>
      <c r="BP661" s="230">
        <f t="shared" si="657"/>
        <v>43</v>
      </c>
      <c r="BQ661" s="235">
        <f t="shared" si="658"/>
        <v>3.2938815789473681</v>
      </c>
      <c r="BR661" s="235" cm="1">
        <f t="array" ref="BR661">$BI661 * IF($AH661&lt;=2,
SUMPRODUCT(INDEX($AR$72:$AT$76,,$AI661), INDEX($AU$72:$BA$76,,$AH661), 1 / ($BB$72:$BB$76*BQ661 + (1-$BB$72:$BB$76)*BM661), N($AQ$72:$AQ$76&gt;$AO661)),
SUMPRODUCT(INDEX($AR$67:$AT$76,,$AI661), INDEX($AU$67:$BA$76,,$AH661), 1 / ($BC$67:$BC$76*BQ661 + (1-$BC$67:$BC$76)*BM661), N($AQ$67:$AQ$76&gt;$AO661))
) / 1000</f>
        <v>0</v>
      </c>
      <c r="BS661" s="232">
        <f t="shared" si="644"/>
        <v>25</v>
      </c>
      <c r="BT661" s="230">
        <f t="shared" si="659"/>
        <v>38</v>
      </c>
      <c r="BU661" s="235">
        <f t="shared" si="660"/>
        <v>3.792954545454545</v>
      </c>
      <c r="BV661" s="235" cm="1">
        <f t="array" ref="BV661">$BI661 * IF($AH661&lt;=2,
SUMPRODUCT(INDEX($AR$67:$AT$71,,$AI661), INDEX($AU$67:$BA$71,,$AH661), 1 / ($BB$67:$BB$71*BU661 + (1-$BB$67:$BB$71)*BQ661), N($AQ$67:$AQ$71&gt;$AO661)),
SUMPRODUCT(INDEX($AR$57:$AT$66,,$AI661), INDEX($AU$57:$BA$66,,$AH661), 1 / ($BC$57:$BC$66*BU661 + (1-$BC$57:$BC$66)*BQ661), N($AQ$57:$AQ$66&gt;$AO661))
) / 1000</f>
        <v>0</v>
      </c>
      <c r="BW661" s="232">
        <f t="shared" si="645"/>
        <v>20</v>
      </c>
      <c r="BX661" s="230">
        <f t="shared" si="661"/>
        <v>33</v>
      </c>
      <c r="BY661" s="235">
        <f t="shared" si="662"/>
        <v>4.4702678571428569</v>
      </c>
      <c r="BZ661" s="235" cm="1">
        <f t="array" ref="BZ661">$BI661 * IF($AH661&lt;=2,
SUMPRODUCT(INDEX($AR$62:$AT$66,,$AI661), INDEX($AU$62:$BA$66,,$AH661), 1 / ($BB$62:$BB$66*BY661 + (1-$BB$62:$BB$66)*BU661), N($AQ$62:$AQ$66&gt;$AO661)),
SUMPRODUCT(INDEX($AR$47:$AT$56,,$AI661), INDEX($AU$47:$BA$56,,$AH661), 1 / ($BC$47:$BC$56*BY661 + (1-$BC$47:$BC$56)*BU661), N($AQ$47:$AQ$56&gt;$AO661))
) / 1000</f>
        <v>0</v>
      </c>
      <c r="CA661" s="235" cm="1">
        <f t="array" ref="CA661">$BI661 * IF($AH661&lt;=2,
SUMPRODUCT(INDEX($AR$23:$AT$61,,$AI661), INDEX($AU$23:$BA$61,,$AH661), 1 / ($BB$23:$BB$61*BY661), N($AQ$23:$AQ$61&gt;$AO661)),
SUMPRODUCT(INDEX($AR$23:$AT$46,,$AI661), INDEX($AU$23:$BA$46,,$AH661), 1 / ($BC$23:$BC$46*BY661), N($AQ$23:$AQ$46&gt;$AO661))
) / 1000</f>
        <v>0</v>
      </c>
      <c r="CB661" s="230">
        <f t="shared" si="663"/>
        <v>0</v>
      </c>
      <c r="CC661" s="238"/>
      <c r="CD661" s="229" cm="1">
        <f t="array" ref="CD661">IF(ISBLANK(Y661), INDEX(Use, $AH661, 4) - AN661*INDEX(Use, $AH661, 6) - (Q661-X661), Y661)</f>
        <v>7</v>
      </c>
      <c r="CE661" s="229">
        <f t="shared" si="664"/>
        <v>32</v>
      </c>
      <c r="CF661" s="230">
        <f t="shared" si="665"/>
        <v>0</v>
      </c>
      <c r="CG661" s="229">
        <v>35</v>
      </c>
      <c r="CH661" s="230">
        <f t="shared" si="666"/>
        <v>48</v>
      </c>
      <c r="CI661" s="235">
        <f t="shared" si="667"/>
        <v>3.0748170731707316</v>
      </c>
      <c r="CJ661" s="235" cm="1">
        <f t="array" ref="CJ661">$BI661 * SUMPRODUCT(INDEX($AR$77:$AT$82,,$AI661),INDEX($AU$77:$BA$82,,$AH661), N($AQ$77:$AQ$82&gt;$AO661)) / CI661 / 1000</f>
        <v>0</v>
      </c>
      <c r="CK661" s="232">
        <f t="shared" si="646"/>
        <v>30</v>
      </c>
      <c r="CL661" s="230">
        <f t="shared" si="668"/>
        <v>43</v>
      </c>
      <c r="CM661" s="235">
        <f t="shared" si="669"/>
        <v>3.5018750000000001</v>
      </c>
      <c r="CN661" s="235" cm="1">
        <f t="array" ref="CN661">$BI661 * IF($AH661&lt;=2,
SUMPRODUCT(INDEX($AR$72:$AT$76,,$AI661), INDEX($AU$72:$BA$76,,$AH661), 1 / ($BB$72:$BB$76*CM661 + (1-$BB$72:$BB$76)*CI661), N($AQ$72:$AQ$76&gt;$AO661)),
SUMPRODUCT(INDEX($AR$67:$AT$76,,$AI661), INDEX($AU$67:$BA$76,,$AH661), 1 / ($BC$67:$BC$76*CM661 + (1-$BC$67:$BC$76)*CI661), N($AQ$67:$AQ$76&gt;$AO661))
) / 1000</f>
        <v>0</v>
      </c>
      <c r="CO661" s="232">
        <f t="shared" si="647"/>
        <v>25</v>
      </c>
      <c r="CP661" s="230">
        <f t="shared" si="670"/>
        <v>38</v>
      </c>
      <c r="CQ661" s="235">
        <f t="shared" si="671"/>
        <v>4.0666935483870965</v>
      </c>
      <c r="CR661" s="235" cm="1">
        <f t="array" ref="CR661">$BI661 * IF($AH661&lt;=2,
SUMPRODUCT(INDEX($AR$67:$AT$71,,$AI661), INDEX($AU$67:$BA$71,,$AH661), 1 / ($BB$67:$BB$71*CQ661 + (1-$BB$67:$BB$71)*CM661), N($AQ$67:$AQ$71&gt;$AO661)),
SUMPRODUCT(INDEX($AR$57:$AT$66,,$AI661), INDEX($AU$57:$BA$66,,$AH661), 1 / ($BC$57:$BC$66*CQ661 + (1-$BC$57:$BC$66)*CM661), N($AQ$57:$AQ$66&gt;$AO661))
) / 1000</f>
        <v>0</v>
      </c>
      <c r="CS661" s="232">
        <f t="shared" si="648"/>
        <v>20</v>
      </c>
      <c r="CT661" s="230">
        <f t="shared" si="672"/>
        <v>33</v>
      </c>
      <c r="CU661" s="235">
        <f t="shared" si="673"/>
        <v>4.8487499999999999</v>
      </c>
      <c r="CV661" s="235" cm="1">
        <f t="array" ref="CV661">$BI661 * IF($AH661&lt;=2,
SUMPRODUCT(INDEX($AR$62:$AT$66,,$AI661), INDEX($AU$62:$BA$66,,$AH661), 1 / ($BB$62:$BB$66*CU661 + (1-$BB$62:$BB$66)*CQ661), N($AQ$62:$AQ$66&gt;$AO661)),
SUMPRODUCT(INDEX($AR$47:$AT$56,,$AI661), INDEX($AU$47:$BA$56,,$AH661), 1 / ($BC$47:$BC$56*CU661 + (1-$BC$47:$BC$56)*CQ661), N($AQ$47:$AQ$56&gt;$AO661))
) / 1000</f>
        <v>0</v>
      </c>
      <c r="CW661" s="235" cm="1">
        <f t="array" ref="CW661">$BI661 * IF($AH661&lt;=2,
SUMPRODUCT(INDEX($AR$23:$AT$61,,$AI661), INDEX($AU$23:$BA$61,,$AH661), 1 / ($BB$23:$BB$61*CU661), N($AQ$23:$AQ$61&gt;$AO661)),
SUMPRODUCT(INDEX($AR$23:$AT$46,,$AI661), INDEX($AU$23:$BA$46,,$AH661), 1 / ($BC$23:$BC$46*CU661), N($AQ$23:$AQ$46&gt;$AO661))
) / 1000</f>
        <v>0</v>
      </c>
      <c r="CX661" s="230">
        <f t="shared" si="674"/>
        <v>0</v>
      </c>
      <c r="CY661" s="238"/>
    </row>
    <row r="662" spans="1:103" s="76" customFormat="1" ht="14.25" customHeight="1" x14ac:dyDescent="0.2">
      <c r="A662" s="231" t="b">
        <f t="shared" ref="A662:A725" si="678">IF(OR(AND($K662&gt;80, $AH662=1), AND($K662&gt;40, $AH662=3), AND($K662&gt;30, $AH662=4),), TRUE, FALSE)</f>
        <v>0</v>
      </c>
      <c r="B662" s="245">
        <v>640</v>
      </c>
      <c r="C662" s="258"/>
      <c r="D662" s="258"/>
      <c r="E662" s="246"/>
      <c r="F662" s="247" t="str">
        <f>IF(ISBLANK(E662), "", VLOOKUP(E662, Z!$A$2:$C$4127, 3, FALSE))</f>
        <v/>
      </c>
      <c r="G662" s="248"/>
      <c r="H662" s="248"/>
      <c r="I662" s="249"/>
      <c r="J662" s="250"/>
      <c r="K662" s="259"/>
      <c r="L662" s="260"/>
      <c r="M662" s="252" t="str" cm="1">
        <f t="array" ref="M662">INDEX(Trad, 53, $A$20)</f>
        <v>Verschmutzt</v>
      </c>
      <c r="N662" s="253"/>
      <c r="O662" s="253"/>
      <c r="P662" s="254"/>
      <c r="Q662" s="251"/>
      <c r="R662" s="251"/>
      <c r="S662" s="264">
        <f t="shared" si="649"/>
        <v>0</v>
      </c>
      <c r="T662" s="252" t="str" cm="1">
        <f t="array" ref="T662">INDEX(Trad, 52, $A$20)</f>
        <v>Sauber</v>
      </c>
      <c r="U662" s="253"/>
      <c r="V662" s="253"/>
      <c r="W662" s="254"/>
      <c r="X662" s="251"/>
      <c r="Y662" s="251"/>
      <c r="Z662" s="264">
        <f t="shared" si="650"/>
        <v>0</v>
      </c>
      <c r="AA662" s="261"/>
      <c r="AB662" s="258"/>
      <c r="AC662" s="246"/>
      <c r="AD662" s="247" t="str">
        <f>IF(ISBLANK(AC662), "", VLOOKUP(AC662, Z!$A$2:$C$4127, 3, FALSE))</f>
        <v/>
      </c>
      <c r="AE662" s="262"/>
      <c r="AF662" s="263">
        <f t="shared" si="651"/>
        <v>0</v>
      </c>
      <c r="AG662" s="238"/>
      <c r="AH662" s="229">
        <f t="shared" si="675"/>
        <v>1</v>
      </c>
      <c r="AI662" s="229">
        <f t="shared" si="676"/>
        <v>1</v>
      </c>
      <c r="AJ662" s="229">
        <f t="shared" si="677"/>
        <v>0</v>
      </c>
      <c r="AK662" s="229">
        <v>0</v>
      </c>
      <c r="AL662" s="229">
        <v>0</v>
      </c>
      <c r="AM662" s="229">
        <v>1</v>
      </c>
      <c r="AN662" s="229">
        <v>0</v>
      </c>
      <c r="AO662" s="229">
        <f t="shared" si="652"/>
        <v>-100</v>
      </c>
      <c r="AP662" s="238"/>
      <c r="AQ662" s="255"/>
      <c r="AR662" s="255"/>
      <c r="AS662" s="256"/>
      <c r="AT662" s="256"/>
      <c r="AU662" s="256"/>
      <c r="AV662" s="256"/>
      <c r="AW662" s="256"/>
      <c r="AX662" s="256"/>
      <c r="AY662" s="256"/>
      <c r="AZ662" s="256"/>
      <c r="BA662" s="256"/>
      <c r="BB662" s="256"/>
      <c r="BC662" s="256"/>
      <c r="BD662" s="238"/>
      <c r="BE662" s="229" cm="1">
        <f t="array" ref="BE662">IF(ISBLANK(R662), INDEX(Use, $AH662, 4) - AM662*INDEX(Use, $AH662, 6), R662)</f>
        <v>5</v>
      </c>
      <c r="BF662" s="229">
        <f t="shared" si="653"/>
        <v>30</v>
      </c>
      <c r="BG662" s="229">
        <f t="shared" si="641"/>
        <v>13</v>
      </c>
      <c r="BH662" s="229">
        <f t="shared" si="642"/>
        <v>0</v>
      </c>
      <c r="BI662" s="234" cm="1">
        <f t="array" ref="BI662">K662/IF($L662&gt;0, INDEX($AU$23:$BA$77, $L662+20, $AH662), 1)</f>
        <v>0</v>
      </c>
      <c r="BJ662" s="230">
        <f t="shared" si="654"/>
        <v>0</v>
      </c>
      <c r="BK662" s="229">
        <v>35</v>
      </c>
      <c r="BL662" s="230">
        <f t="shared" si="655"/>
        <v>48</v>
      </c>
      <c r="BM662" s="235">
        <f t="shared" si="656"/>
        <v>2.9108720930232557</v>
      </c>
      <c r="BN662" s="235" cm="1">
        <f t="array" ref="BN662">$BI662 * SUMPRODUCT(INDEX($AR$77:$AT$82,,$AI662),INDEX($AU$77:$BA$82,,$AH662), N($AQ$77:$AQ$82&gt;$AO662)) / BM662 / 1000</f>
        <v>0</v>
      </c>
      <c r="BO662" s="232">
        <f t="shared" si="643"/>
        <v>30</v>
      </c>
      <c r="BP662" s="230">
        <f t="shared" si="657"/>
        <v>43</v>
      </c>
      <c r="BQ662" s="235">
        <f t="shared" si="658"/>
        <v>3.2938815789473681</v>
      </c>
      <c r="BR662" s="235" cm="1">
        <f t="array" ref="BR662">$BI662 * IF($AH662&lt;=2,
SUMPRODUCT(INDEX($AR$72:$AT$76,,$AI662), INDEX($AU$72:$BA$76,,$AH662), 1 / ($BB$72:$BB$76*BQ662 + (1-$BB$72:$BB$76)*BM662), N($AQ$72:$AQ$76&gt;$AO662)),
SUMPRODUCT(INDEX($AR$67:$AT$76,,$AI662), INDEX($AU$67:$BA$76,,$AH662), 1 / ($BC$67:$BC$76*BQ662 + (1-$BC$67:$BC$76)*BM662), N($AQ$67:$AQ$76&gt;$AO662))
) / 1000</f>
        <v>0</v>
      </c>
      <c r="BS662" s="232">
        <f t="shared" si="644"/>
        <v>25</v>
      </c>
      <c r="BT662" s="230">
        <f t="shared" si="659"/>
        <v>38</v>
      </c>
      <c r="BU662" s="235">
        <f t="shared" si="660"/>
        <v>3.792954545454545</v>
      </c>
      <c r="BV662" s="235" cm="1">
        <f t="array" ref="BV662">$BI662 * IF($AH662&lt;=2,
SUMPRODUCT(INDEX($AR$67:$AT$71,,$AI662), INDEX($AU$67:$BA$71,,$AH662), 1 / ($BB$67:$BB$71*BU662 + (1-$BB$67:$BB$71)*BQ662), N($AQ$67:$AQ$71&gt;$AO662)),
SUMPRODUCT(INDEX($AR$57:$AT$66,,$AI662), INDEX($AU$57:$BA$66,,$AH662), 1 / ($BC$57:$BC$66*BU662 + (1-$BC$57:$BC$66)*BQ662), N($AQ$57:$AQ$66&gt;$AO662))
) / 1000</f>
        <v>0</v>
      </c>
      <c r="BW662" s="232">
        <f t="shared" si="645"/>
        <v>20</v>
      </c>
      <c r="BX662" s="230">
        <f t="shared" si="661"/>
        <v>33</v>
      </c>
      <c r="BY662" s="235">
        <f t="shared" si="662"/>
        <v>4.4702678571428569</v>
      </c>
      <c r="BZ662" s="235" cm="1">
        <f t="array" ref="BZ662">$BI662 * IF($AH662&lt;=2,
SUMPRODUCT(INDEX($AR$62:$AT$66,,$AI662), INDEX($AU$62:$BA$66,,$AH662), 1 / ($BB$62:$BB$66*BY662 + (1-$BB$62:$BB$66)*BU662), N($AQ$62:$AQ$66&gt;$AO662)),
SUMPRODUCT(INDEX($AR$47:$AT$56,,$AI662), INDEX($AU$47:$BA$56,,$AH662), 1 / ($BC$47:$BC$56*BY662 + (1-$BC$47:$BC$56)*BU662), N($AQ$47:$AQ$56&gt;$AO662))
) / 1000</f>
        <v>0</v>
      </c>
      <c r="CA662" s="235" cm="1">
        <f t="array" ref="CA662">$BI662 * IF($AH662&lt;=2,
SUMPRODUCT(INDEX($AR$23:$AT$61,,$AI662), INDEX($AU$23:$BA$61,,$AH662), 1 / ($BB$23:$BB$61*BY662), N($AQ$23:$AQ$61&gt;$AO662)),
SUMPRODUCT(INDEX($AR$23:$AT$46,,$AI662), INDEX($AU$23:$BA$46,,$AH662), 1 / ($BC$23:$BC$46*BY662), N($AQ$23:$AQ$46&gt;$AO662))
) / 1000</f>
        <v>0</v>
      </c>
      <c r="CB662" s="230">
        <f t="shared" si="663"/>
        <v>0</v>
      </c>
      <c r="CC662" s="238"/>
      <c r="CD662" s="229" cm="1">
        <f t="array" ref="CD662">IF(ISBLANK(Y662), INDEX(Use, $AH662, 4) - AN662*INDEX(Use, $AH662, 6) - (Q662-X662), Y662)</f>
        <v>7</v>
      </c>
      <c r="CE662" s="229">
        <f t="shared" si="664"/>
        <v>32</v>
      </c>
      <c r="CF662" s="230">
        <f t="shared" si="665"/>
        <v>0</v>
      </c>
      <c r="CG662" s="229">
        <v>35</v>
      </c>
      <c r="CH662" s="230">
        <f t="shared" si="666"/>
        <v>48</v>
      </c>
      <c r="CI662" s="235">
        <f t="shared" si="667"/>
        <v>3.0748170731707316</v>
      </c>
      <c r="CJ662" s="235" cm="1">
        <f t="array" ref="CJ662">$BI662 * SUMPRODUCT(INDEX($AR$77:$AT$82,,$AI662),INDEX($AU$77:$BA$82,,$AH662), N($AQ$77:$AQ$82&gt;$AO662)) / CI662 / 1000</f>
        <v>0</v>
      </c>
      <c r="CK662" s="232">
        <f t="shared" si="646"/>
        <v>30</v>
      </c>
      <c r="CL662" s="230">
        <f t="shared" si="668"/>
        <v>43</v>
      </c>
      <c r="CM662" s="235">
        <f t="shared" si="669"/>
        <v>3.5018750000000001</v>
      </c>
      <c r="CN662" s="235" cm="1">
        <f t="array" ref="CN662">$BI662 * IF($AH662&lt;=2,
SUMPRODUCT(INDEX($AR$72:$AT$76,,$AI662), INDEX($AU$72:$BA$76,,$AH662), 1 / ($BB$72:$BB$76*CM662 + (1-$BB$72:$BB$76)*CI662), N($AQ$72:$AQ$76&gt;$AO662)),
SUMPRODUCT(INDEX($AR$67:$AT$76,,$AI662), INDEX($AU$67:$BA$76,,$AH662), 1 / ($BC$67:$BC$76*CM662 + (1-$BC$67:$BC$76)*CI662), N($AQ$67:$AQ$76&gt;$AO662))
) / 1000</f>
        <v>0</v>
      </c>
      <c r="CO662" s="232">
        <f t="shared" si="647"/>
        <v>25</v>
      </c>
      <c r="CP662" s="230">
        <f t="shared" si="670"/>
        <v>38</v>
      </c>
      <c r="CQ662" s="235">
        <f t="shared" si="671"/>
        <v>4.0666935483870965</v>
      </c>
      <c r="CR662" s="235" cm="1">
        <f t="array" ref="CR662">$BI662 * IF($AH662&lt;=2,
SUMPRODUCT(INDEX($AR$67:$AT$71,,$AI662), INDEX($AU$67:$BA$71,,$AH662), 1 / ($BB$67:$BB$71*CQ662 + (1-$BB$67:$BB$71)*CM662), N($AQ$67:$AQ$71&gt;$AO662)),
SUMPRODUCT(INDEX($AR$57:$AT$66,,$AI662), INDEX($AU$57:$BA$66,,$AH662), 1 / ($BC$57:$BC$66*CQ662 + (1-$BC$57:$BC$66)*CM662), N($AQ$57:$AQ$66&gt;$AO662))
) / 1000</f>
        <v>0</v>
      </c>
      <c r="CS662" s="232">
        <f t="shared" si="648"/>
        <v>20</v>
      </c>
      <c r="CT662" s="230">
        <f t="shared" si="672"/>
        <v>33</v>
      </c>
      <c r="CU662" s="235">
        <f t="shared" si="673"/>
        <v>4.8487499999999999</v>
      </c>
      <c r="CV662" s="235" cm="1">
        <f t="array" ref="CV662">$BI662 * IF($AH662&lt;=2,
SUMPRODUCT(INDEX($AR$62:$AT$66,,$AI662), INDEX($AU$62:$BA$66,,$AH662), 1 / ($BB$62:$BB$66*CU662 + (1-$BB$62:$BB$66)*CQ662), N($AQ$62:$AQ$66&gt;$AO662)),
SUMPRODUCT(INDEX($AR$47:$AT$56,,$AI662), INDEX($AU$47:$BA$56,,$AH662), 1 / ($BC$47:$BC$56*CU662 + (1-$BC$47:$BC$56)*CQ662), N($AQ$47:$AQ$56&gt;$AO662))
) / 1000</f>
        <v>0</v>
      </c>
      <c r="CW662" s="235" cm="1">
        <f t="array" ref="CW662">$BI662 * IF($AH662&lt;=2,
SUMPRODUCT(INDEX($AR$23:$AT$61,,$AI662), INDEX($AU$23:$BA$61,,$AH662), 1 / ($BB$23:$BB$61*CU662), N($AQ$23:$AQ$61&gt;$AO662)),
SUMPRODUCT(INDEX($AR$23:$AT$46,,$AI662), INDEX($AU$23:$BA$46,,$AH662), 1 / ($BC$23:$BC$46*CU662), N($AQ$23:$AQ$46&gt;$AO662))
) / 1000</f>
        <v>0</v>
      </c>
      <c r="CX662" s="230">
        <f t="shared" si="674"/>
        <v>0</v>
      </c>
      <c r="CY662" s="238"/>
    </row>
    <row r="663" spans="1:103" s="76" customFormat="1" ht="14.25" customHeight="1" x14ac:dyDescent="0.2">
      <c r="A663" s="231" t="b">
        <f t="shared" si="678"/>
        <v>0</v>
      </c>
      <c r="B663" s="245">
        <v>641</v>
      </c>
      <c r="C663" s="258"/>
      <c r="D663" s="258"/>
      <c r="E663" s="246"/>
      <c r="F663" s="247" t="str">
        <f>IF(ISBLANK(E663), "", VLOOKUP(E663, Z!$A$2:$C$4127, 3, FALSE))</f>
        <v/>
      </c>
      <c r="G663" s="248"/>
      <c r="H663" s="248"/>
      <c r="I663" s="249"/>
      <c r="J663" s="250"/>
      <c r="K663" s="259"/>
      <c r="L663" s="260"/>
      <c r="M663" s="252" t="str" cm="1">
        <f t="array" ref="M663">INDEX(Trad, 53, $A$20)</f>
        <v>Verschmutzt</v>
      </c>
      <c r="N663" s="253"/>
      <c r="O663" s="253"/>
      <c r="P663" s="254"/>
      <c r="Q663" s="251"/>
      <c r="R663" s="251"/>
      <c r="S663" s="264">
        <f t="shared" si="649"/>
        <v>0</v>
      </c>
      <c r="T663" s="252" t="str" cm="1">
        <f t="array" ref="T663">INDEX(Trad, 52, $A$20)</f>
        <v>Sauber</v>
      </c>
      <c r="U663" s="253"/>
      <c r="V663" s="253"/>
      <c r="W663" s="254"/>
      <c r="X663" s="251"/>
      <c r="Y663" s="251"/>
      <c r="Z663" s="264">
        <f t="shared" si="650"/>
        <v>0</v>
      </c>
      <c r="AA663" s="261"/>
      <c r="AB663" s="258"/>
      <c r="AC663" s="246"/>
      <c r="AD663" s="247" t="str">
        <f>IF(ISBLANK(AC663), "", VLOOKUP(AC663, Z!$A$2:$C$4127, 3, FALSE))</f>
        <v/>
      </c>
      <c r="AE663" s="262"/>
      <c r="AF663" s="263">
        <f t="shared" si="651"/>
        <v>0</v>
      </c>
      <c r="AG663" s="238"/>
      <c r="AH663" s="229">
        <f t="shared" si="675"/>
        <v>1</v>
      </c>
      <c r="AI663" s="229">
        <f t="shared" si="676"/>
        <v>1</v>
      </c>
      <c r="AJ663" s="229">
        <f t="shared" si="677"/>
        <v>0</v>
      </c>
      <c r="AK663" s="229">
        <v>0</v>
      </c>
      <c r="AL663" s="229">
        <v>0</v>
      </c>
      <c r="AM663" s="229">
        <v>1</v>
      </c>
      <c r="AN663" s="229">
        <v>0</v>
      </c>
      <c r="AO663" s="229">
        <f t="shared" si="652"/>
        <v>-100</v>
      </c>
      <c r="AP663" s="238"/>
      <c r="AQ663" s="255"/>
      <c r="AR663" s="255"/>
      <c r="AS663" s="256"/>
      <c r="AT663" s="256"/>
      <c r="AU663" s="256"/>
      <c r="AV663" s="256"/>
      <c r="AW663" s="256"/>
      <c r="AX663" s="256"/>
      <c r="AY663" s="256"/>
      <c r="AZ663" s="256"/>
      <c r="BA663" s="256"/>
      <c r="BB663" s="256"/>
      <c r="BC663" s="256"/>
      <c r="BD663" s="238"/>
      <c r="BE663" s="229" cm="1">
        <f t="array" ref="BE663">IF(ISBLANK(R663), INDEX(Use, $AH663, 4) - AM663*INDEX(Use, $AH663, 6), R663)</f>
        <v>5</v>
      </c>
      <c r="BF663" s="229">
        <f t="shared" si="653"/>
        <v>30</v>
      </c>
      <c r="BG663" s="229">
        <f t="shared" ref="BG663:BG726" si="679">IF($AJ663=1, 6, IF($AH663=4, 10, 13))</f>
        <v>13</v>
      </c>
      <c r="BH663" s="229">
        <f t="shared" ref="BH663:BH726" si="680">IF($AJ663=1, 9, 0)</f>
        <v>0</v>
      </c>
      <c r="BI663" s="234" cm="1">
        <f t="array" ref="BI663">K663/IF($L663&gt;0, INDEX($AU$23:$BA$77, $L663+20, $AH663), 1)</f>
        <v>0</v>
      </c>
      <c r="BJ663" s="230">
        <f t="shared" si="654"/>
        <v>0</v>
      </c>
      <c r="BK663" s="229">
        <v>35</v>
      </c>
      <c r="BL663" s="230">
        <f t="shared" si="655"/>
        <v>48</v>
      </c>
      <c r="BM663" s="235">
        <f t="shared" si="656"/>
        <v>2.9108720930232557</v>
      </c>
      <c r="BN663" s="235" cm="1">
        <f t="array" ref="BN663">$BI663 * SUMPRODUCT(INDEX($AR$77:$AT$82,,$AI663),INDEX($AU$77:$BA$82,,$AH663), N($AQ$77:$AQ$82&gt;$AO663)) / BM663 / 1000</f>
        <v>0</v>
      </c>
      <c r="BO663" s="232">
        <f t="shared" ref="BO663:BO726" si="681">IF($AH663&lt;=2, 30, 25)</f>
        <v>30</v>
      </c>
      <c r="BP663" s="230">
        <f t="shared" si="657"/>
        <v>43</v>
      </c>
      <c r="BQ663" s="235">
        <f t="shared" si="658"/>
        <v>3.2938815789473681</v>
      </c>
      <c r="BR663" s="235" cm="1">
        <f t="array" ref="BR663">$BI663 * IF($AH663&lt;=2,
SUMPRODUCT(INDEX($AR$72:$AT$76,,$AI663), INDEX($AU$72:$BA$76,,$AH663), 1 / ($BB$72:$BB$76*BQ663 + (1-$BB$72:$BB$76)*BM663), N($AQ$72:$AQ$76&gt;$AO663)),
SUMPRODUCT(INDEX($AR$67:$AT$76,,$AI663), INDEX($AU$67:$BA$76,,$AH663), 1 / ($BC$67:$BC$76*BQ663 + (1-$BC$67:$BC$76)*BM663), N($AQ$67:$AQ$76&gt;$AO663))
) / 1000</f>
        <v>0</v>
      </c>
      <c r="BS663" s="232">
        <f t="shared" ref="BS663:BS726" si="682">IF($AH663&lt;=2, 25, 15)</f>
        <v>25</v>
      </c>
      <c r="BT663" s="230">
        <f t="shared" si="659"/>
        <v>38</v>
      </c>
      <c r="BU663" s="235">
        <f t="shared" si="660"/>
        <v>3.792954545454545</v>
      </c>
      <c r="BV663" s="235" cm="1">
        <f t="array" ref="BV663">$BI663 * IF($AH663&lt;=2,
SUMPRODUCT(INDEX($AR$67:$AT$71,,$AI663), INDEX($AU$67:$BA$71,,$AH663), 1 / ($BB$67:$BB$71*BU663 + (1-$BB$67:$BB$71)*BQ663), N($AQ$67:$AQ$71&gt;$AO663)),
SUMPRODUCT(INDEX($AR$57:$AT$66,,$AI663), INDEX($AU$57:$BA$66,,$AH663), 1 / ($BC$57:$BC$66*BU663 + (1-$BC$57:$BC$66)*BQ663), N($AQ$57:$AQ$66&gt;$AO663))
) / 1000</f>
        <v>0</v>
      </c>
      <c r="BW663" s="232">
        <f t="shared" ref="BW663:BW726" si="683">IF($AH663&lt;=2, 20, 5)</f>
        <v>20</v>
      </c>
      <c r="BX663" s="230">
        <f t="shared" si="661"/>
        <v>33</v>
      </c>
      <c r="BY663" s="235">
        <f t="shared" si="662"/>
        <v>4.4702678571428569</v>
      </c>
      <c r="BZ663" s="235" cm="1">
        <f t="array" ref="BZ663">$BI663 * IF($AH663&lt;=2,
SUMPRODUCT(INDEX($AR$62:$AT$66,,$AI663), INDEX($AU$62:$BA$66,,$AH663), 1 / ($BB$62:$BB$66*BY663 + (1-$BB$62:$BB$66)*BU663), N($AQ$62:$AQ$66&gt;$AO663)),
SUMPRODUCT(INDEX($AR$47:$AT$56,,$AI663), INDEX($AU$47:$BA$56,,$AH663), 1 / ($BC$47:$BC$56*BY663 + (1-$BC$47:$BC$56)*BU663), N($AQ$47:$AQ$56&gt;$AO663))
) / 1000</f>
        <v>0</v>
      </c>
      <c r="CA663" s="235" cm="1">
        <f t="array" ref="CA663">$BI663 * IF($AH663&lt;=2,
SUMPRODUCT(INDEX($AR$23:$AT$61,,$AI663), INDEX($AU$23:$BA$61,,$AH663), 1 / ($BB$23:$BB$61*BY663), N($AQ$23:$AQ$61&gt;$AO663)),
SUMPRODUCT(INDEX($AR$23:$AT$46,,$AI663), INDEX($AU$23:$BA$46,,$AH663), 1 / ($BC$23:$BC$46*BY663), N($AQ$23:$AQ$46&gt;$AO663))
) / 1000</f>
        <v>0</v>
      </c>
      <c r="CB663" s="230">
        <f t="shared" si="663"/>
        <v>0</v>
      </c>
      <c r="CC663" s="238"/>
      <c r="CD663" s="229" cm="1">
        <f t="array" ref="CD663">IF(ISBLANK(Y663), INDEX(Use, $AH663, 4) - AN663*INDEX(Use, $AH663, 6) - (Q663-X663), Y663)</f>
        <v>7</v>
      </c>
      <c r="CE663" s="229">
        <f t="shared" si="664"/>
        <v>32</v>
      </c>
      <c r="CF663" s="230">
        <f t="shared" si="665"/>
        <v>0</v>
      </c>
      <c r="CG663" s="229">
        <v>35</v>
      </c>
      <c r="CH663" s="230">
        <f t="shared" si="666"/>
        <v>48</v>
      </c>
      <c r="CI663" s="235">
        <f t="shared" si="667"/>
        <v>3.0748170731707316</v>
      </c>
      <c r="CJ663" s="235" cm="1">
        <f t="array" ref="CJ663">$BI663 * SUMPRODUCT(INDEX($AR$77:$AT$82,,$AI663),INDEX($AU$77:$BA$82,,$AH663), N($AQ$77:$AQ$82&gt;$AO663)) / CI663 / 1000</f>
        <v>0</v>
      </c>
      <c r="CK663" s="232">
        <f t="shared" ref="CK663:CK726" si="684">IF($AH663&lt;=2, 30, 25)</f>
        <v>30</v>
      </c>
      <c r="CL663" s="230">
        <f t="shared" si="668"/>
        <v>43</v>
      </c>
      <c r="CM663" s="235">
        <f t="shared" si="669"/>
        <v>3.5018750000000001</v>
      </c>
      <c r="CN663" s="235" cm="1">
        <f t="array" ref="CN663">$BI663 * IF($AH663&lt;=2,
SUMPRODUCT(INDEX($AR$72:$AT$76,,$AI663), INDEX($AU$72:$BA$76,,$AH663), 1 / ($BB$72:$BB$76*CM663 + (1-$BB$72:$BB$76)*CI663), N($AQ$72:$AQ$76&gt;$AO663)),
SUMPRODUCT(INDEX($AR$67:$AT$76,,$AI663), INDEX($AU$67:$BA$76,,$AH663), 1 / ($BC$67:$BC$76*CM663 + (1-$BC$67:$BC$76)*CI663), N($AQ$67:$AQ$76&gt;$AO663))
) / 1000</f>
        <v>0</v>
      </c>
      <c r="CO663" s="232">
        <f t="shared" ref="CO663:CO726" si="685">IF($AH663&lt;=2, 25, 15)</f>
        <v>25</v>
      </c>
      <c r="CP663" s="230">
        <f t="shared" si="670"/>
        <v>38</v>
      </c>
      <c r="CQ663" s="235">
        <f t="shared" si="671"/>
        <v>4.0666935483870965</v>
      </c>
      <c r="CR663" s="235" cm="1">
        <f t="array" ref="CR663">$BI663 * IF($AH663&lt;=2,
SUMPRODUCT(INDEX($AR$67:$AT$71,,$AI663), INDEX($AU$67:$BA$71,,$AH663), 1 / ($BB$67:$BB$71*CQ663 + (1-$BB$67:$BB$71)*CM663), N($AQ$67:$AQ$71&gt;$AO663)),
SUMPRODUCT(INDEX($AR$57:$AT$66,,$AI663), INDEX($AU$57:$BA$66,,$AH663), 1 / ($BC$57:$BC$66*CQ663 + (1-$BC$57:$BC$66)*CM663), N($AQ$57:$AQ$66&gt;$AO663))
) / 1000</f>
        <v>0</v>
      </c>
      <c r="CS663" s="232">
        <f t="shared" ref="CS663:CS726" si="686">IF($AH663&lt;=2, 20, 5)</f>
        <v>20</v>
      </c>
      <c r="CT663" s="230">
        <f t="shared" si="672"/>
        <v>33</v>
      </c>
      <c r="CU663" s="235">
        <f t="shared" si="673"/>
        <v>4.8487499999999999</v>
      </c>
      <c r="CV663" s="235" cm="1">
        <f t="array" ref="CV663">$BI663 * IF($AH663&lt;=2,
SUMPRODUCT(INDEX($AR$62:$AT$66,,$AI663), INDEX($AU$62:$BA$66,,$AH663), 1 / ($BB$62:$BB$66*CU663 + (1-$BB$62:$BB$66)*CQ663), N($AQ$62:$AQ$66&gt;$AO663)),
SUMPRODUCT(INDEX($AR$47:$AT$56,,$AI663), INDEX($AU$47:$BA$56,,$AH663), 1 / ($BC$47:$BC$56*CU663 + (1-$BC$47:$BC$56)*CQ663), N($AQ$47:$AQ$56&gt;$AO663))
) / 1000</f>
        <v>0</v>
      </c>
      <c r="CW663" s="235" cm="1">
        <f t="array" ref="CW663">$BI663 * IF($AH663&lt;=2,
SUMPRODUCT(INDEX($AR$23:$AT$61,,$AI663), INDEX($AU$23:$BA$61,,$AH663), 1 / ($BB$23:$BB$61*CU663), N($AQ$23:$AQ$61&gt;$AO663)),
SUMPRODUCT(INDEX($AR$23:$AT$46,,$AI663), INDEX($AU$23:$BA$46,,$AH663), 1 / ($BC$23:$BC$46*CU663), N($AQ$23:$AQ$46&gt;$AO663))
) / 1000</f>
        <v>0</v>
      </c>
      <c r="CX663" s="230">
        <f t="shared" si="674"/>
        <v>0</v>
      </c>
      <c r="CY663" s="238"/>
    </row>
    <row r="664" spans="1:103" s="76" customFormat="1" ht="14.25" customHeight="1" x14ac:dyDescent="0.2">
      <c r="A664" s="231" t="b">
        <f t="shared" si="678"/>
        <v>0</v>
      </c>
      <c r="B664" s="245">
        <v>642</v>
      </c>
      <c r="C664" s="258"/>
      <c r="D664" s="258"/>
      <c r="E664" s="246"/>
      <c r="F664" s="247" t="str">
        <f>IF(ISBLANK(E664), "", VLOOKUP(E664, Z!$A$2:$C$4127, 3, FALSE))</f>
        <v/>
      </c>
      <c r="G664" s="248"/>
      <c r="H664" s="248"/>
      <c r="I664" s="249"/>
      <c r="J664" s="250"/>
      <c r="K664" s="259"/>
      <c r="L664" s="260"/>
      <c r="M664" s="252" t="str" cm="1">
        <f t="array" ref="M664">INDEX(Trad, 53, $A$20)</f>
        <v>Verschmutzt</v>
      </c>
      <c r="N664" s="253"/>
      <c r="O664" s="253"/>
      <c r="P664" s="254"/>
      <c r="Q664" s="251"/>
      <c r="R664" s="251"/>
      <c r="S664" s="264">
        <f t="shared" si="649"/>
        <v>0</v>
      </c>
      <c r="T664" s="252" t="str" cm="1">
        <f t="array" ref="T664">INDEX(Trad, 52, $A$20)</f>
        <v>Sauber</v>
      </c>
      <c r="U664" s="253"/>
      <c r="V664" s="253"/>
      <c r="W664" s="254"/>
      <c r="X664" s="251"/>
      <c r="Y664" s="251"/>
      <c r="Z664" s="264">
        <f t="shared" si="650"/>
        <v>0</v>
      </c>
      <c r="AA664" s="261"/>
      <c r="AB664" s="258"/>
      <c r="AC664" s="246"/>
      <c r="AD664" s="247" t="str">
        <f>IF(ISBLANK(AC664), "", VLOOKUP(AC664, Z!$A$2:$C$4127, 3, FALSE))</f>
        <v/>
      </c>
      <c r="AE664" s="262"/>
      <c r="AF664" s="263">
        <f t="shared" si="651"/>
        <v>0</v>
      </c>
      <c r="AG664" s="238"/>
      <c r="AH664" s="229">
        <f t="shared" si="675"/>
        <v>1</v>
      </c>
      <c r="AI664" s="229">
        <f t="shared" si="676"/>
        <v>1</v>
      </c>
      <c r="AJ664" s="229">
        <f t="shared" si="677"/>
        <v>0</v>
      </c>
      <c r="AK664" s="229">
        <v>0</v>
      </c>
      <c r="AL664" s="229">
        <v>0</v>
      </c>
      <c r="AM664" s="229">
        <v>1</v>
      </c>
      <c r="AN664" s="229">
        <v>0</v>
      </c>
      <c r="AO664" s="229">
        <f t="shared" si="652"/>
        <v>-100</v>
      </c>
      <c r="AP664" s="238"/>
      <c r="AQ664" s="255"/>
      <c r="AR664" s="255"/>
      <c r="AS664" s="256"/>
      <c r="AT664" s="256"/>
      <c r="AU664" s="256"/>
      <c r="AV664" s="256"/>
      <c r="AW664" s="256"/>
      <c r="AX664" s="256"/>
      <c r="AY664" s="256"/>
      <c r="AZ664" s="256"/>
      <c r="BA664" s="256"/>
      <c r="BB664" s="256"/>
      <c r="BC664" s="256"/>
      <c r="BD664" s="238"/>
      <c r="BE664" s="229" cm="1">
        <f t="array" ref="BE664">IF(ISBLANK(R664), INDEX(Use, $AH664, 4) - AM664*INDEX(Use, $AH664, 6), R664)</f>
        <v>5</v>
      </c>
      <c r="BF664" s="229">
        <f t="shared" si="653"/>
        <v>30</v>
      </c>
      <c r="BG664" s="229">
        <f t="shared" si="679"/>
        <v>13</v>
      </c>
      <c r="BH664" s="229">
        <f t="shared" si="680"/>
        <v>0</v>
      </c>
      <c r="BI664" s="234" cm="1">
        <f t="array" ref="BI664">K664/IF($L664&gt;0, INDEX($AU$23:$BA$77, $L664+20, $AH664), 1)</f>
        <v>0</v>
      </c>
      <c r="BJ664" s="230">
        <f t="shared" si="654"/>
        <v>0</v>
      </c>
      <c r="BK664" s="229">
        <v>35</v>
      </c>
      <c r="BL664" s="230">
        <f t="shared" si="655"/>
        <v>48</v>
      </c>
      <c r="BM664" s="235">
        <f t="shared" si="656"/>
        <v>2.9108720930232557</v>
      </c>
      <c r="BN664" s="235" cm="1">
        <f t="array" ref="BN664">$BI664 * SUMPRODUCT(INDEX($AR$77:$AT$82,,$AI664),INDEX($AU$77:$BA$82,,$AH664), N($AQ$77:$AQ$82&gt;$AO664)) / BM664 / 1000</f>
        <v>0</v>
      </c>
      <c r="BO664" s="232">
        <f t="shared" si="681"/>
        <v>30</v>
      </c>
      <c r="BP664" s="230">
        <f t="shared" si="657"/>
        <v>43</v>
      </c>
      <c r="BQ664" s="235">
        <f t="shared" si="658"/>
        <v>3.2938815789473681</v>
      </c>
      <c r="BR664" s="235" cm="1">
        <f t="array" ref="BR664">$BI664 * IF($AH664&lt;=2,
SUMPRODUCT(INDEX($AR$72:$AT$76,,$AI664), INDEX($AU$72:$BA$76,,$AH664), 1 / ($BB$72:$BB$76*BQ664 + (1-$BB$72:$BB$76)*BM664), N($AQ$72:$AQ$76&gt;$AO664)),
SUMPRODUCT(INDEX($AR$67:$AT$76,,$AI664), INDEX($AU$67:$BA$76,,$AH664), 1 / ($BC$67:$BC$76*BQ664 + (1-$BC$67:$BC$76)*BM664), N($AQ$67:$AQ$76&gt;$AO664))
) / 1000</f>
        <v>0</v>
      </c>
      <c r="BS664" s="232">
        <f t="shared" si="682"/>
        <v>25</v>
      </c>
      <c r="BT664" s="230">
        <f t="shared" si="659"/>
        <v>38</v>
      </c>
      <c r="BU664" s="235">
        <f t="shared" si="660"/>
        <v>3.792954545454545</v>
      </c>
      <c r="BV664" s="235" cm="1">
        <f t="array" ref="BV664">$BI664 * IF($AH664&lt;=2,
SUMPRODUCT(INDEX($AR$67:$AT$71,,$AI664), INDEX($AU$67:$BA$71,,$AH664), 1 / ($BB$67:$BB$71*BU664 + (1-$BB$67:$BB$71)*BQ664), N($AQ$67:$AQ$71&gt;$AO664)),
SUMPRODUCT(INDEX($AR$57:$AT$66,,$AI664), INDEX($AU$57:$BA$66,,$AH664), 1 / ($BC$57:$BC$66*BU664 + (1-$BC$57:$BC$66)*BQ664), N($AQ$57:$AQ$66&gt;$AO664))
) / 1000</f>
        <v>0</v>
      </c>
      <c r="BW664" s="232">
        <f t="shared" si="683"/>
        <v>20</v>
      </c>
      <c r="BX664" s="230">
        <f t="shared" si="661"/>
        <v>33</v>
      </c>
      <c r="BY664" s="235">
        <f t="shared" si="662"/>
        <v>4.4702678571428569</v>
      </c>
      <c r="BZ664" s="235" cm="1">
        <f t="array" ref="BZ664">$BI664 * IF($AH664&lt;=2,
SUMPRODUCT(INDEX($AR$62:$AT$66,,$AI664), INDEX($AU$62:$BA$66,,$AH664), 1 / ($BB$62:$BB$66*BY664 + (1-$BB$62:$BB$66)*BU664), N($AQ$62:$AQ$66&gt;$AO664)),
SUMPRODUCT(INDEX($AR$47:$AT$56,,$AI664), INDEX($AU$47:$BA$56,,$AH664), 1 / ($BC$47:$BC$56*BY664 + (1-$BC$47:$BC$56)*BU664), N($AQ$47:$AQ$56&gt;$AO664))
) / 1000</f>
        <v>0</v>
      </c>
      <c r="CA664" s="235" cm="1">
        <f t="array" ref="CA664">$BI664 * IF($AH664&lt;=2,
SUMPRODUCT(INDEX($AR$23:$AT$61,,$AI664), INDEX($AU$23:$BA$61,,$AH664), 1 / ($BB$23:$BB$61*BY664), N($AQ$23:$AQ$61&gt;$AO664)),
SUMPRODUCT(INDEX($AR$23:$AT$46,,$AI664), INDEX($AU$23:$BA$46,,$AH664), 1 / ($BC$23:$BC$46*BY664), N($AQ$23:$AQ$46&gt;$AO664))
) / 1000</f>
        <v>0</v>
      </c>
      <c r="CB664" s="230">
        <f t="shared" si="663"/>
        <v>0</v>
      </c>
      <c r="CC664" s="238"/>
      <c r="CD664" s="229" cm="1">
        <f t="array" ref="CD664">IF(ISBLANK(Y664), INDEX(Use, $AH664, 4) - AN664*INDEX(Use, $AH664, 6) - (Q664-X664), Y664)</f>
        <v>7</v>
      </c>
      <c r="CE664" s="229">
        <f t="shared" si="664"/>
        <v>32</v>
      </c>
      <c r="CF664" s="230">
        <f t="shared" si="665"/>
        <v>0</v>
      </c>
      <c r="CG664" s="229">
        <v>35</v>
      </c>
      <c r="CH664" s="230">
        <f t="shared" si="666"/>
        <v>48</v>
      </c>
      <c r="CI664" s="235">
        <f t="shared" si="667"/>
        <v>3.0748170731707316</v>
      </c>
      <c r="CJ664" s="235" cm="1">
        <f t="array" ref="CJ664">$BI664 * SUMPRODUCT(INDEX($AR$77:$AT$82,,$AI664),INDEX($AU$77:$BA$82,,$AH664), N($AQ$77:$AQ$82&gt;$AO664)) / CI664 / 1000</f>
        <v>0</v>
      </c>
      <c r="CK664" s="232">
        <f t="shared" si="684"/>
        <v>30</v>
      </c>
      <c r="CL664" s="230">
        <f t="shared" si="668"/>
        <v>43</v>
      </c>
      <c r="CM664" s="235">
        <f t="shared" si="669"/>
        <v>3.5018750000000001</v>
      </c>
      <c r="CN664" s="235" cm="1">
        <f t="array" ref="CN664">$BI664 * IF($AH664&lt;=2,
SUMPRODUCT(INDEX($AR$72:$AT$76,,$AI664), INDEX($AU$72:$BA$76,,$AH664), 1 / ($BB$72:$BB$76*CM664 + (1-$BB$72:$BB$76)*CI664), N($AQ$72:$AQ$76&gt;$AO664)),
SUMPRODUCT(INDEX($AR$67:$AT$76,,$AI664), INDEX($AU$67:$BA$76,,$AH664), 1 / ($BC$67:$BC$76*CM664 + (1-$BC$67:$BC$76)*CI664), N($AQ$67:$AQ$76&gt;$AO664))
) / 1000</f>
        <v>0</v>
      </c>
      <c r="CO664" s="232">
        <f t="shared" si="685"/>
        <v>25</v>
      </c>
      <c r="CP664" s="230">
        <f t="shared" si="670"/>
        <v>38</v>
      </c>
      <c r="CQ664" s="235">
        <f t="shared" si="671"/>
        <v>4.0666935483870965</v>
      </c>
      <c r="CR664" s="235" cm="1">
        <f t="array" ref="CR664">$BI664 * IF($AH664&lt;=2,
SUMPRODUCT(INDEX($AR$67:$AT$71,,$AI664), INDEX($AU$67:$BA$71,,$AH664), 1 / ($BB$67:$BB$71*CQ664 + (1-$BB$67:$BB$71)*CM664), N($AQ$67:$AQ$71&gt;$AO664)),
SUMPRODUCT(INDEX($AR$57:$AT$66,,$AI664), INDEX($AU$57:$BA$66,,$AH664), 1 / ($BC$57:$BC$66*CQ664 + (1-$BC$57:$BC$66)*CM664), N($AQ$57:$AQ$66&gt;$AO664))
) / 1000</f>
        <v>0</v>
      </c>
      <c r="CS664" s="232">
        <f t="shared" si="686"/>
        <v>20</v>
      </c>
      <c r="CT664" s="230">
        <f t="shared" si="672"/>
        <v>33</v>
      </c>
      <c r="CU664" s="235">
        <f t="shared" si="673"/>
        <v>4.8487499999999999</v>
      </c>
      <c r="CV664" s="235" cm="1">
        <f t="array" ref="CV664">$BI664 * IF($AH664&lt;=2,
SUMPRODUCT(INDEX($AR$62:$AT$66,,$AI664), INDEX($AU$62:$BA$66,,$AH664), 1 / ($BB$62:$BB$66*CU664 + (1-$BB$62:$BB$66)*CQ664), N($AQ$62:$AQ$66&gt;$AO664)),
SUMPRODUCT(INDEX($AR$47:$AT$56,,$AI664), INDEX($AU$47:$BA$56,,$AH664), 1 / ($BC$47:$BC$56*CU664 + (1-$BC$47:$BC$56)*CQ664), N($AQ$47:$AQ$56&gt;$AO664))
) / 1000</f>
        <v>0</v>
      </c>
      <c r="CW664" s="235" cm="1">
        <f t="array" ref="CW664">$BI664 * IF($AH664&lt;=2,
SUMPRODUCT(INDEX($AR$23:$AT$61,,$AI664), INDEX($AU$23:$BA$61,,$AH664), 1 / ($BB$23:$BB$61*CU664), N($AQ$23:$AQ$61&gt;$AO664)),
SUMPRODUCT(INDEX($AR$23:$AT$46,,$AI664), INDEX($AU$23:$BA$46,,$AH664), 1 / ($BC$23:$BC$46*CU664), N($AQ$23:$AQ$46&gt;$AO664))
) / 1000</f>
        <v>0</v>
      </c>
      <c r="CX664" s="230">
        <f t="shared" si="674"/>
        <v>0</v>
      </c>
      <c r="CY664" s="238"/>
    </row>
    <row r="665" spans="1:103" s="76" customFormat="1" ht="14.25" customHeight="1" x14ac:dyDescent="0.2">
      <c r="A665" s="231" t="b">
        <f t="shared" si="678"/>
        <v>0</v>
      </c>
      <c r="B665" s="245">
        <v>643</v>
      </c>
      <c r="C665" s="258"/>
      <c r="D665" s="258"/>
      <c r="E665" s="246"/>
      <c r="F665" s="247" t="str">
        <f>IF(ISBLANK(E665), "", VLOOKUP(E665, Z!$A$2:$C$4127, 3, FALSE))</f>
        <v/>
      </c>
      <c r="G665" s="248"/>
      <c r="H665" s="248"/>
      <c r="I665" s="249"/>
      <c r="J665" s="250"/>
      <c r="K665" s="259"/>
      <c r="L665" s="260"/>
      <c r="M665" s="252" t="str" cm="1">
        <f t="array" ref="M665">INDEX(Trad, 53, $A$20)</f>
        <v>Verschmutzt</v>
      </c>
      <c r="N665" s="253"/>
      <c r="O665" s="253"/>
      <c r="P665" s="254"/>
      <c r="Q665" s="251"/>
      <c r="R665" s="251"/>
      <c r="S665" s="264">
        <f t="shared" si="649"/>
        <v>0</v>
      </c>
      <c r="T665" s="252" t="str" cm="1">
        <f t="array" ref="T665">INDEX(Trad, 52, $A$20)</f>
        <v>Sauber</v>
      </c>
      <c r="U665" s="253"/>
      <c r="V665" s="253"/>
      <c r="W665" s="254"/>
      <c r="X665" s="251"/>
      <c r="Y665" s="251"/>
      <c r="Z665" s="264">
        <f t="shared" si="650"/>
        <v>0</v>
      </c>
      <c r="AA665" s="261"/>
      <c r="AB665" s="258"/>
      <c r="AC665" s="246"/>
      <c r="AD665" s="247" t="str">
        <f>IF(ISBLANK(AC665), "", VLOOKUP(AC665, Z!$A$2:$C$4127, 3, FALSE))</f>
        <v/>
      </c>
      <c r="AE665" s="262"/>
      <c r="AF665" s="263">
        <f t="shared" si="651"/>
        <v>0</v>
      </c>
      <c r="AG665" s="238"/>
      <c r="AH665" s="229">
        <f t="shared" si="675"/>
        <v>1</v>
      </c>
      <c r="AI665" s="229">
        <f t="shared" si="676"/>
        <v>1</v>
      </c>
      <c r="AJ665" s="229">
        <f t="shared" si="677"/>
        <v>0</v>
      </c>
      <c r="AK665" s="229">
        <v>0</v>
      </c>
      <c r="AL665" s="229">
        <v>0</v>
      </c>
      <c r="AM665" s="229">
        <v>1</v>
      </c>
      <c r="AN665" s="229">
        <v>0</v>
      </c>
      <c r="AO665" s="229">
        <f t="shared" si="652"/>
        <v>-100</v>
      </c>
      <c r="AP665" s="238"/>
      <c r="AQ665" s="255"/>
      <c r="AR665" s="255"/>
      <c r="AS665" s="256"/>
      <c r="AT665" s="256"/>
      <c r="AU665" s="256"/>
      <c r="AV665" s="256"/>
      <c r="AW665" s="256"/>
      <c r="AX665" s="256"/>
      <c r="AY665" s="256"/>
      <c r="AZ665" s="256"/>
      <c r="BA665" s="256"/>
      <c r="BB665" s="256"/>
      <c r="BC665" s="256"/>
      <c r="BD665" s="238"/>
      <c r="BE665" s="229" cm="1">
        <f t="array" ref="BE665">IF(ISBLANK(R665), INDEX(Use, $AH665, 4) - AM665*INDEX(Use, $AH665, 6), R665)</f>
        <v>5</v>
      </c>
      <c r="BF665" s="229">
        <f t="shared" si="653"/>
        <v>30</v>
      </c>
      <c r="BG665" s="229">
        <f t="shared" si="679"/>
        <v>13</v>
      </c>
      <c r="BH665" s="229">
        <f t="shared" si="680"/>
        <v>0</v>
      </c>
      <c r="BI665" s="234" cm="1">
        <f t="array" ref="BI665">K665/IF($L665&gt;0, INDEX($AU$23:$BA$77, $L665+20, $AH665), 1)</f>
        <v>0</v>
      </c>
      <c r="BJ665" s="230">
        <f t="shared" si="654"/>
        <v>0</v>
      </c>
      <c r="BK665" s="229">
        <v>35</v>
      </c>
      <c r="BL665" s="230">
        <f t="shared" si="655"/>
        <v>48</v>
      </c>
      <c r="BM665" s="235">
        <f t="shared" si="656"/>
        <v>2.9108720930232557</v>
      </c>
      <c r="BN665" s="235" cm="1">
        <f t="array" ref="BN665">$BI665 * SUMPRODUCT(INDEX($AR$77:$AT$82,,$AI665),INDEX($AU$77:$BA$82,,$AH665), N($AQ$77:$AQ$82&gt;$AO665)) / BM665 / 1000</f>
        <v>0</v>
      </c>
      <c r="BO665" s="232">
        <f t="shared" si="681"/>
        <v>30</v>
      </c>
      <c r="BP665" s="230">
        <f t="shared" si="657"/>
        <v>43</v>
      </c>
      <c r="BQ665" s="235">
        <f t="shared" si="658"/>
        <v>3.2938815789473681</v>
      </c>
      <c r="BR665" s="235" cm="1">
        <f t="array" ref="BR665">$BI665 * IF($AH665&lt;=2,
SUMPRODUCT(INDEX($AR$72:$AT$76,,$AI665), INDEX($AU$72:$BA$76,,$AH665), 1 / ($BB$72:$BB$76*BQ665 + (1-$BB$72:$BB$76)*BM665), N($AQ$72:$AQ$76&gt;$AO665)),
SUMPRODUCT(INDEX($AR$67:$AT$76,,$AI665), INDEX($AU$67:$BA$76,,$AH665), 1 / ($BC$67:$BC$76*BQ665 + (1-$BC$67:$BC$76)*BM665), N($AQ$67:$AQ$76&gt;$AO665))
) / 1000</f>
        <v>0</v>
      </c>
      <c r="BS665" s="232">
        <f t="shared" si="682"/>
        <v>25</v>
      </c>
      <c r="BT665" s="230">
        <f t="shared" si="659"/>
        <v>38</v>
      </c>
      <c r="BU665" s="235">
        <f t="shared" si="660"/>
        <v>3.792954545454545</v>
      </c>
      <c r="BV665" s="235" cm="1">
        <f t="array" ref="BV665">$BI665 * IF($AH665&lt;=2,
SUMPRODUCT(INDEX($AR$67:$AT$71,,$AI665), INDEX($AU$67:$BA$71,,$AH665), 1 / ($BB$67:$BB$71*BU665 + (1-$BB$67:$BB$71)*BQ665), N($AQ$67:$AQ$71&gt;$AO665)),
SUMPRODUCT(INDEX($AR$57:$AT$66,,$AI665), INDEX($AU$57:$BA$66,,$AH665), 1 / ($BC$57:$BC$66*BU665 + (1-$BC$57:$BC$66)*BQ665), N($AQ$57:$AQ$66&gt;$AO665))
) / 1000</f>
        <v>0</v>
      </c>
      <c r="BW665" s="232">
        <f t="shared" si="683"/>
        <v>20</v>
      </c>
      <c r="BX665" s="230">
        <f t="shared" si="661"/>
        <v>33</v>
      </c>
      <c r="BY665" s="235">
        <f t="shared" si="662"/>
        <v>4.4702678571428569</v>
      </c>
      <c r="BZ665" s="235" cm="1">
        <f t="array" ref="BZ665">$BI665 * IF($AH665&lt;=2,
SUMPRODUCT(INDEX($AR$62:$AT$66,,$AI665), INDEX($AU$62:$BA$66,,$AH665), 1 / ($BB$62:$BB$66*BY665 + (1-$BB$62:$BB$66)*BU665), N($AQ$62:$AQ$66&gt;$AO665)),
SUMPRODUCT(INDEX($AR$47:$AT$56,,$AI665), INDEX($AU$47:$BA$56,,$AH665), 1 / ($BC$47:$BC$56*BY665 + (1-$BC$47:$BC$56)*BU665), N($AQ$47:$AQ$56&gt;$AO665))
) / 1000</f>
        <v>0</v>
      </c>
      <c r="CA665" s="235" cm="1">
        <f t="array" ref="CA665">$BI665 * IF($AH665&lt;=2,
SUMPRODUCT(INDEX($AR$23:$AT$61,,$AI665), INDEX($AU$23:$BA$61,,$AH665), 1 / ($BB$23:$BB$61*BY665), N($AQ$23:$AQ$61&gt;$AO665)),
SUMPRODUCT(INDEX($AR$23:$AT$46,,$AI665), INDEX($AU$23:$BA$46,,$AH665), 1 / ($BC$23:$BC$46*BY665), N($AQ$23:$AQ$46&gt;$AO665))
) / 1000</f>
        <v>0</v>
      </c>
      <c r="CB665" s="230">
        <f t="shared" si="663"/>
        <v>0</v>
      </c>
      <c r="CC665" s="238"/>
      <c r="CD665" s="229" cm="1">
        <f t="array" ref="CD665">IF(ISBLANK(Y665), INDEX(Use, $AH665, 4) - AN665*INDEX(Use, $AH665, 6) - (Q665-X665), Y665)</f>
        <v>7</v>
      </c>
      <c r="CE665" s="229">
        <f t="shared" si="664"/>
        <v>32</v>
      </c>
      <c r="CF665" s="230">
        <f t="shared" si="665"/>
        <v>0</v>
      </c>
      <c r="CG665" s="229">
        <v>35</v>
      </c>
      <c r="CH665" s="230">
        <f t="shared" si="666"/>
        <v>48</v>
      </c>
      <c r="CI665" s="235">
        <f t="shared" si="667"/>
        <v>3.0748170731707316</v>
      </c>
      <c r="CJ665" s="235" cm="1">
        <f t="array" ref="CJ665">$BI665 * SUMPRODUCT(INDEX($AR$77:$AT$82,,$AI665),INDEX($AU$77:$BA$82,,$AH665), N($AQ$77:$AQ$82&gt;$AO665)) / CI665 / 1000</f>
        <v>0</v>
      </c>
      <c r="CK665" s="232">
        <f t="shared" si="684"/>
        <v>30</v>
      </c>
      <c r="CL665" s="230">
        <f t="shared" si="668"/>
        <v>43</v>
      </c>
      <c r="CM665" s="235">
        <f t="shared" si="669"/>
        <v>3.5018750000000001</v>
      </c>
      <c r="CN665" s="235" cm="1">
        <f t="array" ref="CN665">$BI665 * IF($AH665&lt;=2,
SUMPRODUCT(INDEX($AR$72:$AT$76,,$AI665), INDEX($AU$72:$BA$76,,$AH665), 1 / ($BB$72:$BB$76*CM665 + (1-$BB$72:$BB$76)*CI665), N($AQ$72:$AQ$76&gt;$AO665)),
SUMPRODUCT(INDEX($AR$67:$AT$76,,$AI665), INDEX($AU$67:$BA$76,,$AH665), 1 / ($BC$67:$BC$76*CM665 + (1-$BC$67:$BC$76)*CI665), N($AQ$67:$AQ$76&gt;$AO665))
) / 1000</f>
        <v>0</v>
      </c>
      <c r="CO665" s="232">
        <f t="shared" si="685"/>
        <v>25</v>
      </c>
      <c r="CP665" s="230">
        <f t="shared" si="670"/>
        <v>38</v>
      </c>
      <c r="CQ665" s="235">
        <f t="shared" si="671"/>
        <v>4.0666935483870965</v>
      </c>
      <c r="CR665" s="235" cm="1">
        <f t="array" ref="CR665">$BI665 * IF($AH665&lt;=2,
SUMPRODUCT(INDEX($AR$67:$AT$71,,$AI665), INDEX($AU$67:$BA$71,,$AH665), 1 / ($BB$67:$BB$71*CQ665 + (1-$BB$67:$BB$71)*CM665), N($AQ$67:$AQ$71&gt;$AO665)),
SUMPRODUCT(INDEX($AR$57:$AT$66,,$AI665), INDEX($AU$57:$BA$66,,$AH665), 1 / ($BC$57:$BC$66*CQ665 + (1-$BC$57:$BC$66)*CM665), N($AQ$57:$AQ$66&gt;$AO665))
) / 1000</f>
        <v>0</v>
      </c>
      <c r="CS665" s="232">
        <f t="shared" si="686"/>
        <v>20</v>
      </c>
      <c r="CT665" s="230">
        <f t="shared" si="672"/>
        <v>33</v>
      </c>
      <c r="CU665" s="235">
        <f t="shared" si="673"/>
        <v>4.8487499999999999</v>
      </c>
      <c r="CV665" s="235" cm="1">
        <f t="array" ref="CV665">$BI665 * IF($AH665&lt;=2,
SUMPRODUCT(INDEX($AR$62:$AT$66,,$AI665), INDEX($AU$62:$BA$66,,$AH665), 1 / ($BB$62:$BB$66*CU665 + (1-$BB$62:$BB$66)*CQ665), N($AQ$62:$AQ$66&gt;$AO665)),
SUMPRODUCT(INDEX($AR$47:$AT$56,,$AI665), INDEX($AU$47:$BA$56,,$AH665), 1 / ($BC$47:$BC$56*CU665 + (1-$BC$47:$BC$56)*CQ665), N($AQ$47:$AQ$56&gt;$AO665))
) / 1000</f>
        <v>0</v>
      </c>
      <c r="CW665" s="235" cm="1">
        <f t="array" ref="CW665">$BI665 * IF($AH665&lt;=2,
SUMPRODUCT(INDEX($AR$23:$AT$61,,$AI665), INDEX($AU$23:$BA$61,,$AH665), 1 / ($BB$23:$BB$61*CU665), N($AQ$23:$AQ$61&gt;$AO665)),
SUMPRODUCT(INDEX($AR$23:$AT$46,,$AI665), INDEX($AU$23:$BA$46,,$AH665), 1 / ($BC$23:$BC$46*CU665), N($AQ$23:$AQ$46&gt;$AO665))
) / 1000</f>
        <v>0</v>
      </c>
      <c r="CX665" s="230">
        <f t="shared" si="674"/>
        <v>0</v>
      </c>
      <c r="CY665" s="238"/>
    </row>
    <row r="666" spans="1:103" s="76" customFormat="1" ht="14.25" customHeight="1" x14ac:dyDescent="0.2">
      <c r="A666" s="231" t="b">
        <f t="shared" si="678"/>
        <v>0</v>
      </c>
      <c r="B666" s="245">
        <v>644</v>
      </c>
      <c r="C666" s="258"/>
      <c r="D666" s="258"/>
      <c r="E666" s="246"/>
      <c r="F666" s="247" t="str">
        <f>IF(ISBLANK(E666), "", VLOOKUP(E666, Z!$A$2:$C$4127, 3, FALSE))</f>
        <v/>
      </c>
      <c r="G666" s="248"/>
      <c r="H666" s="248"/>
      <c r="I666" s="249"/>
      <c r="J666" s="250"/>
      <c r="K666" s="259"/>
      <c r="L666" s="260"/>
      <c r="M666" s="252" t="str" cm="1">
        <f t="array" ref="M666">INDEX(Trad, 53, $A$20)</f>
        <v>Verschmutzt</v>
      </c>
      <c r="N666" s="253"/>
      <c r="O666" s="253"/>
      <c r="P666" s="254"/>
      <c r="Q666" s="251"/>
      <c r="R666" s="251"/>
      <c r="S666" s="264">
        <f t="shared" si="649"/>
        <v>0</v>
      </c>
      <c r="T666" s="252" t="str" cm="1">
        <f t="array" ref="T666">INDEX(Trad, 52, $A$20)</f>
        <v>Sauber</v>
      </c>
      <c r="U666" s="253"/>
      <c r="V666" s="253"/>
      <c r="W666" s="254"/>
      <c r="X666" s="251"/>
      <c r="Y666" s="251"/>
      <c r="Z666" s="264">
        <f t="shared" si="650"/>
        <v>0</v>
      </c>
      <c r="AA666" s="261"/>
      <c r="AB666" s="258"/>
      <c r="AC666" s="246"/>
      <c r="AD666" s="247" t="str">
        <f>IF(ISBLANK(AC666), "", VLOOKUP(AC666, Z!$A$2:$C$4127, 3, FALSE))</f>
        <v/>
      </c>
      <c r="AE666" s="262"/>
      <c r="AF666" s="263">
        <f t="shared" si="651"/>
        <v>0</v>
      </c>
      <c r="AG666" s="238"/>
      <c r="AH666" s="229">
        <f t="shared" si="675"/>
        <v>1</v>
      </c>
      <c r="AI666" s="229">
        <f t="shared" si="676"/>
        <v>1</v>
      </c>
      <c r="AJ666" s="229">
        <f t="shared" si="677"/>
        <v>0</v>
      </c>
      <c r="AK666" s="229">
        <v>0</v>
      </c>
      <c r="AL666" s="229">
        <v>0</v>
      </c>
      <c r="AM666" s="229">
        <v>1</v>
      </c>
      <c r="AN666" s="229">
        <v>0</v>
      </c>
      <c r="AO666" s="229">
        <f t="shared" si="652"/>
        <v>-100</v>
      </c>
      <c r="AP666" s="238"/>
      <c r="AQ666" s="255"/>
      <c r="AR666" s="255"/>
      <c r="AS666" s="256"/>
      <c r="AT666" s="256"/>
      <c r="AU666" s="256"/>
      <c r="AV666" s="256"/>
      <c r="AW666" s="256"/>
      <c r="AX666" s="256"/>
      <c r="AY666" s="256"/>
      <c r="AZ666" s="256"/>
      <c r="BA666" s="256"/>
      <c r="BB666" s="256"/>
      <c r="BC666" s="256"/>
      <c r="BD666" s="238"/>
      <c r="BE666" s="229" cm="1">
        <f t="array" ref="BE666">IF(ISBLANK(R666), INDEX(Use, $AH666, 4) - AM666*INDEX(Use, $AH666, 6), R666)</f>
        <v>5</v>
      </c>
      <c r="BF666" s="229">
        <f t="shared" si="653"/>
        <v>30</v>
      </c>
      <c r="BG666" s="229">
        <f t="shared" si="679"/>
        <v>13</v>
      </c>
      <c r="BH666" s="229">
        <f t="shared" si="680"/>
        <v>0</v>
      </c>
      <c r="BI666" s="234" cm="1">
        <f t="array" ref="BI666">K666/IF($L666&gt;0, INDEX($AU$23:$BA$77, $L666+20, $AH666), 1)</f>
        <v>0</v>
      </c>
      <c r="BJ666" s="230">
        <f t="shared" si="654"/>
        <v>0</v>
      </c>
      <c r="BK666" s="229">
        <v>35</v>
      </c>
      <c r="BL666" s="230">
        <f t="shared" si="655"/>
        <v>48</v>
      </c>
      <c r="BM666" s="235">
        <f t="shared" si="656"/>
        <v>2.9108720930232557</v>
      </c>
      <c r="BN666" s="235" cm="1">
        <f t="array" ref="BN666">$BI666 * SUMPRODUCT(INDEX($AR$77:$AT$82,,$AI666),INDEX($AU$77:$BA$82,,$AH666), N($AQ$77:$AQ$82&gt;$AO666)) / BM666 / 1000</f>
        <v>0</v>
      </c>
      <c r="BO666" s="232">
        <f t="shared" si="681"/>
        <v>30</v>
      </c>
      <c r="BP666" s="230">
        <f t="shared" si="657"/>
        <v>43</v>
      </c>
      <c r="BQ666" s="235">
        <f t="shared" si="658"/>
        <v>3.2938815789473681</v>
      </c>
      <c r="BR666" s="235" cm="1">
        <f t="array" ref="BR666">$BI666 * IF($AH666&lt;=2,
SUMPRODUCT(INDEX($AR$72:$AT$76,,$AI666), INDEX($AU$72:$BA$76,,$AH666), 1 / ($BB$72:$BB$76*BQ666 + (1-$BB$72:$BB$76)*BM666), N($AQ$72:$AQ$76&gt;$AO666)),
SUMPRODUCT(INDEX($AR$67:$AT$76,,$AI666), INDEX($AU$67:$BA$76,,$AH666), 1 / ($BC$67:$BC$76*BQ666 + (1-$BC$67:$BC$76)*BM666), N($AQ$67:$AQ$76&gt;$AO666))
) / 1000</f>
        <v>0</v>
      </c>
      <c r="BS666" s="232">
        <f t="shared" si="682"/>
        <v>25</v>
      </c>
      <c r="BT666" s="230">
        <f t="shared" si="659"/>
        <v>38</v>
      </c>
      <c r="BU666" s="235">
        <f t="shared" si="660"/>
        <v>3.792954545454545</v>
      </c>
      <c r="BV666" s="235" cm="1">
        <f t="array" ref="BV666">$BI666 * IF($AH666&lt;=2,
SUMPRODUCT(INDEX($AR$67:$AT$71,,$AI666), INDEX($AU$67:$BA$71,,$AH666), 1 / ($BB$67:$BB$71*BU666 + (1-$BB$67:$BB$71)*BQ666), N($AQ$67:$AQ$71&gt;$AO666)),
SUMPRODUCT(INDEX($AR$57:$AT$66,,$AI666), INDEX($AU$57:$BA$66,,$AH666), 1 / ($BC$57:$BC$66*BU666 + (1-$BC$57:$BC$66)*BQ666), N($AQ$57:$AQ$66&gt;$AO666))
) / 1000</f>
        <v>0</v>
      </c>
      <c r="BW666" s="232">
        <f t="shared" si="683"/>
        <v>20</v>
      </c>
      <c r="BX666" s="230">
        <f t="shared" si="661"/>
        <v>33</v>
      </c>
      <c r="BY666" s="235">
        <f t="shared" si="662"/>
        <v>4.4702678571428569</v>
      </c>
      <c r="BZ666" s="235" cm="1">
        <f t="array" ref="BZ666">$BI666 * IF($AH666&lt;=2,
SUMPRODUCT(INDEX($AR$62:$AT$66,,$AI666), INDEX($AU$62:$BA$66,,$AH666), 1 / ($BB$62:$BB$66*BY666 + (1-$BB$62:$BB$66)*BU666), N($AQ$62:$AQ$66&gt;$AO666)),
SUMPRODUCT(INDEX($AR$47:$AT$56,,$AI666), INDEX($AU$47:$BA$56,,$AH666), 1 / ($BC$47:$BC$56*BY666 + (1-$BC$47:$BC$56)*BU666), N($AQ$47:$AQ$56&gt;$AO666))
) / 1000</f>
        <v>0</v>
      </c>
      <c r="CA666" s="235" cm="1">
        <f t="array" ref="CA666">$BI666 * IF($AH666&lt;=2,
SUMPRODUCT(INDEX($AR$23:$AT$61,,$AI666), INDEX($AU$23:$BA$61,,$AH666), 1 / ($BB$23:$BB$61*BY666), N($AQ$23:$AQ$61&gt;$AO666)),
SUMPRODUCT(INDEX($AR$23:$AT$46,,$AI666), INDEX($AU$23:$BA$46,,$AH666), 1 / ($BC$23:$BC$46*BY666), N($AQ$23:$AQ$46&gt;$AO666))
) / 1000</f>
        <v>0</v>
      </c>
      <c r="CB666" s="230">
        <f t="shared" si="663"/>
        <v>0</v>
      </c>
      <c r="CC666" s="238"/>
      <c r="CD666" s="229" cm="1">
        <f t="array" ref="CD666">IF(ISBLANK(Y666), INDEX(Use, $AH666, 4) - AN666*INDEX(Use, $AH666, 6) - (Q666-X666), Y666)</f>
        <v>7</v>
      </c>
      <c r="CE666" s="229">
        <f t="shared" si="664"/>
        <v>32</v>
      </c>
      <c r="CF666" s="230">
        <f t="shared" si="665"/>
        <v>0</v>
      </c>
      <c r="CG666" s="229">
        <v>35</v>
      </c>
      <c r="CH666" s="230">
        <f t="shared" si="666"/>
        <v>48</v>
      </c>
      <c r="CI666" s="235">
        <f t="shared" si="667"/>
        <v>3.0748170731707316</v>
      </c>
      <c r="CJ666" s="235" cm="1">
        <f t="array" ref="CJ666">$BI666 * SUMPRODUCT(INDEX($AR$77:$AT$82,,$AI666),INDEX($AU$77:$BA$82,,$AH666), N($AQ$77:$AQ$82&gt;$AO666)) / CI666 / 1000</f>
        <v>0</v>
      </c>
      <c r="CK666" s="232">
        <f t="shared" si="684"/>
        <v>30</v>
      </c>
      <c r="CL666" s="230">
        <f t="shared" si="668"/>
        <v>43</v>
      </c>
      <c r="CM666" s="235">
        <f t="shared" si="669"/>
        <v>3.5018750000000001</v>
      </c>
      <c r="CN666" s="235" cm="1">
        <f t="array" ref="CN666">$BI666 * IF($AH666&lt;=2,
SUMPRODUCT(INDEX($AR$72:$AT$76,,$AI666), INDEX($AU$72:$BA$76,,$AH666), 1 / ($BB$72:$BB$76*CM666 + (1-$BB$72:$BB$76)*CI666), N($AQ$72:$AQ$76&gt;$AO666)),
SUMPRODUCT(INDEX($AR$67:$AT$76,,$AI666), INDEX($AU$67:$BA$76,,$AH666), 1 / ($BC$67:$BC$76*CM666 + (1-$BC$67:$BC$76)*CI666), N($AQ$67:$AQ$76&gt;$AO666))
) / 1000</f>
        <v>0</v>
      </c>
      <c r="CO666" s="232">
        <f t="shared" si="685"/>
        <v>25</v>
      </c>
      <c r="CP666" s="230">
        <f t="shared" si="670"/>
        <v>38</v>
      </c>
      <c r="CQ666" s="235">
        <f t="shared" si="671"/>
        <v>4.0666935483870965</v>
      </c>
      <c r="CR666" s="235" cm="1">
        <f t="array" ref="CR666">$BI666 * IF($AH666&lt;=2,
SUMPRODUCT(INDEX($AR$67:$AT$71,,$AI666), INDEX($AU$67:$BA$71,,$AH666), 1 / ($BB$67:$BB$71*CQ666 + (1-$BB$67:$BB$71)*CM666), N($AQ$67:$AQ$71&gt;$AO666)),
SUMPRODUCT(INDEX($AR$57:$AT$66,,$AI666), INDEX($AU$57:$BA$66,,$AH666), 1 / ($BC$57:$BC$66*CQ666 + (1-$BC$57:$BC$66)*CM666), N($AQ$57:$AQ$66&gt;$AO666))
) / 1000</f>
        <v>0</v>
      </c>
      <c r="CS666" s="232">
        <f t="shared" si="686"/>
        <v>20</v>
      </c>
      <c r="CT666" s="230">
        <f t="shared" si="672"/>
        <v>33</v>
      </c>
      <c r="CU666" s="235">
        <f t="shared" si="673"/>
        <v>4.8487499999999999</v>
      </c>
      <c r="CV666" s="235" cm="1">
        <f t="array" ref="CV666">$BI666 * IF($AH666&lt;=2,
SUMPRODUCT(INDEX($AR$62:$AT$66,,$AI666), INDEX($AU$62:$BA$66,,$AH666), 1 / ($BB$62:$BB$66*CU666 + (1-$BB$62:$BB$66)*CQ666), N($AQ$62:$AQ$66&gt;$AO666)),
SUMPRODUCT(INDEX($AR$47:$AT$56,,$AI666), INDEX($AU$47:$BA$56,,$AH666), 1 / ($BC$47:$BC$56*CU666 + (1-$BC$47:$BC$56)*CQ666), N($AQ$47:$AQ$56&gt;$AO666))
) / 1000</f>
        <v>0</v>
      </c>
      <c r="CW666" s="235" cm="1">
        <f t="array" ref="CW666">$BI666 * IF($AH666&lt;=2,
SUMPRODUCT(INDEX($AR$23:$AT$61,,$AI666), INDEX($AU$23:$BA$61,,$AH666), 1 / ($BB$23:$BB$61*CU666), N($AQ$23:$AQ$61&gt;$AO666)),
SUMPRODUCT(INDEX($AR$23:$AT$46,,$AI666), INDEX($AU$23:$BA$46,,$AH666), 1 / ($BC$23:$BC$46*CU666), N($AQ$23:$AQ$46&gt;$AO666))
) / 1000</f>
        <v>0</v>
      </c>
      <c r="CX666" s="230">
        <f t="shared" si="674"/>
        <v>0</v>
      </c>
      <c r="CY666" s="238"/>
    </row>
    <row r="667" spans="1:103" s="76" customFormat="1" ht="14.25" customHeight="1" x14ac:dyDescent="0.2">
      <c r="A667" s="231" t="b">
        <f t="shared" si="678"/>
        <v>0</v>
      </c>
      <c r="B667" s="245">
        <v>645</v>
      </c>
      <c r="C667" s="258"/>
      <c r="D667" s="258"/>
      <c r="E667" s="246"/>
      <c r="F667" s="247" t="str">
        <f>IF(ISBLANK(E667), "", VLOOKUP(E667, Z!$A$2:$C$4127, 3, FALSE))</f>
        <v/>
      </c>
      <c r="G667" s="248"/>
      <c r="H667" s="248"/>
      <c r="I667" s="249"/>
      <c r="J667" s="250"/>
      <c r="K667" s="259"/>
      <c r="L667" s="260"/>
      <c r="M667" s="252" t="str" cm="1">
        <f t="array" ref="M667">INDEX(Trad, 53, $A$20)</f>
        <v>Verschmutzt</v>
      </c>
      <c r="N667" s="253"/>
      <c r="O667" s="253"/>
      <c r="P667" s="254"/>
      <c r="Q667" s="251"/>
      <c r="R667" s="251"/>
      <c r="S667" s="264">
        <f t="shared" si="649"/>
        <v>0</v>
      </c>
      <c r="T667" s="252" t="str" cm="1">
        <f t="array" ref="T667">INDEX(Trad, 52, $A$20)</f>
        <v>Sauber</v>
      </c>
      <c r="U667" s="253"/>
      <c r="V667" s="253"/>
      <c r="W667" s="254"/>
      <c r="X667" s="251"/>
      <c r="Y667" s="251"/>
      <c r="Z667" s="264">
        <f t="shared" si="650"/>
        <v>0</v>
      </c>
      <c r="AA667" s="261"/>
      <c r="AB667" s="258"/>
      <c r="AC667" s="246"/>
      <c r="AD667" s="247" t="str">
        <f>IF(ISBLANK(AC667), "", VLOOKUP(AC667, Z!$A$2:$C$4127, 3, FALSE))</f>
        <v/>
      </c>
      <c r="AE667" s="262"/>
      <c r="AF667" s="263">
        <f t="shared" si="651"/>
        <v>0</v>
      </c>
      <c r="AG667" s="238"/>
      <c r="AH667" s="229">
        <f t="shared" si="675"/>
        <v>1</v>
      </c>
      <c r="AI667" s="229">
        <f t="shared" si="676"/>
        <v>1</v>
      </c>
      <c r="AJ667" s="229">
        <f t="shared" si="677"/>
        <v>0</v>
      </c>
      <c r="AK667" s="229">
        <v>0</v>
      </c>
      <c r="AL667" s="229">
        <v>0</v>
      </c>
      <c r="AM667" s="229">
        <v>1</v>
      </c>
      <c r="AN667" s="229">
        <v>0</v>
      </c>
      <c r="AO667" s="229">
        <f t="shared" si="652"/>
        <v>-100</v>
      </c>
      <c r="AP667" s="238"/>
      <c r="AQ667" s="255"/>
      <c r="AR667" s="255"/>
      <c r="AS667" s="256"/>
      <c r="AT667" s="256"/>
      <c r="AU667" s="256"/>
      <c r="AV667" s="256"/>
      <c r="AW667" s="256"/>
      <c r="AX667" s="256"/>
      <c r="AY667" s="256"/>
      <c r="AZ667" s="256"/>
      <c r="BA667" s="256"/>
      <c r="BB667" s="256"/>
      <c r="BC667" s="256"/>
      <c r="BD667" s="238"/>
      <c r="BE667" s="229" cm="1">
        <f t="array" ref="BE667">IF(ISBLANK(R667), INDEX(Use, $AH667, 4) - AM667*INDEX(Use, $AH667, 6), R667)</f>
        <v>5</v>
      </c>
      <c r="BF667" s="229">
        <f t="shared" si="653"/>
        <v>30</v>
      </c>
      <c r="BG667" s="229">
        <f t="shared" si="679"/>
        <v>13</v>
      </c>
      <c r="BH667" s="229">
        <f t="shared" si="680"/>
        <v>0</v>
      </c>
      <c r="BI667" s="234" cm="1">
        <f t="array" ref="BI667">K667/IF($L667&gt;0, INDEX($AU$23:$BA$77, $L667+20, $AH667), 1)</f>
        <v>0</v>
      </c>
      <c r="BJ667" s="230">
        <f t="shared" si="654"/>
        <v>0</v>
      </c>
      <c r="BK667" s="229">
        <v>35</v>
      </c>
      <c r="BL667" s="230">
        <f t="shared" si="655"/>
        <v>48</v>
      </c>
      <c r="BM667" s="235">
        <f t="shared" si="656"/>
        <v>2.9108720930232557</v>
      </c>
      <c r="BN667" s="235" cm="1">
        <f t="array" ref="BN667">$BI667 * SUMPRODUCT(INDEX($AR$77:$AT$82,,$AI667),INDEX($AU$77:$BA$82,,$AH667), N($AQ$77:$AQ$82&gt;$AO667)) / BM667 / 1000</f>
        <v>0</v>
      </c>
      <c r="BO667" s="232">
        <f t="shared" si="681"/>
        <v>30</v>
      </c>
      <c r="BP667" s="230">
        <f t="shared" si="657"/>
        <v>43</v>
      </c>
      <c r="BQ667" s="235">
        <f t="shared" si="658"/>
        <v>3.2938815789473681</v>
      </c>
      <c r="BR667" s="235" cm="1">
        <f t="array" ref="BR667">$BI667 * IF($AH667&lt;=2,
SUMPRODUCT(INDEX($AR$72:$AT$76,,$AI667), INDEX($AU$72:$BA$76,,$AH667), 1 / ($BB$72:$BB$76*BQ667 + (1-$BB$72:$BB$76)*BM667), N($AQ$72:$AQ$76&gt;$AO667)),
SUMPRODUCT(INDEX($AR$67:$AT$76,,$AI667), INDEX($AU$67:$BA$76,,$AH667), 1 / ($BC$67:$BC$76*BQ667 + (1-$BC$67:$BC$76)*BM667), N($AQ$67:$AQ$76&gt;$AO667))
) / 1000</f>
        <v>0</v>
      </c>
      <c r="BS667" s="232">
        <f t="shared" si="682"/>
        <v>25</v>
      </c>
      <c r="BT667" s="230">
        <f t="shared" si="659"/>
        <v>38</v>
      </c>
      <c r="BU667" s="235">
        <f t="shared" si="660"/>
        <v>3.792954545454545</v>
      </c>
      <c r="BV667" s="235" cm="1">
        <f t="array" ref="BV667">$BI667 * IF($AH667&lt;=2,
SUMPRODUCT(INDEX($AR$67:$AT$71,,$AI667), INDEX($AU$67:$BA$71,,$AH667), 1 / ($BB$67:$BB$71*BU667 + (1-$BB$67:$BB$71)*BQ667), N($AQ$67:$AQ$71&gt;$AO667)),
SUMPRODUCT(INDEX($AR$57:$AT$66,,$AI667), INDEX($AU$57:$BA$66,,$AH667), 1 / ($BC$57:$BC$66*BU667 + (1-$BC$57:$BC$66)*BQ667), N($AQ$57:$AQ$66&gt;$AO667))
) / 1000</f>
        <v>0</v>
      </c>
      <c r="BW667" s="232">
        <f t="shared" si="683"/>
        <v>20</v>
      </c>
      <c r="BX667" s="230">
        <f t="shared" si="661"/>
        <v>33</v>
      </c>
      <c r="BY667" s="235">
        <f t="shared" si="662"/>
        <v>4.4702678571428569</v>
      </c>
      <c r="BZ667" s="235" cm="1">
        <f t="array" ref="BZ667">$BI667 * IF($AH667&lt;=2,
SUMPRODUCT(INDEX($AR$62:$AT$66,,$AI667), INDEX($AU$62:$BA$66,,$AH667), 1 / ($BB$62:$BB$66*BY667 + (1-$BB$62:$BB$66)*BU667), N($AQ$62:$AQ$66&gt;$AO667)),
SUMPRODUCT(INDEX($AR$47:$AT$56,,$AI667), INDEX($AU$47:$BA$56,,$AH667), 1 / ($BC$47:$BC$56*BY667 + (1-$BC$47:$BC$56)*BU667), N($AQ$47:$AQ$56&gt;$AO667))
) / 1000</f>
        <v>0</v>
      </c>
      <c r="CA667" s="235" cm="1">
        <f t="array" ref="CA667">$BI667 * IF($AH667&lt;=2,
SUMPRODUCT(INDEX($AR$23:$AT$61,,$AI667), INDEX($AU$23:$BA$61,,$AH667), 1 / ($BB$23:$BB$61*BY667), N($AQ$23:$AQ$61&gt;$AO667)),
SUMPRODUCT(INDEX($AR$23:$AT$46,,$AI667), INDEX($AU$23:$BA$46,,$AH667), 1 / ($BC$23:$BC$46*BY667), N($AQ$23:$AQ$46&gt;$AO667))
) / 1000</f>
        <v>0</v>
      </c>
      <c r="CB667" s="230">
        <f t="shared" si="663"/>
        <v>0</v>
      </c>
      <c r="CC667" s="238"/>
      <c r="CD667" s="229" cm="1">
        <f t="array" ref="CD667">IF(ISBLANK(Y667), INDEX(Use, $AH667, 4) - AN667*INDEX(Use, $AH667, 6) - (Q667-X667), Y667)</f>
        <v>7</v>
      </c>
      <c r="CE667" s="229">
        <f t="shared" si="664"/>
        <v>32</v>
      </c>
      <c r="CF667" s="230">
        <f t="shared" si="665"/>
        <v>0</v>
      </c>
      <c r="CG667" s="229">
        <v>35</v>
      </c>
      <c r="CH667" s="230">
        <f t="shared" si="666"/>
        <v>48</v>
      </c>
      <c r="CI667" s="235">
        <f t="shared" si="667"/>
        <v>3.0748170731707316</v>
      </c>
      <c r="CJ667" s="235" cm="1">
        <f t="array" ref="CJ667">$BI667 * SUMPRODUCT(INDEX($AR$77:$AT$82,,$AI667),INDEX($AU$77:$BA$82,,$AH667), N($AQ$77:$AQ$82&gt;$AO667)) / CI667 / 1000</f>
        <v>0</v>
      </c>
      <c r="CK667" s="232">
        <f t="shared" si="684"/>
        <v>30</v>
      </c>
      <c r="CL667" s="230">
        <f t="shared" si="668"/>
        <v>43</v>
      </c>
      <c r="CM667" s="235">
        <f t="shared" si="669"/>
        <v>3.5018750000000001</v>
      </c>
      <c r="CN667" s="235" cm="1">
        <f t="array" ref="CN667">$BI667 * IF($AH667&lt;=2,
SUMPRODUCT(INDEX($AR$72:$AT$76,,$AI667), INDEX($AU$72:$BA$76,,$AH667), 1 / ($BB$72:$BB$76*CM667 + (1-$BB$72:$BB$76)*CI667), N($AQ$72:$AQ$76&gt;$AO667)),
SUMPRODUCT(INDEX($AR$67:$AT$76,,$AI667), INDEX($AU$67:$BA$76,,$AH667), 1 / ($BC$67:$BC$76*CM667 + (1-$BC$67:$BC$76)*CI667), N($AQ$67:$AQ$76&gt;$AO667))
) / 1000</f>
        <v>0</v>
      </c>
      <c r="CO667" s="232">
        <f t="shared" si="685"/>
        <v>25</v>
      </c>
      <c r="CP667" s="230">
        <f t="shared" si="670"/>
        <v>38</v>
      </c>
      <c r="CQ667" s="235">
        <f t="shared" si="671"/>
        <v>4.0666935483870965</v>
      </c>
      <c r="CR667" s="235" cm="1">
        <f t="array" ref="CR667">$BI667 * IF($AH667&lt;=2,
SUMPRODUCT(INDEX($AR$67:$AT$71,,$AI667), INDEX($AU$67:$BA$71,,$AH667), 1 / ($BB$67:$BB$71*CQ667 + (1-$BB$67:$BB$71)*CM667), N($AQ$67:$AQ$71&gt;$AO667)),
SUMPRODUCT(INDEX($AR$57:$AT$66,,$AI667), INDEX($AU$57:$BA$66,,$AH667), 1 / ($BC$57:$BC$66*CQ667 + (1-$BC$57:$BC$66)*CM667), N($AQ$57:$AQ$66&gt;$AO667))
) / 1000</f>
        <v>0</v>
      </c>
      <c r="CS667" s="232">
        <f t="shared" si="686"/>
        <v>20</v>
      </c>
      <c r="CT667" s="230">
        <f t="shared" si="672"/>
        <v>33</v>
      </c>
      <c r="CU667" s="235">
        <f t="shared" si="673"/>
        <v>4.8487499999999999</v>
      </c>
      <c r="CV667" s="235" cm="1">
        <f t="array" ref="CV667">$BI667 * IF($AH667&lt;=2,
SUMPRODUCT(INDEX($AR$62:$AT$66,,$AI667), INDEX($AU$62:$BA$66,,$AH667), 1 / ($BB$62:$BB$66*CU667 + (1-$BB$62:$BB$66)*CQ667), N($AQ$62:$AQ$66&gt;$AO667)),
SUMPRODUCT(INDEX($AR$47:$AT$56,,$AI667), INDEX($AU$47:$BA$56,,$AH667), 1 / ($BC$47:$BC$56*CU667 + (1-$BC$47:$BC$56)*CQ667), N($AQ$47:$AQ$56&gt;$AO667))
) / 1000</f>
        <v>0</v>
      </c>
      <c r="CW667" s="235" cm="1">
        <f t="array" ref="CW667">$BI667 * IF($AH667&lt;=2,
SUMPRODUCT(INDEX($AR$23:$AT$61,,$AI667), INDEX($AU$23:$BA$61,,$AH667), 1 / ($BB$23:$BB$61*CU667), N($AQ$23:$AQ$61&gt;$AO667)),
SUMPRODUCT(INDEX($AR$23:$AT$46,,$AI667), INDEX($AU$23:$BA$46,,$AH667), 1 / ($BC$23:$BC$46*CU667), N($AQ$23:$AQ$46&gt;$AO667))
) / 1000</f>
        <v>0</v>
      </c>
      <c r="CX667" s="230">
        <f t="shared" si="674"/>
        <v>0</v>
      </c>
      <c r="CY667" s="238"/>
    </row>
    <row r="668" spans="1:103" s="76" customFormat="1" ht="14.25" customHeight="1" x14ac:dyDescent="0.2">
      <c r="A668" s="231" t="b">
        <f t="shared" si="678"/>
        <v>0</v>
      </c>
      <c r="B668" s="245">
        <v>646</v>
      </c>
      <c r="C668" s="258"/>
      <c r="D668" s="258"/>
      <c r="E668" s="246"/>
      <c r="F668" s="247" t="str">
        <f>IF(ISBLANK(E668), "", VLOOKUP(E668, Z!$A$2:$C$4127, 3, FALSE))</f>
        <v/>
      </c>
      <c r="G668" s="248"/>
      <c r="H668" s="248"/>
      <c r="I668" s="249"/>
      <c r="J668" s="250"/>
      <c r="K668" s="259"/>
      <c r="L668" s="260"/>
      <c r="M668" s="252" t="str" cm="1">
        <f t="array" ref="M668">INDEX(Trad, 53, $A$20)</f>
        <v>Verschmutzt</v>
      </c>
      <c r="N668" s="253"/>
      <c r="O668" s="253"/>
      <c r="P668" s="254"/>
      <c r="Q668" s="251"/>
      <c r="R668" s="251"/>
      <c r="S668" s="264">
        <f t="shared" si="649"/>
        <v>0</v>
      </c>
      <c r="T668" s="252" t="str" cm="1">
        <f t="array" ref="T668">INDEX(Trad, 52, $A$20)</f>
        <v>Sauber</v>
      </c>
      <c r="U668" s="253"/>
      <c r="V668" s="253"/>
      <c r="W668" s="254"/>
      <c r="X668" s="251"/>
      <c r="Y668" s="251"/>
      <c r="Z668" s="264">
        <f t="shared" si="650"/>
        <v>0</v>
      </c>
      <c r="AA668" s="261"/>
      <c r="AB668" s="258"/>
      <c r="AC668" s="246"/>
      <c r="AD668" s="247" t="str">
        <f>IF(ISBLANK(AC668), "", VLOOKUP(AC668, Z!$A$2:$C$4127, 3, FALSE))</f>
        <v/>
      </c>
      <c r="AE668" s="262"/>
      <c r="AF668" s="263">
        <f t="shared" si="651"/>
        <v>0</v>
      </c>
      <c r="AG668" s="238"/>
      <c r="AH668" s="229">
        <f t="shared" si="675"/>
        <v>1</v>
      </c>
      <c r="AI668" s="229">
        <f t="shared" si="676"/>
        <v>1</v>
      </c>
      <c r="AJ668" s="229">
        <f t="shared" si="677"/>
        <v>0</v>
      </c>
      <c r="AK668" s="229">
        <v>0</v>
      </c>
      <c r="AL668" s="229">
        <v>0</v>
      </c>
      <c r="AM668" s="229">
        <v>1</v>
      </c>
      <c r="AN668" s="229">
        <v>0</v>
      </c>
      <c r="AO668" s="229">
        <f t="shared" si="652"/>
        <v>-100</v>
      </c>
      <c r="AP668" s="238"/>
      <c r="AQ668" s="255"/>
      <c r="AR668" s="255"/>
      <c r="AS668" s="256"/>
      <c r="AT668" s="256"/>
      <c r="AU668" s="256"/>
      <c r="AV668" s="256"/>
      <c r="AW668" s="256"/>
      <c r="AX668" s="256"/>
      <c r="AY668" s="256"/>
      <c r="AZ668" s="256"/>
      <c r="BA668" s="256"/>
      <c r="BB668" s="256"/>
      <c r="BC668" s="256"/>
      <c r="BD668" s="238"/>
      <c r="BE668" s="229" cm="1">
        <f t="array" ref="BE668">IF(ISBLANK(R668), INDEX(Use, $AH668, 4) - AM668*INDEX(Use, $AH668, 6), R668)</f>
        <v>5</v>
      </c>
      <c r="BF668" s="229">
        <f t="shared" si="653"/>
        <v>30</v>
      </c>
      <c r="BG668" s="229">
        <f t="shared" si="679"/>
        <v>13</v>
      </c>
      <c r="BH668" s="229">
        <f t="shared" si="680"/>
        <v>0</v>
      </c>
      <c r="BI668" s="234" cm="1">
        <f t="array" ref="BI668">K668/IF($L668&gt;0, INDEX($AU$23:$BA$77, $L668+20, $AH668), 1)</f>
        <v>0</v>
      </c>
      <c r="BJ668" s="230">
        <f t="shared" si="654"/>
        <v>0</v>
      </c>
      <c r="BK668" s="229">
        <v>35</v>
      </c>
      <c r="BL668" s="230">
        <f t="shared" si="655"/>
        <v>48</v>
      </c>
      <c r="BM668" s="235">
        <f t="shared" si="656"/>
        <v>2.9108720930232557</v>
      </c>
      <c r="BN668" s="235" cm="1">
        <f t="array" ref="BN668">$BI668 * SUMPRODUCT(INDEX($AR$77:$AT$82,,$AI668),INDEX($AU$77:$BA$82,,$AH668), N($AQ$77:$AQ$82&gt;$AO668)) / BM668 / 1000</f>
        <v>0</v>
      </c>
      <c r="BO668" s="232">
        <f t="shared" si="681"/>
        <v>30</v>
      </c>
      <c r="BP668" s="230">
        <f t="shared" si="657"/>
        <v>43</v>
      </c>
      <c r="BQ668" s="235">
        <f t="shared" si="658"/>
        <v>3.2938815789473681</v>
      </c>
      <c r="BR668" s="235" cm="1">
        <f t="array" ref="BR668">$BI668 * IF($AH668&lt;=2,
SUMPRODUCT(INDEX($AR$72:$AT$76,,$AI668), INDEX($AU$72:$BA$76,,$AH668), 1 / ($BB$72:$BB$76*BQ668 + (1-$BB$72:$BB$76)*BM668), N($AQ$72:$AQ$76&gt;$AO668)),
SUMPRODUCT(INDEX($AR$67:$AT$76,,$AI668), INDEX($AU$67:$BA$76,,$AH668), 1 / ($BC$67:$BC$76*BQ668 + (1-$BC$67:$BC$76)*BM668), N($AQ$67:$AQ$76&gt;$AO668))
) / 1000</f>
        <v>0</v>
      </c>
      <c r="BS668" s="232">
        <f t="shared" si="682"/>
        <v>25</v>
      </c>
      <c r="BT668" s="230">
        <f t="shared" si="659"/>
        <v>38</v>
      </c>
      <c r="BU668" s="235">
        <f t="shared" si="660"/>
        <v>3.792954545454545</v>
      </c>
      <c r="BV668" s="235" cm="1">
        <f t="array" ref="BV668">$BI668 * IF($AH668&lt;=2,
SUMPRODUCT(INDEX($AR$67:$AT$71,,$AI668), INDEX($AU$67:$BA$71,,$AH668), 1 / ($BB$67:$BB$71*BU668 + (1-$BB$67:$BB$71)*BQ668), N($AQ$67:$AQ$71&gt;$AO668)),
SUMPRODUCT(INDEX($AR$57:$AT$66,,$AI668), INDEX($AU$57:$BA$66,,$AH668), 1 / ($BC$57:$BC$66*BU668 + (1-$BC$57:$BC$66)*BQ668), N($AQ$57:$AQ$66&gt;$AO668))
) / 1000</f>
        <v>0</v>
      </c>
      <c r="BW668" s="232">
        <f t="shared" si="683"/>
        <v>20</v>
      </c>
      <c r="BX668" s="230">
        <f t="shared" si="661"/>
        <v>33</v>
      </c>
      <c r="BY668" s="235">
        <f t="shared" si="662"/>
        <v>4.4702678571428569</v>
      </c>
      <c r="BZ668" s="235" cm="1">
        <f t="array" ref="BZ668">$BI668 * IF($AH668&lt;=2,
SUMPRODUCT(INDEX($AR$62:$AT$66,,$AI668), INDEX($AU$62:$BA$66,,$AH668), 1 / ($BB$62:$BB$66*BY668 + (1-$BB$62:$BB$66)*BU668), N($AQ$62:$AQ$66&gt;$AO668)),
SUMPRODUCT(INDEX($AR$47:$AT$56,,$AI668), INDEX($AU$47:$BA$56,,$AH668), 1 / ($BC$47:$BC$56*BY668 + (1-$BC$47:$BC$56)*BU668), N($AQ$47:$AQ$56&gt;$AO668))
) / 1000</f>
        <v>0</v>
      </c>
      <c r="CA668" s="235" cm="1">
        <f t="array" ref="CA668">$BI668 * IF($AH668&lt;=2,
SUMPRODUCT(INDEX($AR$23:$AT$61,,$AI668), INDEX($AU$23:$BA$61,,$AH668), 1 / ($BB$23:$BB$61*BY668), N($AQ$23:$AQ$61&gt;$AO668)),
SUMPRODUCT(INDEX($AR$23:$AT$46,,$AI668), INDEX($AU$23:$BA$46,,$AH668), 1 / ($BC$23:$BC$46*BY668), N($AQ$23:$AQ$46&gt;$AO668))
) / 1000</f>
        <v>0</v>
      </c>
      <c r="CB668" s="230">
        <f t="shared" si="663"/>
        <v>0</v>
      </c>
      <c r="CC668" s="238"/>
      <c r="CD668" s="229" cm="1">
        <f t="array" ref="CD668">IF(ISBLANK(Y668), INDEX(Use, $AH668, 4) - AN668*INDEX(Use, $AH668, 6) - (Q668-X668), Y668)</f>
        <v>7</v>
      </c>
      <c r="CE668" s="229">
        <f t="shared" si="664"/>
        <v>32</v>
      </c>
      <c r="CF668" s="230">
        <f t="shared" si="665"/>
        <v>0</v>
      </c>
      <c r="CG668" s="229">
        <v>35</v>
      </c>
      <c r="CH668" s="230">
        <f t="shared" si="666"/>
        <v>48</v>
      </c>
      <c r="CI668" s="235">
        <f t="shared" si="667"/>
        <v>3.0748170731707316</v>
      </c>
      <c r="CJ668" s="235" cm="1">
        <f t="array" ref="CJ668">$BI668 * SUMPRODUCT(INDEX($AR$77:$AT$82,,$AI668),INDEX($AU$77:$BA$82,,$AH668), N($AQ$77:$AQ$82&gt;$AO668)) / CI668 / 1000</f>
        <v>0</v>
      </c>
      <c r="CK668" s="232">
        <f t="shared" si="684"/>
        <v>30</v>
      </c>
      <c r="CL668" s="230">
        <f t="shared" si="668"/>
        <v>43</v>
      </c>
      <c r="CM668" s="235">
        <f t="shared" si="669"/>
        <v>3.5018750000000001</v>
      </c>
      <c r="CN668" s="235" cm="1">
        <f t="array" ref="CN668">$BI668 * IF($AH668&lt;=2,
SUMPRODUCT(INDEX($AR$72:$AT$76,,$AI668), INDEX($AU$72:$BA$76,,$AH668), 1 / ($BB$72:$BB$76*CM668 + (1-$BB$72:$BB$76)*CI668), N($AQ$72:$AQ$76&gt;$AO668)),
SUMPRODUCT(INDEX($AR$67:$AT$76,,$AI668), INDEX($AU$67:$BA$76,,$AH668), 1 / ($BC$67:$BC$76*CM668 + (1-$BC$67:$BC$76)*CI668), N($AQ$67:$AQ$76&gt;$AO668))
) / 1000</f>
        <v>0</v>
      </c>
      <c r="CO668" s="232">
        <f t="shared" si="685"/>
        <v>25</v>
      </c>
      <c r="CP668" s="230">
        <f t="shared" si="670"/>
        <v>38</v>
      </c>
      <c r="CQ668" s="235">
        <f t="shared" si="671"/>
        <v>4.0666935483870965</v>
      </c>
      <c r="CR668" s="235" cm="1">
        <f t="array" ref="CR668">$BI668 * IF($AH668&lt;=2,
SUMPRODUCT(INDEX($AR$67:$AT$71,,$AI668), INDEX($AU$67:$BA$71,,$AH668), 1 / ($BB$67:$BB$71*CQ668 + (1-$BB$67:$BB$71)*CM668), N($AQ$67:$AQ$71&gt;$AO668)),
SUMPRODUCT(INDEX($AR$57:$AT$66,,$AI668), INDEX($AU$57:$BA$66,,$AH668), 1 / ($BC$57:$BC$66*CQ668 + (1-$BC$57:$BC$66)*CM668), N($AQ$57:$AQ$66&gt;$AO668))
) / 1000</f>
        <v>0</v>
      </c>
      <c r="CS668" s="232">
        <f t="shared" si="686"/>
        <v>20</v>
      </c>
      <c r="CT668" s="230">
        <f t="shared" si="672"/>
        <v>33</v>
      </c>
      <c r="CU668" s="235">
        <f t="shared" si="673"/>
        <v>4.8487499999999999</v>
      </c>
      <c r="CV668" s="235" cm="1">
        <f t="array" ref="CV668">$BI668 * IF($AH668&lt;=2,
SUMPRODUCT(INDEX($AR$62:$AT$66,,$AI668), INDEX($AU$62:$BA$66,,$AH668), 1 / ($BB$62:$BB$66*CU668 + (1-$BB$62:$BB$66)*CQ668), N($AQ$62:$AQ$66&gt;$AO668)),
SUMPRODUCT(INDEX($AR$47:$AT$56,,$AI668), INDEX($AU$47:$BA$56,,$AH668), 1 / ($BC$47:$BC$56*CU668 + (1-$BC$47:$BC$56)*CQ668), N($AQ$47:$AQ$56&gt;$AO668))
) / 1000</f>
        <v>0</v>
      </c>
      <c r="CW668" s="235" cm="1">
        <f t="array" ref="CW668">$BI668 * IF($AH668&lt;=2,
SUMPRODUCT(INDEX($AR$23:$AT$61,,$AI668), INDEX($AU$23:$BA$61,,$AH668), 1 / ($BB$23:$BB$61*CU668), N($AQ$23:$AQ$61&gt;$AO668)),
SUMPRODUCT(INDEX($AR$23:$AT$46,,$AI668), INDEX($AU$23:$BA$46,,$AH668), 1 / ($BC$23:$BC$46*CU668), N($AQ$23:$AQ$46&gt;$AO668))
) / 1000</f>
        <v>0</v>
      </c>
      <c r="CX668" s="230">
        <f t="shared" si="674"/>
        <v>0</v>
      </c>
      <c r="CY668" s="238"/>
    </row>
    <row r="669" spans="1:103" s="76" customFormat="1" ht="14.25" customHeight="1" x14ac:dyDescent="0.2">
      <c r="A669" s="231" t="b">
        <f t="shared" si="678"/>
        <v>0</v>
      </c>
      <c r="B669" s="245">
        <v>647</v>
      </c>
      <c r="C669" s="258"/>
      <c r="D669" s="258"/>
      <c r="E669" s="246"/>
      <c r="F669" s="247" t="str">
        <f>IF(ISBLANK(E669), "", VLOOKUP(E669, Z!$A$2:$C$4127, 3, FALSE))</f>
        <v/>
      </c>
      <c r="G669" s="248"/>
      <c r="H669" s="248"/>
      <c r="I669" s="249"/>
      <c r="J669" s="250"/>
      <c r="K669" s="259"/>
      <c r="L669" s="260"/>
      <c r="M669" s="252" t="str" cm="1">
        <f t="array" ref="M669">INDEX(Trad, 53, $A$20)</f>
        <v>Verschmutzt</v>
      </c>
      <c r="N669" s="253"/>
      <c r="O669" s="253"/>
      <c r="P669" s="254"/>
      <c r="Q669" s="251"/>
      <c r="R669" s="251"/>
      <c r="S669" s="264">
        <f t="shared" si="649"/>
        <v>0</v>
      </c>
      <c r="T669" s="252" t="str" cm="1">
        <f t="array" ref="T669">INDEX(Trad, 52, $A$20)</f>
        <v>Sauber</v>
      </c>
      <c r="U669" s="253"/>
      <c r="V669" s="253"/>
      <c r="W669" s="254"/>
      <c r="X669" s="251"/>
      <c r="Y669" s="251"/>
      <c r="Z669" s="264">
        <f t="shared" si="650"/>
        <v>0</v>
      </c>
      <c r="AA669" s="261"/>
      <c r="AB669" s="258"/>
      <c r="AC669" s="246"/>
      <c r="AD669" s="247" t="str">
        <f>IF(ISBLANK(AC669), "", VLOOKUP(AC669, Z!$A$2:$C$4127, 3, FALSE))</f>
        <v/>
      </c>
      <c r="AE669" s="262"/>
      <c r="AF669" s="263">
        <f t="shared" si="651"/>
        <v>0</v>
      </c>
      <c r="AG669" s="238"/>
      <c r="AH669" s="229">
        <f t="shared" si="675"/>
        <v>1</v>
      </c>
      <c r="AI669" s="229">
        <f t="shared" si="676"/>
        <v>1</v>
      </c>
      <c r="AJ669" s="229">
        <f t="shared" si="677"/>
        <v>0</v>
      </c>
      <c r="AK669" s="229">
        <v>0</v>
      </c>
      <c r="AL669" s="229">
        <v>0</v>
      </c>
      <c r="AM669" s="229">
        <v>1</v>
      </c>
      <c r="AN669" s="229">
        <v>0</v>
      </c>
      <c r="AO669" s="229">
        <f t="shared" si="652"/>
        <v>-100</v>
      </c>
      <c r="AP669" s="238"/>
      <c r="AQ669" s="255"/>
      <c r="AR669" s="255"/>
      <c r="AS669" s="256"/>
      <c r="AT669" s="256"/>
      <c r="AU669" s="256"/>
      <c r="AV669" s="256"/>
      <c r="AW669" s="256"/>
      <c r="AX669" s="256"/>
      <c r="AY669" s="256"/>
      <c r="AZ669" s="256"/>
      <c r="BA669" s="256"/>
      <c r="BB669" s="256"/>
      <c r="BC669" s="256"/>
      <c r="BD669" s="238"/>
      <c r="BE669" s="229" cm="1">
        <f t="array" ref="BE669">IF(ISBLANK(R669), INDEX(Use, $AH669, 4) - AM669*INDEX(Use, $AH669, 6), R669)</f>
        <v>5</v>
      </c>
      <c r="BF669" s="229">
        <f t="shared" si="653"/>
        <v>30</v>
      </c>
      <c r="BG669" s="229">
        <f t="shared" si="679"/>
        <v>13</v>
      </c>
      <c r="BH669" s="229">
        <f t="shared" si="680"/>
        <v>0</v>
      </c>
      <c r="BI669" s="234" cm="1">
        <f t="array" ref="BI669">K669/IF($L669&gt;0, INDEX($AU$23:$BA$77, $L669+20, $AH669), 1)</f>
        <v>0</v>
      </c>
      <c r="BJ669" s="230">
        <f t="shared" si="654"/>
        <v>0</v>
      </c>
      <c r="BK669" s="229">
        <v>35</v>
      </c>
      <c r="BL669" s="230">
        <f t="shared" si="655"/>
        <v>48</v>
      </c>
      <c r="BM669" s="235">
        <f t="shared" si="656"/>
        <v>2.9108720930232557</v>
      </c>
      <c r="BN669" s="235" cm="1">
        <f t="array" ref="BN669">$BI669 * SUMPRODUCT(INDEX($AR$77:$AT$82,,$AI669),INDEX($AU$77:$BA$82,,$AH669), N($AQ$77:$AQ$82&gt;$AO669)) / BM669 / 1000</f>
        <v>0</v>
      </c>
      <c r="BO669" s="232">
        <f t="shared" si="681"/>
        <v>30</v>
      </c>
      <c r="BP669" s="230">
        <f t="shared" si="657"/>
        <v>43</v>
      </c>
      <c r="BQ669" s="235">
        <f t="shared" si="658"/>
        <v>3.2938815789473681</v>
      </c>
      <c r="BR669" s="235" cm="1">
        <f t="array" ref="BR669">$BI669 * IF($AH669&lt;=2,
SUMPRODUCT(INDEX($AR$72:$AT$76,,$AI669), INDEX($AU$72:$BA$76,,$AH669), 1 / ($BB$72:$BB$76*BQ669 + (1-$BB$72:$BB$76)*BM669), N($AQ$72:$AQ$76&gt;$AO669)),
SUMPRODUCT(INDEX($AR$67:$AT$76,,$AI669), INDEX($AU$67:$BA$76,,$AH669), 1 / ($BC$67:$BC$76*BQ669 + (1-$BC$67:$BC$76)*BM669), N($AQ$67:$AQ$76&gt;$AO669))
) / 1000</f>
        <v>0</v>
      </c>
      <c r="BS669" s="232">
        <f t="shared" si="682"/>
        <v>25</v>
      </c>
      <c r="BT669" s="230">
        <f t="shared" si="659"/>
        <v>38</v>
      </c>
      <c r="BU669" s="235">
        <f t="shared" si="660"/>
        <v>3.792954545454545</v>
      </c>
      <c r="BV669" s="235" cm="1">
        <f t="array" ref="BV669">$BI669 * IF($AH669&lt;=2,
SUMPRODUCT(INDEX($AR$67:$AT$71,,$AI669), INDEX($AU$67:$BA$71,,$AH669), 1 / ($BB$67:$BB$71*BU669 + (1-$BB$67:$BB$71)*BQ669), N($AQ$67:$AQ$71&gt;$AO669)),
SUMPRODUCT(INDEX($AR$57:$AT$66,,$AI669), INDEX($AU$57:$BA$66,,$AH669), 1 / ($BC$57:$BC$66*BU669 + (1-$BC$57:$BC$66)*BQ669), N($AQ$57:$AQ$66&gt;$AO669))
) / 1000</f>
        <v>0</v>
      </c>
      <c r="BW669" s="232">
        <f t="shared" si="683"/>
        <v>20</v>
      </c>
      <c r="BX669" s="230">
        <f t="shared" si="661"/>
        <v>33</v>
      </c>
      <c r="BY669" s="235">
        <f t="shared" si="662"/>
        <v>4.4702678571428569</v>
      </c>
      <c r="BZ669" s="235" cm="1">
        <f t="array" ref="BZ669">$BI669 * IF($AH669&lt;=2,
SUMPRODUCT(INDEX($AR$62:$AT$66,,$AI669), INDEX($AU$62:$BA$66,,$AH669), 1 / ($BB$62:$BB$66*BY669 + (1-$BB$62:$BB$66)*BU669), N($AQ$62:$AQ$66&gt;$AO669)),
SUMPRODUCT(INDEX($AR$47:$AT$56,,$AI669), INDEX($AU$47:$BA$56,,$AH669), 1 / ($BC$47:$BC$56*BY669 + (1-$BC$47:$BC$56)*BU669), N($AQ$47:$AQ$56&gt;$AO669))
) / 1000</f>
        <v>0</v>
      </c>
      <c r="CA669" s="235" cm="1">
        <f t="array" ref="CA669">$BI669 * IF($AH669&lt;=2,
SUMPRODUCT(INDEX($AR$23:$AT$61,,$AI669), INDEX($AU$23:$BA$61,,$AH669), 1 / ($BB$23:$BB$61*BY669), N($AQ$23:$AQ$61&gt;$AO669)),
SUMPRODUCT(INDEX($AR$23:$AT$46,,$AI669), INDEX($AU$23:$BA$46,,$AH669), 1 / ($BC$23:$BC$46*BY669), N($AQ$23:$AQ$46&gt;$AO669))
) / 1000</f>
        <v>0</v>
      </c>
      <c r="CB669" s="230">
        <f t="shared" si="663"/>
        <v>0</v>
      </c>
      <c r="CC669" s="238"/>
      <c r="CD669" s="229" cm="1">
        <f t="array" ref="CD669">IF(ISBLANK(Y669), INDEX(Use, $AH669, 4) - AN669*INDEX(Use, $AH669, 6) - (Q669-X669), Y669)</f>
        <v>7</v>
      </c>
      <c r="CE669" s="229">
        <f t="shared" si="664"/>
        <v>32</v>
      </c>
      <c r="CF669" s="230">
        <f t="shared" si="665"/>
        <v>0</v>
      </c>
      <c r="CG669" s="229">
        <v>35</v>
      </c>
      <c r="CH669" s="230">
        <f t="shared" si="666"/>
        <v>48</v>
      </c>
      <c r="CI669" s="235">
        <f t="shared" si="667"/>
        <v>3.0748170731707316</v>
      </c>
      <c r="CJ669" s="235" cm="1">
        <f t="array" ref="CJ669">$BI669 * SUMPRODUCT(INDEX($AR$77:$AT$82,,$AI669),INDEX($AU$77:$BA$82,,$AH669), N($AQ$77:$AQ$82&gt;$AO669)) / CI669 / 1000</f>
        <v>0</v>
      </c>
      <c r="CK669" s="232">
        <f t="shared" si="684"/>
        <v>30</v>
      </c>
      <c r="CL669" s="230">
        <f t="shared" si="668"/>
        <v>43</v>
      </c>
      <c r="CM669" s="235">
        <f t="shared" si="669"/>
        <v>3.5018750000000001</v>
      </c>
      <c r="CN669" s="235" cm="1">
        <f t="array" ref="CN669">$BI669 * IF($AH669&lt;=2,
SUMPRODUCT(INDEX($AR$72:$AT$76,,$AI669), INDEX($AU$72:$BA$76,,$AH669), 1 / ($BB$72:$BB$76*CM669 + (1-$BB$72:$BB$76)*CI669), N($AQ$72:$AQ$76&gt;$AO669)),
SUMPRODUCT(INDEX($AR$67:$AT$76,,$AI669), INDEX($AU$67:$BA$76,,$AH669), 1 / ($BC$67:$BC$76*CM669 + (1-$BC$67:$BC$76)*CI669), N($AQ$67:$AQ$76&gt;$AO669))
) / 1000</f>
        <v>0</v>
      </c>
      <c r="CO669" s="232">
        <f t="shared" si="685"/>
        <v>25</v>
      </c>
      <c r="CP669" s="230">
        <f t="shared" si="670"/>
        <v>38</v>
      </c>
      <c r="CQ669" s="235">
        <f t="shared" si="671"/>
        <v>4.0666935483870965</v>
      </c>
      <c r="CR669" s="235" cm="1">
        <f t="array" ref="CR669">$BI669 * IF($AH669&lt;=2,
SUMPRODUCT(INDEX($AR$67:$AT$71,,$AI669), INDEX($AU$67:$BA$71,,$AH669), 1 / ($BB$67:$BB$71*CQ669 + (1-$BB$67:$BB$71)*CM669), N($AQ$67:$AQ$71&gt;$AO669)),
SUMPRODUCT(INDEX($AR$57:$AT$66,,$AI669), INDEX($AU$57:$BA$66,,$AH669), 1 / ($BC$57:$BC$66*CQ669 + (1-$BC$57:$BC$66)*CM669), N($AQ$57:$AQ$66&gt;$AO669))
) / 1000</f>
        <v>0</v>
      </c>
      <c r="CS669" s="232">
        <f t="shared" si="686"/>
        <v>20</v>
      </c>
      <c r="CT669" s="230">
        <f t="shared" si="672"/>
        <v>33</v>
      </c>
      <c r="CU669" s="235">
        <f t="shared" si="673"/>
        <v>4.8487499999999999</v>
      </c>
      <c r="CV669" s="235" cm="1">
        <f t="array" ref="CV669">$BI669 * IF($AH669&lt;=2,
SUMPRODUCT(INDEX($AR$62:$AT$66,,$AI669), INDEX($AU$62:$BA$66,,$AH669), 1 / ($BB$62:$BB$66*CU669 + (1-$BB$62:$BB$66)*CQ669), N($AQ$62:$AQ$66&gt;$AO669)),
SUMPRODUCT(INDEX($AR$47:$AT$56,,$AI669), INDEX($AU$47:$BA$56,,$AH669), 1 / ($BC$47:$BC$56*CU669 + (1-$BC$47:$BC$56)*CQ669), N($AQ$47:$AQ$56&gt;$AO669))
) / 1000</f>
        <v>0</v>
      </c>
      <c r="CW669" s="235" cm="1">
        <f t="array" ref="CW669">$BI669 * IF($AH669&lt;=2,
SUMPRODUCT(INDEX($AR$23:$AT$61,,$AI669), INDEX($AU$23:$BA$61,,$AH669), 1 / ($BB$23:$BB$61*CU669), N($AQ$23:$AQ$61&gt;$AO669)),
SUMPRODUCT(INDEX($AR$23:$AT$46,,$AI669), INDEX($AU$23:$BA$46,,$AH669), 1 / ($BC$23:$BC$46*CU669), N($AQ$23:$AQ$46&gt;$AO669))
) / 1000</f>
        <v>0</v>
      </c>
      <c r="CX669" s="230">
        <f t="shared" si="674"/>
        <v>0</v>
      </c>
      <c r="CY669" s="238"/>
    </row>
    <row r="670" spans="1:103" s="76" customFormat="1" ht="14.25" customHeight="1" x14ac:dyDescent="0.2">
      <c r="A670" s="231" t="b">
        <f t="shared" si="678"/>
        <v>0</v>
      </c>
      <c r="B670" s="245">
        <v>648</v>
      </c>
      <c r="C670" s="258"/>
      <c r="D670" s="258"/>
      <c r="E670" s="246"/>
      <c r="F670" s="247" t="str">
        <f>IF(ISBLANK(E670), "", VLOOKUP(E670, Z!$A$2:$C$4127, 3, FALSE))</f>
        <v/>
      </c>
      <c r="G670" s="248"/>
      <c r="H670" s="248"/>
      <c r="I670" s="249"/>
      <c r="J670" s="250"/>
      <c r="K670" s="259"/>
      <c r="L670" s="260"/>
      <c r="M670" s="252" t="str" cm="1">
        <f t="array" ref="M670">INDEX(Trad, 53, $A$20)</f>
        <v>Verschmutzt</v>
      </c>
      <c r="N670" s="253"/>
      <c r="O670" s="253"/>
      <c r="P670" s="254"/>
      <c r="Q670" s="251"/>
      <c r="R670" s="251"/>
      <c r="S670" s="264">
        <f t="shared" si="649"/>
        <v>0</v>
      </c>
      <c r="T670" s="252" t="str" cm="1">
        <f t="array" ref="T670">INDEX(Trad, 52, $A$20)</f>
        <v>Sauber</v>
      </c>
      <c r="U670" s="253"/>
      <c r="V670" s="253"/>
      <c r="W670" s="254"/>
      <c r="X670" s="251"/>
      <c r="Y670" s="251"/>
      <c r="Z670" s="264">
        <f t="shared" si="650"/>
        <v>0</v>
      </c>
      <c r="AA670" s="261"/>
      <c r="AB670" s="258"/>
      <c r="AC670" s="246"/>
      <c r="AD670" s="247" t="str">
        <f>IF(ISBLANK(AC670), "", VLOOKUP(AC670, Z!$A$2:$C$4127, 3, FALSE))</f>
        <v/>
      </c>
      <c r="AE670" s="262"/>
      <c r="AF670" s="263">
        <f t="shared" si="651"/>
        <v>0</v>
      </c>
      <c r="AG670" s="238"/>
      <c r="AH670" s="229">
        <f t="shared" si="675"/>
        <v>1</v>
      </c>
      <c r="AI670" s="229">
        <f t="shared" si="676"/>
        <v>1</v>
      </c>
      <c r="AJ670" s="229">
        <f t="shared" si="677"/>
        <v>0</v>
      </c>
      <c r="AK670" s="229">
        <v>0</v>
      </c>
      <c r="AL670" s="229">
        <v>0</v>
      </c>
      <c r="AM670" s="229">
        <v>1</v>
      </c>
      <c r="AN670" s="229">
        <v>0</v>
      </c>
      <c r="AO670" s="229">
        <f t="shared" si="652"/>
        <v>-100</v>
      </c>
      <c r="AP670" s="238"/>
      <c r="AQ670" s="255"/>
      <c r="AR670" s="255"/>
      <c r="AS670" s="256"/>
      <c r="AT670" s="256"/>
      <c r="AU670" s="256"/>
      <c r="AV670" s="256"/>
      <c r="AW670" s="256"/>
      <c r="AX670" s="256"/>
      <c r="AY670" s="256"/>
      <c r="AZ670" s="256"/>
      <c r="BA670" s="256"/>
      <c r="BB670" s="256"/>
      <c r="BC670" s="256"/>
      <c r="BD670" s="238"/>
      <c r="BE670" s="229" cm="1">
        <f t="array" ref="BE670">IF(ISBLANK(R670), INDEX(Use, $AH670, 4) - AM670*INDEX(Use, $AH670, 6), R670)</f>
        <v>5</v>
      </c>
      <c r="BF670" s="229">
        <f t="shared" si="653"/>
        <v>30</v>
      </c>
      <c r="BG670" s="229">
        <f t="shared" si="679"/>
        <v>13</v>
      </c>
      <c r="BH670" s="229">
        <f t="shared" si="680"/>
        <v>0</v>
      </c>
      <c r="BI670" s="234" cm="1">
        <f t="array" ref="BI670">K670/IF($L670&gt;0, INDEX($AU$23:$BA$77, $L670+20, $AH670), 1)</f>
        <v>0</v>
      </c>
      <c r="BJ670" s="230">
        <f t="shared" si="654"/>
        <v>0</v>
      </c>
      <c r="BK670" s="229">
        <v>35</v>
      </c>
      <c r="BL670" s="230">
        <f t="shared" si="655"/>
        <v>48</v>
      </c>
      <c r="BM670" s="235">
        <f t="shared" si="656"/>
        <v>2.9108720930232557</v>
      </c>
      <c r="BN670" s="235" cm="1">
        <f t="array" ref="BN670">$BI670 * SUMPRODUCT(INDEX($AR$77:$AT$82,,$AI670),INDEX($AU$77:$BA$82,,$AH670), N($AQ$77:$AQ$82&gt;$AO670)) / BM670 / 1000</f>
        <v>0</v>
      </c>
      <c r="BO670" s="232">
        <f t="shared" si="681"/>
        <v>30</v>
      </c>
      <c r="BP670" s="230">
        <f t="shared" si="657"/>
        <v>43</v>
      </c>
      <c r="BQ670" s="235">
        <f t="shared" si="658"/>
        <v>3.2938815789473681</v>
      </c>
      <c r="BR670" s="235" cm="1">
        <f t="array" ref="BR670">$BI670 * IF($AH670&lt;=2,
SUMPRODUCT(INDEX($AR$72:$AT$76,,$AI670), INDEX($AU$72:$BA$76,,$AH670), 1 / ($BB$72:$BB$76*BQ670 + (1-$BB$72:$BB$76)*BM670), N($AQ$72:$AQ$76&gt;$AO670)),
SUMPRODUCT(INDEX($AR$67:$AT$76,,$AI670), INDEX($AU$67:$BA$76,,$AH670), 1 / ($BC$67:$BC$76*BQ670 + (1-$BC$67:$BC$76)*BM670), N($AQ$67:$AQ$76&gt;$AO670))
) / 1000</f>
        <v>0</v>
      </c>
      <c r="BS670" s="232">
        <f t="shared" si="682"/>
        <v>25</v>
      </c>
      <c r="BT670" s="230">
        <f t="shared" si="659"/>
        <v>38</v>
      </c>
      <c r="BU670" s="235">
        <f t="shared" si="660"/>
        <v>3.792954545454545</v>
      </c>
      <c r="BV670" s="235" cm="1">
        <f t="array" ref="BV670">$BI670 * IF($AH670&lt;=2,
SUMPRODUCT(INDEX($AR$67:$AT$71,,$AI670), INDEX($AU$67:$BA$71,,$AH670), 1 / ($BB$67:$BB$71*BU670 + (1-$BB$67:$BB$71)*BQ670), N($AQ$67:$AQ$71&gt;$AO670)),
SUMPRODUCT(INDEX($AR$57:$AT$66,,$AI670), INDEX($AU$57:$BA$66,,$AH670), 1 / ($BC$57:$BC$66*BU670 + (1-$BC$57:$BC$66)*BQ670), N($AQ$57:$AQ$66&gt;$AO670))
) / 1000</f>
        <v>0</v>
      </c>
      <c r="BW670" s="232">
        <f t="shared" si="683"/>
        <v>20</v>
      </c>
      <c r="BX670" s="230">
        <f t="shared" si="661"/>
        <v>33</v>
      </c>
      <c r="BY670" s="235">
        <f t="shared" si="662"/>
        <v>4.4702678571428569</v>
      </c>
      <c r="BZ670" s="235" cm="1">
        <f t="array" ref="BZ670">$BI670 * IF($AH670&lt;=2,
SUMPRODUCT(INDEX($AR$62:$AT$66,,$AI670), INDEX($AU$62:$BA$66,,$AH670), 1 / ($BB$62:$BB$66*BY670 + (1-$BB$62:$BB$66)*BU670), N($AQ$62:$AQ$66&gt;$AO670)),
SUMPRODUCT(INDEX($AR$47:$AT$56,,$AI670), INDEX($AU$47:$BA$56,,$AH670), 1 / ($BC$47:$BC$56*BY670 + (1-$BC$47:$BC$56)*BU670), N($AQ$47:$AQ$56&gt;$AO670))
) / 1000</f>
        <v>0</v>
      </c>
      <c r="CA670" s="235" cm="1">
        <f t="array" ref="CA670">$BI670 * IF($AH670&lt;=2,
SUMPRODUCT(INDEX($AR$23:$AT$61,,$AI670), INDEX($AU$23:$BA$61,,$AH670), 1 / ($BB$23:$BB$61*BY670), N($AQ$23:$AQ$61&gt;$AO670)),
SUMPRODUCT(INDEX($AR$23:$AT$46,,$AI670), INDEX($AU$23:$BA$46,,$AH670), 1 / ($BC$23:$BC$46*BY670), N($AQ$23:$AQ$46&gt;$AO670))
) / 1000</f>
        <v>0</v>
      </c>
      <c r="CB670" s="230">
        <f t="shared" si="663"/>
        <v>0</v>
      </c>
      <c r="CC670" s="238"/>
      <c r="CD670" s="229" cm="1">
        <f t="array" ref="CD670">IF(ISBLANK(Y670), INDEX(Use, $AH670, 4) - AN670*INDEX(Use, $AH670, 6) - (Q670-X670), Y670)</f>
        <v>7</v>
      </c>
      <c r="CE670" s="229">
        <f t="shared" si="664"/>
        <v>32</v>
      </c>
      <c r="CF670" s="230">
        <f t="shared" si="665"/>
        <v>0</v>
      </c>
      <c r="CG670" s="229">
        <v>35</v>
      </c>
      <c r="CH670" s="230">
        <f t="shared" si="666"/>
        <v>48</v>
      </c>
      <c r="CI670" s="235">
        <f t="shared" si="667"/>
        <v>3.0748170731707316</v>
      </c>
      <c r="CJ670" s="235" cm="1">
        <f t="array" ref="CJ670">$BI670 * SUMPRODUCT(INDEX($AR$77:$AT$82,,$AI670),INDEX($AU$77:$BA$82,,$AH670), N($AQ$77:$AQ$82&gt;$AO670)) / CI670 / 1000</f>
        <v>0</v>
      </c>
      <c r="CK670" s="232">
        <f t="shared" si="684"/>
        <v>30</v>
      </c>
      <c r="CL670" s="230">
        <f t="shared" si="668"/>
        <v>43</v>
      </c>
      <c r="CM670" s="235">
        <f t="shared" si="669"/>
        <v>3.5018750000000001</v>
      </c>
      <c r="CN670" s="235" cm="1">
        <f t="array" ref="CN670">$BI670 * IF($AH670&lt;=2,
SUMPRODUCT(INDEX($AR$72:$AT$76,,$AI670), INDEX($AU$72:$BA$76,,$AH670), 1 / ($BB$72:$BB$76*CM670 + (1-$BB$72:$BB$76)*CI670), N($AQ$72:$AQ$76&gt;$AO670)),
SUMPRODUCT(INDEX($AR$67:$AT$76,,$AI670), INDEX($AU$67:$BA$76,,$AH670), 1 / ($BC$67:$BC$76*CM670 + (1-$BC$67:$BC$76)*CI670), N($AQ$67:$AQ$76&gt;$AO670))
) / 1000</f>
        <v>0</v>
      </c>
      <c r="CO670" s="232">
        <f t="shared" si="685"/>
        <v>25</v>
      </c>
      <c r="CP670" s="230">
        <f t="shared" si="670"/>
        <v>38</v>
      </c>
      <c r="CQ670" s="235">
        <f t="shared" si="671"/>
        <v>4.0666935483870965</v>
      </c>
      <c r="CR670" s="235" cm="1">
        <f t="array" ref="CR670">$BI670 * IF($AH670&lt;=2,
SUMPRODUCT(INDEX($AR$67:$AT$71,,$AI670), INDEX($AU$67:$BA$71,,$AH670), 1 / ($BB$67:$BB$71*CQ670 + (1-$BB$67:$BB$71)*CM670), N($AQ$67:$AQ$71&gt;$AO670)),
SUMPRODUCT(INDEX($AR$57:$AT$66,,$AI670), INDEX($AU$57:$BA$66,,$AH670), 1 / ($BC$57:$BC$66*CQ670 + (1-$BC$57:$BC$66)*CM670), N($AQ$57:$AQ$66&gt;$AO670))
) / 1000</f>
        <v>0</v>
      </c>
      <c r="CS670" s="232">
        <f t="shared" si="686"/>
        <v>20</v>
      </c>
      <c r="CT670" s="230">
        <f t="shared" si="672"/>
        <v>33</v>
      </c>
      <c r="CU670" s="235">
        <f t="shared" si="673"/>
        <v>4.8487499999999999</v>
      </c>
      <c r="CV670" s="235" cm="1">
        <f t="array" ref="CV670">$BI670 * IF($AH670&lt;=2,
SUMPRODUCT(INDEX($AR$62:$AT$66,,$AI670), INDEX($AU$62:$BA$66,,$AH670), 1 / ($BB$62:$BB$66*CU670 + (1-$BB$62:$BB$66)*CQ670), N($AQ$62:$AQ$66&gt;$AO670)),
SUMPRODUCT(INDEX($AR$47:$AT$56,,$AI670), INDEX($AU$47:$BA$56,,$AH670), 1 / ($BC$47:$BC$56*CU670 + (1-$BC$47:$BC$56)*CQ670), N($AQ$47:$AQ$56&gt;$AO670))
) / 1000</f>
        <v>0</v>
      </c>
      <c r="CW670" s="235" cm="1">
        <f t="array" ref="CW670">$BI670 * IF($AH670&lt;=2,
SUMPRODUCT(INDEX($AR$23:$AT$61,,$AI670), INDEX($AU$23:$BA$61,,$AH670), 1 / ($BB$23:$BB$61*CU670), N($AQ$23:$AQ$61&gt;$AO670)),
SUMPRODUCT(INDEX($AR$23:$AT$46,,$AI670), INDEX($AU$23:$BA$46,,$AH670), 1 / ($BC$23:$BC$46*CU670), N($AQ$23:$AQ$46&gt;$AO670))
) / 1000</f>
        <v>0</v>
      </c>
      <c r="CX670" s="230">
        <f t="shared" si="674"/>
        <v>0</v>
      </c>
      <c r="CY670" s="238"/>
    </row>
    <row r="671" spans="1:103" s="76" customFormat="1" ht="14.25" customHeight="1" x14ac:dyDescent="0.2">
      <c r="A671" s="231" t="b">
        <f t="shared" si="678"/>
        <v>0</v>
      </c>
      <c r="B671" s="245">
        <v>649</v>
      </c>
      <c r="C671" s="258"/>
      <c r="D671" s="258"/>
      <c r="E671" s="246"/>
      <c r="F671" s="247" t="str">
        <f>IF(ISBLANK(E671), "", VLOOKUP(E671, Z!$A$2:$C$4127, 3, FALSE))</f>
        <v/>
      </c>
      <c r="G671" s="248"/>
      <c r="H671" s="248"/>
      <c r="I671" s="249"/>
      <c r="J671" s="250"/>
      <c r="K671" s="259"/>
      <c r="L671" s="260"/>
      <c r="M671" s="252" t="str" cm="1">
        <f t="array" ref="M671">INDEX(Trad, 53, $A$20)</f>
        <v>Verschmutzt</v>
      </c>
      <c r="N671" s="253"/>
      <c r="O671" s="253"/>
      <c r="P671" s="254"/>
      <c r="Q671" s="251"/>
      <c r="R671" s="251"/>
      <c r="S671" s="264">
        <f t="shared" si="649"/>
        <v>0</v>
      </c>
      <c r="T671" s="252" t="str" cm="1">
        <f t="array" ref="T671">INDEX(Trad, 52, $A$20)</f>
        <v>Sauber</v>
      </c>
      <c r="U671" s="253"/>
      <c r="V671" s="253"/>
      <c r="W671" s="254"/>
      <c r="X671" s="251"/>
      <c r="Y671" s="251"/>
      <c r="Z671" s="264">
        <f t="shared" si="650"/>
        <v>0</v>
      </c>
      <c r="AA671" s="261"/>
      <c r="AB671" s="258"/>
      <c r="AC671" s="246"/>
      <c r="AD671" s="247" t="str">
        <f>IF(ISBLANK(AC671), "", VLOOKUP(AC671, Z!$A$2:$C$4127, 3, FALSE))</f>
        <v/>
      </c>
      <c r="AE671" s="262"/>
      <c r="AF671" s="263">
        <f t="shared" si="651"/>
        <v>0</v>
      </c>
      <c r="AG671" s="238"/>
      <c r="AH671" s="229">
        <f t="shared" si="675"/>
        <v>1</v>
      </c>
      <c r="AI671" s="229">
        <f t="shared" si="676"/>
        <v>1</v>
      </c>
      <c r="AJ671" s="229">
        <f t="shared" si="677"/>
        <v>0</v>
      </c>
      <c r="AK671" s="229">
        <v>0</v>
      </c>
      <c r="AL671" s="229">
        <v>0</v>
      </c>
      <c r="AM671" s="229">
        <v>1</v>
      </c>
      <c r="AN671" s="229">
        <v>0</v>
      </c>
      <c r="AO671" s="229">
        <f t="shared" si="652"/>
        <v>-100</v>
      </c>
      <c r="AP671" s="238"/>
      <c r="AQ671" s="255"/>
      <c r="AR671" s="255"/>
      <c r="AS671" s="256"/>
      <c r="AT671" s="256"/>
      <c r="AU671" s="256"/>
      <c r="AV671" s="256"/>
      <c r="AW671" s="256"/>
      <c r="AX671" s="256"/>
      <c r="AY671" s="256"/>
      <c r="AZ671" s="256"/>
      <c r="BA671" s="256"/>
      <c r="BB671" s="256"/>
      <c r="BC671" s="256"/>
      <c r="BD671" s="238"/>
      <c r="BE671" s="229" cm="1">
        <f t="array" ref="BE671">IF(ISBLANK(R671), INDEX(Use, $AH671, 4) - AM671*INDEX(Use, $AH671, 6), R671)</f>
        <v>5</v>
      </c>
      <c r="BF671" s="229">
        <f t="shared" si="653"/>
        <v>30</v>
      </c>
      <c r="BG671" s="229">
        <f t="shared" si="679"/>
        <v>13</v>
      </c>
      <c r="BH671" s="229">
        <f t="shared" si="680"/>
        <v>0</v>
      </c>
      <c r="BI671" s="234" cm="1">
        <f t="array" ref="BI671">K671/IF($L671&gt;0, INDEX($AU$23:$BA$77, $L671+20, $AH671), 1)</f>
        <v>0</v>
      </c>
      <c r="BJ671" s="230">
        <f t="shared" si="654"/>
        <v>0</v>
      </c>
      <c r="BK671" s="229">
        <v>35</v>
      </c>
      <c r="BL671" s="230">
        <f t="shared" si="655"/>
        <v>48</v>
      </c>
      <c r="BM671" s="235">
        <f t="shared" si="656"/>
        <v>2.9108720930232557</v>
      </c>
      <c r="BN671" s="235" cm="1">
        <f t="array" ref="BN671">$BI671 * SUMPRODUCT(INDEX($AR$77:$AT$82,,$AI671),INDEX($AU$77:$BA$82,,$AH671), N($AQ$77:$AQ$82&gt;$AO671)) / BM671 / 1000</f>
        <v>0</v>
      </c>
      <c r="BO671" s="232">
        <f t="shared" si="681"/>
        <v>30</v>
      </c>
      <c r="BP671" s="230">
        <f t="shared" si="657"/>
        <v>43</v>
      </c>
      <c r="BQ671" s="235">
        <f t="shared" si="658"/>
        <v>3.2938815789473681</v>
      </c>
      <c r="BR671" s="235" cm="1">
        <f t="array" ref="BR671">$BI671 * IF($AH671&lt;=2,
SUMPRODUCT(INDEX($AR$72:$AT$76,,$AI671), INDEX($AU$72:$BA$76,,$AH671), 1 / ($BB$72:$BB$76*BQ671 + (1-$BB$72:$BB$76)*BM671), N($AQ$72:$AQ$76&gt;$AO671)),
SUMPRODUCT(INDEX($AR$67:$AT$76,,$AI671), INDEX($AU$67:$BA$76,,$AH671), 1 / ($BC$67:$BC$76*BQ671 + (1-$BC$67:$BC$76)*BM671), N($AQ$67:$AQ$76&gt;$AO671))
) / 1000</f>
        <v>0</v>
      </c>
      <c r="BS671" s="232">
        <f t="shared" si="682"/>
        <v>25</v>
      </c>
      <c r="BT671" s="230">
        <f t="shared" si="659"/>
        <v>38</v>
      </c>
      <c r="BU671" s="235">
        <f t="shared" si="660"/>
        <v>3.792954545454545</v>
      </c>
      <c r="BV671" s="235" cm="1">
        <f t="array" ref="BV671">$BI671 * IF($AH671&lt;=2,
SUMPRODUCT(INDEX($AR$67:$AT$71,,$AI671), INDEX($AU$67:$BA$71,,$AH671), 1 / ($BB$67:$BB$71*BU671 + (1-$BB$67:$BB$71)*BQ671), N($AQ$67:$AQ$71&gt;$AO671)),
SUMPRODUCT(INDEX($AR$57:$AT$66,,$AI671), INDEX($AU$57:$BA$66,,$AH671), 1 / ($BC$57:$BC$66*BU671 + (1-$BC$57:$BC$66)*BQ671), N($AQ$57:$AQ$66&gt;$AO671))
) / 1000</f>
        <v>0</v>
      </c>
      <c r="BW671" s="232">
        <f t="shared" si="683"/>
        <v>20</v>
      </c>
      <c r="BX671" s="230">
        <f t="shared" si="661"/>
        <v>33</v>
      </c>
      <c r="BY671" s="235">
        <f t="shared" si="662"/>
        <v>4.4702678571428569</v>
      </c>
      <c r="BZ671" s="235" cm="1">
        <f t="array" ref="BZ671">$BI671 * IF($AH671&lt;=2,
SUMPRODUCT(INDEX($AR$62:$AT$66,,$AI671), INDEX($AU$62:$BA$66,,$AH671), 1 / ($BB$62:$BB$66*BY671 + (1-$BB$62:$BB$66)*BU671), N($AQ$62:$AQ$66&gt;$AO671)),
SUMPRODUCT(INDEX($AR$47:$AT$56,,$AI671), INDEX($AU$47:$BA$56,,$AH671), 1 / ($BC$47:$BC$56*BY671 + (1-$BC$47:$BC$56)*BU671), N($AQ$47:$AQ$56&gt;$AO671))
) / 1000</f>
        <v>0</v>
      </c>
      <c r="CA671" s="235" cm="1">
        <f t="array" ref="CA671">$BI671 * IF($AH671&lt;=2,
SUMPRODUCT(INDEX($AR$23:$AT$61,,$AI671), INDEX($AU$23:$BA$61,,$AH671), 1 / ($BB$23:$BB$61*BY671), N($AQ$23:$AQ$61&gt;$AO671)),
SUMPRODUCT(INDEX($AR$23:$AT$46,,$AI671), INDEX($AU$23:$BA$46,,$AH671), 1 / ($BC$23:$BC$46*BY671), N($AQ$23:$AQ$46&gt;$AO671))
) / 1000</f>
        <v>0</v>
      </c>
      <c r="CB671" s="230">
        <f t="shared" si="663"/>
        <v>0</v>
      </c>
      <c r="CC671" s="238"/>
      <c r="CD671" s="229" cm="1">
        <f t="array" ref="CD671">IF(ISBLANK(Y671), INDEX(Use, $AH671, 4) - AN671*INDEX(Use, $AH671, 6) - (Q671-X671), Y671)</f>
        <v>7</v>
      </c>
      <c r="CE671" s="229">
        <f t="shared" si="664"/>
        <v>32</v>
      </c>
      <c r="CF671" s="230">
        <f t="shared" si="665"/>
        <v>0</v>
      </c>
      <c r="CG671" s="229">
        <v>35</v>
      </c>
      <c r="CH671" s="230">
        <f t="shared" si="666"/>
        <v>48</v>
      </c>
      <c r="CI671" s="235">
        <f t="shared" si="667"/>
        <v>3.0748170731707316</v>
      </c>
      <c r="CJ671" s="235" cm="1">
        <f t="array" ref="CJ671">$BI671 * SUMPRODUCT(INDEX($AR$77:$AT$82,,$AI671),INDEX($AU$77:$BA$82,,$AH671), N($AQ$77:$AQ$82&gt;$AO671)) / CI671 / 1000</f>
        <v>0</v>
      </c>
      <c r="CK671" s="232">
        <f t="shared" si="684"/>
        <v>30</v>
      </c>
      <c r="CL671" s="230">
        <f t="shared" si="668"/>
        <v>43</v>
      </c>
      <c r="CM671" s="235">
        <f t="shared" si="669"/>
        <v>3.5018750000000001</v>
      </c>
      <c r="CN671" s="235" cm="1">
        <f t="array" ref="CN671">$BI671 * IF($AH671&lt;=2,
SUMPRODUCT(INDEX($AR$72:$AT$76,,$AI671), INDEX($AU$72:$BA$76,,$AH671), 1 / ($BB$72:$BB$76*CM671 + (1-$BB$72:$BB$76)*CI671), N($AQ$72:$AQ$76&gt;$AO671)),
SUMPRODUCT(INDEX($AR$67:$AT$76,,$AI671), INDEX($AU$67:$BA$76,,$AH671), 1 / ($BC$67:$BC$76*CM671 + (1-$BC$67:$BC$76)*CI671), N($AQ$67:$AQ$76&gt;$AO671))
) / 1000</f>
        <v>0</v>
      </c>
      <c r="CO671" s="232">
        <f t="shared" si="685"/>
        <v>25</v>
      </c>
      <c r="CP671" s="230">
        <f t="shared" si="670"/>
        <v>38</v>
      </c>
      <c r="CQ671" s="235">
        <f t="shared" si="671"/>
        <v>4.0666935483870965</v>
      </c>
      <c r="CR671" s="235" cm="1">
        <f t="array" ref="CR671">$BI671 * IF($AH671&lt;=2,
SUMPRODUCT(INDEX($AR$67:$AT$71,,$AI671), INDEX($AU$67:$BA$71,,$AH671), 1 / ($BB$67:$BB$71*CQ671 + (1-$BB$67:$BB$71)*CM671), N($AQ$67:$AQ$71&gt;$AO671)),
SUMPRODUCT(INDEX($AR$57:$AT$66,,$AI671), INDEX($AU$57:$BA$66,,$AH671), 1 / ($BC$57:$BC$66*CQ671 + (1-$BC$57:$BC$66)*CM671), N($AQ$57:$AQ$66&gt;$AO671))
) / 1000</f>
        <v>0</v>
      </c>
      <c r="CS671" s="232">
        <f t="shared" si="686"/>
        <v>20</v>
      </c>
      <c r="CT671" s="230">
        <f t="shared" si="672"/>
        <v>33</v>
      </c>
      <c r="CU671" s="235">
        <f t="shared" si="673"/>
        <v>4.8487499999999999</v>
      </c>
      <c r="CV671" s="235" cm="1">
        <f t="array" ref="CV671">$BI671 * IF($AH671&lt;=2,
SUMPRODUCT(INDEX($AR$62:$AT$66,,$AI671), INDEX($AU$62:$BA$66,,$AH671), 1 / ($BB$62:$BB$66*CU671 + (1-$BB$62:$BB$66)*CQ671), N($AQ$62:$AQ$66&gt;$AO671)),
SUMPRODUCT(INDEX($AR$47:$AT$56,,$AI671), INDEX($AU$47:$BA$56,,$AH671), 1 / ($BC$47:$BC$56*CU671 + (1-$BC$47:$BC$56)*CQ671), N($AQ$47:$AQ$56&gt;$AO671))
) / 1000</f>
        <v>0</v>
      </c>
      <c r="CW671" s="235" cm="1">
        <f t="array" ref="CW671">$BI671 * IF($AH671&lt;=2,
SUMPRODUCT(INDEX($AR$23:$AT$61,,$AI671), INDEX($AU$23:$BA$61,,$AH671), 1 / ($BB$23:$BB$61*CU671), N($AQ$23:$AQ$61&gt;$AO671)),
SUMPRODUCT(INDEX($AR$23:$AT$46,,$AI671), INDEX($AU$23:$BA$46,,$AH671), 1 / ($BC$23:$BC$46*CU671), N($AQ$23:$AQ$46&gt;$AO671))
) / 1000</f>
        <v>0</v>
      </c>
      <c r="CX671" s="230">
        <f t="shared" si="674"/>
        <v>0</v>
      </c>
      <c r="CY671" s="238"/>
    </row>
    <row r="672" spans="1:103" s="76" customFormat="1" ht="14.25" customHeight="1" x14ac:dyDescent="0.2">
      <c r="A672" s="231" t="b">
        <f t="shared" si="678"/>
        <v>0</v>
      </c>
      <c r="B672" s="245">
        <v>650</v>
      </c>
      <c r="C672" s="258"/>
      <c r="D672" s="258"/>
      <c r="E672" s="246"/>
      <c r="F672" s="247" t="str">
        <f>IF(ISBLANK(E672), "", VLOOKUP(E672, Z!$A$2:$C$4127, 3, FALSE))</f>
        <v/>
      </c>
      <c r="G672" s="248"/>
      <c r="H672" s="248"/>
      <c r="I672" s="249"/>
      <c r="J672" s="250"/>
      <c r="K672" s="259"/>
      <c r="L672" s="260"/>
      <c r="M672" s="252" t="str" cm="1">
        <f t="array" ref="M672">INDEX(Trad, 53, $A$20)</f>
        <v>Verschmutzt</v>
      </c>
      <c r="N672" s="253"/>
      <c r="O672" s="253"/>
      <c r="P672" s="254"/>
      <c r="Q672" s="251"/>
      <c r="R672" s="251"/>
      <c r="S672" s="264">
        <f t="shared" si="649"/>
        <v>0</v>
      </c>
      <c r="T672" s="252" t="str" cm="1">
        <f t="array" ref="T672">INDEX(Trad, 52, $A$20)</f>
        <v>Sauber</v>
      </c>
      <c r="U672" s="253"/>
      <c r="V672" s="253"/>
      <c r="W672" s="254"/>
      <c r="X672" s="251"/>
      <c r="Y672" s="251"/>
      <c r="Z672" s="264">
        <f t="shared" si="650"/>
        <v>0</v>
      </c>
      <c r="AA672" s="261"/>
      <c r="AB672" s="258"/>
      <c r="AC672" s="246"/>
      <c r="AD672" s="247" t="str">
        <f>IF(ISBLANK(AC672), "", VLOOKUP(AC672, Z!$A$2:$C$4127, 3, FALSE))</f>
        <v/>
      </c>
      <c r="AE672" s="262"/>
      <c r="AF672" s="263">
        <f t="shared" si="651"/>
        <v>0</v>
      </c>
      <c r="AG672" s="238"/>
      <c r="AH672" s="229">
        <f t="shared" si="675"/>
        <v>1</v>
      </c>
      <c r="AI672" s="229">
        <f t="shared" si="676"/>
        <v>1</v>
      </c>
      <c r="AJ672" s="229">
        <f t="shared" si="677"/>
        <v>0</v>
      </c>
      <c r="AK672" s="229">
        <v>0</v>
      </c>
      <c r="AL672" s="229">
        <v>0</v>
      </c>
      <c r="AM672" s="229">
        <v>1</v>
      </c>
      <c r="AN672" s="229">
        <v>0</v>
      </c>
      <c r="AO672" s="229">
        <f t="shared" si="652"/>
        <v>-100</v>
      </c>
      <c r="AP672" s="238"/>
      <c r="AQ672" s="255"/>
      <c r="AR672" s="255"/>
      <c r="AS672" s="256"/>
      <c r="AT672" s="256"/>
      <c r="AU672" s="256"/>
      <c r="AV672" s="256"/>
      <c r="AW672" s="256"/>
      <c r="AX672" s="256"/>
      <c r="AY672" s="256"/>
      <c r="AZ672" s="256"/>
      <c r="BA672" s="256"/>
      <c r="BB672" s="256"/>
      <c r="BC672" s="256"/>
      <c r="BD672" s="238"/>
      <c r="BE672" s="229" cm="1">
        <f t="array" ref="BE672">IF(ISBLANK(R672), INDEX(Use, $AH672, 4) - AM672*INDEX(Use, $AH672, 6), R672)</f>
        <v>5</v>
      </c>
      <c r="BF672" s="229">
        <f t="shared" si="653"/>
        <v>30</v>
      </c>
      <c r="BG672" s="229">
        <f t="shared" si="679"/>
        <v>13</v>
      </c>
      <c r="BH672" s="229">
        <f t="shared" si="680"/>
        <v>0</v>
      </c>
      <c r="BI672" s="234" cm="1">
        <f t="array" ref="BI672">K672/IF($L672&gt;0, INDEX($AU$23:$BA$77, $L672+20, $AH672), 1)</f>
        <v>0</v>
      </c>
      <c r="BJ672" s="230">
        <f t="shared" si="654"/>
        <v>0</v>
      </c>
      <c r="BK672" s="229">
        <v>35</v>
      </c>
      <c r="BL672" s="230">
        <f t="shared" si="655"/>
        <v>48</v>
      </c>
      <c r="BM672" s="235">
        <f t="shared" si="656"/>
        <v>2.9108720930232557</v>
      </c>
      <c r="BN672" s="235" cm="1">
        <f t="array" ref="BN672">$BI672 * SUMPRODUCT(INDEX($AR$77:$AT$82,,$AI672),INDEX($AU$77:$BA$82,,$AH672), N($AQ$77:$AQ$82&gt;$AO672)) / BM672 / 1000</f>
        <v>0</v>
      </c>
      <c r="BO672" s="232">
        <f t="shared" si="681"/>
        <v>30</v>
      </c>
      <c r="BP672" s="230">
        <f t="shared" si="657"/>
        <v>43</v>
      </c>
      <c r="BQ672" s="235">
        <f t="shared" si="658"/>
        <v>3.2938815789473681</v>
      </c>
      <c r="BR672" s="235" cm="1">
        <f t="array" ref="BR672">$BI672 * IF($AH672&lt;=2,
SUMPRODUCT(INDEX($AR$72:$AT$76,,$AI672), INDEX($AU$72:$BA$76,,$AH672), 1 / ($BB$72:$BB$76*BQ672 + (1-$BB$72:$BB$76)*BM672), N($AQ$72:$AQ$76&gt;$AO672)),
SUMPRODUCT(INDEX($AR$67:$AT$76,,$AI672), INDEX($AU$67:$BA$76,,$AH672), 1 / ($BC$67:$BC$76*BQ672 + (1-$BC$67:$BC$76)*BM672), N($AQ$67:$AQ$76&gt;$AO672))
) / 1000</f>
        <v>0</v>
      </c>
      <c r="BS672" s="232">
        <f t="shared" si="682"/>
        <v>25</v>
      </c>
      <c r="BT672" s="230">
        <f t="shared" si="659"/>
        <v>38</v>
      </c>
      <c r="BU672" s="235">
        <f t="shared" si="660"/>
        <v>3.792954545454545</v>
      </c>
      <c r="BV672" s="235" cm="1">
        <f t="array" ref="BV672">$BI672 * IF($AH672&lt;=2,
SUMPRODUCT(INDEX($AR$67:$AT$71,,$AI672), INDEX($AU$67:$BA$71,,$AH672), 1 / ($BB$67:$BB$71*BU672 + (1-$BB$67:$BB$71)*BQ672), N($AQ$67:$AQ$71&gt;$AO672)),
SUMPRODUCT(INDEX($AR$57:$AT$66,,$AI672), INDEX($AU$57:$BA$66,,$AH672), 1 / ($BC$57:$BC$66*BU672 + (1-$BC$57:$BC$66)*BQ672), N($AQ$57:$AQ$66&gt;$AO672))
) / 1000</f>
        <v>0</v>
      </c>
      <c r="BW672" s="232">
        <f t="shared" si="683"/>
        <v>20</v>
      </c>
      <c r="BX672" s="230">
        <f t="shared" si="661"/>
        <v>33</v>
      </c>
      <c r="BY672" s="235">
        <f t="shared" si="662"/>
        <v>4.4702678571428569</v>
      </c>
      <c r="BZ672" s="235" cm="1">
        <f t="array" ref="BZ672">$BI672 * IF($AH672&lt;=2,
SUMPRODUCT(INDEX($AR$62:$AT$66,,$AI672), INDEX($AU$62:$BA$66,,$AH672), 1 / ($BB$62:$BB$66*BY672 + (1-$BB$62:$BB$66)*BU672), N($AQ$62:$AQ$66&gt;$AO672)),
SUMPRODUCT(INDEX($AR$47:$AT$56,,$AI672), INDEX($AU$47:$BA$56,,$AH672), 1 / ($BC$47:$BC$56*BY672 + (1-$BC$47:$BC$56)*BU672), N($AQ$47:$AQ$56&gt;$AO672))
) / 1000</f>
        <v>0</v>
      </c>
      <c r="CA672" s="235" cm="1">
        <f t="array" ref="CA672">$BI672 * IF($AH672&lt;=2,
SUMPRODUCT(INDEX($AR$23:$AT$61,,$AI672), INDEX($AU$23:$BA$61,,$AH672), 1 / ($BB$23:$BB$61*BY672), N($AQ$23:$AQ$61&gt;$AO672)),
SUMPRODUCT(INDEX($AR$23:$AT$46,,$AI672), INDEX($AU$23:$BA$46,,$AH672), 1 / ($BC$23:$BC$46*BY672), N($AQ$23:$AQ$46&gt;$AO672))
) / 1000</f>
        <v>0</v>
      </c>
      <c r="CB672" s="230">
        <f t="shared" si="663"/>
        <v>0</v>
      </c>
      <c r="CC672" s="238"/>
      <c r="CD672" s="229" cm="1">
        <f t="array" ref="CD672">IF(ISBLANK(Y672), INDEX(Use, $AH672, 4) - AN672*INDEX(Use, $AH672, 6) - (Q672-X672), Y672)</f>
        <v>7</v>
      </c>
      <c r="CE672" s="229">
        <f t="shared" si="664"/>
        <v>32</v>
      </c>
      <c r="CF672" s="230">
        <f t="shared" si="665"/>
        <v>0</v>
      </c>
      <c r="CG672" s="229">
        <v>35</v>
      </c>
      <c r="CH672" s="230">
        <f t="shared" si="666"/>
        <v>48</v>
      </c>
      <c r="CI672" s="235">
        <f t="shared" si="667"/>
        <v>3.0748170731707316</v>
      </c>
      <c r="CJ672" s="235" cm="1">
        <f t="array" ref="CJ672">$BI672 * SUMPRODUCT(INDEX($AR$77:$AT$82,,$AI672),INDEX($AU$77:$BA$82,,$AH672), N($AQ$77:$AQ$82&gt;$AO672)) / CI672 / 1000</f>
        <v>0</v>
      </c>
      <c r="CK672" s="232">
        <f t="shared" si="684"/>
        <v>30</v>
      </c>
      <c r="CL672" s="230">
        <f t="shared" si="668"/>
        <v>43</v>
      </c>
      <c r="CM672" s="235">
        <f t="shared" si="669"/>
        <v>3.5018750000000001</v>
      </c>
      <c r="CN672" s="235" cm="1">
        <f t="array" ref="CN672">$BI672 * IF($AH672&lt;=2,
SUMPRODUCT(INDEX($AR$72:$AT$76,,$AI672), INDEX($AU$72:$BA$76,,$AH672), 1 / ($BB$72:$BB$76*CM672 + (1-$BB$72:$BB$76)*CI672), N($AQ$72:$AQ$76&gt;$AO672)),
SUMPRODUCT(INDEX($AR$67:$AT$76,,$AI672), INDEX($AU$67:$BA$76,,$AH672), 1 / ($BC$67:$BC$76*CM672 + (1-$BC$67:$BC$76)*CI672), N($AQ$67:$AQ$76&gt;$AO672))
) / 1000</f>
        <v>0</v>
      </c>
      <c r="CO672" s="232">
        <f t="shared" si="685"/>
        <v>25</v>
      </c>
      <c r="CP672" s="230">
        <f t="shared" si="670"/>
        <v>38</v>
      </c>
      <c r="CQ672" s="235">
        <f t="shared" si="671"/>
        <v>4.0666935483870965</v>
      </c>
      <c r="CR672" s="235" cm="1">
        <f t="array" ref="CR672">$BI672 * IF($AH672&lt;=2,
SUMPRODUCT(INDEX($AR$67:$AT$71,,$AI672), INDEX($AU$67:$BA$71,,$AH672), 1 / ($BB$67:$BB$71*CQ672 + (1-$BB$67:$BB$71)*CM672), N($AQ$67:$AQ$71&gt;$AO672)),
SUMPRODUCT(INDEX($AR$57:$AT$66,,$AI672), INDEX($AU$57:$BA$66,,$AH672), 1 / ($BC$57:$BC$66*CQ672 + (1-$BC$57:$BC$66)*CM672), N($AQ$57:$AQ$66&gt;$AO672))
) / 1000</f>
        <v>0</v>
      </c>
      <c r="CS672" s="232">
        <f t="shared" si="686"/>
        <v>20</v>
      </c>
      <c r="CT672" s="230">
        <f t="shared" si="672"/>
        <v>33</v>
      </c>
      <c r="CU672" s="235">
        <f t="shared" si="673"/>
        <v>4.8487499999999999</v>
      </c>
      <c r="CV672" s="235" cm="1">
        <f t="array" ref="CV672">$BI672 * IF($AH672&lt;=2,
SUMPRODUCT(INDEX($AR$62:$AT$66,,$AI672), INDEX($AU$62:$BA$66,,$AH672), 1 / ($BB$62:$BB$66*CU672 + (1-$BB$62:$BB$66)*CQ672), N($AQ$62:$AQ$66&gt;$AO672)),
SUMPRODUCT(INDEX($AR$47:$AT$56,,$AI672), INDEX($AU$47:$BA$56,,$AH672), 1 / ($BC$47:$BC$56*CU672 + (1-$BC$47:$BC$56)*CQ672), N($AQ$47:$AQ$56&gt;$AO672))
) / 1000</f>
        <v>0</v>
      </c>
      <c r="CW672" s="235" cm="1">
        <f t="array" ref="CW672">$BI672 * IF($AH672&lt;=2,
SUMPRODUCT(INDEX($AR$23:$AT$61,,$AI672), INDEX($AU$23:$BA$61,,$AH672), 1 / ($BB$23:$BB$61*CU672), N($AQ$23:$AQ$61&gt;$AO672)),
SUMPRODUCT(INDEX($AR$23:$AT$46,,$AI672), INDEX($AU$23:$BA$46,,$AH672), 1 / ($BC$23:$BC$46*CU672), N($AQ$23:$AQ$46&gt;$AO672))
) / 1000</f>
        <v>0</v>
      </c>
      <c r="CX672" s="230">
        <f t="shared" si="674"/>
        <v>0</v>
      </c>
      <c r="CY672" s="238"/>
    </row>
    <row r="673" spans="1:103" s="76" customFormat="1" ht="14.25" customHeight="1" x14ac:dyDescent="0.2">
      <c r="A673" s="231" t="b">
        <f t="shared" si="678"/>
        <v>0</v>
      </c>
      <c r="B673" s="245">
        <v>651</v>
      </c>
      <c r="C673" s="258"/>
      <c r="D673" s="258"/>
      <c r="E673" s="246"/>
      <c r="F673" s="247" t="str">
        <f>IF(ISBLANK(E673), "", VLOOKUP(E673, Z!$A$2:$C$4127, 3, FALSE))</f>
        <v/>
      </c>
      <c r="G673" s="248"/>
      <c r="H673" s="248"/>
      <c r="I673" s="249"/>
      <c r="J673" s="250"/>
      <c r="K673" s="259"/>
      <c r="L673" s="260"/>
      <c r="M673" s="252" t="str" cm="1">
        <f t="array" ref="M673">INDEX(Trad, 53, $A$20)</f>
        <v>Verschmutzt</v>
      </c>
      <c r="N673" s="253"/>
      <c r="O673" s="253"/>
      <c r="P673" s="254"/>
      <c r="Q673" s="251"/>
      <c r="R673" s="251"/>
      <c r="S673" s="264">
        <f t="shared" si="649"/>
        <v>0</v>
      </c>
      <c r="T673" s="252" t="str" cm="1">
        <f t="array" ref="T673">INDEX(Trad, 52, $A$20)</f>
        <v>Sauber</v>
      </c>
      <c r="U673" s="253"/>
      <c r="V673" s="253"/>
      <c r="W673" s="254"/>
      <c r="X673" s="251"/>
      <c r="Y673" s="251"/>
      <c r="Z673" s="264">
        <f t="shared" si="650"/>
        <v>0</v>
      </c>
      <c r="AA673" s="261"/>
      <c r="AB673" s="258"/>
      <c r="AC673" s="246"/>
      <c r="AD673" s="247" t="str">
        <f>IF(ISBLANK(AC673), "", VLOOKUP(AC673, Z!$A$2:$C$4127, 3, FALSE))</f>
        <v/>
      </c>
      <c r="AE673" s="262"/>
      <c r="AF673" s="263">
        <f t="shared" si="651"/>
        <v>0</v>
      </c>
      <c r="AG673" s="238"/>
      <c r="AH673" s="229">
        <f t="shared" si="675"/>
        <v>1</v>
      </c>
      <c r="AI673" s="229">
        <f t="shared" si="676"/>
        <v>1</v>
      </c>
      <c r="AJ673" s="229">
        <f t="shared" si="677"/>
        <v>0</v>
      </c>
      <c r="AK673" s="229">
        <v>0</v>
      </c>
      <c r="AL673" s="229">
        <v>0</v>
      </c>
      <c r="AM673" s="229">
        <v>1</v>
      </c>
      <c r="AN673" s="229">
        <v>0</v>
      </c>
      <c r="AO673" s="229">
        <f t="shared" si="652"/>
        <v>-100</v>
      </c>
      <c r="AP673" s="238"/>
      <c r="AQ673" s="255"/>
      <c r="AR673" s="255"/>
      <c r="AS673" s="256"/>
      <c r="AT673" s="256"/>
      <c r="AU673" s="256"/>
      <c r="AV673" s="256"/>
      <c r="AW673" s="256"/>
      <c r="AX673" s="256"/>
      <c r="AY673" s="256"/>
      <c r="AZ673" s="256"/>
      <c r="BA673" s="256"/>
      <c r="BB673" s="256"/>
      <c r="BC673" s="256"/>
      <c r="BD673" s="238"/>
      <c r="BE673" s="229" cm="1">
        <f t="array" ref="BE673">IF(ISBLANK(R673), INDEX(Use, $AH673, 4) - AM673*INDEX(Use, $AH673, 6), R673)</f>
        <v>5</v>
      </c>
      <c r="BF673" s="229">
        <f t="shared" si="653"/>
        <v>30</v>
      </c>
      <c r="BG673" s="229">
        <f t="shared" si="679"/>
        <v>13</v>
      </c>
      <c r="BH673" s="229">
        <f t="shared" si="680"/>
        <v>0</v>
      </c>
      <c r="BI673" s="234" cm="1">
        <f t="array" ref="BI673">K673/IF($L673&gt;0, INDEX($AU$23:$BA$77, $L673+20, $AH673), 1)</f>
        <v>0</v>
      </c>
      <c r="BJ673" s="230">
        <f t="shared" si="654"/>
        <v>0</v>
      </c>
      <c r="BK673" s="229">
        <v>35</v>
      </c>
      <c r="BL673" s="230">
        <f t="shared" si="655"/>
        <v>48</v>
      </c>
      <c r="BM673" s="235">
        <f t="shared" si="656"/>
        <v>2.9108720930232557</v>
      </c>
      <c r="BN673" s="235" cm="1">
        <f t="array" ref="BN673">$BI673 * SUMPRODUCT(INDEX($AR$77:$AT$82,,$AI673),INDEX($AU$77:$BA$82,,$AH673), N($AQ$77:$AQ$82&gt;$AO673)) / BM673 / 1000</f>
        <v>0</v>
      </c>
      <c r="BO673" s="232">
        <f t="shared" si="681"/>
        <v>30</v>
      </c>
      <c r="BP673" s="230">
        <f t="shared" si="657"/>
        <v>43</v>
      </c>
      <c r="BQ673" s="235">
        <f t="shared" si="658"/>
        <v>3.2938815789473681</v>
      </c>
      <c r="BR673" s="235" cm="1">
        <f t="array" ref="BR673">$BI673 * IF($AH673&lt;=2,
SUMPRODUCT(INDEX($AR$72:$AT$76,,$AI673), INDEX($AU$72:$BA$76,,$AH673), 1 / ($BB$72:$BB$76*BQ673 + (1-$BB$72:$BB$76)*BM673), N($AQ$72:$AQ$76&gt;$AO673)),
SUMPRODUCT(INDEX($AR$67:$AT$76,,$AI673), INDEX($AU$67:$BA$76,,$AH673), 1 / ($BC$67:$BC$76*BQ673 + (1-$BC$67:$BC$76)*BM673), N($AQ$67:$AQ$76&gt;$AO673))
) / 1000</f>
        <v>0</v>
      </c>
      <c r="BS673" s="232">
        <f t="shared" si="682"/>
        <v>25</v>
      </c>
      <c r="BT673" s="230">
        <f t="shared" si="659"/>
        <v>38</v>
      </c>
      <c r="BU673" s="235">
        <f t="shared" si="660"/>
        <v>3.792954545454545</v>
      </c>
      <c r="BV673" s="235" cm="1">
        <f t="array" ref="BV673">$BI673 * IF($AH673&lt;=2,
SUMPRODUCT(INDEX($AR$67:$AT$71,,$AI673), INDEX($AU$67:$BA$71,,$AH673), 1 / ($BB$67:$BB$71*BU673 + (1-$BB$67:$BB$71)*BQ673), N($AQ$67:$AQ$71&gt;$AO673)),
SUMPRODUCT(INDEX($AR$57:$AT$66,,$AI673), INDEX($AU$57:$BA$66,,$AH673), 1 / ($BC$57:$BC$66*BU673 + (1-$BC$57:$BC$66)*BQ673), N($AQ$57:$AQ$66&gt;$AO673))
) / 1000</f>
        <v>0</v>
      </c>
      <c r="BW673" s="232">
        <f t="shared" si="683"/>
        <v>20</v>
      </c>
      <c r="BX673" s="230">
        <f t="shared" si="661"/>
        <v>33</v>
      </c>
      <c r="BY673" s="235">
        <f t="shared" si="662"/>
        <v>4.4702678571428569</v>
      </c>
      <c r="BZ673" s="235" cm="1">
        <f t="array" ref="BZ673">$BI673 * IF($AH673&lt;=2,
SUMPRODUCT(INDEX($AR$62:$AT$66,,$AI673), INDEX($AU$62:$BA$66,,$AH673), 1 / ($BB$62:$BB$66*BY673 + (1-$BB$62:$BB$66)*BU673), N($AQ$62:$AQ$66&gt;$AO673)),
SUMPRODUCT(INDEX($AR$47:$AT$56,,$AI673), INDEX($AU$47:$BA$56,,$AH673), 1 / ($BC$47:$BC$56*BY673 + (1-$BC$47:$BC$56)*BU673), N($AQ$47:$AQ$56&gt;$AO673))
) / 1000</f>
        <v>0</v>
      </c>
      <c r="CA673" s="235" cm="1">
        <f t="array" ref="CA673">$BI673 * IF($AH673&lt;=2,
SUMPRODUCT(INDEX($AR$23:$AT$61,,$AI673), INDEX($AU$23:$BA$61,,$AH673), 1 / ($BB$23:$BB$61*BY673), N($AQ$23:$AQ$61&gt;$AO673)),
SUMPRODUCT(INDEX($AR$23:$AT$46,,$AI673), INDEX($AU$23:$BA$46,,$AH673), 1 / ($BC$23:$BC$46*BY673), N($AQ$23:$AQ$46&gt;$AO673))
) / 1000</f>
        <v>0</v>
      </c>
      <c r="CB673" s="230">
        <f t="shared" si="663"/>
        <v>0</v>
      </c>
      <c r="CC673" s="238"/>
      <c r="CD673" s="229" cm="1">
        <f t="array" ref="CD673">IF(ISBLANK(Y673), INDEX(Use, $AH673, 4) - AN673*INDEX(Use, $AH673, 6) - (Q673-X673), Y673)</f>
        <v>7</v>
      </c>
      <c r="CE673" s="229">
        <f t="shared" si="664"/>
        <v>32</v>
      </c>
      <c r="CF673" s="230">
        <f t="shared" si="665"/>
        <v>0</v>
      </c>
      <c r="CG673" s="229">
        <v>35</v>
      </c>
      <c r="CH673" s="230">
        <f t="shared" si="666"/>
        <v>48</v>
      </c>
      <c r="CI673" s="235">
        <f t="shared" si="667"/>
        <v>3.0748170731707316</v>
      </c>
      <c r="CJ673" s="235" cm="1">
        <f t="array" ref="CJ673">$BI673 * SUMPRODUCT(INDEX($AR$77:$AT$82,,$AI673),INDEX($AU$77:$BA$82,,$AH673), N($AQ$77:$AQ$82&gt;$AO673)) / CI673 / 1000</f>
        <v>0</v>
      </c>
      <c r="CK673" s="232">
        <f t="shared" si="684"/>
        <v>30</v>
      </c>
      <c r="CL673" s="230">
        <f t="shared" si="668"/>
        <v>43</v>
      </c>
      <c r="CM673" s="235">
        <f t="shared" si="669"/>
        <v>3.5018750000000001</v>
      </c>
      <c r="CN673" s="235" cm="1">
        <f t="array" ref="CN673">$BI673 * IF($AH673&lt;=2,
SUMPRODUCT(INDEX($AR$72:$AT$76,,$AI673), INDEX($AU$72:$BA$76,,$AH673), 1 / ($BB$72:$BB$76*CM673 + (1-$BB$72:$BB$76)*CI673), N($AQ$72:$AQ$76&gt;$AO673)),
SUMPRODUCT(INDEX($AR$67:$AT$76,,$AI673), INDEX($AU$67:$BA$76,,$AH673), 1 / ($BC$67:$BC$76*CM673 + (1-$BC$67:$BC$76)*CI673), N($AQ$67:$AQ$76&gt;$AO673))
) / 1000</f>
        <v>0</v>
      </c>
      <c r="CO673" s="232">
        <f t="shared" si="685"/>
        <v>25</v>
      </c>
      <c r="CP673" s="230">
        <f t="shared" si="670"/>
        <v>38</v>
      </c>
      <c r="CQ673" s="235">
        <f t="shared" si="671"/>
        <v>4.0666935483870965</v>
      </c>
      <c r="CR673" s="235" cm="1">
        <f t="array" ref="CR673">$BI673 * IF($AH673&lt;=2,
SUMPRODUCT(INDEX($AR$67:$AT$71,,$AI673), INDEX($AU$67:$BA$71,,$AH673), 1 / ($BB$67:$BB$71*CQ673 + (1-$BB$67:$BB$71)*CM673), N($AQ$67:$AQ$71&gt;$AO673)),
SUMPRODUCT(INDEX($AR$57:$AT$66,,$AI673), INDEX($AU$57:$BA$66,,$AH673), 1 / ($BC$57:$BC$66*CQ673 + (1-$BC$57:$BC$66)*CM673), N($AQ$57:$AQ$66&gt;$AO673))
) / 1000</f>
        <v>0</v>
      </c>
      <c r="CS673" s="232">
        <f t="shared" si="686"/>
        <v>20</v>
      </c>
      <c r="CT673" s="230">
        <f t="shared" si="672"/>
        <v>33</v>
      </c>
      <c r="CU673" s="235">
        <f t="shared" si="673"/>
        <v>4.8487499999999999</v>
      </c>
      <c r="CV673" s="235" cm="1">
        <f t="array" ref="CV673">$BI673 * IF($AH673&lt;=2,
SUMPRODUCT(INDEX($AR$62:$AT$66,,$AI673), INDEX($AU$62:$BA$66,,$AH673), 1 / ($BB$62:$BB$66*CU673 + (1-$BB$62:$BB$66)*CQ673), N($AQ$62:$AQ$66&gt;$AO673)),
SUMPRODUCT(INDEX($AR$47:$AT$56,,$AI673), INDEX($AU$47:$BA$56,,$AH673), 1 / ($BC$47:$BC$56*CU673 + (1-$BC$47:$BC$56)*CQ673), N($AQ$47:$AQ$56&gt;$AO673))
) / 1000</f>
        <v>0</v>
      </c>
      <c r="CW673" s="235" cm="1">
        <f t="array" ref="CW673">$BI673 * IF($AH673&lt;=2,
SUMPRODUCT(INDEX($AR$23:$AT$61,,$AI673), INDEX($AU$23:$BA$61,,$AH673), 1 / ($BB$23:$BB$61*CU673), N($AQ$23:$AQ$61&gt;$AO673)),
SUMPRODUCT(INDEX($AR$23:$AT$46,,$AI673), INDEX($AU$23:$BA$46,,$AH673), 1 / ($BC$23:$BC$46*CU673), N($AQ$23:$AQ$46&gt;$AO673))
) / 1000</f>
        <v>0</v>
      </c>
      <c r="CX673" s="230">
        <f t="shared" si="674"/>
        <v>0</v>
      </c>
      <c r="CY673" s="238"/>
    </row>
    <row r="674" spans="1:103" s="76" customFormat="1" ht="14.25" customHeight="1" x14ac:dyDescent="0.2">
      <c r="A674" s="231" t="b">
        <f t="shared" si="678"/>
        <v>0</v>
      </c>
      <c r="B674" s="245">
        <v>652</v>
      </c>
      <c r="C674" s="258"/>
      <c r="D674" s="258"/>
      <c r="E674" s="246"/>
      <c r="F674" s="247" t="str">
        <f>IF(ISBLANK(E674), "", VLOOKUP(E674, Z!$A$2:$C$4127, 3, FALSE))</f>
        <v/>
      </c>
      <c r="G674" s="248"/>
      <c r="H674" s="248"/>
      <c r="I674" s="249"/>
      <c r="J674" s="250"/>
      <c r="K674" s="259"/>
      <c r="L674" s="260"/>
      <c r="M674" s="252" t="str" cm="1">
        <f t="array" ref="M674">INDEX(Trad, 53, $A$20)</f>
        <v>Verschmutzt</v>
      </c>
      <c r="N674" s="253"/>
      <c r="O674" s="253"/>
      <c r="P674" s="254"/>
      <c r="Q674" s="251"/>
      <c r="R674" s="251"/>
      <c r="S674" s="264">
        <f t="shared" si="649"/>
        <v>0</v>
      </c>
      <c r="T674" s="252" t="str" cm="1">
        <f t="array" ref="T674">INDEX(Trad, 52, $A$20)</f>
        <v>Sauber</v>
      </c>
      <c r="U674" s="253"/>
      <c r="V674" s="253"/>
      <c r="W674" s="254"/>
      <c r="X674" s="251"/>
      <c r="Y674" s="251"/>
      <c r="Z674" s="264">
        <f t="shared" si="650"/>
        <v>0</v>
      </c>
      <c r="AA674" s="261"/>
      <c r="AB674" s="258"/>
      <c r="AC674" s="246"/>
      <c r="AD674" s="247" t="str">
        <f>IF(ISBLANK(AC674), "", VLOOKUP(AC674, Z!$A$2:$C$4127, 3, FALSE))</f>
        <v/>
      </c>
      <c r="AE674" s="262"/>
      <c r="AF674" s="263">
        <f t="shared" si="651"/>
        <v>0</v>
      </c>
      <c r="AG674" s="238"/>
      <c r="AH674" s="229">
        <f t="shared" si="675"/>
        <v>1</v>
      </c>
      <c r="AI674" s="229">
        <f t="shared" si="676"/>
        <v>1</v>
      </c>
      <c r="AJ674" s="229">
        <f t="shared" si="677"/>
        <v>0</v>
      </c>
      <c r="AK674" s="229">
        <v>0</v>
      </c>
      <c r="AL674" s="229">
        <v>0</v>
      </c>
      <c r="AM674" s="229">
        <v>1</v>
      </c>
      <c r="AN674" s="229">
        <v>0</v>
      </c>
      <c r="AO674" s="229">
        <f t="shared" si="652"/>
        <v>-100</v>
      </c>
      <c r="AP674" s="238"/>
      <c r="AQ674" s="255"/>
      <c r="AR674" s="255"/>
      <c r="AS674" s="256"/>
      <c r="AT674" s="256"/>
      <c r="AU674" s="256"/>
      <c r="AV674" s="256"/>
      <c r="AW674" s="256"/>
      <c r="AX674" s="256"/>
      <c r="AY674" s="256"/>
      <c r="AZ674" s="256"/>
      <c r="BA674" s="256"/>
      <c r="BB674" s="256"/>
      <c r="BC674" s="256"/>
      <c r="BD674" s="238"/>
      <c r="BE674" s="229" cm="1">
        <f t="array" ref="BE674">IF(ISBLANK(R674), INDEX(Use, $AH674, 4) - AM674*INDEX(Use, $AH674, 6), R674)</f>
        <v>5</v>
      </c>
      <c r="BF674" s="229">
        <f t="shared" si="653"/>
        <v>30</v>
      </c>
      <c r="BG674" s="229">
        <f t="shared" si="679"/>
        <v>13</v>
      </c>
      <c r="BH674" s="229">
        <f t="shared" si="680"/>
        <v>0</v>
      </c>
      <c r="BI674" s="234" cm="1">
        <f t="array" ref="BI674">K674/IF($L674&gt;0, INDEX($AU$23:$BA$77, $L674+20, $AH674), 1)</f>
        <v>0</v>
      </c>
      <c r="BJ674" s="230">
        <f t="shared" si="654"/>
        <v>0</v>
      </c>
      <c r="BK674" s="229">
        <v>35</v>
      </c>
      <c r="BL674" s="230">
        <f t="shared" si="655"/>
        <v>48</v>
      </c>
      <c r="BM674" s="235">
        <f t="shared" si="656"/>
        <v>2.9108720930232557</v>
      </c>
      <c r="BN674" s="235" cm="1">
        <f t="array" ref="BN674">$BI674 * SUMPRODUCT(INDEX($AR$77:$AT$82,,$AI674),INDEX($AU$77:$BA$82,,$AH674), N($AQ$77:$AQ$82&gt;$AO674)) / BM674 / 1000</f>
        <v>0</v>
      </c>
      <c r="BO674" s="232">
        <f t="shared" si="681"/>
        <v>30</v>
      </c>
      <c r="BP674" s="230">
        <f t="shared" si="657"/>
        <v>43</v>
      </c>
      <c r="BQ674" s="235">
        <f t="shared" si="658"/>
        <v>3.2938815789473681</v>
      </c>
      <c r="BR674" s="235" cm="1">
        <f t="array" ref="BR674">$BI674 * IF($AH674&lt;=2,
SUMPRODUCT(INDEX($AR$72:$AT$76,,$AI674), INDEX($AU$72:$BA$76,,$AH674), 1 / ($BB$72:$BB$76*BQ674 + (1-$BB$72:$BB$76)*BM674), N($AQ$72:$AQ$76&gt;$AO674)),
SUMPRODUCT(INDEX($AR$67:$AT$76,,$AI674), INDEX($AU$67:$BA$76,,$AH674), 1 / ($BC$67:$BC$76*BQ674 + (1-$BC$67:$BC$76)*BM674), N($AQ$67:$AQ$76&gt;$AO674))
) / 1000</f>
        <v>0</v>
      </c>
      <c r="BS674" s="232">
        <f t="shared" si="682"/>
        <v>25</v>
      </c>
      <c r="BT674" s="230">
        <f t="shared" si="659"/>
        <v>38</v>
      </c>
      <c r="BU674" s="235">
        <f t="shared" si="660"/>
        <v>3.792954545454545</v>
      </c>
      <c r="BV674" s="235" cm="1">
        <f t="array" ref="BV674">$BI674 * IF($AH674&lt;=2,
SUMPRODUCT(INDEX($AR$67:$AT$71,,$AI674), INDEX($AU$67:$BA$71,,$AH674), 1 / ($BB$67:$BB$71*BU674 + (1-$BB$67:$BB$71)*BQ674), N($AQ$67:$AQ$71&gt;$AO674)),
SUMPRODUCT(INDEX($AR$57:$AT$66,,$AI674), INDEX($AU$57:$BA$66,,$AH674), 1 / ($BC$57:$BC$66*BU674 + (1-$BC$57:$BC$66)*BQ674), N($AQ$57:$AQ$66&gt;$AO674))
) / 1000</f>
        <v>0</v>
      </c>
      <c r="BW674" s="232">
        <f t="shared" si="683"/>
        <v>20</v>
      </c>
      <c r="BX674" s="230">
        <f t="shared" si="661"/>
        <v>33</v>
      </c>
      <c r="BY674" s="235">
        <f t="shared" si="662"/>
        <v>4.4702678571428569</v>
      </c>
      <c r="BZ674" s="235" cm="1">
        <f t="array" ref="BZ674">$BI674 * IF($AH674&lt;=2,
SUMPRODUCT(INDEX($AR$62:$AT$66,,$AI674), INDEX($AU$62:$BA$66,,$AH674), 1 / ($BB$62:$BB$66*BY674 + (1-$BB$62:$BB$66)*BU674), N($AQ$62:$AQ$66&gt;$AO674)),
SUMPRODUCT(INDEX($AR$47:$AT$56,,$AI674), INDEX($AU$47:$BA$56,,$AH674), 1 / ($BC$47:$BC$56*BY674 + (1-$BC$47:$BC$56)*BU674), N($AQ$47:$AQ$56&gt;$AO674))
) / 1000</f>
        <v>0</v>
      </c>
      <c r="CA674" s="235" cm="1">
        <f t="array" ref="CA674">$BI674 * IF($AH674&lt;=2,
SUMPRODUCT(INDEX($AR$23:$AT$61,,$AI674), INDEX($AU$23:$BA$61,,$AH674), 1 / ($BB$23:$BB$61*BY674), N($AQ$23:$AQ$61&gt;$AO674)),
SUMPRODUCT(INDEX($AR$23:$AT$46,,$AI674), INDEX($AU$23:$BA$46,,$AH674), 1 / ($BC$23:$BC$46*BY674), N($AQ$23:$AQ$46&gt;$AO674))
) / 1000</f>
        <v>0</v>
      </c>
      <c r="CB674" s="230">
        <f t="shared" si="663"/>
        <v>0</v>
      </c>
      <c r="CC674" s="238"/>
      <c r="CD674" s="229" cm="1">
        <f t="array" ref="CD674">IF(ISBLANK(Y674), INDEX(Use, $AH674, 4) - AN674*INDEX(Use, $AH674, 6) - (Q674-X674), Y674)</f>
        <v>7</v>
      </c>
      <c r="CE674" s="229">
        <f t="shared" si="664"/>
        <v>32</v>
      </c>
      <c r="CF674" s="230">
        <f t="shared" si="665"/>
        <v>0</v>
      </c>
      <c r="CG674" s="229">
        <v>35</v>
      </c>
      <c r="CH674" s="230">
        <f t="shared" si="666"/>
        <v>48</v>
      </c>
      <c r="CI674" s="235">
        <f t="shared" si="667"/>
        <v>3.0748170731707316</v>
      </c>
      <c r="CJ674" s="235" cm="1">
        <f t="array" ref="CJ674">$BI674 * SUMPRODUCT(INDEX($AR$77:$AT$82,,$AI674),INDEX($AU$77:$BA$82,,$AH674), N($AQ$77:$AQ$82&gt;$AO674)) / CI674 / 1000</f>
        <v>0</v>
      </c>
      <c r="CK674" s="232">
        <f t="shared" si="684"/>
        <v>30</v>
      </c>
      <c r="CL674" s="230">
        <f t="shared" si="668"/>
        <v>43</v>
      </c>
      <c r="CM674" s="235">
        <f t="shared" si="669"/>
        <v>3.5018750000000001</v>
      </c>
      <c r="CN674" s="235" cm="1">
        <f t="array" ref="CN674">$BI674 * IF($AH674&lt;=2,
SUMPRODUCT(INDEX($AR$72:$AT$76,,$AI674), INDEX($AU$72:$BA$76,,$AH674), 1 / ($BB$72:$BB$76*CM674 + (1-$BB$72:$BB$76)*CI674), N($AQ$72:$AQ$76&gt;$AO674)),
SUMPRODUCT(INDEX($AR$67:$AT$76,,$AI674), INDEX($AU$67:$BA$76,,$AH674), 1 / ($BC$67:$BC$76*CM674 + (1-$BC$67:$BC$76)*CI674), N($AQ$67:$AQ$76&gt;$AO674))
) / 1000</f>
        <v>0</v>
      </c>
      <c r="CO674" s="232">
        <f t="shared" si="685"/>
        <v>25</v>
      </c>
      <c r="CP674" s="230">
        <f t="shared" si="670"/>
        <v>38</v>
      </c>
      <c r="CQ674" s="235">
        <f t="shared" si="671"/>
        <v>4.0666935483870965</v>
      </c>
      <c r="CR674" s="235" cm="1">
        <f t="array" ref="CR674">$BI674 * IF($AH674&lt;=2,
SUMPRODUCT(INDEX($AR$67:$AT$71,,$AI674), INDEX($AU$67:$BA$71,,$AH674), 1 / ($BB$67:$BB$71*CQ674 + (1-$BB$67:$BB$71)*CM674), N($AQ$67:$AQ$71&gt;$AO674)),
SUMPRODUCT(INDEX($AR$57:$AT$66,,$AI674), INDEX($AU$57:$BA$66,,$AH674), 1 / ($BC$57:$BC$66*CQ674 + (1-$BC$57:$BC$66)*CM674), N($AQ$57:$AQ$66&gt;$AO674))
) / 1000</f>
        <v>0</v>
      </c>
      <c r="CS674" s="232">
        <f t="shared" si="686"/>
        <v>20</v>
      </c>
      <c r="CT674" s="230">
        <f t="shared" si="672"/>
        <v>33</v>
      </c>
      <c r="CU674" s="235">
        <f t="shared" si="673"/>
        <v>4.8487499999999999</v>
      </c>
      <c r="CV674" s="235" cm="1">
        <f t="array" ref="CV674">$BI674 * IF($AH674&lt;=2,
SUMPRODUCT(INDEX($AR$62:$AT$66,,$AI674), INDEX($AU$62:$BA$66,,$AH674), 1 / ($BB$62:$BB$66*CU674 + (1-$BB$62:$BB$66)*CQ674), N($AQ$62:$AQ$66&gt;$AO674)),
SUMPRODUCT(INDEX($AR$47:$AT$56,,$AI674), INDEX($AU$47:$BA$56,,$AH674), 1 / ($BC$47:$BC$56*CU674 + (1-$BC$47:$BC$56)*CQ674), N($AQ$47:$AQ$56&gt;$AO674))
) / 1000</f>
        <v>0</v>
      </c>
      <c r="CW674" s="235" cm="1">
        <f t="array" ref="CW674">$BI674 * IF($AH674&lt;=2,
SUMPRODUCT(INDEX($AR$23:$AT$61,,$AI674), INDEX($AU$23:$BA$61,,$AH674), 1 / ($BB$23:$BB$61*CU674), N($AQ$23:$AQ$61&gt;$AO674)),
SUMPRODUCT(INDEX($AR$23:$AT$46,,$AI674), INDEX($AU$23:$BA$46,,$AH674), 1 / ($BC$23:$BC$46*CU674), N($AQ$23:$AQ$46&gt;$AO674))
) / 1000</f>
        <v>0</v>
      </c>
      <c r="CX674" s="230">
        <f t="shared" si="674"/>
        <v>0</v>
      </c>
      <c r="CY674" s="238"/>
    </row>
    <row r="675" spans="1:103" s="76" customFormat="1" ht="14.25" customHeight="1" x14ac:dyDescent="0.2">
      <c r="A675" s="231" t="b">
        <f t="shared" si="678"/>
        <v>0</v>
      </c>
      <c r="B675" s="245">
        <v>653</v>
      </c>
      <c r="C675" s="258"/>
      <c r="D675" s="258"/>
      <c r="E675" s="246"/>
      <c r="F675" s="247" t="str">
        <f>IF(ISBLANK(E675), "", VLOOKUP(E675, Z!$A$2:$C$4127, 3, FALSE))</f>
        <v/>
      </c>
      <c r="G675" s="248"/>
      <c r="H675" s="248"/>
      <c r="I675" s="249"/>
      <c r="J675" s="250"/>
      <c r="K675" s="259"/>
      <c r="L675" s="260"/>
      <c r="M675" s="252" t="str" cm="1">
        <f t="array" ref="M675">INDEX(Trad, 53, $A$20)</f>
        <v>Verschmutzt</v>
      </c>
      <c r="N675" s="253"/>
      <c r="O675" s="253"/>
      <c r="P675" s="254"/>
      <c r="Q675" s="251"/>
      <c r="R675" s="251"/>
      <c r="S675" s="264">
        <f t="shared" si="649"/>
        <v>0</v>
      </c>
      <c r="T675" s="252" t="str" cm="1">
        <f t="array" ref="T675">INDEX(Trad, 52, $A$20)</f>
        <v>Sauber</v>
      </c>
      <c r="U675" s="253"/>
      <c r="V675" s="253"/>
      <c r="W675" s="254"/>
      <c r="X675" s="251"/>
      <c r="Y675" s="251"/>
      <c r="Z675" s="264">
        <f t="shared" si="650"/>
        <v>0</v>
      </c>
      <c r="AA675" s="261"/>
      <c r="AB675" s="258"/>
      <c r="AC675" s="246"/>
      <c r="AD675" s="247" t="str">
        <f>IF(ISBLANK(AC675), "", VLOOKUP(AC675, Z!$A$2:$C$4127, 3, FALSE))</f>
        <v/>
      </c>
      <c r="AE675" s="262"/>
      <c r="AF675" s="263">
        <f t="shared" si="651"/>
        <v>0</v>
      </c>
      <c r="AG675" s="238"/>
      <c r="AH675" s="229">
        <f t="shared" si="675"/>
        <v>1</v>
      </c>
      <c r="AI675" s="229">
        <f t="shared" si="676"/>
        <v>1</v>
      </c>
      <c r="AJ675" s="229">
        <f t="shared" si="677"/>
        <v>0</v>
      </c>
      <c r="AK675" s="229">
        <v>0</v>
      </c>
      <c r="AL675" s="229">
        <v>0</v>
      </c>
      <c r="AM675" s="229">
        <v>1</v>
      </c>
      <c r="AN675" s="229">
        <v>0</v>
      </c>
      <c r="AO675" s="229">
        <f t="shared" si="652"/>
        <v>-100</v>
      </c>
      <c r="AP675" s="238"/>
      <c r="AQ675" s="255"/>
      <c r="AR675" s="255"/>
      <c r="AS675" s="256"/>
      <c r="AT675" s="256"/>
      <c r="AU675" s="256"/>
      <c r="AV675" s="256"/>
      <c r="AW675" s="256"/>
      <c r="AX675" s="256"/>
      <c r="AY675" s="256"/>
      <c r="AZ675" s="256"/>
      <c r="BA675" s="256"/>
      <c r="BB675" s="256"/>
      <c r="BC675" s="256"/>
      <c r="BD675" s="238"/>
      <c r="BE675" s="229" cm="1">
        <f t="array" ref="BE675">IF(ISBLANK(R675), INDEX(Use, $AH675, 4) - AM675*INDEX(Use, $AH675, 6), R675)</f>
        <v>5</v>
      </c>
      <c r="BF675" s="229">
        <f t="shared" si="653"/>
        <v>30</v>
      </c>
      <c r="BG675" s="229">
        <f t="shared" si="679"/>
        <v>13</v>
      </c>
      <c r="BH675" s="229">
        <f t="shared" si="680"/>
        <v>0</v>
      </c>
      <c r="BI675" s="234" cm="1">
        <f t="array" ref="BI675">K675/IF($L675&gt;0, INDEX($AU$23:$BA$77, $L675+20, $AH675), 1)</f>
        <v>0</v>
      </c>
      <c r="BJ675" s="230">
        <f t="shared" si="654"/>
        <v>0</v>
      </c>
      <c r="BK675" s="229">
        <v>35</v>
      </c>
      <c r="BL675" s="230">
        <f t="shared" si="655"/>
        <v>48</v>
      </c>
      <c r="BM675" s="235">
        <f t="shared" si="656"/>
        <v>2.9108720930232557</v>
      </c>
      <c r="BN675" s="235" cm="1">
        <f t="array" ref="BN675">$BI675 * SUMPRODUCT(INDEX($AR$77:$AT$82,,$AI675),INDEX($AU$77:$BA$82,,$AH675), N($AQ$77:$AQ$82&gt;$AO675)) / BM675 / 1000</f>
        <v>0</v>
      </c>
      <c r="BO675" s="232">
        <f t="shared" si="681"/>
        <v>30</v>
      </c>
      <c r="BP675" s="230">
        <f t="shared" si="657"/>
        <v>43</v>
      </c>
      <c r="BQ675" s="235">
        <f t="shared" si="658"/>
        <v>3.2938815789473681</v>
      </c>
      <c r="BR675" s="235" cm="1">
        <f t="array" ref="BR675">$BI675 * IF($AH675&lt;=2,
SUMPRODUCT(INDEX($AR$72:$AT$76,,$AI675), INDEX($AU$72:$BA$76,,$AH675), 1 / ($BB$72:$BB$76*BQ675 + (1-$BB$72:$BB$76)*BM675), N($AQ$72:$AQ$76&gt;$AO675)),
SUMPRODUCT(INDEX($AR$67:$AT$76,,$AI675), INDEX($AU$67:$BA$76,,$AH675), 1 / ($BC$67:$BC$76*BQ675 + (1-$BC$67:$BC$76)*BM675), N($AQ$67:$AQ$76&gt;$AO675))
) / 1000</f>
        <v>0</v>
      </c>
      <c r="BS675" s="232">
        <f t="shared" si="682"/>
        <v>25</v>
      </c>
      <c r="BT675" s="230">
        <f t="shared" si="659"/>
        <v>38</v>
      </c>
      <c r="BU675" s="235">
        <f t="shared" si="660"/>
        <v>3.792954545454545</v>
      </c>
      <c r="BV675" s="235" cm="1">
        <f t="array" ref="BV675">$BI675 * IF($AH675&lt;=2,
SUMPRODUCT(INDEX($AR$67:$AT$71,,$AI675), INDEX($AU$67:$BA$71,,$AH675), 1 / ($BB$67:$BB$71*BU675 + (1-$BB$67:$BB$71)*BQ675), N($AQ$67:$AQ$71&gt;$AO675)),
SUMPRODUCT(INDEX($AR$57:$AT$66,,$AI675), INDEX($AU$57:$BA$66,,$AH675), 1 / ($BC$57:$BC$66*BU675 + (1-$BC$57:$BC$66)*BQ675), N($AQ$57:$AQ$66&gt;$AO675))
) / 1000</f>
        <v>0</v>
      </c>
      <c r="BW675" s="232">
        <f t="shared" si="683"/>
        <v>20</v>
      </c>
      <c r="BX675" s="230">
        <f t="shared" si="661"/>
        <v>33</v>
      </c>
      <c r="BY675" s="235">
        <f t="shared" si="662"/>
        <v>4.4702678571428569</v>
      </c>
      <c r="BZ675" s="235" cm="1">
        <f t="array" ref="BZ675">$BI675 * IF($AH675&lt;=2,
SUMPRODUCT(INDEX($AR$62:$AT$66,,$AI675), INDEX($AU$62:$BA$66,,$AH675), 1 / ($BB$62:$BB$66*BY675 + (1-$BB$62:$BB$66)*BU675), N($AQ$62:$AQ$66&gt;$AO675)),
SUMPRODUCT(INDEX($AR$47:$AT$56,,$AI675), INDEX($AU$47:$BA$56,,$AH675), 1 / ($BC$47:$BC$56*BY675 + (1-$BC$47:$BC$56)*BU675), N($AQ$47:$AQ$56&gt;$AO675))
) / 1000</f>
        <v>0</v>
      </c>
      <c r="CA675" s="235" cm="1">
        <f t="array" ref="CA675">$BI675 * IF($AH675&lt;=2,
SUMPRODUCT(INDEX($AR$23:$AT$61,,$AI675), INDEX($AU$23:$BA$61,,$AH675), 1 / ($BB$23:$BB$61*BY675), N($AQ$23:$AQ$61&gt;$AO675)),
SUMPRODUCT(INDEX($AR$23:$AT$46,,$AI675), INDEX($AU$23:$BA$46,,$AH675), 1 / ($BC$23:$BC$46*BY675), N($AQ$23:$AQ$46&gt;$AO675))
) / 1000</f>
        <v>0</v>
      </c>
      <c r="CB675" s="230">
        <f t="shared" si="663"/>
        <v>0</v>
      </c>
      <c r="CC675" s="238"/>
      <c r="CD675" s="229" cm="1">
        <f t="array" ref="CD675">IF(ISBLANK(Y675), INDEX(Use, $AH675, 4) - AN675*INDEX(Use, $AH675, 6) - (Q675-X675), Y675)</f>
        <v>7</v>
      </c>
      <c r="CE675" s="229">
        <f t="shared" si="664"/>
        <v>32</v>
      </c>
      <c r="CF675" s="230">
        <f t="shared" si="665"/>
        <v>0</v>
      </c>
      <c r="CG675" s="229">
        <v>35</v>
      </c>
      <c r="CH675" s="230">
        <f t="shared" si="666"/>
        <v>48</v>
      </c>
      <c r="CI675" s="235">
        <f t="shared" si="667"/>
        <v>3.0748170731707316</v>
      </c>
      <c r="CJ675" s="235" cm="1">
        <f t="array" ref="CJ675">$BI675 * SUMPRODUCT(INDEX($AR$77:$AT$82,,$AI675),INDEX($AU$77:$BA$82,,$AH675), N($AQ$77:$AQ$82&gt;$AO675)) / CI675 / 1000</f>
        <v>0</v>
      </c>
      <c r="CK675" s="232">
        <f t="shared" si="684"/>
        <v>30</v>
      </c>
      <c r="CL675" s="230">
        <f t="shared" si="668"/>
        <v>43</v>
      </c>
      <c r="CM675" s="235">
        <f t="shared" si="669"/>
        <v>3.5018750000000001</v>
      </c>
      <c r="CN675" s="235" cm="1">
        <f t="array" ref="CN675">$BI675 * IF($AH675&lt;=2,
SUMPRODUCT(INDEX($AR$72:$AT$76,,$AI675), INDEX($AU$72:$BA$76,,$AH675), 1 / ($BB$72:$BB$76*CM675 + (1-$BB$72:$BB$76)*CI675), N($AQ$72:$AQ$76&gt;$AO675)),
SUMPRODUCT(INDEX($AR$67:$AT$76,,$AI675), INDEX($AU$67:$BA$76,,$AH675), 1 / ($BC$67:$BC$76*CM675 + (1-$BC$67:$BC$76)*CI675), N($AQ$67:$AQ$76&gt;$AO675))
) / 1000</f>
        <v>0</v>
      </c>
      <c r="CO675" s="232">
        <f t="shared" si="685"/>
        <v>25</v>
      </c>
      <c r="CP675" s="230">
        <f t="shared" si="670"/>
        <v>38</v>
      </c>
      <c r="CQ675" s="235">
        <f t="shared" si="671"/>
        <v>4.0666935483870965</v>
      </c>
      <c r="CR675" s="235" cm="1">
        <f t="array" ref="CR675">$BI675 * IF($AH675&lt;=2,
SUMPRODUCT(INDEX($AR$67:$AT$71,,$AI675), INDEX($AU$67:$BA$71,,$AH675), 1 / ($BB$67:$BB$71*CQ675 + (1-$BB$67:$BB$71)*CM675), N($AQ$67:$AQ$71&gt;$AO675)),
SUMPRODUCT(INDEX($AR$57:$AT$66,,$AI675), INDEX($AU$57:$BA$66,,$AH675), 1 / ($BC$57:$BC$66*CQ675 + (1-$BC$57:$BC$66)*CM675), N($AQ$57:$AQ$66&gt;$AO675))
) / 1000</f>
        <v>0</v>
      </c>
      <c r="CS675" s="232">
        <f t="shared" si="686"/>
        <v>20</v>
      </c>
      <c r="CT675" s="230">
        <f t="shared" si="672"/>
        <v>33</v>
      </c>
      <c r="CU675" s="235">
        <f t="shared" si="673"/>
        <v>4.8487499999999999</v>
      </c>
      <c r="CV675" s="235" cm="1">
        <f t="array" ref="CV675">$BI675 * IF($AH675&lt;=2,
SUMPRODUCT(INDEX($AR$62:$AT$66,,$AI675), INDEX($AU$62:$BA$66,,$AH675), 1 / ($BB$62:$BB$66*CU675 + (1-$BB$62:$BB$66)*CQ675), N($AQ$62:$AQ$66&gt;$AO675)),
SUMPRODUCT(INDEX($AR$47:$AT$56,,$AI675), INDEX($AU$47:$BA$56,,$AH675), 1 / ($BC$47:$BC$56*CU675 + (1-$BC$47:$BC$56)*CQ675), N($AQ$47:$AQ$56&gt;$AO675))
) / 1000</f>
        <v>0</v>
      </c>
      <c r="CW675" s="235" cm="1">
        <f t="array" ref="CW675">$BI675 * IF($AH675&lt;=2,
SUMPRODUCT(INDEX($AR$23:$AT$61,,$AI675), INDEX($AU$23:$BA$61,,$AH675), 1 / ($BB$23:$BB$61*CU675), N($AQ$23:$AQ$61&gt;$AO675)),
SUMPRODUCT(INDEX($AR$23:$AT$46,,$AI675), INDEX($AU$23:$BA$46,,$AH675), 1 / ($BC$23:$BC$46*CU675), N($AQ$23:$AQ$46&gt;$AO675))
) / 1000</f>
        <v>0</v>
      </c>
      <c r="CX675" s="230">
        <f t="shared" si="674"/>
        <v>0</v>
      </c>
      <c r="CY675" s="238"/>
    </row>
    <row r="676" spans="1:103" s="76" customFormat="1" ht="14.25" customHeight="1" x14ac:dyDescent="0.2">
      <c r="A676" s="231" t="b">
        <f t="shared" si="678"/>
        <v>0</v>
      </c>
      <c r="B676" s="245">
        <v>654</v>
      </c>
      <c r="C676" s="258"/>
      <c r="D676" s="258"/>
      <c r="E676" s="246"/>
      <c r="F676" s="247" t="str">
        <f>IF(ISBLANK(E676), "", VLOOKUP(E676, Z!$A$2:$C$4127, 3, FALSE))</f>
        <v/>
      </c>
      <c r="G676" s="248"/>
      <c r="H676" s="248"/>
      <c r="I676" s="249"/>
      <c r="J676" s="250"/>
      <c r="K676" s="259"/>
      <c r="L676" s="260"/>
      <c r="M676" s="252" t="str" cm="1">
        <f t="array" ref="M676">INDEX(Trad, 53, $A$20)</f>
        <v>Verschmutzt</v>
      </c>
      <c r="N676" s="253"/>
      <c r="O676" s="253"/>
      <c r="P676" s="254"/>
      <c r="Q676" s="251"/>
      <c r="R676" s="251"/>
      <c r="S676" s="264">
        <f t="shared" si="649"/>
        <v>0</v>
      </c>
      <c r="T676" s="252" t="str" cm="1">
        <f t="array" ref="T676">INDEX(Trad, 52, $A$20)</f>
        <v>Sauber</v>
      </c>
      <c r="U676" s="253"/>
      <c r="V676" s="253"/>
      <c r="W676" s="254"/>
      <c r="X676" s="251"/>
      <c r="Y676" s="251"/>
      <c r="Z676" s="264">
        <f t="shared" si="650"/>
        <v>0</v>
      </c>
      <c r="AA676" s="261"/>
      <c r="AB676" s="258"/>
      <c r="AC676" s="246"/>
      <c r="AD676" s="247" t="str">
        <f>IF(ISBLANK(AC676), "", VLOOKUP(AC676, Z!$A$2:$C$4127, 3, FALSE))</f>
        <v/>
      </c>
      <c r="AE676" s="262"/>
      <c r="AF676" s="263">
        <f t="shared" si="651"/>
        <v>0</v>
      </c>
      <c r="AG676" s="238"/>
      <c r="AH676" s="229">
        <f t="shared" si="675"/>
        <v>1</v>
      </c>
      <c r="AI676" s="229">
        <f t="shared" si="676"/>
        <v>1</v>
      </c>
      <c r="AJ676" s="229">
        <f t="shared" si="677"/>
        <v>0</v>
      </c>
      <c r="AK676" s="229">
        <v>0</v>
      </c>
      <c r="AL676" s="229">
        <v>0</v>
      </c>
      <c r="AM676" s="229">
        <v>1</v>
      </c>
      <c r="AN676" s="229">
        <v>0</v>
      </c>
      <c r="AO676" s="229">
        <f t="shared" si="652"/>
        <v>-100</v>
      </c>
      <c r="AP676" s="238"/>
      <c r="AQ676" s="255"/>
      <c r="AR676" s="255"/>
      <c r="AS676" s="256"/>
      <c r="AT676" s="256"/>
      <c r="AU676" s="256"/>
      <c r="AV676" s="256"/>
      <c r="AW676" s="256"/>
      <c r="AX676" s="256"/>
      <c r="AY676" s="256"/>
      <c r="AZ676" s="256"/>
      <c r="BA676" s="256"/>
      <c r="BB676" s="256"/>
      <c r="BC676" s="256"/>
      <c r="BD676" s="238"/>
      <c r="BE676" s="229" cm="1">
        <f t="array" ref="BE676">IF(ISBLANK(R676), INDEX(Use, $AH676, 4) - AM676*INDEX(Use, $AH676, 6), R676)</f>
        <v>5</v>
      </c>
      <c r="BF676" s="229">
        <f t="shared" si="653"/>
        <v>30</v>
      </c>
      <c r="BG676" s="229">
        <f t="shared" si="679"/>
        <v>13</v>
      </c>
      <c r="BH676" s="229">
        <f t="shared" si="680"/>
        <v>0</v>
      </c>
      <c r="BI676" s="234" cm="1">
        <f t="array" ref="BI676">K676/IF($L676&gt;0, INDEX($AU$23:$BA$77, $L676+20, $AH676), 1)</f>
        <v>0</v>
      </c>
      <c r="BJ676" s="230">
        <f t="shared" si="654"/>
        <v>0</v>
      </c>
      <c r="BK676" s="229">
        <v>35</v>
      </c>
      <c r="BL676" s="230">
        <f t="shared" si="655"/>
        <v>48</v>
      </c>
      <c r="BM676" s="235">
        <f t="shared" si="656"/>
        <v>2.9108720930232557</v>
      </c>
      <c r="BN676" s="235" cm="1">
        <f t="array" ref="BN676">$BI676 * SUMPRODUCT(INDEX($AR$77:$AT$82,,$AI676),INDEX($AU$77:$BA$82,,$AH676), N($AQ$77:$AQ$82&gt;$AO676)) / BM676 / 1000</f>
        <v>0</v>
      </c>
      <c r="BO676" s="232">
        <f t="shared" si="681"/>
        <v>30</v>
      </c>
      <c r="BP676" s="230">
        <f t="shared" si="657"/>
        <v>43</v>
      </c>
      <c r="BQ676" s="235">
        <f t="shared" si="658"/>
        <v>3.2938815789473681</v>
      </c>
      <c r="BR676" s="235" cm="1">
        <f t="array" ref="BR676">$BI676 * IF($AH676&lt;=2,
SUMPRODUCT(INDEX($AR$72:$AT$76,,$AI676), INDEX($AU$72:$BA$76,,$AH676), 1 / ($BB$72:$BB$76*BQ676 + (1-$BB$72:$BB$76)*BM676), N($AQ$72:$AQ$76&gt;$AO676)),
SUMPRODUCT(INDEX($AR$67:$AT$76,,$AI676), INDEX($AU$67:$BA$76,,$AH676), 1 / ($BC$67:$BC$76*BQ676 + (1-$BC$67:$BC$76)*BM676), N($AQ$67:$AQ$76&gt;$AO676))
) / 1000</f>
        <v>0</v>
      </c>
      <c r="BS676" s="232">
        <f t="shared" si="682"/>
        <v>25</v>
      </c>
      <c r="BT676" s="230">
        <f t="shared" si="659"/>
        <v>38</v>
      </c>
      <c r="BU676" s="235">
        <f t="shared" si="660"/>
        <v>3.792954545454545</v>
      </c>
      <c r="BV676" s="235" cm="1">
        <f t="array" ref="BV676">$BI676 * IF($AH676&lt;=2,
SUMPRODUCT(INDEX($AR$67:$AT$71,,$AI676), INDEX($AU$67:$BA$71,,$AH676), 1 / ($BB$67:$BB$71*BU676 + (1-$BB$67:$BB$71)*BQ676), N($AQ$67:$AQ$71&gt;$AO676)),
SUMPRODUCT(INDEX($AR$57:$AT$66,,$AI676), INDEX($AU$57:$BA$66,,$AH676), 1 / ($BC$57:$BC$66*BU676 + (1-$BC$57:$BC$66)*BQ676), N($AQ$57:$AQ$66&gt;$AO676))
) / 1000</f>
        <v>0</v>
      </c>
      <c r="BW676" s="232">
        <f t="shared" si="683"/>
        <v>20</v>
      </c>
      <c r="BX676" s="230">
        <f t="shared" si="661"/>
        <v>33</v>
      </c>
      <c r="BY676" s="235">
        <f t="shared" si="662"/>
        <v>4.4702678571428569</v>
      </c>
      <c r="BZ676" s="235" cm="1">
        <f t="array" ref="BZ676">$BI676 * IF($AH676&lt;=2,
SUMPRODUCT(INDEX($AR$62:$AT$66,,$AI676), INDEX($AU$62:$BA$66,,$AH676), 1 / ($BB$62:$BB$66*BY676 + (1-$BB$62:$BB$66)*BU676), N($AQ$62:$AQ$66&gt;$AO676)),
SUMPRODUCT(INDEX($AR$47:$AT$56,,$AI676), INDEX($AU$47:$BA$56,,$AH676), 1 / ($BC$47:$BC$56*BY676 + (1-$BC$47:$BC$56)*BU676), N($AQ$47:$AQ$56&gt;$AO676))
) / 1000</f>
        <v>0</v>
      </c>
      <c r="CA676" s="235" cm="1">
        <f t="array" ref="CA676">$BI676 * IF($AH676&lt;=2,
SUMPRODUCT(INDEX($AR$23:$AT$61,,$AI676), INDEX($AU$23:$BA$61,,$AH676), 1 / ($BB$23:$BB$61*BY676), N($AQ$23:$AQ$61&gt;$AO676)),
SUMPRODUCT(INDEX($AR$23:$AT$46,,$AI676), INDEX($AU$23:$BA$46,,$AH676), 1 / ($BC$23:$BC$46*BY676), N($AQ$23:$AQ$46&gt;$AO676))
) / 1000</f>
        <v>0</v>
      </c>
      <c r="CB676" s="230">
        <f t="shared" si="663"/>
        <v>0</v>
      </c>
      <c r="CC676" s="238"/>
      <c r="CD676" s="229" cm="1">
        <f t="array" ref="CD676">IF(ISBLANK(Y676), INDEX(Use, $AH676, 4) - AN676*INDEX(Use, $AH676, 6) - (Q676-X676), Y676)</f>
        <v>7</v>
      </c>
      <c r="CE676" s="229">
        <f t="shared" si="664"/>
        <v>32</v>
      </c>
      <c r="CF676" s="230">
        <f t="shared" si="665"/>
        <v>0</v>
      </c>
      <c r="CG676" s="229">
        <v>35</v>
      </c>
      <c r="CH676" s="230">
        <f t="shared" si="666"/>
        <v>48</v>
      </c>
      <c r="CI676" s="235">
        <f t="shared" si="667"/>
        <v>3.0748170731707316</v>
      </c>
      <c r="CJ676" s="235" cm="1">
        <f t="array" ref="CJ676">$BI676 * SUMPRODUCT(INDEX($AR$77:$AT$82,,$AI676),INDEX($AU$77:$BA$82,,$AH676), N($AQ$77:$AQ$82&gt;$AO676)) / CI676 / 1000</f>
        <v>0</v>
      </c>
      <c r="CK676" s="232">
        <f t="shared" si="684"/>
        <v>30</v>
      </c>
      <c r="CL676" s="230">
        <f t="shared" si="668"/>
        <v>43</v>
      </c>
      <c r="CM676" s="235">
        <f t="shared" si="669"/>
        <v>3.5018750000000001</v>
      </c>
      <c r="CN676" s="235" cm="1">
        <f t="array" ref="CN676">$BI676 * IF($AH676&lt;=2,
SUMPRODUCT(INDEX($AR$72:$AT$76,,$AI676), INDEX($AU$72:$BA$76,,$AH676), 1 / ($BB$72:$BB$76*CM676 + (1-$BB$72:$BB$76)*CI676), N($AQ$72:$AQ$76&gt;$AO676)),
SUMPRODUCT(INDEX($AR$67:$AT$76,,$AI676), INDEX($AU$67:$BA$76,,$AH676), 1 / ($BC$67:$BC$76*CM676 + (1-$BC$67:$BC$76)*CI676), N($AQ$67:$AQ$76&gt;$AO676))
) / 1000</f>
        <v>0</v>
      </c>
      <c r="CO676" s="232">
        <f t="shared" si="685"/>
        <v>25</v>
      </c>
      <c r="CP676" s="230">
        <f t="shared" si="670"/>
        <v>38</v>
      </c>
      <c r="CQ676" s="235">
        <f t="shared" si="671"/>
        <v>4.0666935483870965</v>
      </c>
      <c r="CR676" s="235" cm="1">
        <f t="array" ref="CR676">$BI676 * IF($AH676&lt;=2,
SUMPRODUCT(INDEX($AR$67:$AT$71,,$AI676), INDEX($AU$67:$BA$71,,$AH676), 1 / ($BB$67:$BB$71*CQ676 + (1-$BB$67:$BB$71)*CM676), N($AQ$67:$AQ$71&gt;$AO676)),
SUMPRODUCT(INDEX($AR$57:$AT$66,,$AI676), INDEX($AU$57:$BA$66,,$AH676), 1 / ($BC$57:$BC$66*CQ676 + (1-$BC$57:$BC$66)*CM676), N($AQ$57:$AQ$66&gt;$AO676))
) / 1000</f>
        <v>0</v>
      </c>
      <c r="CS676" s="232">
        <f t="shared" si="686"/>
        <v>20</v>
      </c>
      <c r="CT676" s="230">
        <f t="shared" si="672"/>
        <v>33</v>
      </c>
      <c r="CU676" s="235">
        <f t="shared" si="673"/>
        <v>4.8487499999999999</v>
      </c>
      <c r="CV676" s="235" cm="1">
        <f t="array" ref="CV676">$BI676 * IF($AH676&lt;=2,
SUMPRODUCT(INDEX($AR$62:$AT$66,,$AI676), INDEX($AU$62:$BA$66,,$AH676), 1 / ($BB$62:$BB$66*CU676 + (1-$BB$62:$BB$66)*CQ676), N($AQ$62:$AQ$66&gt;$AO676)),
SUMPRODUCT(INDEX($AR$47:$AT$56,,$AI676), INDEX($AU$47:$BA$56,,$AH676), 1 / ($BC$47:$BC$56*CU676 + (1-$BC$47:$BC$56)*CQ676), N($AQ$47:$AQ$56&gt;$AO676))
) / 1000</f>
        <v>0</v>
      </c>
      <c r="CW676" s="235" cm="1">
        <f t="array" ref="CW676">$BI676 * IF($AH676&lt;=2,
SUMPRODUCT(INDEX($AR$23:$AT$61,,$AI676), INDEX($AU$23:$BA$61,,$AH676), 1 / ($BB$23:$BB$61*CU676), N($AQ$23:$AQ$61&gt;$AO676)),
SUMPRODUCT(INDEX($AR$23:$AT$46,,$AI676), INDEX($AU$23:$BA$46,,$AH676), 1 / ($BC$23:$BC$46*CU676), N($AQ$23:$AQ$46&gt;$AO676))
) / 1000</f>
        <v>0</v>
      </c>
      <c r="CX676" s="230">
        <f t="shared" si="674"/>
        <v>0</v>
      </c>
      <c r="CY676" s="238"/>
    </row>
    <row r="677" spans="1:103" s="76" customFormat="1" ht="14.25" customHeight="1" x14ac:dyDescent="0.2">
      <c r="A677" s="231" t="b">
        <f t="shared" si="678"/>
        <v>0</v>
      </c>
      <c r="B677" s="245">
        <v>655</v>
      </c>
      <c r="C677" s="258"/>
      <c r="D677" s="258"/>
      <c r="E677" s="246"/>
      <c r="F677" s="247" t="str">
        <f>IF(ISBLANK(E677), "", VLOOKUP(E677, Z!$A$2:$C$4127, 3, FALSE))</f>
        <v/>
      </c>
      <c r="G677" s="248"/>
      <c r="H677" s="248"/>
      <c r="I677" s="249"/>
      <c r="J677" s="250"/>
      <c r="K677" s="259"/>
      <c r="L677" s="260"/>
      <c r="M677" s="252" t="str" cm="1">
        <f t="array" ref="M677">INDEX(Trad, 53, $A$20)</f>
        <v>Verschmutzt</v>
      </c>
      <c r="N677" s="253"/>
      <c r="O677" s="253"/>
      <c r="P677" s="254"/>
      <c r="Q677" s="251"/>
      <c r="R677" s="251"/>
      <c r="S677" s="264">
        <f t="shared" si="649"/>
        <v>0</v>
      </c>
      <c r="T677" s="252" t="str" cm="1">
        <f t="array" ref="T677">INDEX(Trad, 52, $A$20)</f>
        <v>Sauber</v>
      </c>
      <c r="U677" s="253"/>
      <c r="V677" s="253"/>
      <c r="W677" s="254"/>
      <c r="X677" s="251"/>
      <c r="Y677" s="251"/>
      <c r="Z677" s="264">
        <f t="shared" si="650"/>
        <v>0</v>
      </c>
      <c r="AA677" s="261"/>
      <c r="AB677" s="258"/>
      <c r="AC677" s="246"/>
      <c r="AD677" s="247" t="str">
        <f>IF(ISBLANK(AC677), "", VLOOKUP(AC677, Z!$A$2:$C$4127, 3, FALSE))</f>
        <v/>
      </c>
      <c r="AE677" s="262"/>
      <c r="AF677" s="263">
        <f t="shared" si="651"/>
        <v>0</v>
      </c>
      <c r="AG677" s="238"/>
      <c r="AH677" s="229">
        <f t="shared" si="675"/>
        <v>1</v>
      </c>
      <c r="AI677" s="229">
        <f t="shared" si="676"/>
        <v>1</v>
      </c>
      <c r="AJ677" s="229">
        <f t="shared" si="677"/>
        <v>0</v>
      </c>
      <c r="AK677" s="229">
        <v>0</v>
      </c>
      <c r="AL677" s="229">
        <v>0</v>
      </c>
      <c r="AM677" s="229">
        <v>1</v>
      </c>
      <c r="AN677" s="229">
        <v>0</v>
      </c>
      <c r="AO677" s="229">
        <f t="shared" si="652"/>
        <v>-100</v>
      </c>
      <c r="AP677" s="238"/>
      <c r="AQ677" s="255"/>
      <c r="AR677" s="255"/>
      <c r="AS677" s="256"/>
      <c r="AT677" s="256"/>
      <c r="AU677" s="256"/>
      <c r="AV677" s="256"/>
      <c r="AW677" s="256"/>
      <c r="AX677" s="256"/>
      <c r="AY677" s="256"/>
      <c r="AZ677" s="256"/>
      <c r="BA677" s="256"/>
      <c r="BB677" s="256"/>
      <c r="BC677" s="256"/>
      <c r="BD677" s="238"/>
      <c r="BE677" s="229" cm="1">
        <f t="array" ref="BE677">IF(ISBLANK(R677), INDEX(Use, $AH677, 4) - AM677*INDEX(Use, $AH677, 6), R677)</f>
        <v>5</v>
      </c>
      <c r="BF677" s="229">
        <f t="shared" si="653"/>
        <v>30</v>
      </c>
      <c r="BG677" s="229">
        <f t="shared" si="679"/>
        <v>13</v>
      </c>
      <c r="BH677" s="229">
        <f t="shared" si="680"/>
        <v>0</v>
      </c>
      <c r="BI677" s="234" cm="1">
        <f t="array" ref="BI677">K677/IF($L677&gt;0, INDEX($AU$23:$BA$77, $L677+20, $AH677), 1)</f>
        <v>0</v>
      </c>
      <c r="BJ677" s="230">
        <f t="shared" si="654"/>
        <v>0</v>
      </c>
      <c r="BK677" s="229">
        <v>35</v>
      </c>
      <c r="BL677" s="230">
        <f t="shared" si="655"/>
        <v>48</v>
      </c>
      <c r="BM677" s="235">
        <f t="shared" si="656"/>
        <v>2.9108720930232557</v>
      </c>
      <c r="BN677" s="235" cm="1">
        <f t="array" ref="BN677">$BI677 * SUMPRODUCT(INDEX($AR$77:$AT$82,,$AI677),INDEX($AU$77:$BA$82,,$AH677), N($AQ$77:$AQ$82&gt;$AO677)) / BM677 / 1000</f>
        <v>0</v>
      </c>
      <c r="BO677" s="232">
        <f t="shared" si="681"/>
        <v>30</v>
      </c>
      <c r="BP677" s="230">
        <f t="shared" si="657"/>
        <v>43</v>
      </c>
      <c r="BQ677" s="235">
        <f t="shared" si="658"/>
        <v>3.2938815789473681</v>
      </c>
      <c r="BR677" s="235" cm="1">
        <f t="array" ref="BR677">$BI677 * IF($AH677&lt;=2,
SUMPRODUCT(INDEX($AR$72:$AT$76,,$AI677), INDEX($AU$72:$BA$76,,$AH677), 1 / ($BB$72:$BB$76*BQ677 + (1-$BB$72:$BB$76)*BM677), N($AQ$72:$AQ$76&gt;$AO677)),
SUMPRODUCT(INDEX($AR$67:$AT$76,,$AI677), INDEX($AU$67:$BA$76,,$AH677), 1 / ($BC$67:$BC$76*BQ677 + (1-$BC$67:$BC$76)*BM677), N($AQ$67:$AQ$76&gt;$AO677))
) / 1000</f>
        <v>0</v>
      </c>
      <c r="BS677" s="232">
        <f t="shared" si="682"/>
        <v>25</v>
      </c>
      <c r="BT677" s="230">
        <f t="shared" si="659"/>
        <v>38</v>
      </c>
      <c r="BU677" s="235">
        <f t="shared" si="660"/>
        <v>3.792954545454545</v>
      </c>
      <c r="BV677" s="235" cm="1">
        <f t="array" ref="BV677">$BI677 * IF($AH677&lt;=2,
SUMPRODUCT(INDEX($AR$67:$AT$71,,$AI677), INDEX($AU$67:$BA$71,,$AH677), 1 / ($BB$67:$BB$71*BU677 + (1-$BB$67:$BB$71)*BQ677), N($AQ$67:$AQ$71&gt;$AO677)),
SUMPRODUCT(INDEX($AR$57:$AT$66,,$AI677), INDEX($AU$57:$BA$66,,$AH677), 1 / ($BC$57:$BC$66*BU677 + (1-$BC$57:$BC$66)*BQ677), N($AQ$57:$AQ$66&gt;$AO677))
) / 1000</f>
        <v>0</v>
      </c>
      <c r="BW677" s="232">
        <f t="shared" si="683"/>
        <v>20</v>
      </c>
      <c r="BX677" s="230">
        <f t="shared" si="661"/>
        <v>33</v>
      </c>
      <c r="BY677" s="235">
        <f t="shared" si="662"/>
        <v>4.4702678571428569</v>
      </c>
      <c r="BZ677" s="235" cm="1">
        <f t="array" ref="BZ677">$BI677 * IF($AH677&lt;=2,
SUMPRODUCT(INDEX($AR$62:$AT$66,,$AI677), INDEX($AU$62:$BA$66,,$AH677), 1 / ($BB$62:$BB$66*BY677 + (1-$BB$62:$BB$66)*BU677), N($AQ$62:$AQ$66&gt;$AO677)),
SUMPRODUCT(INDEX($AR$47:$AT$56,,$AI677), INDEX($AU$47:$BA$56,,$AH677), 1 / ($BC$47:$BC$56*BY677 + (1-$BC$47:$BC$56)*BU677), N($AQ$47:$AQ$56&gt;$AO677))
) / 1000</f>
        <v>0</v>
      </c>
      <c r="CA677" s="235" cm="1">
        <f t="array" ref="CA677">$BI677 * IF($AH677&lt;=2,
SUMPRODUCT(INDEX($AR$23:$AT$61,,$AI677), INDEX($AU$23:$BA$61,,$AH677), 1 / ($BB$23:$BB$61*BY677), N($AQ$23:$AQ$61&gt;$AO677)),
SUMPRODUCT(INDEX($AR$23:$AT$46,,$AI677), INDEX($AU$23:$BA$46,,$AH677), 1 / ($BC$23:$BC$46*BY677), N($AQ$23:$AQ$46&gt;$AO677))
) / 1000</f>
        <v>0</v>
      </c>
      <c r="CB677" s="230">
        <f t="shared" si="663"/>
        <v>0</v>
      </c>
      <c r="CC677" s="238"/>
      <c r="CD677" s="229" cm="1">
        <f t="array" ref="CD677">IF(ISBLANK(Y677), INDEX(Use, $AH677, 4) - AN677*INDEX(Use, $AH677, 6) - (Q677-X677), Y677)</f>
        <v>7</v>
      </c>
      <c r="CE677" s="229">
        <f t="shared" si="664"/>
        <v>32</v>
      </c>
      <c r="CF677" s="230">
        <f t="shared" si="665"/>
        <v>0</v>
      </c>
      <c r="CG677" s="229">
        <v>35</v>
      </c>
      <c r="CH677" s="230">
        <f t="shared" si="666"/>
        <v>48</v>
      </c>
      <c r="CI677" s="235">
        <f t="shared" si="667"/>
        <v>3.0748170731707316</v>
      </c>
      <c r="CJ677" s="235" cm="1">
        <f t="array" ref="CJ677">$BI677 * SUMPRODUCT(INDEX($AR$77:$AT$82,,$AI677),INDEX($AU$77:$BA$82,,$AH677), N($AQ$77:$AQ$82&gt;$AO677)) / CI677 / 1000</f>
        <v>0</v>
      </c>
      <c r="CK677" s="232">
        <f t="shared" si="684"/>
        <v>30</v>
      </c>
      <c r="CL677" s="230">
        <f t="shared" si="668"/>
        <v>43</v>
      </c>
      <c r="CM677" s="235">
        <f t="shared" si="669"/>
        <v>3.5018750000000001</v>
      </c>
      <c r="CN677" s="235" cm="1">
        <f t="array" ref="CN677">$BI677 * IF($AH677&lt;=2,
SUMPRODUCT(INDEX($AR$72:$AT$76,,$AI677), INDEX($AU$72:$BA$76,,$AH677), 1 / ($BB$72:$BB$76*CM677 + (1-$BB$72:$BB$76)*CI677), N($AQ$72:$AQ$76&gt;$AO677)),
SUMPRODUCT(INDEX($AR$67:$AT$76,,$AI677), INDEX($AU$67:$BA$76,,$AH677), 1 / ($BC$67:$BC$76*CM677 + (1-$BC$67:$BC$76)*CI677), N($AQ$67:$AQ$76&gt;$AO677))
) / 1000</f>
        <v>0</v>
      </c>
      <c r="CO677" s="232">
        <f t="shared" si="685"/>
        <v>25</v>
      </c>
      <c r="CP677" s="230">
        <f t="shared" si="670"/>
        <v>38</v>
      </c>
      <c r="CQ677" s="235">
        <f t="shared" si="671"/>
        <v>4.0666935483870965</v>
      </c>
      <c r="CR677" s="235" cm="1">
        <f t="array" ref="CR677">$BI677 * IF($AH677&lt;=2,
SUMPRODUCT(INDEX($AR$67:$AT$71,,$AI677), INDEX($AU$67:$BA$71,,$AH677), 1 / ($BB$67:$BB$71*CQ677 + (1-$BB$67:$BB$71)*CM677), N($AQ$67:$AQ$71&gt;$AO677)),
SUMPRODUCT(INDEX($AR$57:$AT$66,,$AI677), INDEX($AU$57:$BA$66,,$AH677), 1 / ($BC$57:$BC$66*CQ677 + (1-$BC$57:$BC$66)*CM677), N($AQ$57:$AQ$66&gt;$AO677))
) / 1000</f>
        <v>0</v>
      </c>
      <c r="CS677" s="232">
        <f t="shared" si="686"/>
        <v>20</v>
      </c>
      <c r="CT677" s="230">
        <f t="shared" si="672"/>
        <v>33</v>
      </c>
      <c r="CU677" s="235">
        <f t="shared" si="673"/>
        <v>4.8487499999999999</v>
      </c>
      <c r="CV677" s="235" cm="1">
        <f t="array" ref="CV677">$BI677 * IF($AH677&lt;=2,
SUMPRODUCT(INDEX($AR$62:$AT$66,,$AI677), INDEX($AU$62:$BA$66,,$AH677), 1 / ($BB$62:$BB$66*CU677 + (1-$BB$62:$BB$66)*CQ677), N($AQ$62:$AQ$66&gt;$AO677)),
SUMPRODUCT(INDEX($AR$47:$AT$56,,$AI677), INDEX($AU$47:$BA$56,,$AH677), 1 / ($BC$47:$BC$56*CU677 + (1-$BC$47:$BC$56)*CQ677), N($AQ$47:$AQ$56&gt;$AO677))
) / 1000</f>
        <v>0</v>
      </c>
      <c r="CW677" s="235" cm="1">
        <f t="array" ref="CW677">$BI677 * IF($AH677&lt;=2,
SUMPRODUCT(INDEX($AR$23:$AT$61,,$AI677), INDEX($AU$23:$BA$61,,$AH677), 1 / ($BB$23:$BB$61*CU677), N($AQ$23:$AQ$61&gt;$AO677)),
SUMPRODUCT(INDEX($AR$23:$AT$46,,$AI677), INDEX($AU$23:$BA$46,,$AH677), 1 / ($BC$23:$BC$46*CU677), N($AQ$23:$AQ$46&gt;$AO677))
) / 1000</f>
        <v>0</v>
      </c>
      <c r="CX677" s="230">
        <f t="shared" si="674"/>
        <v>0</v>
      </c>
      <c r="CY677" s="238"/>
    </row>
    <row r="678" spans="1:103" s="76" customFormat="1" ht="14.25" customHeight="1" x14ac:dyDescent="0.2">
      <c r="A678" s="231" t="b">
        <f t="shared" si="678"/>
        <v>0</v>
      </c>
      <c r="B678" s="245">
        <v>656</v>
      </c>
      <c r="C678" s="258"/>
      <c r="D678" s="258"/>
      <c r="E678" s="246"/>
      <c r="F678" s="247" t="str">
        <f>IF(ISBLANK(E678), "", VLOOKUP(E678, Z!$A$2:$C$4127, 3, FALSE))</f>
        <v/>
      </c>
      <c r="G678" s="248"/>
      <c r="H678" s="248"/>
      <c r="I678" s="249"/>
      <c r="J678" s="250"/>
      <c r="K678" s="259"/>
      <c r="L678" s="260"/>
      <c r="M678" s="252" t="str" cm="1">
        <f t="array" ref="M678">INDEX(Trad, 53, $A$20)</f>
        <v>Verschmutzt</v>
      </c>
      <c r="N678" s="253"/>
      <c r="O678" s="253"/>
      <c r="P678" s="254"/>
      <c r="Q678" s="251"/>
      <c r="R678" s="251"/>
      <c r="S678" s="264">
        <f t="shared" si="649"/>
        <v>0</v>
      </c>
      <c r="T678" s="252" t="str" cm="1">
        <f t="array" ref="T678">INDEX(Trad, 52, $A$20)</f>
        <v>Sauber</v>
      </c>
      <c r="U678" s="253"/>
      <c r="V678" s="253"/>
      <c r="W678" s="254"/>
      <c r="X678" s="251"/>
      <c r="Y678" s="251"/>
      <c r="Z678" s="264">
        <f t="shared" si="650"/>
        <v>0</v>
      </c>
      <c r="AA678" s="261"/>
      <c r="AB678" s="258"/>
      <c r="AC678" s="246"/>
      <c r="AD678" s="247" t="str">
        <f>IF(ISBLANK(AC678), "", VLOOKUP(AC678, Z!$A$2:$C$4127, 3, FALSE))</f>
        <v/>
      </c>
      <c r="AE678" s="262"/>
      <c r="AF678" s="263">
        <f t="shared" si="651"/>
        <v>0</v>
      </c>
      <c r="AG678" s="238"/>
      <c r="AH678" s="229">
        <f t="shared" si="675"/>
        <v>1</v>
      </c>
      <c r="AI678" s="229">
        <f t="shared" si="676"/>
        <v>1</v>
      </c>
      <c r="AJ678" s="229">
        <f t="shared" si="677"/>
        <v>0</v>
      </c>
      <c r="AK678" s="229">
        <v>0</v>
      </c>
      <c r="AL678" s="229">
        <v>0</v>
      </c>
      <c r="AM678" s="229">
        <v>1</v>
      </c>
      <c r="AN678" s="229">
        <v>0</v>
      </c>
      <c r="AO678" s="229">
        <f t="shared" si="652"/>
        <v>-100</v>
      </c>
      <c r="AP678" s="238"/>
      <c r="AQ678" s="255"/>
      <c r="AR678" s="255"/>
      <c r="AS678" s="256"/>
      <c r="AT678" s="256"/>
      <c r="AU678" s="256"/>
      <c r="AV678" s="256"/>
      <c r="AW678" s="256"/>
      <c r="AX678" s="256"/>
      <c r="AY678" s="256"/>
      <c r="AZ678" s="256"/>
      <c r="BA678" s="256"/>
      <c r="BB678" s="256"/>
      <c r="BC678" s="256"/>
      <c r="BD678" s="238"/>
      <c r="BE678" s="229" cm="1">
        <f t="array" ref="BE678">IF(ISBLANK(R678), INDEX(Use, $AH678, 4) - AM678*INDEX(Use, $AH678, 6), R678)</f>
        <v>5</v>
      </c>
      <c r="BF678" s="229">
        <f t="shared" si="653"/>
        <v>30</v>
      </c>
      <c r="BG678" s="229">
        <f t="shared" si="679"/>
        <v>13</v>
      </c>
      <c r="BH678" s="229">
        <f t="shared" si="680"/>
        <v>0</v>
      </c>
      <c r="BI678" s="234" cm="1">
        <f t="array" ref="BI678">K678/IF($L678&gt;0, INDEX($AU$23:$BA$77, $L678+20, $AH678), 1)</f>
        <v>0</v>
      </c>
      <c r="BJ678" s="230">
        <f t="shared" si="654"/>
        <v>0</v>
      </c>
      <c r="BK678" s="229">
        <v>35</v>
      </c>
      <c r="BL678" s="230">
        <f t="shared" si="655"/>
        <v>48</v>
      </c>
      <c r="BM678" s="235">
        <f t="shared" si="656"/>
        <v>2.9108720930232557</v>
      </c>
      <c r="BN678" s="235" cm="1">
        <f t="array" ref="BN678">$BI678 * SUMPRODUCT(INDEX($AR$77:$AT$82,,$AI678),INDEX($AU$77:$BA$82,,$AH678), N($AQ$77:$AQ$82&gt;$AO678)) / BM678 / 1000</f>
        <v>0</v>
      </c>
      <c r="BO678" s="232">
        <f t="shared" si="681"/>
        <v>30</v>
      </c>
      <c r="BP678" s="230">
        <f t="shared" si="657"/>
        <v>43</v>
      </c>
      <c r="BQ678" s="235">
        <f t="shared" si="658"/>
        <v>3.2938815789473681</v>
      </c>
      <c r="BR678" s="235" cm="1">
        <f t="array" ref="BR678">$BI678 * IF($AH678&lt;=2,
SUMPRODUCT(INDEX($AR$72:$AT$76,,$AI678), INDEX($AU$72:$BA$76,,$AH678), 1 / ($BB$72:$BB$76*BQ678 + (1-$BB$72:$BB$76)*BM678), N($AQ$72:$AQ$76&gt;$AO678)),
SUMPRODUCT(INDEX($AR$67:$AT$76,,$AI678), INDEX($AU$67:$BA$76,,$AH678), 1 / ($BC$67:$BC$76*BQ678 + (1-$BC$67:$BC$76)*BM678), N($AQ$67:$AQ$76&gt;$AO678))
) / 1000</f>
        <v>0</v>
      </c>
      <c r="BS678" s="232">
        <f t="shared" si="682"/>
        <v>25</v>
      </c>
      <c r="BT678" s="230">
        <f t="shared" si="659"/>
        <v>38</v>
      </c>
      <c r="BU678" s="235">
        <f t="shared" si="660"/>
        <v>3.792954545454545</v>
      </c>
      <c r="BV678" s="235" cm="1">
        <f t="array" ref="BV678">$BI678 * IF($AH678&lt;=2,
SUMPRODUCT(INDEX($AR$67:$AT$71,,$AI678), INDEX($AU$67:$BA$71,,$AH678), 1 / ($BB$67:$BB$71*BU678 + (1-$BB$67:$BB$71)*BQ678), N($AQ$67:$AQ$71&gt;$AO678)),
SUMPRODUCT(INDEX($AR$57:$AT$66,,$AI678), INDEX($AU$57:$BA$66,,$AH678), 1 / ($BC$57:$BC$66*BU678 + (1-$BC$57:$BC$66)*BQ678), N($AQ$57:$AQ$66&gt;$AO678))
) / 1000</f>
        <v>0</v>
      </c>
      <c r="BW678" s="232">
        <f t="shared" si="683"/>
        <v>20</v>
      </c>
      <c r="BX678" s="230">
        <f t="shared" si="661"/>
        <v>33</v>
      </c>
      <c r="BY678" s="235">
        <f t="shared" si="662"/>
        <v>4.4702678571428569</v>
      </c>
      <c r="BZ678" s="235" cm="1">
        <f t="array" ref="BZ678">$BI678 * IF($AH678&lt;=2,
SUMPRODUCT(INDEX($AR$62:$AT$66,,$AI678), INDEX($AU$62:$BA$66,,$AH678), 1 / ($BB$62:$BB$66*BY678 + (1-$BB$62:$BB$66)*BU678), N($AQ$62:$AQ$66&gt;$AO678)),
SUMPRODUCT(INDEX($AR$47:$AT$56,,$AI678), INDEX($AU$47:$BA$56,,$AH678), 1 / ($BC$47:$BC$56*BY678 + (1-$BC$47:$BC$56)*BU678), N($AQ$47:$AQ$56&gt;$AO678))
) / 1000</f>
        <v>0</v>
      </c>
      <c r="CA678" s="235" cm="1">
        <f t="array" ref="CA678">$BI678 * IF($AH678&lt;=2,
SUMPRODUCT(INDEX($AR$23:$AT$61,,$AI678), INDEX($AU$23:$BA$61,,$AH678), 1 / ($BB$23:$BB$61*BY678), N($AQ$23:$AQ$61&gt;$AO678)),
SUMPRODUCT(INDEX($AR$23:$AT$46,,$AI678), INDEX($AU$23:$BA$46,,$AH678), 1 / ($BC$23:$BC$46*BY678), N($AQ$23:$AQ$46&gt;$AO678))
) / 1000</f>
        <v>0</v>
      </c>
      <c r="CB678" s="230">
        <f t="shared" si="663"/>
        <v>0</v>
      </c>
      <c r="CC678" s="238"/>
      <c r="CD678" s="229" cm="1">
        <f t="array" ref="CD678">IF(ISBLANK(Y678), INDEX(Use, $AH678, 4) - AN678*INDEX(Use, $AH678, 6) - (Q678-X678), Y678)</f>
        <v>7</v>
      </c>
      <c r="CE678" s="229">
        <f t="shared" si="664"/>
        <v>32</v>
      </c>
      <c r="CF678" s="230">
        <f t="shared" si="665"/>
        <v>0</v>
      </c>
      <c r="CG678" s="229">
        <v>35</v>
      </c>
      <c r="CH678" s="230">
        <f t="shared" si="666"/>
        <v>48</v>
      </c>
      <c r="CI678" s="235">
        <f t="shared" si="667"/>
        <v>3.0748170731707316</v>
      </c>
      <c r="CJ678" s="235" cm="1">
        <f t="array" ref="CJ678">$BI678 * SUMPRODUCT(INDEX($AR$77:$AT$82,,$AI678),INDEX($AU$77:$BA$82,,$AH678), N($AQ$77:$AQ$82&gt;$AO678)) / CI678 / 1000</f>
        <v>0</v>
      </c>
      <c r="CK678" s="232">
        <f t="shared" si="684"/>
        <v>30</v>
      </c>
      <c r="CL678" s="230">
        <f t="shared" si="668"/>
        <v>43</v>
      </c>
      <c r="CM678" s="235">
        <f t="shared" si="669"/>
        <v>3.5018750000000001</v>
      </c>
      <c r="CN678" s="235" cm="1">
        <f t="array" ref="CN678">$BI678 * IF($AH678&lt;=2,
SUMPRODUCT(INDEX($AR$72:$AT$76,,$AI678), INDEX($AU$72:$BA$76,,$AH678), 1 / ($BB$72:$BB$76*CM678 + (1-$BB$72:$BB$76)*CI678), N($AQ$72:$AQ$76&gt;$AO678)),
SUMPRODUCT(INDEX($AR$67:$AT$76,,$AI678), INDEX($AU$67:$BA$76,,$AH678), 1 / ($BC$67:$BC$76*CM678 + (1-$BC$67:$BC$76)*CI678), N($AQ$67:$AQ$76&gt;$AO678))
) / 1000</f>
        <v>0</v>
      </c>
      <c r="CO678" s="232">
        <f t="shared" si="685"/>
        <v>25</v>
      </c>
      <c r="CP678" s="230">
        <f t="shared" si="670"/>
        <v>38</v>
      </c>
      <c r="CQ678" s="235">
        <f t="shared" si="671"/>
        <v>4.0666935483870965</v>
      </c>
      <c r="CR678" s="235" cm="1">
        <f t="array" ref="CR678">$BI678 * IF($AH678&lt;=2,
SUMPRODUCT(INDEX($AR$67:$AT$71,,$AI678), INDEX($AU$67:$BA$71,,$AH678), 1 / ($BB$67:$BB$71*CQ678 + (1-$BB$67:$BB$71)*CM678), N($AQ$67:$AQ$71&gt;$AO678)),
SUMPRODUCT(INDEX($AR$57:$AT$66,,$AI678), INDEX($AU$57:$BA$66,,$AH678), 1 / ($BC$57:$BC$66*CQ678 + (1-$BC$57:$BC$66)*CM678), N($AQ$57:$AQ$66&gt;$AO678))
) / 1000</f>
        <v>0</v>
      </c>
      <c r="CS678" s="232">
        <f t="shared" si="686"/>
        <v>20</v>
      </c>
      <c r="CT678" s="230">
        <f t="shared" si="672"/>
        <v>33</v>
      </c>
      <c r="CU678" s="235">
        <f t="shared" si="673"/>
        <v>4.8487499999999999</v>
      </c>
      <c r="CV678" s="235" cm="1">
        <f t="array" ref="CV678">$BI678 * IF($AH678&lt;=2,
SUMPRODUCT(INDEX($AR$62:$AT$66,,$AI678), INDEX($AU$62:$BA$66,,$AH678), 1 / ($BB$62:$BB$66*CU678 + (1-$BB$62:$BB$66)*CQ678), N($AQ$62:$AQ$66&gt;$AO678)),
SUMPRODUCT(INDEX($AR$47:$AT$56,,$AI678), INDEX($AU$47:$BA$56,,$AH678), 1 / ($BC$47:$BC$56*CU678 + (1-$BC$47:$BC$56)*CQ678), N($AQ$47:$AQ$56&gt;$AO678))
) / 1000</f>
        <v>0</v>
      </c>
      <c r="CW678" s="235" cm="1">
        <f t="array" ref="CW678">$BI678 * IF($AH678&lt;=2,
SUMPRODUCT(INDEX($AR$23:$AT$61,,$AI678), INDEX($AU$23:$BA$61,,$AH678), 1 / ($BB$23:$BB$61*CU678), N($AQ$23:$AQ$61&gt;$AO678)),
SUMPRODUCT(INDEX($AR$23:$AT$46,,$AI678), INDEX($AU$23:$BA$46,,$AH678), 1 / ($BC$23:$BC$46*CU678), N($AQ$23:$AQ$46&gt;$AO678))
) / 1000</f>
        <v>0</v>
      </c>
      <c r="CX678" s="230">
        <f t="shared" si="674"/>
        <v>0</v>
      </c>
      <c r="CY678" s="238"/>
    </row>
    <row r="679" spans="1:103" s="76" customFormat="1" ht="14.25" customHeight="1" x14ac:dyDescent="0.2">
      <c r="A679" s="231" t="b">
        <f t="shared" si="678"/>
        <v>0</v>
      </c>
      <c r="B679" s="245">
        <v>657</v>
      </c>
      <c r="C679" s="258"/>
      <c r="D679" s="258"/>
      <c r="E679" s="246"/>
      <c r="F679" s="247" t="str">
        <f>IF(ISBLANK(E679), "", VLOOKUP(E679, Z!$A$2:$C$4127, 3, FALSE))</f>
        <v/>
      </c>
      <c r="G679" s="248"/>
      <c r="H679" s="248"/>
      <c r="I679" s="249"/>
      <c r="J679" s="250"/>
      <c r="K679" s="259"/>
      <c r="L679" s="260"/>
      <c r="M679" s="252" t="str" cm="1">
        <f t="array" ref="M679">INDEX(Trad, 53, $A$20)</f>
        <v>Verschmutzt</v>
      </c>
      <c r="N679" s="253"/>
      <c r="O679" s="253"/>
      <c r="P679" s="254"/>
      <c r="Q679" s="251"/>
      <c r="R679" s="251"/>
      <c r="S679" s="264">
        <f t="shared" si="649"/>
        <v>0</v>
      </c>
      <c r="T679" s="252" t="str" cm="1">
        <f t="array" ref="T679">INDEX(Trad, 52, $A$20)</f>
        <v>Sauber</v>
      </c>
      <c r="U679" s="253"/>
      <c r="V679" s="253"/>
      <c r="W679" s="254"/>
      <c r="X679" s="251"/>
      <c r="Y679" s="251"/>
      <c r="Z679" s="264">
        <f t="shared" si="650"/>
        <v>0</v>
      </c>
      <c r="AA679" s="261"/>
      <c r="AB679" s="258"/>
      <c r="AC679" s="246"/>
      <c r="AD679" s="247" t="str">
        <f>IF(ISBLANK(AC679), "", VLOOKUP(AC679, Z!$A$2:$C$4127, 3, FALSE))</f>
        <v/>
      </c>
      <c r="AE679" s="262"/>
      <c r="AF679" s="263">
        <f t="shared" si="651"/>
        <v>0</v>
      </c>
      <c r="AG679" s="238"/>
      <c r="AH679" s="229">
        <f t="shared" si="675"/>
        <v>1</v>
      </c>
      <c r="AI679" s="229">
        <f t="shared" si="676"/>
        <v>1</v>
      </c>
      <c r="AJ679" s="229">
        <f t="shared" si="677"/>
        <v>0</v>
      </c>
      <c r="AK679" s="229">
        <v>0</v>
      </c>
      <c r="AL679" s="229">
        <v>0</v>
      </c>
      <c r="AM679" s="229">
        <v>1</v>
      </c>
      <c r="AN679" s="229">
        <v>0</v>
      </c>
      <c r="AO679" s="229">
        <f t="shared" si="652"/>
        <v>-100</v>
      </c>
      <c r="AP679" s="238"/>
      <c r="AQ679" s="255"/>
      <c r="AR679" s="255"/>
      <c r="AS679" s="256"/>
      <c r="AT679" s="256"/>
      <c r="AU679" s="256"/>
      <c r="AV679" s="256"/>
      <c r="AW679" s="256"/>
      <c r="AX679" s="256"/>
      <c r="AY679" s="256"/>
      <c r="AZ679" s="256"/>
      <c r="BA679" s="256"/>
      <c r="BB679" s="256"/>
      <c r="BC679" s="256"/>
      <c r="BD679" s="238"/>
      <c r="BE679" s="229" cm="1">
        <f t="array" ref="BE679">IF(ISBLANK(R679), INDEX(Use, $AH679, 4) - AM679*INDEX(Use, $AH679, 6), R679)</f>
        <v>5</v>
      </c>
      <c r="BF679" s="229">
        <f t="shared" si="653"/>
        <v>30</v>
      </c>
      <c r="BG679" s="229">
        <f t="shared" si="679"/>
        <v>13</v>
      </c>
      <c r="BH679" s="229">
        <f t="shared" si="680"/>
        <v>0</v>
      </c>
      <c r="BI679" s="234" cm="1">
        <f t="array" ref="BI679">K679/IF($L679&gt;0, INDEX($AU$23:$BA$77, $L679+20, $AH679), 1)</f>
        <v>0</v>
      </c>
      <c r="BJ679" s="230">
        <f t="shared" si="654"/>
        <v>0</v>
      </c>
      <c r="BK679" s="229">
        <v>35</v>
      </c>
      <c r="BL679" s="230">
        <f t="shared" si="655"/>
        <v>48</v>
      </c>
      <c r="BM679" s="235">
        <f t="shared" si="656"/>
        <v>2.9108720930232557</v>
      </c>
      <c r="BN679" s="235" cm="1">
        <f t="array" ref="BN679">$BI679 * SUMPRODUCT(INDEX($AR$77:$AT$82,,$AI679),INDEX($AU$77:$BA$82,,$AH679), N($AQ$77:$AQ$82&gt;$AO679)) / BM679 / 1000</f>
        <v>0</v>
      </c>
      <c r="BO679" s="232">
        <f t="shared" si="681"/>
        <v>30</v>
      </c>
      <c r="BP679" s="230">
        <f t="shared" si="657"/>
        <v>43</v>
      </c>
      <c r="BQ679" s="235">
        <f t="shared" si="658"/>
        <v>3.2938815789473681</v>
      </c>
      <c r="BR679" s="235" cm="1">
        <f t="array" ref="BR679">$BI679 * IF($AH679&lt;=2,
SUMPRODUCT(INDEX($AR$72:$AT$76,,$AI679), INDEX($AU$72:$BA$76,,$AH679), 1 / ($BB$72:$BB$76*BQ679 + (1-$BB$72:$BB$76)*BM679), N($AQ$72:$AQ$76&gt;$AO679)),
SUMPRODUCT(INDEX($AR$67:$AT$76,,$AI679), INDEX($AU$67:$BA$76,,$AH679), 1 / ($BC$67:$BC$76*BQ679 + (1-$BC$67:$BC$76)*BM679), N($AQ$67:$AQ$76&gt;$AO679))
) / 1000</f>
        <v>0</v>
      </c>
      <c r="BS679" s="232">
        <f t="shared" si="682"/>
        <v>25</v>
      </c>
      <c r="BT679" s="230">
        <f t="shared" si="659"/>
        <v>38</v>
      </c>
      <c r="BU679" s="235">
        <f t="shared" si="660"/>
        <v>3.792954545454545</v>
      </c>
      <c r="BV679" s="235" cm="1">
        <f t="array" ref="BV679">$BI679 * IF($AH679&lt;=2,
SUMPRODUCT(INDEX($AR$67:$AT$71,,$AI679), INDEX($AU$67:$BA$71,,$AH679), 1 / ($BB$67:$BB$71*BU679 + (1-$BB$67:$BB$71)*BQ679), N($AQ$67:$AQ$71&gt;$AO679)),
SUMPRODUCT(INDEX($AR$57:$AT$66,,$AI679), INDEX($AU$57:$BA$66,,$AH679), 1 / ($BC$57:$BC$66*BU679 + (1-$BC$57:$BC$66)*BQ679), N($AQ$57:$AQ$66&gt;$AO679))
) / 1000</f>
        <v>0</v>
      </c>
      <c r="BW679" s="232">
        <f t="shared" si="683"/>
        <v>20</v>
      </c>
      <c r="BX679" s="230">
        <f t="shared" si="661"/>
        <v>33</v>
      </c>
      <c r="BY679" s="235">
        <f t="shared" si="662"/>
        <v>4.4702678571428569</v>
      </c>
      <c r="BZ679" s="235" cm="1">
        <f t="array" ref="BZ679">$BI679 * IF($AH679&lt;=2,
SUMPRODUCT(INDEX($AR$62:$AT$66,,$AI679), INDEX($AU$62:$BA$66,,$AH679), 1 / ($BB$62:$BB$66*BY679 + (1-$BB$62:$BB$66)*BU679), N($AQ$62:$AQ$66&gt;$AO679)),
SUMPRODUCT(INDEX($AR$47:$AT$56,,$AI679), INDEX($AU$47:$BA$56,,$AH679), 1 / ($BC$47:$BC$56*BY679 + (1-$BC$47:$BC$56)*BU679), N($AQ$47:$AQ$56&gt;$AO679))
) / 1000</f>
        <v>0</v>
      </c>
      <c r="CA679" s="235" cm="1">
        <f t="array" ref="CA679">$BI679 * IF($AH679&lt;=2,
SUMPRODUCT(INDEX($AR$23:$AT$61,,$AI679), INDEX($AU$23:$BA$61,,$AH679), 1 / ($BB$23:$BB$61*BY679), N($AQ$23:$AQ$61&gt;$AO679)),
SUMPRODUCT(INDEX($AR$23:$AT$46,,$AI679), INDEX($AU$23:$BA$46,,$AH679), 1 / ($BC$23:$BC$46*BY679), N($AQ$23:$AQ$46&gt;$AO679))
) / 1000</f>
        <v>0</v>
      </c>
      <c r="CB679" s="230">
        <f t="shared" si="663"/>
        <v>0</v>
      </c>
      <c r="CC679" s="238"/>
      <c r="CD679" s="229" cm="1">
        <f t="array" ref="CD679">IF(ISBLANK(Y679), INDEX(Use, $AH679, 4) - AN679*INDEX(Use, $AH679, 6) - (Q679-X679), Y679)</f>
        <v>7</v>
      </c>
      <c r="CE679" s="229">
        <f t="shared" si="664"/>
        <v>32</v>
      </c>
      <c r="CF679" s="230">
        <f t="shared" si="665"/>
        <v>0</v>
      </c>
      <c r="CG679" s="229">
        <v>35</v>
      </c>
      <c r="CH679" s="230">
        <f t="shared" si="666"/>
        <v>48</v>
      </c>
      <c r="CI679" s="235">
        <f t="shared" si="667"/>
        <v>3.0748170731707316</v>
      </c>
      <c r="CJ679" s="235" cm="1">
        <f t="array" ref="CJ679">$BI679 * SUMPRODUCT(INDEX($AR$77:$AT$82,,$AI679),INDEX($AU$77:$BA$82,,$AH679), N($AQ$77:$AQ$82&gt;$AO679)) / CI679 / 1000</f>
        <v>0</v>
      </c>
      <c r="CK679" s="232">
        <f t="shared" si="684"/>
        <v>30</v>
      </c>
      <c r="CL679" s="230">
        <f t="shared" si="668"/>
        <v>43</v>
      </c>
      <c r="CM679" s="235">
        <f t="shared" si="669"/>
        <v>3.5018750000000001</v>
      </c>
      <c r="CN679" s="235" cm="1">
        <f t="array" ref="CN679">$BI679 * IF($AH679&lt;=2,
SUMPRODUCT(INDEX($AR$72:$AT$76,,$AI679), INDEX($AU$72:$BA$76,,$AH679), 1 / ($BB$72:$BB$76*CM679 + (1-$BB$72:$BB$76)*CI679), N($AQ$72:$AQ$76&gt;$AO679)),
SUMPRODUCT(INDEX($AR$67:$AT$76,,$AI679), INDEX($AU$67:$BA$76,,$AH679), 1 / ($BC$67:$BC$76*CM679 + (1-$BC$67:$BC$76)*CI679), N($AQ$67:$AQ$76&gt;$AO679))
) / 1000</f>
        <v>0</v>
      </c>
      <c r="CO679" s="232">
        <f t="shared" si="685"/>
        <v>25</v>
      </c>
      <c r="CP679" s="230">
        <f t="shared" si="670"/>
        <v>38</v>
      </c>
      <c r="CQ679" s="235">
        <f t="shared" si="671"/>
        <v>4.0666935483870965</v>
      </c>
      <c r="CR679" s="235" cm="1">
        <f t="array" ref="CR679">$BI679 * IF($AH679&lt;=2,
SUMPRODUCT(INDEX($AR$67:$AT$71,,$AI679), INDEX($AU$67:$BA$71,,$AH679), 1 / ($BB$67:$BB$71*CQ679 + (1-$BB$67:$BB$71)*CM679), N($AQ$67:$AQ$71&gt;$AO679)),
SUMPRODUCT(INDEX($AR$57:$AT$66,,$AI679), INDEX($AU$57:$BA$66,,$AH679), 1 / ($BC$57:$BC$66*CQ679 + (1-$BC$57:$BC$66)*CM679), N($AQ$57:$AQ$66&gt;$AO679))
) / 1000</f>
        <v>0</v>
      </c>
      <c r="CS679" s="232">
        <f t="shared" si="686"/>
        <v>20</v>
      </c>
      <c r="CT679" s="230">
        <f t="shared" si="672"/>
        <v>33</v>
      </c>
      <c r="CU679" s="235">
        <f t="shared" si="673"/>
        <v>4.8487499999999999</v>
      </c>
      <c r="CV679" s="235" cm="1">
        <f t="array" ref="CV679">$BI679 * IF($AH679&lt;=2,
SUMPRODUCT(INDEX($AR$62:$AT$66,,$AI679), INDEX($AU$62:$BA$66,,$AH679), 1 / ($BB$62:$BB$66*CU679 + (1-$BB$62:$BB$66)*CQ679), N($AQ$62:$AQ$66&gt;$AO679)),
SUMPRODUCT(INDEX($AR$47:$AT$56,,$AI679), INDEX($AU$47:$BA$56,,$AH679), 1 / ($BC$47:$BC$56*CU679 + (1-$BC$47:$BC$56)*CQ679), N($AQ$47:$AQ$56&gt;$AO679))
) / 1000</f>
        <v>0</v>
      </c>
      <c r="CW679" s="235" cm="1">
        <f t="array" ref="CW679">$BI679 * IF($AH679&lt;=2,
SUMPRODUCT(INDEX($AR$23:$AT$61,,$AI679), INDEX($AU$23:$BA$61,,$AH679), 1 / ($BB$23:$BB$61*CU679), N($AQ$23:$AQ$61&gt;$AO679)),
SUMPRODUCT(INDEX($AR$23:$AT$46,,$AI679), INDEX($AU$23:$BA$46,,$AH679), 1 / ($BC$23:$BC$46*CU679), N($AQ$23:$AQ$46&gt;$AO679))
) / 1000</f>
        <v>0</v>
      </c>
      <c r="CX679" s="230">
        <f t="shared" si="674"/>
        <v>0</v>
      </c>
      <c r="CY679" s="238"/>
    </row>
    <row r="680" spans="1:103" s="76" customFormat="1" ht="14.25" customHeight="1" x14ac:dyDescent="0.2">
      <c r="A680" s="231" t="b">
        <f t="shared" si="678"/>
        <v>0</v>
      </c>
      <c r="B680" s="245">
        <v>658</v>
      </c>
      <c r="C680" s="258"/>
      <c r="D680" s="258"/>
      <c r="E680" s="246"/>
      <c r="F680" s="247" t="str">
        <f>IF(ISBLANK(E680), "", VLOOKUP(E680, Z!$A$2:$C$4127, 3, FALSE))</f>
        <v/>
      </c>
      <c r="G680" s="248"/>
      <c r="H680" s="248"/>
      <c r="I680" s="249"/>
      <c r="J680" s="250"/>
      <c r="K680" s="259"/>
      <c r="L680" s="260"/>
      <c r="M680" s="252" t="str" cm="1">
        <f t="array" ref="M680">INDEX(Trad, 53, $A$20)</f>
        <v>Verschmutzt</v>
      </c>
      <c r="N680" s="253"/>
      <c r="O680" s="253"/>
      <c r="P680" s="254"/>
      <c r="Q680" s="251"/>
      <c r="R680" s="251"/>
      <c r="S680" s="264">
        <f t="shared" si="649"/>
        <v>0</v>
      </c>
      <c r="T680" s="252" t="str" cm="1">
        <f t="array" ref="T680">INDEX(Trad, 52, $A$20)</f>
        <v>Sauber</v>
      </c>
      <c r="U680" s="253"/>
      <c r="V680" s="253"/>
      <c r="W680" s="254"/>
      <c r="X680" s="251"/>
      <c r="Y680" s="251"/>
      <c r="Z680" s="264">
        <f t="shared" si="650"/>
        <v>0</v>
      </c>
      <c r="AA680" s="261"/>
      <c r="AB680" s="258"/>
      <c r="AC680" s="246"/>
      <c r="AD680" s="247" t="str">
        <f>IF(ISBLANK(AC680), "", VLOOKUP(AC680, Z!$A$2:$C$4127, 3, FALSE))</f>
        <v/>
      </c>
      <c r="AE680" s="262"/>
      <c r="AF680" s="263">
        <f t="shared" si="651"/>
        <v>0</v>
      </c>
      <c r="AG680" s="238"/>
      <c r="AH680" s="229">
        <f t="shared" si="675"/>
        <v>1</v>
      </c>
      <c r="AI680" s="229">
        <f t="shared" si="676"/>
        <v>1</v>
      </c>
      <c r="AJ680" s="229">
        <f t="shared" si="677"/>
        <v>0</v>
      </c>
      <c r="AK680" s="229">
        <v>0</v>
      </c>
      <c r="AL680" s="229">
        <v>0</v>
      </c>
      <c r="AM680" s="229">
        <v>1</v>
      </c>
      <c r="AN680" s="229">
        <v>0</v>
      </c>
      <c r="AO680" s="229">
        <f t="shared" si="652"/>
        <v>-100</v>
      </c>
      <c r="AP680" s="238"/>
      <c r="AQ680" s="255"/>
      <c r="AR680" s="255"/>
      <c r="AS680" s="256"/>
      <c r="AT680" s="256"/>
      <c r="AU680" s="256"/>
      <c r="AV680" s="256"/>
      <c r="AW680" s="256"/>
      <c r="AX680" s="256"/>
      <c r="AY680" s="256"/>
      <c r="AZ680" s="256"/>
      <c r="BA680" s="256"/>
      <c r="BB680" s="256"/>
      <c r="BC680" s="256"/>
      <c r="BD680" s="238"/>
      <c r="BE680" s="229" cm="1">
        <f t="array" ref="BE680">IF(ISBLANK(R680), INDEX(Use, $AH680, 4) - AM680*INDEX(Use, $AH680, 6), R680)</f>
        <v>5</v>
      </c>
      <c r="BF680" s="229">
        <f t="shared" si="653"/>
        <v>30</v>
      </c>
      <c r="BG680" s="229">
        <f t="shared" si="679"/>
        <v>13</v>
      </c>
      <c r="BH680" s="229">
        <f t="shared" si="680"/>
        <v>0</v>
      </c>
      <c r="BI680" s="234" cm="1">
        <f t="array" ref="BI680">K680/IF($L680&gt;0, INDEX($AU$23:$BA$77, $L680+20, $AH680), 1)</f>
        <v>0</v>
      </c>
      <c r="BJ680" s="230">
        <f t="shared" si="654"/>
        <v>0</v>
      </c>
      <c r="BK680" s="229">
        <v>35</v>
      </c>
      <c r="BL680" s="230">
        <f t="shared" si="655"/>
        <v>48</v>
      </c>
      <c r="BM680" s="235">
        <f t="shared" si="656"/>
        <v>2.9108720930232557</v>
      </c>
      <c r="BN680" s="235" cm="1">
        <f t="array" ref="BN680">$BI680 * SUMPRODUCT(INDEX($AR$77:$AT$82,,$AI680),INDEX($AU$77:$BA$82,,$AH680), N($AQ$77:$AQ$82&gt;$AO680)) / BM680 / 1000</f>
        <v>0</v>
      </c>
      <c r="BO680" s="232">
        <f t="shared" si="681"/>
        <v>30</v>
      </c>
      <c r="BP680" s="230">
        <f t="shared" si="657"/>
        <v>43</v>
      </c>
      <c r="BQ680" s="235">
        <f t="shared" si="658"/>
        <v>3.2938815789473681</v>
      </c>
      <c r="BR680" s="235" cm="1">
        <f t="array" ref="BR680">$BI680 * IF($AH680&lt;=2,
SUMPRODUCT(INDEX($AR$72:$AT$76,,$AI680), INDEX($AU$72:$BA$76,,$AH680), 1 / ($BB$72:$BB$76*BQ680 + (1-$BB$72:$BB$76)*BM680), N($AQ$72:$AQ$76&gt;$AO680)),
SUMPRODUCT(INDEX($AR$67:$AT$76,,$AI680), INDEX($AU$67:$BA$76,,$AH680), 1 / ($BC$67:$BC$76*BQ680 + (1-$BC$67:$BC$76)*BM680), N($AQ$67:$AQ$76&gt;$AO680))
) / 1000</f>
        <v>0</v>
      </c>
      <c r="BS680" s="232">
        <f t="shared" si="682"/>
        <v>25</v>
      </c>
      <c r="BT680" s="230">
        <f t="shared" si="659"/>
        <v>38</v>
      </c>
      <c r="BU680" s="235">
        <f t="shared" si="660"/>
        <v>3.792954545454545</v>
      </c>
      <c r="BV680" s="235" cm="1">
        <f t="array" ref="BV680">$BI680 * IF($AH680&lt;=2,
SUMPRODUCT(INDEX($AR$67:$AT$71,,$AI680), INDEX($AU$67:$BA$71,,$AH680), 1 / ($BB$67:$BB$71*BU680 + (1-$BB$67:$BB$71)*BQ680), N($AQ$67:$AQ$71&gt;$AO680)),
SUMPRODUCT(INDEX($AR$57:$AT$66,,$AI680), INDEX($AU$57:$BA$66,,$AH680), 1 / ($BC$57:$BC$66*BU680 + (1-$BC$57:$BC$66)*BQ680), N($AQ$57:$AQ$66&gt;$AO680))
) / 1000</f>
        <v>0</v>
      </c>
      <c r="BW680" s="232">
        <f t="shared" si="683"/>
        <v>20</v>
      </c>
      <c r="BX680" s="230">
        <f t="shared" si="661"/>
        <v>33</v>
      </c>
      <c r="BY680" s="235">
        <f t="shared" si="662"/>
        <v>4.4702678571428569</v>
      </c>
      <c r="BZ680" s="235" cm="1">
        <f t="array" ref="BZ680">$BI680 * IF($AH680&lt;=2,
SUMPRODUCT(INDEX($AR$62:$AT$66,,$AI680), INDEX($AU$62:$BA$66,,$AH680), 1 / ($BB$62:$BB$66*BY680 + (1-$BB$62:$BB$66)*BU680), N($AQ$62:$AQ$66&gt;$AO680)),
SUMPRODUCT(INDEX($AR$47:$AT$56,,$AI680), INDEX($AU$47:$BA$56,,$AH680), 1 / ($BC$47:$BC$56*BY680 + (1-$BC$47:$BC$56)*BU680), N($AQ$47:$AQ$56&gt;$AO680))
) / 1000</f>
        <v>0</v>
      </c>
      <c r="CA680" s="235" cm="1">
        <f t="array" ref="CA680">$BI680 * IF($AH680&lt;=2,
SUMPRODUCT(INDEX($AR$23:$AT$61,,$AI680), INDEX($AU$23:$BA$61,,$AH680), 1 / ($BB$23:$BB$61*BY680), N($AQ$23:$AQ$61&gt;$AO680)),
SUMPRODUCT(INDEX($AR$23:$AT$46,,$AI680), INDEX($AU$23:$BA$46,,$AH680), 1 / ($BC$23:$BC$46*BY680), N($AQ$23:$AQ$46&gt;$AO680))
) / 1000</f>
        <v>0</v>
      </c>
      <c r="CB680" s="230">
        <f t="shared" si="663"/>
        <v>0</v>
      </c>
      <c r="CC680" s="238"/>
      <c r="CD680" s="229" cm="1">
        <f t="array" ref="CD680">IF(ISBLANK(Y680), INDEX(Use, $AH680, 4) - AN680*INDEX(Use, $AH680, 6) - (Q680-X680), Y680)</f>
        <v>7</v>
      </c>
      <c r="CE680" s="229">
        <f t="shared" si="664"/>
        <v>32</v>
      </c>
      <c r="CF680" s="230">
        <f t="shared" si="665"/>
        <v>0</v>
      </c>
      <c r="CG680" s="229">
        <v>35</v>
      </c>
      <c r="CH680" s="230">
        <f t="shared" si="666"/>
        <v>48</v>
      </c>
      <c r="CI680" s="235">
        <f t="shared" si="667"/>
        <v>3.0748170731707316</v>
      </c>
      <c r="CJ680" s="235" cm="1">
        <f t="array" ref="CJ680">$BI680 * SUMPRODUCT(INDEX($AR$77:$AT$82,,$AI680),INDEX($AU$77:$BA$82,,$AH680), N($AQ$77:$AQ$82&gt;$AO680)) / CI680 / 1000</f>
        <v>0</v>
      </c>
      <c r="CK680" s="232">
        <f t="shared" si="684"/>
        <v>30</v>
      </c>
      <c r="CL680" s="230">
        <f t="shared" si="668"/>
        <v>43</v>
      </c>
      <c r="CM680" s="235">
        <f t="shared" si="669"/>
        <v>3.5018750000000001</v>
      </c>
      <c r="CN680" s="235" cm="1">
        <f t="array" ref="CN680">$BI680 * IF($AH680&lt;=2,
SUMPRODUCT(INDEX($AR$72:$AT$76,,$AI680), INDEX($AU$72:$BA$76,,$AH680), 1 / ($BB$72:$BB$76*CM680 + (1-$BB$72:$BB$76)*CI680), N($AQ$72:$AQ$76&gt;$AO680)),
SUMPRODUCT(INDEX($AR$67:$AT$76,,$AI680), INDEX($AU$67:$BA$76,,$AH680), 1 / ($BC$67:$BC$76*CM680 + (1-$BC$67:$BC$76)*CI680), N($AQ$67:$AQ$76&gt;$AO680))
) / 1000</f>
        <v>0</v>
      </c>
      <c r="CO680" s="232">
        <f t="shared" si="685"/>
        <v>25</v>
      </c>
      <c r="CP680" s="230">
        <f t="shared" si="670"/>
        <v>38</v>
      </c>
      <c r="CQ680" s="235">
        <f t="shared" si="671"/>
        <v>4.0666935483870965</v>
      </c>
      <c r="CR680" s="235" cm="1">
        <f t="array" ref="CR680">$BI680 * IF($AH680&lt;=2,
SUMPRODUCT(INDEX($AR$67:$AT$71,,$AI680), INDEX($AU$67:$BA$71,,$AH680), 1 / ($BB$67:$BB$71*CQ680 + (1-$BB$67:$BB$71)*CM680), N($AQ$67:$AQ$71&gt;$AO680)),
SUMPRODUCT(INDEX($AR$57:$AT$66,,$AI680), INDEX($AU$57:$BA$66,,$AH680), 1 / ($BC$57:$BC$66*CQ680 + (1-$BC$57:$BC$66)*CM680), N($AQ$57:$AQ$66&gt;$AO680))
) / 1000</f>
        <v>0</v>
      </c>
      <c r="CS680" s="232">
        <f t="shared" si="686"/>
        <v>20</v>
      </c>
      <c r="CT680" s="230">
        <f t="shared" si="672"/>
        <v>33</v>
      </c>
      <c r="CU680" s="235">
        <f t="shared" si="673"/>
        <v>4.8487499999999999</v>
      </c>
      <c r="CV680" s="235" cm="1">
        <f t="array" ref="CV680">$BI680 * IF($AH680&lt;=2,
SUMPRODUCT(INDEX($AR$62:$AT$66,,$AI680), INDEX($AU$62:$BA$66,,$AH680), 1 / ($BB$62:$BB$66*CU680 + (1-$BB$62:$BB$66)*CQ680), N($AQ$62:$AQ$66&gt;$AO680)),
SUMPRODUCT(INDEX($AR$47:$AT$56,,$AI680), INDEX($AU$47:$BA$56,,$AH680), 1 / ($BC$47:$BC$56*CU680 + (1-$BC$47:$BC$56)*CQ680), N($AQ$47:$AQ$56&gt;$AO680))
) / 1000</f>
        <v>0</v>
      </c>
      <c r="CW680" s="235" cm="1">
        <f t="array" ref="CW680">$BI680 * IF($AH680&lt;=2,
SUMPRODUCT(INDEX($AR$23:$AT$61,,$AI680), INDEX($AU$23:$BA$61,,$AH680), 1 / ($BB$23:$BB$61*CU680), N($AQ$23:$AQ$61&gt;$AO680)),
SUMPRODUCT(INDEX($AR$23:$AT$46,,$AI680), INDEX($AU$23:$BA$46,,$AH680), 1 / ($BC$23:$BC$46*CU680), N($AQ$23:$AQ$46&gt;$AO680))
) / 1000</f>
        <v>0</v>
      </c>
      <c r="CX680" s="230">
        <f t="shared" si="674"/>
        <v>0</v>
      </c>
      <c r="CY680" s="238"/>
    </row>
    <row r="681" spans="1:103" s="76" customFormat="1" ht="14.25" customHeight="1" x14ac:dyDescent="0.2">
      <c r="A681" s="231" t="b">
        <f t="shared" si="678"/>
        <v>0</v>
      </c>
      <c r="B681" s="245">
        <v>659</v>
      </c>
      <c r="C681" s="258"/>
      <c r="D681" s="258"/>
      <c r="E681" s="246"/>
      <c r="F681" s="247" t="str">
        <f>IF(ISBLANK(E681), "", VLOOKUP(E681, Z!$A$2:$C$4127, 3, FALSE))</f>
        <v/>
      </c>
      <c r="G681" s="248"/>
      <c r="H681" s="248"/>
      <c r="I681" s="249"/>
      <c r="J681" s="250"/>
      <c r="K681" s="259"/>
      <c r="L681" s="260"/>
      <c r="M681" s="252" t="str" cm="1">
        <f t="array" ref="M681">INDEX(Trad, 53, $A$20)</f>
        <v>Verschmutzt</v>
      </c>
      <c r="N681" s="253"/>
      <c r="O681" s="253"/>
      <c r="P681" s="254"/>
      <c r="Q681" s="251"/>
      <c r="R681" s="251"/>
      <c r="S681" s="264">
        <f t="shared" si="649"/>
        <v>0</v>
      </c>
      <c r="T681" s="252" t="str" cm="1">
        <f t="array" ref="T681">INDEX(Trad, 52, $A$20)</f>
        <v>Sauber</v>
      </c>
      <c r="U681" s="253"/>
      <c r="V681" s="253"/>
      <c r="W681" s="254"/>
      <c r="X681" s="251"/>
      <c r="Y681" s="251"/>
      <c r="Z681" s="264">
        <f t="shared" si="650"/>
        <v>0</v>
      </c>
      <c r="AA681" s="261"/>
      <c r="AB681" s="258"/>
      <c r="AC681" s="246"/>
      <c r="AD681" s="247" t="str">
        <f>IF(ISBLANK(AC681), "", VLOOKUP(AC681, Z!$A$2:$C$4127, 3, FALSE))</f>
        <v/>
      </c>
      <c r="AE681" s="262"/>
      <c r="AF681" s="263">
        <f t="shared" si="651"/>
        <v>0</v>
      </c>
      <c r="AG681" s="238"/>
      <c r="AH681" s="229">
        <f t="shared" si="675"/>
        <v>1</v>
      </c>
      <c r="AI681" s="229">
        <f t="shared" si="676"/>
        <v>1</v>
      </c>
      <c r="AJ681" s="229">
        <f t="shared" si="677"/>
        <v>0</v>
      </c>
      <c r="AK681" s="229">
        <v>0</v>
      </c>
      <c r="AL681" s="229">
        <v>0</v>
      </c>
      <c r="AM681" s="229">
        <v>1</v>
      </c>
      <c r="AN681" s="229">
        <v>0</v>
      </c>
      <c r="AO681" s="229">
        <f t="shared" si="652"/>
        <v>-100</v>
      </c>
      <c r="AP681" s="238"/>
      <c r="AQ681" s="255"/>
      <c r="AR681" s="255"/>
      <c r="AS681" s="256"/>
      <c r="AT681" s="256"/>
      <c r="AU681" s="256"/>
      <c r="AV681" s="256"/>
      <c r="AW681" s="256"/>
      <c r="AX681" s="256"/>
      <c r="AY681" s="256"/>
      <c r="AZ681" s="256"/>
      <c r="BA681" s="256"/>
      <c r="BB681" s="256"/>
      <c r="BC681" s="256"/>
      <c r="BD681" s="238"/>
      <c r="BE681" s="229" cm="1">
        <f t="array" ref="BE681">IF(ISBLANK(R681), INDEX(Use, $AH681, 4) - AM681*INDEX(Use, $AH681, 6), R681)</f>
        <v>5</v>
      </c>
      <c r="BF681" s="229">
        <f t="shared" si="653"/>
        <v>30</v>
      </c>
      <c r="BG681" s="229">
        <f t="shared" si="679"/>
        <v>13</v>
      </c>
      <c r="BH681" s="229">
        <f t="shared" si="680"/>
        <v>0</v>
      </c>
      <c r="BI681" s="234" cm="1">
        <f t="array" ref="BI681">K681/IF($L681&gt;0, INDEX($AU$23:$BA$77, $L681+20, $AH681), 1)</f>
        <v>0</v>
      </c>
      <c r="BJ681" s="230">
        <f t="shared" si="654"/>
        <v>0</v>
      </c>
      <c r="BK681" s="229">
        <v>35</v>
      </c>
      <c r="BL681" s="230">
        <f t="shared" si="655"/>
        <v>48</v>
      </c>
      <c r="BM681" s="235">
        <f t="shared" si="656"/>
        <v>2.9108720930232557</v>
      </c>
      <c r="BN681" s="235" cm="1">
        <f t="array" ref="BN681">$BI681 * SUMPRODUCT(INDEX($AR$77:$AT$82,,$AI681),INDEX($AU$77:$BA$82,,$AH681), N($AQ$77:$AQ$82&gt;$AO681)) / BM681 / 1000</f>
        <v>0</v>
      </c>
      <c r="BO681" s="232">
        <f t="shared" si="681"/>
        <v>30</v>
      </c>
      <c r="BP681" s="230">
        <f t="shared" si="657"/>
        <v>43</v>
      </c>
      <c r="BQ681" s="235">
        <f t="shared" si="658"/>
        <v>3.2938815789473681</v>
      </c>
      <c r="BR681" s="235" cm="1">
        <f t="array" ref="BR681">$BI681 * IF($AH681&lt;=2,
SUMPRODUCT(INDEX($AR$72:$AT$76,,$AI681), INDEX($AU$72:$BA$76,,$AH681), 1 / ($BB$72:$BB$76*BQ681 + (1-$BB$72:$BB$76)*BM681), N($AQ$72:$AQ$76&gt;$AO681)),
SUMPRODUCT(INDEX($AR$67:$AT$76,,$AI681), INDEX($AU$67:$BA$76,,$AH681), 1 / ($BC$67:$BC$76*BQ681 + (1-$BC$67:$BC$76)*BM681), N($AQ$67:$AQ$76&gt;$AO681))
) / 1000</f>
        <v>0</v>
      </c>
      <c r="BS681" s="232">
        <f t="shared" si="682"/>
        <v>25</v>
      </c>
      <c r="BT681" s="230">
        <f t="shared" si="659"/>
        <v>38</v>
      </c>
      <c r="BU681" s="235">
        <f t="shared" si="660"/>
        <v>3.792954545454545</v>
      </c>
      <c r="BV681" s="235" cm="1">
        <f t="array" ref="BV681">$BI681 * IF($AH681&lt;=2,
SUMPRODUCT(INDEX($AR$67:$AT$71,,$AI681), INDEX($AU$67:$BA$71,,$AH681), 1 / ($BB$67:$BB$71*BU681 + (1-$BB$67:$BB$71)*BQ681), N($AQ$67:$AQ$71&gt;$AO681)),
SUMPRODUCT(INDEX($AR$57:$AT$66,,$AI681), INDEX($AU$57:$BA$66,,$AH681), 1 / ($BC$57:$BC$66*BU681 + (1-$BC$57:$BC$66)*BQ681), N($AQ$57:$AQ$66&gt;$AO681))
) / 1000</f>
        <v>0</v>
      </c>
      <c r="BW681" s="232">
        <f t="shared" si="683"/>
        <v>20</v>
      </c>
      <c r="BX681" s="230">
        <f t="shared" si="661"/>
        <v>33</v>
      </c>
      <c r="BY681" s="235">
        <f t="shared" si="662"/>
        <v>4.4702678571428569</v>
      </c>
      <c r="BZ681" s="235" cm="1">
        <f t="array" ref="BZ681">$BI681 * IF($AH681&lt;=2,
SUMPRODUCT(INDEX($AR$62:$AT$66,,$AI681), INDEX($AU$62:$BA$66,,$AH681), 1 / ($BB$62:$BB$66*BY681 + (1-$BB$62:$BB$66)*BU681), N($AQ$62:$AQ$66&gt;$AO681)),
SUMPRODUCT(INDEX($AR$47:$AT$56,,$AI681), INDEX($AU$47:$BA$56,,$AH681), 1 / ($BC$47:$BC$56*BY681 + (1-$BC$47:$BC$56)*BU681), N($AQ$47:$AQ$56&gt;$AO681))
) / 1000</f>
        <v>0</v>
      </c>
      <c r="CA681" s="235" cm="1">
        <f t="array" ref="CA681">$BI681 * IF($AH681&lt;=2,
SUMPRODUCT(INDEX($AR$23:$AT$61,,$AI681), INDEX($AU$23:$BA$61,,$AH681), 1 / ($BB$23:$BB$61*BY681), N($AQ$23:$AQ$61&gt;$AO681)),
SUMPRODUCT(INDEX($AR$23:$AT$46,,$AI681), INDEX($AU$23:$BA$46,,$AH681), 1 / ($BC$23:$BC$46*BY681), N($AQ$23:$AQ$46&gt;$AO681))
) / 1000</f>
        <v>0</v>
      </c>
      <c r="CB681" s="230">
        <f t="shared" si="663"/>
        <v>0</v>
      </c>
      <c r="CC681" s="238"/>
      <c r="CD681" s="229" cm="1">
        <f t="array" ref="CD681">IF(ISBLANK(Y681), INDEX(Use, $AH681, 4) - AN681*INDEX(Use, $AH681, 6) - (Q681-X681), Y681)</f>
        <v>7</v>
      </c>
      <c r="CE681" s="229">
        <f t="shared" si="664"/>
        <v>32</v>
      </c>
      <c r="CF681" s="230">
        <f t="shared" si="665"/>
        <v>0</v>
      </c>
      <c r="CG681" s="229">
        <v>35</v>
      </c>
      <c r="CH681" s="230">
        <f t="shared" si="666"/>
        <v>48</v>
      </c>
      <c r="CI681" s="235">
        <f t="shared" si="667"/>
        <v>3.0748170731707316</v>
      </c>
      <c r="CJ681" s="235" cm="1">
        <f t="array" ref="CJ681">$BI681 * SUMPRODUCT(INDEX($AR$77:$AT$82,,$AI681),INDEX($AU$77:$BA$82,,$AH681), N($AQ$77:$AQ$82&gt;$AO681)) / CI681 / 1000</f>
        <v>0</v>
      </c>
      <c r="CK681" s="232">
        <f t="shared" si="684"/>
        <v>30</v>
      </c>
      <c r="CL681" s="230">
        <f t="shared" si="668"/>
        <v>43</v>
      </c>
      <c r="CM681" s="235">
        <f t="shared" si="669"/>
        <v>3.5018750000000001</v>
      </c>
      <c r="CN681" s="235" cm="1">
        <f t="array" ref="CN681">$BI681 * IF($AH681&lt;=2,
SUMPRODUCT(INDEX($AR$72:$AT$76,,$AI681), INDEX($AU$72:$BA$76,,$AH681), 1 / ($BB$72:$BB$76*CM681 + (1-$BB$72:$BB$76)*CI681), N($AQ$72:$AQ$76&gt;$AO681)),
SUMPRODUCT(INDEX($AR$67:$AT$76,,$AI681), INDEX($AU$67:$BA$76,,$AH681), 1 / ($BC$67:$BC$76*CM681 + (1-$BC$67:$BC$76)*CI681), N($AQ$67:$AQ$76&gt;$AO681))
) / 1000</f>
        <v>0</v>
      </c>
      <c r="CO681" s="232">
        <f t="shared" si="685"/>
        <v>25</v>
      </c>
      <c r="CP681" s="230">
        <f t="shared" si="670"/>
        <v>38</v>
      </c>
      <c r="CQ681" s="235">
        <f t="shared" si="671"/>
        <v>4.0666935483870965</v>
      </c>
      <c r="CR681" s="235" cm="1">
        <f t="array" ref="CR681">$BI681 * IF($AH681&lt;=2,
SUMPRODUCT(INDEX($AR$67:$AT$71,,$AI681), INDEX($AU$67:$BA$71,,$AH681), 1 / ($BB$67:$BB$71*CQ681 + (1-$BB$67:$BB$71)*CM681), N($AQ$67:$AQ$71&gt;$AO681)),
SUMPRODUCT(INDEX($AR$57:$AT$66,,$AI681), INDEX($AU$57:$BA$66,,$AH681), 1 / ($BC$57:$BC$66*CQ681 + (1-$BC$57:$BC$66)*CM681), N($AQ$57:$AQ$66&gt;$AO681))
) / 1000</f>
        <v>0</v>
      </c>
      <c r="CS681" s="232">
        <f t="shared" si="686"/>
        <v>20</v>
      </c>
      <c r="CT681" s="230">
        <f t="shared" si="672"/>
        <v>33</v>
      </c>
      <c r="CU681" s="235">
        <f t="shared" si="673"/>
        <v>4.8487499999999999</v>
      </c>
      <c r="CV681" s="235" cm="1">
        <f t="array" ref="CV681">$BI681 * IF($AH681&lt;=2,
SUMPRODUCT(INDEX($AR$62:$AT$66,,$AI681), INDEX($AU$62:$BA$66,,$AH681), 1 / ($BB$62:$BB$66*CU681 + (1-$BB$62:$BB$66)*CQ681), N($AQ$62:$AQ$66&gt;$AO681)),
SUMPRODUCT(INDEX($AR$47:$AT$56,,$AI681), INDEX($AU$47:$BA$56,,$AH681), 1 / ($BC$47:$BC$56*CU681 + (1-$BC$47:$BC$56)*CQ681), N($AQ$47:$AQ$56&gt;$AO681))
) / 1000</f>
        <v>0</v>
      </c>
      <c r="CW681" s="235" cm="1">
        <f t="array" ref="CW681">$BI681 * IF($AH681&lt;=2,
SUMPRODUCT(INDEX($AR$23:$AT$61,,$AI681), INDEX($AU$23:$BA$61,,$AH681), 1 / ($BB$23:$BB$61*CU681), N($AQ$23:$AQ$61&gt;$AO681)),
SUMPRODUCT(INDEX($AR$23:$AT$46,,$AI681), INDEX($AU$23:$BA$46,,$AH681), 1 / ($BC$23:$BC$46*CU681), N($AQ$23:$AQ$46&gt;$AO681))
) / 1000</f>
        <v>0</v>
      </c>
      <c r="CX681" s="230">
        <f t="shared" si="674"/>
        <v>0</v>
      </c>
      <c r="CY681" s="238"/>
    </row>
    <row r="682" spans="1:103" s="76" customFormat="1" ht="14.25" customHeight="1" x14ac:dyDescent="0.2">
      <c r="A682" s="231" t="b">
        <f t="shared" si="678"/>
        <v>0</v>
      </c>
      <c r="B682" s="245">
        <v>660</v>
      </c>
      <c r="C682" s="258"/>
      <c r="D682" s="258"/>
      <c r="E682" s="246"/>
      <c r="F682" s="247" t="str">
        <f>IF(ISBLANK(E682), "", VLOOKUP(E682, Z!$A$2:$C$4127, 3, FALSE))</f>
        <v/>
      </c>
      <c r="G682" s="248"/>
      <c r="H682" s="248"/>
      <c r="I682" s="249"/>
      <c r="J682" s="250"/>
      <c r="K682" s="259"/>
      <c r="L682" s="260"/>
      <c r="M682" s="252" t="str" cm="1">
        <f t="array" ref="M682">INDEX(Trad, 53, $A$20)</f>
        <v>Verschmutzt</v>
      </c>
      <c r="N682" s="253"/>
      <c r="O682" s="253"/>
      <c r="P682" s="254"/>
      <c r="Q682" s="251"/>
      <c r="R682" s="251"/>
      <c r="S682" s="264">
        <f t="shared" si="649"/>
        <v>0</v>
      </c>
      <c r="T682" s="252" t="str" cm="1">
        <f t="array" ref="T682">INDEX(Trad, 52, $A$20)</f>
        <v>Sauber</v>
      </c>
      <c r="U682" s="253"/>
      <c r="V682" s="253"/>
      <c r="W682" s="254"/>
      <c r="X682" s="251"/>
      <c r="Y682" s="251"/>
      <c r="Z682" s="264">
        <f t="shared" si="650"/>
        <v>0</v>
      </c>
      <c r="AA682" s="261"/>
      <c r="AB682" s="258"/>
      <c r="AC682" s="246"/>
      <c r="AD682" s="247" t="str">
        <f>IF(ISBLANK(AC682), "", VLOOKUP(AC682, Z!$A$2:$C$4127, 3, FALSE))</f>
        <v/>
      </c>
      <c r="AE682" s="262"/>
      <c r="AF682" s="263">
        <f t="shared" si="651"/>
        <v>0</v>
      </c>
      <c r="AG682" s="238"/>
      <c r="AH682" s="229">
        <f t="shared" si="675"/>
        <v>1</v>
      </c>
      <c r="AI682" s="229">
        <f t="shared" si="676"/>
        <v>1</v>
      </c>
      <c r="AJ682" s="229">
        <f t="shared" si="677"/>
        <v>0</v>
      </c>
      <c r="AK682" s="229">
        <v>0</v>
      </c>
      <c r="AL682" s="229">
        <v>0</v>
      </c>
      <c r="AM682" s="229">
        <v>1</v>
      </c>
      <c r="AN682" s="229">
        <v>0</v>
      </c>
      <c r="AO682" s="229">
        <f t="shared" si="652"/>
        <v>-100</v>
      </c>
      <c r="AP682" s="238"/>
      <c r="AQ682" s="255"/>
      <c r="AR682" s="255"/>
      <c r="AS682" s="256"/>
      <c r="AT682" s="256"/>
      <c r="AU682" s="256"/>
      <c r="AV682" s="256"/>
      <c r="AW682" s="256"/>
      <c r="AX682" s="256"/>
      <c r="AY682" s="256"/>
      <c r="AZ682" s="256"/>
      <c r="BA682" s="256"/>
      <c r="BB682" s="256"/>
      <c r="BC682" s="256"/>
      <c r="BD682" s="238"/>
      <c r="BE682" s="229" cm="1">
        <f t="array" ref="BE682">IF(ISBLANK(R682), INDEX(Use, $AH682, 4) - AM682*INDEX(Use, $AH682, 6), R682)</f>
        <v>5</v>
      </c>
      <c r="BF682" s="229">
        <f t="shared" si="653"/>
        <v>30</v>
      </c>
      <c r="BG682" s="229">
        <f t="shared" si="679"/>
        <v>13</v>
      </c>
      <c r="BH682" s="229">
        <f t="shared" si="680"/>
        <v>0</v>
      </c>
      <c r="BI682" s="234" cm="1">
        <f t="array" ref="BI682">K682/IF($L682&gt;0, INDEX($AU$23:$BA$77, $L682+20, $AH682), 1)</f>
        <v>0</v>
      </c>
      <c r="BJ682" s="230">
        <f t="shared" si="654"/>
        <v>0</v>
      </c>
      <c r="BK682" s="229">
        <v>35</v>
      </c>
      <c r="BL682" s="230">
        <f t="shared" si="655"/>
        <v>48</v>
      </c>
      <c r="BM682" s="235">
        <f t="shared" si="656"/>
        <v>2.9108720930232557</v>
      </c>
      <c r="BN682" s="235" cm="1">
        <f t="array" ref="BN682">$BI682 * SUMPRODUCT(INDEX($AR$77:$AT$82,,$AI682),INDEX($AU$77:$BA$82,,$AH682), N($AQ$77:$AQ$82&gt;$AO682)) / BM682 / 1000</f>
        <v>0</v>
      </c>
      <c r="BO682" s="232">
        <f t="shared" si="681"/>
        <v>30</v>
      </c>
      <c r="BP682" s="230">
        <f t="shared" si="657"/>
        <v>43</v>
      </c>
      <c r="BQ682" s="235">
        <f t="shared" si="658"/>
        <v>3.2938815789473681</v>
      </c>
      <c r="BR682" s="235" cm="1">
        <f t="array" ref="BR682">$BI682 * IF($AH682&lt;=2,
SUMPRODUCT(INDEX($AR$72:$AT$76,,$AI682), INDEX($AU$72:$BA$76,,$AH682), 1 / ($BB$72:$BB$76*BQ682 + (1-$BB$72:$BB$76)*BM682), N($AQ$72:$AQ$76&gt;$AO682)),
SUMPRODUCT(INDEX($AR$67:$AT$76,,$AI682), INDEX($AU$67:$BA$76,,$AH682), 1 / ($BC$67:$BC$76*BQ682 + (1-$BC$67:$BC$76)*BM682), N($AQ$67:$AQ$76&gt;$AO682))
) / 1000</f>
        <v>0</v>
      </c>
      <c r="BS682" s="232">
        <f t="shared" si="682"/>
        <v>25</v>
      </c>
      <c r="BT682" s="230">
        <f t="shared" si="659"/>
        <v>38</v>
      </c>
      <c r="BU682" s="235">
        <f t="shared" si="660"/>
        <v>3.792954545454545</v>
      </c>
      <c r="BV682" s="235" cm="1">
        <f t="array" ref="BV682">$BI682 * IF($AH682&lt;=2,
SUMPRODUCT(INDEX($AR$67:$AT$71,,$AI682), INDEX($AU$67:$BA$71,,$AH682), 1 / ($BB$67:$BB$71*BU682 + (1-$BB$67:$BB$71)*BQ682), N($AQ$67:$AQ$71&gt;$AO682)),
SUMPRODUCT(INDEX($AR$57:$AT$66,,$AI682), INDEX($AU$57:$BA$66,,$AH682), 1 / ($BC$57:$BC$66*BU682 + (1-$BC$57:$BC$66)*BQ682), N($AQ$57:$AQ$66&gt;$AO682))
) / 1000</f>
        <v>0</v>
      </c>
      <c r="BW682" s="232">
        <f t="shared" si="683"/>
        <v>20</v>
      </c>
      <c r="BX682" s="230">
        <f t="shared" si="661"/>
        <v>33</v>
      </c>
      <c r="BY682" s="235">
        <f t="shared" si="662"/>
        <v>4.4702678571428569</v>
      </c>
      <c r="BZ682" s="235" cm="1">
        <f t="array" ref="BZ682">$BI682 * IF($AH682&lt;=2,
SUMPRODUCT(INDEX($AR$62:$AT$66,,$AI682), INDEX($AU$62:$BA$66,,$AH682), 1 / ($BB$62:$BB$66*BY682 + (1-$BB$62:$BB$66)*BU682), N($AQ$62:$AQ$66&gt;$AO682)),
SUMPRODUCT(INDEX($AR$47:$AT$56,,$AI682), INDEX($AU$47:$BA$56,,$AH682), 1 / ($BC$47:$BC$56*BY682 + (1-$BC$47:$BC$56)*BU682), N($AQ$47:$AQ$56&gt;$AO682))
) / 1000</f>
        <v>0</v>
      </c>
      <c r="CA682" s="235" cm="1">
        <f t="array" ref="CA682">$BI682 * IF($AH682&lt;=2,
SUMPRODUCT(INDEX($AR$23:$AT$61,,$AI682), INDEX($AU$23:$BA$61,,$AH682), 1 / ($BB$23:$BB$61*BY682), N($AQ$23:$AQ$61&gt;$AO682)),
SUMPRODUCT(INDEX($AR$23:$AT$46,,$AI682), INDEX($AU$23:$BA$46,,$AH682), 1 / ($BC$23:$BC$46*BY682), N($AQ$23:$AQ$46&gt;$AO682))
) / 1000</f>
        <v>0</v>
      </c>
      <c r="CB682" s="230">
        <f t="shared" si="663"/>
        <v>0</v>
      </c>
      <c r="CC682" s="238"/>
      <c r="CD682" s="229" cm="1">
        <f t="array" ref="CD682">IF(ISBLANK(Y682), INDEX(Use, $AH682, 4) - AN682*INDEX(Use, $AH682, 6) - (Q682-X682), Y682)</f>
        <v>7</v>
      </c>
      <c r="CE682" s="229">
        <f t="shared" si="664"/>
        <v>32</v>
      </c>
      <c r="CF682" s="230">
        <f t="shared" si="665"/>
        <v>0</v>
      </c>
      <c r="CG682" s="229">
        <v>35</v>
      </c>
      <c r="CH682" s="230">
        <f t="shared" si="666"/>
        <v>48</v>
      </c>
      <c r="CI682" s="235">
        <f t="shared" si="667"/>
        <v>3.0748170731707316</v>
      </c>
      <c r="CJ682" s="235" cm="1">
        <f t="array" ref="CJ682">$BI682 * SUMPRODUCT(INDEX($AR$77:$AT$82,,$AI682),INDEX($AU$77:$BA$82,,$AH682), N($AQ$77:$AQ$82&gt;$AO682)) / CI682 / 1000</f>
        <v>0</v>
      </c>
      <c r="CK682" s="232">
        <f t="shared" si="684"/>
        <v>30</v>
      </c>
      <c r="CL682" s="230">
        <f t="shared" si="668"/>
        <v>43</v>
      </c>
      <c r="CM682" s="235">
        <f t="shared" si="669"/>
        <v>3.5018750000000001</v>
      </c>
      <c r="CN682" s="235" cm="1">
        <f t="array" ref="CN682">$BI682 * IF($AH682&lt;=2,
SUMPRODUCT(INDEX($AR$72:$AT$76,,$AI682), INDEX($AU$72:$BA$76,,$AH682), 1 / ($BB$72:$BB$76*CM682 + (1-$BB$72:$BB$76)*CI682), N($AQ$72:$AQ$76&gt;$AO682)),
SUMPRODUCT(INDEX($AR$67:$AT$76,,$AI682), INDEX($AU$67:$BA$76,,$AH682), 1 / ($BC$67:$BC$76*CM682 + (1-$BC$67:$BC$76)*CI682), N($AQ$67:$AQ$76&gt;$AO682))
) / 1000</f>
        <v>0</v>
      </c>
      <c r="CO682" s="232">
        <f t="shared" si="685"/>
        <v>25</v>
      </c>
      <c r="CP682" s="230">
        <f t="shared" si="670"/>
        <v>38</v>
      </c>
      <c r="CQ682" s="235">
        <f t="shared" si="671"/>
        <v>4.0666935483870965</v>
      </c>
      <c r="CR682" s="235" cm="1">
        <f t="array" ref="CR682">$BI682 * IF($AH682&lt;=2,
SUMPRODUCT(INDEX($AR$67:$AT$71,,$AI682), INDEX($AU$67:$BA$71,,$AH682), 1 / ($BB$67:$BB$71*CQ682 + (1-$BB$67:$BB$71)*CM682), N($AQ$67:$AQ$71&gt;$AO682)),
SUMPRODUCT(INDEX($AR$57:$AT$66,,$AI682), INDEX($AU$57:$BA$66,,$AH682), 1 / ($BC$57:$BC$66*CQ682 + (1-$BC$57:$BC$66)*CM682), N($AQ$57:$AQ$66&gt;$AO682))
) / 1000</f>
        <v>0</v>
      </c>
      <c r="CS682" s="232">
        <f t="shared" si="686"/>
        <v>20</v>
      </c>
      <c r="CT682" s="230">
        <f t="shared" si="672"/>
        <v>33</v>
      </c>
      <c r="CU682" s="235">
        <f t="shared" si="673"/>
        <v>4.8487499999999999</v>
      </c>
      <c r="CV682" s="235" cm="1">
        <f t="array" ref="CV682">$BI682 * IF($AH682&lt;=2,
SUMPRODUCT(INDEX($AR$62:$AT$66,,$AI682), INDEX($AU$62:$BA$66,,$AH682), 1 / ($BB$62:$BB$66*CU682 + (1-$BB$62:$BB$66)*CQ682), N($AQ$62:$AQ$66&gt;$AO682)),
SUMPRODUCT(INDEX($AR$47:$AT$56,,$AI682), INDEX($AU$47:$BA$56,,$AH682), 1 / ($BC$47:$BC$56*CU682 + (1-$BC$47:$BC$56)*CQ682), N($AQ$47:$AQ$56&gt;$AO682))
) / 1000</f>
        <v>0</v>
      </c>
      <c r="CW682" s="235" cm="1">
        <f t="array" ref="CW682">$BI682 * IF($AH682&lt;=2,
SUMPRODUCT(INDEX($AR$23:$AT$61,,$AI682), INDEX($AU$23:$BA$61,,$AH682), 1 / ($BB$23:$BB$61*CU682), N($AQ$23:$AQ$61&gt;$AO682)),
SUMPRODUCT(INDEX($AR$23:$AT$46,,$AI682), INDEX($AU$23:$BA$46,,$AH682), 1 / ($BC$23:$BC$46*CU682), N($AQ$23:$AQ$46&gt;$AO682))
) / 1000</f>
        <v>0</v>
      </c>
      <c r="CX682" s="230">
        <f t="shared" si="674"/>
        <v>0</v>
      </c>
      <c r="CY682" s="238"/>
    </row>
    <row r="683" spans="1:103" s="76" customFormat="1" ht="14.25" customHeight="1" x14ac:dyDescent="0.2">
      <c r="A683" s="231" t="b">
        <f t="shared" si="678"/>
        <v>0</v>
      </c>
      <c r="B683" s="245">
        <v>661</v>
      </c>
      <c r="C683" s="258"/>
      <c r="D683" s="258"/>
      <c r="E683" s="246"/>
      <c r="F683" s="247" t="str">
        <f>IF(ISBLANK(E683), "", VLOOKUP(E683, Z!$A$2:$C$4127, 3, FALSE))</f>
        <v/>
      </c>
      <c r="G683" s="248"/>
      <c r="H683" s="248"/>
      <c r="I683" s="249"/>
      <c r="J683" s="250"/>
      <c r="K683" s="259"/>
      <c r="L683" s="260"/>
      <c r="M683" s="252" t="str" cm="1">
        <f t="array" ref="M683">INDEX(Trad, 53, $A$20)</f>
        <v>Verschmutzt</v>
      </c>
      <c r="N683" s="253"/>
      <c r="O683" s="253"/>
      <c r="P683" s="254"/>
      <c r="Q683" s="251"/>
      <c r="R683" s="251"/>
      <c r="S683" s="264">
        <f t="shared" si="649"/>
        <v>0</v>
      </c>
      <c r="T683" s="252" t="str" cm="1">
        <f t="array" ref="T683">INDEX(Trad, 52, $A$20)</f>
        <v>Sauber</v>
      </c>
      <c r="U683" s="253"/>
      <c r="V683" s="253"/>
      <c r="W683" s="254"/>
      <c r="X683" s="251"/>
      <c r="Y683" s="251"/>
      <c r="Z683" s="264">
        <f t="shared" si="650"/>
        <v>0</v>
      </c>
      <c r="AA683" s="261"/>
      <c r="AB683" s="258"/>
      <c r="AC683" s="246"/>
      <c r="AD683" s="247" t="str">
        <f>IF(ISBLANK(AC683), "", VLOOKUP(AC683, Z!$A$2:$C$4127, 3, FALSE))</f>
        <v/>
      </c>
      <c r="AE683" s="262"/>
      <c r="AF683" s="263">
        <f t="shared" si="651"/>
        <v>0</v>
      </c>
      <c r="AG683" s="238"/>
      <c r="AH683" s="229">
        <f t="shared" si="675"/>
        <v>1</v>
      </c>
      <c r="AI683" s="229">
        <f t="shared" si="676"/>
        <v>1</v>
      </c>
      <c r="AJ683" s="229">
        <f t="shared" si="677"/>
        <v>0</v>
      </c>
      <c r="AK683" s="229">
        <v>0</v>
      </c>
      <c r="AL683" s="229">
        <v>0</v>
      </c>
      <c r="AM683" s="229">
        <v>1</v>
      </c>
      <c r="AN683" s="229">
        <v>0</v>
      </c>
      <c r="AO683" s="229">
        <f t="shared" si="652"/>
        <v>-100</v>
      </c>
      <c r="AP683" s="238"/>
      <c r="AQ683" s="255"/>
      <c r="AR683" s="255"/>
      <c r="AS683" s="256"/>
      <c r="AT683" s="256"/>
      <c r="AU683" s="256"/>
      <c r="AV683" s="256"/>
      <c r="AW683" s="256"/>
      <c r="AX683" s="256"/>
      <c r="AY683" s="256"/>
      <c r="AZ683" s="256"/>
      <c r="BA683" s="256"/>
      <c r="BB683" s="256"/>
      <c r="BC683" s="256"/>
      <c r="BD683" s="238"/>
      <c r="BE683" s="229" cm="1">
        <f t="array" ref="BE683">IF(ISBLANK(R683), INDEX(Use, $AH683, 4) - AM683*INDEX(Use, $AH683, 6), R683)</f>
        <v>5</v>
      </c>
      <c r="BF683" s="229">
        <f t="shared" si="653"/>
        <v>30</v>
      </c>
      <c r="BG683" s="229">
        <f t="shared" si="679"/>
        <v>13</v>
      </c>
      <c r="BH683" s="229">
        <f t="shared" si="680"/>
        <v>0</v>
      </c>
      <c r="BI683" s="234" cm="1">
        <f t="array" ref="BI683">K683/IF($L683&gt;0, INDEX($AU$23:$BA$77, $L683+20, $AH683), 1)</f>
        <v>0</v>
      </c>
      <c r="BJ683" s="230">
        <f t="shared" si="654"/>
        <v>0</v>
      </c>
      <c r="BK683" s="229">
        <v>35</v>
      </c>
      <c r="BL683" s="230">
        <f t="shared" si="655"/>
        <v>48</v>
      </c>
      <c r="BM683" s="235">
        <f t="shared" si="656"/>
        <v>2.9108720930232557</v>
      </c>
      <c r="BN683" s="235" cm="1">
        <f t="array" ref="BN683">$BI683 * SUMPRODUCT(INDEX($AR$77:$AT$82,,$AI683),INDEX($AU$77:$BA$82,,$AH683), N($AQ$77:$AQ$82&gt;$AO683)) / BM683 / 1000</f>
        <v>0</v>
      </c>
      <c r="BO683" s="232">
        <f t="shared" si="681"/>
        <v>30</v>
      </c>
      <c r="BP683" s="230">
        <f t="shared" si="657"/>
        <v>43</v>
      </c>
      <c r="BQ683" s="235">
        <f t="shared" si="658"/>
        <v>3.2938815789473681</v>
      </c>
      <c r="BR683" s="235" cm="1">
        <f t="array" ref="BR683">$BI683 * IF($AH683&lt;=2,
SUMPRODUCT(INDEX($AR$72:$AT$76,,$AI683), INDEX($AU$72:$BA$76,,$AH683), 1 / ($BB$72:$BB$76*BQ683 + (1-$BB$72:$BB$76)*BM683), N($AQ$72:$AQ$76&gt;$AO683)),
SUMPRODUCT(INDEX($AR$67:$AT$76,,$AI683), INDEX($AU$67:$BA$76,,$AH683), 1 / ($BC$67:$BC$76*BQ683 + (1-$BC$67:$BC$76)*BM683), N($AQ$67:$AQ$76&gt;$AO683))
) / 1000</f>
        <v>0</v>
      </c>
      <c r="BS683" s="232">
        <f t="shared" si="682"/>
        <v>25</v>
      </c>
      <c r="BT683" s="230">
        <f t="shared" si="659"/>
        <v>38</v>
      </c>
      <c r="BU683" s="235">
        <f t="shared" si="660"/>
        <v>3.792954545454545</v>
      </c>
      <c r="BV683" s="235" cm="1">
        <f t="array" ref="BV683">$BI683 * IF($AH683&lt;=2,
SUMPRODUCT(INDEX($AR$67:$AT$71,,$AI683), INDEX($AU$67:$BA$71,,$AH683), 1 / ($BB$67:$BB$71*BU683 + (1-$BB$67:$BB$71)*BQ683), N($AQ$67:$AQ$71&gt;$AO683)),
SUMPRODUCT(INDEX($AR$57:$AT$66,,$AI683), INDEX($AU$57:$BA$66,,$AH683), 1 / ($BC$57:$BC$66*BU683 + (1-$BC$57:$BC$66)*BQ683), N($AQ$57:$AQ$66&gt;$AO683))
) / 1000</f>
        <v>0</v>
      </c>
      <c r="BW683" s="232">
        <f t="shared" si="683"/>
        <v>20</v>
      </c>
      <c r="BX683" s="230">
        <f t="shared" si="661"/>
        <v>33</v>
      </c>
      <c r="BY683" s="235">
        <f t="shared" si="662"/>
        <v>4.4702678571428569</v>
      </c>
      <c r="BZ683" s="235" cm="1">
        <f t="array" ref="BZ683">$BI683 * IF($AH683&lt;=2,
SUMPRODUCT(INDEX($AR$62:$AT$66,,$AI683), INDEX($AU$62:$BA$66,,$AH683), 1 / ($BB$62:$BB$66*BY683 + (1-$BB$62:$BB$66)*BU683), N($AQ$62:$AQ$66&gt;$AO683)),
SUMPRODUCT(INDEX($AR$47:$AT$56,,$AI683), INDEX($AU$47:$BA$56,,$AH683), 1 / ($BC$47:$BC$56*BY683 + (1-$BC$47:$BC$56)*BU683), N($AQ$47:$AQ$56&gt;$AO683))
) / 1000</f>
        <v>0</v>
      </c>
      <c r="CA683" s="235" cm="1">
        <f t="array" ref="CA683">$BI683 * IF($AH683&lt;=2,
SUMPRODUCT(INDEX($AR$23:$AT$61,,$AI683), INDEX($AU$23:$BA$61,,$AH683), 1 / ($BB$23:$BB$61*BY683), N($AQ$23:$AQ$61&gt;$AO683)),
SUMPRODUCT(INDEX($AR$23:$AT$46,,$AI683), INDEX($AU$23:$BA$46,,$AH683), 1 / ($BC$23:$BC$46*BY683), N($AQ$23:$AQ$46&gt;$AO683))
) / 1000</f>
        <v>0</v>
      </c>
      <c r="CB683" s="230">
        <f t="shared" si="663"/>
        <v>0</v>
      </c>
      <c r="CC683" s="238"/>
      <c r="CD683" s="229" cm="1">
        <f t="array" ref="CD683">IF(ISBLANK(Y683), INDEX(Use, $AH683, 4) - AN683*INDEX(Use, $AH683, 6) - (Q683-X683), Y683)</f>
        <v>7</v>
      </c>
      <c r="CE683" s="229">
        <f t="shared" si="664"/>
        <v>32</v>
      </c>
      <c r="CF683" s="230">
        <f t="shared" si="665"/>
        <v>0</v>
      </c>
      <c r="CG683" s="229">
        <v>35</v>
      </c>
      <c r="CH683" s="230">
        <f t="shared" si="666"/>
        <v>48</v>
      </c>
      <c r="CI683" s="235">
        <f t="shared" si="667"/>
        <v>3.0748170731707316</v>
      </c>
      <c r="CJ683" s="235" cm="1">
        <f t="array" ref="CJ683">$BI683 * SUMPRODUCT(INDEX($AR$77:$AT$82,,$AI683),INDEX($AU$77:$BA$82,,$AH683), N($AQ$77:$AQ$82&gt;$AO683)) / CI683 / 1000</f>
        <v>0</v>
      </c>
      <c r="CK683" s="232">
        <f t="shared" si="684"/>
        <v>30</v>
      </c>
      <c r="CL683" s="230">
        <f t="shared" si="668"/>
        <v>43</v>
      </c>
      <c r="CM683" s="235">
        <f t="shared" si="669"/>
        <v>3.5018750000000001</v>
      </c>
      <c r="CN683" s="235" cm="1">
        <f t="array" ref="CN683">$BI683 * IF($AH683&lt;=2,
SUMPRODUCT(INDEX($AR$72:$AT$76,,$AI683), INDEX($AU$72:$BA$76,,$AH683), 1 / ($BB$72:$BB$76*CM683 + (1-$BB$72:$BB$76)*CI683), N($AQ$72:$AQ$76&gt;$AO683)),
SUMPRODUCT(INDEX($AR$67:$AT$76,,$AI683), INDEX($AU$67:$BA$76,,$AH683), 1 / ($BC$67:$BC$76*CM683 + (1-$BC$67:$BC$76)*CI683), N($AQ$67:$AQ$76&gt;$AO683))
) / 1000</f>
        <v>0</v>
      </c>
      <c r="CO683" s="232">
        <f t="shared" si="685"/>
        <v>25</v>
      </c>
      <c r="CP683" s="230">
        <f t="shared" si="670"/>
        <v>38</v>
      </c>
      <c r="CQ683" s="235">
        <f t="shared" si="671"/>
        <v>4.0666935483870965</v>
      </c>
      <c r="CR683" s="235" cm="1">
        <f t="array" ref="CR683">$BI683 * IF($AH683&lt;=2,
SUMPRODUCT(INDEX($AR$67:$AT$71,,$AI683), INDEX($AU$67:$BA$71,,$AH683), 1 / ($BB$67:$BB$71*CQ683 + (1-$BB$67:$BB$71)*CM683), N($AQ$67:$AQ$71&gt;$AO683)),
SUMPRODUCT(INDEX($AR$57:$AT$66,,$AI683), INDEX($AU$57:$BA$66,,$AH683), 1 / ($BC$57:$BC$66*CQ683 + (1-$BC$57:$BC$66)*CM683), N($AQ$57:$AQ$66&gt;$AO683))
) / 1000</f>
        <v>0</v>
      </c>
      <c r="CS683" s="232">
        <f t="shared" si="686"/>
        <v>20</v>
      </c>
      <c r="CT683" s="230">
        <f t="shared" si="672"/>
        <v>33</v>
      </c>
      <c r="CU683" s="235">
        <f t="shared" si="673"/>
        <v>4.8487499999999999</v>
      </c>
      <c r="CV683" s="235" cm="1">
        <f t="array" ref="CV683">$BI683 * IF($AH683&lt;=2,
SUMPRODUCT(INDEX($AR$62:$AT$66,,$AI683), INDEX($AU$62:$BA$66,,$AH683), 1 / ($BB$62:$BB$66*CU683 + (1-$BB$62:$BB$66)*CQ683), N($AQ$62:$AQ$66&gt;$AO683)),
SUMPRODUCT(INDEX($AR$47:$AT$56,,$AI683), INDEX($AU$47:$BA$56,,$AH683), 1 / ($BC$47:$BC$56*CU683 + (1-$BC$47:$BC$56)*CQ683), N($AQ$47:$AQ$56&gt;$AO683))
) / 1000</f>
        <v>0</v>
      </c>
      <c r="CW683" s="235" cm="1">
        <f t="array" ref="CW683">$BI683 * IF($AH683&lt;=2,
SUMPRODUCT(INDEX($AR$23:$AT$61,,$AI683), INDEX($AU$23:$BA$61,,$AH683), 1 / ($BB$23:$BB$61*CU683), N($AQ$23:$AQ$61&gt;$AO683)),
SUMPRODUCT(INDEX($AR$23:$AT$46,,$AI683), INDEX($AU$23:$BA$46,,$AH683), 1 / ($BC$23:$BC$46*CU683), N($AQ$23:$AQ$46&gt;$AO683))
) / 1000</f>
        <v>0</v>
      </c>
      <c r="CX683" s="230">
        <f t="shared" si="674"/>
        <v>0</v>
      </c>
      <c r="CY683" s="238"/>
    </row>
    <row r="684" spans="1:103" s="76" customFormat="1" ht="14.25" customHeight="1" x14ac:dyDescent="0.2">
      <c r="A684" s="231" t="b">
        <f t="shared" si="678"/>
        <v>0</v>
      </c>
      <c r="B684" s="245">
        <v>662</v>
      </c>
      <c r="C684" s="258"/>
      <c r="D684" s="258"/>
      <c r="E684" s="246"/>
      <c r="F684" s="247" t="str">
        <f>IF(ISBLANK(E684), "", VLOOKUP(E684, Z!$A$2:$C$4127, 3, FALSE))</f>
        <v/>
      </c>
      <c r="G684" s="248"/>
      <c r="H684" s="248"/>
      <c r="I684" s="249"/>
      <c r="J684" s="250"/>
      <c r="K684" s="259"/>
      <c r="L684" s="260"/>
      <c r="M684" s="252" t="str" cm="1">
        <f t="array" ref="M684">INDEX(Trad, 53, $A$20)</f>
        <v>Verschmutzt</v>
      </c>
      <c r="N684" s="253"/>
      <c r="O684" s="253"/>
      <c r="P684" s="254"/>
      <c r="Q684" s="251"/>
      <c r="R684" s="251"/>
      <c r="S684" s="264">
        <f t="shared" si="649"/>
        <v>0</v>
      </c>
      <c r="T684" s="252" t="str" cm="1">
        <f t="array" ref="T684">INDEX(Trad, 52, $A$20)</f>
        <v>Sauber</v>
      </c>
      <c r="U684" s="253"/>
      <c r="V684" s="253"/>
      <c r="W684" s="254"/>
      <c r="X684" s="251"/>
      <c r="Y684" s="251"/>
      <c r="Z684" s="264">
        <f t="shared" si="650"/>
        <v>0</v>
      </c>
      <c r="AA684" s="261"/>
      <c r="AB684" s="258"/>
      <c r="AC684" s="246"/>
      <c r="AD684" s="247" t="str">
        <f>IF(ISBLANK(AC684), "", VLOOKUP(AC684, Z!$A$2:$C$4127, 3, FALSE))</f>
        <v/>
      </c>
      <c r="AE684" s="262"/>
      <c r="AF684" s="263">
        <f t="shared" si="651"/>
        <v>0</v>
      </c>
      <c r="AG684" s="238"/>
      <c r="AH684" s="229">
        <f t="shared" si="675"/>
        <v>1</v>
      </c>
      <c r="AI684" s="229">
        <f t="shared" si="676"/>
        <v>1</v>
      </c>
      <c r="AJ684" s="229">
        <f t="shared" si="677"/>
        <v>0</v>
      </c>
      <c r="AK684" s="229">
        <v>0</v>
      </c>
      <c r="AL684" s="229">
        <v>0</v>
      </c>
      <c r="AM684" s="229">
        <v>1</v>
      </c>
      <c r="AN684" s="229">
        <v>0</v>
      </c>
      <c r="AO684" s="229">
        <f t="shared" si="652"/>
        <v>-100</v>
      </c>
      <c r="AP684" s="238"/>
      <c r="AQ684" s="255"/>
      <c r="AR684" s="255"/>
      <c r="AS684" s="256"/>
      <c r="AT684" s="256"/>
      <c r="AU684" s="256"/>
      <c r="AV684" s="256"/>
      <c r="AW684" s="256"/>
      <c r="AX684" s="256"/>
      <c r="AY684" s="256"/>
      <c r="AZ684" s="256"/>
      <c r="BA684" s="256"/>
      <c r="BB684" s="256"/>
      <c r="BC684" s="256"/>
      <c r="BD684" s="238"/>
      <c r="BE684" s="229" cm="1">
        <f t="array" ref="BE684">IF(ISBLANK(R684), INDEX(Use, $AH684, 4) - AM684*INDEX(Use, $AH684, 6), R684)</f>
        <v>5</v>
      </c>
      <c r="BF684" s="229">
        <f t="shared" si="653"/>
        <v>30</v>
      </c>
      <c r="BG684" s="229">
        <f t="shared" si="679"/>
        <v>13</v>
      </c>
      <c r="BH684" s="229">
        <f t="shared" si="680"/>
        <v>0</v>
      </c>
      <c r="BI684" s="234" cm="1">
        <f t="array" ref="BI684">K684/IF($L684&gt;0, INDEX($AU$23:$BA$77, $L684+20, $AH684), 1)</f>
        <v>0</v>
      </c>
      <c r="BJ684" s="230">
        <f t="shared" si="654"/>
        <v>0</v>
      </c>
      <c r="BK684" s="229">
        <v>35</v>
      </c>
      <c r="BL684" s="230">
        <f t="shared" si="655"/>
        <v>48</v>
      </c>
      <c r="BM684" s="235">
        <f t="shared" si="656"/>
        <v>2.9108720930232557</v>
      </c>
      <c r="BN684" s="235" cm="1">
        <f t="array" ref="BN684">$BI684 * SUMPRODUCT(INDEX($AR$77:$AT$82,,$AI684),INDEX($AU$77:$BA$82,,$AH684), N($AQ$77:$AQ$82&gt;$AO684)) / BM684 / 1000</f>
        <v>0</v>
      </c>
      <c r="BO684" s="232">
        <f t="shared" si="681"/>
        <v>30</v>
      </c>
      <c r="BP684" s="230">
        <f t="shared" si="657"/>
        <v>43</v>
      </c>
      <c r="BQ684" s="235">
        <f t="shared" si="658"/>
        <v>3.2938815789473681</v>
      </c>
      <c r="BR684" s="235" cm="1">
        <f t="array" ref="BR684">$BI684 * IF($AH684&lt;=2,
SUMPRODUCT(INDEX($AR$72:$AT$76,,$AI684), INDEX($AU$72:$BA$76,,$AH684), 1 / ($BB$72:$BB$76*BQ684 + (1-$BB$72:$BB$76)*BM684), N($AQ$72:$AQ$76&gt;$AO684)),
SUMPRODUCT(INDEX($AR$67:$AT$76,,$AI684), INDEX($AU$67:$BA$76,,$AH684), 1 / ($BC$67:$BC$76*BQ684 + (1-$BC$67:$BC$76)*BM684), N($AQ$67:$AQ$76&gt;$AO684))
) / 1000</f>
        <v>0</v>
      </c>
      <c r="BS684" s="232">
        <f t="shared" si="682"/>
        <v>25</v>
      </c>
      <c r="BT684" s="230">
        <f t="shared" si="659"/>
        <v>38</v>
      </c>
      <c r="BU684" s="235">
        <f t="shared" si="660"/>
        <v>3.792954545454545</v>
      </c>
      <c r="BV684" s="235" cm="1">
        <f t="array" ref="BV684">$BI684 * IF($AH684&lt;=2,
SUMPRODUCT(INDEX($AR$67:$AT$71,,$AI684), INDEX($AU$67:$BA$71,,$AH684), 1 / ($BB$67:$BB$71*BU684 + (1-$BB$67:$BB$71)*BQ684), N($AQ$67:$AQ$71&gt;$AO684)),
SUMPRODUCT(INDEX($AR$57:$AT$66,,$AI684), INDEX($AU$57:$BA$66,,$AH684), 1 / ($BC$57:$BC$66*BU684 + (1-$BC$57:$BC$66)*BQ684), N($AQ$57:$AQ$66&gt;$AO684))
) / 1000</f>
        <v>0</v>
      </c>
      <c r="BW684" s="232">
        <f t="shared" si="683"/>
        <v>20</v>
      </c>
      <c r="BX684" s="230">
        <f t="shared" si="661"/>
        <v>33</v>
      </c>
      <c r="BY684" s="235">
        <f t="shared" si="662"/>
        <v>4.4702678571428569</v>
      </c>
      <c r="BZ684" s="235" cm="1">
        <f t="array" ref="BZ684">$BI684 * IF($AH684&lt;=2,
SUMPRODUCT(INDEX($AR$62:$AT$66,,$AI684), INDEX($AU$62:$BA$66,,$AH684), 1 / ($BB$62:$BB$66*BY684 + (1-$BB$62:$BB$66)*BU684), N($AQ$62:$AQ$66&gt;$AO684)),
SUMPRODUCT(INDEX($AR$47:$AT$56,,$AI684), INDEX($AU$47:$BA$56,,$AH684), 1 / ($BC$47:$BC$56*BY684 + (1-$BC$47:$BC$56)*BU684), N($AQ$47:$AQ$56&gt;$AO684))
) / 1000</f>
        <v>0</v>
      </c>
      <c r="CA684" s="235" cm="1">
        <f t="array" ref="CA684">$BI684 * IF($AH684&lt;=2,
SUMPRODUCT(INDEX($AR$23:$AT$61,,$AI684), INDEX($AU$23:$BA$61,,$AH684), 1 / ($BB$23:$BB$61*BY684), N($AQ$23:$AQ$61&gt;$AO684)),
SUMPRODUCT(INDEX($AR$23:$AT$46,,$AI684), INDEX($AU$23:$BA$46,,$AH684), 1 / ($BC$23:$BC$46*BY684), N($AQ$23:$AQ$46&gt;$AO684))
) / 1000</f>
        <v>0</v>
      </c>
      <c r="CB684" s="230">
        <f t="shared" si="663"/>
        <v>0</v>
      </c>
      <c r="CC684" s="238"/>
      <c r="CD684" s="229" cm="1">
        <f t="array" ref="CD684">IF(ISBLANK(Y684), INDEX(Use, $AH684, 4) - AN684*INDEX(Use, $AH684, 6) - (Q684-X684), Y684)</f>
        <v>7</v>
      </c>
      <c r="CE684" s="229">
        <f t="shared" si="664"/>
        <v>32</v>
      </c>
      <c r="CF684" s="230">
        <f t="shared" si="665"/>
        <v>0</v>
      </c>
      <c r="CG684" s="229">
        <v>35</v>
      </c>
      <c r="CH684" s="230">
        <f t="shared" si="666"/>
        <v>48</v>
      </c>
      <c r="CI684" s="235">
        <f t="shared" si="667"/>
        <v>3.0748170731707316</v>
      </c>
      <c r="CJ684" s="235" cm="1">
        <f t="array" ref="CJ684">$BI684 * SUMPRODUCT(INDEX($AR$77:$AT$82,,$AI684),INDEX($AU$77:$BA$82,,$AH684), N($AQ$77:$AQ$82&gt;$AO684)) / CI684 / 1000</f>
        <v>0</v>
      </c>
      <c r="CK684" s="232">
        <f t="shared" si="684"/>
        <v>30</v>
      </c>
      <c r="CL684" s="230">
        <f t="shared" si="668"/>
        <v>43</v>
      </c>
      <c r="CM684" s="235">
        <f t="shared" si="669"/>
        <v>3.5018750000000001</v>
      </c>
      <c r="CN684" s="235" cm="1">
        <f t="array" ref="CN684">$BI684 * IF($AH684&lt;=2,
SUMPRODUCT(INDEX($AR$72:$AT$76,,$AI684), INDEX($AU$72:$BA$76,,$AH684), 1 / ($BB$72:$BB$76*CM684 + (1-$BB$72:$BB$76)*CI684), N($AQ$72:$AQ$76&gt;$AO684)),
SUMPRODUCT(INDEX($AR$67:$AT$76,,$AI684), INDEX($AU$67:$BA$76,,$AH684), 1 / ($BC$67:$BC$76*CM684 + (1-$BC$67:$BC$76)*CI684), N($AQ$67:$AQ$76&gt;$AO684))
) / 1000</f>
        <v>0</v>
      </c>
      <c r="CO684" s="232">
        <f t="shared" si="685"/>
        <v>25</v>
      </c>
      <c r="CP684" s="230">
        <f t="shared" si="670"/>
        <v>38</v>
      </c>
      <c r="CQ684" s="235">
        <f t="shared" si="671"/>
        <v>4.0666935483870965</v>
      </c>
      <c r="CR684" s="235" cm="1">
        <f t="array" ref="CR684">$BI684 * IF($AH684&lt;=2,
SUMPRODUCT(INDEX($AR$67:$AT$71,,$AI684), INDEX($AU$67:$BA$71,,$AH684), 1 / ($BB$67:$BB$71*CQ684 + (1-$BB$67:$BB$71)*CM684), N($AQ$67:$AQ$71&gt;$AO684)),
SUMPRODUCT(INDEX($AR$57:$AT$66,,$AI684), INDEX($AU$57:$BA$66,,$AH684), 1 / ($BC$57:$BC$66*CQ684 + (1-$BC$57:$BC$66)*CM684), N($AQ$57:$AQ$66&gt;$AO684))
) / 1000</f>
        <v>0</v>
      </c>
      <c r="CS684" s="232">
        <f t="shared" si="686"/>
        <v>20</v>
      </c>
      <c r="CT684" s="230">
        <f t="shared" si="672"/>
        <v>33</v>
      </c>
      <c r="CU684" s="235">
        <f t="shared" si="673"/>
        <v>4.8487499999999999</v>
      </c>
      <c r="CV684" s="235" cm="1">
        <f t="array" ref="CV684">$BI684 * IF($AH684&lt;=2,
SUMPRODUCT(INDEX($AR$62:$AT$66,,$AI684), INDEX($AU$62:$BA$66,,$AH684), 1 / ($BB$62:$BB$66*CU684 + (1-$BB$62:$BB$66)*CQ684), N($AQ$62:$AQ$66&gt;$AO684)),
SUMPRODUCT(INDEX($AR$47:$AT$56,,$AI684), INDEX($AU$47:$BA$56,,$AH684), 1 / ($BC$47:$BC$56*CU684 + (1-$BC$47:$BC$56)*CQ684), N($AQ$47:$AQ$56&gt;$AO684))
) / 1000</f>
        <v>0</v>
      </c>
      <c r="CW684" s="235" cm="1">
        <f t="array" ref="CW684">$BI684 * IF($AH684&lt;=2,
SUMPRODUCT(INDEX($AR$23:$AT$61,,$AI684), INDEX($AU$23:$BA$61,,$AH684), 1 / ($BB$23:$BB$61*CU684), N($AQ$23:$AQ$61&gt;$AO684)),
SUMPRODUCT(INDEX($AR$23:$AT$46,,$AI684), INDEX($AU$23:$BA$46,,$AH684), 1 / ($BC$23:$BC$46*CU684), N($AQ$23:$AQ$46&gt;$AO684))
) / 1000</f>
        <v>0</v>
      </c>
      <c r="CX684" s="230">
        <f t="shared" si="674"/>
        <v>0</v>
      </c>
      <c r="CY684" s="238"/>
    </row>
    <row r="685" spans="1:103" s="76" customFormat="1" ht="14.25" customHeight="1" x14ac:dyDescent="0.2">
      <c r="A685" s="231" t="b">
        <f t="shared" si="678"/>
        <v>0</v>
      </c>
      <c r="B685" s="245">
        <v>663</v>
      </c>
      <c r="C685" s="258"/>
      <c r="D685" s="258"/>
      <c r="E685" s="246"/>
      <c r="F685" s="247" t="str">
        <f>IF(ISBLANK(E685), "", VLOOKUP(E685, Z!$A$2:$C$4127, 3, FALSE))</f>
        <v/>
      </c>
      <c r="G685" s="248"/>
      <c r="H685" s="248"/>
      <c r="I685" s="249"/>
      <c r="J685" s="250"/>
      <c r="K685" s="259"/>
      <c r="L685" s="260"/>
      <c r="M685" s="252" t="str" cm="1">
        <f t="array" ref="M685">INDEX(Trad, 53, $A$20)</f>
        <v>Verschmutzt</v>
      </c>
      <c r="N685" s="253"/>
      <c r="O685" s="253"/>
      <c r="P685" s="254"/>
      <c r="Q685" s="251"/>
      <c r="R685" s="251"/>
      <c r="S685" s="264">
        <f t="shared" si="649"/>
        <v>0</v>
      </c>
      <c r="T685" s="252" t="str" cm="1">
        <f t="array" ref="T685">INDEX(Trad, 52, $A$20)</f>
        <v>Sauber</v>
      </c>
      <c r="U685" s="253"/>
      <c r="V685" s="253"/>
      <c r="W685" s="254"/>
      <c r="X685" s="251"/>
      <c r="Y685" s="251"/>
      <c r="Z685" s="264">
        <f t="shared" si="650"/>
        <v>0</v>
      </c>
      <c r="AA685" s="261"/>
      <c r="AB685" s="258"/>
      <c r="AC685" s="246"/>
      <c r="AD685" s="247" t="str">
        <f>IF(ISBLANK(AC685), "", VLOOKUP(AC685, Z!$A$2:$C$4127, 3, FALSE))</f>
        <v/>
      </c>
      <c r="AE685" s="262"/>
      <c r="AF685" s="263">
        <f t="shared" si="651"/>
        <v>0</v>
      </c>
      <c r="AG685" s="238"/>
      <c r="AH685" s="229">
        <f t="shared" si="675"/>
        <v>1</v>
      </c>
      <c r="AI685" s="229">
        <f t="shared" si="676"/>
        <v>1</v>
      </c>
      <c r="AJ685" s="229">
        <f t="shared" si="677"/>
        <v>0</v>
      </c>
      <c r="AK685" s="229">
        <v>0</v>
      </c>
      <c r="AL685" s="229">
        <v>0</v>
      </c>
      <c r="AM685" s="229">
        <v>1</v>
      </c>
      <c r="AN685" s="229">
        <v>0</v>
      </c>
      <c r="AO685" s="229">
        <f t="shared" si="652"/>
        <v>-100</v>
      </c>
      <c r="AP685" s="238"/>
      <c r="AQ685" s="255"/>
      <c r="AR685" s="255"/>
      <c r="AS685" s="256"/>
      <c r="AT685" s="256"/>
      <c r="AU685" s="256"/>
      <c r="AV685" s="256"/>
      <c r="AW685" s="256"/>
      <c r="AX685" s="256"/>
      <c r="AY685" s="256"/>
      <c r="AZ685" s="256"/>
      <c r="BA685" s="256"/>
      <c r="BB685" s="256"/>
      <c r="BC685" s="256"/>
      <c r="BD685" s="238"/>
      <c r="BE685" s="229" cm="1">
        <f t="array" ref="BE685">IF(ISBLANK(R685), INDEX(Use, $AH685, 4) - AM685*INDEX(Use, $AH685, 6), R685)</f>
        <v>5</v>
      </c>
      <c r="BF685" s="229">
        <f t="shared" si="653"/>
        <v>30</v>
      </c>
      <c r="BG685" s="229">
        <f t="shared" si="679"/>
        <v>13</v>
      </c>
      <c r="BH685" s="229">
        <f t="shared" si="680"/>
        <v>0</v>
      </c>
      <c r="BI685" s="234" cm="1">
        <f t="array" ref="BI685">K685/IF($L685&gt;0, INDEX($AU$23:$BA$77, $L685+20, $AH685), 1)</f>
        <v>0</v>
      </c>
      <c r="BJ685" s="230">
        <f t="shared" si="654"/>
        <v>0</v>
      </c>
      <c r="BK685" s="229">
        <v>35</v>
      </c>
      <c r="BL685" s="230">
        <f t="shared" si="655"/>
        <v>48</v>
      </c>
      <c r="BM685" s="235">
        <f t="shared" si="656"/>
        <v>2.9108720930232557</v>
      </c>
      <c r="BN685" s="235" cm="1">
        <f t="array" ref="BN685">$BI685 * SUMPRODUCT(INDEX($AR$77:$AT$82,,$AI685),INDEX($AU$77:$BA$82,,$AH685), N($AQ$77:$AQ$82&gt;$AO685)) / BM685 / 1000</f>
        <v>0</v>
      </c>
      <c r="BO685" s="232">
        <f t="shared" si="681"/>
        <v>30</v>
      </c>
      <c r="BP685" s="230">
        <f t="shared" si="657"/>
        <v>43</v>
      </c>
      <c r="BQ685" s="235">
        <f t="shared" si="658"/>
        <v>3.2938815789473681</v>
      </c>
      <c r="BR685" s="235" cm="1">
        <f t="array" ref="BR685">$BI685 * IF($AH685&lt;=2,
SUMPRODUCT(INDEX($AR$72:$AT$76,,$AI685), INDEX($AU$72:$BA$76,,$AH685), 1 / ($BB$72:$BB$76*BQ685 + (1-$BB$72:$BB$76)*BM685), N($AQ$72:$AQ$76&gt;$AO685)),
SUMPRODUCT(INDEX($AR$67:$AT$76,,$AI685), INDEX($AU$67:$BA$76,,$AH685), 1 / ($BC$67:$BC$76*BQ685 + (1-$BC$67:$BC$76)*BM685), N($AQ$67:$AQ$76&gt;$AO685))
) / 1000</f>
        <v>0</v>
      </c>
      <c r="BS685" s="232">
        <f t="shared" si="682"/>
        <v>25</v>
      </c>
      <c r="BT685" s="230">
        <f t="shared" si="659"/>
        <v>38</v>
      </c>
      <c r="BU685" s="235">
        <f t="shared" si="660"/>
        <v>3.792954545454545</v>
      </c>
      <c r="BV685" s="235" cm="1">
        <f t="array" ref="BV685">$BI685 * IF($AH685&lt;=2,
SUMPRODUCT(INDEX($AR$67:$AT$71,,$AI685), INDEX($AU$67:$BA$71,,$AH685), 1 / ($BB$67:$BB$71*BU685 + (1-$BB$67:$BB$71)*BQ685), N($AQ$67:$AQ$71&gt;$AO685)),
SUMPRODUCT(INDEX($AR$57:$AT$66,,$AI685), INDEX($AU$57:$BA$66,,$AH685), 1 / ($BC$57:$BC$66*BU685 + (1-$BC$57:$BC$66)*BQ685), N($AQ$57:$AQ$66&gt;$AO685))
) / 1000</f>
        <v>0</v>
      </c>
      <c r="BW685" s="232">
        <f t="shared" si="683"/>
        <v>20</v>
      </c>
      <c r="BX685" s="230">
        <f t="shared" si="661"/>
        <v>33</v>
      </c>
      <c r="BY685" s="235">
        <f t="shared" si="662"/>
        <v>4.4702678571428569</v>
      </c>
      <c r="BZ685" s="235" cm="1">
        <f t="array" ref="BZ685">$BI685 * IF($AH685&lt;=2,
SUMPRODUCT(INDEX($AR$62:$AT$66,,$AI685), INDEX($AU$62:$BA$66,,$AH685), 1 / ($BB$62:$BB$66*BY685 + (1-$BB$62:$BB$66)*BU685), N($AQ$62:$AQ$66&gt;$AO685)),
SUMPRODUCT(INDEX($AR$47:$AT$56,,$AI685), INDEX($AU$47:$BA$56,,$AH685), 1 / ($BC$47:$BC$56*BY685 + (1-$BC$47:$BC$56)*BU685), N($AQ$47:$AQ$56&gt;$AO685))
) / 1000</f>
        <v>0</v>
      </c>
      <c r="CA685" s="235" cm="1">
        <f t="array" ref="CA685">$BI685 * IF($AH685&lt;=2,
SUMPRODUCT(INDEX($AR$23:$AT$61,,$AI685), INDEX($AU$23:$BA$61,,$AH685), 1 / ($BB$23:$BB$61*BY685), N($AQ$23:$AQ$61&gt;$AO685)),
SUMPRODUCT(INDEX($AR$23:$AT$46,,$AI685), INDEX($AU$23:$BA$46,,$AH685), 1 / ($BC$23:$BC$46*BY685), N($AQ$23:$AQ$46&gt;$AO685))
) / 1000</f>
        <v>0</v>
      </c>
      <c r="CB685" s="230">
        <f t="shared" si="663"/>
        <v>0</v>
      </c>
      <c r="CC685" s="238"/>
      <c r="CD685" s="229" cm="1">
        <f t="array" ref="CD685">IF(ISBLANK(Y685), INDEX(Use, $AH685, 4) - AN685*INDEX(Use, $AH685, 6) - (Q685-X685), Y685)</f>
        <v>7</v>
      </c>
      <c r="CE685" s="229">
        <f t="shared" si="664"/>
        <v>32</v>
      </c>
      <c r="CF685" s="230">
        <f t="shared" si="665"/>
        <v>0</v>
      </c>
      <c r="CG685" s="229">
        <v>35</v>
      </c>
      <c r="CH685" s="230">
        <f t="shared" si="666"/>
        <v>48</v>
      </c>
      <c r="CI685" s="235">
        <f t="shared" si="667"/>
        <v>3.0748170731707316</v>
      </c>
      <c r="CJ685" s="235" cm="1">
        <f t="array" ref="CJ685">$BI685 * SUMPRODUCT(INDEX($AR$77:$AT$82,,$AI685),INDEX($AU$77:$BA$82,,$AH685), N($AQ$77:$AQ$82&gt;$AO685)) / CI685 / 1000</f>
        <v>0</v>
      </c>
      <c r="CK685" s="232">
        <f t="shared" si="684"/>
        <v>30</v>
      </c>
      <c r="CL685" s="230">
        <f t="shared" si="668"/>
        <v>43</v>
      </c>
      <c r="CM685" s="235">
        <f t="shared" si="669"/>
        <v>3.5018750000000001</v>
      </c>
      <c r="CN685" s="235" cm="1">
        <f t="array" ref="CN685">$BI685 * IF($AH685&lt;=2,
SUMPRODUCT(INDEX($AR$72:$AT$76,,$AI685), INDEX($AU$72:$BA$76,,$AH685), 1 / ($BB$72:$BB$76*CM685 + (1-$BB$72:$BB$76)*CI685), N($AQ$72:$AQ$76&gt;$AO685)),
SUMPRODUCT(INDEX($AR$67:$AT$76,,$AI685), INDEX($AU$67:$BA$76,,$AH685), 1 / ($BC$67:$BC$76*CM685 + (1-$BC$67:$BC$76)*CI685), N($AQ$67:$AQ$76&gt;$AO685))
) / 1000</f>
        <v>0</v>
      </c>
      <c r="CO685" s="232">
        <f t="shared" si="685"/>
        <v>25</v>
      </c>
      <c r="CP685" s="230">
        <f t="shared" si="670"/>
        <v>38</v>
      </c>
      <c r="CQ685" s="235">
        <f t="shared" si="671"/>
        <v>4.0666935483870965</v>
      </c>
      <c r="CR685" s="235" cm="1">
        <f t="array" ref="CR685">$BI685 * IF($AH685&lt;=2,
SUMPRODUCT(INDEX($AR$67:$AT$71,,$AI685), INDEX($AU$67:$BA$71,,$AH685), 1 / ($BB$67:$BB$71*CQ685 + (1-$BB$67:$BB$71)*CM685), N($AQ$67:$AQ$71&gt;$AO685)),
SUMPRODUCT(INDEX($AR$57:$AT$66,,$AI685), INDEX($AU$57:$BA$66,,$AH685), 1 / ($BC$57:$BC$66*CQ685 + (1-$BC$57:$BC$66)*CM685), N($AQ$57:$AQ$66&gt;$AO685))
) / 1000</f>
        <v>0</v>
      </c>
      <c r="CS685" s="232">
        <f t="shared" si="686"/>
        <v>20</v>
      </c>
      <c r="CT685" s="230">
        <f t="shared" si="672"/>
        <v>33</v>
      </c>
      <c r="CU685" s="235">
        <f t="shared" si="673"/>
        <v>4.8487499999999999</v>
      </c>
      <c r="CV685" s="235" cm="1">
        <f t="array" ref="CV685">$BI685 * IF($AH685&lt;=2,
SUMPRODUCT(INDEX($AR$62:$AT$66,,$AI685), INDEX($AU$62:$BA$66,,$AH685), 1 / ($BB$62:$BB$66*CU685 + (1-$BB$62:$BB$66)*CQ685), N($AQ$62:$AQ$66&gt;$AO685)),
SUMPRODUCT(INDEX($AR$47:$AT$56,,$AI685), INDEX($AU$47:$BA$56,,$AH685), 1 / ($BC$47:$BC$56*CU685 + (1-$BC$47:$BC$56)*CQ685), N($AQ$47:$AQ$56&gt;$AO685))
) / 1000</f>
        <v>0</v>
      </c>
      <c r="CW685" s="235" cm="1">
        <f t="array" ref="CW685">$BI685 * IF($AH685&lt;=2,
SUMPRODUCT(INDEX($AR$23:$AT$61,,$AI685), INDEX($AU$23:$BA$61,,$AH685), 1 / ($BB$23:$BB$61*CU685), N($AQ$23:$AQ$61&gt;$AO685)),
SUMPRODUCT(INDEX($AR$23:$AT$46,,$AI685), INDEX($AU$23:$BA$46,,$AH685), 1 / ($BC$23:$BC$46*CU685), N($AQ$23:$AQ$46&gt;$AO685))
) / 1000</f>
        <v>0</v>
      </c>
      <c r="CX685" s="230">
        <f t="shared" si="674"/>
        <v>0</v>
      </c>
      <c r="CY685" s="238"/>
    </row>
    <row r="686" spans="1:103" s="76" customFormat="1" ht="14.25" customHeight="1" x14ac:dyDescent="0.2">
      <c r="A686" s="231" t="b">
        <f t="shared" si="678"/>
        <v>0</v>
      </c>
      <c r="B686" s="245">
        <v>664</v>
      </c>
      <c r="C686" s="258"/>
      <c r="D686" s="258"/>
      <c r="E686" s="246"/>
      <c r="F686" s="247" t="str">
        <f>IF(ISBLANK(E686), "", VLOOKUP(E686, Z!$A$2:$C$4127, 3, FALSE))</f>
        <v/>
      </c>
      <c r="G686" s="248"/>
      <c r="H686" s="248"/>
      <c r="I686" s="249"/>
      <c r="J686" s="250"/>
      <c r="K686" s="259"/>
      <c r="L686" s="260"/>
      <c r="M686" s="252" t="str" cm="1">
        <f t="array" ref="M686">INDEX(Trad, 53, $A$20)</f>
        <v>Verschmutzt</v>
      </c>
      <c r="N686" s="253"/>
      <c r="O686" s="253"/>
      <c r="P686" s="254"/>
      <c r="Q686" s="251"/>
      <c r="R686" s="251"/>
      <c r="S686" s="264">
        <f t="shared" si="649"/>
        <v>0</v>
      </c>
      <c r="T686" s="252" t="str" cm="1">
        <f t="array" ref="T686">INDEX(Trad, 52, $A$20)</f>
        <v>Sauber</v>
      </c>
      <c r="U686" s="253"/>
      <c r="V686" s="253"/>
      <c r="W686" s="254"/>
      <c r="X686" s="251"/>
      <c r="Y686" s="251"/>
      <c r="Z686" s="264">
        <f t="shared" si="650"/>
        <v>0</v>
      </c>
      <c r="AA686" s="261"/>
      <c r="AB686" s="258"/>
      <c r="AC686" s="246"/>
      <c r="AD686" s="247" t="str">
        <f>IF(ISBLANK(AC686), "", VLOOKUP(AC686, Z!$A$2:$C$4127, 3, FALSE))</f>
        <v/>
      </c>
      <c r="AE686" s="262"/>
      <c r="AF686" s="263">
        <f t="shared" si="651"/>
        <v>0</v>
      </c>
      <c r="AG686" s="238"/>
      <c r="AH686" s="229">
        <f t="shared" si="675"/>
        <v>1</v>
      </c>
      <c r="AI686" s="229">
        <f t="shared" si="676"/>
        <v>1</v>
      </c>
      <c r="AJ686" s="229">
        <f t="shared" si="677"/>
        <v>0</v>
      </c>
      <c r="AK686" s="229">
        <v>0</v>
      </c>
      <c r="AL686" s="229">
        <v>0</v>
      </c>
      <c r="AM686" s="229">
        <v>1</v>
      </c>
      <c r="AN686" s="229">
        <v>0</v>
      </c>
      <c r="AO686" s="229">
        <f t="shared" si="652"/>
        <v>-100</v>
      </c>
      <c r="AP686" s="238"/>
      <c r="AQ686" s="255"/>
      <c r="AR686" s="255"/>
      <c r="AS686" s="256"/>
      <c r="AT686" s="256"/>
      <c r="AU686" s="256"/>
      <c r="AV686" s="256"/>
      <c r="AW686" s="256"/>
      <c r="AX686" s="256"/>
      <c r="AY686" s="256"/>
      <c r="AZ686" s="256"/>
      <c r="BA686" s="256"/>
      <c r="BB686" s="256"/>
      <c r="BC686" s="256"/>
      <c r="BD686" s="238"/>
      <c r="BE686" s="229" cm="1">
        <f t="array" ref="BE686">IF(ISBLANK(R686), INDEX(Use, $AH686, 4) - AM686*INDEX(Use, $AH686, 6), R686)</f>
        <v>5</v>
      </c>
      <c r="BF686" s="229">
        <f t="shared" si="653"/>
        <v>30</v>
      </c>
      <c r="BG686" s="229">
        <f t="shared" si="679"/>
        <v>13</v>
      </c>
      <c r="BH686" s="229">
        <f t="shared" si="680"/>
        <v>0</v>
      </c>
      <c r="BI686" s="234" cm="1">
        <f t="array" ref="BI686">K686/IF($L686&gt;0, INDEX($AU$23:$BA$77, $L686+20, $AH686), 1)</f>
        <v>0</v>
      </c>
      <c r="BJ686" s="230">
        <f t="shared" si="654"/>
        <v>0</v>
      </c>
      <c r="BK686" s="229">
        <v>35</v>
      </c>
      <c r="BL686" s="230">
        <f t="shared" si="655"/>
        <v>48</v>
      </c>
      <c r="BM686" s="235">
        <f t="shared" si="656"/>
        <v>2.9108720930232557</v>
      </c>
      <c r="BN686" s="235" cm="1">
        <f t="array" ref="BN686">$BI686 * SUMPRODUCT(INDEX($AR$77:$AT$82,,$AI686),INDEX($AU$77:$BA$82,,$AH686), N($AQ$77:$AQ$82&gt;$AO686)) / BM686 / 1000</f>
        <v>0</v>
      </c>
      <c r="BO686" s="232">
        <f t="shared" si="681"/>
        <v>30</v>
      </c>
      <c r="BP686" s="230">
        <f t="shared" si="657"/>
        <v>43</v>
      </c>
      <c r="BQ686" s="235">
        <f t="shared" si="658"/>
        <v>3.2938815789473681</v>
      </c>
      <c r="BR686" s="235" cm="1">
        <f t="array" ref="BR686">$BI686 * IF($AH686&lt;=2,
SUMPRODUCT(INDEX($AR$72:$AT$76,,$AI686), INDEX($AU$72:$BA$76,,$AH686), 1 / ($BB$72:$BB$76*BQ686 + (1-$BB$72:$BB$76)*BM686), N($AQ$72:$AQ$76&gt;$AO686)),
SUMPRODUCT(INDEX($AR$67:$AT$76,,$AI686), INDEX($AU$67:$BA$76,,$AH686), 1 / ($BC$67:$BC$76*BQ686 + (1-$BC$67:$BC$76)*BM686), N($AQ$67:$AQ$76&gt;$AO686))
) / 1000</f>
        <v>0</v>
      </c>
      <c r="BS686" s="232">
        <f t="shared" si="682"/>
        <v>25</v>
      </c>
      <c r="BT686" s="230">
        <f t="shared" si="659"/>
        <v>38</v>
      </c>
      <c r="BU686" s="235">
        <f t="shared" si="660"/>
        <v>3.792954545454545</v>
      </c>
      <c r="BV686" s="235" cm="1">
        <f t="array" ref="BV686">$BI686 * IF($AH686&lt;=2,
SUMPRODUCT(INDEX($AR$67:$AT$71,,$AI686), INDEX($AU$67:$BA$71,,$AH686), 1 / ($BB$67:$BB$71*BU686 + (1-$BB$67:$BB$71)*BQ686), N($AQ$67:$AQ$71&gt;$AO686)),
SUMPRODUCT(INDEX($AR$57:$AT$66,,$AI686), INDEX($AU$57:$BA$66,,$AH686), 1 / ($BC$57:$BC$66*BU686 + (1-$BC$57:$BC$66)*BQ686), N($AQ$57:$AQ$66&gt;$AO686))
) / 1000</f>
        <v>0</v>
      </c>
      <c r="BW686" s="232">
        <f t="shared" si="683"/>
        <v>20</v>
      </c>
      <c r="BX686" s="230">
        <f t="shared" si="661"/>
        <v>33</v>
      </c>
      <c r="BY686" s="235">
        <f t="shared" si="662"/>
        <v>4.4702678571428569</v>
      </c>
      <c r="BZ686" s="235" cm="1">
        <f t="array" ref="BZ686">$BI686 * IF($AH686&lt;=2,
SUMPRODUCT(INDEX($AR$62:$AT$66,,$AI686), INDEX($AU$62:$BA$66,,$AH686), 1 / ($BB$62:$BB$66*BY686 + (1-$BB$62:$BB$66)*BU686), N($AQ$62:$AQ$66&gt;$AO686)),
SUMPRODUCT(INDEX($AR$47:$AT$56,,$AI686), INDEX($AU$47:$BA$56,,$AH686), 1 / ($BC$47:$BC$56*BY686 + (1-$BC$47:$BC$56)*BU686), N($AQ$47:$AQ$56&gt;$AO686))
) / 1000</f>
        <v>0</v>
      </c>
      <c r="CA686" s="235" cm="1">
        <f t="array" ref="CA686">$BI686 * IF($AH686&lt;=2,
SUMPRODUCT(INDEX($AR$23:$AT$61,,$AI686), INDEX($AU$23:$BA$61,,$AH686), 1 / ($BB$23:$BB$61*BY686), N($AQ$23:$AQ$61&gt;$AO686)),
SUMPRODUCT(INDEX($AR$23:$AT$46,,$AI686), INDEX($AU$23:$BA$46,,$AH686), 1 / ($BC$23:$BC$46*BY686), N($AQ$23:$AQ$46&gt;$AO686))
) / 1000</f>
        <v>0</v>
      </c>
      <c r="CB686" s="230">
        <f t="shared" si="663"/>
        <v>0</v>
      </c>
      <c r="CC686" s="238"/>
      <c r="CD686" s="229" cm="1">
        <f t="array" ref="CD686">IF(ISBLANK(Y686), INDEX(Use, $AH686, 4) - AN686*INDEX(Use, $AH686, 6) - (Q686-X686), Y686)</f>
        <v>7</v>
      </c>
      <c r="CE686" s="229">
        <f t="shared" si="664"/>
        <v>32</v>
      </c>
      <c r="CF686" s="230">
        <f t="shared" si="665"/>
        <v>0</v>
      </c>
      <c r="CG686" s="229">
        <v>35</v>
      </c>
      <c r="CH686" s="230">
        <f t="shared" si="666"/>
        <v>48</v>
      </c>
      <c r="CI686" s="235">
        <f t="shared" si="667"/>
        <v>3.0748170731707316</v>
      </c>
      <c r="CJ686" s="235" cm="1">
        <f t="array" ref="CJ686">$BI686 * SUMPRODUCT(INDEX($AR$77:$AT$82,,$AI686),INDEX($AU$77:$BA$82,,$AH686), N($AQ$77:$AQ$82&gt;$AO686)) / CI686 / 1000</f>
        <v>0</v>
      </c>
      <c r="CK686" s="232">
        <f t="shared" si="684"/>
        <v>30</v>
      </c>
      <c r="CL686" s="230">
        <f t="shared" si="668"/>
        <v>43</v>
      </c>
      <c r="CM686" s="235">
        <f t="shared" si="669"/>
        <v>3.5018750000000001</v>
      </c>
      <c r="CN686" s="235" cm="1">
        <f t="array" ref="CN686">$BI686 * IF($AH686&lt;=2,
SUMPRODUCT(INDEX($AR$72:$AT$76,,$AI686), INDEX($AU$72:$BA$76,,$AH686), 1 / ($BB$72:$BB$76*CM686 + (1-$BB$72:$BB$76)*CI686), N($AQ$72:$AQ$76&gt;$AO686)),
SUMPRODUCT(INDEX($AR$67:$AT$76,,$AI686), INDEX($AU$67:$BA$76,,$AH686), 1 / ($BC$67:$BC$76*CM686 + (1-$BC$67:$BC$76)*CI686), N($AQ$67:$AQ$76&gt;$AO686))
) / 1000</f>
        <v>0</v>
      </c>
      <c r="CO686" s="232">
        <f t="shared" si="685"/>
        <v>25</v>
      </c>
      <c r="CP686" s="230">
        <f t="shared" si="670"/>
        <v>38</v>
      </c>
      <c r="CQ686" s="235">
        <f t="shared" si="671"/>
        <v>4.0666935483870965</v>
      </c>
      <c r="CR686" s="235" cm="1">
        <f t="array" ref="CR686">$BI686 * IF($AH686&lt;=2,
SUMPRODUCT(INDEX($AR$67:$AT$71,,$AI686), INDEX($AU$67:$BA$71,,$AH686), 1 / ($BB$67:$BB$71*CQ686 + (1-$BB$67:$BB$71)*CM686), N($AQ$67:$AQ$71&gt;$AO686)),
SUMPRODUCT(INDEX($AR$57:$AT$66,,$AI686), INDEX($AU$57:$BA$66,,$AH686), 1 / ($BC$57:$BC$66*CQ686 + (1-$BC$57:$BC$66)*CM686), N($AQ$57:$AQ$66&gt;$AO686))
) / 1000</f>
        <v>0</v>
      </c>
      <c r="CS686" s="232">
        <f t="shared" si="686"/>
        <v>20</v>
      </c>
      <c r="CT686" s="230">
        <f t="shared" si="672"/>
        <v>33</v>
      </c>
      <c r="CU686" s="235">
        <f t="shared" si="673"/>
        <v>4.8487499999999999</v>
      </c>
      <c r="CV686" s="235" cm="1">
        <f t="array" ref="CV686">$BI686 * IF($AH686&lt;=2,
SUMPRODUCT(INDEX($AR$62:$AT$66,,$AI686), INDEX($AU$62:$BA$66,,$AH686), 1 / ($BB$62:$BB$66*CU686 + (1-$BB$62:$BB$66)*CQ686), N($AQ$62:$AQ$66&gt;$AO686)),
SUMPRODUCT(INDEX($AR$47:$AT$56,,$AI686), INDEX($AU$47:$BA$56,,$AH686), 1 / ($BC$47:$BC$56*CU686 + (1-$BC$47:$BC$56)*CQ686), N($AQ$47:$AQ$56&gt;$AO686))
) / 1000</f>
        <v>0</v>
      </c>
      <c r="CW686" s="235" cm="1">
        <f t="array" ref="CW686">$BI686 * IF($AH686&lt;=2,
SUMPRODUCT(INDEX($AR$23:$AT$61,,$AI686), INDEX($AU$23:$BA$61,,$AH686), 1 / ($BB$23:$BB$61*CU686), N($AQ$23:$AQ$61&gt;$AO686)),
SUMPRODUCT(INDEX($AR$23:$AT$46,,$AI686), INDEX($AU$23:$BA$46,,$AH686), 1 / ($BC$23:$BC$46*CU686), N($AQ$23:$AQ$46&gt;$AO686))
) / 1000</f>
        <v>0</v>
      </c>
      <c r="CX686" s="230">
        <f t="shared" si="674"/>
        <v>0</v>
      </c>
      <c r="CY686" s="238"/>
    </row>
    <row r="687" spans="1:103" s="76" customFormat="1" ht="14.25" customHeight="1" x14ac:dyDescent="0.2">
      <c r="A687" s="231" t="b">
        <f t="shared" si="678"/>
        <v>0</v>
      </c>
      <c r="B687" s="245">
        <v>665</v>
      </c>
      <c r="C687" s="258"/>
      <c r="D687" s="258"/>
      <c r="E687" s="246"/>
      <c r="F687" s="247" t="str">
        <f>IF(ISBLANK(E687), "", VLOOKUP(E687, Z!$A$2:$C$4127, 3, FALSE))</f>
        <v/>
      </c>
      <c r="G687" s="248"/>
      <c r="H687" s="248"/>
      <c r="I687" s="249"/>
      <c r="J687" s="250"/>
      <c r="K687" s="259"/>
      <c r="L687" s="260"/>
      <c r="M687" s="252" t="str" cm="1">
        <f t="array" ref="M687">INDEX(Trad, 53, $A$20)</f>
        <v>Verschmutzt</v>
      </c>
      <c r="N687" s="253"/>
      <c r="O687" s="253"/>
      <c r="P687" s="254"/>
      <c r="Q687" s="251"/>
      <c r="R687" s="251"/>
      <c r="S687" s="264">
        <f t="shared" si="649"/>
        <v>0</v>
      </c>
      <c r="T687" s="252" t="str" cm="1">
        <f t="array" ref="T687">INDEX(Trad, 52, $A$20)</f>
        <v>Sauber</v>
      </c>
      <c r="U687" s="253"/>
      <c r="V687" s="253"/>
      <c r="W687" s="254"/>
      <c r="X687" s="251"/>
      <c r="Y687" s="251"/>
      <c r="Z687" s="264">
        <f t="shared" si="650"/>
        <v>0</v>
      </c>
      <c r="AA687" s="261"/>
      <c r="AB687" s="258"/>
      <c r="AC687" s="246"/>
      <c r="AD687" s="247" t="str">
        <f>IF(ISBLANK(AC687), "", VLOOKUP(AC687, Z!$A$2:$C$4127, 3, FALSE))</f>
        <v/>
      </c>
      <c r="AE687" s="262"/>
      <c r="AF687" s="263">
        <f t="shared" si="651"/>
        <v>0</v>
      </c>
      <c r="AG687" s="238"/>
      <c r="AH687" s="229">
        <f t="shared" si="675"/>
        <v>1</v>
      </c>
      <c r="AI687" s="229">
        <f t="shared" si="676"/>
        <v>1</v>
      </c>
      <c r="AJ687" s="229">
        <f t="shared" si="677"/>
        <v>0</v>
      </c>
      <c r="AK687" s="229">
        <v>0</v>
      </c>
      <c r="AL687" s="229">
        <v>0</v>
      </c>
      <c r="AM687" s="229">
        <v>1</v>
      </c>
      <c r="AN687" s="229">
        <v>0</v>
      </c>
      <c r="AO687" s="229">
        <f t="shared" si="652"/>
        <v>-100</v>
      </c>
      <c r="AP687" s="238"/>
      <c r="AQ687" s="255"/>
      <c r="AR687" s="255"/>
      <c r="AS687" s="256"/>
      <c r="AT687" s="256"/>
      <c r="AU687" s="256"/>
      <c r="AV687" s="256"/>
      <c r="AW687" s="256"/>
      <c r="AX687" s="256"/>
      <c r="AY687" s="256"/>
      <c r="AZ687" s="256"/>
      <c r="BA687" s="256"/>
      <c r="BB687" s="256"/>
      <c r="BC687" s="256"/>
      <c r="BD687" s="238"/>
      <c r="BE687" s="229" cm="1">
        <f t="array" ref="BE687">IF(ISBLANK(R687), INDEX(Use, $AH687, 4) - AM687*INDEX(Use, $AH687, 6), R687)</f>
        <v>5</v>
      </c>
      <c r="BF687" s="229">
        <f t="shared" si="653"/>
        <v>30</v>
      </c>
      <c r="BG687" s="229">
        <f t="shared" si="679"/>
        <v>13</v>
      </c>
      <c r="BH687" s="229">
        <f t="shared" si="680"/>
        <v>0</v>
      </c>
      <c r="BI687" s="234" cm="1">
        <f t="array" ref="BI687">K687/IF($L687&gt;0, INDEX($AU$23:$BA$77, $L687+20, $AH687), 1)</f>
        <v>0</v>
      </c>
      <c r="BJ687" s="230">
        <f t="shared" si="654"/>
        <v>0</v>
      </c>
      <c r="BK687" s="229">
        <v>35</v>
      </c>
      <c r="BL687" s="230">
        <f t="shared" si="655"/>
        <v>48</v>
      </c>
      <c r="BM687" s="235">
        <f t="shared" si="656"/>
        <v>2.9108720930232557</v>
      </c>
      <c r="BN687" s="235" cm="1">
        <f t="array" ref="BN687">$BI687 * SUMPRODUCT(INDEX($AR$77:$AT$82,,$AI687),INDEX($AU$77:$BA$82,,$AH687), N($AQ$77:$AQ$82&gt;$AO687)) / BM687 / 1000</f>
        <v>0</v>
      </c>
      <c r="BO687" s="232">
        <f t="shared" si="681"/>
        <v>30</v>
      </c>
      <c r="BP687" s="230">
        <f t="shared" si="657"/>
        <v>43</v>
      </c>
      <c r="BQ687" s="235">
        <f t="shared" si="658"/>
        <v>3.2938815789473681</v>
      </c>
      <c r="BR687" s="235" cm="1">
        <f t="array" ref="BR687">$BI687 * IF($AH687&lt;=2,
SUMPRODUCT(INDEX($AR$72:$AT$76,,$AI687), INDEX($AU$72:$BA$76,,$AH687), 1 / ($BB$72:$BB$76*BQ687 + (1-$BB$72:$BB$76)*BM687), N($AQ$72:$AQ$76&gt;$AO687)),
SUMPRODUCT(INDEX($AR$67:$AT$76,,$AI687), INDEX($AU$67:$BA$76,,$AH687), 1 / ($BC$67:$BC$76*BQ687 + (1-$BC$67:$BC$76)*BM687), N($AQ$67:$AQ$76&gt;$AO687))
) / 1000</f>
        <v>0</v>
      </c>
      <c r="BS687" s="232">
        <f t="shared" si="682"/>
        <v>25</v>
      </c>
      <c r="BT687" s="230">
        <f t="shared" si="659"/>
        <v>38</v>
      </c>
      <c r="BU687" s="235">
        <f t="shared" si="660"/>
        <v>3.792954545454545</v>
      </c>
      <c r="BV687" s="235" cm="1">
        <f t="array" ref="BV687">$BI687 * IF($AH687&lt;=2,
SUMPRODUCT(INDEX($AR$67:$AT$71,,$AI687), INDEX($AU$67:$BA$71,,$AH687), 1 / ($BB$67:$BB$71*BU687 + (1-$BB$67:$BB$71)*BQ687), N($AQ$67:$AQ$71&gt;$AO687)),
SUMPRODUCT(INDEX($AR$57:$AT$66,,$AI687), INDEX($AU$57:$BA$66,,$AH687), 1 / ($BC$57:$BC$66*BU687 + (1-$BC$57:$BC$66)*BQ687), N($AQ$57:$AQ$66&gt;$AO687))
) / 1000</f>
        <v>0</v>
      </c>
      <c r="BW687" s="232">
        <f t="shared" si="683"/>
        <v>20</v>
      </c>
      <c r="BX687" s="230">
        <f t="shared" si="661"/>
        <v>33</v>
      </c>
      <c r="BY687" s="235">
        <f t="shared" si="662"/>
        <v>4.4702678571428569</v>
      </c>
      <c r="BZ687" s="235" cm="1">
        <f t="array" ref="BZ687">$BI687 * IF($AH687&lt;=2,
SUMPRODUCT(INDEX($AR$62:$AT$66,,$AI687), INDEX($AU$62:$BA$66,,$AH687), 1 / ($BB$62:$BB$66*BY687 + (1-$BB$62:$BB$66)*BU687), N($AQ$62:$AQ$66&gt;$AO687)),
SUMPRODUCT(INDEX($AR$47:$AT$56,,$AI687), INDEX($AU$47:$BA$56,,$AH687), 1 / ($BC$47:$BC$56*BY687 + (1-$BC$47:$BC$56)*BU687), N($AQ$47:$AQ$56&gt;$AO687))
) / 1000</f>
        <v>0</v>
      </c>
      <c r="CA687" s="235" cm="1">
        <f t="array" ref="CA687">$BI687 * IF($AH687&lt;=2,
SUMPRODUCT(INDEX($AR$23:$AT$61,,$AI687), INDEX($AU$23:$BA$61,,$AH687), 1 / ($BB$23:$BB$61*BY687), N($AQ$23:$AQ$61&gt;$AO687)),
SUMPRODUCT(INDEX($AR$23:$AT$46,,$AI687), INDEX($AU$23:$BA$46,,$AH687), 1 / ($BC$23:$BC$46*BY687), N($AQ$23:$AQ$46&gt;$AO687))
) / 1000</f>
        <v>0</v>
      </c>
      <c r="CB687" s="230">
        <f t="shared" si="663"/>
        <v>0</v>
      </c>
      <c r="CC687" s="238"/>
      <c r="CD687" s="229" cm="1">
        <f t="array" ref="CD687">IF(ISBLANK(Y687), INDEX(Use, $AH687, 4) - AN687*INDEX(Use, $AH687, 6) - (Q687-X687), Y687)</f>
        <v>7</v>
      </c>
      <c r="CE687" s="229">
        <f t="shared" si="664"/>
        <v>32</v>
      </c>
      <c r="CF687" s="230">
        <f t="shared" si="665"/>
        <v>0</v>
      </c>
      <c r="CG687" s="229">
        <v>35</v>
      </c>
      <c r="CH687" s="230">
        <f t="shared" si="666"/>
        <v>48</v>
      </c>
      <c r="CI687" s="235">
        <f t="shared" si="667"/>
        <v>3.0748170731707316</v>
      </c>
      <c r="CJ687" s="235" cm="1">
        <f t="array" ref="CJ687">$BI687 * SUMPRODUCT(INDEX($AR$77:$AT$82,,$AI687),INDEX($AU$77:$BA$82,,$AH687), N($AQ$77:$AQ$82&gt;$AO687)) / CI687 / 1000</f>
        <v>0</v>
      </c>
      <c r="CK687" s="232">
        <f t="shared" si="684"/>
        <v>30</v>
      </c>
      <c r="CL687" s="230">
        <f t="shared" si="668"/>
        <v>43</v>
      </c>
      <c r="CM687" s="235">
        <f t="shared" si="669"/>
        <v>3.5018750000000001</v>
      </c>
      <c r="CN687" s="235" cm="1">
        <f t="array" ref="CN687">$BI687 * IF($AH687&lt;=2,
SUMPRODUCT(INDEX($AR$72:$AT$76,,$AI687), INDEX($AU$72:$BA$76,,$AH687), 1 / ($BB$72:$BB$76*CM687 + (1-$BB$72:$BB$76)*CI687), N($AQ$72:$AQ$76&gt;$AO687)),
SUMPRODUCT(INDEX($AR$67:$AT$76,,$AI687), INDEX($AU$67:$BA$76,,$AH687), 1 / ($BC$67:$BC$76*CM687 + (1-$BC$67:$BC$76)*CI687), N($AQ$67:$AQ$76&gt;$AO687))
) / 1000</f>
        <v>0</v>
      </c>
      <c r="CO687" s="232">
        <f t="shared" si="685"/>
        <v>25</v>
      </c>
      <c r="CP687" s="230">
        <f t="shared" si="670"/>
        <v>38</v>
      </c>
      <c r="CQ687" s="235">
        <f t="shared" si="671"/>
        <v>4.0666935483870965</v>
      </c>
      <c r="CR687" s="235" cm="1">
        <f t="array" ref="CR687">$BI687 * IF($AH687&lt;=2,
SUMPRODUCT(INDEX($AR$67:$AT$71,,$AI687), INDEX($AU$67:$BA$71,,$AH687), 1 / ($BB$67:$BB$71*CQ687 + (1-$BB$67:$BB$71)*CM687), N($AQ$67:$AQ$71&gt;$AO687)),
SUMPRODUCT(INDEX($AR$57:$AT$66,,$AI687), INDEX($AU$57:$BA$66,,$AH687), 1 / ($BC$57:$BC$66*CQ687 + (1-$BC$57:$BC$66)*CM687), N($AQ$57:$AQ$66&gt;$AO687))
) / 1000</f>
        <v>0</v>
      </c>
      <c r="CS687" s="232">
        <f t="shared" si="686"/>
        <v>20</v>
      </c>
      <c r="CT687" s="230">
        <f t="shared" si="672"/>
        <v>33</v>
      </c>
      <c r="CU687" s="235">
        <f t="shared" si="673"/>
        <v>4.8487499999999999</v>
      </c>
      <c r="CV687" s="235" cm="1">
        <f t="array" ref="CV687">$BI687 * IF($AH687&lt;=2,
SUMPRODUCT(INDEX($AR$62:$AT$66,,$AI687), INDEX($AU$62:$BA$66,,$AH687), 1 / ($BB$62:$BB$66*CU687 + (1-$BB$62:$BB$66)*CQ687), N($AQ$62:$AQ$66&gt;$AO687)),
SUMPRODUCT(INDEX($AR$47:$AT$56,,$AI687), INDEX($AU$47:$BA$56,,$AH687), 1 / ($BC$47:$BC$56*CU687 + (1-$BC$47:$BC$56)*CQ687), N($AQ$47:$AQ$56&gt;$AO687))
) / 1000</f>
        <v>0</v>
      </c>
      <c r="CW687" s="235" cm="1">
        <f t="array" ref="CW687">$BI687 * IF($AH687&lt;=2,
SUMPRODUCT(INDEX($AR$23:$AT$61,,$AI687), INDEX($AU$23:$BA$61,,$AH687), 1 / ($BB$23:$BB$61*CU687), N($AQ$23:$AQ$61&gt;$AO687)),
SUMPRODUCT(INDEX($AR$23:$AT$46,,$AI687), INDEX($AU$23:$BA$46,,$AH687), 1 / ($BC$23:$BC$46*CU687), N($AQ$23:$AQ$46&gt;$AO687))
) / 1000</f>
        <v>0</v>
      </c>
      <c r="CX687" s="230">
        <f t="shared" si="674"/>
        <v>0</v>
      </c>
      <c r="CY687" s="238"/>
    </row>
    <row r="688" spans="1:103" s="76" customFormat="1" ht="14.25" customHeight="1" x14ac:dyDescent="0.2">
      <c r="A688" s="231" t="b">
        <f t="shared" si="678"/>
        <v>0</v>
      </c>
      <c r="B688" s="245">
        <v>666</v>
      </c>
      <c r="C688" s="258"/>
      <c r="D688" s="258"/>
      <c r="E688" s="246"/>
      <c r="F688" s="247" t="str">
        <f>IF(ISBLANK(E688), "", VLOOKUP(E688, Z!$A$2:$C$4127, 3, FALSE))</f>
        <v/>
      </c>
      <c r="G688" s="248"/>
      <c r="H688" s="248"/>
      <c r="I688" s="249"/>
      <c r="J688" s="250"/>
      <c r="K688" s="259"/>
      <c r="L688" s="260"/>
      <c r="M688" s="252" t="str" cm="1">
        <f t="array" ref="M688">INDEX(Trad, 53, $A$20)</f>
        <v>Verschmutzt</v>
      </c>
      <c r="N688" s="253"/>
      <c r="O688" s="253"/>
      <c r="P688" s="254"/>
      <c r="Q688" s="251"/>
      <c r="R688" s="251"/>
      <c r="S688" s="264">
        <f t="shared" si="649"/>
        <v>0</v>
      </c>
      <c r="T688" s="252" t="str" cm="1">
        <f t="array" ref="T688">INDEX(Trad, 52, $A$20)</f>
        <v>Sauber</v>
      </c>
      <c r="U688" s="253"/>
      <c r="V688" s="253"/>
      <c r="W688" s="254"/>
      <c r="X688" s="251"/>
      <c r="Y688" s="251"/>
      <c r="Z688" s="264">
        <f t="shared" si="650"/>
        <v>0</v>
      </c>
      <c r="AA688" s="261"/>
      <c r="AB688" s="258"/>
      <c r="AC688" s="246"/>
      <c r="AD688" s="247" t="str">
        <f>IF(ISBLANK(AC688), "", VLOOKUP(AC688, Z!$A$2:$C$4127, 3, FALSE))</f>
        <v/>
      </c>
      <c r="AE688" s="262"/>
      <c r="AF688" s="263">
        <f t="shared" si="651"/>
        <v>0</v>
      </c>
      <c r="AG688" s="238"/>
      <c r="AH688" s="229">
        <f t="shared" si="675"/>
        <v>1</v>
      </c>
      <c r="AI688" s="229">
        <f t="shared" si="676"/>
        <v>1</v>
      </c>
      <c r="AJ688" s="229">
        <f t="shared" si="677"/>
        <v>0</v>
      </c>
      <c r="AK688" s="229">
        <v>0</v>
      </c>
      <c r="AL688" s="229">
        <v>0</v>
      </c>
      <c r="AM688" s="229">
        <v>1</v>
      </c>
      <c r="AN688" s="229">
        <v>0</v>
      </c>
      <c r="AO688" s="229">
        <f t="shared" si="652"/>
        <v>-100</v>
      </c>
      <c r="AP688" s="238"/>
      <c r="AQ688" s="255"/>
      <c r="AR688" s="255"/>
      <c r="AS688" s="256"/>
      <c r="AT688" s="256"/>
      <c r="AU688" s="256"/>
      <c r="AV688" s="256"/>
      <c r="AW688" s="256"/>
      <c r="AX688" s="256"/>
      <c r="AY688" s="256"/>
      <c r="AZ688" s="256"/>
      <c r="BA688" s="256"/>
      <c r="BB688" s="256"/>
      <c r="BC688" s="256"/>
      <c r="BD688" s="238"/>
      <c r="BE688" s="229" cm="1">
        <f t="array" ref="BE688">IF(ISBLANK(R688), INDEX(Use, $AH688, 4) - AM688*INDEX(Use, $AH688, 6), R688)</f>
        <v>5</v>
      </c>
      <c r="BF688" s="229">
        <f t="shared" si="653"/>
        <v>30</v>
      </c>
      <c r="BG688" s="229">
        <f t="shared" si="679"/>
        <v>13</v>
      </c>
      <c r="BH688" s="229">
        <f t="shared" si="680"/>
        <v>0</v>
      </c>
      <c r="BI688" s="234" cm="1">
        <f t="array" ref="BI688">K688/IF($L688&gt;0, INDEX($AU$23:$BA$77, $L688+20, $AH688), 1)</f>
        <v>0</v>
      </c>
      <c r="BJ688" s="230">
        <f t="shared" si="654"/>
        <v>0</v>
      </c>
      <c r="BK688" s="229">
        <v>35</v>
      </c>
      <c r="BL688" s="230">
        <f t="shared" si="655"/>
        <v>48</v>
      </c>
      <c r="BM688" s="235">
        <f t="shared" si="656"/>
        <v>2.9108720930232557</v>
      </c>
      <c r="BN688" s="235" cm="1">
        <f t="array" ref="BN688">$BI688 * SUMPRODUCT(INDEX($AR$77:$AT$82,,$AI688),INDEX($AU$77:$BA$82,,$AH688), N($AQ$77:$AQ$82&gt;$AO688)) / BM688 / 1000</f>
        <v>0</v>
      </c>
      <c r="BO688" s="232">
        <f t="shared" si="681"/>
        <v>30</v>
      </c>
      <c r="BP688" s="230">
        <f t="shared" si="657"/>
        <v>43</v>
      </c>
      <c r="BQ688" s="235">
        <f t="shared" si="658"/>
        <v>3.2938815789473681</v>
      </c>
      <c r="BR688" s="235" cm="1">
        <f t="array" ref="BR688">$BI688 * IF($AH688&lt;=2,
SUMPRODUCT(INDEX($AR$72:$AT$76,,$AI688), INDEX($AU$72:$BA$76,,$AH688), 1 / ($BB$72:$BB$76*BQ688 + (1-$BB$72:$BB$76)*BM688), N($AQ$72:$AQ$76&gt;$AO688)),
SUMPRODUCT(INDEX($AR$67:$AT$76,,$AI688), INDEX($AU$67:$BA$76,,$AH688), 1 / ($BC$67:$BC$76*BQ688 + (1-$BC$67:$BC$76)*BM688), N($AQ$67:$AQ$76&gt;$AO688))
) / 1000</f>
        <v>0</v>
      </c>
      <c r="BS688" s="232">
        <f t="shared" si="682"/>
        <v>25</v>
      </c>
      <c r="BT688" s="230">
        <f t="shared" si="659"/>
        <v>38</v>
      </c>
      <c r="BU688" s="235">
        <f t="shared" si="660"/>
        <v>3.792954545454545</v>
      </c>
      <c r="BV688" s="235" cm="1">
        <f t="array" ref="BV688">$BI688 * IF($AH688&lt;=2,
SUMPRODUCT(INDEX($AR$67:$AT$71,,$AI688), INDEX($AU$67:$BA$71,,$AH688), 1 / ($BB$67:$BB$71*BU688 + (1-$BB$67:$BB$71)*BQ688), N($AQ$67:$AQ$71&gt;$AO688)),
SUMPRODUCT(INDEX($AR$57:$AT$66,,$AI688), INDEX($AU$57:$BA$66,,$AH688), 1 / ($BC$57:$BC$66*BU688 + (1-$BC$57:$BC$66)*BQ688), N($AQ$57:$AQ$66&gt;$AO688))
) / 1000</f>
        <v>0</v>
      </c>
      <c r="BW688" s="232">
        <f t="shared" si="683"/>
        <v>20</v>
      </c>
      <c r="BX688" s="230">
        <f t="shared" si="661"/>
        <v>33</v>
      </c>
      <c r="BY688" s="235">
        <f t="shared" si="662"/>
        <v>4.4702678571428569</v>
      </c>
      <c r="BZ688" s="235" cm="1">
        <f t="array" ref="BZ688">$BI688 * IF($AH688&lt;=2,
SUMPRODUCT(INDEX($AR$62:$AT$66,,$AI688), INDEX($AU$62:$BA$66,,$AH688), 1 / ($BB$62:$BB$66*BY688 + (1-$BB$62:$BB$66)*BU688), N($AQ$62:$AQ$66&gt;$AO688)),
SUMPRODUCT(INDEX($AR$47:$AT$56,,$AI688), INDEX($AU$47:$BA$56,,$AH688), 1 / ($BC$47:$BC$56*BY688 + (1-$BC$47:$BC$56)*BU688), N($AQ$47:$AQ$56&gt;$AO688))
) / 1000</f>
        <v>0</v>
      </c>
      <c r="CA688" s="235" cm="1">
        <f t="array" ref="CA688">$BI688 * IF($AH688&lt;=2,
SUMPRODUCT(INDEX($AR$23:$AT$61,,$AI688), INDEX($AU$23:$BA$61,,$AH688), 1 / ($BB$23:$BB$61*BY688), N($AQ$23:$AQ$61&gt;$AO688)),
SUMPRODUCT(INDEX($AR$23:$AT$46,,$AI688), INDEX($AU$23:$BA$46,,$AH688), 1 / ($BC$23:$BC$46*BY688), N($AQ$23:$AQ$46&gt;$AO688))
) / 1000</f>
        <v>0</v>
      </c>
      <c r="CB688" s="230">
        <f t="shared" si="663"/>
        <v>0</v>
      </c>
      <c r="CC688" s="238"/>
      <c r="CD688" s="229" cm="1">
        <f t="array" ref="CD688">IF(ISBLANK(Y688), INDEX(Use, $AH688, 4) - AN688*INDEX(Use, $AH688, 6) - (Q688-X688), Y688)</f>
        <v>7</v>
      </c>
      <c r="CE688" s="229">
        <f t="shared" si="664"/>
        <v>32</v>
      </c>
      <c r="CF688" s="230">
        <f t="shared" si="665"/>
        <v>0</v>
      </c>
      <c r="CG688" s="229">
        <v>35</v>
      </c>
      <c r="CH688" s="230">
        <f t="shared" si="666"/>
        <v>48</v>
      </c>
      <c r="CI688" s="235">
        <f t="shared" si="667"/>
        <v>3.0748170731707316</v>
      </c>
      <c r="CJ688" s="235" cm="1">
        <f t="array" ref="CJ688">$BI688 * SUMPRODUCT(INDEX($AR$77:$AT$82,,$AI688),INDEX($AU$77:$BA$82,,$AH688), N($AQ$77:$AQ$82&gt;$AO688)) / CI688 / 1000</f>
        <v>0</v>
      </c>
      <c r="CK688" s="232">
        <f t="shared" si="684"/>
        <v>30</v>
      </c>
      <c r="CL688" s="230">
        <f t="shared" si="668"/>
        <v>43</v>
      </c>
      <c r="CM688" s="235">
        <f t="shared" si="669"/>
        <v>3.5018750000000001</v>
      </c>
      <c r="CN688" s="235" cm="1">
        <f t="array" ref="CN688">$BI688 * IF($AH688&lt;=2,
SUMPRODUCT(INDEX($AR$72:$AT$76,,$AI688), INDEX($AU$72:$BA$76,,$AH688), 1 / ($BB$72:$BB$76*CM688 + (1-$BB$72:$BB$76)*CI688), N($AQ$72:$AQ$76&gt;$AO688)),
SUMPRODUCT(INDEX($AR$67:$AT$76,,$AI688), INDEX($AU$67:$BA$76,,$AH688), 1 / ($BC$67:$BC$76*CM688 + (1-$BC$67:$BC$76)*CI688), N($AQ$67:$AQ$76&gt;$AO688))
) / 1000</f>
        <v>0</v>
      </c>
      <c r="CO688" s="232">
        <f t="shared" si="685"/>
        <v>25</v>
      </c>
      <c r="CP688" s="230">
        <f t="shared" si="670"/>
        <v>38</v>
      </c>
      <c r="CQ688" s="235">
        <f t="shared" si="671"/>
        <v>4.0666935483870965</v>
      </c>
      <c r="CR688" s="235" cm="1">
        <f t="array" ref="CR688">$BI688 * IF($AH688&lt;=2,
SUMPRODUCT(INDEX($AR$67:$AT$71,,$AI688), INDEX($AU$67:$BA$71,,$AH688), 1 / ($BB$67:$BB$71*CQ688 + (1-$BB$67:$BB$71)*CM688), N($AQ$67:$AQ$71&gt;$AO688)),
SUMPRODUCT(INDEX($AR$57:$AT$66,,$AI688), INDEX($AU$57:$BA$66,,$AH688), 1 / ($BC$57:$BC$66*CQ688 + (1-$BC$57:$BC$66)*CM688), N($AQ$57:$AQ$66&gt;$AO688))
) / 1000</f>
        <v>0</v>
      </c>
      <c r="CS688" s="232">
        <f t="shared" si="686"/>
        <v>20</v>
      </c>
      <c r="CT688" s="230">
        <f t="shared" si="672"/>
        <v>33</v>
      </c>
      <c r="CU688" s="235">
        <f t="shared" si="673"/>
        <v>4.8487499999999999</v>
      </c>
      <c r="CV688" s="235" cm="1">
        <f t="array" ref="CV688">$BI688 * IF($AH688&lt;=2,
SUMPRODUCT(INDEX($AR$62:$AT$66,,$AI688), INDEX($AU$62:$BA$66,,$AH688), 1 / ($BB$62:$BB$66*CU688 + (1-$BB$62:$BB$66)*CQ688), N($AQ$62:$AQ$66&gt;$AO688)),
SUMPRODUCT(INDEX($AR$47:$AT$56,,$AI688), INDEX($AU$47:$BA$56,,$AH688), 1 / ($BC$47:$BC$56*CU688 + (1-$BC$47:$BC$56)*CQ688), N($AQ$47:$AQ$56&gt;$AO688))
) / 1000</f>
        <v>0</v>
      </c>
      <c r="CW688" s="235" cm="1">
        <f t="array" ref="CW688">$BI688 * IF($AH688&lt;=2,
SUMPRODUCT(INDEX($AR$23:$AT$61,,$AI688), INDEX($AU$23:$BA$61,,$AH688), 1 / ($BB$23:$BB$61*CU688), N($AQ$23:$AQ$61&gt;$AO688)),
SUMPRODUCT(INDEX($AR$23:$AT$46,,$AI688), INDEX($AU$23:$BA$46,,$AH688), 1 / ($BC$23:$BC$46*CU688), N($AQ$23:$AQ$46&gt;$AO688))
) / 1000</f>
        <v>0</v>
      </c>
      <c r="CX688" s="230">
        <f t="shared" si="674"/>
        <v>0</v>
      </c>
      <c r="CY688" s="238"/>
    </row>
    <row r="689" spans="1:103" s="76" customFormat="1" ht="14.25" customHeight="1" x14ac:dyDescent="0.2">
      <c r="A689" s="231" t="b">
        <f t="shared" si="678"/>
        <v>0</v>
      </c>
      <c r="B689" s="245">
        <v>667</v>
      </c>
      <c r="C689" s="258"/>
      <c r="D689" s="258"/>
      <c r="E689" s="246"/>
      <c r="F689" s="247" t="str">
        <f>IF(ISBLANK(E689), "", VLOOKUP(E689, Z!$A$2:$C$4127, 3, FALSE))</f>
        <v/>
      </c>
      <c r="G689" s="248"/>
      <c r="H689" s="248"/>
      <c r="I689" s="249"/>
      <c r="J689" s="250"/>
      <c r="K689" s="259"/>
      <c r="L689" s="260"/>
      <c r="M689" s="252" t="str" cm="1">
        <f t="array" ref="M689">INDEX(Trad, 53, $A$20)</f>
        <v>Verschmutzt</v>
      </c>
      <c r="N689" s="253"/>
      <c r="O689" s="253"/>
      <c r="P689" s="254"/>
      <c r="Q689" s="251"/>
      <c r="R689" s="251"/>
      <c r="S689" s="264">
        <f t="shared" si="649"/>
        <v>0</v>
      </c>
      <c r="T689" s="252" t="str" cm="1">
        <f t="array" ref="T689">INDEX(Trad, 52, $A$20)</f>
        <v>Sauber</v>
      </c>
      <c r="U689" s="253"/>
      <c r="V689" s="253"/>
      <c r="W689" s="254"/>
      <c r="X689" s="251"/>
      <c r="Y689" s="251"/>
      <c r="Z689" s="264">
        <f t="shared" si="650"/>
        <v>0</v>
      </c>
      <c r="AA689" s="261"/>
      <c r="AB689" s="258"/>
      <c r="AC689" s="246"/>
      <c r="AD689" s="247" t="str">
        <f>IF(ISBLANK(AC689), "", VLOOKUP(AC689, Z!$A$2:$C$4127, 3, FALSE))</f>
        <v/>
      </c>
      <c r="AE689" s="262"/>
      <c r="AF689" s="263">
        <f t="shared" si="651"/>
        <v>0</v>
      </c>
      <c r="AG689" s="238"/>
      <c r="AH689" s="229">
        <f t="shared" si="675"/>
        <v>1</v>
      </c>
      <c r="AI689" s="229">
        <f t="shared" si="676"/>
        <v>1</v>
      </c>
      <c r="AJ689" s="229">
        <f t="shared" si="677"/>
        <v>0</v>
      </c>
      <c r="AK689" s="229">
        <v>0</v>
      </c>
      <c r="AL689" s="229">
        <v>0</v>
      </c>
      <c r="AM689" s="229">
        <v>1</v>
      </c>
      <c r="AN689" s="229">
        <v>0</v>
      </c>
      <c r="AO689" s="229">
        <f t="shared" si="652"/>
        <v>-100</v>
      </c>
      <c r="AP689" s="238"/>
      <c r="AQ689" s="255"/>
      <c r="AR689" s="255"/>
      <c r="AS689" s="256"/>
      <c r="AT689" s="256"/>
      <c r="AU689" s="256"/>
      <c r="AV689" s="256"/>
      <c r="AW689" s="256"/>
      <c r="AX689" s="256"/>
      <c r="AY689" s="256"/>
      <c r="AZ689" s="256"/>
      <c r="BA689" s="256"/>
      <c r="BB689" s="256"/>
      <c r="BC689" s="256"/>
      <c r="BD689" s="238"/>
      <c r="BE689" s="229" cm="1">
        <f t="array" ref="BE689">IF(ISBLANK(R689), INDEX(Use, $AH689, 4) - AM689*INDEX(Use, $AH689, 6), R689)</f>
        <v>5</v>
      </c>
      <c r="BF689" s="229">
        <f t="shared" si="653"/>
        <v>30</v>
      </c>
      <c r="BG689" s="229">
        <f t="shared" si="679"/>
        <v>13</v>
      </c>
      <c r="BH689" s="229">
        <f t="shared" si="680"/>
        <v>0</v>
      </c>
      <c r="BI689" s="234" cm="1">
        <f t="array" ref="BI689">K689/IF($L689&gt;0, INDEX($AU$23:$BA$77, $L689+20, $AH689), 1)</f>
        <v>0</v>
      </c>
      <c r="BJ689" s="230">
        <f t="shared" si="654"/>
        <v>0</v>
      </c>
      <c r="BK689" s="229">
        <v>35</v>
      </c>
      <c r="BL689" s="230">
        <f t="shared" si="655"/>
        <v>48</v>
      </c>
      <c r="BM689" s="235">
        <f t="shared" si="656"/>
        <v>2.9108720930232557</v>
      </c>
      <c r="BN689" s="235" cm="1">
        <f t="array" ref="BN689">$BI689 * SUMPRODUCT(INDEX($AR$77:$AT$82,,$AI689),INDEX($AU$77:$BA$82,,$AH689), N($AQ$77:$AQ$82&gt;$AO689)) / BM689 / 1000</f>
        <v>0</v>
      </c>
      <c r="BO689" s="232">
        <f t="shared" si="681"/>
        <v>30</v>
      </c>
      <c r="BP689" s="230">
        <f t="shared" si="657"/>
        <v>43</v>
      </c>
      <c r="BQ689" s="235">
        <f t="shared" si="658"/>
        <v>3.2938815789473681</v>
      </c>
      <c r="BR689" s="235" cm="1">
        <f t="array" ref="BR689">$BI689 * IF($AH689&lt;=2,
SUMPRODUCT(INDEX($AR$72:$AT$76,,$AI689), INDEX($AU$72:$BA$76,,$AH689), 1 / ($BB$72:$BB$76*BQ689 + (1-$BB$72:$BB$76)*BM689), N($AQ$72:$AQ$76&gt;$AO689)),
SUMPRODUCT(INDEX($AR$67:$AT$76,,$AI689), INDEX($AU$67:$BA$76,,$AH689), 1 / ($BC$67:$BC$76*BQ689 + (1-$BC$67:$BC$76)*BM689), N($AQ$67:$AQ$76&gt;$AO689))
) / 1000</f>
        <v>0</v>
      </c>
      <c r="BS689" s="232">
        <f t="shared" si="682"/>
        <v>25</v>
      </c>
      <c r="BT689" s="230">
        <f t="shared" si="659"/>
        <v>38</v>
      </c>
      <c r="BU689" s="235">
        <f t="shared" si="660"/>
        <v>3.792954545454545</v>
      </c>
      <c r="BV689" s="235" cm="1">
        <f t="array" ref="BV689">$BI689 * IF($AH689&lt;=2,
SUMPRODUCT(INDEX($AR$67:$AT$71,,$AI689), INDEX($AU$67:$BA$71,,$AH689), 1 / ($BB$67:$BB$71*BU689 + (1-$BB$67:$BB$71)*BQ689), N($AQ$67:$AQ$71&gt;$AO689)),
SUMPRODUCT(INDEX($AR$57:$AT$66,,$AI689), INDEX($AU$57:$BA$66,,$AH689), 1 / ($BC$57:$BC$66*BU689 + (1-$BC$57:$BC$66)*BQ689), N($AQ$57:$AQ$66&gt;$AO689))
) / 1000</f>
        <v>0</v>
      </c>
      <c r="BW689" s="232">
        <f t="shared" si="683"/>
        <v>20</v>
      </c>
      <c r="BX689" s="230">
        <f t="shared" si="661"/>
        <v>33</v>
      </c>
      <c r="BY689" s="235">
        <f t="shared" si="662"/>
        <v>4.4702678571428569</v>
      </c>
      <c r="BZ689" s="235" cm="1">
        <f t="array" ref="BZ689">$BI689 * IF($AH689&lt;=2,
SUMPRODUCT(INDEX($AR$62:$AT$66,,$AI689), INDEX($AU$62:$BA$66,,$AH689), 1 / ($BB$62:$BB$66*BY689 + (1-$BB$62:$BB$66)*BU689), N($AQ$62:$AQ$66&gt;$AO689)),
SUMPRODUCT(INDEX($AR$47:$AT$56,,$AI689), INDEX($AU$47:$BA$56,,$AH689), 1 / ($BC$47:$BC$56*BY689 + (1-$BC$47:$BC$56)*BU689), N($AQ$47:$AQ$56&gt;$AO689))
) / 1000</f>
        <v>0</v>
      </c>
      <c r="CA689" s="235" cm="1">
        <f t="array" ref="CA689">$BI689 * IF($AH689&lt;=2,
SUMPRODUCT(INDEX($AR$23:$AT$61,,$AI689), INDEX($AU$23:$BA$61,,$AH689), 1 / ($BB$23:$BB$61*BY689), N($AQ$23:$AQ$61&gt;$AO689)),
SUMPRODUCT(INDEX($AR$23:$AT$46,,$AI689), INDEX($AU$23:$BA$46,,$AH689), 1 / ($BC$23:$BC$46*BY689), N($AQ$23:$AQ$46&gt;$AO689))
) / 1000</f>
        <v>0</v>
      </c>
      <c r="CB689" s="230">
        <f t="shared" si="663"/>
        <v>0</v>
      </c>
      <c r="CC689" s="238"/>
      <c r="CD689" s="229" cm="1">
        <f t="array" ref="CD689">IF(ISBLANK(Y689), INDEX(Use, $AH689, 4) - AN689*INDEX(Use, $AH689, 6) - (Q689-X689), Y689)</f>
        <v>7</v>
      </c>
      <c r="CE689" s="229">
        <f t="shared" si="664"/>
        <v>32</v>
      </c>
      <c r="CF689" s="230">
        <f t="shared" si="665"/>
        <v>0</v>
      </c>
      <c r="CG689" s="229">
        <v>35</v>
      </c>
      <c r="CH689" s="230">
        <f t="shared" si="666"/>
        <v>48</v>
      </c>
      <c r="CI689" s="235">
        <f t="shared" si="667"/>
        <v>3.0748170731707316</v>
      </c>
      <c r="CJ689" s="235" cm="1">
        <f t="array" ref="CJ689">$BI689 * SUMPRODUCT(INDEX($AR$77:$AT$82,,$AI689),INDEX($AU$77:$BA$82,,$AH689), N($AQ$77:$AQ$82&gt;$AO689)) / CI689 / 1000</f>
        <v>0</v>
      </c>
      <c r="CK689" s="232">
        <f t="shared" si="684"/>
        <v>30</v>
      </c>
      <c r="CL689" s="230">
        <f t="shared" si="668"/>
        <v>43</v>
      </c>
      <c r="CM689" s="235">
        <f t="shared" si="669"/>
        <v>3.5018750000000001</v>
      </c>
      <c r="CN689" s="235" cm="1">
        <f t="array" ref="CN689">$BI689 * IF($AH689&lt;=2,
SUMPRODUCT(INDEX($AR$72:$AT$76,,$AI689), INDEX($AU$72:$BA$76,,$AH689), 1 / ($BB$72:$BB$76*CM689 + (1-$BB$72:$BB$76)*CI689), N($AQ$72:$AQ$76&gt;$AO689)),
SUMPRODUCT(INDEX($AR$67:$AT$76,,$AI689), INDEX($AU$67:$BA$76,,$AH689), 1 / ($BC$67:$BC$76*CM689 + (1-$BC$67:$BC$76)*CI689), N($AQ$67:$AQ$76&gt;$AO689))
) / 1000</f>
        <v>0</v>
      </c>
      <c r="CO689" s="232">
        <f t="shared" si="685"/>
        <v>25</v>
      </c>
      <c r="CP689" s="230">
        <f t="shared" si="670"/>
        <v>38</v>
      </c>
      <c r="CQ689" s="235">
        <f t="shared" si="671"/>
        <v>4.0666935483870965</v>
      </c>
      <c r="CR689" s="235" cm="1">
        <f t="array" ref="CR689">$BI689 * IF($AH689&lt;=2,
SUMPRODUCT(INDEX($AR$67:$AT$71,,$AI689), INDEX($AU$67:$BA$71,,$AH689), 1 / ($BB$67:$BB$71*CQ689 + (1-$BB$67:$BB$71)*CM689), N($AQ$67:$AQ$71&gt;$AO689)),
SUMPRODUCT(INDEX($AR$57:$AT$66,,$AI689), INDEX($AU$57:$BA$66,,$AH689), 1 / ($BC$57:$BC$66*CQ689 + (1-$BC$57:$BC$66)*CM689), N($AQ$57:$AQ$66&gt;$AO689))
) / 1000</f>
        <v>0</v>
      </c>
      <c r="CS689" s="232">
        <f t="shared" si="686"/>
        <v>20</v>
      </c>
      <c r="CT689" s="230">
        <f t="shared" si="672"/>
        <v>33</v>
      </c>
      <c r="CU689" s="235">
        <f t="shared" si="673"/>
        <v>4.8487499999999999</v>
      </c>
      <c r="CV689" s="235" cm="1">
        <f t="array" ref="CV689">$BI689 * IF($AH689&lt;=2,
SUMPRODUCT(INDEX($AR$62:$AT$66,,$AI689), INDEX($AU$62:$BA$66,,$AH689), 1 / ($BB$62:$BB$66*CU689 + (1-$BB$62:$BB$66)*CQ689), N($AQ$62:$AQ$66&gt;$AO689)),
SUMPRODUCT(INDEX($AR$47:$AT$56,,$AI689), INDEX($AU$47:$BA$56,,$AH689), 1 / ($BC$47:$BC$56*CU689 + (1-$BC$47:$BC$56)*CQ689), N($AQ$47:$AQ$56&gt;$AO689))
) / 1000</f>
        <v>0</v>
      </c>
      <c r="CW689" s="235" cm="1">
        <f t="array" ref="CW689">$BI689 * IF($AH689&lt;=2,
SUMPRODUCT(INDEX($AR$23:$AT$61,,$AI689), INDEX($AU$23:$BA$61,,$AH689), 1 / ($BB$23:$BB$61*CU689), N($AQ$23:$AQ$61&gt;$AO689)),
SUMPRODUCT(INDEX($AR$23:$AT$46,,$AI689), INDEX($AU$23:$BA$46,,$AH689), 1 / ($BC$23:$BC$46*CU689), N($AQ$23:$AQ$46&gt;$AO689))
) / 1000</f>
        <v>0</v>
      </c>
      <c r="CX689" s="230">
        <f t="shared" si="674"/>
        <v>0</v>
      </c>
      <c r="CY689" s="238"/>
    </row>
    <row r="690" spans="1:103" s="76" customFormat="1" ht="14.25" customHeight="1" x14ac:dyDescent="0.2">
      <c r="A690" s="231" t="b">
        <f t="shared" si="678"/>
        <v>0</v>
      </c>
      <c r="B690" s="245">
        <v>668</v>
      </c>
      <c r="C690" s="258"/>
      <c r="D690" s="258"/>
      <c r="E690" s="246"/>
      <c r="F690" s="247" t="str">
        <f>IF(ISBLANK(E690), "", VLOOKUP(E690, Z!$A$2:$C$4127, 3, FALSE))</f>
        <v/>
      </c>
      <c r="G690" s="248"/>
      <c r="H690" s="248"/>
      <c r="I690" s="249"/>
      <c r="J690" s="250"/>
      <c r="K690" s="259"/>
      <c r="L690" s="260"/>
      <c r="M690" s="252" t="str" cm="1">
        <f t="array" ref="M690">INDEX(Trad, 53, $A$20)</f>
        <v>Verschmutzt</v>
      </c>
      <c r="N690" s="253"/>
      <c r="O690" s="253"/>
      <c r="P690" s="254"/>
      <c r="Q690" s="251"/>
      <c r="R690" s="251"/>
      <c r="S690" s="264">
        <f t="shared" si="649"/>
        <v>0</v>
      </c>
      <c r="T690" s="252" t="str" cm="1">
        <f t="array" ref="T690">INDEX(Trad, 52, $A$20)</f>
        <v>Sauber</v>
      </c>
      <c r="U690" s="253"/>
      <c r="V690" s="253"/>
      <c r="W690" s="254"/>
      <c r="X690" s="251"/>
      <c r="Y690" s="251"/>
      <c r="Z690" s="264">
        <f t="shared" si="650"/>
        <v>0</v>
      </c>
      <c r="AA690" s="261"/>
      <c r="AB690" s="258"/>
      <c r="AC690" s="246"/>
      <c r="AD690" s="247" t="str">
        <f>IF(ISBLANK(AC690), "", VLOOKUP(AC690, Z!$A$2:$C$4127, 3, FALSE))</f>
        <v/>
      </c>
      <c r="AE690" s="262"/>
      <c r="AF690" s="263">
        <f t="shared" si="651"/>
        <v>0</v>
      </c>
      <c r="AG690" s="238"/>
      <c r="AH690" s="229">
        <f t="shared" si="675"/>
        <v>1</v>
      </c>
      <c r="AI690" s="229">
        <f t="shared" si="676"/>
        <v>1</v>
      </c>
      <c r="AJ690" s="229">
        <f t="shared" si="677"/>
        <v>0</v>
      </c>
      <c r="AK690" s="229">
        <v>0</v>
      </c>
      <c r="AL690" s="229">
        <v>0</v>
      </c>
      <c r="AM690" s="229">
        <v>1</v>
      </c>
      <c r="AN690" s="229">
        <v>0</v>
      </c>
      <c r="AO690" s="229">
        <f t="shared" si="652"/>
        <v>-100</v>
      </c>
      <c r="AP690" s="238"/>
      <c r="AQ690" s="255"/>
      <c r="AR690" s="255"/>
      <c r="AS690" s="256"/>
      <c r="AT690" s="256"/>
      <c r="AU690" s="256"/>
      <c r="AV690" s="256"/>
      <c r="AW690" s="256"/>
      <c r="AX690" s="256"/>
      <c r="AY690" s="256"/>
      <c r="AZ690" s="256"/>
      <c r="BA690" s="256"/>
      <c r="BB690" s="256"/>
      <c r="BC690" s="256"/>
      <c r="BD690" s="238"/>
      <c r="BE690" s="229" cm="1">
        <f t="array" ref="BE690">IF(ISBLANK(R690), INDEX(Use, $AH690, 4) - AM690*INDEX(Use, $AH690, 6), R690)</f>
        <v>5</v>
      </c>
      <c r="BF690" s="229">
        <f t="shared" si="653"/>
        <v>30</v>
      </c>
      <c r="BG690" s="229">
        <f t="shared" si="679"/>
        <v>13</v>
      </c>
      <c r="BH690" s="229">
        <f t="shared" si="680"/>
        <v>0</v>
      </c>
      <c r="BI690" s="234" cm="1">
        <f t="array" ref="BI690">K690/IF($L690&gt;0, INDEX($AU$23:$BA$77, $L690+20, $AH690), 1)</f>
        <v>0</v>
      </c>
      <c r="BJ690" s="230">
        <f t="shared" si="654"/>
        <v>0</v>
      </c>
      <c r="BK690" s="229">
        <v>35</v>
      </c>
      <c r="BL690" s="230">
        <f t="shared" si="655"/>
        <v>48</v>
      </c>
      <c r="BM690" s="235">
        <f t="shared" si="656"/>
        <v>2.9108720930232557</v>
      </c>
      <c r="BN690" s="235" cm="1">
        <f t="array" ref="BN690">$BI690 * SUMPRODUCT(INDEX($AR$77:$AT$82,,$AI690),INDEX($AU$77:$BA$82,,$AH690), N($AQ$77:$AQ$82&gt;$AO690)) / BM690 / 1000</f>
        <v>0</v>
      </c>
      <c r="BO690" s="232">
        <f t="shared" si="681"/>
        <v>30</v>
      </c>
      <c r="BP690" s="230">
        <f t="shared" si="657"/>
        <v>43</v>
      </c>
      <c r="BQ690" s="235">
        <f t="shared" si="658"/>
        <v>3.2938815789473681</v>
      </c>
      <c r="BR690" s="235" cm="1">
        <f t="array" ref="BR690">$BI690 * IF($AH690&lt;=2,
SUMPRODUCT(INDEX($AR$72:$AT$76,,$AI690), INDEX($AU$72:$BA$76,,$AH690), 1 / ($BB$72:$BB$76*BQ690 + (1-$BB$72:$BB$76)*BM690), N($AQ$72:$AQ$76&gt;$AO690)),
SUMPRODUCT(INDEX($AR$67:$AT$76,,$AI690), INDEX($AU$67:$BA$76,,$AH690), 1 / ($BC$67:$BC$76*BQ690 + (1-$BC$67:$BC$76)*BM690), N($AQ$67:$AQ$76&gt;$AO690))
) / 1000</f>
        <v>0</v>
      </c>
      <c r="BS690" s="232">
        <f t="shared" si="682"/>
        <v>25</v>
      </c>
      <c r="BT690" s="230">
        <f t="shared" si="659"/>
        <v>38</v>
      </c>
      <c r="BU690" s="235">
        <f t="shared" si="660"/>
        <v>3.792954545454545</v>
      </c>
      <c r="BV690" s="235" cm="1">
        <f t="array" ref="BV690">$BI690 * IF($AH690&lt;=2,
SUMPRODUCT(INDEX($AR$67:$AT$71,,$AI690), INDEX($AU$67:$BA$71,,$AH690), 1 / ($BB$67:$BB$71*BU690 + (1-$BB$67:$BB$71)*BQ690), N($AQ$67:$AQ$71&gt;$AO690)),
SUMPRODUCT(INDEX($AR$57:$AT$66,,$AI690), INDEX($AU$57:$BA$66,,$AH690), 1 / ($BC$57:$BC$66*BU690 + (1-$BC$57:$BC$66)*BQ690), N($AQ$57:$AQ$66&gt;$AO690))
) / 1000</f>
        <v>0</v>
      </c>
      <c r="BW690" s="232">
        <f t="shared" si="683"/>
        <v>20</v>
      </c>
      <c r="BX690" s="230">
        <f t="shared" si="661"/>
        <v>33</v>
      </c>
      <c r="BY690" s="235">
        <f t="shared" si="662"/>
        <v>4.4702678571428569</v>
      </c>
      <c r="BZ690" s="235" cm="1">
        <f t="array" ref="BZ690">$BI690 * IF($AH690&lt;=2,
SUMPRODUCT(INDEX($AR$62:$AT$66,,$AI690), INDEX($AU$62:$BA$66,,$AH690), 1 / ($BB$62:$BB$66*BY690 + (1-$BB$62:$BB$66)*BU690), N($AQ$62:$AQ$66&gt;$AO690)),
SUMPRODUCT(INDEX($AR$47:$AT$56,,$AI690), INDEX($AU$47:$BA$56,,$AH690), 1 / ($BC$47:$BC$56*BY690 + (1-$BC$47:$BC$56)*BU690), N($AQ$47:$AQ$56&gt;$AO690))
) / 1000</f>
        <v>0</v>
      </c>
      <c r="CA690" s="235" cm="1">
        <f t="array" ref="CA690">$BI690 * IF($AH690&lt;=2,
SUMPRODUCT(INDEX($AR$23:$AT$61,,$AI690), INDEX($AU$23:$BA$61,,$AH690), 1 / ($BB$23:$BB$61*BY690), N($AQ$23:$AQ$61&gt;$AO690)),
SUMPRODUCT(INDEX($AR$23:$AT$46,,$AI690), INDEX($AU$23:$BA$46,,$AH690), 1 / ($BC$23:$BC$46*BY690), N($AQ$23:$AQ$46&gt;$AO690))
) / 1000</f>
        <v>0</v>
      </c>
      <c r="CB690" s="230">
        <f t="shared" si="663"/>
        <v>0</v>
      </c>
      <c r="CC690" s="238"/>
      <c r="CD690" s="229" cm="1">
        <f t="array" ref="CD690">IF(ISBLANK(Y690), INDEX(Use, $AH690, 4) - AN690*INDEX(Use, $AH690, 6) - (Q690-X690), Y690)</f>
        <v>7</v>
      </c>
      <c r="CE690" s="229">
        <f t="shared" si="664"/>
        <v>32</v>
      </c>
      <c r="CF690" s="230">
        <f t="shared" si="665"/>
        <v>0</v>
      </c>
      <c r="CG690" s="229">
        <v>35</v>
      </c>
      <c r="CH690" s="230">
        <f t="shared" si="666"/>
        <v>48</v>
      </c>
      <c r="CI690" s="235">
        <f t="shared" si="667"/>
        <v>3.0748170731707316</v>
      </c>
      <c r="CJ690" s="235" cm="1">
        <f t="array" ref="CJ690">$BI690 * SUMPRODUCT(INDEX($AR$77:$AT$82,,$AI690),INDEX($AU$77:$BA$82,,$AH690), N($AQ$77:$AQ$82&gt;$AO690)) / CI690 / 1000</f>
        <v>0</v>
      </c>
      <c r="CK690" s="232">
        <f t="shared" si="684"/>
        <v>30</v>
      </c>
      <c r="CL690" s="230">
        <f t="shared" si="668"/>
        <v>43</v>
      </c>
      <c r="CM690" s="235">
        <f t="shared" si="669"/>
        <v>3.5018750000000001</v>
      </c>
      <c r="CN690" s="235" cm="1">
        <f t="array" ref="CN690">$BI690 * IF($AH690&lt;=2,
SUMPRODUCT(INDEX($AR$72:$AT$76,,$AI690), INDEX($AU$72:$BA$76,,$AH690), 1 / ($BB$72:$BB$76*CM690 + (1-$BB$72:$BB$76)*CI690), N($AQ$72:$AQ$76&gt;$AO690)),
SUMPRODUCT(INDEX($AR$67:$AT$76,,$AI690), INDEX($AU$67:$BA$76,,$AH690), 1 / ($BC$67:$BC$76*CM690 + (1-$BC$67:$BC$76)*CI690), N($AQ$67:$AQ$76&gt;$AO690))
) / 1000</f>
        <v>0</v>
      </c>
      <c r="CO690" s="232">
        <f t="shared" si="685"/>
        <v>25</v>
      </c>
      <c r="CP690" s="230">
        <f t="shared" si="670"/>
        <v>38</v>
      </c>
      <c r="CQ690" s="235">
        <f t="shared" si="671"/>
        <v>4.0666935483870965</v>
      </c>
      <c r="CR690" s="235" cm="1">
        <f t="array" ref="CR690">$BI690 * IF($AH690&lt;=2,
SUMPRODUCT(INDEX($AR$67:$AT$71,,$AI690), INDEX($AU$67:$BA$71,,$AH690), 1 / ($BB$67:$BB$71*CQ690 + (1-$BB$67:$BB$71)*CM690), N($AQ$67:$AQ$71&gt;$AO690)),
SUMPRODUCT(INDEX($AR$57:$AT$66,,$AI690), INDEX($AU$57:$BA$66,,$AH690), 1 / ($BC$57:$BC$66*CQ690 + (1-$BC$57:$BC$66)*CM690), N($AQ$57:$AQ$66&gt;$AO690))
) / 1000</f>
        <v>0</v>
      </c>
      <c r="CS690" s="232">
        <f t="shared" si="686"/>
        <v>20</v>
      </c>
      <c r="CT690" s="230">
        <f t="shared" si="672"/>
        <v>33</v>
      </c>
      <c r="CU690" s="235">
        <f t="shared" si="673"/>
        <v>4.8487499999999999</v>
      </c>
      <c r="CV690" s="235" cm="1">
        <f t="array" ref="CV690">$BI690 * IF($AH690&lt;=2,
SUMPRODUCT(INDEX($AR$62:$AT$66,,$AI690), INDEX($AU$62:$BA$66,,$AH690), 1 / ($BB$62:$BB$66*CU690 + (1-$BB$62:$BB$66)*CQ690), N($AQ$62:$AQ$66&gt;$AO690)),
SUMPRODUCT(INDEX($AR$47:$AT$56,,$AI690), INDEX($AU$47:$BA$56,,$AH690), 1 / ($BC$47:$BC$56*CU690 + (1-$BC$47:$BC$56)*CQ690), N($AQ$47:$AQ$56&gt;$AO690))
) / 1000</f>
        <v>0</v>
      </c>
      <c r="CW690" s="235" cm="1">
        <f t="array" ref="CW690">$BI690 * IF($AH690&lt;=2,
SUMPRODUCT(INDEX($AR$23:$AT$61,,$AI690), INDEX($AU$23:$BA$61,,$AH690), 1 / ($BB$23:$BB$61*CU690), N($AQ$23:$AQ$61&gt;$AO690)),
SUMPRODUCT(INDEX($AR$23:$AT$46,,$AI690), INDEX($AU$23:$BA$46,,$AH690), 1 / ($BC$23:$BC$46*CU690), N($AQ$23:$AQ$46&gt;$AO690))
) / 1000</f>
        <v>0</v>
      </c>
      <c r="CX690" s="230">
        <f t="shared" si="674"/>
        <v>0</v>
      </c>
      <c r="CY690" s="238"/>
    </row>
    <row r="691" spans="1:103" s="76" customFormat="1" ht="14.25" customHeight="1" x14ac:dyDescent="0.2">
      <c r="A691" s="231" t="b">
        <f t="shared" si="678"/>
        <v>0</v>
      </c>
      <c r="B691" s="245">
        <v>669</v>
      </c>
      <c r="C691" s="258"/>
      <c r="D691" s="258"/>
      <c r="E691" s="246"/>
      <c r="F691" s="247" t="str">
        <f>IF(ISBLANK(E691), "", VLOOKUP(E691, Z!$A$2:$C$4127, 3, FALSE))</f>
        <v/>
      </c>
      <c r="G691" s="248"/>
      <c r="H691" s="248"/>
      <c r="I691" s="249"/>
      <c r="J691" s="250"/>
      <c r="K691" s="259"/>
      <c r="L691" s="260"/>
      <c r="M691" s="252" t="str" cm="1">
        <f t="array" ref="M691">INDEX(Trad, 53, $A$20)</f>
        <v>Verschmutzt</v>
      </c>
      <c r="N691" s="253"/>
      <c r="O691" s="253"/>
      <c r="P691" s="254"/>
      <c r="Q691" s="251"/>
      <c r="R691" s="251"/>
      <c r="S691" s="264">
        <f t="shared" si="649"/>
        <v>0</v>
      </c>
      <c r="T691" s="252" t="str" cm="1">
        <f t="array" ref="T691">INDEX(Trad, 52, $A$20)</f>
        <v>Sauber</v>
      </c>
      <c r="U691" s="253"/>
      <c r="V691" s="253"/>
      <c r="W691" s="254"/>
      <c r="X691" s="251"/>
      <c r="Y691" s="251"/>
      <c r="Z691" s="264">
        <f t="shared" si="650"/>
        <v>0</v>
      </c>
      <c r="AA691" s="261"/>
      <c r="AB691" s="258"/>
      <c r="AC691" s="246"/>
      <c r="AD691" s="247" t="str">
        <f>IF(ISBLANK(AC691), "", VLOOKUP(AC691, Z!$A$2:$C$4127, 3, FALSE))</f>
        <v/>
      </c>
      <c r="AE691" s="262"/>
      <c r="AF691" s="263">
        <f t="shared" si="651"/>
        <v>0</v>
      </c>
      <c r="AG691" s="238"/>
      <c r="AH691" s="229">
        <f t="shared" si="675"/>
        <v>1</v>
      </c>
      <c r="AI691" s="229">
        <f t="shared" si="676"/>
        <v>1</v>
      </c>
      <c r="AJ691" s="229">
        <f t="shared" si="677"/>
        <v>0</v>
      </c>
      <c r="AK691" s="229">
        <v>0</v>
      </c>
      <c r="AL691" s="229">
        <v>0</v>
      </c>
      <c r="AM691" s="229">
        <v>1</v>
      </c>
      <c r="AN691" s="229">
        <v>0</v>
      </c>
      <c r="AO691" s="229">
        <f t="shared" si="652"/>
        <v>-100</v>
      </c>
      <c r="AP691" s="238"/>
      <c r="AQ691" s="255"/>
      <c r="AR691" s="255"/>
      <c r="AS691" s="256"/>
      <c r="AT691" s="256"/>
      <c r="AU691" s="256"/>
      <c r="AV691" s="256"/>
      <c r="AW691" s="256"/>
      <c r="AX691" s="256"/>
      <c r="AY691" s="256"/>
      <c r="AZ691" s="256"/>
      <c r="BA691" s="256"/>
      <c r="BB691" s="256"/>
      <c r="BC691" s="256"/>
      <c r="BD691" s="238"/>
      <c r="BE691" s="229" cm="1">
        <f t="array" ref="BE691">IF(ISBLANK(R691), INDEX(Use, $AH691, 4) - AM691*INDEX(Use, $AH691, 6), R691)</f>
        <v>5</v>
      </c>
      <c r="BF691" s="229">
        <f t="shared" si="653"/>
        <v>30</v>
      </c>
      <c r="BG691" s="229">
        <f t="shared" si="679"/>
        <v>13</v>
      </c>
      <c r="BH691" s="229">
        <f t="shared" si="680"/>
        <v>0</v>
      </c>
      <c r="BI691" s="234" cm="1">
        <f t="array" ref="BI691">K691/IF($L691&gt;0, INDEX($AU$23:$BA$77, $L691+20, $AH691), 1)</f>
        <v>0</v>
      </c>
      <c r="BJ691" s="230">
        <f t="shared" si="654"/>
        <v>0</v>
      </c>
      <c r="BK691" s="229">
        <v>35</v>
      </c>
      <c r="BL691" s="230">
        <f t="shared" si="655"/>
        <v>48</v>
      </c>
      <c r="BM691" s="235">
        <f t="shared" si="656"/>
        <v>2.9108720930232557</v>
      </c>
      <c r="BN691" s="235" cm="1">
        <f t="array" ref="BN691">$BI691 * SUMPRODUCT(INDEX($AR$77:$AT$82,,$AI691),INDEX($AU$77:$BA$82,,$AH691), N($AQ$77:$AQ$82&gt;$AO691)) / BM691 / 1000</f>
        <v>0</v>
      </c>
      <c r="BO691" s="232">
        <f t="shared" si="681"/>
        <v>30</v>
      </c>
      <c r="BP691" s="230">
        <f t="shared" si="657"/>
        <v>43</v>
      </c>
      <c r="BQ691" s="235">
        <f t="shared" si="658"/>
        <v>3.2938815789473681</v>
      </c>
      <c r="BR691" s="235" cm="1">
        <f t="array" ref="BR691">$BI691 * IF($AH691&lt;=2,
SUMPRODUCT(INDEX($AR$72:$AT$76,,$AI691), INDEX($AU$72:$BA$76,,$AH691), 1 / ($BB$72:$BB$76*BQ691 + (1-$BB$72:$BB$76)*BM691), N($AQ$72:$AQ$76&gt;$AO691)),
SUMPRODUCT(INDEX($AR$67:$AT$76,,$AI691), INDEX($AU$67:$BA$76,,$AH691), 1 / ($BC$67:$BC$76*BQ691 + (1-$BC$67:$BC$76)*BM691), N($AQ$67:$AQ$76&gt;$AO691))
) / 1000</f>
        <v>0</v>
      </c>
      <c r="BS691" s="232">
        <f t="shared" si="682"/>
        <v>25</v>
      </c>
      <c r="BT691" s="230">
        <f t="shared" si="659"/>
        <v>38</v>
      </c>
      <c r="BU691" s="235">
        <f t="shared" si="660"/>
        <v>3.792954545454545</v>
      </c>
      <c r="BV691" s="235" cm="1">
        <f t="array" ref="BV691">$BI691 * IF($AH691&lt;=2,
SUMPRODUCT(INDEX($AR$67:$AT$71,,$AI691), INDEX($AU$67:$BA$71,,$AH691), 1 / ($BB$67:$BB$71*BU691 + (1-$BB$67:$BB$71)*BQ691), N($AQ$67:$AQ$71&gt;$AO691)),
SUMPRODUCT(INDEX($AR$57:$AT$66,,$AI691), INDEX($AU$57:$BA$66,,$AH691), 1 / ($BC$57:$BC$66*BU691 + (1-$BC$57:$BC$66)*BQ691), N($AQ$57:$AQ$66&gt;$AO691))
) / 1000</f>
        <v>0</v>
      </c>
      <c r="BW691" s="232">
        <f t="shared" si="683"/>
        <v>20</v>
      </c>
      <c r="BX691" s="230">
        <f t="shared" si="661"/>
        <v>33</v>
      </c>
      <c r="BY691" s="235">
        <f t="shared" si="662"/>
        <v>4.4702678571428569</v>
      </c>
      <c r="BZ691" s="235" cm="1">
        <f t="array" ref="BZ691">$BI691 * IF($AH691&lt;=2,
SUMPRODUCT(INDEX($AR$62:$AT$66,,$AI691), INDEX($AU$62:$BA$66,,$AH691), 1 / ($BB$62:$BB$66*BY691 + (1-$BB$62:$BB$66)*BU691), N($AQ$62:$AQ$66&gt;$AO691)),
SUMPRODUCT(INDEX($AR$47:$AT$56,,$AI691), INDEX($AU$47:$BA$56,,$AH691), 1 / ($BC$47:$BC$56*BY691 + (1-$BC$47:$BC$56)*BU691), N($AQ$47:$AQ$56&gt;$AO691))
) / 1000</f>
        <v>0</v>
      </c>
      <c r="CA691" s="235" cm="1">
        <f t="array" ref="CA691">$BI691 * IF($AH691&lt;=2,
SUMPRODUCT(INDEX($AR$23:$AT$61,,$AI691), INDEX($AU$23:$BA$61,,$AH691), 1 / ($BB$23:$BB$61*BY691), N($AQ$23:$AQ$61&gt;$AO691)),
SUMPRODUCT(INDEX($AR$23:$AT$46,,$AI691), INDEX($AU$23:$BA$46,,$AH691), 1 / ($BC$23:$BC$46*BY691), N($AQ$23:$AQ$46&gt;$AO691))
) / 1000</f>
        <v>0</v>
      </c>
      <c r="CB691" s="230">
        <f t="shared" si="663"/>
        <v>0</v>
      </c>
      <c r="CC691" s="238"/>
      <c r="CD691" s="229" cm="1">
        <f t="array" ref="CD691">IF(ISBLANK(Y691), INDEX(Use, $AH691, 4) - AN691*INDEX(Use, $AH691, 6) - (Q691-X691), Y691)</f>
        <v>7</v>
      </c>
      <c r="CE691" s="229">
        <f t="shared" si="664"/>
        <v>32</v>
      </c>
      <c r="CF691" s="230">
        <f t="shared" si="665"/>
        <v>0</v>
      </c>
      <c r="CG691" s="229">
        <v>35</v>
      </c>
      <c r="CH691" s="230">
        <f t="shared" si="666"/>
        <v>48</v>
      </c>
      <c r="CI691" s="235">
        <f t="shared" si="667"/>
        <v>3.0748170731707316</v>
      </c>
      <c r="CJ691" s="235" cm="1">
        <f t="array" ref="CJ691">$BI691 * SUMPRODUCT(INDEX($AR$77:$AT$82,,$AI691),INDEX($AU$77:$BA$82,,$AH691), N($AQ$77:$AQ$82&gt;$AO691)) / CI691 / 1000</f>
        <v>0</v>
      </c>
      <c r="CK691" s="232">
        <f t="shared" si="684"/>
        <v>30</v>
      </c>
      <c r="CL691" s="230">
        <f t="shared" si="668"/>
        <v>43</v>
      </c>
      <c r="CM691" s="235">
        <f t="shared" si="669"/>
        <v>3.5018750000000001</v>
      </c>
      <c r="CN691" s="235" cm="1">
        <f t="array" ref="CN691">$BI691 * IF($AH691&lt;=2,
SUMPRODUCT(INDEX($AR$72:$AT$76,,$AI691), INDEX($AU$72:$BA$76,,$AH691), 1 / ($BB$72:$BB$76*CM691 + (1-$BB$72:$BB$76)*CI691), N($AQ$72:$AQ$76&gt;$AO691)),
SUMPRODUCT(INDEX($AR$67:$AT$76,,$AI691), INDEX($AU$67:$BA$76,,$AH691), 1 / ($BC$67:$BC$76*CM691 + (1-$BC$67:$BC$76)*CI691), N($AQ$67:$AQ$76&gt;$AO691))
) / 1000</f>
        <v>0</v>
      </c>
      <c r="CO691" s="232">
        <f t="shared" si="685"/>
        <v>25</v>
      </c>
      <c r="CP691" s="230">
        <f t="shared" si="670"/>
        <v>38</v>
      </c>
      <c r="CQ691" s="235">
        <f t="shared" si="671"/>
        <v>4.0666935483870965</v>
      </c>
      <c r="CR691" s="235" cm="1">
        <f t="array" ref="CR691">$BI691 * IF($AH691&lt;=2,
SUMPRODUCT(INDEX($AR$67:$AT$71,,$AI691), INDEX($AU$67:$BA$71,,$AH691), 1 / ($BB$67:$BB$71*CQ691 + (1-$BB$67:$BB$71)*CM691), N($AQ$67:$AQ$71&gt;$AO691)),
SUMPRODUCT(INDEX($AR$57:$AT$66,,$AI691), INDEX($AU$57:$BA$66,,$AH691), 1 / ($BC$57:$BC$66*CQ691 + (1-$BC$57:$BC$66)*CM691), N($AQ$57:$AQ$66&gt;$AO691))
) / 1000</f>
        <v>0</v>
      </c>
      <c r="CS691" s="232">
        <f t="shared" si="686"/>
        <v>20</v>
      </c>
      <c r="CT691" s="230">
        <f t="shared" si="672"/>
        <v>33</v>
      </c>
      <c r="CU691" s="235">
        <f t="shared" si="673"/>
        <v>4.8487499999999999</v>
      </c>
      <c r="CV691" s="235" cm="1">
        <f t="array" ref="CV691">$BI691 * IF($AH691&lt;=2,
SUMPRODUCT(INDEX($AR$62:$AT$66,,$AI691), INDEX($AU$62:$BA$66,,$AH691), 1 / ($BB$62:$BB$66*CU691 + (1-$BB$62:$BB$66)*CQ691), N($AQ$62:$AQ$66&gt;$AO691)),
SUMPRODUCT(INDEX($AR$47:$AT$56,,$AI691), INDEX($AU$47:$BA$56,,$AH691), 1 / ($BC$47:$BC$56*CU691 + (1-$BC$47:$BC$56)*CQ691), N($AQ$47:$AQ$56&gt;$AO691))
) / 1000</f>
        <v>0</v>
      </c>
      <c r="CW691" s="235" cm="1">
        <f t="array" ref="CW691">$BI691 * IF($AH691&lt;=2,
SUMPRODUCT(INDEX($AR$23:$AT$61,,$AI691), INDEX($AU$23:$BA$61,,$AH691), 1 / ($BB$23:$BB$61*CU691), N($AQ$23:$AQ$61&gt;$AO691)),
SUMPRODUCT(INDEX($AR$23:$AT$46,,$AI691), INDEX($AU$23:$BA$46,,$AH691), 1 / ($BC$23:$BC$46*CU691), N($AQ$23:$AQ$46&gt;$AO691))
) / 1000</f>
        <v>0</v>
      </c>
      <c r="CX691" s="230">
        <f t="shared" si="674"/>
        <v>0</v>
      </c>
      <c r="CY691" s="238"/>
    </row>
    <row r="692" spans="1:103" s="76" customFormat="1" ht="14.25" customHeight="1" x14ac:dyDescent="0.2">
      <c r="A692" s="231" t="b">
        <f t="shared" si="678"/>
        <v>0</v>
      </c>
      <c r="B692" s="245">
        <v>670</v>
      </c>
      <c r="C692" s="258"/>
      <c r="D692" s="258"/>
      <c r="E692" s="246"/>
      <c r="F692" s="247" t="str">
        <f>IF(ISBLANK(E692), "", VLOOKUP(E692, Z!$A$2:$C$4127, 3, FALSE))</f>
        <v/>
      </c>
      <c r="G692" s="248"/>
      <c r="H692" s="248"/>
      <c r="I692" s="249"/>
      <c r="J692" s="250"/>
      <c r="K692" s="259"/>
      <c r="L692" s="260"/>
      <c r="M692" s="252" t="str" cm="1">
        <f t="array" ref="M692">INDEX(Trad, 53, $A$20)</f>
        <v>Verschmutzt</v>
      </c>
      <c r="N692" s="253"/>
      <c r="O692" s="253"/>
      <c r="P692" s="254"/>
      <c r="Q692" s="251"/>
      <c r="R692" s="251"/>
      <c r="S692" s="264">
        <f t="shared" si="649"/>
        <v>0</v>
      </c>
      <c r="T692" s="252" t="str" cm="1">
        <f t="array" ref="T692">INDEX(Trad, 52, $A$20)</f>
        <v>Sauber</v>
      </c>
      <c r="U692" s="253"/>
      <c r="V692" s="253"/>
      <c r="W692" s="254"/>
      <c r="X692" s="251"/>
      <c r="Y692" s="251"/>
      <c r="Z692" s="264">
        <f t="shared" si="650"/>
        <v>0</v>
      </c>
      <c r="AA692" s="261"/>
      <c r="AB692" s="258"/>
      <c r="AC692" s="246"/>
      <c r="AD692" s="247" t="str">
        <f>IF(ISBLANK(AC692), "", VLOOKUP(AC692, Z!$A$2:$C$4127, 3, FALSE))</f>
        <v/>
      </c>
      <c r="AE692" s="262"/>
      <c r="AF692" s="263">
        <f t="shared" si="651"/>
        <v>0</v>
      </c>
      <c r="AG692" s="238"/>
      <c r="AH692" s="229">
        <f t="shared" si="675"/>
        <v>1</v>
      </c>
      <c r="AI692" s="229">
        <f t="shared" si="676"/>
        <v>1</v>
      </c>
      <c r="AJ692" s="229">
        <f t="shared" si="677"/>
        <v>0</v>
      </c>
      <c r="AK692" s="229">
        <v>0</v>
      </c>
      <c r="AL692" s="229">
        <v>0</v>
      </c>
      <c r="AM692" s="229">
        <v>1</v>
      </c>
      <c r="AN692" s="229">
        <v>0</v>
      </c>
      <c r="AO692" s="229">
        <f t="shared" si="652"/>
        <v>-100</v>
      </c>
      <c r="AP692" s="238"/>
      <c r="AQ692" s="255"/>
      <c r="AR692" s="255"/>
      <c r="AS692" s="256"/>
      <c r="AT692" s="256"/>
      <c r="AU692" s="256"/>
      <c r="AV692" s="256"/>
      <c r="AW692" s="256"/>
      <c r="AX692" s="256"/>
      <c r="AY692" s="256"/>
      <c r="AZ692" s="256"/>
      <c r="BA692" s="256"/>
      <c r="BB692" s="256"/>
      <c r="BC692" s="256"/>
      <c r="BD692" s="238"/>
      <c r="BE692" s="229" cm="1">
        <f t="array" ref="BE692">IF(ISBLANK(R692), INDEX(Use, $AH692, 4) - AM692*INDEX(Use, $AH692, 6), R692)</f>
        <v>5</v>
      </c>
      <c r="BF692" s="229">
        <f t="shared" si="653"/>
        <v>30</v>
      </c>
      <c r="BG692" s="229">
        <f t="shared" si="679"/>
        <v>13</v>
      </c>
      <c r="BH692" s="229">
        <f t="shared" si="680"/>
        <v>0</v>
      </c>
      <c r="BI692" s="234" cm="1">
        <f t="array" ref="BI692">K692/IF($L692&gt;0, INDEX($AU$23:$BA$77, $L692+20, $AH692), 1)</f>
        <v>0</v>
      </c>
      <c r="BJ692" s="230">
        <f t="shared" si="654"/>
        <v>0</v>
      </c>
      <c r="BK692" s="229">
        <v>35</v>
      </c>
      <c r="BL692" s="230">
        <f t="shared" si="655"/>
        <v>48</v>
      </c>
      <c r="BM692" s="235">
        <f t="shared" si="656"/>
        <v>2.9108720930232557</v>
      </c>
      <c r="BN692" s="235" cm="1">
        <f t="array" ref="BN692">$BI692 * SUMPRODUCT(INDEX($AR$77:$AT$82,,$AI692),INDEX($AU$77:$BA$82,,$AH692), N($AQ$77:$AQ$82&gt;$AO692)) / BM692 / 1000</f>
        <v>0</v>
      </c>
      <c r="BO692" s="232">
        <f t="shared" si="681"/>
        <v>30</v>
      </c>
      <c r="BP692" s="230">
        <f t="shared" si="657"/>
        <v>43</v>
      </c>
      <c r="BQ692" s="235">
        <f t="shared" si="658"/>
        <v>3.2938815789473681</v>
      </c>
      <c r="BR692" s="235" cm="1">
        <f t="array" ref="BR692">$BI692 * IF($AH692&lt;=2,
SUMPRODUCT(INDEX($AR$72:$AT$76,,$AI692), INDEX($AU$72:$BA$76,,$AH692), 1 / ($BB$72:$BB$76*BQ692 + (1-$BB$72:$BB$76)*BM692), N($AQ$72:$AQ$76&gt;$AO692)),
SUMPRODUCT(INDEX($AR$67:$AT$76,,$AI692), INDEX($AU$67:$BA$76,,$AH692), 1 / ($BC$67:$BC$76*BQ692 + (1-$BC$67:$BC$76)*BM692), N($AQ$67:$AQ$76&gt;$AO692))
) / 1000</f>
        <v>0</v>
      </c>
      <c r="BS692" s="232">
        <f t="shared" si="682"/>
        <v>25</v>
      </c>
      <c r="BT692" s="230">
        <f t="shared" si="659"/>
        <v>38</v>
      </c>
      <c r="BU692" s="235">
        <f t="shared" si="660"/>
        <v>3.792954545454545</v>
      </c>
      <c r="BV692" s="235" cm="1">
        <f t="array" ref="BV692">$BI692 * IF($AH692&lt;=2,
SUMPRODUCT(INDEX($AR$67:$AT$71,,$AI692), INDEX($AU$67:$BA$71,,$AH692), 1 / ($BB$67:$BB$71*BU692 + (1-$BB$67:$BB$71)*BQ692), N($AQ$67:$AQ$71&gt;$AO692)),
SUMPRODUCT(INDEX($AR$57:$AT$66,,$AI692), INDEX($AU$57:$BA$66,,$AH692), 1 / ($BC$57:$BC$66*BU692 + (1-$BC$57:$BC$66)*BQ692), N($AQ$57:$AQ$66&gt;$AO692))
) / 1000</f>
        <v>0</v>
      </c>
      <c r="BW692" s="232">
        <f t="shared" si="683"/>
        <v>20</v>
      </c>
      <c r="BX692" s="230">
        <f t="shared" si="661"/>
        <v>33</v>
      </c>
      <c r="BY692" s="235">
        <f t="shared" si="662"/>
        <v>4.4702678571428569</v>
      </c>
      <c r="BZ692" s="235" cm="1">
        <f t="array" ref="BZ692">$BI692 * IF($AH692&lt;=2,
SUMPRODUCT(INDEX($AR$62:$AT$66,,$AI692), INDEX($AU$62:$BA$66,,$AH692), 1 / ($BB$62:$BB$66*BY692 + (1-$BB$62:$BB$66)*BU692), N($AQ$62:$AQ$66&gt;$AO692)),
SUMPRODUCT(INDEX($AR$47:$AT$56,,$AI692), INDEX($AU$47:$BA$56,,$AH692), 1 / ($BC$47:$BC$56*BY692 + (1-$BC$47:$BC$56)*BU692), N($AQ$47:$AQ$56&gt;$AO692))
) / 1000</f>
        <v>0</v>
      </c>
      <c r="CA692" s="235" cm="1">
        <f t="array" ref="CA692">$BI692 * IF($AH692&lt;=2,
SUMPRODUCT(INDEX($AR$23:$AT$61,,$AI692), INDEX($AU$23:$BA$61,,$AH692), 1 / ($BB$23:$BB$61*BY692), N($AQ$23:$AQ$61&gt;$AO692)),
SUMPRODUCT(INDEX($AR$23:$AT$46,,$AI692), INDEX($AU$23:$BA$46,,$AH692), 1 / ($BC$23:$BC$46*BY692), N($AQ$23:$AQ$46&gt;$AO692))
) / 1000</f>
        <v>0</v>
      </c>
      <c r="CB692" s="230">
        <f t="shared" si="663"/>
        <v>0</v>
      </c>
      <c r="CC692" s="238"/>
      <c r="CD692" s="229" cm="1">
        <f t="array" ref="CD692">IF(ISBLANK(Y692), INDEX(Use, $AH692, 4) - AN692*INDEX(Use, $AH692, 6) - (Q692-X692), Y692)</f>
        <v>7</v>
      </c>
      <c r="CE692" s="229">
        <f t="shared" si="664"/>
        <v>32</v>
      </c>
      <c r="CF692" s="230">
        <f t="shared" si="665"/>
        <v>0</v>
      </c>
      <c r="CG692" s="229">
        <v>35</v>
      </c>
      <c r="CH692" s="230">
        <f t="shared" si="666"/>
        <v>48</v>
      </c>
      <c r="CI692" s="235">
        <f t="shared" si="667"/>
        <v>3.0748170731707316</v>
      </c>
      <c r="CJ692" s="235" cm="1">
        <f t="array" ref="CJ692">$BI692 * SUMPRODUCT(INDEX($AR$77:$AT$82,,$AI692),INDEX($AU$77:$BA$82,,$AH692), N($AQ$77:$AQ$82&gt;$AO692)) / CI692 / 1000</f>
        <v>0</v>
      </c>
      <c r="CK692" s="232">
        <f t="shared" si="684"/>
        <v>30</v>
      </c>
      <c r="CL692" s="230">
        <f t="shared" si="668"/>
        <v>43</v>
      </c>
      <c r="CM692" s="235">
        <f t="shared" si="669"/>
        <v>3.5018750000000001</v>
      </c>
      <c r="CN692" s="235" cm="1">
        <f t="array" ref="CN692">$BI692 * IF($AH692&lt;=2,
SUMPRODUCT(INDEX($AR$72:$AT$76,,$AI692), INDEX($AU$72:$BA$76,,$AH692), 1 / ($BB$72:$BB$76*CM692 + (1-$BB$72:$BB$76)*CI692), N($AQ$72:$AQ$76&gt;$AO692)),
SUMPRODUCT(INDEX($AR$67:$AT$76,,$AI692), INDEX($AU$67:$BA$76,,$AH692), 1 / ($BC$67:$BC$76*CM692 + (1-$BC$67:$BC$76)*CI692), N($AQ$67:$AQ$76&gt;$AO692))
) / 1000</f>
        <v>0</v>
      </c>
      <c r="CO692" s="232">
        <f t="shared" si="685"/>
        <v>25</v>
      </c>
      <c r="CP692" s="230">
        <f t="shared" si="670"/>
        <v>38</v>
      </c>
      <c r="CQ692" s="235">
        <f t="shared" si="671"/>
        <v>4.0666935483870965</v>
      </c>
      <c r="CR692" s="235" cm="1">
        <f t="array" ref="CR692">$BI692 * IF($AH692&lt;=2,
SUMPRODUCT(INDEX($AR$67:$AT$71,,$AI692), INDEX($AU$67:$BA$71,,$AH692), 1 / ($BB$67:$BB$71*CQ692 + (1-$BB$67:$BB$71)*CM692), N($AQ$67:$AQ$71&gt;$AO692)),
SUMPRODUCT(INDEX($AR$57:$AT$66,,$AI692), INDEX($AU$57:$BA$66,,$AH692), 1 / ($BC$57:$BC$66*CQ692 + (1-$BC$57:$BC$66)*CM692), N($AQ$57:$AQ$66&gt;$AO692))
) / 1000</f>
        <v>0</v>
      </c>
      <c r="CS692" s="232">
        <f t="shared" si="686"/>
        <v>20</v>
      </c>
      <c r="CT692" s="230">
        <f t="shared" si="672"/>
        <v>33</v>
      </c>
      <c r="CU692" s="235">
        <f t="shared" si="673"/>
        <v>4.8487499999999999</v>
      </c>
      <c r="CV692" s="235" cm="1">
        <f t="array" ref="CV692">$BI692 * IF($AH692&lt;=2,
SUMPRODUCT(INDEX($AR$62:$AT$66,,$AI692), INDEX($AU$62:$BA$66,,$AH692), 1 / ($BB$62:$BB$66*CU692 + (1-$BB$62:$BB$66)*CQ692), N($AQ$62:$AQ$66&gt;$AO692)),
SUMPRODUCT(INDEX($AR$47:$AT$56,,$AI692), INDEX($AU$47:$BA$56,,$AH692), 1 / ($BC$47:$BC$56*CU692 + (1-$BC$47:$BC$56)*CQ692), N($AQ$47:$AQ$56&gt;$AO692))
) / 1000</f>
        <v>0</v>
      </c>
      <c r="CW692" s="235" cm="1">
        <f t="array" ref="CW692">$BI692 * IF($AH692&lt;=2,
SUMPRODUCT(INDEX($AR$23:$AT$61,,$AI692), INDEX($AU$23:$BA$61,,$AH692), 1 / ($BB$23:$BB$61*CU692), N($AQ$23:$AQ$61&gt;$AO692)),
SUMPRODUCT(INDEX($AR$23:$AT$46,,$AI692), INDEX($AU$23:$BA$46,,$AH692), 1 / ($BC$23:$BC$46*CU692), N($AQ$23:$AQ$46&gt;$AO692))
) / 1000</f>
        <v>0</v>
      </c>
      <c r="CX692" s="230">
        <f t="shared" si="674"/>
        <v>0</v>
      </c>
      <c r="CY692" s="238"/>
    </row>
    <row r="693" spans="1:103" s="76" customFormat="1" ht="14.25" customHeight="1" x14ac:dyDescent="0.2">
      <c r="A693" s="231" t="b">
        <f t="shared" si="678"/>
        <v>0</v>
      </c>
      <c r="B693" s="245">
        <v>671</v>
      </c>
      <c r="C693" s="258"/>
      <c r="D693" s="258"/>
      <c r="E693" s="246"/>
      <c r="F693" s="247" t="str">
        <f>IF(ISBLANK(E693), "", VLOOKUP(E693, Z!$A$2:$C$4127, 3, FALSE))</f>
        <v/>
      </c>
      <c r="G693" s="248"/>
      <c r="H693" s="248"/>
      <c r="I693" s="249"/>
      <c r="J693" s="250"/>
      <c r="K693" s="259"/>
      <c r="L693" s="260"/>
      <c r="M693" s="252" t="str" cm="1">
        <f t="array" ref="M693">INDEX(Trad, 53, $A$20)</f>
        <v>Verschmutzt</v>
      </c>
      <c r="N693" s="253"/>
      <c r="O693" s="253"/>
      <c r="P693" s="254"/>
      <c r="Q693" s="251"/>
      <c r="R693" s="251"/>
      <c r="S693" s="264">
        <f t="shared" si="649"/>
        <v>0</v>
      </c>
      <c r="T693" s="252" t="str" cm="1">
        <f t="array" ref="T693">INDEX(Trad, 52, $A$20)</f>
        <v>Sauber</v>
      </c>
      <c r="U693" s="253"/>
      <c r="V693" s="253"/>
      <c r="W693" s="254"/>
      <c r="X693" s="251"/>
      <c r="Y693" s="251"/>
      <c r="Z693" s="264">
        <f t="shared" si="650"/>
        <v>0</v>
      </c>
      <c r="AA693" s="261"/>
      <c r="AB693" s="258"/>
      <c r="AC693" s="246"/>
      <c r="AD693" s="247" t="str">
        <f>IF(ISBLANK(AC693), "", VLOOKUP(AC693, Z!$A$2:$C$4127, 3, FALSE))</f>
        <v/>
      </c>
      <c r="AE693" s="262"/>
      <c r="AF693" s="263">
        <f t="shared" si="651"/>
        <v>0</v>
      </c>
      <c r="AG693" s="238"/>
      <c r="AH693" s="229">
        <f t="shared" si="675"/>
        <v>1</v>
      </c>
      <c r="AI693" s="229">
        <f t="shared" si="676"/>
        <v>1</v>
      </c>
      <c r="AJ693" s="229">
        <f t="shared" si="677"/>
        <v>0</v>
      </c>
      <c r="AK693" s="229">
        <v>0</v>
      </c>
      <c r="AL693" s="229">
        <v>0</v>
      </c>
      <c r="AM693" s="229">
        <v>1</v>
      </c>
      <c r="AN693" s="229">
        <v>0</v>
      </c>
      <c r="AO693" s="229">
        <f t="shared" si="652"/>
        <v>-100</v>
      </c>
      <c r="AP693" s="238"/>
      <c r="AQ693" s="255"/>
      <c r="AR693" s="255"/>
      <c r="AS693" s="256"/>
      <c r="AT693" s="256"/>
      <c r="AU693" s="256"/>
      <c r="AV693" s="256"/>
      <c r="AW693" s="256"/>
      <c r="AX693" s="256"/>
      <c r="AY693" s="256"/>
      <c r="AZ693" s="256"/>
      <c r="BA693" s="256"/>
      <c r="BB693" s="256"/>
      <c r="BC693" s="256"/>
      <c r="BD693" s="238"/>
      <c r="BE693" s="229" cm="1">
        <f t="array" ref="BE693">IF(ISBLANK(R693), INDEX(Use, $AH693, 4) - AM693*INDEX(Use, $AH693, 6), R693)</f>
        <v>5</v>
      </c>
      <c r="BF693" s="229">
        <f t="shared" si="653"/>
        <v>30</v>
      </c>
      <c r="BG693" s="229">
        <f t="shared" si="679"/>
        <v>13</v>
      </c>
      <c r="BH693" s="229">
        <f t="shared" si="680"/>
        <v>0</v>
      </c>
      <c r="BI693" s="234" cm="1">
        <f t="array" ref="BI693">K693/IF($L693&gt;0, INDEX($AU$23:$BA$77, $L693+20, $AH693), 1)</f>
        <v>0</v>
      </c>
      <c r="BJ693" s="230">
        <f t="shared" si="654"/>
        <v>0</v>
      </c>
      <c r="BK693" s="229">
        <v>35</v>
      </c>
      <c r="BL693" s="230">
        <f t="shared" si="655"/>
        <v>48</v>
      </c>
      <c r="BM693" s="235">
        <f t="shared" si="656"/>
        <v>2.9108720930232557</v>
      </c>
      <c r="BN693" s="235" cm="1">
        <f t="array" ref="BN693">$BI693 * SUMPRODUCT(INDEX($AR$77:$AT$82,,$AI693),INDEX($AU$77:$BA$82,,$AH693), N($AQ$77:$AQ$82&gt;$AO693)) / BM693 / 1000</f>
        <v>0</v>
      </c>
      <c r="BO693" s="232">
        <f t="shared" si="681"/>
        <v>30</v>
      </c>
      <c r="BP693" s="230">
        <f t="shared" si="657"/>
        <v>43</v>
      </c>
      <c r="BQ693" s="235">
        <f t="shared" si="658"/>
        <v>3.2938815789473681</v>
      </c>
      <c r="BR693" s="235" cm="1">
        <f t="array" ref="BR693">$BI693 * IF($AH693&lt;=2,
SUMPRODUCT(INDEX($AR$72:$AT$76,,$AI693), INDEX($AU$72:$BA$76,,$AH693), 1 / ($BB$72:$BB$76*BQ693 + (1-$BB$72:$BB$76)*BM693), N($AQ$72:$AQ$76&gt;$AO693)),
SUMPRODUCT(INDEX($AR$67:$AT$76,,$AI693), INDEX($AU$67:$BA$76,,$AH693), 1 / ($BC$67:$BC$76*BQ693 + (1-$BC$67:$BC$76)*BM693), N($AQ$67:$AQ$76&gt;$AO693))
) / 1000</f>
        <v>0</v>
      </c>
      <c r="BS693" s="232">
        <f t="shared" si="682"/>
        <v>25</v>
      </c>
      <c r="BT693" s="230">
        <f t="shared" si="659"/>
        <v>38</v>
      </c>
      <c r="BU693" s="235">
        <f t="shared" si="660"/>
        <v>3.792954545454545</v>
      </c>
      <c r="BV693" s="235" cm="1">
        <f t="array" ref="BV693">$BI693 * IF($AH693&lt;=2,
SUMPRODUCT(INDEX($AR$67:$AT$71,,$AI693), INDEX($AU$67:$BA$71,,$AH693), 1 / ($BB$67:$BB$71*BU693 + (1-$BB$67:$BB$71)*BQ693), N($AQ$67:$AQ$71&gt;$AO693)),
SUMPRODUCT(INDEX($AR$57:$AT$66,,$AI693), INDEX($AU$57:$BA$66,,$AH693), 1 / ($BC$57:$BC$66*BU693 + (1-$BC$57:$BC$66)*BQ693), N($AQ$57:$AQ$66&gt;$AO693))
) / 1000</f>
        <v>0</v>
      </c>
      <c r="BW693" s="232">
        <f t="shared" si="683"/>
        <v>20</v>
      </c>
      <c r="BX693" s="230">
        <f t="shared" si="661"/>
        <v>33</v>
      </c>
      <c r="BY693" s="235">
        <f t="shared" si="662"/>
        <v>4.4702678571428569</v>
      </c>
      <c r="BZ693" s="235" cm="1">
        <f t="array" ref="BZ693">$BI693 * IF($AH693&lt;=2,
SUMPRODUCT(INDEX($AR$62:$AT$66,,$AI693), INDEX($AU$62:$BA$66,,$AH693), 1 / ($BB$62:$BB$66*BY693 + (1-$BB$62:$BB$66)*BU693), N($AQ$62:$AQ$66&gt;$AO693)),
SUMPRODUCT(INDEX($AR$47:$AT$56,,$AI693), INDEX($AU$47:$BA$56,,$AH693), 1 / ($BC$47:$BC$56*BY693 + (1-$BC$47:$BC$56)*BU693), N($AQ$47:$AQ$56&gt;$AO693))
) / 1000</f>
        <v>0</v>
      </c>
      <c r="CA693" s="235" cm="1">
        <f t="array" ref="CA693">$BI693 * IF($AH693&lt;=2,
SUMPRODUCT(INDEX($AR$23:$AT$61,,$AI693), INDEX($AU$23:$BA$61,,$AH693), 1 / ($BB$23:$BB$61*BY693), N($AQ$23:$AQ$61&gt;$AO693)),
SUMPRODUCT(INDEX($AR$23:$AT$46,,$AI693), INDEX($AU$23:$BA$46,,$AH693), 1 / ($BC$23:$BC$46*BY693), N($AQ$23:$AQ$46&gt;$AO693))
) / 1000</f>
        <v>0</v>
      </c>
      <c r="CB693" s="230">
        <f t="shared" si="663"/>
        <v>0</v>
      </c>
      <c r="CC693" s="238"/>
      <c r="CD693" s="229" cm="1">
        <f t="array" ref="CD693">IF(ISBLANK(Y693), INDEX(Use, $AH693, 4) - AN693*INDEX(Use, $AH693, 6) - (Q693-X693), Y693)</f>
        <v>7</v>
      </c>
      <c r="CE693" s="229">
        <f t="shared" si="664"/>
        <v>32</v>
      </c>
      <c r="CF693" s="230">
        <f t="shared" si="665"/>
        <v>0</v>
      </c>
      <c r="CG693" s="229">
        <v>35</v>
      </c>
      <c r="CH693" s="230">
        <f t="shared" si="666"/>
        <v>48</v>
      </c>
      <c r="CI693" s="235">
        <f t="shared" si="667"/>
        <v>3.0748170731707316</v>
      </c>
      <c r="CJ693" s="235" cm="1">
        <f t="array" ref="CJ693">$BI693 * SUMPRODUCT(INDEX($AR$77:$AT$82,,$AI693),INDEX($AU$77:$BA$82,,$AH693), N($AQ$77:$AQ$82&gt;$AO693)) / CI693 / 1000</f>
        <v>0</v>
      </c>
      <c r="CK693" s="232">
        <f t="shared" si="684"/>
        <v>30</v>
      </c>
      <c r="CL693" s="230">
        <f t="shared" si="668"/>
        <v>43</v>
      </c>
      <c r="CM693" s="235">
        <f t="shared" si="669"/>
        <v>3.5018750000000001</v>
      </c>
      <c r="CN693" s="235" cm="1">
        <f t="array" ref="CN693">$BI693 * IF($AH693&lt;=2,
SUMPRODUCT(INDEX($AR$72:$AT$76,,$AI693), INDEX($AU$72:$BA$76,,$AH693), 1 / ($BB$72:$BB$76*CM693 + (1-$BB$72:$BB$76)*CI693), N($AQ$72:$AQ$76&gt;$AO693)),
SUMPRODUCT(INDEX($AR$67:$AT$76,,$AI693), INDEX($AU$67:$BA$76,,$AH693), 1 / ($BC$67:$BC$76*CM693 + (1-$BC$67:$BC$76)*CI693), N($AQ$67:$AQ$76&gt;$AO693))
) / 1000</f>
        <v>0</v>
      </c>
      <c r="CO693" s="232">
        <f t="shared" si="685"/>
        <v>25</v>
      </c>
      <c r="CP693" s="230">
        <f t="shared" si="670"/>
        <v>38</v>
      </c>
      <c r="CQ693" s="235">
        <f t="shared" si="671"/>
        <v>4.0666935483870965</v>
      </c>
      <c r="CR693" s="235" cm="1">
        <f t="array" ref="CR693">$BI693 * IF($AH693&lt;=2,
SUMPRODUCT(INDEX($AR$67:$AT$71,,$AI693), INDEX($AU$67:$BA$71,,$AH693), 1 / ($BB$67:$BB$71*CQ693 + (1-$BB$67:$BB$71)*CM693), N($AQ$67:$AQ$71&gt;$AO693)),
SUMPRODUCT(INDEX($AR$57:$AT$66,,$AI693), INDEX($AU$57:$BA$66,,$AH693), 1 / ($BC$57:$BC$66*CQ693 + (1-$BC$57:$BC$66)*CM693), N($AQ$57:$AQ$66&gt;$AO693))
) / 1000</f>
        <v>0</v>
      </c>
      <c r="CS693" s="232">
        <f t="shared" si="686"/>
        <v>20</v>
      </c>
      <c r="CT693" s="230">
        <f t="shared" si="672"/>
        <v>33</v>
      </c>
      <c r="CU693" s="235">
        <f t="shared" si="673"/>
        <v>4.8487499999999999</v>
      </c>
      <c r="CV693" s="235" cm="1">
        <f t="array" ref="CV693">$BI693 * IF($AH693&lt;=2,
SUMPRODUCT(INDEX($AR$62:$AT$66,,$AI693), INDEX($AU$62:$BA$66,,$AH693), 1 / ($BB$62:$BB$66*CU693 + (1-$BB$62:$BB$66)*CQ693), N($AQ$62:$AQ$66&gt;$AO693)),
SUMPRODUCT(INDEX($AR$47:$AT$56,,$AI693), INDEX($AU$47:$BA$56,,$AH693), 1 / ($BC$47:$BC$56*CU693 + (1-$BC$47:$BC$56)*CQ693), N($AQ$47:$AQ$56&gt;$AO693))
) / 1000</f>
        <v>0</v>
      </c>
      <c r="CW693" s="235" cm="1">
        <f t="array" ref="CW693">$BI693 * IF($AH693&lt;=2,
SUMPRODUCT(INDEX($AR$23:$AT$61,,$AI693), INDEX($AU$23:$BA$61,,$AH693), 1 / ($BB$23:$BB$61*CU693), N($AQ$23:$AQ$61&gt;$AO693)),
SUMPRODUCT(INDEX($AR$23:$AT$46,,$AI693), INDEX($AU$23:$BA$46,,$AH693), 1 / ($BC$23:$BC$46*CU693), N($AQ$23:$AQ$46&gt;$AO693))
) / 1000</f>
        <v>0</v>
      </c>
      <c r="CX693" s="230">
        <f t="shared" si="674"/>
        <v>0</v>
      </c>
      <c r="CY693" s="238"/>
    </row>
    <row r="694" spans="1:103" s="76" customFormat="1" ht="14.25" customHeight="1" x14ac:dyDescent="0.2">
      <c r="A694" s="231" t="b">
        <f t="shared" si="678"/>
        <v>0</v>
      </c>
      <c r="B694" s="245">
        <v>672</v>
      </c>
      <c r="C694" s="258"/>
      <c r="D694" s="258"/>
      <c r="E694" s="246"/>
      <c r="F694" s="247" t="str">
        <f>IF(ISBLANK(E694), "", VLOOKUP(E694, Z!$A$2:$C$4127, 3, FALSE))</f>
        <v/>
      </c>
      <c r="G694" s="248"/>
      <c r="H694" s="248"/>
      <c r="I694" s="249"/>
      <c r="J694" s="250"/>
      <c r="K694" s="259"/>
      <c r="L694" s="260"/>
      <c r="M694" s="252" t="str" cm="1">
        <f t="array" ref="M694">INDEX(Trad, 53, $A$20)</f>
        <v>Verschmutzt</v>
      </c>
      <c r="N694" s="253"/>
      <c r="O694" s="253"/>
      <c r="P694" s="254"/>
      <c r="Q694" s="251"/>
      <c r="R694" s="251"/>
      <c r="S694" s="264">
        <f t="shared" si="649"/>
        <v>0</v>
      </c>
      <c r="T694" s="252" t="str" cm="1">
        <f t="array" ref="T694">INDEX(Trad, 52, $A$20)</f>
        <v>Sauber</v>
      </c>
      <c r="U694" s="253"/>
      <c r="V694" s="253"/>
      <c r="W694" s="254"/>
      <c r="X694" s="251"/>
      <c r="Y694" s="251"/>
      <c r="Z694" s="264">
        <f t="shared" si="650"/>
        <v>0</v>
      </c>
      <c r="AA694" s="261"/>
      <c r="AB694" s="258"/>
      <c r="AC694" s="246"/>
      <c r="AD694" s="247" t="str">
        <f>IF(ISBLANK(AC694), "", VLOOKUP(AC694, Z!$A$2:$C$4127, 3, FALSE))</f>
        <v/>
      </c>
      <c r="AE694" s="262"/>
      <c r="AF694" s="263">
        <f t="shared" si="651"/>
        <v>0</v>
      </c>
      <c r="AG694" s="238"/>
      <c r="AH694" s="229">
        <f t="shared" si="675"/>
        <v>1</v>
      </c>
      <c r="AI694" s="229">
        <f t="shared" si="676"/>
        <v>1</v>
      </c>
      <c r="AJ694" s="229">
        <f t="shared" si="677"/>
        <v>0</v>
      </c>
      <c r="AK694" s="229">
        <v>0</v>
      </c>
      <c r="AL694" s="229">
        <v>0</v>
      </c>
      <c r="AM694" s="229">
        <v>1</v>
      </c>
      <c r="AN694" s="229">
        <v>0</v>
      </c>
      <c r="AO694" s="229">
        <f t="shared" si="652"/>
        <v>-100</v>
      </c>
      <c r="AP694" s="238"/>
      <c r="AQ694" s="255"/>
      <c r="AR694" s="255"/>
      <c r="AS694" s="256"/>
      <c r="AT694" s="256"/>
      <c r="AU694" s="256"/>
      <c r="AV694" s="256"/>
      <c r="AW694" s="256"/>
      <c r="AX694" s="256"/>
      <c r="AY694" s="256"/>
      <c r="AZ694" s="256"/>
      <c r="BA694" s="256"/>
      <c r="BB694" s="256"/>
      <c r="BC694" s="256"/>
      <c r="BD694" s="238"/>
      <c r="BE694" s="229" cm="1">
        <f t="array" ref="BE694">IF(ISBLANK(R694), INDEX(Use, $AH694, 4) - AM694*INDEX(Use, $AH694, 6), R694)</f>
        <v>5</v>
      </c>
      <c r="BF694" s="229">
        <f t="shared" si="653"/>
        <v>30</v>
      </c>
      <c r="BG694" s="229">
        <f t="shared" si="679"/>
        <v>13</v>
      </c>
      <c r="BH694" s="229">
        <f t="shared" si="680"/>
        <v>0</v>
      </c>
      <c r="BI694" s="234" cm="1">
        <f t="array" ref="BI694">K694/IF($L694&gt;0, INDEX($AU$23:$BA$77, $L694+20, $AH694), 1)</f>
        <v>0</v>
      </c>
      <c r="BJ694" s="230">
        <f t="shared" si="654"/>
        <v>0</v>
      </c>
      <c r="BK694" s="229">
        <v>35</v>
      </c>
      <c r="BL694" s="230">
        <f t="shared" si="655"/>
        <v>48</v>
      </c>
      <c r="BM694" s="235">
        <f t="shared" si="656"/>
        <v>2.9108720930232557</v>
      </c>
      <c r="BN694" s="235" cm="1">
        <f t="array" ref="BN694">$BI694 * SUMPRODUCT(INDEX($AR$77:$AT$82,,$AI694),INDEX($AU$77:$BA$82,,$AH694), N($AQ$77:$AQ$82&gt;$AO694)) / BM694 / 1000</f>
        <v>0</v>
      </c>
      <c r="BO694" s="232">
        <f t="shared" si="681"/>
        <v>30</v>
      </c>
      <c r="BP694" s="230">
        <f t="shared" si="657"/>
        <v>43</v>
      </c>
      <c r="BQ694" s="235">
        <f t="shared" si="658"/>
        <v>3.2938815789473681</v>
      </c>
      <c r="BR694" s="235" cm="1">
        <f t="array" ref="BR694">$BI694 * IF($AH694&lt;=2,
SUMPRODUCT(INDEX($AR$72:$AT$76,,$AI694), INDEX($AU$72:$BA$76,,$AH694), 1 / ($BB$72:$BB$76*BQ694 + (1-$BB$72:$BB$76)*BM694), N($AQ$72:$AQ$76&gt;$AO694)),
SUMPRODUCT(INDEX($AR$67:$AT$76,,$AI694), INDEX($AU$67:$BA$76,,$AH694), 1 / ($BC$67:$BC$76*BQ694 + (1-$BC$67:$BC$76)*BM694), N($AQ$67:$AQ$76&gt;$AO694))
) / 1000</f>
        <v>0</v>
      </c>
      <c r="BS694" s="232">
        <f t="shared" si="682"/>
        <v>25</v>
      </c>
      <c r="BT694" s="230">
        <f t="shared" si="659"/>
        <v>38</v>
      </c>
      <c r="BU694" s="235">
        <f t="shared" si="660"/>
        <v>3.792954545454545</v>
      </c>
      <c r="BV694" s="235" cm="1">
        <f t="array" ref="BV694">$BI694 * IF($AH694&lt;=2,
SUMPRODUCT(INDEX($AR$67:$AT$71,,$AI694), INDEX($AU$67:$BA$71,,$AH694), 1 / ($BB$67:$BB$71*BU694 + (1-$BB$67:$BB$71)*BQ694), N($AQ$67:$AQ$71&gt;$AO694)),
SUMPRODUCT(INDEX($AR$57:$AT$66,,$AI694), INDEX($AU$57:$BA$66,,$AH694), 1 / ($BC$57:$BC$66*BU694 + (1-$BC$57:$BC$66)*BQ694), N($AQ$57:$AQ$66&gt;$AO694))
) / 1000</f>
        <v>0</v>
      </c>
      <c r="BW694" s="232">
        <f t="shared" si="683"/>
        <v>20</v>
      </c>
      <c r="BX694" s="230">
        <f t="shared" si="661"/>
        <v>33</v>
      </c>
      <c r="BY694" s="235">
        <f t="shared" si="662"/>
        <v>4.4702678571428569</v>
      </c>
      <c r="BZ694" s="235" cm="1">
        <f t="array" ref="BZ694">$BI694 * IF($AH694&lt;=2,
SUMPRODUCT(INDEX($AR$62:$AT$66,,$AI694), INDEX($AU$62:$BA$66,,$AH694), 1 / ($BB$62:$BB$66*BY694 + (1-$BB$62:$BB$66)*BU694), N($AQ$62:$AQ$66&gt;$AO694)),
SUMPRODUCT(INDEX($AR$47:$AT$56,,$AI694), INDEX($AU$47:$BA$56,,$AH694), 1 / ($BC$47:$BC$56*BY694 + (1-$BC$47:$BC$56)*BU694), N($AQ$47:$AQ$56&gt;$AO694))
) / 1000</f>
        <v>0</v>
      </c>
      <c r="CA694" s="235" cm="1">
        <f t="array" ref="CA694">$BI694 * IF($AH694&lt;=2,
SUMPRODUCT(INDEX($AR$23:$AT$61,,$AI694), INDEX($AU$23:$BA$61,,$AH694), 1 / ($BB$23:$BB$61*BY694), N($AQ$23:$AQ$61&gt;$AO694)),
SUMPRODUCT(INDEX($AR$23:$AT$46,,$AI694), INDEX($AU$23:$BA$46,,$AH694), 1 / ($BC$23:$BC$46*BY694), N($AQ$23:$AQ$46&gt;$AO694))
) / 1000</f>
        <v>0</v>
      </c>
      <c r="CB694" s="230">
        <f t="shared" si="663"/>
        <v>0</v>
      </c>
      <c r="CC694" s="238"/>
      <c r="CD694" s="229" cm="1">
        <f t="array" ref="CD694">IF(ISBLANK(Y694), INDEX(Use, $AH694, 4) - AN694*INDEX(Use, $AH694, 6) - (Q694-X694), Y694)</f>
        <v>7</v>
      </c>
      <c r="CE694" s="229">
        <f t="shared" si="664"/>
        <v>32</v>
      </c>
      <c r="CF694" s="230">
        <f t="shared" si="665"/>
        <v>0</v>
      </c>
      <c r="CG694" s="229">
        <v>35</v>
      </c>
      <c r="CH694" s="230">
        <f t="shared" si="666"/>
        <v>48</v>
      </c>
      <c r="CI694" s="235">
        <f t="shared" si="667"/>
        <v>3.0748170731707316</v>
      </c>
      <c r="CJ694" s="235" cm="1">
        <f t="array" ref="CJ694">$BI694 * SUMPRODUCT(INDEX($AR$77:$AT$82,,$AI694),INDEX($AU$77:$BA$82,,$AH694), N($AQ$77:$AQ$82&gt;$AO694)) / CI694 / 1000</f>
        <v>0</v>
      </c>
      <c r="CK694" s="232">
        <f t="shared" si="684"/>
        <v>30</v>
      </c>
      <c r="CL694" s="230">
        <f t="shared" si="668"/>
        <v>43</v>
      </c>
      <c r="CM694" s="235">
        <f t="shared" si="669"/>
        <v>3.5018750000000001</v>
      </c>
      <c r="CN694" s="235" cm="1">
        <f t="array" ref="CN694">$BI694 * IF($AH694&lt;=2,
SUMPRODUCT(INDEX($AR$72:$AT$76,,$AI694), INDEX($AU$72:$BA$76,,$AH694), 1 / ($BB$72:$BB$76*CM694 + (1-$BB$72:$BB$76)*CI694), N($AQ$72:$AQ$76&gt;$AO694)),
SUMPRODUCT(INDEX($AR$67:$AT$76,,$AI694), INDEX($AU$67:$BA$76,,$AH694), 1 / ($BC$67:$BC$76*CM694 + (1-$BC$67:$BC$76)*CI694), N($AQ$67:$AQ$76&gt;$AO694))
) / 1000</f>
        <v>0</v>
      </c>
      <c r="CO694" s="232">
        <f t="shared" si="685"/>
        <v>25</v>
      </c>
      <c r="CP694" s="230">
        <f t="shared" si="670"/>
        <v>38</v>
      </c>
      <c r="CQ694" s="235">
        <f t="shared" si="671"/>
        <v>4.0666935483870965</v>
      </c>
      <c r="CR694" s="235" cm="1">
        <f t="array" ref="CR694">$BI694 * IF($AH694&lt;=2,
SUMPRODUCT(INDEX($AR$67:$AT$71,,$AI694), INDEX($AU$67:$BA$71,,$AH694), 1 / ($BB$67:$BB$71*CQ694 + (1-$BB$67:$BB$71)*CM694), N($AQ$67:$AQ$71&gt;$AO694)),
SUMPRODUCT(INDEX($AR$57:$AT$66,,$AI694), INDEX($AU$57:$BA$66,,$AH694), 1 / ($BC$57:$BC$66*CQ694 + (1-$BC$57:$BC$66)*CM694), N($AQ$57:$AQ$66&gt;$AO694))
) / 1000</f>
        <v>0</v>
      </c>
      <c r="CS694" s="232">
        <f t="shared" si="686"/>
        <v>20</v>
      </c>
      <c r="CT694" s="230">
        <f t="shared" si="672"/>
        <v>33</v>
      </c>
      <c r="CU694" s="235">
        <f t="shared" si="673"/>
        <v>4.8487499999999999</v>
      </c>
      <c r="CV694" s="235" cm="1">
        <f t="array" ref="CV694">$BI694 * IF($AH694&lt;=2,
SUMPRODUCT(INDEX($AR$62:$AT$66,,$AI694), INDEX($AU$62:$BA$66,,$AH694), 1 / ($BB$62:$BB$66*CU694 + (1-$BB$62:$BB$66)*CQ694), N($AQ$62:$AQ$66&gt;$AO694)),
SUMPRODUCT(INDEX($AR$47:$AT$56,,$AI694), INDEX($AU$47:$BA$56,,$AH694), 1 / ($BC$47:$BC$56*CU694 + (1-$BC$47:$BC$56)*CQ694), N($AQ$47:$AQ$56&gt;$AO694))
) / 1000</f>
        <v>0</v>
      </c>
      <c r="CW694" s="235" cm="1">
        <f t="array" ref="CW694">$BI694 * IF($AH694&lt;=2,
SUMPRODUCT(INDEX($AR$23:$AT$61,,$AI694), INDEX($AU$23:$BA$61,,$AH694), 1 / ($BB$23:$BB$61*CU694), N($AQ$23:$AQ$61&gt;$AO694)),
SUMPRODUCT(INDEX($AR$23:$AT$46,,$AI694), INDEX($AU$23:$BA$46,,$AH694), 1 / ($BC$23:$BC$46*CU694), N($AQ$23:$AQ$46&gt;$AO694))
) / 1000</f>
        <v>0</v>
      </c>
      <c r="CX694" s="230">
        <f t="shared" si="674"/>
        <v>0</v>
      </c>
      <c r="CY694" s="238"/>
    </row>
    <row r="695" spans="1:103" s="76" customFormat="1" ht="14.25" customHeight="1" x14ac:dyDescent="0.2">
      <c r="A695" s="231" t="b">
        <f t="shared" si="678"/>
        <v>0</v>
      </c>
      <c r="B695" s="245">
        <v>673</v>
      </c>
      <c r="C695" s="258"/>
      <c r="D695" s="258"/>
      <c r="E695" s="246"/>
      <c r="F695" s="247" t="str">
        <f>IF(ISBLANK(E695), "", VLOOKUP(E695, Z!$A$2:$C$4127, 3, FALSE))</f>
        <v/>
      </c>
      <c r="G695" s="248"/>
      <c r="H695" s="248"/>
      <c r="I695" s="249"/>
      <c r="J695" s="250"/>
      <c r="K695" s="259"/>
      <c r="L695" s="260"/>
      <c r="M695" s="252" t="str" cm="1">
        <f t="array" ref="M695">INDEX(Trad, 53, $A$20)</f>
        <v>Verschmutzt</v>
      </c>
      <c r="N695" s="253"/>
      <c r="O695" s="253"/>
      <c r="P695" s="254"/>
      <c r="Q695" s="251"/>
      <c r="R695" s="251"/>
      <c r="S695" s="264">
        <f t="shared" si="649"/>
        <v>0</v>
      </c>
      <c r="T695" s="252" t="str" cm="1">
        <f t="array" ref="T695">INDEX(Trad, 52, $A$20)</f>
        <v>Sauber</v>
      </c>
      <c r="U695" s="253"/>
      <c r="V695" s="253"/>
      <c r="W695" s="254"/>
      <c r="X695" s="251"/>
      <c r="Y695" s="251"/>
      <c r="Z695" s="264">
        <f t="shared" si="650"/>
        <v>0</v>
      </c>
      <c r="AA695" s="261"/>
      <c r="AB695" s="258"/>
      <c r="AC695" s="246"/>
      <c r="AD695" s="247" t="str">
        <f>IF(ISBLANK(AC695), "", VLOOKUP(AC695, Z!$A$2:$C$4127, 3, FALSE))</f>
        <v/>
      </c>
      <c r="AE695" s="262"/>
      <c r="AF695" s="263">
        <f t="shared" si="651"/>
        <v>0</v>
      </c>
      <c r="AG695" s="238"/>
      <c r="AH695" s="229">
        <f t="shared" si="675"/>
        <v>1</v>
      </c>
      <c r="AI695" s="229">
        <f t="shared" si="676"/>
        <v>1</v>
      </c>
      <c r="AJ695" s="229">
        <f t="shared" si="677"/>
        <v>0</v>
      </c>
      <c r="AK695" s="229">
        <v>0</v>
      </c>
      <c r="AL695" s="229">
        <v>0</v>
      </c>
      <c r="AM695" s="229">
        <v>1</v>
      </c>
      <c r="AN695" s="229">
        <v>0</v>
      </c>
      <c r="AO695" s="229">
        <f t="shared" si="652"/>
        <v>-100</v>
      </c>
      <c r="AP695" s="238"/>
      <c r="AQ695" s="255"/>
      <c r="AR695" s="255"/>
      <c r="AS695" s="256"/>
      <c r="AT695" s="256"/>
      <c r="AU695" s="256"/>
      <c r="AV695" s="256"/>
      <c r="AW695" s="256"/>
      <c r="AX695" s="256"/>
      <c r="AY695" s="256"/>
      <c r="AZ695" s="256"/>
      <c r="BA695" s="256"/>
      <c r="BB695" s="256"/>
      <c r="BC695" s="256"/>
      <c r="BD695" s="238"/>
      <c r="BE695" s="229" cm="1">
        <f t="array" ref="BE695">IF(ISBLANK(R695), INDEX(Use, $AH695, 4) - AM695*INDEX(Use, $AH695, 6), R695)</f>
        <v>5</v>
      </c>
      <c r="BF695" s="229">
        <f t="shared" si="653"/>
        <v>30</v>
      </c>
      <c r="BG695" s="229">
        <f t="shared" si="679"/>
        <v>13</v>
      </c>
      <c r="BH695" s="229">
        <f t="shared" si="680"/>
        <v>0</v>
      </c>
      <c r="BI695" s="234" cm="1">
        <f t="array" ref="BI695">K695/IF($L695&gt;0, INDEX($AU$23:$BA$77, $L695+20, $AH695), 1)</f>
        <v>0</v>
      </c>
      <c r="BJ695" s="230">
        <f t="shared" si="654"/>
        <v>0</v>
      </c>
      <c r="BK695" s="229">
        <v>35</v>
      </c>
      <c r="BL695" s="230">
        <f t="shared" si="655"/>
        <v>48</v>
      </c>
      <c r="BM695" s="235">
        <f t="shared" si="656"/>
        <v>2.9108720930232557</v>
      </c>
      <c r="BN695" s="235" cm="1">
        <f t="array" ref="BN695">$BI695 * SUMPRODUCT(INDEX($AR$77:$AT$82,,$AI695),INDEX($AU$77:$BA$82,,$AH695), N($AQ$77:$AQ$82&gt;$AO695)) / BM695 / 1000</f>
        <v>0</v>
      </c>
      <c r="BO695" s="232">
        <f t="shared" si="681"/>
        <v>30</v>
      </c>
      <c r="BP695" s="230">
        <f t="shared" si="657"/>
        <v>43</v>
      </c>
      <c r="BQ695" s="235">
        <f t="shared" si="658"/>
        <v>3.2938815789473681</v>
      </c>
      <c r="BR695" s="235" cm="1">
        <f t="array" ref="BR695">$BI695 * IF($AH695&lt;=2,
SUMPRODUCT(INDEX($AR$72:$AT$76,,$AI695), INDEX($AU$72:$BA$76,,$AH695), 1 / ($BB$72:$BB$76*BQ695 + (1-$BB$72:$BB$76)*BM695), N($AQ$72:$AQ$76&gt;$AO695)),
SUMPRODUCT(INDEX($AR$67:$AT$76,,$AI695), INDEX($AU$67:$BA$76,,$AH695), 1 / ($BC$67:$BC$76*BQ695 + (1-$BC$67:$BC$76)*BM695), N($AQ$67:$AQ$76&gt;$AO695))
) / 1000</f>
        <v>0</v>
      </c>
      <c r="BS695" s="232">
        <f t="shared" si="682"/>
        <v>25</v>
      </c>
      <c r="BT695" s="230">
        <f t="shared" si="659"/>
        <v>38</v>
      </c>
      <c r="BU695" s="235">
        <f t="shared" si="660"/>
        <v>3.792954545454545</v>
      </c>
      <c r="BV695" s="235" cm="1">
        <f t="array" ref="BV695">$BI695 * IF($AH695&lt;=2,
SUMPRODUCT(INDEX($AR$67:$AT$71,,$AI695), INDEX($AU$67:$BA$71,,$AH695), 1 / ($BB$67:$BB$71*BU695 + (1-$BB$67:$BB$71)*BQ695), N($AQ$67:$AQ$71&gt;$AO695)),
SUMPRODUCT(INDEX($AR$57:$AT$66,,$AI695), INDEX($AU$57:$BA$66,,$AH695), 1 / ($BC$57:$BC$66*BU695 + (1-$BC$57:$BC$66)*BQ695), N($AQ$57:$AQ$66&gt;$AO695))
) / 1000</f>
        <v>0</v>
      </c>
      <c r="BW695" s="232">
        <f t="shared" si="683"/>
        <v>20</v>
      </c>
      <c r="BX695" s="230">
        <f t="shared" si="661"/>
        <v>33</v>
      </c>
      <c r="BY695" s="235">
        <f t="shared" si="662"/>
        <v>4.4702678571428569</v>
      </c>
      <c r="BZ695" s="235" cm="1">
        <f t="array" ref="BZ695">$BI695 * IF($AH695&lt;=2,
SUMPRODUCT(INDEX($AR$62:$AT$66,,$AI695), INDEX($AU$62:$BA$66,,$AH695), 1 / ($BB$62:$BB$66*BY695 + (1-$BB$62:$BB$66)*BU695), N($AQ$62:$AQ$66&gt;$AO695)),
SUMPRODUCT(INDEX($AR$47:$AT$56,,$AI695), INDEX($AU$47:$BA$56,,$AH695), 1 / ($BC$47:$BC$56*BY695 + (1-$BC$47:$BC$56)*BU695), N($AQ$47:$AQ$56&gt;$AO695))
) / 1000</f>
        <v>0</v>
      </c>
      <c r="CA695" s="235" cm="1">
        <f t="array" ref="CA695">$BI695 * IF($AH695&lt;=2,
SUMPRODUCT(INDEX($AR$23:$AT$61,,$AI695), INDEX($AU$23:$BA$61,,$AH695), 1 / ($BB$23:$BB$61*BY695), N($AQ$23:$AQ$61&gt;$AO695)),
SUMPRODUCT(INDEX($AR$23:$AT$46,,$AI695), INDEX($AU$23:$BA$46,,$AH695), 1 / ($BC$23:$BC$46*BY695), N($AQ$23:$AQ$46&gt;$AO695))
) / 1000</f>
        <v>0</v>
      </c>
      <c r="CB695" s="230">
        <f t="shared" si="663"/>
        <v>0</v>
      </c>
      <c r="CC695" s="238"/>
      <c r="CD695" s="229" cm="1">
        <f t="array" ref="CD695">IF(ISBLANK(Y695), INDEX(Use, $AH695, 4) - AN695*INDEX(Use, $AH695, 6) - (Q695-X695), Y695)</f>
        <v>7</v>
      </c>
      <c r="CE695" s="229">
        <f t="shared" si="664"/>
        <v>32</v>
      </c>
      <c r="CF695" s="230">
        <f t="shared" si="665"/>
        <v>0</v>
      </c>
      <c r="CG695" s="229">
        <v>35</v>
      </c>
      <c r="CH695" s="230">
        <f t="shared" si="666"/>
        <v>48</v>
      </c>
      <c r="CI695" s="235">
        <f t="shared" si="667"/>
        <v>3.0748170731707316</v>
      </c>
      <c r="CJ695" s="235" cm="1">
        <f t="array" ref="CJ695">$BI695 * SUMPRODUCT(INDEX($AR$77:$AT$82,,$AI695),INDEX($AU$77:$BA$82,,$AH695), N($AQ$77:$AQ$82&gt;$AO695)) / CI695 / 1000</f>
        <v>0</v>
      </c>
      <c r="CK695" s="232">
        <f t="shared" si="684"/>
        <v>30</v>
      </c>
      <c r="CL695" s="230">
        <f t="shared" si="668"/>
        <v>43</v>
      </c>
      <c r="CM695" s="235">
        <f t="shared" si="669"/>
        <v>3.5018750000000001</v>
      </c>
      <c r="CN695" s="235" cm="1">
        <f t="array" ref="CN695">$BI695 * IF($AH695&lt;=2,
SUMPRODUCT(INDEX($AR$72:$AT$76,,$AI695), INDEX($AU$72:$BA$76,,$AH695), 1 / ($BB$72:$BB$76*CM695 + (1-$BB$72:$BB$76)*CI695), N($AQ$72:$AQ$76&gt;$AO695)),
SUMPRODUCT(INDEX($AR$67:$AT$76,,$AI695), INDEX($AU$67:$BA$76,,$AH695), 1 / ($BC$67:$BC$76*CM695 + (1-$BC$67:$BC$76)*CI695), N($AQ$67:$AQ$76&gt;$AO695))
) / 1000</f>
        <v>0</v>
      </c>
      <c r="CO695" s="232">
        <f t="shared" si="685"/>
        <v>25</v>
      </c>
      <c r="CP695" s="230">
        <f t="shared" si="670"/>
        <v>38</v>
      </c>
      <c r="CQ695" s="235">
        <f t="shared" si="671"/>
        <v>4.0666935483870965</v>
      </c>
      <c r="CR695" s="235" cm="1">
        <f t="array" ref="CR695">$BI695 * IF($AH695&lt;=2,
SUMPRODUCT(INDEX($AR$67:$AT$71,,$AI695), INDEX($AU$67:$BA$71,,$AH695), 1 / ($BB$67:$BB$71*CQ695 + (1-$BB$67:$BB$71)*CM695), N($AQ$67:$AQ$71&gt;$AO695)),
SUMPRODUCT(INDEX($AR$57:$AT$66,,$AI695), INDEX($AU$57:$BA$66,,$AH695), 1 / ($BC$57:$BC$66*CQ695 + (1-$BC$57:$BC$66)*CM695), N($AQ$57:$AQ$66&gt;$AO695))
) / 1000</f>
        <v>0</v>
      </c>
      <c r="CS695" s="232">
        <f t="shared" si="686"/>
        <v>20</v>
      </c>
      <c r="CT695" s="230">
        <f t="shared" si="672"/>
        <v>33</v>
      </c>
      <c r="CU695" s="235">
        <f t="shared" si="673"/>
        <v>4.8487499999999999</v>
      </c>
      <c r="CV695" s="235" cm="1">
        <f t="array" ref="CV695">$BI695 * IF($AH695&lt;=2,
SUMPRODUCT(INDEX($AR$62:$AT$66,,$AI695), INDEX($AU$62:$BA$66,,$AH695), 1 / ($BB$62:$BB$66*CU695 + (1-$BB$62:$BB$66)*CQ695), N($AQ$62:$AQ$66&gt;$AO695)),
SUMPRODUCT(INDEX($AR$47:$AT$56,,$AI695), INDEX($AU$47:$BA$56,,$AH695), 1 / ($BC$47:$BC$56*CU695 + (1-$BC$47:$BC$56)*CQ695), N($AQ$47:$AQ$56&gt;$AO695))
) / 1000</f>
        <v>0</v>
      </c>
      <c r="CW695" s="235" cm="1">
        <f t="array" ref="CW695">$BI695 * IF($AH695&lt;=2,
SUMPRODUCT(INDEX($AR$23:$AT$61,,$AI695), INDEX($AU$23:$BA$61,,$AH695), 1 / ($BB$23:$BB$61*CU695), N($AQ$23:$AQ$61&gt;$AO695)),
SUMPRODUCT(INDEX($AR$23:$AT$46,,$AI695), INDEX($AU$23:$BA$46,,$AH695), 1 / ($BC$23:$BC$46*CU695), N($AQ$23:$AQ$46&gt;$AO695))
) / 1000</f>
        <v>0</v>
      </c>
      <c r="CX695" s="230">
        <f t="shared" si="674"/>
        <v>0</v>
      </c>
      <c r="CY695" s="238"/>
    </row>
    <row r="696" spans="1:103" s="76" customFormat="1" ht="14.25" customHeight="1" x14ac:dyDescent="0.2">
      <c r="A696" s="231" t="b">
        <f t="shared" si="678"/>
        <v>0</v>
      </c>
      <c r="B696" s="245">
        <v>674</v>
      </c>
      <c r="C696" s="258"/>
      <c r="D696" s="258"/>
      <c r="E696" s="246"/>
      <c r="F696" s="247" t="str">
        <f>IF(ISBLANK(E696), "", VLOOKUP(E696, Z!$A$2:$C$4127, 3, FALSE))</f>
        <v/>
      </c>
      <c r="G696" s="248"/>
      <c r="H696" s="248"/>
      <c r="I696" s="249"/>
      <c r="J696" s="250"/>
      <c r="K696" s="259"/>
      <c r="L696" s="260"/>
      <c r="M696" s="252" t="str" cm="1">
        <f t="array" ref="M696">INDEX(Trad, 53, $A$20)</f>
        <v>Verschmutzt</v>
      </c>
      <c r="N696" s="253"/>
      <c r="O696" s="253"/>
      <c r="P696" s="254"/>
      <c r="Q696" s="251"/>
      <c r="R696" s="251"/>
      <c r="S696" s="264">
        <f t="shared" si="649"/>
        <v>0</v>
      </c>
      <c r="T696" s="252" t="str" cm="1">
        <f t="array" ref="T696">INDEX(Trad, 52, $A$20)</f>
        <v>Sauber</v>
      </c>
      <c r="U696" s="253"/>
      <c r="V696" s="253"/>
      <c r="W696" s="254"/>
      <c r="X696" s="251"/>
      <c r="Y696" s="251"/>
      <c r="Z696" s="264">
        <f t="shared" si="650"/>
        <v>0</v>
      </c>
      <c r="AA696" s="261"/>
      <c r="AB696" s="258"/>
      <c r="AC696" s="246"/>
      <c r="AD696" s="247" t="str">
        <f>IF(ISBLANK(AC696), "", VLOOKUP(AC696, Z!$A$2:$C$4127, 3, FALSE))</f>
        <v/>
      </c>
      <c r="AE696" s="262"/>
      <c r="AF696" s="263">
        <f t="shared" si="651"/>
        <v>0</v>
      </c>
      <c r="AG696" s="238"/>
      <c r="AH696" s="229">
        <f t="shared" si="675"/>
        <v>1</v>
      </c>
      <c r="AI696" s="229">
        <f t="shared" si="676"/>
        <v>1</v>
      </c>
      <c r="AJ696" s="229">
        <f t="shared" si="677"/>
        <v>0</v>
      </c>
      <c r="AK696" s="229">
        <v>0</v>
      </c>
      <c r="AL696" s="229">
        <v>0</v>
      </c>
      <c r="AM696" s="229">
        <v>1</v>
      </c>
      <c r="AN696" s="229">
        <v>0</v>
      </c>
      <c r="AO696" s="229">
        <f t="shared" si="652"/>
        <v>-100</v>
      </c>
      <c r="AP696" s="238"/>
      <c r="AQ696" s="255"/>
      <c r="AR696" s="255"/>
      <c r="AS696" s="256"/>
      <c r="AT696" s="256"/>
      <c r="AU696" s="256"/>
      <c r="AV696" s="256"/>
      <c r="AW696" s="256"/>
      <c r="AX696" s="256"/>
      <c r="AY696" s="256"/>
      <c r="AZ696" s="256"/>
      <c r="BA696" s="256"/>
      <c r="BB696" s="256"/>
      <c r="BC696" s="256"/>
      <c r="BD696" s="238"/>
      <c r="BE696" s="229" cm="1">
        <f t="array" ref="BE696">IF(ISBLANK(R696), INDEX(Use, $AH696, 4) - AM696*INDEX(Use, $AH696, 6), R696)</f>
        <v>5</v>
      </c>
      <c r="BF696" s="229">
        <f t="shared" si="653"/>
        <v>30</v>
      </c>
      <c r="BG696" s="229">
        <f t="shared" si="679"/>
        <v>13</v>
      </c>
      <c r="BH696" s="229">
        <f t="shared" si="680"/>
        <v>0</v>
      </c>
      <c r="BI696" s="234" cm="1">
        <f t="array" ref="BI696">K696/IF($L696&gt;0, INDEX($AU$23:$BA$77, $L696+20, $AH696), 1)</f>
        <v>0</v>
      </c>
      <c r="BJ696" s="230">
        <f t="shared" si="654"/>
        <v>0</v>
      </c>
      <c r="BK696" s="229">
        <v>35</v>
      </c>
      <c r="BL696" s="230">
        <f t="shared" si="655"/>
        <v>48</v>
      </c>
      <c r="BM696" s="235">
        <f t="shared" si="656"/>
        <v>2.9108720930232557</v>
      </c>
      <c r="BN696" s="235" cm="1">
        <f t="array" ref="BN696">$BI696 * SUMPRODUCT(INDEX($AR$77:$AT$82,,$AI696),INDEX($AU$77:$BA$82,,$AH696), N($AQ$77:$AQ$82&gt;$AO696)) / BM696 / 1000</f>
        <v>0</v>
      </c>
      <c r="BO696" s="232">
        <f t="shared" si="681"/>
        <v>30</v>
      </c>
      <c r="BP696" s="230">
        <f t="shared" si="657"/>
        <v>43</v>
      </c>
      <c r="BQ696" s="235">
        <f t="shared" si="658"/>
        <v>3.2938815789473681</v>
      </c>
      <c r="BR696" s="235" cm="1">
        <f t="array" ref="BR696">$BI696 * IF($AH696&lt;=2,
SUMPRODUCT(INDEX($AR$72:$AT$76,,$AI696), INDEX($AU$72:$BA$76,,$AH696), 1 / ($BB$72:$BB$76*BQ696 + (1-$BB$72:$BB$76)*BM696), N($AQ$72:$AQ$76&gt;$AO696)),
SUMPRODUCT(INDEX($AR$67:$AT$76,,$AI696), INDEX($AU$67:$BA$76,,$AH696), 1 / ($BC$67:$BC$76*BQ696 + (1-$BC$67:$BC$76)*BM696), N($AQ$67:$AQ$76&gt;$AO696))
) / 1000</f>
        <v>0</v>
      </c>
      <c r="BS696" s="232">
        <f t="shared" si="682"/>
        <v>25</v>
      </c>
      <c r="BT696" s="230">
        <f t="shared" si="659"/>
        <v>38</v>
      </c>
      <c r="BU696" s="235">
        <f t="shared" si="660"/>
        <v>3.792954545454545</v>
      </c>
      <c r="BV696" s="235" cm="1">
        <f t="array" ref="BV696">$BI696 * IF($AH696&lt;=2,
SUMPRODUCT(INDEX($AR$67:$AT$71,,$AI696), INDEX($AU$67:$BA$71,,$AH696), 1 / ($BB$67:$BB$71*BU696 + (1-$BB$67:$BB$71)*BQ696), N($AQ$67:$AQ$71&gt;$AO696)),
SUMPRODUCT(INDEX($AR$57:$AT$66,,$AI696), INDEX($AU$57:$BA$66,,$AH696), 1 / ($BC$57:$BC$66*BU696 + (1-$BC$57:$BC$66)*BQ696), N($AQ$57:$AQ$66&gt;$AO696))
) / 1000</f>
        <v>0</v>
      </c>
      <c r="BW696" s="232">
        <f t="shared" si="683"/>
        <v>20</v>
      </c>
      <c r="BX696" s="230">
        <f t="shared" si="661"/>
        <v>33</v>
      </c>
      <c r="BY696" s="235">
        <f t="shared" si="662"/>
        <v>4.4702678571428569</v>
      </c>
      <c r="BZ696" s="235" cm="1">
        <f t="array" ref="BZ696">$BI696 * IF($AH696&lt;=2,
SUMPRODUCT(INDEX($AR$62:$AT$66,,$AI696), INDEX($AU$62:$BA$66,,$AH696), 1 / ($BB$62:$BB$66*BY696 + (1-$BB$62:$BB$66)*BU696), N($AQ$62:$AQ$66&gt;$AO696)),
SUMPRODUCT(INDEX($AR$47:$AT$56,,$AI696), INDEX($AU$47:$BA$56,,$AH696), 1 / ($BC$47:$BC$56*BY696 + (1-$BC$47:$BC$56)*BU696), N($AQ$47:$AQ$56&gt;$AO696))
) / 1000</f>
        <v>0</v>
      </c>
      <c r="CA696" s="235" cm="1">
        <f t="array" ref="CA696">$BI696 * IF($AH696&lt;=2,
SUMPRODUCT(INDEX($AR$23:$AT$61,,$AI696), INDEX($AU$23:$BA$61,,$AH696), 1 / ($BB$23:$BB$61*BY696), N($AQ$23:$AQ$61&gt;$AO696)),
SUMPRODUCT(INDEX($AR$23:$AT$46,,$AI696), INDEX($AU$23:$BA$46,,$AH696), 1 / ($BC$23:$BC$46*BY696), N($AQ$23:$AQ$46&gt;$AO696))
) / 1000</f>
        <v>0</v>
      </c>
      <c r="CB696" s="230">
        <f t="shared" si="663"/>
        <v>0</v>
      </c>
      <c r="CC696" s="238"/>
      <c r="CD696" s="229" cm="1">
        <f t="array" ref="CD696">IF(ISBLANK(Y696), INDEX(Use, $AH696, 4) - AN696*INDEX(Use, $AH696, 6) - (Q696-X696), Y696)</f>
        <v>7</v>
      </c>
      <c r="CE696" s="229">
        <f t="shared" si="664"/>
        <v>32</v>
      </c>
      <c r="CF696" s="230">
        <f t="shared" si="665"/>
        <v>0</v>
      </c>
      <c r="CG696" s="229">
        <v>35</v>
      </c>
      <c r="CH696" s="230">
        <f t="shared" si="666"/>
        <v>48</v>
      </c>
      <c r="CI696" s="235">
        <f t="shared" si="667"/>
        <v>3.0748170731707316</v>
      </c>
      <c r="CJ696" s="235" cm="1">
        <f t="array" ref="CJ696">$BI696 * SUMPRODUCT(INDEX($AR$77:$AT$82,,$AI696),INDEX($AU$77:$BA$82,,$AH696), N($AQ$77:$AQ$82&gt;$AO696)) / CI696 / 1000</f>
        <v>0</v>
      </c>
      <c r="CK696" s="232">
        <f t="shared" si="684"/>
        <v>30</v>
      </c>
      <c r="CL696" s="230">
        <f t="shared" si="668"/>
        <v>43</v>
      </c>
      <c r="CM696" s="235">
        <f t="shared" si="669"/>
        <v>3.5018750000000001</v>
      </c>
      <c r="CN696" s="235" cm="1">
        <f t="array" ref="CN696">$BI696 * IF($AH696&lt;=2,
SUMPRODUCT(INDEX($AR$72:$AT$76,,$AI696), INDEX($AU$72:$BA$76,,$AH696), 1 / ($BB$72:$BB$76*CM696 + (1-$BB$72:$BB$76)*CI696), N($AQ$72:$AQ$76&gt;$AO696)),
SUMPRODUCT(INDEX($AR$67:$AT$76,,$AI696), INDEX($AU$67:$BA$76,,$AH696), 1 / ($BC$67:$BC$76*CM696 + (1-$BC$67:$BC$76)*CI696), N($AQ$67:$AQ$76&gt;$AO696))
) / 1000</f>
        <v>0</v>
      </c>
      <c r="CO696" s="232">
        <f t="shared" si="685"/>
        <v>25</v>
      </c>
      <c r="CP696" s="230">
        <f t="shared" si="670"/>
        <v>38</v>
      </c>
      <c r="CQ696" s="235">
        <f t="shared" si="671"/>
        <v>4.0666935483870965</v>
      </c>
      <c r="CR696" s="235" cm="1">
        <f t="array" ref="CR696">$BI696 * IF($AH696&lt;=2,
SUMPRODUCT(INDEX($AR$67:$AT$71,,$AI696), INDEX($AU$67:$BA$71,,$AH696), 1 / ($BB$67:$BB$71*CQ696 + (1-$BB$67:$BB$71)*CM696), N($AQ$67:$AQ$71&gt;$AO696)),
SUMPRODUCT(INDEX($AR$57:$AT$66,,$AI696), INDEX($AU$57:$BA$66,,$AH696), 1 / ($BC$57:$BC$66*CQ696 + (1-$BC$57:$BC$66)*CM696), N($AQ$57:$AQ$66&gt;$AO696))
) / 1000</f>
        <v>0</v>
      </c>
      <c r="CS696" s="232">
        <f t="shared" si="686"/>
        <v>20</v>
      </c>
      <c r="CT696" s="230">
        <f t="shared" si="672"/>
        <v>33</v>
      </c>
      <c r="CU696" s="235">
        <f t="shared" si="673"/>
        <v>4.8487499999999999</v>
      </c>
      <c r="CV696" s="235" cm="1">
        <f t="array" ref="CV696">$BI696 * IF($AH696&lt;=2,
SUMPRODUCT(INDEX($AR$62:$AT$66,,$AI696), INDEX($AU$62:$BA$66,,$AH696), 1 / ($BB$62:$BB$66*CU696 + (1-$BB$62:$BB$66)*CQ696), N($AQ$62:$AQ$66&gt;$AO696)),
SUMPRODUCT(INDEX($AR$47:$AT$56,,$AI696), INDEX($AU$47:$BA$56,,$AH696), 1 / ($BC$47:$BC$56*CU696 + (1-$BC$47:$BC$56)*CQ696), N($AQ$47:$AQ$56&gt;$AO696))
) / 1000</f>
        <v>0</v>
      </c>
      <c r="CW696" s="235" cm="1">
        <f t="array" ref="CW696">$BI696 * IF($AH696&lt;=2,
SUMPRODUCT(INDEX($AR$23:$AT$61,,$AI696), INDEX($AU$23:$BA$61,,$AH696), 1 / ($BB$23:$BB$61*CU696), N($AQ$23:$AQ$61&gt;$AO696)),
SUMPRODUCT(INDEX($AR$23:$AT$46,,$AI696), INDEX($AU$23:$BA$46,,$AH696), 1 / ($BC$23:$BC$46*CU696), N($AQ$23:$AQ$46&gt;$AO696))
) / 1000</f>
        <v>0</v>
      </c>
      <c r="CX696" s="230">
        <f t="shared" si="674"/>
        <v>0</v>
      </c>
      <c r="CY696" s="238"/>
    </row>
    <row r="697" spans="1:103" s="76" customFormat="1" ht="14.25" customHeight="1" x14ac:dyDescent="0.2">
      <c r="A697" s="231" t="b">
        <f t="shared" si="678"/>
        <v>0</v>
      </c>
      <c r="B697" s="245">
        <v>675</v>
      </c>
      <c r="C697" s="258"/>
      <c r="D697" s="258"/>
      <c r="E697" s="246"/>
      <c r="F697" s="247" t="str">
        <f>IF(ISBLANK(E697), "", VLOOKUP(E697, Z!$A$2:$C$4127, 3, FALSE))</f>
        <v/>
      </c>
      <c r="G697" s="248"/>
      <c r="H697" s="248"/>
      <c r="I697" s="249"/>
      <c r="J697" s="250"/>
      <c r="K697" s="259"/>
      <c r="L697" s="260"/>
      <c r="M697" s="252" t="str" cm="1">
        <f t="array" ref="M697">INDEX(Trad, 53, $A$20)</f>
        <v>Verschmutzt</v>
      </c>
      <c r="N697" s="253"/>
      <c r="O697" s="253"/>
      <c r="P697" s="254"/>
      <c r="Q697" s="251"/>
      <c r="R697" s="251"/>
      <c r="S697" s="264">
        <f t="shared" si="649"/>
        <v>0</v>
      </c>
      <c r="T697" s="252" t="str" cm="1">
        <f t="array" ref="T697">INDEX(Trad, 52, $A$20)</f>
        <v>Sauber</v>
      </c>
      <c r="U697" s="253"/>
      <c r="V697" s="253"/>
      <c r="W697" s="254"/>
      <c r="X697" s="251"/>
      <c r="Y697" s="251"/>
      <c r="Z697" s="264">
        <f t="shared" si="650"/>
        <v>0</v>
      </c>
      <c r="AA697" s="261"/>
      <c r="AB697" s="258"/>
      <c r="AC697" s="246"/>
      <c r="AD697" s="247" t="str">
        <f>IF(ISBLANK(AC697), "", VLOOKUP(AC697, Z!$A$2:$C$4127, 3, FALSE))</f>
        <v/>
      </c>
      <c r="AE697" s="262"/>
      <c r="AF697" s="263">
        <f t="shared" si="651"/>
        <v>0</v>
      </c>
      <c r="AG697" s="238"/>
      <c r="AH697" s="229">
        <f t="shared" si="675"/>
        <v>1</v>
      </c>
      <c r="AI697" s="229">
        <f t="shared" si="676"/>
        <v>1</v>
      </c>
      <c r="AJ697" s="229">
        <f t="shared" si="677"/>
        <v>0</v>
      </c>
      <c r="AK697" s="229">
        <v>0</v>
      </c>
      <c r="AL697" s="229">
        <v>0</v>
      </c>
      <c r="AM697" s="229">
        <v>1</v>
      </c>
      <c r="AN697" s="229">
        <v>0</v>
      </c>
      <c r="AO697" s="229">
        <f t="shared" si="652"/>
        <v>-100</v>
      </c>
      <c r="AP697" s="238"/>
      <c r="AQ697" s="255"/>
      <c r="AR697" s="255"/>
      <c r="AS697" s="256"/>
      <c r="AT697" s="256"/>
      <c r="AU697" s="256"/>
      <c r="AV697" s="256"/>
      <c r="AW697" s="256"/>
      <c r="AX697" s="256"/>
      <c r="AY697" s="256"/>
      <c r="AZ697" s="256"/>
      <c r="BA697" s="256"/>
      <c r="BB697" s="256"/>
      <c r="BC697" s="256"/>
      <c r="BD697" s="238"/>
      <c r="BE697" s="229" cm="1">
        <f t="array" ref="BE697">IF(ISBLANK(R697), INDEX(Use, $AH697, 4) - AM697*INDEX(Use, $AH697, 6), R697)</f>
        <v>5</v>
      </c>
      <c r="BF697" s="229">
        <f t="shared" si="653"/>
        <v>30</v>
      </c>
      <c r="BG697" s="229">
        <f t="shared" si="679"/>
        <v>13</v>
      </c>
      <c r="BH697" s="229">
        <f t="shared" si="680"/>
        <v>0</v>
      </c>
      <c r="BI697" s="234" cm="1">
        <f t="array" ref="BI697">K697/IF($L697&gt;0, INDEX($AU$23:$BA$77, $L697+20, $AH697), 1)</f>
        <v>0</v>
      </c>
      <c r="BJ697" s="230">
        <f t="shared" si="654"/>
        <v>0</v>
      </c>
      <c r="BK697" s="229">
        <v>35</v>
      </c>
      <c r="BL697" s="230">
        <f t="shared" si="655"/>
        <v>48</v>
      </c>
      <c r="BM697" s="235">
        <f t="shared" si="656"/>
        <v>2.9108720930232557</v>
      </c>
      <c r="BN697" s="235" cm="1">
        <f t="array" ref="BN697">$BI697 * SUMPRODUCT(INDEX($AR$77:$AT$82,,$AI697),INDEX($AU$77:$BA$82,,$AH697), N($AQ$77:$AQ$82&gt;$AO697)) / BM697 / 1000</f>
        <v>0</v>
      </c>
      <c r="BO697" s="232">
        <f t="shared" si="681"/>
        <v>30</v>
      </c>
      <c r="BP697" s="230">
        <f t="shared" si="657"/>
        <v>43</v>
      </c>
      <c r="BQ697" s="235">
        <f t="shared" si="658"/>
        <v>3.2938815789473681</v>
      </c>
      <c r="BR697" s="235" cm="1">
        <f t="array" ref="BR697">$BI697 * IF($AH697&lt;=2,
SUMPRODUCT(INDEX($AR$72:$AT$76,,$AI697), INDEX($AU$72:$BA$76,,$AH697), 1 / ($BB$72:$BB$76*BQ697 + (1-$BB$72:$BB$76)*BM697), N($AQ$72:$AQ$76&gt;$AO697)),
SUMPRODUCT(INDEX($AR$67:$AT$76,,$AI697), INDEX($AU$67:$BA$76,,$AH697), 1 / ($BC$67:$BC$76*BQ697 + (1-$BC$67:$BC$76)*BM697), N($AQ$67:$AQ$76&gt;$AO697))
) / 1000</f>
        <v>0</v>
      </c>
      <c r="BS697" s="232">
        <f t="shared" si="682"/>
        <v>25</v>
      </c>
      <c r="BT697" s="230">
        <f t="shared" si="659"/>
        <v>38</v>
      </c>
      <c r="BU697" s="235">
        <f t="shared" si="660"/>
        <v>3.792954545454545</v>
      </c>
      <c r="BV697" s="235" cm="1">
        <f t="array" ref="BV697">$BI697 * IF($AH697&lt;=2,
SUMPRODUCT(INDEX($AR$67:$AT$71,,$AI697), INDEX($AU$67:$BA$71,,$AH697), 1 / ($BB$67:$BB$71*BU697 + (1-$BB$67:$BB$71)*BQ697), N($AQ$67:$AQ$71&gt;$AO697)),
SUMPRODUCT(INDEX($AR$57:$AT$66,,$AI697), INDEX($AU$57:$BA$66,,$AH697), 1 / ($BC$57:$BC$66*BU697 + (1-$BC$57:$BC$66)*BQ697), N($AQ$57:$AQ$66&gt;$AO697))
) / 1000</f>
        <v>0</v>
      </c>
      <c r="BW697" s="232">
        <f t="shared" si="683"/>
        <v>20</v>
      </c>
      <c r="BX697" s="230">
        <f t="shared" si="661"/>
        <v>33</v>
      </c>
      <c r="BY697" s="235">
        <f t="shared" si="662"/>
        <v>4.4702678571428569</v>
      </c>
      <c r="BZ697" s="235" cm="1">
        <f t="array" ref="BZ697">$BI697 * IF($AH697&lt;=2,
SUMPRODUCT(INDEX($AR$62:$AT$66,,$AI697), INDEX($AU$62:$BA$66,,$AH697), 1 / ($BB$62:$BB$66*BY697 + (1-$BB$62:$BB$66)*BU697), N($AQ$62:$AQ$66&gt;$AO697)),
SUMPRODUCT(INDEX($AR$47:$AT$56,,$AI697), INDEX($AU$47:$BA$56,,$AH697), 1 / ($BC$47:$BC$56*BY697 + (1-$BC$47:$BC$56)*BU697), N($AQ$47:$AQ$56&gt;$AO697))
) / 1000</f>
        <v>0</v>
      </c>
      <c r="CA697" s="235" cm="1">
        <f t="array" ref="CA697">$BI697 * IF($AH697&lt;=2,
SUMPRODUCT(INDEX($AR$23:$AT$61,,$AI697), INDEX($AU$23:$BA$61,,$AH697), 1 / ($BB$23:$BB$61*BY697), N($AQ$23:$AQ$61&gt;$AO697)),
SUMPRODUCT(INDEX($AR$23:$AT$46,,$AI697), INDEX($AU$23:$BA$46,,$AH697), 1 / ($BC$23:$BC$46*BY697), N($AQ$23:$AQ$46&gt;$AO697))
) / 1000</f>
        <v>0</v>
      </c>
      <c r="CB697" s="230">
        <f t="shared" si="663"/>
        <v>0</v>
      </c>
      <c r="CC697" s="238"/>
      <c r="CD697" s="229" cm="1">
        <f t="array" ref="CD697">IF(ISBLANK(Y697), INDEX(Use, $AH697, 4) - AN697*INDEX(Use, $AH697, 6) - (Q697-X697), Y697)</f>
        <v>7</v>
      </c>
      <c r="CE697" s="229">
        <f t="shared" si="664"/>
        <v>32</v>
      </c>
      <c r="CF697" s="230">
        <f t="shared" si="665"/>
        <v>0</v>
      </c>
      <c r="CG697" s="229">
        <v>35</v>
      </c>
      <c r="CH697" s="230">
        <f t="shared" si="666"/>
        <v>48</v>
      </c>
      <c r="CI697" s="235">
        <f t="shared" si="667"/>
        <v>3.0748170731707316</v>
      </c>
      <c r="CJ697" s="235" cm="1">
        <f t="array" ref="CJ697">$BI697 * SUMPRODUCT(INDEX($AR$77:$AT$82,,$AI697),INDEX($AU$77:$BA$82,,$AH697), N($AQ$77:$AQ$82&gt;$AO697)) / CI697 / 1000</f>
        <v>0</v>
      </c>
      <c r="CK697" s="232">
        <f t="shared" si="684"/>
        <v>30</v>
      </c>
      <c r="CL697" s="230">
        <f t="shared" si="668"/>
        <v>43</v>
      </c>
      <c r="CM697" s="235">
        <f t="shared" si="669"/>
        <v>3.5018750000000001</v>
      </c>
      <c r="CN697" s="235" cm="1">
        <f t="array" ref="CN697">$BI697 * IF($AH697&lt;=2,
SUMPRODUCT(INDEX($AR$72:$AT$76,,$AI697), INDEX($AU$72:$BA$76,,$AH697), 1 / ($BB$72:$BB$76*CM697 + (1-$BB$72:$BB$76)*CI697), N($AQ$72:$AQ$76&gt;$AO697)),
SUMPRODUCT(INDEX($AR$67:$AT$76,,$AI697), INDEX($AU$67:$BA$76,,$AH697), 1 / ($BC$67:$BC$76*CM697 + (1-$BC$67:$BC$76)*CI697), N($AQ$67:$AQ$76&gt;$AO697))
) / 1000</f>
        <v>0</v>
      </c>
      <c r="CO697" s="232">
        <f t="shared" si="685"/>
        <v>25</v>
      </c>
      <c r="CP697" s="230">
        <f t="shared" si="670"/>
        <v>38</v>
      </c>
      <c r="CQ697" s="235">
        <f t="shared" si="671"/>
        <v>4.0666935483870965</v>
      </c>
      <c r="CR697" s="235" cm="1">
        <f t="array" ref="CR697">$BI697 * IF($AH697&lt;=2,
SUMPRODUCT(INDEX($AR$67:$AT$71,,$AI697), INDEX($AU$67:$BA$71,,$AH697), 1 / ($BB$67:$BB$71*CQ697 + (1-$BB$67:$BB$71)*CM697), N($AQ$67:$AQ$71&gt;$AO697)),
SUMPRODUCT(INDEX($AR$57:$AT$66,,$AI697), INDEX($AU$57:$BA$66,,$AH697), 1 / ($BC$57:$BC$66*CQ697 + (1-$BC$57:$BC$66)*CM697), N($AQ$57:$AQ$66&gt;$AO697))
) / 1000</f>
        <v>0</v>
      </c>
      <c r="CS697" s="232">
        <f t="shared" si="686"/>
        <v>20</v>
      </c>
      <c r="CT697" s="230">
        <f t="shared" si="672"/>
        <v>33</v>
      </c>
      <c r="CU697" s="235">
        <f t="shared" si="673"/>
        <v>4.8487499999999999</v>
      </c>
      <c r="CV697" s="235" cm="1">
        <f t="array" ref="CV697">$BI697 * IF($AH697&lt;=2,
SUMPRODUCT(INDEX($AR$62:$AT$66,,$AI697), INDEX($AU$62:$BA$66,,$AH697), 1 / ($BB$62:$BB$66*CU697 + (1-$BB$62:$BB$66)*CQ697), N($AQ$62:$AQ$66&gt;$AO697)),
SUMPRODUCT(INDEX($AR$47:$AT$56,,$AI697), INDEX($AU$47:$BA$56,,$AH697), 1 / ($BC$47:$BC$56*CU697 + (1-$BC$47:$BC$56)*CQ697), N($AQ$47:$AQ$56&gt;$AO697))
) / 1000</f>
        <v>0</v>
      </c>
      <c r="CW697" s="235" cm="1">
        <f t="array" ref="CW697">$BI697 * IF($AH697&lt;=2,
SUMPRODUCT(INDEX($AR$23:$AT$61,,$AI697), INDEX($AU$23:$BA$61,,$AH697), 1 / ($BB$23:$BB$61*CU697), N($AQ$23:$AQ$61&gt;$AO697)),
SUMPRODUCT(INDEX($AR$23:$AT$46,,$AI697), INDEX($AU$23:$BA$46,,$AH697), 1 / ($BC$23:$BC$46*CU697), N($AQ$23:$AQ$46&gt;$AO697))
) / 1000</f>
        <v>0</v>
      </c>
      <c r="CX697" s="230">
        <f t="shared" si="674"/>
        <v>0</v>
      </c>
      <c r="CY697" s="238"/>
    </row>
    <row r="698" spans="1:103" s="76" customFormat="1" ht="14.25" customHeight="1" x14ac:dyDescent="0.2">
      <c r="A698" s="231" t="b">
        <f t="shared" si="678"/>
        <v>0</v>
      </c>
      <c r="B698" s="245">
        <v>676</v>
      </c>
      <c r="C698" s="258"/>
      <c r="D698" s="258"/>
      <c r="E698" s="246"/>
      <c r="F698" s="247" t="str">
        <f>IF(ISBLANK(E698), "", VLOOKUP(E698, Z!$A$2:$C$4127, 3, FALSE))</f>
        <v/>
      </c>
      <c r="G698" s="248"/>
      <c r="H698" s="248"/>
      <c r="I698" s="249"/>
      <c r="J698" s="250"/>
      <c r="K698" s="259"/>
      <c r="L698" s="260"/>
      <c r="M698" s="252" t="str" cm="1">
        <f t="array" ref="M698">INDEX(Trad, 53, $A$20)</f>
        <v>Verschmutzt</v>
      </c>
      <c r="N698" s="253"/>
      <c r="O698" s="253"/>
      <c r="P698" s="254"/>
      <c r="Q698" s="251"/>
      <c r="R698" s="251"/>
      <c r="S698" s="264">
        <f t="shared" si="649"/>
        <v>0</v>
      </c>
      <c r="T698" s="252" t="str" cm="1">
        <f t="array" ref="T698">INDEX(Trad, 52, $A$20)</f>
        <v>Sauber</v>
      </c>
      <c r="U698" s="253"/>
      <c r="V698" s="253"/>
      <c r="W698" s="254"/>
      <c r="X698" s="251"/>
      <c r="Y698" s="251"/>
      <c r="Z698" s="264">
        <f t="shared" si="650"/>
        <v>0</v>
      </c>
      <c r="AA698" s="261"/>
      <c r="AB698" s="258"/>
      <c r="AC698" s="246"/>
      <c r="AD698" s="247" t="str">
        <f>IF(ISBLANK(AC698), "", VLOOKUP(AC698, Z!$A$2:$C$4127, 3, FALSE))</f>
        <v/>
      </c>
      <c r="AE698" s="262"/>
      <c r="AF698" s="263">
        <f t="shared" si="651"/>
        <v>0</v>
      </c>
      <c r="AG698" s="238"/>
      <c r="AH698" s="229">
        <f t="shared" si="675"/>
        <v>1</v>
      </c>
      <c r="AI698" s="229">
        <f t="shared" si="676"/>
        <v>1</v>
      </c>
      <c r="AJ698" s="229">
        <f t="shared" si="677"/>
        <v>0</v>
      </c>
      <c r="AK698" s="229">
        <v>0</v>
      </c>
      <c r="AL698" s="229">
        <v>0</v>
      </c>
      <c r="AM698" s="229">
        <v>1</v>
      </c>
      <c r="AN698" s="229">
        <v>0</v>
      </c>
      <c r="AO698" s="229">
        <f t="shared" si="652"/>
        <v>-100</v>
      </c>
      <c r="AP698" s="238"/>
      <c r="AQ698" s="255"/>
      <c r="AR698" s="255"/>
      <c r="AS698" s="256"/>
      <c r="AT698" s="256"/>
      <c r="AU698" s="256"/>
      <c r="AV698" s="256"/>
      <c r="AW698" s="256"/>
      <c r="AX698" s="256"/>
      <c r="AY698" s="256"/>
      <c r="AZ698" s="256"/>
      <c r="BA698" s="256"/>
      <c r="BB698" s="256"/>
      <c r="BC698" s="256"/>
      <c r="BD698" s="238"/>
      <c r="BE698" s="229" cm="1">
        <f t="array" ref="BE698">IF(ISBLANK(R698), INDEX(Use, $AH698, 4) - AM698*INDEX(Use, $AH698, 6), R698)</f>
        <v>5</v>
      </c>
      <c r="BF698" s="229">
        <f t="shared" si="653"/>
        <v>30</v>
      </c>
      <c r="BG698" s="229">
        <f t="shared" si="679"/>
        <v>13</v>
      </c>
      <c r="BH698" s="229">
        <f t="shared" si="680"/>
        <v>0</v>
      </c>
      <c r="BI698" s="234" cm="1">
        <f t="array" ref="BI698">K698/IF($L698&gt;0, INDEX($AU$23:$BA$77, $L698+20, $AH698), 1)</f>
        <v>0</v>
      </c>
      <c r="BJ698" s="230">
        <f t="shared" si="654"/>
        <v>0</v>
      </c>
      <c r="BK698" s="229">
        <v>35</v>
      </c>
      <c r="BL698" s="230">
        <f t="shared" si="655"/>
        <v>48</v>
      </c>
      <c r="BM698" s="235">
        <f t="shared" si="656"/>
        <v>2.9108720930232557</v>
      </c>
      <c r="BN698" s="235" cm="1">
        <f t="array" ref="BN698">$BI698 * SUMPRODUCT(INDEX($AR$77:$AT$82,,$AI698),INDEX($AU$77:$BA$82,,$AH698), N($AQ$77:$AQ$82&gt;$AO698)) / BM698 / 1000</f>
        <v>0</v>
      </c>
      <c r="BO698" s="232">
        <f t="shared" si="681"/>
        <v>30</v>
      </c>
      <c r="BP698" s="230">
        <f t="shared" si="657"/>
        <v>43</v>
      </c>
      <c r="BQ698" s="235">
        <f t="shared" si="658"/>
        <v>3.2938815789473681</v>
      </c>
      <c r="BR698" s="235" cm="1">
        <f t="array" ref="BR698">$BI698 * IF($AH698&lt;=2,
SUMPRODUCT(INDEX($AR$72:$AT$76,,$AI698), INDEX($AU$72:$BA$76,,$AH698), 1 / ($BB$72:$BB$76*BQ698 + (1-$BB$72:$BB$76)*BM698), N($AQ$72:$AQ$76&gt;$AO698)),
SUMPRODUCT(INDEX($AR$67:$AT$76,,$AI698), INDEX($AU$67:$BA$76,,$AH698), 1 / ($BC$67:$BC$76*BQ698 + (1-$BC$67:$BC$76)*BM698), N($AQ$67:$AQ$76&gt;$AO698))
) / 1000</f>
        <v>0</v>
      </c>
      <c r="BS698" s="232">
        <f t="shared" si="682"/>
        <v>25</v>
      </c>
      <c r="BT698" s="230">
        <f t="shared" si="659"/>
        <v>38</v>
      </c>
      <c r="BU698" s="235">
        <f t="shared" si="660"/>
        <v>3.792954545454545</v>
      </c>
      <c r="BV698" s="235" cm="1">
        <f t="array" ref="BV698">$BI698 * IF($AH698&lt;=2,
SUMPRODUCT(INDEX($AR$67:$AT$71,,$AI698), INDEX($AU$67:$BA$71,,$AH698), 1 / ($BB$67:$BB$71*BU698 + (1-$BB$67:$BB$71)*BQ698), N($AQ$67:$AQ$71&gt;$AO698)),
SUMPRODUCT(INDEX($AR$57:$AT$66,,$AI698), INDEX($AU$57:$BA$66,,$AH698), 1 / ($BC$57:$BC$66*BU698 + (1-$BC$57:$BC$66)*BQ698), N($AQ$57:$AQ$66&gt;$AO698))
) / 1000</f>
        <v>0</v>
      </c>
      <c r="BW698" s="232">
        <f t="shared" si="683"/>
        <v>20</v>
      </c>
      <c r="BX698" s="230">
        <f t="shared" si="661"/>
        <v>33</v>
      </c>
      <c r="BY698" s="235">
        <f t="shared" si="662"/>
        <v>4.4702678571428569</v>
      </c>
      <c r="BZ698" s="235" cm="1">
        <f t="array" ref="BZ698">$BI698 * IF($AH698&lt;=2,
SUMPRODUCT(INDEX($AR$62:$AT$66,,$AI698), INDEX($AU$62:$BA$66,,$AH698), 1 / ($BB$62:$BB$66*BY698 + (1-$BB$62:$BB$66)*BU698), N($AQ$62:$AQ$66&gt;$AO698)),
SUMPRODUCT(INDEX($AR$47:$AT$56,,$AI698), INDEX($AU$47:$BA$56,,$AH698), 1 / ($BC$47:$BC$56*BY698 + (1-$BC$47:$BC$56)*BU698), N($AQ$47:$AQ$56&gt;$AO698))
) / 1000</f>
        <v>0</v>
      </c>
      <c r="CA698" s="235" cm="1">
        <f t="array" ref="CA698">$BI698 * IF($AH698&lt;=2,
SUMPRODUCT(INDEX($AR$23:$AT$61,,$AI698), INDEX($AU$23:$BA$61,,$AH698), 1 / ($BB$23:$BB$61*BY698), N($AQ$23:$AQ$61&gt;$AO698)),
SUMPRODUCT(INDEX($AR$23:$AT$46,,$AI698), INDEX($AU$23:$BA$46,,$AH698), 1 / ($BC$23:$BC$46*BY698), N($AQ$23:$AQ$46&gt;$AO698))
) / 1000</f>
        <v>0</v>
      </c>
      <c r="CB698" s="230">
        <f t="shared" si="663"/>
        <v>0</v>
      </c>
      <c r="CC698" s="238"/>
      <c r="CD698" s="229" cm="1">
        <f t="array" ref="CD698">IF(ISBLANK(Y698), INDEX(Use, $AH698, 4) - AN698*INDEX(Use, $AH698, 6) - (Q698-X698), Y698)</f>
        <v>7</v>
      </c>
      <c r="CE698" s="229">
        <f t="shared" si="664"/>
        <v>32</v>
      </c>
      <c r="CF698" s="230">
        <f t="shared" si="665"/>
        <v>0</v>
      </c>
      <c r="CG698" s="229">
        <v>35</v>
      </c>
      <c r="CH698" s="230">
        <f t="shared" si="666"/>
        <v>48</v>
      </c>
      <c r="CI698" s="235">
        <f t="shared" si="667"/>
        <v>3.0748170731707316</v>
      </c>
      <c r="CJ698" s="235" cm="1">
        <f t="array" ref="CJ698">$BI698 * SUMPRODUCT(INDEX($AR$77:$AT$82,,$AI698),INDEX($AU$77:$BA$82,,$AH698), N($AQ$77:$AQ$82&gt;$AO698)) / CI698 / 1000</f>
        <v>0</v>
      </c>
      <c r="CK698" s="232">
        <f t="shared" si="684"/>
        <v>30</v>
      </c>
      <c r="CL698" s="230">
        <f t="shared" si="668"/>
        <v>43</v>
      </c>
      <c r="CM698" s="235">
        <f t="shared" si="669"/>
        <v>3.5018750000000001</v>
      </c>
      <c r="CN698" s="235" cm="1">
        <f t="array" ref="CN698">$BI698 * IF($AH698&lt;=2,
SUMPRODUCT(INDEX($AR$72:$AT$76,,$AI698), INDEX($AU$72:$BA$76,,$AH698), 1 / ($BB$72:$BB$76*CM698 + (1-$BB$72:$BB$76)*CI698), N($AQ$72:$AQ$76&gt;$AO698)),
SUMPRODUCT(INDEX($AR$67:$AT$76,,$AI698), INDEX($AU$67:$BA$76,,$AH698), 1 / ($BC$67:$BC$76*CM698 + (1-$BC$67:$BC$76)*CI698), N($AQ$67:$AQ$76&gt;$AO698))
) / 1000</f>
        <v>0</v>
      </c>
      <c r="CO698" s="232">
        <f t="shared" si="685"/>
        <v>25</v>
      </c>
      <c r="CP698" s="230">
        <f t="shared" si="670"/>
        <v>38</v>
      </c>
      <c r="CQ698" s="235">
        <f t="shared" si="671"/>
        <v>4.0666935483870965</v>
      </c>
      <c r="CR698" s="235" cm="1">
        <f t="array" ref="CR698">$BI698 * IF($AH698&lt;=2,
SUMPRODUCT(INDEX($AR$67:$AT$71,,$AI698), INDEX($AU$67:$BA$71,,$AH698), 1 / ($BB$67:$BB$71*CQ698 + (1-$BB$67:$BB$71)*CM698), N($AQ$67:$AQ$71&gt;$AO698)),
SUMPRODUCT(INDEX($AR$57:$AT$66,,$AI698), INDEX($AU$57:$BA$66,,$AH698), 1 / ($BC$57:$BC$66*CQ698 + (1-$BC$57:$BC$66)*CM698), N($AQ$57:$AQ$66&gt;$AO698))
) / 1000</f>
        <v>0</v>
      </c>
      <c r="CS698" s="232">
        <f t="shared" si="686"/>
        <v>20</v>
      </c>
      <c r="CT698" s="230">
        <f t="shared" si="672"/>
        <v>33</v>
      </c>
      <c r="CU698" s="235">
        <f t="shared" si="673"/>
        <v>4.8487499999999999</v>
      </c>
      <c r="CV698" s="235" cm="1">
        <f t="array" ref="CV698">$BI698 * IF($AH698&lt;=2,
SUMPRODUCT(INDEX($AR$62:$AT$66,,$AI698), INDEX($AU$62:$BA$66,,$AH698), 1 / ($BB$62:$BB$66*CU698 + (1-$BB$62:$BB$66)*CQ698), N($AQ$62:$AQ$66&gt;$AO698)),
SUMPRODUCT(INDEX($AR$47:$AT$56,,$AI698), INDEX($AU$47:$BA$56,,$AH698), 1 / ($BC$47:$BC$56*CU698 + (1-$BC$47:$BC$56)*CQ698), N($AQ$47:$AQ$56&gt;$AO698))
) / 1000</f>
        <v>0</v>
      </c>
      <c r="CW698" s="235" cm="1">
        <f t="array" ref="CW698">$BI698 * IF($AH698&lt;=2,
SUMPRODUCT(INDEX($AR$23:$AT$61,,$AI698), INDEX($AU$23:$BA$61,,$AH698), 1 / ($BB$23:$BB$61*CU698), N($AQ$23:$AQ$61&gt;$AO698)),
SUMPRODUCT(INDEX($AR$23:$AT$46,,$AI698), INDEX($AU$23:$BA$46,,$AH698), 1 / ($BC$23:$BC$46*CU698), N($AQ$23:$AQ$46&gt;$AO698))
) / 1000</f>
        <v>0</v>
      </c>
      <c r="CX698" s="230">
        <f t="shared" si="674"/>
        <v>0</v>
      </c>
      <c r="CY698" s="238"/>
    </row>
    <row r="699" spans="1:103" s="76" customFormat="1" ht="14.25" customHeight="1" x14ac:dyDescent="0.2">
      <c r="A699" s="231" t="b">
        <f t="shared" si="678"/>
        <v>0</v>
      </c>
      <c r="B699" s="245">
        <v>677</v>
      </c>
      <c r="C699" s="258"/>
      <c r="D699" s="258"/>
      <c r="E699" s="246"/>
      <c r="F699" s="247" t="str">
        <f>IF(ISBLANK(E699), "", VLOOKUP(E699, Z!$A$2:$C$4127, 3, FALSE))</f>
        <v/>
      </c>
      <c r="G699" s="248"/>
      <c r="H699" s="248"/>
      <c r="I699" s="249"/>
      <c r="J699" s="250"/>
      <c r="K699" s="259"/>
      <c r="L699" s="260"/>
      <c r="M699" s="252" t="str" cm="1">
        <f t="array" ref="M699">INDEX(Trad, 53, $A$20)</f>
        <v>Verschmutzt</v>
      </c>
      <c r="N699" s="253"/>
      <c r="O699" s="253"/>
      <c r="P699" s="254"/>
      <c r="Q699" s="251"/>
      <c r="R699" s="251"/>
      <c r="S699" s="264">
        <f t="shared" ref="S699:S762" si="687">CB699*1000</f>
        <v>0</v>
      </c>
      <c r="T699" s="252" t="str" cm="1">
        <f t="array" ref="T699">INDEX(Trad, 52, $A$20)</f>
        <v>Sauber</v>
      </c>
      <c r="U699" s="253"/>
      <c r="V699" s="253"/>
      <c r="W699" s="254"/>
      <c r="X699" s="251"/>
      <c r="Y699" s="251"/>
      <c r="Z699" s="264">
        <f t="shared" ref="Z699:Z762" si="688">CX699*1000</f>
        <v>0</v>
      </c>
      <c r="AA699" s="261"/>
      <c r="AB699" s="258"/>
      <c r="AC699" s="246"/>
      <c r="AD699" s="247" t="str">
        <f>IF(ISBLANK(AC699), "", VLOOKUP(AC699, Z!$A$2:$C$4127, 3, FALSE))</f>
        <v/>
      </c>
      <c r="AE699" s="262"/>
      <c r="AF699" s="263">
        <f t="shared" ref="AF699:AF762" si="689">0.75*AP$23*(S699-Z699)</f>
        <v>0</v>
      </c>
      <c r="AG699" s="238"/>
      <c r="AH699" s="229">
        <f t="shared" si="675"/>
        <v>1</v>
      </c>
      <c r="AI699" s="229">
        <f t="shared" si="676"/>
        <v>1</v>
      </c>
      <c r="AJ699" s="229">
        <f t="shared" si="677"/>
        <v>0</v>
      </c>
      <c r="AK699" s="229">
        <v>0</v>
      </c>
      <c r="AL699" s="229">
        <v>0</v>
      </c>
      <c r="AM699" s="229">
        <v>1</v>
      </c>
      <c r="AN699" s="229">
        <v>0</v>
      </c>
      <c r="AO699" s="229">
        <f t="shared" ref="AO699:AO762" si="690">IF(AND(J699="x", AH699=5), 11, IF(AND(J699="x", AH699=6), 19, -100))</f>
        <v>-100</v>
      </c>
      <c r="AP699" s="238"/>
      <c r="AQ699" s="255"/>
      <c r="AR699" s="255"/>
      <c r="AS699" s="256"/>
      <c r="AT699" s="256"/>
      <c r="AU699" s="256"/>
      <c r="AV699" s="256"/>
      <c r="AW699" s="256"/>
      <c r="AX699" s="256"/>
      <c r="AY699" s="256"/>
      <c r="AZ699" s="256"/>
      <c r="BA699" s="256"/>
      <c r="BB699" s="256"/>
      <c r="BC699" s="256"/>
      <c r="BD699" s="238"/>
      <c r="BE699" s="229" cm="1">
        <f t="array" ref="BE699">IF(ISBLANK(R699), INDEX(Use, $AH699, 4) - AM699*INDEX(Use, $AH699, 6), R699)</f>
        <v>5</v>
      </c>
      <c r="BF699" s="229">
        <f t="shared" ref="BF699:BF762" si="691">MAX(25, BE699+25)</f>
        <v>30</v>
      </c>
      <c r="BG699" s="229">
        <f t="shared" si="679"/>
        <v>13</v>
      </c>
      <c r="BH699" s="229">
        <f t="shared" si="680"/>
        <v>0</v>
      </c>
      <c r="BI699" s="234" cm="1">
        <f t="array" ref="BI699">K699/IF($L699&gt;0, INDEX($AU$23:$BA$77, $L699+20, $AH699), 1)</f>
        <v>0</v>
      </c>
      <c r="BJ699" s="230">
        <f t="shared" ref="BJ699:BJ762" si="692">P699 /  IF(AH699&lt;=2, 0.7 + 0.3 * (O699-20)/(35-20), 0.4 + 0.6 * (O699-5)/(35-5))</f>
        <v>0</v>
      </c>
      <c r="BK699" s="229">
        <v>35</v>
      </c>
      <c r="BL699" s="230">
        <f t="shared" ref="BL699:BL762" si="693">MAX($N699, MAX($BF699, $BK699 + $BG699 + $BH699 + 0.35*$AK699*$BG699 + BJ699))</f>
        <v>48</v>
      </c>
      <c r="BM699" s="235">
        <f t="shared" ref="BM699:BM762" si="694">0.45*($BE699+273.15)/(BL699-$BE699)</f>
        <v>2.9108720930232557</v>
      </c>
      <c r="BN699" s="235" cm="1">
        <f t="array" ref="BN699">$BI699 * SUMPRODUCT(INDEX($AR$77:$AT$82,,$AI699),INDEX($AU$77:$BA$82,,$AH699), N($AQ$77:$AQ$82&gt;$AO699)) / BM699 / 1000</f>
        <v>0</v>
      </c>
      <c r="BO699" s="232">
        <f t="shared" si="681"/>
        <v>30</v>
      </c>
      <c r="BP699" s="230">
        <f t="shared" ref="BP699:BP762" si="695">MAX($N699, MAX($BF699, BO699 + $BG699 + $BH699 + IF($AH699&lt;=2, (BO699-20)/(35-20), 0.6+0.4*(BO699-5)/(35-5))*0.35*$AK699*$BG699) + IF($AH699&lt;=2,0.9,0.8)*$BJ699)</f>
        <v>43</v>
      </c>
      <c r="BQ699" s="235">
        <f t="shared" ref="BQ699:BQ762" si="696">0.45*($BE699+273.15)/(BP699-$BE699)</f>
        <v>3.2938815789473681</v>
      </c>
      <c r="BR699" s="235" cm="1">
        <f t="array" ref="BR699">$BI699 * IF($AH699&lt;=2,
SUMPRODUCT(INDEX($AR$72:$AT$76,,$AI699), INDEX($AU$72:$BA$76,,$AH699), 1 / ($BB$72:$BB$76*BQ699 + (1-$BB$72:$BB$76)*BM699), N($AQ$72:$AQ$76&gt;$AO699)),
SUMPRODUCT(INDEX($AR$67:$AT$76,,$AI699), INDEX($AU$67:$BA$76,,$AH699), 1 / ($BC$67:$BC$76*BQ699 + (1-$BC$67:$BC$76)*BM699), N($AQ$67:$AQ$76&gt;$AO699))
) / 1000</f>
        <v>0</v>
      </c>
      <c r="BS699" s="232">
        <f t="shared" si="682"/>
        <v>25</v>
      </c>
      <c r="BT699" s="230">
        <f t="shared" ref="BT699:BT762" si="697">MAX($N699, MAX($BF699, BS699 + $BG699 + $BH699 + IF($AH699&lt;=2, (BS699-20)/(35-20), 0.6+0.4*(BS699-5)/(35-5))*0.35*$AK699*$BG699) + IF($AH699&lt;=2,0.8,0.6)*$BJ699)</f>
        <v>38</v>
      </c>
      <c r="BU699" s="235">
        <f t="shared" ref="BU699:BU762" si="698">0.45*($BE699+273.15)/(BT699-$BE699)</f>
        <v>3.792954545454545</v>
      </c>
      <c r="BV699" s="235" cm="1">
        <f t="array" ref="BV699">$BI699 * IF($AH699&lt;=2,
SUMPRODUCT(INDEX($AR$67:$AT$71,,$AI699), INDEX($AU$67:$BA$71,,$AH699), 1 / ($BB$67:$BB$71*BU699 + (1-$BB$67:$BB$71)*BQ699), N($AQ$67:$AQ$71&gt;$AO699)),
SUMPRODUCT(INDEX($AR$57:$AT$66,,$AI699), INDEX($AU$57:$BA$66,,$AH699), 1 / ($BC$57:$BC$66*BU699 + (1-$BC$57:$BC$66)*BQ699), N($AQ$57:$AQ$66&gt;$AO699))
) / 1000</f>
        <v>0</v>
      </c>
      <c r="BW699" s="232">
        <f t="shared" si="683"/>
        <v>20</v>
      </c>
      <c r="BX699" s="230">
        <f t="shared" ref="BX699:BX762" si="699">MAX($N699, MAX($BF699, BW699 + $BG699 + $BH699 + IF($AH699&lt;=2, (BW699-20)/(35-20), 0.6+0.4*(BW699-5)/(35-5))*0.35*$AK699*$BG699) + IF($AH699&lt;=2,0.7,0.4)*$BJ699)</f>
        <v>33</v>
      </c>
      <c r="BY699" s="235">
        <f t="shared" ref="BY699:BY762" si="700">0.45*($BE699+273.15)/(BX699-$BE699)</f>
        <v>4.4702678571428569</v>
      </c>
      <c r="BZ699" s="235" cm="1">
        <f t="array" ref="BZ699">$BI699 * IF($AH699&lt;=2,
SUMPRODUCT(INDEX($AR$62:$AT$66,,$AI699), INDEX($AU$62:$BA$66,,$AH699), 1 / ($BB$62:$BB$66*BY699 + (1-$BB$62:$BB$66)*BU699), N($AQ$62:$AQ$66&gt;$AO699)),
SUMPRODUCT(INDEX($AR$47:$AT$56,,$AI699), INDEX($AU$47:$BA$56,,$AH699), 1 / ($BC$47:$BC$56*BY699 + (1-$BC$47:$BC$56)*BU699), N($AQ$47:$AQ$56&gt;$AO699))
) / 1000</f>
        <v>0</v>
      </c>
      <c r="CA699" s="235" cm="1">
        <f t="array" ref="CA699">$BI699 * IF($AH699&lt;=2,
SUMPRODUCT(INDEX($AR$23:$AT$61,,$AI699), INDEX($AU$23:$BA$61,,$AH699), 1 / ($BB$23:$BB$61*BY699), N($AQ$23:$AQ$61&gt;$AO699)),
SUMPRODUCT(INDEX($AR$23:$AT$46,,$AI699), INDEX($AU$23:$BA$46,,$AH699), 1 / ($BC$23:$BC$46*BY699), N($AQ$23:$AQ$46&gt;$AO699))
) / 1000</f>
        <v>0</v>
      </c>
      <c r="CB699" s="230">
        <f t="shared" ref="CB699:CB762" si="701">BN699+BR699+BV699+BZ699+CA699</f>
        <v>0</v>
      </c>
      <c r="CC699" s="238"/>
      <c r="CD699" s="229" cm="1">
        <f t="array" ref="CD699">IF(ISBLANK(Y699), INDEX(Use, $AH699, 4) - AN699*INDEX(Use, $AH699, 6) - (Q699-X699), Y699)</f>
        <v>7</v>
      </c>
      <c r="CE699" s="229">
        <f t="shared" ref="CE699:CE762" si="702">MAX(25, CD699+25)</f>
        <v>32</v>
      </c>
      <c r="CF699" s="230">
        <f t="shared" ref="CF699:CF762" si="703">W699 /  IF(AH699&lt;=2, 0.7 + 0.3 * (V699-20)/(35-20), 0.4 + 0.6 * (V699-5)/(35-5))</f>
        <v>0</v>
      </c>
      <c r="CG699" s="229">
        <v>35</v>
      </c>
      <c r="CH699" s="230">
        <f t="shared" ref="CH699:CH762" si="704">MAX($U699, MAX($CE699, $BK699 + $BG699 + $BH699 + 0.35*$AL699*$BG699 + CF699))</f>
        <v>48</v>
      </c>
      <c r="CI699" s="235">
        <f t="shared" ref="CI699:CI762" si="705">0.45*($CD699+273.15)/(CH699-$CD699)</f>
        <v>3.0748170731707316</v>
      </c>
      <c r="CJ699" s="235" cm="1">
        <f t="array" ref="CJ699">$BI699 * SUMPRODUCT(INDEX($AR$77:$AT$82,,$AI699),INDEX($AU$77:$BA$82,,$AH699), N($AQ$77:$AQ$82&gt;$AO699)) / CI699 / 1000</f>
        <v>0</v>
      </c>
      <c r="CK699" s="232">
        <f t="shared" si="684"/>
        <v>30</v>
      </c>
      <c r="CL699" s="230">
        <f t="shared" ref="CL699:CL762" si="706">MAX($U699, MAX($CE699, CK699 + $BG699 + $BH699 + IF($AH699&lt;=2, (CK699-20)/(35-20), 0.6+0.4*(CK699-5)/(35-5))*0.35*$AL699*$BG699) + IF($AH699&lt;=2,0.9,0.8)*$CF699)</f>
        <v>43</v>
      </c>
      <c r="CM699" s="235">
        <f t="shared" ref="CM699:CM762" si="707">0.45*($CD699+273.15)/(CL699-$CD699)</f>
        <v>3.5018750000000001</v>
      </c>
      <c r="CN699" s="235" cm="1">
        <f t="array" ref="CN699">$BI699 * IF($AH699&lt;=2,
SUMPRODUCT(INDEX($AR$72:$AT$76,,$AI699), INDEX($AU$72:$BA$76,,$AH699), 1 / ($BB$72:$BB$76*CM699 + (1-$BB$72:$BB$76)*CI699), N($AQ$72:$AQ$76&gt;$AO699)),
SUMPRODUCT(INDEX($AR$67:$AT$76,,$AI699), INDEX($AU$67:$BA$76,,$AH699), 1 / ($BC$67:$BC$76*CM699 + (1-$BC$67:$BC$76)*CI699), N($AQ$67:$AQ$76&gt;$AO699))
) / 1000</f>
        <v>0</v>
      </c>
      <c r="CO699" s="232">
        <f t="shared" si="685"/>
        <v>25</v>
      </c>
      <c r="CP699" s="230">
        <f t="shared" ref="CP699:CP762" si="708">MAX($U699, MAX($CE699, CO699 + $BG699 + $BH699 + IF($AH699&lt;=2, (CO699-20)/(35-20), 0.6+0.4*(CO699-5)/(35-5))*0.35*$AL699*$BG699) + IF($AH699&lt;=2,0.8,0.6)*$CF699)</f>
        <v>38</v>
      </c>
      <c r="CQ699" s="235">
        <f t="shared" ref="CQ699:CQ762" si="709">0.45*($CD699+273.15)/(CP699-$CD699)</f>
        <v>4.0666935483870965</v>
      </c>
      <c r="CR699" s="235" cm="1">
        <f t="array" ref="CR699">$BI699 * IF($AH699&lt;=2,
SUMPRODUCT(INDEX($AR$67:$AT$71,,$AI699), INDEX($AU$67:$BA$71,,$AH699), 1 / ($BB$67:$BB$71*CQ699 + (1-$BB$67:$BB$71)*CM699), N($AQ$67:$AQ$71&gt;$AO699)),
SUMPRODUCT(INDEX($AR$57:$AT$66,,$AI699), INDEX($AU$57:$BA$66,,$AH699), 1 / ($BC$57:$BC$66*CQ699 + (1-$BC$57:$BC$66)*CM699), N($AQ$57:$AQ$66&gt;$AO699))
) / 1000</f>
        <v>0</v>
      </c>
      <c r="CS699" s="232">
        <f t="shared" si="686"/>
        <v>20</v>
      </c>
      <c r="CT699" s="230">
        <f t="shared" ref="CT699:CT762" si="710">MAX($U699, MAX($CE699, CS699 + $BG699 + $BH699 + IF($AH699&lt;=2, (CS699-20)/(35-20), 0.6+0.4*(CS699-5)/(35-5))*0.35*$AL699*$BG699) + IF($AH699&lt;=2,0.7,0.4)*$CF699)</f>
        <v>33</v>
      </c>
      <c r="CU699" s="235">
        <f t="shared" ref="CU699:CU762" si="711">0.45*($CD699+273.15)/(CT699-$CD699)</f>
        <v>4.8487499999999999</v>
      </c>
      <c r="CV699" s="235" cm="1">
        <f t="array" ref="CV699">$BI699 * IF($AH699&lt;=2,
SUMPRODUCT(INDEX($AR$62:$AT$66,,$AI699), INDEX($AU$62:$BA$66,,$AH699), 1 / ($BB$62:$BB$66*CU699 + (1-$BB$62:$BB$66)*CQ699), N($AQ$62:$AQ$66&gt;$AO699)),
SUMPRODUCT(INDEX($AR$47:$AT$56,,$AI699), INDEX($AU$47:$BA$56,,$AH699), 1 / ($BC$47:$BC$56*CU699 + (1-$BC$47:$BC$56)*CQ699), N($AQ$47:$AQ$56&gt;$AO699))
) / 1000</f>
        <v>0</v>
      </c>
      <c r="CW699" s="235" cm="1">
        <f t="array" ref="CW699">$BI699 * IF($AH699&lt;=2,
SUMPRODUCT(INDEX($AR$23:$AT$61,,$AI699), INDEX($AU$23:$BA$61,,$AH699), 1 / ($BB$23:$BB$61*CU699), N($AQ$23:$AQ$61&gt;$AO699)),
SUMPRODUCT(INDEX($AR$23:$AT$46,,$AI699), INDEX($AU$23:$BA$46,,$AH699), 1 / ($BC$23:$BC$46*CU699), N($AQ$23:$AQ$46&gt;$AO699))
) / 1000</f>
        <v>0</v>
      </c>
      <c r="CX699" s="230">
        <f t="shared" ref="CX699:CX762" si="712">CJ699+CN699+CR699+CV699+CW699</f>
        <v>0</v>
      </c>
      <c r="CY699" s="238"/>
    </row>
    <row r="700" spans="1:103" s="76" customFormat="1" ht="14.25" customHeight="1" x14ac:dyDescent="0.2">
      <c r="A700" s="231" t="b">
        <f t="shared" si="678"/>
        <v>0</v>
      </c>
      <c r="B700" s="245">
        <v>678</v>
      </c>
      <c r="C700" s="258"/>
      <c r="D700" s="258"/>
      <c r="E700" s="246"/>
      <c r="F700" s="247" t="str">
        <f>IF(ISBLANK(E700), "", VLOOKUP(E700, Z!$A$2:$C$4127, 3, FALSE))</f>
        <v/>
      </c>
      <c r="G700" s="248"/>
      <c r="H700" s="248"/>
      <c r="I700" s="249"/>
      <c r="J700" s="250"/>
      <c r="K700" s="259"/>
      <c r="L700" s="260"/>
      <c r="M700" s="252" t="str" cm="1">
        <f t="array" ref="M700">INDEX(Trad, 53, $A$20)</f>
        <v>Verschmutzt</v>
      </c>
      <c r="N700" s="253"/>
      <c r="O700" s="253"/>
      <c r="P700" s="254"/>
      <c r="Q700" s="251"/>
      <c r="R700" s="251"/>
      <c r="S700" s="264">
        <f t="shared" si="687"/>
        <v>0</v>
      </c>
      <c r="T700" s="252" t="str" cm="1">
        <f t="array" ref="T700">INDEX(Trad, 52, $A$20)</f>
        <v>Sauber</v>
      </c>
      <c r="U700" s="253"/>
      <c r="V700" s="253"/>
      <c r="W700" s="254"/>
      <c r="X700" s="251"/>
      <c r="Y700" s="251"/>
      <c r="Z700" s="264">
        <f t="shared" si="688"/>
        <v>0</v>
      </c>
      <c r="AA700" s="261"/>
      <c r="AB700" s="258"/>
      <c r="AC700" s="246"/>
      <c r="AD700" s="247" t="str">
        <f>IF(ISBLANK(AC700), "", VLOOKUP(AC700, Z!$A$2:$C$4127, 3, FALSE))</f>
        <v/>
      </c>
      <c r="AE700" s="262"/>
      <c r="AF700" s="263">
        <f t="shared" si="689"/>
        <v>0</v>
      </c>
      <c r="AG700" s="238"/>
      <c r="AH700" s="229">
        <f t="shared" ref="AH700:AH763" si="713">IF(ISBLANK(H700), 1, IFERROR(MATCH(H700, INDEX(Use,,1), 0), IFERROR(MATCH(H700, INDEX(Use,,2), 0), MATCH(H700, INDEX(Use,,3), 0))))</f>
        <v>1</v>
      </c>
      <c r="AI700" s="229">
        <f t="shared" ref="AI700:AI763" si="714">IF(ISBLANK(G700), 1, IFERROR(MATCH(G700, INDEX(Loc,,1), 0), IFERROR(MATCH(G700, INDEX(Loc,,2), 0), MATCH(G700, INDEX(Loc,,3), 0))))</f>
        <v>1</v>
      </c>
      <c r="AJ700" s="229">
        <f t="shared" ref="AJ700:AJ763" si="715">_xlfn.IFNA(IF(IFERROR(MATCH(I700, INDEX(Medium,,1), 0), IFERROR(MATCH(I700, INDEX(Medium,,2), 0), MATCH(I700, INDEX(Medium,,3), 0))) = 2, 1, 0), 0)</f>
        <v>0</v>
      </c>
      <c r="AK700" s="229">
        <v>0</v>
      </c>
      <c r="AL700" s="229">
        <v>0</v>
      </c>
      <c r="AM700" s="229">
        <v>1</v>
      </c>
      <c r="AN700" s="229">
        <v>0</v>
      </c>
      <c r="AO700" s="229">
        <f t="shared" si="690"/>
        <v>-100</v>
      </c>
      <c r="AP700" s="238"/>
      <c r="AQ700" s="255"/>
      <c r="AR700" s="255"/>
      <c r="AS700" s="256"/>
      <c r="AT700" s="256"/>
      <c r="AU700" s="256"/>
      <c r="AV700" s="256"/>
      <c r="AW700" s="256"/>
      <c r="AX700" s="256"/>
      <c r="AY700" s="256"/>
      <c r="AZ700" s="256"/>
      <c r="BA700" s="256"/>
      <c r="BB700" s="256"/>
      <c r="BC700" s="256"/>
      <c r="BD700" s="238"/>
      <c r="BE700" s="229" cm="1">
        <f t="array" ref="BE700">IF(ISBLANK(R700), INDEX(Use, $AH700, 4) - AM700*INDEX(Use, $AH700, 6), R700)</f>
        <v>5</v>
      </c>
      <c r="BF700" s="229">
        <f t="shared" si="691"/>
        <v>30</v>
      </c>
      <c r="BG700" s="229">
        <f t="shared" si="679"/>
        <v>13</v>
      </c>
      <c r="BH700" s="229">
        <f t="shared" si="680"/>
        <v>0</v>
      </c>
      <c r="BI700" s="234" cm="1">
        <f t="array" ref="BI700">K700/IF($L700&gt;0, INDEX($AU$23:$BA$77, $L700+20, $AH700), 1)</f>
        <v>0</v>
      </c>
      <c r="BJ700" s="230">
        <f t="shared" si="692"/>
        <v>0</v>
      </c>
      <c r="BK700" s="229">
        <v>35</v>
      </c>
      <c r="BL700" s="230">
        <f t="shared" si="693"/>
        <v>48</v>
      </c>
      <c r="BM700" s="235">
        <f t="shared" si="694"/>
        <v>2.9108720930232557</v>
      </c>
      <c r="BN700" s="235" cm="1">
        <f t="array" ref="BN700">$BI700 * SUMPRODUCT(INDEX($AR$77:$AT$82,,$AI700),INDEX($AU$77:$BA$82,,$AH700), N($AQ$77:$AQ$82&gt;$AO700)) / BM700 / 1000</f>
        <v>0</v>
      </c>
      <c r="BO700" s="232">
        <f t="shared" si="681"/>
        <v>30</v>
      </c>
      <c r="BP700" s="230">
        <f t="shared" si="695"/>
        <v>43</v>
      </c>
      <c r="BQ700" s="235">
        <f t="shared" si="696"/>
        <v>3.2938815789473681</v>
      </c>
      <c r="BR700" s="235" cm="1">
        <f t="array" ref="BR700">$BI700 * IF($AH700&lt;=2,
SUMPRODUCT(INDEX($AR$72:$AT$76,,$AI700), INDEX($AU$72:$BA$76,,$AH700), 1 / ($BB$72:$BB$76*BQ700 + (1-$BB$72:$BB$76)*BM700), N($AQ$72:$AQ$76&gt;$AO700)),
SUMPRODUCT(INDEX($AR$67:$AT$76,,$AI700), INDEX($AU$67:$BA$76,,$AH700), 1 / ($BC$67:$BC$76*BQ700 + (1-$BC$67:$BC$76)*BM700), N($AQ$67:$AQ$76&gt;$AO700))
) / 1000</f>
        <v>0</v>
      </c>
      <c r="BS700" s="232">
        <f t="shared" si="682"/>
        <v>25</v>
      </c>
      <c r="BT700" s="230">
        <f t="shared" si="697"/>
        <v>38</v>
      </c>
      <c r="BU700" s="235">
        <f t="shared" si="698"/>
        <v>3.792954545454545</v>
      </c>
      <c r="BV700" s="235" cm="1">
        <f t="array" ref="BV700">$BI700 * IF($AH700&lt;=2,
SUMPRODUCT(INDEX($AR$67:$AT$71,,$AI700), INDEX($AU$67:$BA$71,,$AH700), 1 / ($BB$67:$BB$71*BU700 + (1-$BB$67:$BB$71)*BQ700), N($AQ$67:$AQ$71&gt;$AO700)),
SUMPRODUCT(INDEX($AR$57:$AT$66,,$AI700), INDEX($AU$57:$BA$66,,$AH700), 1 / ($BC$57:$BC$66*BU700 + (1-$BC$57:$BC$66)*BQ700), N($AQ$57:$AQ$66&gt;$AO700))
) / 1000</f>
        <v>0</v>
      </c>
      <c r="BW700" s="232">
        <f t="shared" si="683"/>
        <v>20</v>
      </c>
      <c r="BX700" s="230">
        <f t="shared" si="699"/>
        <v>33</v>
      </c>
      <c r="BY700" s="235">
        <f t="shared" si="700"/>
        <v>4.4702678571428569</v>
      </c>
      <c r="BZ700" s="235" cm="1">
        <f t="array" ref="BZ700">$BI700 * IF($AH700&lt;=2,
SUMPRODUCT(INDEX($AR$62:$AT$66,,$AI700), INDEX($AU$62:$BA$66,,$AH700), 1 / ($BB$62:$BB$66*BY700 + (1-$BB$62:$BB$66)*BU700), N($AQ$62:$AQ$66&gt;$AO700)),
SUMPRODUCT(INDEX($AR$47:$AT$56,,$AI700), INDEX($AU$47:$BA$56,,$AH700), 1 / ($BC$47:$BC$56*BY700 + (1-$BC$47:$BC$56)*BU700), N($AQ$47:$AQ$56&gt;$AO700))
) / 1000</f>
        <v>0</v>
      </c>
      <c r="CA700" s="235" cm="1">
        <f t="array" ref="CA700">$BI700 * IF($AH700&lt;=2,
SUMPRODUCT(INDEX($AR$23:$AT$61,,$AI700), INDEX($AU$23:$BA$61,,$AH700), 1 / ($BB$23:$BB$61*BY700), N($AQ$23:$AQ$61&gt;$AO700)),
SUMPRODUCT(INDEX($AR$23:$AT$46,,$AI700), INDEX($AU$23:$BA$46,,$AH700), 1 / ($BC$23:$BC$46*BY700), N($AQ$23:$AQ$46&gt;$AO700))
) / 1000</f>
        <v>0</v>
      </c>
      <c r="CB700" s="230">
        <f t="shared" si="701"/>
        <v>0</v>
      </c>
      <c r="CC700" s="238"/>
      <c r="CD700" s="229" cm="1">
        <f t="array" ref="CD700">IF(ISBLANK(Y700), INDEX(Use, $AH700, 4) - AN700*INDEX(Use, $AH700, 6) - (Q700-X700), Y700)</f>
        <v>7</v>
      </c>
      <c r="CE700" s="229">
        <f t="shared" si="702"/>
        <v>32</v>
      </c>
      <c r="CF700" s="230">
        <f t="shared" si="703"/>
        <v>0</v>
      </c>
      <c r="CG700" s="229">
        <v>35</v>
      </c>
      <c r="CH700" s="230">
        <f t="shared" si="704"/>
        <v>48</v>
      </c>
      <c r="CI700" s="235">
        <f t="shared" si="705"/>
        <v>3.0748170731707316</v>
      </c>
      <c r="CJ700" s="235" cm="1">
        <f t="array" ref="CJ700">$BI700 * SUMPRODUCT(INDEX($AR$77:$AT$82,,$AI700),INDEX($AU$77:$BA$82,,$AH700), N($AQ$77:$AQ$82&gt;$AO700)) / CI700 / 1000</f>
        <v>0</v>
      </c>
      <c r="CK700" s="232">
        <f t="shared" si="684"/>
        <v>30</v>
      </c>
      <c r="CL700" s="230">
        <f t="shared" si="706"/>
        <v>43</v>
      </c>
      <c r="CM700" s="235">
        <f t="shared" si="707"/>
        <v>3.5018750000000001</v>
      </c>
      <c r="CN700" s="235" cm="1">
        <f t="array" ref="CN700">$BI700 * IF($AH700&lt;=2,
SUMPRODUCT(INDEX($AR$72:$AT$76,,$AI700), INDEX($AU$72:$BA$76,,$AH700), 1 / ($BB$72:$BB$76*CM700 + (1-$BB$72:$BB$76)*CI700), N($AQ$72:$AQ$76&gt;$AO700)),
SUMPRODUCT(INDEX($AR$67:$AT$76,,$AI700), INDEX($AU$67:$BA$76,,$AH700), 1 / ($BC$67:$BC$76*CM700 + (1-$BC$67:$BC$76)*CI700), N($AQ$67:$AQ$76&gt;$AO700))
) / 1000</f>
        <v>0</v>
      </c>
      <c r="CO700" s="232">
        <f t="shared" si="685"/>
        <v>25</v>
      </c>
      <c r="CP700" s="230">
        <f t="shared" si="708"/>
        <v>38</v>
      </c>
      <c r="CQ700" s="235">
        <f t="shared" si="709"/>
        <v>4.0666935483870965</v>
      </c>
      <c r="CR700" s="235" cm="1">
        <f t="array" ref="CR700">$BI700 * IF($AH700&lt;=2,
SUMPRODUCT(INDEX($AR$67:$AT$71,,$AI700), INDEX($AU$67:$BA$71,,$AH700), 1 / ($BB$67:$BB$71*CQ700 + (1-$BB$67:$BB$71)*CM700), N($AQ$67:$AQ$71&gt;$AO700)),
SUMPRODUCT(INDEX($AR$57:$AT$66,,$AI700), INDEX($AU$57:$BA$66,,$AH700), 1 / ($BC$57:$BC$66*CQ700 + (1-$BC$57:$BC$66)*CM700), N($AQ$57:$AQ$66&gt;$AO700))
) / 1000</f>
        <v>0</v>
      </c>
      <c r="CS700" s="232">
        <f t="shared" si="686"/>
        <v>20</v>
      </c>
      <c r="CT700" s="230">
        <f t="shared" si="710"/>
        <v>33</v>
      </c>
      <c r="CU700" s="235">
        <f t="shared" si="711"/>
        <v>4.8487499999999999</v>
      </c>
      <c r="CV700" s="235" cm="1">
        <f t="array" ref="CV700">$BI700 * IF($AH700&lt;=2,
SUMPRODUCT(INDEX($AR$62:$AT$66,,$AI700), INDEX($AU$62:$BA$66,,$AH700), 1 / ($BB$62:$BB$66*CU700 + (1-$BB$62:$BB$66)*CQ700), N($AQ$62:$AQ$66&gt;$AO700)),
SUMPRODUCT(INDEX($AR$47:$AT$56,,$AI700), INDEX($AU$47:$BA$56,,$AH700), 1 / ($BC$47:$BC$56*CU700 + (1-$BC$47:$BC$56)*CQ700), N($AQ$47:$AQ$56&gt;$AO700))
) / 1000</f>
        <v>0</v>
      </c>
      <c r="CW700" s="235" cm="1">
        <f t="array" ref="CW700">$BI700 * IF($AH700&lt;=2,
SUMPRODUCT(INDEX($AR$23:$AT$61,,$AI700), INDEX($AU$23:$BA$61,,$AH700), 1 / ($BB$23:$BB$61*CU700), N($AQ$23:$AQ$61&gt;$AO700)),
SUMPRODUCT(INDEX($AR$23:$AT$46,,$AI700), INDEX($AU$23:$BA$46,,$AH700), 1 / ($BC$23:$BC$46*CU700), N($AQ$23:$AQ$46&gt;$AO700))
) / 1000</f>
        <v>0</v>
      </c>
      <c r="CX700" s="230">
        <f t="shared" si="712"/>
        <v>0</v>
      </c>
      <c r="CY700" s="238"/>
    </row>
    <row r="701" spans="1:103" s="76" customFormat="1" ht="14.25" customHeight="1" x14ac:dyDescent="0.2">
      <c r="A701" s="231" t="b">
        <f t="shared" si="678"/>
        <v>0</v>
      </c>
      <c r="B701" s="245">
        <v>679</v>
      </c>
      <c r="C701" s="258"/>
      <c r="D701" s="258"/>
      <c r="E701" s="246"/>
      <c r="F701" s="247" t="str">
        <f>IF(ISBLANK(E701), "", VLOOKUP(E701, Z!$A$2:$C$4127, 3, FALSE))</f>
        <v/>
      </c>
      <c r="G701" s="248"/>
      <c r="H701" s="248"/>
      <c r="I701" s="249"/>
      <c r="J701" s="250"/>
      <c r="K701" s="259"/>
      <c r="L701" s="260"/>
      <c r="M701" s="252" t="str" cm="1">
        <f t="array" ref="M701">INDEX(Trad, 53, $A$20)</f>
        <v>Verschmutzt</v>
      </c>
      <c r="N701" s="253"/>
      <c r="O701" s="253"/>
      <c r="P701" s="254"/>
      <c r="Q701" s="251"/>
      <c r="R701" s="251"/>
      <c r="S701" s="264">
        <f t="shared" si="687"/>
        <v>0</v>
      </c>
      <c r="T701" s="252" t="str" cm="1">
        <f t="array" ref="T701">INDEX(Trad, 52, $A$20)</f>
        <v>Sauber</v>
      </c>
      <c r="U701" s="253"/>
      <c r="V701" s="253"/>
      <c r="W701" s="254"/>
      <c r="X701" s="251"/>
      <c r="Y701" s="251"/>
      <c r="Z701" s="264">
        <f t="shared" si="688"/>
        <v>0</v>
      </c>
      <c r="AA701" s="261"/>
      <c r="AB701" s="258"/>
      <c r="AC701" s="246"/>
      <c r="AD701" s="247" t="str">
        <f>IF(ISBLANK(AC701), "", VLOOKUP(AC701, Z!$A$2:$C$4127, 3, FALSE))</f>
        <v/>
      </c>
      <c r="AE701" s="262"/>
      <c r="AF701" s="263">
        <f t="shared" si="689"/>
        <v>0</v>
      </c>
      <c r="AG701" s="238"/>
      <c r="AH701" s="229">
        <f t="shared" si="713"/>
        <v>1</v>
      </c>
      <c r="AI701" s="229">
        <f t="shared" si="714"/>
        <v>1</v>
      </c>
      <c r="AJ701" s="229">
        <f t="shared" si="715"/>
        <v>0</v>
      </c>
      <c r="AK701" s="229">
        <v>0</v>
      </c>
      <c r="AL701" s="229">
        <v>0</v>
      </c>
      <c r="AM701" s="229">
        <v>1</v>
      </c>
      <c r="AN701" s="229">
        <v>0</v>
      </c>
      <c r="AO701" s="229">
        <f t="shared" si="690"/>
        <v>-100</v>
      </c>
      <c r="AP701" s="238"/>
      <c r="AQ701" s="255"/>
      <c r="AR701" s="255"/>
      <c r="AS701" s="256"/>
      <c r="AT701" s="256"/>
      <c r="AU701" s="256"/>
      <c r="AV701" s="256"/>
      <c r="AW701" s="256"/>
      <c r="AX701" s="256"/>
      <c r="AY701" s="256"/>
      <c r="AZ701" s="256"/>
      <c r="BA701" s="256"/>
      <c r="BB701" s="256"/>
      <c r="BC701" s="256"/>
      <c r="BD701" s="238"/>
      <c r="BE701" s="229" cm="1">
        <f t="array" ref="BE701">IF(ISBLANK(R701), INDEX(Use, $AH701, 4) - AM701*INDEX(Use, $AH701, 6), R701)</f>
        <v>5</v>
      </c>
      <c r="BF701" s="229">
        <f t="shared" si="691"/>
        <v>30</v>
      </c>
      <c r="BG701" s="229">
        <f t="shared" si="679"/>
        <v>13</v>
      </c>
      <c r="BH701" s="229">
        <f t="shared" si="680"/>
        <v>0</v>
      </c>
      <c r="BI701" s="234" cm="1">
        <f t="array" ref="BI701">K701/IF($L701&gt;0, INDEX($AU$23:$BA$77, $L701+20, $AH701), 1)</f>
        <v>0</v>
      </c>
      <c r="BJ701" s="230">
        <f t="shared" si="692"/>
        <v>0</v>
      </c>
      <c r="BK701" s="229">
        <v>35</v>
      </c>
      <c r="BL701" s="230">
        <f t="shared" si="693"/>
        <v>48</v>
      </c>
      <c r="BM701" s="235">
        <f t="shared" si="694"/>
        <v>2.9108720930232557</v>
      </c>
      <c r="BN701" s="235" cm="1">
        <f t="array" ref="BN701">$BI701 * SUMPRODUCT(INDEX($AR$77:$AT$82,,$AI701),INDEX($AU$77:$BA$82,,$AH701), N($AQ$77:$AQ$82&gt;$AO701)) / BM701 / 1000</f>
        <v>0</v>
      </c>
      <c r="BO701" s="232">
        <f t="shared" si="681"/>
        <v>30</v>
      </c>
      <c r="BP701" s="230">
        <f t="shared" si="695"/>
        <v>43</v>
      </c>
      <c r="BQ701" s="235">
        <f t="shared" si="696"/>
        <v>3.2938815789473681</v>
      </c>
      <c r="BR701" s="235" cm="1">
        <f t="array" ref="BR701">$BI701 * IF($AH701&lt;=2,
SUMPRODUCT(INDEX($AR$72:$AT$76,,$AI701), INDEX($AU$72:$BA$76,,$AH701), 1 / ($BB$72:$BB$76*BQ701 + (1-$BB$72:$BB$76)*BM701), N($AQ$72:$AQ$76&gt;$AO701)),
SUMPRODUCT(INDEX($AR$67:$AT$76,,$AI701), INDEX($AU$67:$BA$76,,$AH701), 1 / ($BC$67:$BC$76*BQ701 + (1-$BC$67:$BC$76)*BM701), N($AQ$67:$AQ$76&gt;$AO701))
) / 1000</f>
        <v>0</v>
      </c>
      <c r="BS701" s="232">
        <f t="shared" si="682"/>
        <v>25</v>
      </c>
      <c r="BT701" s="230">
        <f t="shared" si="697"/>
        <v>38</v>
      </c>
      <c r="BU701" s="235">
        <f t="shared" si="698"/>
        <v>3.792954545454545</v>
      </c>
      <c r="BV701" s="235" cm="1">
        <f t="array" ref="BV701">$BI701 * IF($AH701&lt;=2,
SUMPRODUCT(INDEX($AR$67:$AT$71,,$AI701), INDEX($AU$67:$BA$71,,$AH701), 1 / ($BB$67:$BB$71*BU701 + (1-$BB$67:$BB$71)*BQ701), N($AQ$67:$AQ$71&gt;$AO701)),
SUMPRODUCT(INDEX($AR$57:$AT$66,,$AI701), INDEX($AU$57:$BA$66,,$AH701), 1 / ($BC$57:$BC$66*BU701 + (1-$BC$57:$BC$66)*BQ701), N($AQ$57:$AQ$66&gt;$AO701))
) / 1000</f>
        <v>0</v>
      </c>
      <c r="BW701" s="232">
        <f t="shared" si="683"/>
        <v>20</v>
      </c>
      <c r="BX701" s="230">
        <f t="shared" si="699"/>
        <v>33</v>
      </c>
      <c r="BY701" s="235">
        <f t="shared" si="700"/>
        <v>4.4702678571428569</v>
      </c>
      <c r="BZ701" s="235" cm="1">
        <f t="array" ref="BZ701">$BI701 * IF($AH701&lt;=2,
SUMPRODUCT(INDEX($AR$62:$AT$66,,$AI701), INDEX($AU$62:$BA$66,,$AH701), 1 / ($BB$62:$BB$66*BY701 + (1-$BB$62:$BB$66)*BU701), N($AQ$62:$AQ$66&gt;$AO701)),
SUMPRODUCT(INDEX($AR$47:$AT$56,,$AI701), INDEX($AU$47:$BA$56,,$AH701), 1 / ($BC$47:$BC$56*BY701 + (1-$BC$47:$BC$56)*BU701), N($AQ$47:$AQ$56&gt;$AO701))
) / 1000</f>
        <v>0</v>
      </c>
      <c r="CA701" s="235" cm="1">
        <f t="array" ref="CA701">$BI701 * IF($AH701&lt;=2,
SUMPRODUCT(INDEX($AR$23:$AT$61,,$AI701), INDEX($AU$23:$BA$61,,$AH701), 1 / ($BB$23:$BB$61*BY701), N($AQ$23:$AQ$61&gt;$AO701)),
SUMPRODUCT(INDEX($AR$23:$AT$46,,$AI701), INDEX($AU$23:$BA$46,,$AH701), 1 / ($BC$23:$BC$46*BY701), N($AQ$23:$AQ$46&gt;$AO701))
) / 1000</f>
        <v>0</v>
      </c>
      <c r="CB701" s="230">
        <f t="shared" si="701"/>
        <v>0</v>
      </c>
      <c r="CC701" s="238"/>
      <c r="CD701" s="229" cm="1">
        <f t="array" ref="CD701">IF(ISBLANK(Y701), INDEX(Use, $AH701, 4) - AN701*INDEX(Use, $AH701, 6) - (Q701-X701), Y701)</f>
        <v>7</v>
      </c>
      <c r="CE701" s="229">
        <f t="shared" si="702"/>
        <v>32</v>
      </c>
      <c r="CF701" s="230">
        <f t="shared" si="703"/>
        <v>0</v>
      </c>
      <c r="CG701" s="229">
        <v>35</v>
      </c>
      <c r="CH701" s="230">
        <f t="shared" si="704"/>
        <v>48</v>
      </c>
      <c r="CI701" s="235">
        <f t="shared" si="705"/>
        <v>3.0748170731707316</v>
      </c>
      <c r="CJ701" s="235" cm="1">
        <f t="array" ref="CJ701">$BI701 * SUMPRODUCT(INDEX($AR$77:$AT$82,,$AI701),INDEX($AU$77:$BA$82,,$AH701), N($AQ$77:$AQ$82&gt;$AO701)) / CI701 / 1000</f>
        <v>0</v>
      </c>
      <c r="CK701" s="232">
        <f t="shared" si="684"/>
        <v>30</v>
      </c>
      <c r="CL701" s="230">
        <f t="shared" si="706"/>
        <v>43</v>
      </c>
      <c r="CM701" s="235">
        <f t="shared" si="707"/>
        <v>3.5018750000000001</v>
      </c>
      <c r="CN701" s="235" cm="1">
        <f t="array" ref="CN701">$BI701 * IF($AH701&lt;=2,
SUMPRODUCT(INDEX($AR$72:$AT$76,,$AI701), INDEX($AU$72:$BA$76,,$AH701), 1 / ($BB$72:$BB$76*CM701 + (1-$BB$72:$BB$76)*CI701), N($AQ$72:$AQ$76&gt;$AO701)),
SUMPRODUCT(INDEX($AR$67:$AT$76,,$AI701), INDEX($AU$67:$BA$76,,$AH701), 1 / ($BC$67:$BC$76*CM701 + (1-$BC$67:$BC$76)*CI701), N($AQ$67:$AQ$76&gt;$AO701))
) / 1000</f>
        <v>0</v>
      </c>
      <c r="CO701" s="232">
        <f t="shared" si="685"/>
        <v>25</v>
      </c>
      <c r="CP701" s="230">
        <f t="shared" si="708"/>
        <v>38</v>
      </c>
      <c r="CQ701" s="235">
        <f t="shared" si="709"/>
        <v>4.0666935483870965</v>
      </c>
      <c r="CR701" s="235" cm="1">
        <f t="array" ref="CR701">$BI701 * IF($AH701&lt;=2,
SUMPRODUCT(INDEX($AR$67:$AT$71,,$AI701), INDEX($AU$67:$BA$71,,$AH701), 1 / ($BB$67:$BB$71*CQ701 + (1-$BB$67:$BB$71)*CM701), N($AQ$67:$AQ$71&gt;$AO701)),
SUMPRODUCT(INDEX($AR$57:$AT$66,,$AI701), INDEX($AU$57:$BA$66,,$AH701), 1 / ($BC$57:$BC$66*CQ701 + (1-$BC$57:$BC$66)*CM701), N($AQ$57:$AQ$66&gt;$AO701))
) / 1000</f>
        <v>0</v>
      </c>
      <c r="CS701" s="232">
        <f t="shared" si="686"/>
        <v>20</v>
      </c>
      <c r="CT701" s="230">
        <f t="shared" si="710"/>
        <v>33</v>
      </c>
      <c r="CU701" s="235">
        <f t="shared" si="711"/>
        <v>4.8487499999999999</v>
      </c>
      <c r="CV701" s="235" cm="1">
        <f t="array" ref="CV701">$BI701 * IF($AH701&lt;=2,
SUMPRODUCT(INDEX($AR$62:$AT$66,,$AI701), INDEX($AU$62:$BA$66,,$AH701), 1 / ($BB$62:$BB$66*CU701 + (1-$BB$62:$BB$66)*CQ701), N($AQ$62:$AQ$66&gt;$AO701)),
SUMPRODUCT(INDEX($AR$47:$AT$56,,$AI701), INDEX($AU$47:$BA$56,,$AH701), 1 / ($BC$47:$BC$56*CU701 + (1-$BC$47:$BC$56)*CQ701), N($AQ$47:$AQ$56&gt;$AO701))
) / 1000</f>
        <v>0</v>
      </c>
      <c r="CW701" s="235" cm="1">
        <f t="array" ref="CW701">$BI701 * IF($AH701&lt;=2,
SUMPRODUCT(INDEX($AR$23:$AT$61,,$AI701), INDEX($AU$23:$BA$61,,$AH701), 1 / ($BB$23:$BB$61*CU701), N($AQ$23:$AQ$61&gt;$AO701)),
SUMPRODUCT(INDEX($AR$23:$AT$46,,$AI701), INDEX($AU$23:$BA$46,,$AH701), 1 / ($BC$23:$BC$46*CU701), N($AQ$23:$AQ$46&gt;$AO701))
) / 1000</f>
        <v>0</v>
      </c>
      <c r="CX701" s="230">
        <f t="shared" si="712"/>
        <v>0</v>
      </c>
      <c r="CY701" s="238"/>
    </row>
    <row r="702" spans="1:103" s="76" customFormat="1" ht="14.25" customHeight="1" x14ac:dyDescent="0.2">
      <c r="A702" s="231" t="b">
        <f t="shared" si="678"/>
        <v>0</v>
      </c>
      <c r="B702" s="245">
        <v>680</v>
      </c>
      <c r="C702" s="258"/>
      <c r="D702" s="258"/>
      <c r="E702" s="246"/>
      <c r="F702" s="247" t="str">
        <f>IF(ISBLANK(E702), "", VLOOKUP(E702, Z!$A$2:$C$4127, 3, FALSE))</f>
        <v/>
      </c>
      <c r="G702" s="248"/>
      <c r="H702" s="248"/>
      <c r="I702" s="249"/>
      <c r="J702" s="250"/>
      <c r="K702" s="259"/>
      <c r="L702" s="260"/>
      <c r="M702" s="252" t="str" cm="1">
        <f t="array" ref="M702">INDEX(Trad, 53, $A$20)</f>
        <v>Verschmutzt</v>
      </c>
      <c r="N702" s="253"/>
      <c r="O702" s="253"/>
      <c r="P702" s="254"/>
      <c r="Q702" s="251"/>
      <c r="R702" s="251"/>
      <c r="S702" s="264">
        <f t="shared" si="687"/>
        <v>0</v>
      </c>
      <c r="T702" s="252" t="str" cm="1">
        <f t="array" ref="T702">INDEX(Trad, 52, $A$20)</f>
        <v>Sauber</v>
      </c>
      <c r="U702" s="253"/>
      <c r="V702" s="253"/>
      <c r="W702" s="254"/>
      <c r="X702" s="251"/>
      <c r="Y702" s="251"/>
      <c r="Z702" s="264">
        <f t="shared" si="688"/>
        <v>0</v>
      </c>
      <c r="AA702" s="261"/>
      <c r="AB702" s="258"/>
      <c r="AC702" s="246"/>
      <c r="AD702" s="247" t="str">
        <f>IF(ISBLANK(AC702), "", VLOOKUP(AC702, Z!$A$2:$C$4127, 3, FALSE))</f>
        <v/>
      </c>
      <c r="AE702" s="262"/>
      <c r="AF702" s="263">
        <f t="shared" si="689"/>
        <v>0</v>
      </c>
      <c r="AG702" s="238"/>
      <c r="AH702" s="229">
        <f t="shared" si="713"/>
        <v>1</v>
      </c>
      <c r="AI702" s="229">
        <f t="shared" si="714"/>
        <v>1</v>
      </c>
      <c r="AJ702" s="229">
        <f t="shared" si="715"/>
        <v>0</v>
      </c>
      <c r="AK702" s="229">
        <v>0</v>
      </c>
      <c r="AL702" s="229">
        <v>0</v>
      </c>
      <c r="AM702" s="229">
        <v>1</v>
      </c>
      <c r="AN702" s="229">
        <v>0</v>
      </c>
      <c r="AO702" s="229">
        <f t="shared" si="690"/>
        <v>-100</v>
      </c>
      <c r="AP702" s="238"/>
      <c r="AQ702" s="255"/>
      <c r="AR702" s="255"/>
      <c r="AS702" s="256"/>
      <c r="AT702" s="256"/>
      <c r="AU702" s="256"/>
      <c r="AV702" s="256"/>
      <c r="AW702" s="256"/>
      <c r="AX702" s="256"/>
      <c r="AY702" s="256"/>
      <c r="AZ702" s="256"/>
      <c r="BA702" s="256"/>
      <c r="BB702" s="256"/>
      <c r="BC702" s="256"/>
      <c r="BD702" s="238"/>
      <c r="BE702" s="229" cm="1">
        <f t="array" ref="BE702">IF(ISBLANK(R702), INDEX(Use, $AH702, 4) - AM702*INDEX(Use, $AH702, 6), R702)</f>
        <v>5</v>
      </c>
      <c r="BF702" s="229">
        <f t="shared" si="691"/>
        <v>30</v>
      </c>
      <c r="BG702" s="229">
        <f t="shared" si="679"/>
        <v>13</v>
      </c>
      <c r="BH702" s="229">
        <f t="shared" si="680"/>
        <v>0</v>
      </c>
      <c r="BI702" s="234" cm="1">
        <f t="array" ref="BI702">K702/IF($L702&gt;0, INDEX($AU$23:$BA$77, $L702+20, $AH702), 1)</f>
        <v>0</v>
      </c>
      <c r="BJ702" s="230">
        <f t="shared" si="692"/>
        <v>0</v>
      </c>
      <c r="BK702" s="229">
        <v>35</v>
      </c>
      <c r="BL702" s="230">
        <f t="shared" si="693"/>
        <v>48</v>
      </c>
      <c r="BM702" s="235">
        <f t="shared" si="694"/>
        <v>2.9108720930232557</v>
      </c>
      <c r="BN702" s="235" cm="1">
        <f t="array" ref="BN702">$BI702 * SUMPRODUCT(INDEX($AR$77:$AT$82,,$AI702),INDEX($AU$77:$BA$82,,$AH702), N($AQ$77:$AQ$82&gt;$AO702)) / BM702 / 1000</f>
        <v>0</v>
      </c>
      <c r="BO702" s="232">
        <f t="shared" si="681"/>
        <v>30</v>
      </c>
      <c r="BP702" s="230">
        <f t="shared" si="695"/>
        <v>43</v>
      </c>
      <c r="BQ702" s="235">
        <f t="shared" si="696"/>
        <v>3.2938815789473681</v>
      </c>
      <c r="BR702" s="235" cm="1">
        <f t="array" ref="BR702">$BI702 * IF($AH702&lt;=2,
SUMPRODUCT(INDEX($AR$72:$AT$76,,$AI702), INDEX($AU$72:$BA$76,,$AH702), 1 / ($BB$72:$BB$76*BQ702 + (1-$BB$72:$BB$76)*BM702), N($AQ$72:$AQ$76&gt;$AO702)),
SUMPRODUCT(INDEX($AR$67:$AT$76,,$AI702), INDEX($AU$67:$BA$76,,$AH702), 1 / ($BC$67:$BC$76*BQ702 + (1-$BC$67:$BC$76)*BM702), N($AQ$67:$AQ$76&gt;$AO702))
) / 1000</f>
        <v>0</v>
      </c>
      <c r="BS702" s="232">
        <f t="shared" si="682"/>
        <v>25</v>
      </c>
      <c r="BT702" s="230">
        <f t="shared" si="697"/>
        <v>38</v>
      </c>
      <c r="BU702" s="235">
        <f t="shared" si="698"/>
        <v>3.792954545454545</v>
      </c>
      <c r="BV702" s="235" cm="1">
        <f t="array" ref="BV702">$BI702 * IF($AH702&lt;=2,
SUMPRODUCT(INDEX($AR$67:$AT$71,,$AI702), INDEX($AU$67:$BA$71,,$AH702), 1 / ($BB$67:$BB$71*BU702 + (1-$BB$67:$BB$71)*BQ702), N($AQ$67:$AQ$71&gt;$AO702)),
SUMPRODUCT(INDEX($AR$57:$AT$66,,$AI702), INDEX($AU$57:$BA$66,,$AH702), 1 / ($BC$57:$BC$66*BU702 + (1-$BC$57:$BC$66)*BQ702), N($AQ$57:$AQ$66&gt;$AO702))
) / 1000</f>
        <v>0</v>
      </c>
      <c r="BW702" s="232">
        <f t="shared" si="683"/>
        <v>20</v>
      </c>
      <c r="BX702" s="230">
        <f t="shared" si="699"/>
        <v>33</v>
      </c>
      <c r="BY702" s="235">
        <f t="shared" si="700"/>
        <v>4.4702678571428569</v>
      </c>
      <c r="BZ702" s="235" cm="1">
        <f t="array" ref="BZ702">$BI702 * IF($AH702&lt;=2,
SUMPRODUCT(INDEX($AR$62:$AT$66,,$AI702), INDEX($AU$62:$BA$66,,$AH702), 1 / ($BB$62:$BB$66*BY702 + (1-$BB$62:$BB$66)*BU702), N($AQ$62:$AQ$66&gt;$AO702)),
SUMPRODUCT(INDEX($AR$47:$AT$56,,$AI702), INDEX($AU$47:$BA$56,,$AH702), 1 / ($BC$47:$BC$56*BY702 + (1-$BC$47:$BC$56)*BU702), N($AQ$47:$AQ$56&gt;$AO702))
) / 1000</f>
        <v>0</v>
      </c>
      <c r="CA702" s="235" cm="1">
        <f t="array" ref="CA702">$BI702 * IF($AH702&lt;=2,
SUMPRODUCT(INDEX($AR$23:$AT$61,,$AI702), INDEX($AU$23:$BA$61,,$AH702), 1 / ($BB$23:$BB$61*BY702), N($AQ$23:$AQ$61&gt;$AO702)),
SUMPRODUCT(INDEX($AR$23:$AT$46,,$AI702), INDEX($AU$23:$BA$46,,$AH702), 1 / ($BC$23:$BC$46*BY702), N($AQ$23:$AQ$46&gt;$AO702))
) / 1000</f>
        <v>0</v>
      </c>
      <c r="CB702" s="230">
        <f t="shared" si="701"/>
        <v>0</v>
      </c>
      <c r="CC702" s="238"/>
      <c r="CD702" s="229" cm="1">
        <f t="array" ref="CD702">IF(ISBLANK(Y702), INDEX(Use, $AH702, 4) - AN702*INDEX(Use, $AH702, 6) - (Q702-X702), Y702)</f>
        <v>7</v>
      </c>
      <c r="CE702" s="229">
        <f t="shared" si="702"/>
        <v>32</v>
      </c>
      <c r="CF702" s="230">
        <f t="shared" si="703"/>
        <v>0</v>
      </c>
      <c r="CG702" s="229">
        <v>35</v>
      </c>
      <c r="CH702" s="230">
        <f t="shared" si="704"/>
        <v>48</v>
      </c>
      <c r="CI702" s="235">
        <f t="shared" si="705"/>
        <v>3.0748170731707316</v>
      </c>
      <c r="CJ702" s="235" cm="1">
        <f t="array" ref="CJ702">$BI702 * SUMPRODUCT(INDEX($AR$77:$AT$82,,$AI702),INDEX($AU$77:$BA$82,,$AH702), N($AQ$77:$AQ$82&gt;$AO702)) / CI702 / 1000</f>
        <v>0</v>
      </c>
      <c r="CK702" s="232">
        <f t="shared" si="684"/>
        <v>30</v>
      </c>
      <c r="CL702" s="230">
        <f t="shared" si="706"/>
        <v>43</v>
      </c>
      <c r="CM702" s="235">
        <f t="shared" si="707"/>
        <v>3.5018750000000001</v>
      </c>
      <c r="CN702" s="235" cm="1">
        <f t="array" ref="CN702">$BI702 * IF($AH702&lt;=2,
SUMPRODUCT(INDEX($AR$72:$AT$76,,$AI702), INDEX($AU$72:$BA$76,,$AH702), 1 / ($BB$72:$BB$76*CM702 + (1-$BB$72:$BB$76)*CI702), N($AQ$72:$AQ$76&gt;$AO702)),
SUMPRODUCT(INDEX($AR$67:$AT$76,,$AI702), INDEX($AU$67:$BA$76,,$AH702), 1 / ($BC$67:$BC$76*CM702 + (1-$BC$67:$BC$76)*CI702), N($AQ$67:$AQ$76&gt;$AO702))
) / 1000</f>
        <v>0</v>
      </c>
      <c r="CO702" s="232">
        <f t="shared" si="685"/>
        <v>25</v>
      </c>
      <c r="CP702" s="230">
        <f t="shared" si="708"/>
        <v>38</v>
      </c>
      <c r="CQ702" s="235">
        <f t="shared" si="709"/>
        <v>4.0666935483870965</v>
      </c>
      <c r="CR702" s="235" cm="1">
        <f t="array" ref="CR702">$BI702 * IF($AH702&lt;=2,
SUMPRODUCT(INDEX($AR$67:$AT$71,,$AI702), INDEX($AU$67:$BA$71,,$AH702), 1 / ($BB$67:$BB$71*CQ702 + (1-$BB$67:$BB$71)*CM702), N($AQ$67:$AQ$71&gt;$AO702)),
SUMPRODUCT(INDEX($AR$57:$AT$66,,$AI702), INDEX($AU$57:$BA$66,,$AH702), 1 / ($BC$57:$BC$66*CQ702 + (1-$BC$57:$BC$66)*CM702), N($AQ$57:$AQ$66&gt;$AO702))
) / 1000</f>
        <v>0</v>
      </c>
      <c r="CS702" s="232">
        <f t="shared" si="686"/>
        <v>20</v>
      </c>
      <c r="CT702" s="230">
        <f t="shared" si="710"/>
        <v>33</v>
      </c>
      <c r="CU702" s="235">
        <f t="shared" si="711"/>
        <v>4.8487499999999999</v>
      </c>
      <c r="CV702" s="235" cm="1">
        <f t="array" ref="CV702">$BI702 * IF($AH702&lt;=2,
SUMPRODUCT(INDEX($AR$62:$AT$66,,$AI702), INDEX($AU$62:$BA$66,,$AH702), 1 / ($BB$62:$BB$66*CU702 + (1-$BB$62:$BB$66)*CQ702), N($AQ$62:$AQ$66&gt;$AO702)),
SUMPRODUCT(INDEX($AR$47:$AT$56,,$AI702), INDEX($AU$47:$BA$56,,$AH702), 1 / ($BC$47:$BC$56*CU702 + (1-$BC$47:$BC$56)*CQ702), N($AQ$47:$AQ$56&gt;$AO702))
) / 1000</f>
        <v>0</v>
      </c>
      <c r="CW702" s="235" cm="1">
        <f t="array" ref="CW702">$BI702 * IF($AH702&lt;=2,
SUMPRODUCT(INDEX($AR$23:$AT$61,,$AI702), INDEX($AU$23:$BA$61,,$AH702), 1 / ($BB$23:$BB$61*CU702), N($AQ$23:$AQ$61&gt;$AO702)),
SUMPRODUCT(INDEX($AR$23:$AT$46,,$AI702), INDEX($AU$23:$BA$46,,$AH702), 1 / ($BC$23:$BC$46*CU702), N($AQ$23:$AQ$46&gt;$AO702))
) / 1000</f>
        <v>0</v>
      </c>
      <c r="CX702" s="230">
        <f t="shared" si="712"/>
        <v>0</v>
      </c>
      <c r="CY702" s="238"/>
    </row>
    <row r="703" spans="1:103" s="76" customFormat="1" ht="14.25" customHeight="1" x14ac:dyDescent="0.2">
      <c r="A703" s="231" t="b">
        <f t="shared" si="678"/>
        <v>0</v>
      </c>
      <c r="B703" s="245">
        <v>681</v>
      </c>
      <c r="C703" s="258"/>
      <c r="D703" s="258"/>
      <c r="E703" s="246"/>
      <c r="F703" s="247" t="str">
        <f>IF(ISBLANK(E703), "", VLOOKUP(E703, Z!$A$2:$C$4127, 3, FALSE))</f>
        <v/>
      </c>
      <c r="G703" s="248"/>
      <c r="H703" s="248"/>
      <c r="I703" s="249"/>
      <c r="J703" s="250"/>
      <c r="K703" s="259"/>
      <c r="L703" s="260"/>
      <c r="M703" s="252" t="str" cm="1">
        <f t="array" ref="M703">INDEX(Trad, 53, $A$20)</f>
        <v>Verschmutzt</v>
      </c>
      <c r="N703" s="253"/>
      <c r="O703" s="253"/>
      <c r="P703" s="254"/>
      <c r="Q703" s="251"/>
      <c r="R703" s="251"/>
      <c r="S703" s="264">
        <f t="shared" si="687"/>
        <v>0</v>
      </c>
      <c r="T703" s="252" t="str" cm="1">
        <f t="array" ref="T703">INDEX(Trad, 52, $A$20)</f>
        <v>Sauber</v>
      </c>
      <c r="U703" s="253"/>
      <c r="V703" s="253"/>
      <c r="W703" s="254"/>
      <c r="X703" s="251"/>
      <c r="Y703" s="251"/>
      <c r="Z703" s="264">
        <f t="shared" si="688"/>
        <v>0</v>
      </c>
      <c r="AA703" s="261"/>
      <c r="AB703" s="258"/>
      <c r="AC703" s="246"/>
      <c r="AD703" s="247" t="str">
        <f>IF(ISBLANK(AC703), "", VLOOKUP(AC703, Z!$A$2:$C$4127, 3, FALSE))</f>
        <v/>
      </c>
      <c r="AE703" s="262"/>
      <c r="AF703" s="263">
        <f t="shared" si="689"/>
        <v>0</v>
      </c>
      <c r="AG703" s="238"/>
      <c r="AH703" s="229">
        <f t="shared" si="713"/>
        <v>1</v>
      </c>
      <c r="AI703" s="229">
        <f t="shared" si="714"/>
        <v>1</v>
      </c>
      <c r="AJ703" s="229">
        <f t="shared" si="715"/>
        <v>0</v>
      </c>
      <c r="AK703" s="229">
        <v>0</v>
      </c>
      <c r="AL703" s="229">
        <v>0</v>
      </c>
      <c r="AM703" s="229">
        <v>1</v>
      </c>
      <c r="AN703" s="229">
        <v>0</v>
      </c>
      <c r="AO703" s="229">
        <f t="shared" si="690"/>
        <v>-100</v>
      </c>
      <c r="AP703" s="238"/>
      <c r="AQ703" s="255"/>
      <c r="AR703" s="255"/>
      <c r="AS703" s="256"/>
      <c r="AT703" s="256"/>
      <c r="AU703" s="256"/>
      <c r="AV703" s="256"/>
      <c r="AW703" s="256"/>
      <c r="AX703" s="256"/>
      <c r="AY703" s="256"/>
      <c r="AZ703" s="256"/>
      <c r="BA703" s="256"/>
      <c r="BB703" s="256"/>
      <c r="BC703" s="256"/>
      <c r="BD703" s="238"/>
      <c r="BE703" s="229" cm="1">
        <f t="array" ref="BE703">IF(ISBLANK(R703), INDEX(Use, $AH703, 4) - AM703*INDEX(Use, $AH703, 6), R703)</f>
        <v>5</v>
      </c>
      <c r="BF703" s="229">
        <f t="shared" si="691"/>
        <v>30</v>
      </c>
      <c r="BG703" s="229">
        <f t="shared" si="679"/>
        <v>13</v>
      </c>
      <c r="BH703" s="229">
        <f t="shared" si="680"/>
        <v>0</v>
      </c>
      <c r="BI703" s="234" cm="1">
        <f t="array" ref="BI703">K703/IF($L703&gt;0, INDEX($AU$23:$BA$77, $L703+20, $AH703), 1)</f>
        <v>0</v>
      </c>
      <c r="BJ703" s="230">
        <f t="shared" si="692"/>
        <v>0</v>
      </c>
      <c r="BK703" s="229">
        <v>35</v>
      </c>
      <c r="BL703" s="230">
        <f t="shared" si="693"/>
        <v>48</v>
      </c>
      <c r="BM703" s="235">
        <f t="shared" si="694"/>
        <v>2.9108720930232557</v>
      </c>
      <c r="BN703" s="235" cm="1">
        <f t="array" ref="BN703">$BI703 * SUMPRODUCT(INDEX($AR$77:$AT$82,,$AI703),INDEX($AU$77:$BA$82,,$AH703), N($AQ$77:$AQ$82&gt;$AO703)) / BM703 / 1000</f>
        <v>0</v>
      </c>
      <c r="BO703" s="232">
        <f t="shared" si="681"/>
        <v>30</v>
      </c>
      <c r="BP703" s="230">
        <f t="shared" si="695"/>
        <v>43</v>
      </c>
      <c r="BQ703" s="235">
        <f t="shared" si="696"/>
        <v>3.2938815789473681</v>
      </c>
      <c r="BR703" s="235" cm="1">
        <f t="array" ref="BR703">$BI703 * IF($AH703&lt;=2,
SUMPRODUCT(INDEX($AR$72:$AT$76,,$AI703), INDEX($AU$72:$BA$76,,$AH703), 1 / ($BB$72:$BB$76*BQ703 + (1-$BB$72:$BB$76)*BM703), N($AQ$72:$AQ$76&gt;$AO703)),
SUMPRODUCT(INDEX($AR$67:$AT$76,,$AI703), INDEX($AU$67:$BA$76,,$AH703), 1 / ($BC$67:$BC$76*BQ703 + (1-$BC$67:$BC$76)*BM703), N($AQ$67:$AQ$76&gt;$AO703))
) / 1000</f>
        <v>0</v>
      </c>
      <c r="BS703" s="232">
        <f t="shared" si="682"/>
        <v>25</v>
      </c>
      <c r="BT703" s="230">
        <f t="shared" si="697"/>
        <v>38</v>
      </c>
      <c r="BU703" s="235">
        <f t="shared" si="698"/>
        <v>3.792954545454545</v>
      </c>
      <c r="BV703" s="235" cm="1">
        <f t="array" ref="BV703">$BI703 * IF($AH703&lt;=2,
SUMPRODUCT(INDEX($AR$67:$AT$71,,$AI703), INDEX($AU$67:$BA$71,,$AH703), 1 / ($BB$67:$BB$71*BU703 + (1-$BB$67:$BB$71)*BQ703), N($AQ$67:$AQ$71&gt;$AO703)),
SUMPRODUCT(INDEX($AR$57:$AT$66,,$AI703), INDEX($AU$57:$BA$66,,$AH703), 1 / ($BC$57:$BC$66*BU703 + (1-$BC$57:$BC$66)*BQ703), N($AQ$57:$AQ$66&gt;$AO703))
) / 1000</f>
        <v>0</v>
      </c>
      <c r="BW703" s="232">
        <f t="shared" si="683"/>
        <v>20</v>
      </c>
      <c r="BX703" s="230">
        <f t="shared" si="699"/>
        <v>33</v>
      </c>
      <c r="BY703" s="235">
        <f t="shared" si="700"/>
        <v>4.4702678571428569</v>
      </c>
      <c r="BZ703" s="235" cm="1">
        <f t="array" ref="BZ703">$BI703 * IF($AH703&lt;=2,
SUMPRODUCT(INDEX($AR$62:$AT$66,,$AI703), INDEX($AU$62:$BA$66,,$AH703), 1 / ($BB$62:$BB$66*BY703 + (1-$BB$62:$BB$66)*BU703), N($AQ$62:$AQ$66&gt;$AO703)),
SUMPRODUCT(INDEX($AR$47:$AT$56,,$AI703), INDEX($AU$47:$BA$56,,$AH703), 1 / ($BC$47:$BC$56*BY703 + (1-$BC$47:$BC$56)*BU703), N($AQ$47:$AQ$56&gt;$AO703))
) / 1000</f>
        <v>0</v>
      </c>
      <c r="CA703" s="235" cm="1">
        <f t="array" ref="CA703">$BI703 * IF($AH703&lt;=2,
SUMPRODUCT(INDEX($AR$23:$AT$61,,$AI703), INDEX($AU$23:$BA$61,,$AH703), 1 / ($BB$23:$BB$61*BY703), N($AQ$23:$AQ$61&gt;$AO703)),
SUMPRODUCT(INDEX($AR$23:$AT$46,,$AI703), INDEX($AU$23:$BA$46,,$AH703), 1 / ($BC$23:$BC$46*BY703), N($AQ$23:$AQ$46&gt;$AO703))
) / 1000</f>
        <v>0</v>
      </c>
      <c r="CB703" s="230">
        <f t="shared" si="701"/>
        <v>0</v>
      </c>
      <c r="CC703" s="238"/>
      <c r="CD703" s="229" cm="1">
        <f t="array" ref="CD703">IF(ISBLANK(Y703), INDEX(Use, $AH703, 4) - AN703*INDEX(Use, $AH703, 6) - (Q703-X703), Y703)</f>
        <v>7</v>
      </c>
      <c r="CE703" s="229">
        <f t="shared" si="702"/>
        <v>32</v>
      </c>
      <c r="CF703" s="230">
        <f t="shared" si="703"/>
        <v>0</v>
      </c>
      <c r="CG703" s="229">
        <v>35</v>
      </c>
      <c r="CH703" s="230">
        <f t="shared" si="704"/>
        <v>48</v>
      </c>
      <c r="CI703" s="235">
        <f t="shared" si="705"/>
        <v>3.0748170731707316</v>
      </c>
      <c r="CJ703" s="235" cm="1">
        <f t="array" ref="CJ703">$BI703 * SUMPRODUCT(INDEX($AR$77:$AT$82,,$AI703),INDEX($AU$77:$BA$82,,$AH703), N($AQ$77:$AQ$82&gt;$AO703)) / CI703 / 1000</f>
        <v>0</v>
      </c>
      <c r="CK703" s="232">
        <f t="shared" si="684"/>
        <v>30</v>
      </c>
      <c r="CL703" s="230">
        <f t="shared" si="706"/>
        <v>43</v>
      </c>
      <c r="CM703" s="235">
        <f t="shared" si="707"/>
        <v>3.5018750000000001</v>
      </c>
      <c r="CN703" s="235" cm="1">
        <f t="array" ref="CN703">$BI703 * IF($AH703&lt;=2,
SUMPRODUCT(INDEX($AR$72:$AT$76,,$AI703), INDEX($AU$72:$BA$76,,$AH703), 1 / ($BB$72:$BB$76*CM703 + (1-$BB$72:$BB$76)*CI703), N($AQ$72:$AQ$76&gt;$AO703)),
SUMPRODUCT(INDEX($AR$67:$AT$76,,$AI703), INDEX($AU$67:$BA$76,,$AH703), 1 / ($BC$67:$BC$76*CM703 + (1-$BC$67:$BC$76)*CI703), N($AQ$67:$AQ$76&gt;$AO703))
) / 1000</f>
        <v>0</v>
      </c>
      <c r="CO703" s="232">
        <f t="shared" si="685"/>
        <v>25</v>
      </c>
      <c r="CP703" s="230">
        <f t="shared" si="708"/>
        <v>38</v>
      </c>
      <c r="CQ703" s="235">
        <f t="shared" si="709"/>
        <v>4.0666935483870965</v>
      </c>
      <c r="CR703" s="235" cm="1">
        <f t="array" ref="CR703">$BI703 * IF($AH703&lt;=2,
SUMPRODUCT(INDEX($AR$67:$AT$71,,$AI703), INDEX($AU$67:$BA$71,,$AH703), 1 / ($BB$67:$BB$71*CQ703 + (1-$BB$67:$BB$71)*CM703), N($AQ$67:$AQ$71&gt;$AO703)),
SUMPRODUCT(INDEX($AR$57:$AT$66,,$AI703), INDEX($AU$57:$BA$66,,$AH703), 1 / ($BC$57:$BC$66*CQ703 + (1-$BC$57:$BC$66)*CM703), N($AQ$57:$AQ$66&gt;$AO703))
) / 1000</f>
        <v>0</v>
      </c>
      <c r="CS703" s="232">
        <f t="shared" si="686"/>
        <v>20</v>
      </c>
      <c r="CT703" s="230">
        <f t="shared" si="710"/>
        <v>33</v>
      </c>
      <c r="CU703" s="235">
        <f t="shared" si="711"/>
        <v>4.8487499999999999</v>
      </c>
      <c r="CV703" s="235" cm="1">
        <f t="array" ref="CV703">$BI703 * IF($AH703&lt;=2,
SUMPRODUCT(INDEX($AR$62:$AT$66,,$AI703), INDEX($AU$62:$BA$66,,$AH703), 1 / ($BB$62:$BB$66*CU703 + (1-$BB$62:$BB$66)*CQ703), N($AQ$62:$AQ$66&gt;$AO703)),
SUMPRODUCT(INDEX($AR$47:$AT$56,,$AI703), INDEX($AU$47:$BA$56,,$AH703), 1 / ($BC$47:$BC$56*CU703 + (1-$BC$47:$BC$56)*CQ703), N($AQ$47:$AQ$56&gt;$AO703))
) / 1000</f>
        <v>0</v>
      </c>
      <c r="CW703" s="235" cm="1">
        <f t="array" ref="CW703">$BI703 * IF($AH703&lt;=2,
SUMPRODUCT(INDEX($AR$23:$AT$61,,$AI703), INDEX($AU$23:$BA$61,,$AH703), 1 / ($BB$23:$BB$61*CU703), N($AQ$23:$AQ$61&gt;$AO703)),
SUMPRODUCT(INDEX($AR$23:$AT$46,,$AI703), INDEX($AU$23:$BA$46,,$AH703), 1 / ($BC$23:$BC$46*CU703), N($AQ$23:$AQ$46&gt;$AO703))
) / 1000</f>
        <v>0</v>
      </c>
      <c r="CX703" s="230">
        <f t="shared" si="712"/>
        <v>0</v>
      </c>
      <c r="CY703" s="238"/>
    </row>
    <row r="704" spans="1:103" s="76" customFormat="1" ht="14.25" customHeight="1" x14ac:dyDescent="0.2">
      <c r="A704" s="231" t="b">
        <f t="shared" si="678"/>
        <v>0</v>
      </c>
      <c r="B704" s="245">
        <v>682</v>
      </c>
      <c r="C704" s="258"/>
      <c r="D704" s="258"/>
      <c r="E704" s="246"/>
      <c r="F704" s="247" t="str">
        <f>IF(ISBLANK(E704), "", VLOOKUP(E704, Z!$A$2:$C$4127, 3, FALSE))</f>
        <v/>
      </c>
      <c r="G704" s="248"/>
      <c r="H704" s="248"/>
      <c r="I704" s="249"/>
      <c r="J704" s="250"/>
      <c r="K704" s="259"/>
      <c r="L704" s="260"/>
      <c r="M704" s="252" t="str" cm="1">
        <f t="array" ref="M704">INDEX(Trad, 53, $A$20)</f>
        <v>Verschmutzt</v>
      </c>
      <c r="N704" s="253"/>
      <c r="O704" s="253"/>
      <c r="P704" s="254"/>
      <c r="Q704" s="251"/>
      <c r="R704" s="251"/>
      <c r="S704" s="264">
        <f t="shared" si="687"/>
        <v>0</v>
      </c>
      <c r="T704" s="252" t="str" cm="1">
        <f t="array" ref="T704">INDEX(Trad, 52, $A$20)</f>
        <v>Sauber</v>
      </c>
      <c r="U704" s="253"/>
      <c r="V704" s="253"/>
      <c r="W704" s="254"/>
      <c r="X704" s="251"/>
      <c r="Y704" s="251"/>
      <c r="Z704" s="264">
        <f t="shared" si="688"/>
        <v>0</v>
      </c>
      <c r="AA704" s="261"/>
      <c r="AB704" s="258"/>
      <c r="AC704" s="246"/>
      <c r="AD704" s="247" t="str">
        <f>IF(ISBLANK(AC704), "", VLOOKUP(AC704, Z!$A$2:$C$4127, 3, FALSE))</f>
        <v/>
      </c>
      <c r="AE704" s="262"/>
      <c r="AF704" s="263">
        <f t="shared" si="689"/>
        <v>0</v>
      </c>
      <c r="AG704" s="238"/>
      <c r="AH704" s="229">
        <f t="shared" si="713"/>
        <v>1</v>
      </c>
      <c r="AI704" s="229">
        <f t="shared" si="714"/>
        <v>1</v>
      </c>
      <c r="AJ704" s="229">
        <f t="shared" si="715"/>
        <v>0</v>
      </c>
      <c r="AK704" s="229">
        <v>0</v>
      </c>
      <c r="AL704" s="229">
        <v>0</v>
      </c>
      <c r="AM704" s="229">
        <v>1</v>
      </c>
      <c r="AN704" s="229">
        <v>0</v>
      </c>
      <c r="AO704" s="229">
        <f t="shared" si="690"/>
        <v>-100</v>
      </c>
      <c r="AP704" s="238"/>
      <c r="AQ704" s="255"/>
      <c r="AR704" s="255"/>
      <c r="AS704" s="256"/>
      <c r="AT704" s="256"/>
      <c r="AU704" s="256"/>
      <c r="AV704" s="256"/>
      <c r="AW704" s="256"/>
      <c r="AX704" s="256"/>
      <c r="AY704" s="256"/>
      <c r="AZ704" s="256"/>
      <c r="BA704" s="256"/>
      <c r="BB704" s="256"/>
      <c r="BC704" s="256"/>
      <c r="BD704" s="238"/>
      <c r="BE704" s="229" cm="1">
        <f t="array" ref="BE704">IF(ISBLANK(R704), INDEX(Use, $AH704, 4) - AM704*INDEX(Use, $AH704, 6), R704)</f>
        <v>5</v>
      </c>
      <c r="BF704" s="229">
        <f t="shared" si="691"/>
        <v>30</v>
      </c>
      <c r="BG704" s="229">
        <f t="shared" si="679"/>
        <v>13</v>
      </c>
      <c r="BH704" s="229">
        <f t="shared" si="680"/>
        <v>0</v>
      </c>
      <c r="BI704" s="234" cm="1">
        <f t="array" ref="BI704">K704/IF($L704&gt;0, INDEX($AU$23:$BA$77, $L704+20, $AH704), 1)</f>
        <v>0</v>
      </c>
      <c r="BJ704" s="230">
        <f t="shared" si="692"/>
        <v>0</v>
      </c>
      <c r="BK704" s="229">
        <v>35</v>
      </c>
      <c r="BL704" s="230">
        <f t="shared" si="693"/>
        <v>48</v>
      </c>
      <c r="BM704" s="235">
        <f t="shared" si="694"/>
        <v>2.9108720930232557</v>
      </c>
      <c r="BN704" s="235" cm="1">
        <f t="array" ref="BN704">$BI704 * SUMPRODUCT(INDEX($AR$77:$AT$82,,$AI704),INDEX($AU$77:$BA$82,,$AH704), N($AQ$77:$AQ$82&gt;$AO704)) / BM704 / 1000</f>
        <v>0</v>
      </c>
      <c r="BO704" s="232">
        <f t="shared" si="681"/>
        <v>30</v>
      </c>
      <c r="BP704" s="230">
        <f t="shared" si="695"/>
        <v>43</v>
      </c>
      <c r="BQ704" s="235">
        <f t="shared" si="696"/>
        <v>3.2938815789473681</v>
      </c>
      <c r="BR704" s="235" cm="1">
        <f t="array" ref="BR704">$BI704 * IF($AH704&lt;=2,
SUMPRODUCT(INDEX($AR$72:$AT$76,,$AI704), INDEX($AU$72:$BA$76,,$AH704), 1 / ($BB$72:$BB$76*BQ704 + (1-$BB$72:$BB$76)*BM704), N($AQ$72:$AQ$76&gt;$AO704)),
SUMPRODUCT(INDEX($AR$67:$AT$76,,$AI704), INDEX($AU$67:$BA$76,,$AH704), 1 / ($BC$67:$BC$76*BQ704 + (1-$BC$67:$BC$76)*BM704), N($AQ$67:$AQ$76&gt;$AO704))
) / 1000</f>
        <v>0</v>
      </c>
      <c r="BS704" s="232">
        <f t="shared" si="682"/>
        <v>25</v>
      </c>
      <c r="BT704" s="230">
        <f t="shared" si="697"/>
        <v>38</v>
      </c>
      <c r="BU704" s="235">
        <f t="shared" si="698"/>
        <v>3.792954545454545</v>
      </c>
      <c r="BV704" s="235" cm="1">
        <f t="array" ref="BV704">$BI704 * IF($AH704&lt;=2,
SUMPRODUCT(INDEX($AR$67:$AT$71,,$AI704), INDEX($AU$67:$BA$71,,$AH704), 1 / ($BB$67:$BB$71*BU704 + (1-$BB$67:$BB$71)*BQ704), N($AQ$67:$AQ$71&gt;$AO704)),
SUMPRODUCT(INDEX($AR$57:$AT$66,,$AI704), INDEX($AU$57:$BA$66,,$AH704), 1 / ($BC$57:$BC$66*BU704 + (1-$BC$57:$BC$66)*BQ704), N($AQ$57:$AQ$66&gt;$AO704))
) / 1000</f>
        <v>0</v>
      </c>
      <c r="BW704" s="232">
        <f t="shared" si="683"/>
        <v>20</v>
      </c>
      <c r="BX704" s="230">
        <f t="shared" si="699"/>
        <v>33</v>
      </c>
      <c r="BY704" s="235">
        <f t="shared" si="700"/>
        <v>4.4702678571428569</v>
      </c>
      <c r="BZ704" s="235" cm="1">
        <f t="array" ref="BZ704">$BI704 * IF($AH704&lt;=2,
SUMPRODUCT(INDEX($AR$62:$AT$66,,$AI704), INDEX($AU$62:$BA$66,,$AH704), 1 / ($BB$62:$BB$66*BY704 + (1-$BB$62:$BB$66)*BU704), N($AQ$62:$AQ$66&gt;$AO704)),
SUMPRODUCT(INDEX($AR$47:$AT$56,,$AI704), INDEX($AU$47:$BA$56,,$AH704), 1 / ($BC$47:$BC$56*BY704 + (1-$BC$47:$BC$56)*BU704), N($AQ$47:$AQ$56&gt;$AO704))
) / 1000</f>
        <v>0</v>
      </c>
      <c r="CA704" s="235" cm="1">
        <f t="array" ref="CA704">$BI704 * IF($AH704&lt;=2,
SUMPRODUCT(INDEX($AR$23:$AT$61,,$AI704), INDEX($AU$23:$BA$61,,$AH704), 1 / ($BB$23:$BB$61*BY704), N($AQ$23:$AQ$61&gt;$AO704)),
SUMPRODUCT(INDEX($AR$23:$AT$46,,$AI704), INDEX($AU$23:$BA$46,,$AH704), 1 / ($BC$23:$BC$46*BY704), N($AQ$23:$AQ$46&gt;$AO704))
) / 1000</f>
        <v>0</v>
      </c>
      <c r="CB704" s="230">
        <f t="shared" si="701"/>
        <v>0</v>
      </c>
      <c r="CC704" s="238"/>
      <c r="CD704" s="229" cm="1">
        <f t="array" ref="CD704">IF(ISBLANK(Y704), INDEX(Use, $AH704, 4) - AN704*INDEX(Use, $AH704, 6) - (Q704-X704), Y704)</f>
        <v>7</v>
      </c>
      <c r="CE704" s="229">
        <f t="shared" si="702"/>
        <v>32</v>
      </c>
      <c r="CF704" s="230">
        <f t="shared" si="703"/>
        <v>0</v>
      </c>
      <c r="CG704" s="229">
        <v>35</v>
      </c>
      <c r="CH704" s="230">
        <f t="shared" si="704"/>
        <v>48</v>
      </c>
      <c r="CI704" s="235">
        <f t="shared" si="705"/>
        <v>3.0748170731707316</v>
      </c>
      <c r="CJ704" s="235" cm="1">
        <f t="array" ref="CJ704">$BI704 * SUMPRODUCT(INDEX($AR$77:$AT$82,,$AI704),INDEX($AU$77:$BA$82,,$AH704), N($AQ$77:$AQ$82&gt;$AO704)) / CI704 / 1000</f>
        <v>0</v>
      </c>
      <c r="CK704" s="232">
        <f t="shared" si="684"/>
        <v>30</v>
      </c>
      <c r="CL704" s="230">
        <f t="shared" si="706"/>
        <v>43</v>
      </c>
      <c r="CM704" s="235">
        <f t="shared" si="707"/>
        <v>3.5018750000000001</v>
      </c>
      <c r="CN704" s="235" cm="1">
        <f t="array" ref="CN704">$BI704 * IF($AH704&lt;=2,
SUMPRODUCT(INDEX($AR$72:$AT$76,,$AI704), INDEX($AU$72:$BA$76,,$AH704), 1 / ($BB$72:$BB$76*CM704 + (1-$BB$72:$BB$76)*CI704), N($AQ$72:$AQ$76&gt;$AO704)),
SUMPRODUCT(INDEX($AR$67:$AT$76,,$AI704), INDEX($AU$67:$BA$76,,$AH704), 1 / ($BC$67:$BC$76*CM704 + (1-$BC$67:$BC$76)*CI704), N($AQ$67:$AQ$76&gt;$AO704))
) / 1000</f>
        <v>0</v>
      </c>
      <c r="CO704" s="232">
        <f t="shared" si="685"/>
        <v>25</v>
      </c>
      <c r="CP704" s="230">
        <f t="shared" si="708"/>
        <v>38</v>
      </c>
      <c r="CQ704" s="235">
        <f t="shared" si="709"/>
        <v>4.0666935483870965</v>
      </c>
      <c r="CR704" s="235" cm="1">
        <f t="array" ref="CR704">$BI704 * IF($AH704&lt;=2,
SUMPRODUCT(INDEX($AR$67:$AT$71,,$AI704), INDEX($AU$67:$BA$71,,$AH704), 1 / ($BB$67:$BB$71*CQ704 + (1-$BB$67:$BB$71)*CM704), N($AQ$67:$AQ$71&gt;$AO704)),
SUMPRODUCT(INDEX($AR$57:$AT$66,,$AI704), INDEX($AU$57:$BA$66,,$AH704), 1 / ($BC$57:$BC$66*CQ704 + (1-$BC$57:$BC$66)*CM704), N($AQ$57:$AQ$66&gt;$AO704))
) / 1000</f>
        <v>0</v>
      </c>
      <c r="CS704" s="232">
        <f t="shared" si="686"/>
        <v>20</v>
      </c>
      <c r="CT704" s="230">
        <f t="shared" si="710"/>
        <v>33</v>
      </c>
      <c r="CU704" s="235">
        <f t="shared" si="711"/>
        <v>4.8487499999999999</v>
      </c>
      <c r="CV704" s="235" cm="1">
        <f t="array" ref="CV704">$BI704 * IF($AH704&lt;=2,
SUMPRODUCT(INDEX($AR$62:$AT$66,,$AI704), INDEX($AU$62:$BA$66,,$AH704), 1 / ($BB$62:$BB$66*CU704 + (1-$BB$62:$BB$66)*CQ704), N($AQ$62:$AQ$66&gt;$AO704)),
SUMPRODUCT(INDEX($AR$47:$AT$56,,$AI704), INDEX($AU$47:$BA$56,,$AH704), 1 / ($BC$47:$BC$56*CU704 + (1-$BC$47:$BC$56)*CQ704), N($AQ$47:$AQ$56&gt;$AO704))
) / 1000</f>
        <v>0</v>
      </c>
      <c r="CW704" s="235" cm="1">
        <f t="array" ref="CW704">$BI704 * IF($AH704&lt;=2,
SUMPRODUCT(INDEX($AR$23:$AT$61,,$AI704), INDEX($AU$23:$BA$61,,$AH704), 1 / ($BB$23:$BB$61*CU704), N($AQ$23:$AQ$61&gt;$AO704)),
SUMPRODUCT(INDEX($AR$23:$AT$46,,$AI704), INDEX($AU$23:$BA$46,,$AH704), 1 / ($BC$23:$BC$46*CU704), N($AQ$23:$AQ$46&gt;$AO704))
) / 1000</f>
        <v>0</v>
      </c>
      <c r="CX704" s="230">
        <f t="shared" si="712"/>
        <v>0</v>
      </c>
      <c r="CY704" s="238"/>
    </row>
    <row r="705" spans="1:103" s="76" customFormat="1" ht="14.25" customHeight="1" x14ac:dyDescent="0.2">
      <c r="A705" s="231" t="b">
        <f t="shared" si="678"/>
        <v>0</v>
      </c>
      <c r="B705" s="245">
        <v>683</v>
      </c>
      <c r="C705" s="258"/>
      <c r="D705" s="258"/>
      <c r="E705" s="246"/>
      <c r="F705" s="247" t="str">
        <f>IF(ISBLANK(E705), "", VLOOKUP(E705, Z!$A$2:$C$4127, 3, FALSE))</f>
        <v/>
      </c>
      <c r="G705" s="248"/>
      <c r="H705" s="248"/>
      <c r="I705" s="249"/>
      <c r="J705" s="250"/>
      <c r="K705" s="259"/>
      <c r="L705" s="260"/>
      <c r="M705" s="252" t="str" cm="1">
        <f t="array" ref="M705">INDEX(Trad, 53, $A$20)</f>
        <v>Verschmutzt</v>
      </c>
      <c r="N705" s="253"/>
      <c r="O705" s="253"/>
      <c r="P705" s="254"/>
      <c r="Q705" s="251"/>
      <c r="R705" s="251"/>
      <c r="S705" s="264">
        <f t="shared" si="687"/>
        <v>0</v>
      </c>
      <c r="T705" s="252" t="str" cm="1">
        <f t="array" ref="T705">INDEX(Trad, 52, $A$20)</f>
        <v>Sauber</v>
      </c>
      <c r="U705" s="253"/>
      <c r="V705" s="253"/>
      <c r="W705" s="254"/>
      <c r="X705" s="251"/>
      <c r="Y705" s="251"/>
      <c r="Z705" s="264">
        <f t="shared" si="688"/>
        <v>0</v>
      </c>
      <c r="AA705" s="261"/>
      <c r="AB705" s="258"/>
      <c r="AC705" s="246"/>
      <c r="AD705" s="247" t="str">
        <f>IF(ISBLANK(AC705), "", VLOOKUP(AC705, Z!$A$2:$C$4127, 3, FALSE))</f>
        <v/>
      </c>
      <c r="AE705" s="262"/>
      <c r="AF705" s="263">
        <f t="shared" si="689"/>
        <v>0</v>
      </c>
      <c r="AG705" s="238"/>
      <c r="AH705" s="229">
        <f t="shared" si="713"/>
        <v>1</v>
      </c>
      <c r="AI705" s="229">
        <f t="shared" si="714"/>
        <v>1</v>
      </c>
      <c r="AJ705" s="229">
        <f t="shared" si="715"/>
        <v>0</v>
      </c>
      <c r="AK705" s="229">
        <v>0</v>
      </c>
      <c r="AL705" s="229">
        <v>0</v>
      </c>
      <c r="AM705" s="229">
        <v>1</v>
      </c>
      <c r="AN705" s="229">
        <v>0</v>
      </c>
      <c r="AO705" s="229">
        <f t="shared" si="690"/>
        <v>-100</v>
      </c>
      <c r="AP705" s="238"/>
      <c r="AQ705" s="255"/>
      <c r="AR705" s="255"/>
      <c r="AS705" s="256"/>
      <c r="AT705" s="256"/>
      <c r="AU705" s="256"/>
      <c r="AV705" s="256"/>
      <c r="AW705" s="256"/>
      <c r="AX705" s="256"/>
      <c r="AY705" s="256"/>
      <c r="AZ705" s="256"/>
      <c r="BA705" s="256"/>
      <c r="BB705" s="256"/>
      <c r="BC705" s="256"/>
      <c r="BD705" s="238"/>
      <c r="BE705" s="229" cm="1">
        <f t="array" ref="BE705">IF(ISBLANK(R705), INDEX(Use, $AH705, 4) - AM705*INDEX(Use, $AH705, 6), R705)</f>
        <v>5</v>
      </c>
      <c r="BF705" s="229">
        <f t="shared" si="691"/>
        <v>30</v>
      </c>
      <c r="BG705" s="229">
        <f t="shared" si="679"/>
        <v>13</v>
      </c>
      <c r="BH705" s="229">
        <f t="shared" si="680"/>
        <v>0</v>
      </c>
      <c r="BI705" s="234" cm="1">
        <f t="array" ref="BI705">K705/IF($L705&gt;0, INDEX($AU$23:$BA$77, $L705+20, $AH705), 1)</f>
        <v>0</v>
      </c>
      <c r="BJ705" s="230">
        <f t="shared" si="692"/>
        <v>0</v>
      </c>
      <c r="BK705" s="229">
        <v>35</v>
      </c>
      <c r="BL705" s="230">
        <f t="shared" si="693"/>
        <v>48</v>
      </c>
      <c r="BM705" s="235">
        <f t="shared" si="694"/>
        <v>2.9108720930232557</v>
      </c>
      <c r="BN705" s="235" cm="1">
        <f t="array" ref="BN705">$BI705 * SUMPRODUCT(INDEX($AR$77:$AT$82,,$AI705),INDEX($AU$77:$BA$82,,$AH705), N($AQ$77:$AQ$82&gt;$AO705)) / BM705 / 1000</f>
        <v>0</v>
      </c>
      <c r="BO705" s="232">
        <f t="shared" si="681"/>
        <v>30</v>
      </c>
      <c r="BP705" s="230">
        <f t="shared" si="695"/>
        <v>43</v>
      </c>
      <c r="BQ705" s="235">
        <f t="shared" si="696"/>
        <v>3.2938815789473681</v>
      </c>
      <c r="BR705" s="235" cm="1">
        <f t="array" ref="BR705">$BI705 * IF($AH705&lt;=2,
SUMPRODUCT(INDEX($AR$72:$AT$76,,$AI705), INDEX($AU$72:$BA$76,,$AH705), 1 / ($BB$72:$BB$76*BQ705 + (1-$BB$72:$BB$76)*BM705), N($AQ$72:$AQ$76&gt;$AO705)),
SUMPRODUCT(INDEX($AR$67:$AT$76,,$AI705), INDEX($AU$67:$BA$76,,$AH705), 1 / ($BC$67:$BC$76*BQ705 + (1-$BC$67:$BC$76)*BM705), N($AQ$67:$AQ$76&gt;$AO705))
) / 1000</f>
        <v>0</v>
      </c>
      <c r="BS705" s="232">
        <f t="shared" si="682"/>
        <v>25</v>
      </c>
      <c r="BT705" s="230">
        <f t="shared" si="697"/>
        <v>38</v>
      </c>
      <c r="BU705" s="235">
        <f t="shared" si="698"/>
        <v>3.792954545454545</v>
      </c>
      <c r="BV705" s="235" cm="1">
        <f t="array" ref="BV705">$BI705 * IF($AH705&lt;=2,
SUMPRODUCT(INDEX($AR$67:$AT$71,,$AI705), INDEX($AU$67:$BA$71,,$AH705), 1 / ($BB$67:$BB$71*BU705 + (1-$BB$67:$BB$71)*BQ705), N($AQ$67:$AQ$71&gt;$AO705)),
SUMPRODUCT(INDEX($AR$57:$AT$66,,$AI705), INDEX($AU$57:$BA$66,,$AH705), 1 / ($BC$57:$BC$66*BU705 + (1-$BC$57:$BC$66)*BQ705), N($AQ$57:$AQ$66&gt;$AO705))
) / 1000</f>
        <v>0</v>
      </c>
      <c r="BW705" s="232">
        <f t="shared" si="683"/>
        <v>20</v>
      </c>
      <c r="BX705" s="230">
        <f t="shared" si="699"/>
        <v>33</v>
      </c>
      <c r="BY705" s="235">
        <f t="shared" si="700"/>
        <v>4.4702678571428569</v>
      </c>
      <c r="BZ705" s="235" cm="1">
        <f t="array" ref="BZ705">$BI705 * IF($AH705&lt;=2,
SUMPRODUCT(INDEX($AR$62:$AT$66,,$AI705), INDEX($AU$62:$BA$66,,$AH705), 1 / ($BB$62:$BB$66*BY705 + (1-$BB$62:$BB$66)*BU705), N($AQ$62:$AQ$66&gt;$AO705)),
SUMPRODUCT(INDEX($AR$47:$AT$56,,$AI705), INDEX($AU$47:$BA$56,,$AH705), 1 / ($BC$47:$BC$56*BY705 + (1-$BC$47:$BC$56)*BU705), N($AQ$47:$AQ$56&gt;$AO705))
) / 1000</f>
        <v>0</v>
      </c>
      <c r="CA705" s="235" cm="1">
        <f t="array" ref="CA705">$BI705 * IF($AH705&lt;=2,
SUMPRODUCT(INDEX($AR$23:$AT$61,,$AI705), INDEX($AU$23:$BA$61,,$AH705), 1 / ($BB$23:$BB$61*BY705), N($AQ$23:$AQ$61&gt;$AO705)),
SUMPRODUCT(INDEX($AR$23:$AT$46,,$AI705), INDEX($AU$23:$BA$46,,$AH705), 1 / ($BC$23:$BC$46*BY705), N($AQ$23:$AQ$46&gt;$AO705))
) / 1000</f>
        <v>0</v>
      </c>
      <c r="CB705" s="230">
        <f t="shared" si="701"/>
        <v>0</v>
      </c>
      <c r="CC705" s="238"/>
      <c r="CD705" s="229" cm="1">
        <f t="array" ref="CD705">IF(ISBLANK(Y705), INDEX(Use, $AH705, 4) - AN705*INDEX(Use, $AH705, 6) - (Q705-X705), Y705)</f>
        <v>7</v>
      </c>
      <c r="CE705" s="229">
        <f t="shared" si="702"/>
        <v>32</v>
      </c>
      <c r="CF705" s="230">
        <f t="shared" si="703"/>
        <v>0</v>
      </c>
      <c r="CG705" s="229">
        <v>35</v>
      </c>
      <c r="CH705" s="230">
        <f t="shared" si="704"/>
        <v>48</v>
      </c>
      <c r="CI705" s="235">
        <f t="shared" si="705"/>
        <v>3.0748170731707316</v>
      </c>
      <c r="CJ705" s="235" cm="1">
        <f t="array" ref="CJ705">$BI705 * SUMPRODUCT(INDEX($AR$77:$AT$82,,$AI705),INDEX($AU$77:$BA$82,,$AH705), N($AQ$77:$AQ$82&gt;$AO705)) / CI705 / 1000</f>
        <v>0</v>
      </c>
      <c r="CK705" s="232">
        <f t="shared" si="684"/>
        <v>30</v>
      </c>
      <c r="CL705" s="230">
        <f t="shared" si="706"/>
        <v>43</v>
      </c>
      <c r="CM705" s="235">
        <f t="shared" si="707"/>
        <v>3.5018750000000001</v>
      </c>
      <c r="CN705" s="235" cm="1">
        <f t="array" ref="CN705">$BI705 * IF($AH705&lt;=2,
SUMPRODUCT(INDEX($AR$72:$AT$76,,$AI705), INDEX($AU$72:$BA$76,,$AH705), 1 / ($BB$72:$BB$76*CM705 + (1-$BB$72:$BB$76)*CI705), N($AQ$72:$AQ$76&gt;$AO705)),
SUMPRODUCT(INDEX($AR$67:$AT$76,,$AI705), INDEX($AU$67:$BA$76,,$AH705), 1 / ($BC$67:$BC$76*CM705 + (1-$BC$67:$BC$76)*CI705), N($AQ$67:$AQ$76&gt;$AO705))
) / 1000</f>
        <v>0</v>
      </c>
      <c r="CO705" s="232">
        <f t="shared" si="685"/>
        <v>25</v>
      </c>
      <c r="CP705" s="230">
        <f t="shared" si="708"/>
        <v>38</v>
      </c>
      <c r="CQ705" s="235">
        <f t="shared" si="709"/>
        <v>4.0666935483870965</v>
      </c>
      <c r="CR705" s="235" cm="1">
        <f t="array" ref="CR705">$BI705 * IF($AH705&lt;=2,
SUMPRODUCT(INDEX($AR$67:$AT$71,,$AI705), INDEX($AU$67:$BA$71,,$AH705), 1 / ($BB$67:$BB$71*CQ705 + (1-$BB$67:$BB$71)*CM705), N($AQ$67:$AQ$71&gt;$AO705)),
SUMPRODUCT(INDEX($AR$57:$AT$66,,$AI705), INDEX($AU$57:$BA$66,,$AH705), 1 / ($BC$57:$BC$66*CQ705 + (1-$BC$57:$BC$66)*CM705), N($AQ$57:$AQ$66&gt;$AO705))
) / 1000</f>
        <v>0</v>
      </c>
      <c r="CS705" s="232">
        <f t="shared" si="686"/>
        <v>20</v>
      </c>
      <c r="CT705" s="230">
        <f t="shared" si="710"/>
        <v>33</v>
      </c>
      <c r="CU705" s="235">
        <f t="shared" si="711"/>
        <v>4.8487499999999999</v>
      </c>
      <c r="CV705" s="235" cm="1">
        <f t="array" ref="CV705">$BI705 * IF($AH705&lt;=2,
SUMPRODUCT(INDEX($AR$62:$AT$66,,$AI705), INDEX($AU$62:$BA$66,,$AH705), 1 / ($BB$62:$BB$66*CU705 + (1-$BB$62:$BB$66)*CQ705), N($AQ$62:$AQ$66&gt;$AO705)),
SUMPRODUCT(INDEX($AR$47:$AT$56,,$AI705), INDEX($AU$47:$BA$56,,$AH705), 1 / ($BC$47:$BC$56*CU705 + (1-$BC$47:$BC$56)*CQ705), N($AQ$47:$AQ$56&gt;$AO705))
) / 1000</f>
        <v>0</v>
      </c>
      <c r="CW705" s="235" cm="1">
        <f t="array" ref="CW705">$BI705 * IF($AH705&lt;=2,
SUMPRODUCT(INDEX($AR$23:$AT$61,,$AI705), INDEX($AU$23:$BA$61,,$AH705), 1 / ($BB$23:$BB$61*CU705), N($AQ$23:$AQ$61&gt;$AO705)),
SUMPRODUCT(INDEX($AR$23:$AT$46,,$AI705), INDEX($AU$23:$BA$46,,$AH705), 1 / ($BC$23:$BC$46*CU705), N($AQ$23:$AQ$46&gt;$AO705))
) / 1000</f>
        <v>0</v>
      </c>
      <c r="CX705" s="230">
        <f t="shared" si="712"/>
        <v>0</v>
      </c>
      <c r="CY705" s="238"/>
    </row>
    <row r="706" spans="1:103" s="76" customFormat="1" ht="14.25" customHeight="1" x14ac:dyDescent="0.2">
      <c r="A706" s="231" t="b">
        <f t="shared" si="678"/>
        <v>0</v>
      </c>
      <c r="B706" s="245">
        <v>684</v>
      </c>
      <c r="C706" s="258"/>
      <c r="D706" s="258"/>
      <c r="E706" s="246"/>
      <c r="F706" s="247" t="str">
        <f>IF(ISBLANK(E706), "", VLOOKUP(E706, Z!$A$2:$C$4127, 3, FALSE))</f>
        <v/>
      </c>
      <c r="G706" s="248"/>
      <c r="H706" s="248"/>
      <c r="I706" s="249"/>
      <c r="J706" s="250"/>
      <c r="K706" s="259"/>
      <c r="L706" s="260"/>
      <c r="M706" s="252" t="str" cm="1">
        <f t="array" ref="M706">INDEX(Trad, 53, $A$20)</f>
        <v>Verschmutzt</v>
      </c>
      <c r="N706" s="253"/>
      <c r="O706" s="253"/>
      <c r="P706" s="254"/>
      <c r="Q706" s="251"/>
      <c r="R706" s="251"/>
      <c r="S706" s="264">
        <f t="shared" si="687"/>
        <v>0</v>
      </c>
      <c r="T706" s="252" t="str" cm="1">
        <f t="array" ref="T706">INDEX(Trad, 52, $A$20)</f>
        <v>Sauber</v>
      </c>
      <c r="U706" s="253"/>
      <c r="V706" s="253"/>
      <c r="W706" s="254"/>
      <c r="X706" s="251"/>
      <c r="Y706" s="251"/>
      <c r="Z706" s="264">
        <f t="shared" si="688"/>
        <v>0</v>
      </c>
      <c r="AA706" s="261"/>
      <c r="AB706" s="258"/>
      <c r="AC706" s="246"/>
      <c r="AD706" s="247" t="str">
        <f>IF(ISBLANK(AC706), "", VLOOKUP(AC706, Z!$A$2:$C$4127, 3, FALSE))</f>
        <v/>
      </c>
      <c r="AE706" s="262"/>
      <c r="AF706" s="263">
        <f t="shared" si="689"/>
        <v>0</v>
      </c>
      <c r="AG706" s="238"/>
      <c r="AH706" s="229">
        <f t="shared" si="713"/>
        <v>1</v>
      </c>
      <c r="AI706" s="229">
        <f t="shared" si="714"/>
        <v>1</v>
      </c>
      <c r="AJ706" s="229">
        <f t="shared" si="715"/>
        <v>0</v>
      </c>
      <c r="AK706" s="229">
        <v>0</v>
      </c>
      <c r="AL706" s="229">
        <v>0</v>
      </c>
      <c r="AM706" s="229">
        <v>1</v>
      </c>
      <c r="AN706" s="229">
        <v>0</v>
      </c>
      <c r="AO706" s="229">
        <f t="shared" si="690"/>
        <v>-100</v>
      </c>
      <c r="AP706" s="238"/>
      <c r="AQ706" s="255"/>
      <c r="AR706" s="255"/>
      <c r="AS706" s="256"/>
      <c r="AT706" s="256"/>
      <c r="AU706" s="256"/>
      <c r="AV706" s="256"/>
      <c r="AW706" s="256"/>
      <c r="AX706" s="256"/>
      <c r="AY706" s="256"/>
      <c r="AZ706" s="256"/>
      <c r="BA706" s="256"/>
      <c r="BB706" s="256"/>
      <c r="BC706" s="256"/>
      <c r="BD706" s="238"/>
      <c r="BE706" s="229" cm="1">
        <f t="array" ref="BE706">IF(ISBLANK(R706), INDEX(Use, $AH706, 4) - AM706*INDEX(Use, $AH706, 6), R706)</f>
        <v>5</v>
      </c>
      <c r="BF706" s="229">
        <f t="shared" si="691"/>
        <v>30</v>
      </c>
      <c r="BG706" s="229">
        <f t="shared" si="679"/>
        <v>13</v>
      </c>
      <c r="BH706" s="229">
        <f t="shared" si="680"/>
        <v>0</v>
      </c>
      <c r="BI706" s="234" cm="1">
        <f t="array" ref="BI706">K706/IF($L706&gt;0, INDEX($AU$23:$BA$77, $L706+20, $AH706), 1)</f>
        <v>0</v>
      </c>
      <c r="BJ706" s="230">
        <f t="shared" si="692"/>
        <v>0</v>
      </c>
      <c r="BK706" s="229">
        <v>35</v>
      </c>
      <c r="BL706" s="230">
        <f t="shared" si="693"/>
        <v>48</v>
      </c>
      <c r="BM706" s="235">
        <f t="shared" si="694"/>
        <v>2.9108720930232557</v>
      </c>
      <c r="BN706" s="235" cm="1">
        <f t="array" ref="BN706">$BI706 * SUMPRODUCT(INDEX($AR$77:$AT$82,,$AI706),INDEX($AU$77:$BA$82,,$AH706), N($AQ$77:$AQ$82&gt;$AO706)) / BM706 / 1000</f>
        <v>0</v>
      </c>
      <c r="BO706" s="232">
        <f t="shared" si="681"/>
        <v>30</v>
      </c>
      <c r="BP706" s="230">
        <f t="shared" si="695"/>
        <v>43</v>
      </c>
      <c r="BQ706" s="235">
        <f t="shared" si="696"/>
        <v>3.2938815789473681</v>
      </c>
      <c r="BR706" s="235" cm="1">
        <f t="array" ref="BR706">$BI706 * IF($AH706&lt;=2,
SUMPRODUCT(INDEX($AR$72:$AT$76,,$AI706), INDEX($AU$72:$BA$76,,$AH706), 1 / ($BB$72:$BB$76*BQ706 + (1-$BB$72:$BB$76)*BM706), N($AQ$72:$AQ$76&gt;$AO706)),
SUMPRODUCT(INDEX($AR$67:$AT$76,,$AI706), INDEX($AU$67:$BA$76,,$AH706), 1 / ($BC$67:$BC$76*BQ706 + (1-$BC$67:$BC$76)*BM706), N($AQ$67:$AQ$76&gt;$AO706))
) / 1000</f>
        <v>0</v>
      </c>
      <c r="BS706" s="232">
        <f t="shared" si="682"/>
        <v>25</v>
      </c>
      <c r="BT706" s="230">
        <f t="shared" si="697"/>
        <v>38</v>
      </c>
      <c r="BU706" s="235">
        <f t="shared" si="698"/>
        <v>3.792954545454545</v>
      </c>
      <c r="BV706" s="235" cm="1">
        <f t="array" ref="BV706">$BI706 * IF($AH706&lt;=2,
SUMPRODUCT(INDEX($AR$67:$AT$71,,$AI706), INDEX($AU$67:$BA$71,,$AH706), 1 / ($BB$67:$BB$71*BU706 + (1-$BB$67:$BB$71)*BQ706), N($AQ$67:$AQ$71&gt;$AO706)),
SUMPRODUCT(INDEX($AR$57:$AT$66,,$AI706), INDEX($AU$57:$BA$66,,$AH706), 1 / ($BC$57:$BC$66*BU706 + (1-$BC$57:$BC$66)*BQ706), N($AQ$57:$AQ$66&gt;$AO706))
) / 1000</f>
        <v>0</v>
      </c>
      <c r="BW706" s="232">
        <f t="shared" si="683"/>
        <v>20</v>
      </c>
      <c r="BX706" s="230">
        <f t="shared" si="699"/>
        <v>33</v>
      </c>
      <c r="BY706" s="235">
        <f t="shared" si="700"/>
        <v>4.4702678571428569</v>
      </c>
      <c r="BZ706" s="235" cm="1">
        <f t="array" ref="BZ706">$BI706 * IF($AH706&lt;=2,
SUMPRODUCT(INDEX($AR$62:$AT$66,,$AI706), INDEX($AU$62:$BA$66,,$AH706), 1 / ($BB$62:$BB$66*BY706 + (1-$BB$62:$BB$66)*BU706), N($AQ$62:$AQ$66&gt;$AO706)),
SUMPRODUCT(INDEX($AR$47:$AT$56,,$AI706), INDEX($AU$47:$BA$56,,$AH706), 1 / ($BC$47:$BC$56*BY706 + (1-$BC$47:$BC$56)*BU706), N($AQ$47:$AQ$56&gt;$AO706))
) / 1000</f>
        <v>0</v>
      </c>
      <c r="CA706" s="235" cm="1">
        <f t="array" ref="CA706">$BI706 * IF($AH706&lt;=2,
SUMPRODUCT(INDEX($AR$23:$AT$61,,$AI706), INDEX($AU$23:$BA$61,,$AH706), 1 / ($BB$23:$BB$61*BY706), N($AQ$23:$AQ$61&gt;$AO706)),
SUMPRODUCT(INDEX($AR$23:$AT$46,,$AI706), INDEX($AU$23:$BA$46,,$AH706), 1 / ($BC$23:$BC$46*BY706), N($AQ$23:$AQ$46&gt;$AO706))
) / 1000</f>
        <v>0</v>
      </c>
      <c r="CB706" s="230">
        <f t="shared" si="701"/>
        <v>0</v>
      </c>
      <c r="CC706" s="238"/>
      <c r="CD706" s="229" cm="1">
        <f t="array" ref="CD706">IF(ISBLANK(Y706), INDEX(Use, $AH706, 4) - AN706*INDEX(Use, $AH706, 6) - (Q706-X706), Y706)</f>
        <v>7</v>
      </c>
      <c r="CE706" s="229">
        <f t="shared" si="702"/>
        <v>32</v>
      </c>
      <c r="CF706" s="230">
        <f t="shared" si="703"/>
        <v>0</v>
      </c>
      <c r="CG706" s="229">
        <v>35</v>
      </c>
      <c r="CH706" s="230">
        <f t="shared" si="704"/>
        <v>48</v>
      </c>
      <c r="CI706" s="235">
        <f t="shared" si="705"/>
        <v>3.0748170731707316</v>
      </c>
      <c r="CJ706" s="235" cm="1">
        <f t="array" ref="CJ706">$BI706 * SUMPRODUCT(INDEX($AR$77:$AT$82,,$AI706),INDEX($AU$77:$BA$82,,$AH706), N($AQ$77:$AQ$82&gt;$AO706)) / CI706 / 1000</f>
        <v>0</v>
      </c>
      <c r="CK706" s="232">
        <f t="shared" si="684"/>
        <v>30</v>
      </c>
      <c r="CL706" s="230">
        <f t="shared" si="706"/>
        <v>43</v>
      </c>
      <c r="CM706" s="235">
        <f t="shared" si="707"/>
        <v>3.5018750000000001</v>
      </c>
      <c r="CN706" s="235" cm="1">
        <f t="array" ref="CN706">$BI706 * IF($AH706&lt;=2,
SUMPRODUCT(INDEX($AR$72:$AT$76,,$AI706), INDEX($AU$72:$BA$76,,$AH706), 1 / ($BB$72:$BB$76*CM706 + (1-$BB$72:$BB$76)*CI706), N($AQ$72:$AQ$76&gt;$AO706)),
SUMPRODUCT(INDEX($AR$67:$AT$76,,$AI706), INDEX($AU$67:$BA$76,,$AH706), 1 / ($BC$67:$BC$76*CM706 + (1-$BC$67:$BC$76)*CI706), N($AQ$67:$AQ$76&gt;$AO706))
) / 1000</f>
        <v>0</v>
      </c>
      <c r="CO706" s="232">
        <f t="shared" si="685"/>
        <v>25</v>
      </c>
      <c r="CP706" s="230">
        <f t="shared" si="708"/>
        <v>38</v>
      </c>
      <c r="CQ706" s="235">
        <f t="shared" si="709"/>
        <v>4.0666935483870965</v>
      </c>
      <c r="CR706" s="235" cm="1">
        <f t="array" ref="CR706">$BI706 * IF($AH706&lt;=2,
SUMPRODUCT(INDEX($AR$67:$AT$71,,$AI706), INDEX($AU$67:$BA$71,,$AH706), 1 / ($BB$67:$BB$71*CQ706 + (1-$BB$67:$BB$71)*CM706), N($AQ$67:$AQ$71&gt;$AO706)),
SUMPRODUCT(INDEX($AR$57:$AT$66,,$AI706), INDEX($AU$57:$BA$66,,$AH706), 1 / ($BC$57:$BC$66*CQ706 + (1-$BC$57:$BC$66)*CM706), N($AQ$57:$AQ$66&gt;$AO706))
) / 1000</f>
        <v>0</v>
      </c>
      <c r="CS706" s="232">
        <f t="shared" si="686"/>
        <v>20</v>
      </c>
      <c r="CT706" s="230">
        <f t="shared" si="710"/>
        <v>33</v>
      </c>
      <c r="CU706" s="235">
        <f t="shared" si="711"/>
        <v>4.8487499999999999</v>
      </c>
      <c r="CV706" s="235" cm="1">
        <f t="array" ref="CV706">$BI706 * IF($AH706&lt;=2,
SUMPRODUCT(INDEX($AR$62:$AT$66,,$AI706), INDEX($AU$62:$BA$66,,$AH706), 1 / ($BB$62:$BB$66*CU706 + (1-$BB$62:$BB$66)*CQ706), N($AQ$62:$AQ$66&gt;$AO706)),
SUMPRODUCT(INDEX($AR$47:$AT$56,,$AI706), INDEX($AU$47:$BA$56,,$AH706), 1 / ($BC$47:$BC$56*CU706 + (1-$BC$47:$BC$56)*CQ706), N($AQ$47:$AQ$56&gt;$AO706))
) / 1000</f>
        <v>0</v>
      </c>
      <c r="CW706" s="235" cm="1">
        <f t="array" ref="CW706">$BI706 * IF($AH706&lt;=2,
SUMPRODUCT(INDEX($AR$23:$AT$61,,$AI706), INDEX($AU$23:$BA$61,,$AH706), 1 / ($BB$23:$BB$61*CU706), N($AQ$23:$AQ$61&gt;$AO706)),
SUMPRODUCT(INDEX($AR$23:$AT$46,,$AI706), INDEX($AU$23:$BA$46,,$AH706), 1 / ($BC$23:$BC$46*CU706), N($AQ$23:$AQ$46&gt;$AO706))
) / 1000</f>
        <v>0</v>
      </c>
      <c r="CX706" s="230">
        <f t="shared" si="712"/>
        <v>0</v>
      </c>
      <c r="CY706" s="238"/>
    </row>
    <row r="707" spans="1:103" s="76" customFormat="1" ht="14.25" customHeight="1" x14ac:dyDescent="0.2">
      <c r="A707" s="231" t="b">
        <f t="shared" si="678"/>
        <v>0</v>
      </c>
      <c r="B707" s="245">
        <v>685</v>
      </c>
      <c r="C707" s="258"/>
      <c r="D707" s="258"/>
      <c r="E707" s="246"/>
      <c r="F707" s="247" t="str">
        <f>IF(ISBLANK(E707), "", VLOOKUP(E707, Z!$A$2:$C$4127, 3, FALSE))</f>
        <v/>
      </c>
      <c r="G707" s="248"/>
      <c r="H707" s="248"/>
      <c r="I707" s="249"/>
      <c r="J707" s="250"/>
      <c r="K707" s="259"/>
      <c r="L707" s="260"/>
      <c r="M707" s="252" t="str" cm="1">
        <f t="array" ref="M707">INDEX(Trad, 53, $A$20)</f>
        <v>Verschmutzt</v>
      </c>
      <c r="N707" s="253"/>
      <c r="O707" s="253"/>
      <c r="P707" s="254"/>
      <c r="Q707" s="251"/>
      <c r="R707" s="251"/>
      <c r="S707" s="264">
        <f t="shared" si="687"/>
        <v>0</v>
      </c>
      <c r="T707" s="252" t="str" cm="1">
        <f t="array" ref="T707">INDEX(Trad, 52, $A$20)</f>
        <v>Sauber</v>
      </c>
      <c r="U707" s="253"/>
      <c r="V707" s="253"/>
      <c r="W707" s="254"/>
      <c r="X707" s="251"/>
      <c r="Y707" s="251"/>
      <c r="Z707" s="264">
        <f t="shared" si="688"/>
        <v>0</v>
      </c>
      <c r="AA707" s="261"/>
      <c r="AB707" s="258"/>
      <c r="AC707" s="246"/>
      <c r="AD707" s="247" t="str">
        <f>IF(ISBLANK(AC707), "", VLOOKUP(AC707, Z!$A$2:$C$4127, 3, FALSE))</f>
        <v/>
      </c>
      <c r="AE707" s="262"/>
      <c r="AF707" s="263">
        <f t="shared" si="689"/>
        <v>0</v>
      </c>
      <c r="AG707" s="238"/>
      <c r="AH707" s="229">
        <f t="shared" si="713"/>
        <v>1</v>
      </c>
      <c r="AI707" s="229">
        <f t="shared" si="714"/>
        <v>1</v>
      </c>
      <c r="AJ707" s="229">
        <f t="shared" si="715"/>
        <v>0</v>
      </c>
      <c r="AK707" s="229">
        <v>0</v>
      </c>
      <c r="AL707" s="229">
        <v>0</v>
      </c>
      <c r="AM707" s="229">
        <v>1</v>
      </c>
      <c r="AN707" s="229">
        <v>0</v>
      </c>
      <c r="AO707" s="229">
        <f t="shared" si="690"/>
        <v>-100</v>
      </c>
      <c r="AP707" s="238"/>
      <c r="AQ707" s="255"/>
      <c r="AR707" s="255"/>
      <c r="AS707" s="256"/>
      <c r="AT707" s="256"/>
      <c r="AU707" s="256"/>
      <c r="AV707" s="256"/>
      <c r="AW707" s="256"/>
      <c r="AX707" s="256"/>
      <c r="AY707" s="256"/>
      <c r="AZ707" s="256"/>
      <c r="BA707" s="256"/>
      <c r="BB707" s="256"/>
      <c r="BC707" s="256"/>
      <c r="BD707" s="238"/>
      <c r="BE707" s="229" cm="1">
        <f t="array" ref="BE707">IF(ISBLANK(R707), INDEX(Use, $AH707, 4) - AM707*INDEX(Use, $AH707, 6), R707)</f>
        <v>5</v>
      </c>
      <c r="BF707" s="229">
        <f t="shared" si="691"/>
        <v>30</v>
      </c>
      <c r="BG707" s="229">
        <f t="shared" si="679"/>
        <v>13</v>
      </c>
      <c r="BH707" s="229">
        <f t="shared" si="680"/>
        <v>0</v>
      </c>
      <c r="BI707" s="234" cm="1">
        <f t="array" ref="BI707">K707/IF($L707&gt;0, INDEX($AU$23:$BA$77, $L707+20, $AH707), 1)</f>
        <v>0</v>
      </c>
      <c r="BJ707" s="230">
        <f t="shared" si="692"/>
        <v>0</v>
      </c>
      <c r="BK707" s="229">
        <v>35</v>
      </c>
      <c r="BL707" s="230">
        <f t="shared" si="693"/>
        <v>48</v>
      </c>
      <c r="BM707" s="235">
        <f t="shared" si="694"/>
        <v>2.9108720930232557</v>
      </c>
      <c r="BN707" s="235" cm="1">
        <f t="array" ref="BN707">$BI707 * SUMPRODUCT(INDEX($AR$77:$AT$82,,$AI707),INDEX($AU$77:$BA$82,,$AH707), N($AQ$77:$AQ$82&gt;$AO707)) / BM707 / 1000</f>
        <v>0</v>
      </c>
      <c r="BO707" s="232">
        <f t="shared" si="681"/>
        <v>30</v>
      </c>
      <c r="BP707" s="230">
        <f t="shared" si="695"/>
        <v>43</v>
      </c>
      <c r="BQ707" s="235">
        <f t="shared" si="696"/>
        <v>3.2938815789473681</v>
      </c>
      <c r="BR707" s="235" cm="1">
        <f t="array" ref="BR707">$BI707 * IF($AH707&lt;=2,
SUMPRODUCT(INDEX($AR$72:$AT$76,,$AI707), INDEX($AU$72:$BA$76,,$AH707), 1 / ($BB$72:$BB$76*BQ707 + (1-$BB$72:$BB$76)*BM707), N($AQ$72:$AQ$76&gt;$AO707)),
SUMPRODUCT(INDEX($AR$67:$AT$76,,$AI707), INDEX($AU$67:$BA$76,,$AH707), 1 / ($BC$67:$BC$76*BQ707 + (1-$BC$67:$BC$76)*BM707), N($AQ$67:$AQ$76&gt;$AO707))
) / 1000</f>
        <v>0</v>
      </c>
      <c r="BS707" s="232">
        <f t="shared" si="682"/>
        <v>25</v>
      </c>
      <c r="BT707" s="230">
        <f t="shared" si="697"/>
        <v>38</v>
      </c>
      <c r="BU707" s="235">
        <f t="shared" si="698"/>
        <v>3.792954545454545</v>
      </c>
      <c r="BV707" s="235" cm="1">
        <f t="array" ref="BV707">$BI707 * IF($AH707&lt;=2,
SUMPRODUCT(INDEX($AR$67:$AT$71,,$AI707), INDEX($AU$67:$BA$71,,$AH707), 1 / ($BB$67:$BB$71*BU707 + (1-$BB$67:$BB$71)*BQ707), N($AQ$67:$AQ$71&gt;$AO707)),
SUMPRODUCT(INDEX($AR$57:$AT$66,,$AI707), INDEX($AU$57:$BA$66,,$AH707), 1 / ($BC$57:$BC$66*BU707 + (1-$BC$57:$BC$66)*BQ707), N($AQ$57:$AQ$66&gt;$AO707))
) / 1000</f>
        <v>0</v>
      </c>
      <c r="BW707" s="232">
        <f t="shared" si="683"/>
        <v>20</v>
      </c>
      <c r="BX707" s="230">
        <f t="shared" si="699"/>
        <v>33</v>
      </c>
      <c r="BY707" s="235">
        <f t="shared" si="700"/>
        <v>4.4702678571428569</v>
      </c>
      <c r="BZ707" s="235" cm="1">
        <f t="array" ref="BZ707">$BI707 * IF($AH707&lt;=2,
SUMPRODUCT(INDEX($AR$62:$AT$66,,$AI707), INDEX($AU$62:$BA$66,,$AH707), 1 / ($BB$62:$BB$66*BY707 + (1-$BB$62:$BB$66)*BU707), N($AQ$62:$AQ$66&gt;$AO707)),
SUMPRODUCT(INDEX($AR$47:$AT$56,,$AI707), INDEX($AU$47:$BA$56,,$AH707), 1 / ($BC$47:$BC$56*BY707 + (1-$BC$47:$BC$56)*BU707), N($AQ$47:$AQ$56&gt;$AO707))
) / 1000</f>
        <v>0</v>
      </c>
      <c r="CA707" s="235" cm="1">
        <f t="array" ref="CA707">$BI707 * IF($AH707&lt;=2,
SUMPRODUCT(INDEX($AR$23:$AT$61,,$AI707), INDEX($AU$23:$BA$61,,$AH707), 1 / ($BB$23:$BB$61*BY707), N($AQ$23:$AQ$61&gt;$AO707)),
SUMPRODUCT(INDEX($AR$23:$AT$46,,$AI707), INDEX($AU$23:$BA$46,,$AH707), 1 / ($BC$23:$BC$46*BY707), N($AQ$23:$AQ$46&gt;$AO707))
) / 1000</f>
        <v>0</v>
      </c>
      <c r="CB707" s="230">
        <f t="shared" si="701"/>
        <v>0</v>
      </c>
      <c r="CC707" s="238"/>
      <c r="CD707" s="229" cm="1">
        <f t="array" ref="CD707">IF(ISBLANK(Y707), INDEX(Use, $AH707, 4) - AN707*INDEX(Use, $AH707, 6) - (Q707-X707), Y707)</f>
        <v>7</v>
      </c>
      <c r="CE707" s="229">
        <f t="shared" si="702"/>
        <v>32</v>
      </c>
      <c r="CF707" s="230">
        <f t="shared" si="703"/>
        <v>0</v>
      </c>
      <c r="CG707" s="229">
        <v>35</v>
      </c>
      <c r="CH707" s="230">
        <f t="shared" si="704"/>
        <v>48</v>
      </c>
      <c r="CI707" s="235">
        <f t="shared" si="705"/>
        <v>3.0748170731707316</v>
      </c>
      <c r="CJ707" s="235" cm="1">
        <f t="array" ref="CJ707">$BI707 * SUMPRODUCT(INDEX($AR$77:$AT$82,,$AI707),INDEX($AU$77:$BA$82,,$AH707), N($AQ$77:$AQ$82&gt;$AO707)) / CI707 / 1000</f>
        <v>0</v>
      </c>
      <c r="CK707" s="232">
        <f t="shared" si="684"/>
        <v>30</v>
      </c>
      <c r="CL707" s="230">
        <f t="shared" si="706"/>
        <v>43</v>
      </c>
      <c r="CM707" s="235">
        <f t="shared" si="707"/>
        <v>3.5018750000000001</v>
      </c>
      <c r="CN707" s="235" cm="1">
        <f t="array" ref="CN707">$BI707 * IF($AH707&lt;=2,
SUMPRODUCT(INDEX($AR$72:$AT$76,,$AI707), INDEX($AU$72:$BA$76,,$AH707), 1 / ($BB$72:$BB$76*CM707 + (1-$BB$72:$BB$76)*CI707), N($AQ$72:$AQ$76&gt;$AO707)),
SUMPRODUCT(INDEX($AR$67:$AT$76,,$AI707), INDEX($AU$67:$BA$76,,$AH707), 1 / ($BC$67:$BC$76*CM707 + (1-$BC$67:$BC$76)*CI707), N($AQ$67:$AQ$76&gt;$AO707))
) / 1000</f>
        <v>0</v>
      </c>
      <c r="CO707" s="232">
        <f t="shared" si="685"/>
        <v>25</v>
      </c>
      <c r="CP707" s="230">
        <f t="shared" si="708"/>
        <v>38</v>
      </c>
      <c r="CQ707" s="235">
        <f t="shared" si="709"/>
        <v>4.0666935483870965</v>
      </c>
      <c r="CR707" s="235" cm="1">
        <f t="array" ref="CR707">$BI707 * IF($AH707&lt;=2,
SUMPRODUCT(INDEX($AR$67:$AT$71,,$AI707), INDEX($AU$67:$BA$71,,$AH707), 1 / ($BB$67:$BB$71*CQ707 + (1-$BB$67:$BB$71)*CM707), N($AQ$67:$AQ$71&gt;$AO707)),
SUMPRODUCT(INDEX($AR$57:$AT$66,,$AI707), INDEX($AU$57:$BA$66,,$AH707), 1 / ($BC$57:$BC$66*CQ707 + (1-$BC$57:$BC$66)*CM707), N($AQ$57:$AQ$66&gt;$AO707))
) / 1000</f>
        <v>0</v>
      </c>
      <c r="CS707" s="232">
        <f t="shared" si="686"/>
        <v>20</v>
      </c>
      <c r="CT707" s="230">
        <f t="shared" si="710"/>
        <v>33</v>
      </c>
      <c r="CU707" s="235">
        <f t="shared" si="711"/>
        <v>4.8487499999999999</v>
      </c>
      <c r="CV707" s="235" cm="1">
        <f t="array" ref="CV707">$BI707 * IF($AH707&lt;=2,
SUMPRODUCT(INDEX($AR$62:$AT$66,,$AI707), INDEX($AU$62:$BA$66,,$AH707), 1 / ($BB$62:$BB$66*CU707 + (1-$BB$62:$BB$66)*CQ707), N($AQ$62:$AQ$66&gt;$AO707)),
SUMPRODUCT(INDEX($AR$47:$AT$56,,$AI707), INDEX($AU$47:$BA$56,,$AH707), 1 / ($BC$47:$BC$56*CU707 + (1-$BC$47:$BC$56)*CQ707), N($AQ$47:$AQ$56&gt;$AO707))
) / 1000</f>
        <v>0</v>
      </c>
      <c r="CW707" s="235" cm="1">
        <f t="array" ref="CW707">$BI707 * IF($AH707&lt;=2,
SUMPRODUCT(INDEX($AR$23:$AT$61,,$AI707), INDEX($AU$23:$BA$61,,$AH707), 1 / ($BB$23:$BB$61*CU707), N($AQ$23:$AQ$61&gt;$AO707)),
SUMPRODUCT(INDEX($AR$23:$AT$46,,$AI707), INDEX($AU$23:$BA$46,,$AH707), 1 / ($BC$23:$BC$46*CU707), N($AQ$23:$AQ$46&gt;$AO707))
) / 1000</f>
        <v>0</v>
      </c>
      <c r="CX707" s="230">
        <f t="shared" si="712"/>
        <v>0</v>
      </c>
      <c r="CY707" s="238"/>
    </row>
    <row r="708" spans="1:103" s="76" customFormat="1" ht="14.25" customHeight="1" x14ac:dyDescent="0.2">
      <c r="A708" s="231" t="b">
        <f t="shared" si="678"/>
        <v>0</v>
      </c>
      <c r="B708" s="245">
        <v>686</v>
      </c>
      <c r="C708" s="258"/>
      <c r="D708" s="258"/>
      <c r="E708" s="246"/>
      <c r="F708" s="247" t="str">
        <f>IF(ISBLANK(E708), "", VLOOKUP(E708, Z!$A$2:$C$4127, 3, FALSE))</f>
        <v/>
      </c>
      <c r="G708" s="248"/>
      <c r="H708" s="248"/>
      <c r="I708" s="249"/>
      <c r="J708" s="250"/>
      <c r="K708" s="259"/>
      <c r="L708" s="260"/>
      <c r="M708" s="252" t="str" cm="1">
        <f t="array" ref="M708">INDEX(Trad, 53, $A$20)</f>
        <v>Verschmutzt</v>
      </c>
      <c r="N708" s="253"/>
      <c r="O708" s="253"/>
      <c r="P708" s="254"/>
      <c r="Q708" s="251"/>
      <c r="R708" s="251"/>
      <c r="S708" s="264">
        <f t="shared" si="687"/>
        <v>0</v>
      </c>
      <c r="T708" s="252" t="str" cm="1">
        <f t="array" ref="T708">INDEX(Trad, 52, $A$20)</f>
        <v>Sauber</v>
      </c>
      <c r="U708" s="253"/>
      <c r="V708" s="253"/>
      <c r="W708" s="254"/>
      <c r="X708" s="251"/>
      <c r="Y708" s="251"/>
      <c r="Z708" s="264">
        <f t="shared" si="688"/>
        <v>0</v>
      </c>
      <c r="AA708" s="261"/>
      <c r="AB708" s="258"/>
      <c r="AC708" s="246"/>
      <c r="AD708" s="247" t="str">
        <f>IF(ISBLANK(AC708), "", VLOOKUP(AC708, Z!$A$2:$C$4127, 3, FALSE))</f>
        <v/>
      </c>
      <c r="AE708" s="262"/>
      <c r="AF708" s="263">
        <f t="shared" si="689"/>
        <v>0</v>
      </c>
      <c r="AG708" s="238"/>
      <c r="AH708" s="229">
        <f t="shared" si="713"/>
        <v>1</v>
      </c>
      <c r="AI708" s="229">
        <f t="shared" si="714"/>
        <v>1</v>
      </c>
      <c r="AJ708" s="229">
        <f t="shared" si="715"/>
        <v>0</v>
      </c>
      <c r="AK708" s="229">
        <v>0</v>
      </c>
      <c r="AL708" s="229">
        <v>0</v>
      </c>
      <c r="AM708" s="229">
        <v>1</v>
      </c>
      <c r="AN708" s="229">
        <v>0</v>
      </c>
      <c r="AO708" s="229">
        <f t="shared" si="690"/>
        <v>-100</v>
      </c>
      <c r="AP708" s="238"/>
      <c r="AQ708" s="255"/>
      <c r="AR708" s="255"/>
      <c r="AS708" s="256"/>
      <c r="AT708" s="256"/>
      <c r="AU708" s="256"/>
      <c r="AV708" s="256"/>
      <c r="AW708" s="256"/>
      <c r="AX708" s="256"/>
      <c r="AY708" s="256"/>
      <c r="AZ708" s="256"/>
      <c r="BA708" s="256"/>
      <c r="BB708" s="256"/>
      <c r="BC708" s="256"/>
      <c r="BD708" s="238"/>
      <c r="BE708" s="229" cm="1">
        <f t="array" ref="BE708">IF(ISBLANK(R708), INDEX(Use, $AH708, 4) - AM708*INDEX(Use, $AH708, 6), R708)</f>
        <v>5</v>
      </c>
      <c r="BF708" s="229">
        <f t="shared" si="691"/>
        <v>30</v>
      </c>
      <c r="BG708" s="229">
        <f t="shared" si="679"/>
        <v>13</v>
      </c>
      <c r="BH708" s="229">
        <f t="shared" si="680"/>
        <v>0</v>
      </c>
      <c r="BI708" s="234" cm="1">
        <f t="array" ref="BI708">K708/IF($L708&gt;0, INDEX($AU$23:$BA$77, $L708+20, $AH708), 1)</f>
        <v>0</v>
      </c>
      <c r="BJ708" s="230">
        <f t="shared" si="692"/>
        <v>0</v>
      </c>
      <c r="BK708" s="229">
        <v>35</v>
      </c>
      <c r="BL708" s="230">
        <f t="shared" si="693"/>
        <v>48</v>
      </c>
      <c r="BM708" s="235">
        <f t="shared" si="694"/>
        <v>2.9108720930232557</v>
      </c>
      <c r="BN708" s="235" cm="1">
        <f t="array" ref="BN708">$BI708 * SUMPRODUCT(INDEX($AR$77:$AT$82,,$AI708),INDEX($AU$77:$BA$82,,$AH708), N($AQ$77:$AQ$82&gt;$AO708)) / BM708 / 1000</f>
        <v>0</v>
      </c>
      <c r="BO708" s="232">
        <f t="shared" si="681"/>
        <v>30</v>
      </c>
      <c r="BP708" s="230">
        <f t="shared" si="695"/>
        <v>43</v>
      </c>
      <c r="BQ708" s="235">
        <f t="shared" si="696"/>
        <v>3.2938815789473681</v>
      </c>
      <c r="BR708" s="235" cm="1">
        <f t="array" ref="BR708">$BI708 * IF($AH708&lt;=2,
SUMPRODUCT(INDEX($AR$72:$AT$76,,$AI708), INDEX($AU$72:$BA$76,,$AH708), 1 / ($BB$72:$BB$76*BQ708 + (1-$BB$72:$BB$76)*BM708), N($AQ$72:$AQ$76&gt;$AO708)),
SUMPRODUCT(INDEX($AR$67:$AT$76,,$AI708), INDEX($AU$67:$BA$76,,$AH708), 1 / ($BC$67:$BC$76*BQ708 + (1-$BC$67:$BC$76)*BM708), N($AQ$67:$AQ$76&gt;$AO708))
) / 1000</f>
        <v>0</v>
      </c>
      <c r="BS708" s="232">
        <f t="shared" si="682"/>
        <v>25</v>
      </c>
      <c r="BT708" s="230">
        <f t="shared" si="697"/>
        <v>38</v>
      </c>
      <c r="BU708" s="235">
        <f t="shared" si="698"/>
        <v>3.792954545454545</v>
      </c>
      <c r="BV708" s="235" cm="1">
        <f t="array" ref="BV708">$BI708 * IF($AH708&lt;=2,
SUMPRODUCT(INDEX($AR$67:$AT$71,,$AI708), INDEX($AU$67:$BA$71,,$AH708), 1 / ($BB$67:$BB$71*BU708 + (1-$BB$67:$BB$71)*BQ708), N($AQ$67:$AQ$71&gt;$AO708)),
SUMPRODUCT(INDEX($AR$57:$AT$66,,$AI708), INDEX($AU$57:$BA$66,,$AH708), 1 / ($BC$57:$BC$66*BU708 + (1-$BC$57:$BC$66)*BQ708), N($AQ$57:$AQ$66&gt;$AO708))
) / 1000</f>
        <v>0</v>
      </c>
      <c r="BW708" s="232">
        <f t="shared" si="683"/>
        <v>20</v>
      </c>
      <c r="BX708" s="230">
        <f t="shared" si="699"/>
        <v>33</v>
      </c>
      <c r="BY708" s="235">
        <f t="shared" si="700"/>
        <v>4.4702678571428569</v>
      </c>
      <c r="BZ708" s="235" cm="1">
        <f t="array" ref="BZ708">$BI708 * IF($AH708&lt;=2,
SUMPRODUCT(INDEX($AR$62:$AT$66,,$AI708), INDEX($AU$62:$BA$66,,$AH708), 1 / ($BB$62:$BB$66*BY708 + (1-$BB$62:$BB$66)*BU708), N($AQ$62:$AQ$66&gt;$AO708)),
SUMPRODUCT(INDEX($AR$47:$AT$56,,$AI708), INDEX($AU$47:$BA$56,,$AH708), 1 / ($BC$47:$BC$56*BY708 + (1-$BC$47:$BC$56)*BU708), N($AQ$47:$AQ$56&gt;$AO708))
) / 1000</f>
        <v>0</v>
      </c>
      <c r="CA708" s="235" cm="1">
        <f t="array" ref="CA708">$BI708 * IF($AH708&lt;=2,
SUMPRODUCT(INDEX($AR$23:$AT$61,,$AI708), INDEX($AU$23:$BA$61,,$AH708), 1 / ($BB$23:$BB$61*BY708), N($AQ$23:$AQ$61&gt;$AO708)),
SUMPRODUCT(INDEX($AR$23:$AT$46,,$AI708), INDEX($AU$23:$BA$46,,$AH708), 1 / ($BC$23:$BC$46*BY708), N($AQ$23:$AQ$46&gt;$AO708))
) / 1000</f>
        <v>0</v>
      </c>
      <c r="CB708" s="230">
        <f t="shared" si="701"/>
        <v>0</v>
      </c>
      <c r="CC708" s="238"/>
      <c r="CD708" s="229" cm="1">
        <f t="array" ref="CD708">IF(ISBLANK(Y708), INDEX(Use, $AH708, 4) - AN708*INDEX(Use, $AH708, 6) - (Q708-X708), Y708)</f>
        <v>7</v>
      </c>
      <c r="CE708" s="229">
        <f t="shared" si="702"/>
        <v>32</v>
      </c>
      <c r="CF708" s="230">
        <f t="shared" si="703"/>
        <v>0</v>
      </c>
      <c r="CG708" s="229">
        <v>35</v>
      </c>
      <c r="CH708" s="230">
        <f t="shared" si="704"/>
        <v>48</v>
      </c>
      <c r="CI708" s="235">
        <f t="shared" si="705"/>
        <v>3.0748170731707316</v>
      </c>
      <c r="CJ708" s="235" cm="1">
        <f t="array" ref="CJ708">$BI708 * SUMPRODUCT(INDEX($AR$77:$AT$82,,$AI708),INDEX($AU$77:$BA$82,,$AH708), N($AQ$77:$AQ$82&gt;$AO708)) / CI708 / 1000</f>
        <v>0</v>
      </c>
      <c r="CK708" s="232">
        <f t="shared" si="684"/>
        <v>30</v>
      </c>
      <c r="CL708" s="230">
        <f t="shared" si="706"/>
        <v>43</v>
      </c>
      <c r="CM708" s="235">
        <f t="shared" si="707"/>
        <v>3.5018750000000001</v>
      </c>
      <c r="CN708" s="235" cm="1">
        <f t="array" ref="CN708">$BI708 * IF($AH708&lt;=2,
SUMPRODUCT(INDEX($AR$72:$AT$76,,$AI708), INDEX($AU$72:$BA$76,,$AH708), 1 / ($BB$72:$BB$76*CM708 + (1-$BB$72:$BB$76)*CI708), N($AQ$72:$AQ$76&gt;$AO708)),
SUMPRODUCT(INDEX($AR$67:$AT$76,,$AI708), INDEX($AU$67:$BA$76,,$AH708), 1 / ($BC$67:$BC$76*CM708 + (1-$BC$67:$BC$76)*CI708), N($AQ$67:$AQ$76&gt;$AO708))
) / 1000</f>
        <v>0</v>
      </c>
      <c r="CO708" s="232">
        <f t="shared" si="685"/>
        <v>25</v>
      </c>
      <c r="CP708" s="230">
        <f t="shared" si="708"/>
        <v>38</v>
      </c>
      <c r="CQ708" s="235">
        <f t="shared" si="709"/>
        <v>4.0666935483870965</v>
      </c>
      <c r="CR708" s="235" cm="1">
        <f t="array" ref="CR708">$BI708 * IF($AH708&lt;=2,
SUMPRODUCT(INDEX($AR$67:$AT$71,,$AI708), INDEX($AU$67:$BA$71,,$AH708), 1 / ($BB$67:$BB$71*CQ708 + (1-$BB$67:$BB$71)*CM708), N($AQ$67:$AQ$71&gt;$AO708)),
SUMPRODUCT(INDEX($AR$57:$AT$66,,$AI708), INDEX($AU$57:$BA$66,,$AH708), 1 / ($BC$57:$BC$66*CQ708 + (1-$BC$57:$BC$66)*CM708), N($AQ$57:$AQ$66&gt;$AO708))
) / 1000</f>
        <v>0</v>
      </c>
      <c r="CS708" s="232">
        <f t="shared" si="686"/>
        <v>20</v>
      </c>
      <c r="CT708" s="230">
        <f t="shared" si="710"/>
        <v>33</v>
      </c>
      <c r="CU708" s="235">
        <f t="shared" si="711"/>
        <v>4.8487499999999999</v>
      </c>
      <c r="CV708" s="235" cm="1">
        <f t="array" ref="CV708">$BI708 * IF($AH708&lt;=2,
SUMPRODUCT(INDEX($AR$62:$AT$66,,$AI708), INDEX($AU$62:$BA$66,,$AH708), 1 / ($BB$62:$BB$66*CU708 + (1-$BB$62:$BB$66)*CQ708), N($AQ$62:$AQ$66&gt;$AO708)),
SUMPRODUCT(INDEX($AR$47:$AT$56,,$AI708), INDEX($AU$47:$BA$56,,$AH708), 1 / ($BC$47:$BC$56*CU708 + (1-$BC$47:$BC$56)*CQ708), N($AQ$47:$AQ$56&gt;$AO708))
) / 1000</f>
        <v>0</v>
      </c>
      <c r="CW708" s="235" cm="1">
        <f t="array" ref="CW708">$BI708 * IF($AH708&lt;=2,
SUMPRODUCT(INDEX($AR$23:$AT$61,,$AI708), INDEX($AU$23:$BA$61,,$AH708), 1 / ($BB$23:$BB$61*CU708), N($AQ$23:$AQ$61&gt;$AO708)),
SUMPRODUCT(INDEX($AR$23:$AT$46,,$AI708), INDEX($AU$23:$BA$46,,$AH708), 1 / ($BC$23:$BC$46*CU708), N($AQ$23:$AQ$46&gt;$AO708))
) / 1000</f>
        <v>0</v>
      </c>
      <c r="CX708" s="230">
        <f t="shared" si="712"/>
        <v>0</v>
      </c>
      <c r="CY708" s="238"/>
    </row>
    <row r="709" spans="1:103" s="76" customFormat="1" ht="14.25" customHeight="1" x14ac:dyDescent="0.2">
      <c r="A709" s="231" t="b">
        <f t="shared" si="678"/>
        <v>0</v>
      </c>
      <c r="B709" s="245">
        <v>687</v>
      </c>
      <c r="C709" s="258"/>
      <c r="D709" s="258"/>
      <c r="E709" s="246"/>
      <c r="F709" s="247" t="str">
        <f>IF(ISBLANK(E709), "", VLOOKUP(E709, Z!$A$2:$C$4127, 3, FALSE))</f>
        <v/>
      </c>
      <c r="G709" s="248"/>
      <c r="H709" s="248"/>
      <c r="I709" s="249"/>
      <c r="J709" s="250"/>
      <c r="K709" s="259"/>
      <c r="L709" s="260"/>
      <c r="M709" s="252" t="str" cm="1">
        <f t="array" ref="M709">INDEX(Trad, 53, $A$20)</f>
        <v>Verschmutzt</v>
      </c>
      <c r="N709" s="253"/>
      <c r="O709" s="253"/>
      <c r="P709" s="254"/>
      <c r="Q709" s="251"/>
      <c r="R709" s="251"/>
      <c r="S709" s="264">
        <f t="shared" si="687"/>
        <v>0</v>
      </c>
      <c r="T709" s="252" t="str" cm="1">
        <f t="array" ref="T709">INDEX(Trad, 52, $A$20)</f>
        <v>Sauber</v>
      </c>
      <c r="U709" s="253"/>
      <c r="V709" s="253"/>
      <c r="W709" s="254"/>
      <c r="X709" s="251"/>
      <c r="Y709" s="251"/>
      <c r="Z709" s="264">
        <f t="shared" si="688"/>
        <v>0</v>
      </c>
      <c r="AA709" s="261"/>
      <c r="AB709" s="258"/>
      <c r="AC709" s="246"/>
      <c r="AD709" s="247" t="str">
        <f>IF(ISBLANK(AC709), "", VLOOKUP(AC709, Z!$A$2:$C$4127, 3, FALSE))</f>
        <v/>
      </c>
      <c r="AE709" s="262"/>
      <c r="AF709" s="263">
        <f t="shared" si="689"/>
        <v>0</v>
      </c>
      <c r="AG709" s="238"/>
      <c r="AH709" s="229">
        <f t="shared" si="713"/>
        <v>1</v>
      </c>
      <c r="AI709" s="229">
        <f t="shared" si="714"/>
        <v>1</v>
      </c>
      <c r="AJ709" s="229">
        <f t="shared" si="715"/>
        <v>0</v>
      </c>
      <c r="AK709" s="229">
        <v>0</v>
      </c>
      <c r="AL709" s="229">
        <v>0</v>
      </c>
      <c r="AM709" s="229">
        <v>1</v>
      </c>
      <c r="AN709" s="229">
        <v>0</v>
      </c>
      <c r="AO709" s="229">
        <f t="shared" si="690"/>
        <v>-100</v>
      </c>
      <c r="AP709" s="238"/>
      <c r="AQ709" s="255"/>
      <c r="AR709" s="255"/>
      <c r="AS709" s="256"/>
      <c r="AT709" s="256"/>
      <c r="AU709" s="256"/>
      <c r="AV709" s="256"/>
      <c r="AW709" s="256"/>
      <c r="AX709" s="256"/>
      <c r="AY709" s="256"/>
      <c r="AZ709" s="256"/>
      <c r="BA709" s="256"/>
      <c r="BB709" s="256"/>
      <c r="BC709" s="256"/>
      <c r="BD709" s="238"/>
      <c r="BE709" s="229" cm="1">
        <f t="array" ref="BE709">IF(ISBLANK(R709), INDEX(Use, $AH709, 4) - AM709*INDEX(Use, $AH709, 6), R709)</f>
        <v>5</v>
      </c>
      <c r="BF709" s="229">
        <f t="shared" si="691"/>
        <v>30</v>
      </c>
      <c r="BG709" s="229">
        <f t="shared" si="679"/>
        <v>13</v>
      </c>
      <c r="BH709" s="229">
        <f t="shared" si="680"/>
        <v>0</v>
      </c>
      <c r="BI709" s="234" cm="1">
        <f t="array" ref="BI709">K709/IF($L709&gt;0, INDEX($AU$23:$BA$77, $L709+20, $AH709), 1)</f>
        <v>0</v>
      </c>
      <c r="BJ709" s="230">
        <f t="shared" si="692"/>
        <v>0</v>
      </c>
      <c r="BK709" s="229">
        <v>35</v>
      </c>
      <c r="BL709" s="230">
        <f t="shared" si="693"/>
        <v>48</v>
      </c>
      <c r="BM709" s="235">
        <f t="shared" si="694"/>
        <v>2.9108720930232557</v>
      </c>
      <c r="BN709" s="235" cm="1">
        <f t="array" ref="BN709">$BI709 * SUMPRODUCT(INDEX($AR$77:$AT$82,,$AI709),INDEX($AU$77:$BA$82,,$AH709), N($AQ$77:$AQ$82&gt;$AO709)) / BM709 / 1000</f>
        <v>0</v>
      </c>
      <c r="BO709" s="232">
        <f t="shared" si="681"/>
        <v>30</v>
      </c>
      <c r="BP709" s="230">
        <f t="shared" si="695"/>
        <v>43</v>
      </c>
      <c r="BQ709" s="235">
        <f t="shared" si="696"/>
        <v>3.2938815789473681</v>
      </c>
      <c r="BR709" s="235" cm="1">
        <f t="array" ref="BR709">$BI709 * IF($AH709&lt;=2,
SUMPRODUCT(INDEX($AR$72:$AT$76,,$AI709), INDEX($AU$72:$BA$76,,$AH709), 1 / ($BB$72:$BB$76*BQ709 + (1-$BB$72:$BB$76)*BM709), N($AQ$72:$AQ$76&gt;$AO709)),
SUMPRODUCT(INDEX($AR$67:$AT$76,,$AI709), INDEX($AU$67:$BA$76,,$AH709), 1 / ($BC$67:$BC$76*BQ709 + (1-$BC$67:$BC$76)*BM709), N($AQ$67:$AQ$76&gt;$AO709))
) / 1000</f>
        <v>0</v>
      </c>
      <c r="BS709" s="232">
        <f t="shared" si="682"/>
        <v>25</v>
      </c>
      <c r="BT709" s="230">
        <f t="shared" si="697"/>
        <v>38</v>
      </c>
      <c r="BU709" s="235">
        <f t="shared" si="698"/>
        <v>3.792954545454545</v>
      </c>
      <c r="BV709" s="235" cm="1">
        <f t="array" ref="BV709">$BI709 * IF($AH709&lt;=2,
SUMPRODUCT(INDEX($AR$67:$AT$71,,$AI709), INDEX($AU$67:$BA$71,,$AH709), 1 / ($BB$67:$BB$71*BU709 + (1-$BB$67:$BB$71)*BQ709), N($AQ$67:$AQ$71&gt;$AO709)),
SUMPRODUCT(INDEX($AR$57:$AT$66,,$AI709), INDEX($AU$57:$BA$66,,$AH709), 1 / ($BC$57:$BC$66*BU709 + (1-$BC$57:$BC$66)*BQ709), N($AQ$57:$AQ$66&gt;$AO709))
) / 1000</f>
        <v>0</v>
      </c>
      <c r="BW709" s="232">
        <f t="shared" si="683"/>
        <v>20</v>
      </c>
      <c r="BX709" s="230">
        <f t="shared" si="699"/>
        <v>33</v>
      </c>
      <c r="BY709" s="235">
        <f t="shared" si="700"/>
        <v>4.4702678571428569</v>
      </c>
      <c r="BZ709" s="235" cm="1">
        <f t="array" ref="BZ709">$BI709 * IF($AH709&lt;=2,
SUMPRODUCT(INDEX($AR$62:$AT$66,,$AI709), INDEX($AU$62:$BA$66,,$AH709), 1 / ($BB$62:$BB$66*BY709 + (1-$BB$62:$BB$66)*BU709), N($AQ$62:$AQ$66&gt;$AO709)),
SUMPRODUCT(INDEX($AR$47:$AT$56,,$AI709), INDEX($AU$47:$BA$56,,$AH709), 1 / ($BC$47:$BC$56*BY709 + (1-$BC$47:$BC$56)*BU709), N($AQ$47:$AQ$56&gt;$AO709))
) / 1000</f>
        <v>0</v>
      </c>
      <c r="CA709" s="235" cm="1">
        <f t="array" ref="CA709">$BI709 * IF($AH709&lt;=2,
SUMPRODUCT(INDEX($AR$23:$AT$61,,$AI709), INDEX($AU$23:$BA$61,,$AH709), 1 / ($BB$23:$BB$61*BY709), N($AQ$23:$AQ$61&gt;$AO709)),
SUMPRODUCT(INDEX($AR$23:$AT$46,,$AI709), INDEX($AU$23:$BA$46,,$AH709), 1 / ($BC$23:$BC$46*BY709), N($AQ$23:$AQ$46&gt;$AO709))
) / 1000</f>
        <v>0</v>
      </c>
      <c r="CB709" s="230">
        <f t="shared" si="701"/>
        <v>0</v>
      </c>
      <c r="CC709" s="238"/>
      <c r="CD709" s="229" cm="1">
        <f t="array" ref="CD709">IF(ISBLANK(Y709), INDEX(Use, $AH709, 4) - AN709*INDEX(Use, $AH709, 6) - (Q709-X709), Y709)</f>
        <v>7</v>
      </c>
      <c r="CE709" s="229">
        <f t="shared" si="702"/>
        <v>32</v>
      </c>
      <c r="CF709" s="230">
        <f t="shared" si="703"/>
        <v>0</v>
      </c>
      <c r="CG709" s="229">
        <v>35</v>
      </c>
      <c r="CH709" s="230">
        <f t="shared" si="704"/>
        <v>48</v>
      </c>
      <c r="CI709" s="235">
        <f t="shared" si="705"/>
        <v>3.0748170731707316</v>
      </c>
      <c r="CJ709" s="235" cm="1">
        <f t="array" ref="CJ709">$BI709 * SUMPRODUCT(INDEX($AR$77:$AT$82,,$AI709),INDEX($AU$77:$BA$82,,$AH709), N($AQ$77:$AQ$82&gt;$AO709)) / CI709 / 1000</f>
        <v>0</v>
      </c>
      <c r="CK709" s="232">
        <f t="shared" si="684"/>
        <v>30</v>
      </c>
      <c r="CL709" s="230">
        <f t="shared" si="706"/>
        <v>43</v>
      </c>
      <c r="CM709" s="235">
        <f t="shared" si="707"/>
        <v>3.5018750000000001</v>
      </c>
      <c r="CN709" s="235" cm="1">
        <f t="array" ref="CN709">$BI709 * IF($AH709&lt;=2,
SUMPRODUCT(INDEX($AR$72:$AT$76,,$AI709), INDEX($AU$72:$BA$76,,$AH709), 1 / ($BB$72:$BB$76*CM709 + (1-$BB$72:$BB$76)*CI709), N($AQ$72:$AQ$76&gt;$AO709)),
SUMPRODUCT(INDEX($AR$67:$AT$76,,$AI709), INDEX($AU$67:$BA$76,,$AH709), 1 / ($BC$67:$BC$76*CM709 + (1-$BC$67:$BC$76)*CI709), N($AQ$67:$AQ$76&gt;$AO709))
) / 1000</f>
        <v>0</v>
      </c>
      <c r="CO709" s="232">
        <f t="shared" si="685"/>
        <v>25</v>
      </c>
      <c r="CP709" s="230">
        <f t="shared" si="708"/>
        <v>38</v>
      </c>
      <c r="CQ709" s="235">
        <f t="shared" si="709"/>
        <v>4.0666935483870965</v>
      </c>
      <c r="CR709" s="235" cm="1">
        <f t="array" ref="CR709">$BI709 * IF($AH709&lt;=2,
SUMPRODUCT(INDEX($AR$67:$AT$71,,$AI709), INDEX($AU$67:$BA$71,,$AH709), 1 / ($BB$67:$BB$71*CQ709 + (1-$BB$67:$BB$71)*CM709), N($AQ$67:$AQ$71&gt;$AO709)),
SUMPRODUCT(INDEX($AR$57:$AT$66,,$AI709), INDEX($AU$57:$BA$66,,$AH709), 1 / ($BC$57:$BC$66*CQ709 + (1-$BC$57:$BC$66)*CM709), N($AQ$57:$AQ$66&gt;$AO709))
) / 1000</f>
        <v>0</v>
      </c>
      <c r="CS709" s="232">
        <f t="shared" si="686"/>
        <v>20</v>
      </c>
      <c r="CT709" s="230">
        <f t="shared" si="710"/>
        <v>33</v>
      </c>
      <c r="CU709" s="235">
        <f t="shared" si="711"/>
        <v>4.8487499999999999</v>
      </c>
      <c r="CV709" s="235" cm="1">
        <f t="array" ref="CV709">$BI709 * IF($AH709&lt;=2,
SUMPRODUCT(INDEX($AR$62:$AT$66,,$AI709), INDEX($AU$62:$BA$66,,$AH709), 1 / ($BB$62:$BB$66*CU709 + (1-$BB$62:$BB$66)*CQ709), N($AQ$62:$AQ$66&gt;$AO709)),
SUMPRODUCT(INDEX($AR$47:$AT$56,,$AI709), INDEX($AU$47:$BA$56,,$AH709), 1 / ($BC$47:$BC$56*CU709 + (1-$BC$47:$BC$56)*CQ709), N($AQ$47:$AQ$56&gt;$AO709))
) / 1000</f>
        <v>0</v>
      </c>
      <c r="CW709" s="235" cm="1">
        <f t="array" ref="CW709">$BI709 * IF($AH709&lt;=2,
SUMPRODUCT(INDEX($AR$23:$AT$61,,$AI709), INDEX($AU$23:$BA$61,,$AH709), 1 / ($BB$23:$BB$61*CU709), N($AQ$23:$AQ$61&gt;$AO709)),
SUMPRODUCT(INDEX($AR$23:$AT$46,,$AI709), INDEX($AU$23:$BA$46,,$AH709), 1 / ($BC$23:$BC$46*CU709), N($AQ$23:$AQ$46&gt;$AO709))
) / 1000</f>
        <v>0</v>
      </c>
      <c r="CX709" s="230">
        <f t="shared" si="712"/>
        <v>0</v>
      </c>
      <c r="CY709" s="238"/>
    </row>
    <row r="710" spans="1:103" s="76" customFormat="1" ht="14.25" customHeight="1" x14ac:dyDescent="0.2">
      <c r="A710" s="231" t="b">
        <f t="shared" si="678"/>
        <v>0</v>
      </c>
      <c r="B710" s="245">
        <v>688</v>
      </c>
      <c r="C710" s="258"/>
      <c r="D710" s="258"/>
      <c r="E710" s="246"/>
      <c r="F710" s="247" t="str">
        <f>IF(ISBLANK(E710), "", VLOOKUP(E710, Z!$A$2:$C$4127, 3, FALSE))</f>
        <v/>
      </c>
      <c r="G710" s="248"/>
      <c r="H710" s="248"/>
      <c r="I710" s="249"/>
      <c r="J710" s="250"/>
      <c r="K710" s="259"/>
      <c r="L710" s="260"/>
      <c r="M710" s="252" t="str" cm="1">
        <f t="array" ref="M710">INDEX(Trad, 53, $A$20)</f>
        <v>Verschmutzt</v>
      </c>
      <c r="N710" s="253"/>
      <c r="O710" s="253"/>
      <c r="P710" s="254"/>
      <c r="Q710" s="251"/>
      <c r="R710" s="251"/>
      <c r="S710" s="264">
        <f t="shared" si="687"/>
        <v>0</v>
      </c>
      <c r="T710" s="252" t="str" cm="1">
        <f t="array" ref="T710">INDEX(Trad, 52, $A$20)</f>
        <v>Sauber</v>
      </c>
      <c r="U710" s="253"/>
      <c r="V710" s="253"/>
      <c r="W710" s="254"/>
      <c r="X710" s="251"/>
      <c r="Y710" s="251"/>
      <c r="Z710" s="264">
        <f t="shared" si="688"/>
        <v>0</v>
      </c>
      <c r="AA710" s="261"/>
      <c r="AB710" s="258"/>
      <c r="AC710" s="246"/>
      <c r="AD710" s="247" t="str">
        <f>IF(ISBLANK(AC710), "", VLOOKUP(AC710, Z!$A$2:$C$4127, 3, FALSE))</f>
        <v/>
      </c>
      <c r="AE710" s="262"/>
      <c r="AF710" s="263">
        <f t="shared" si="689"/>
        <v>0</v>
      </c>
      <c r="AG710" s="238"/>
      <c r="AH710" s="229">
        <f t="shared" si="713"/>
        <v>1</v>
      </c>
      <c r="AI710" s="229">
        <f t="shared" si="714"/>
        <v>1</v>
      </c>
      <c r="AJ710" s="229">
        <f t="shared" si="715"/>
        <v>0</v>
      </c>
      <c r="AK710" s="229">
        <v>0</v>
      </c>
      <c r="AL710" s="229">
        <v>0</v>
      </c>
      <c r="AM710" s="229">
        <v>1</v>
      </c>
      <c r="AN710" s="229">
        <v>0</v>
      </c>
      <c r="AO710" s="229">
        <f t="shared" si="690"/>
        <v>-100</v>
      </c>
      <c r="AP710" s="238"/>
      <c r="AQ710" s="255"/>
      <c r="AR710" s="255"/>
      <c r="AS710" s="256"/>
      <c r="AT710" s="256"/>
      <c r="AU710" s="256"/>
      <c r="AV710" s="256"/>
      <c r="AW710" s="256"/>
      <c r="AX710" s="256"/>
      <c r="AY710" s="256"/>
      <c r="AZ710" s="256"/>
      <c r="BA710" s="256"/>
      <c r="BB710" s="256"/>
      <c r="BC710" s="256"/>
      <c r="BD710" s="238"/>
      <c r="BE710" s="229" cm="1">
        <f t="array" ref="BE710">IF(ISBLANK(R710), INDEX(Use, $AH710, 4) - AM710*INDEX(Use, $AH710, 6), R710)</f>
        <v>5</v>
      </c>
      <c r="BF710" s="229">
        <f t="shared" si="691"/>
        <v>30</v>
      </c>
      <c r="BG710" s="229">
        <f t="shared" si="679"/>
        <v>13</v>
      </c>
      <c r="BH710" s="229">
        <f t="shared" si="680"/>
        <v>0</v>
      </c>
      <c r="BI710" s="234" cm="1">
        <f t="array" ref="BI710">K710/IF($L710&gt;0, INDEX($AU$23:$BA$77, $L710+20, $AH710), 1)</f>
        <v>0</v>
      </c>
      <c r="BJ710" s="230">
        <f t="shared" si="692"/>
        <v>0</v>
      </c>
      <c r="BK710" s="229">
        <v>35</v>
      </c>
      <c r="BL710" s="230">
        <f t="shared" si="693"/>
        <v>48</v>
      </c>
      <c r="BM710" s="235">
        <f t="shared" si="694"/>
        <v>2.9108720930232557</v>
      </c>
      <c r="BN710" s="235" cm="1">
        <f t="array" ref="BN710">$BI710 * SUMPRODUCT(INDEX($AR$77:$AT$82,,$AI710),INDEX($AU$77:$BA$82,,$AH710), N($AQ$77:$AQ$82&gt;$AO710)) / BM710 / 1000</f>
        <v>0</v>
      </c>
      <c r="BO710" s="232">
        <f t="shared" si="681"/>
        <v>30</v>
      </c>
      <c r="BP710" s="230">
        <f t="shared" si="695"/>
        <v>43</v>
      </c>
      <c r="BQ710" s="235">
        <f t="shared" si="696"/>
        <v>3.2938815789473681</v>
      </c>
      <c r="BR710" s="235" cm="1">
        <f t="array" ref="BR710">$BI710 * IF($AH710&lt;=2,
SUMPRODUCT(INDEX($AR$72:$AT$76,,$AI710), INDEX($AU$72:$BA$76,,$AH710), 1 / ($BB$72:$BB$76*BQ710 + (1-$BB$72:$BB$76)*BM710), N($AQ$72:$AQ$76&gt;$AO710)),
SUMPRODUCT(INDEX($AR$67:$AT$76,,$AI710), INDEX($AU$67:$BA$76,,$AH710), 1 / ($BC$67:$BC$76*BQ710 + (1-$BC$67:$BC$76)*BM710), N($AQ$67:$AQ$76&gt;$AO710))
) / 1000</f>
        <v>0</v>
      </c>
      <c r="BS710" s="232">
        <f t="shared" si="682"/>
        <v>25</v>
      </c>
      <c r="BT710" s="230">
        <f t="shared" si="697"/>
        <v>38</v>
      </c>
      <c r="BU710" s="235">
        <f t="shared" si="698"/>
        <v>3.792954545454545</v>
      </c>
      <c r="BV710" s="235" cm="1">
        <f t="array" ref="BV710">$BI710 * IF($AH710&lt;=2,
SUMPRODUCT(INDEX($AR$67:$AT$71,,$AI710), INDEX($AU$67:$BA$71,,$AH710), 1 / ($BB$67:$BB$71*BU710 + (1-$BB$67:$BB$71)*BQ710), N($AQ$67:$AQ$71&gt;$AO710)),
SUMPRODUCT(INDEX($AR$57:$AT$66,,$AI710), INDEX($AU$57:$BA$66,,$AH710), 1 / ($BC$57:$BC$66*BU710 + (1-$BC$57:$BC$66)*BQ710), N($AQ$57:$AQ$66&gt;$AO710))
) / 1000</f>
        <v>0</v>
      </c>
      <c r="BW710" s="232">
        <f t="shared" si="683"/>
        <v>20</v>
      </c>
      <c r="BX710" s="230">
        <f t="shared" si="699"/>
        <v>33</v>
      </c>
      <c r="BY710" s="235">
        <f t="shared" si="700"/>
        <v>4.4702678571428569</v>
      </c>
      <c r="BZ710" s="235" cm="1">
        <f t="array" ref="BZ710">$BI710 * IF($AH710&lt;=2,
SUMPRODUCT(INDEX($AR$62:$AT$66,,$AI710), INDEX($AU$62:$BA$66,,$AH710), 1 / ($BB$62:$BB$66*BY710 + (1-$BB$62:$BB$66)*BU710), N($AQ$62:$AQ$66&gt;$AO710)),
SUMPRODUCT(INDEX($AR$47:$AT$56,,$AI710), INDEX($AU$47:$BA$56,,$AH710), 1 / ($BC$47:$BC$56*BY710 + (1-$BC$47:$BC$56)*BU710), N($AQ$47:$AQ$56&gt;$AO710))
) / 1000</f>
        <v>0</v>
      </c>
      <c r="CA710" s="235" cm="1">
        <f t="array" ref="CA710">$BI710 * IF($AH710&lt;=2,
SUMPRODUCT(INDEX($AR$23:$AT$61,,$AI710), INDEX($AU$23:$BA$61,,$AH710), 1 / ($BB$23:$BB$61*BY710), N($AQ$23:$AQ$61&gt;$AO710)),
SUMPRODUCT(INDEX($AR$23:$AT$46,,$AI710), INDEX($AU$23:$BA$46,,$AH710), 1 / ($BC$23:$BC$46*BY710), N($AQ$23:$AQ$46&gt;$AO710))
) / 1000</f>
        <v>0</v>
      </c>
      <c r="CB710" s="230">
        <f t="shared" si="701"/>
        <v>0</v>
      </c>
      <c r="CC710" s="238"/>
      <c r="CD710" s="229" cm="1">
        <f t="array" ref="CD710">IF(ISBLANK(Y710), INDEX(Use, $AH710, 4) - AN710*INDEX(Use, $AH710, 6) - (Q710-X710), Y710)</f>
        <v>7</v>
      </c>
      <c r="CE710" s="229">
        <f t="shared" si="702"/>
        <v>32</v>
      </c>
      <c r="CF710" s="230">
        <f t="shared" si="703"/>
        <v>0</v>
      </c>
      <c r="CG710" s="229">
        <v>35</v>
      </c>
      <c r="CH710" s="230">
        <f t="shared" si="704"/>
        <v>48</v>
      </c>
      <c r="CI710" s="235">
        <f t="shared" si="705"/>
        <v>3.0748170731707316</v>
      </c>
      <c r="CJ710" s="235" cm="1">
        <f t="array" ref="CJ710">$BI710 * SUMPRODUCT(INDEX($AR$77:$AT$82,,$AI710),INDEX($AU$77:$BA$82,,$AH710), N($AQ$77:$AQ$82&gt;$AO710)) / CI710 / 1000</f>
        <v>0</v>
      </c>
      <c r="CK710" s="232">
        <f t="shared" si="684"/>
        <v>30</v>
      </c>
      <c r="CL710" s="230">
        <f t="shared" si="706"/>
        <v>43</v>
      </c>
      <c r="CM710" s="235">
        <f t="shared" si="707"/>
        <v>3.5018750000000001</v>
      </c>
      <c r="CN710" s="235" cm="1">
        <f t="array" ref="CN710">$BI710 * IF($AH710&lt;=2,
SUMPRODUCT(INDEX($AR$72:$AT$76,,$AI710), INDEX($AU$72:$BA$76,,$AH710), 1 / ($BB$72:$BB$76*CM710 + (1-$BB$72:$BB$76)*CI710), N($AQ$72:$AQ$76&gt;$AO710)),
SUMPRODUCT(INDEX($AR$67:$AT$76,,$AI710), INDEX($AU$67:$BA$76,,$AH710), 1 / ($BC$67:$BC$76*CM710 + (1-$BC$67:$BC$76)*CI710), N($AQ$67:$AQ$76&gt;$AO710))
) / 1000</f>
        <v>0</v>
      </c>
      <c r="CO710" s="232">
        <f t="shared" si="685"/>
        <v>25</v>
      </c>
      <c r="CP710" s="230">
        <f t="shared" si="708"/>
        <v>38</v>
      </c>
      <c r="CQ710" s="235">
        <f t="shared" si="709"/>
        <v>4.0666935483870965</v>
      </c>
      <c r="CR710" s="235" cm="1">
        <f t="array" ref="CR710">$BI710 * IF($AH710&lt;=2,
SUMPRODUCT(INDEX($AR$67:$AT$71,,$AI710), INDEX($AU$67:$BA$71,,$AH710), 1 / ($BB$67:$BB$71*CQ710 + (1-$BB$67:$BB$71)*CM710), N($AQ$67:$AQ$71&gt;$AO710)),
SUMPRODUCT(INDEX($AR$57:$AT$66,,$AI710), INDEX($AU$57:$BA$66,,$AH710), 1 / ($BC$57:$BC$66*CQ710 + (1-$BC$57:$BC$66)*CM710), N($AQ$57:$AQ$66&gt;$AO710))
) / 1000</f>
        <v>0</v>
      </c>
      <c r="CS710" s="232">
        <f t="shared" si="686"/>
        <v>20</v>
      </c>
      <c r="CT710" s="230">
        <f t="shared" si="710"/>
        <v>33</v>
      </c>
      <c r="CU710" s="235">
        <f t="shared" si="711"/>
        <v>4.8487499999999999</v>
      </c>
      <c r="CV710" s="235" cm="1">
        <f t="array" ref="CV710">$BI710 * IF($AH710&lt;=2,
SUMPRODUCT(INDEX($AR$62:$AT$66,,$AI710), INDEX($AU$62:$BA$66,,$AH710), 1 / ($BB$62:$BB$66*CU710 + (1-$BB$62:$BB$66)*CQ710), N($AQ$62:$AQ$66&gt;$AO710)),
SUMPRODUCT(INDEX($AR$47:$AT$56,,$AI710), INDEX($AU$47:$BA$56,,$AH710), 1 / ($BC$47:$BC$56*CU710 + (1-$BC$47:$BC$56)*CQ710), N($AQ$47:$AQ$56&gt;$AO710))
) / 1000</f>
        <v>0</v>
      </c>
      <c r="CW710" s="235" cm="1">
        <f t="array" ref="CW710">$BI710 * IF($AH710&lt;=2,
SUMPRODUCT(INDEX($AR$23:$AT$61,,$AI710), INDEX($AU$23:$BA$61,,$AH710), 1 / ($BB$23:$BB$61*CU710), N($AQ$23:$AQ$61&gt;$AO710)),
SUMPRODUCT(INDEX($AR$23:$AT$46,,$AI710), INDEX($AU$23:$BA$46,,$AH710), 1 / ($BC$23:$BC$46*CU710), N($AQ$23:$AQ$46&gt;$AO710))
) / 1000</f>
        <v>0</v>
      </c>
      <c r="CX710" s="230">
        <f t="shared" si="712"/>
        <v>0</v>
      </c>
      <c r="CY710" s="238"/>
    </row>
    <row r="711" spans="1:103" s="76" customFormat="1" ht="14.25" customHeight="1" x14ac:dyDescent="0.2">
      <c r="A711" s="231" t="b">
        <f t="shared" si="678"/>
        <v>0</v>
      </c>
      <c r="B711" s="245">
        <v>689</v>
      </c>
      <c r="C711" s="258"/>
      <c r="D711" s="258"/>
      <c r="E711" s="246"/>
      <c r="F711" s="247" t="str">
        <f>IF(ISBLANK(E711), "", VLOOKUP(E711, Z!$A$2:$C$4127, 3, FALSE))</f>
        <v/>
      </c>
      <c r="G711" s="248"/>
      <c r="H711" s="248"/>
      <c r="I711" s="249"/>
      <c r="J711" s="250"/>
      <c r="K711" s="259"/>
      <c r="L711" s="260"/>
      <c r="M711" s="252" t="str" cm="1">
        <f t="array" ref="M711">INDEX(Trad, 53, $A$20)</f>
        <v>Verschmutzt</v>
      </c>
      <c r="N711" s="253"/>
      <c r="O711" s="253"/>
      <c r="P711" s="254"/>
      <c r="Q711" s="251"/>
      <c r="R711" s="251"/>
      <c r="S711" s="264">
        <f t="shared" si="687"/>
        <v>0</v>
      </c>
      <c r="T711" s="252" t="str" cm="1">
        <f t="array" ref="T711">INDEX(Trad, 52, $A$20)</f>
        <v>Sauber</v>
      </c>
      <c r="U711" s="253"/>
      <c r="V711" s="253"/>
      <c r="W711" s="254"/>
      <c r="X711" s="251"/>
      <c r="Y711" s="251"/>
      <c r="Z711" s="264">
        <f t="shared" si="688"/>
        <v>0</v>
      </c>
      <c r="AA711" s="261"/>
      <c r="AB711" s="258"/>
      <c r="AC711" s="246"/>
      <c r="AD711" s="247" t="str">
        <f>IF(ISBLANK(AC711), "", VLOOKUP(AC711, Z!$A$2:$C$4127, 3, FALSE))</f>
        <v/>
      </c>
      <c r="AE711" s="262"/>
      <c r="AF711" s="263">
        <f t="shared" si="689"/>
        <v>0</v>
      </c>
      <c r="AG711" s="238"/>
      <c r="AH711" s="229">
        <f t="shared" si="713"/>
        <v>1</v>
      </c>
      <c r="AI711" s="229">
        <f t="shared" si="714"/>
        <v>1</v>
      </c>
      <c r="AJ711" s="229">
        <f t="shared" si="715"/>
        <v>0</v>
      </c>
      <c r="AK711" s="229">
        <v>0</v>
      </c>
      <c r="AL711" s="229">
        <v>0</v>
      </c>
      <c r="AM711" s="229">
        <v>1</v>
      </c>
      <c r="AN711" s="229">
        <v>0</v>
      </c>
      <c r="AO711" s="229">
        <f t="shared" si="690"/>
        <v>-100</v>
      </c>
      <c r="AP711" s="238"/>
      <c r="AQ711" s="255"/>
      <c r="AR711" s="255"/>
      <c r="AS711" s="256"/>
      <c r="AT711" s="256"/>
      <c r="AU711" s="256"/>
      <c r="AV711" s="256"/>
      <c r="AW711" s="256"/>
      <c r="AX711" s="256"/>
      <c r="AY711" s="256"/>
      <c r="AZ711" s="256"/>
      <c r="BA711" s="256"/>
      <c r="BB711" s="256"/>
      <c r="BC711" s="256"/>
      <c r="BD711" s="238"/>
      <c r="BE711" s="229" cm="1">
        <f t="array" ref="BE711">IF(ISBLANK(R711), INDEX(Use, $AH711, 4) - AM711*INDEX(Use, $AH711, 6), R711)</f>
        <v>5</v>
      </c>
      <c r="BF711" s="229">
        <f t="shared" si="691"/>
        <v>30</v>
      </c>
      <c r="BG711" s="229">
        <f t="shared" si="679"/>
        <v>13</v>
      </c>
      <c r="BH711" s="229">
        <f t="shared" si="680"/>
        <v>0</v>
      </c>
      <c r="BI711" s="234" cm="1">
        <f t="array" ref="BI711">K711/IF($L711&gt;0, INDEX($AU$23:$BA$77, $L711+20, $AH711), 1)</f>
        <v>0</v>
      </c>
      <c r="BJ711" s="230">
        <f t="shared" si="692"/>
        <v>0</v>
      </c>
      <c r="BK711" s="229">
        <v>35</v>
      </c>
      <c r="BL711" s="230">
        <f t="shared" si="693"/>
        <v>48</v>
      </c>
      <c r="BM711" s="235">
        <f t="shared" si="694"/>
        <v>2.9108720930232557</v>
      </c>
      <c r="BN711" s="235" cm="1">
        <f t="array" ref="BN711">$BI711 * SUMPRODUCT(INDEX($AR$77:$AT$82,,$AI711),INDEX($AU$77:$BA$82,,$AH711), N($AQ$77:$AQ$82&gt;$AO711)) / BM711 / 1000</f>
        <v>0</v>
      </c>
      <c r="BO711" s="232">
        <f t="shared" si="681"/>
        <v>30</v>
      </c>
      <c r="BP711" s="230">
        <f t="shared" si="695"/>
        <v>43</v>
      </c>
      <c r="BQ711" s="235">
        <f t="shared" si="696"/>
        <v>3.2938815789473681</v>
      </c>
      <c r="BR711" s="235" cm="1">
        <f t="array" ref="BR711">$BI711 * IF($AH711&lt;=2,
SUMPRODUCT(INDEX($AR$72:$AT$76,,$AI711), INDEX($AU$72:$BA$76,,$AH711), 1 / ($BB$72:$BB$76*BQ711 + (1-$BB$72:$BB$76)*BM711), N($AQ$72:$AQ$76&gt;$AO711)),
SUMPRODUCT(INDEX($AR$67:$AT$76,,$AI711), INDEX($AU$67:$BA$76,,$AH711), 1 / ($BC$67:$BC$76*BQ711 + (1-$BC$67:$BC$76)*BM711), N($AQ$67:$AQ$76&gt;$AO711))
) / 1000</f>
        <v>0</v>
      </c>
      <c r="BS711" s="232">
        <f t="shared" si="682"/>
        <v>25</v>
      </c>
      <c r="BT711" s="230">
        <f t="shared" si="697"/>
        <v>38</v>
      </c>
      <c r="BU711" s="235">
        <f t="shared" si="698"/>
        <v>3.792954545454545</v>
      </c>
      <c r="BV711" s="235" cm="1">
        <f t="array" ref="BV711">$BI711 * IF($AH711&lt;=2,
SUMPRODUCT(INDEX($AR$67:$AT$71,,$AI711), INDEX($AU$67:$BA$71,,$AH711), 1 / ($BB$67:$BB$71*BU711 + (1-$BB$67:$BB$71)*BQ711), N($AQ$67:$AQ$71&gt;$AO711)),
SUMPRODUCT(INDEX($AR$57:$AT$66,,$AI711), INDEX($AU$57:$BA$66,,$AH711), 1 / ($BC$57:$BC$66*BU711 + (1-$BC$57:$BC$66)*BQ711), N($AQ$57:$AQ$66&gt;$AO711))
) / 1000</f>
        <v>0</v>
      </c>
      <c r="BW711" s="232">
        <f t="shared" si="683"/>
        <v>20</v>
      </c>
      <c r="BX711" s="230">
        <f t="shared" si="699"/>
        <v>33</v>
      </c>
      <c r="BY711" s="235">
        <f t="shared" si="700"/>
        <v>4.4702678571428569</v>
      </c>
      <c r="BZ711" s="235" cm="1">
        <f t="array" ref="BZ711">$BI711 * IF($AH711&lt;=2,
SUMPRODUCT(INDEX($AR$62:$AT$66,,$AI711), INDEX($AU$62:$BA$66,,$AH711), 1 / ($BB$62:$BB$66*BY711 + (1-$BB$62:$BB$66)*BU711), N($AQ$62:$AQ$66&gt;$AO711)),
SUMPRODUCT(INDEX($AR$47:$AT$56,,$AI711), INDEX($AU$47:$BA$56,,$AH711), 1 / ($BC$47:$BC$56*BY711 + (1-$BC$47:$BC$56)*BU711), N($AQ$47:$AQ$56&gt;$AO711))
) / 1000</f>
        <v>0</v>
      </c>
      <c r="CA711" s="235" cm="1">
        <f t="array" ref="CA711">$BI711 * IF($AH711&lt;=2,
SUMPRODUCT(INDEX($AR$23:$AT$61,,$AI711), INDEX($AU$23:$BA$61,,$AH711), 1 / ($BB$23:$BB$61*BY711), N($AQ$23:$AQ$61&gt;$AO711)),
SUMPRODUCT(INDEX($AR$23:$AT$46,,$AI711), INDEX($AU$23:$BA$46,,$AH711), 1 / ($BC$23:$BC$46*BY711), N($AQ$23:$AQ$46&gt;$AO711))
) / 1000</f>
        <v>0</v>
      </c>
      <c r="CB711" s="230">
        <f t="shared" si="701"/>
        <v>0</v>
      </c>
      <c r="CC711" s="238"/>
      <c r="CD711" s="229" cm="1">
        <f t="array" ref="CD711">IF(ISBLANK(Y711), INDEX(Use, $AH711, 4) - AN711*INDEX(Use, $AH711, 6) - (Q711-X711), Y711)</f>
        <v>7</v>
      </c>
      <c r="CE711" s="229">
        <f t="shared" si="702"/>
        <v>32</v>
      </c>
      <c r="CF711" s="230">
        <f t="shared" si="703"/>
        <v>0</v>
      </c>
      <c r="CG711" s="229">
        <v>35</v>
      </c>
      <c r="CH711" s="230">
        <f t="shared" si="704"/>
        <v>48</v>
      </c>
      <c r="CI711" s="235">
        <f t="shared" si="705"/>
        <v>3.0748170731707316</v>
      </c>
      <c r="CJ711" s="235" cm="1">
        <f t="array" ref="CJ711">$BI711 * SUMPRODUCT(INDEX($AR$77:$AT$82,,$AI711),INDEX($AU$77:$BA$82,,$AH711), N($AQ$77:$AQ$82&gt;$AO711)) / CI711 / 1000</f>
        <v>0</v>
      </c>
      <c r="CK711" s="232">
        <f t="shared" si="684"/>
        <v>30</v>
      </c>
      <c r="CL711" s="230">
        <f t="shared" si="706"/>
        <v>43</v>
      </c>
      <c r="CM711" s="235">
        <f t="shared" si="707"/>
        <v>3.5018750000000001</v>
      </c>
      <c r="CN711" s="235" cm="1">
        <f t="array" ref="CN711">$BI711 * IF($AH711&lt;=2,
SUMPRODUCT(INDEX($AR$72:$AT$76,,$AI711), INDEX($AU$72:$BA$76,,$AH711), 1 / ($BB$72:$BB$76*CM711 + (1-$BB$72:$BB$76)*CI711), N($AQ$72:$AQ$76&gt;$AO711)),
SUMPRODUCT(INDEX($AR$67:$AT$76,,$AI711), INDEX($AU$67:$BA$76,,$AH711), 1 / ($BC$67:$BC$76*CM711 + (1-$BC$67:$BC$76)*CI711), N($AQ$67:$AQ$76&gt;$AO711))
) / 1000</f>
        <v>0</v>
      </c>
      <c r="CO711" s="232">
        <f t="shared" si="685"/>
        <v>25</v>
      </c>
      <c r="CP711" s="230">
        <f t="shared" si="708"/>
        <v>38</v>
      </c>
      <c r="CQ711" s="235">
        <f t="shared" si="709"/>
        <v>4.0666935483870965</v>
      </c>
      <c r="CR711" s="235" cm="1">
        <f t="array" ref="CR711">$BI711 * IF($AH711&lt;=2,
SUMPRODUCT(INDEX($AR$67:$AT$71,,$AI711), INDEX($AU$67:$BA$71,,$AH711), 1 / ($BB$67:$BB$71*CQ711 + (1-$BB$67:$BB$71)*CM711), N($AQ$67:$AQ$71&gt;$AO711)),
SUMPRODUCT(INDEX($AR$57:$AT$66,,$AI711), INDEX($AU$57:$BA$66,,$AH711), 1 / ($BC$57:$BC$66*CQ711 + (1-$BC$57:$BC$66)*CM711), N($AQ$57:$AQ$66&gt;$AO711))
) / 1000</f>
        <v>0</v>
      </c>
      <c r="CS711" s="232">
        <f t="shared" si="686"/>
        <v>20</v>
      </c>
      <c r="CT711" s="230">
        <f t="shared" si="710"/>
        <v>33</v>
      </c>
      <c r="CU711" s="235">
        <f t="shared" si="711"/>
        <v>4.8487499999999999</v>
      </c>
      <c r="CV711" s="235" cm="1">
        <f t="array" ref="CV711">$BI711 * IF($AH711&lt;=2,
SUMPRODUCT(INDEX($AR$62:$AT$66,,$AI711), INDEX($AU$62:$BA$66,,$AH711), 1 / ($BB$62:$BB$66*CU711 + (1-$BB$62:$BB$66)*CQ711), N($AQ$62:$AQ$66&gt;$AO711)),
SUMPRODUCT(INDEX($AR$47:$AT$56,,$AI711), INDEX($AU$47:$BA$56,,$AH711), 1 / ($BC$47:$BC$56*CU711 + (1-$BC$47:$BC$56)*CQ711), N($AQ$47:$AQ$56&gt;$AO711))
) / 1000</f>
        <v>0</v>
      </c>
      <c r="CW711" s="235" cm="1">
        <f t="array" ref="CW711">$BI711 * IF($AH711&lt;=2,
SUMPRODUCT(INDEX($AR$23:$AT$61,,$AI711), INDEX($AU$23:$BA$61,,$AH711), 1 / ($BB$23:$BB$61*CU711), N($AQ$23:$AQ$61&gt;$AO711)),
SUMPRODUCT(INDEX($AR$23:$AT$46,,$AI711), INDEX($AU$23:$BA$46,,$AH711), 1 / ($BC$23:$BC$46*CU711), N($AQ$23:$AQ$46&gt;$AO711))
) / 1000</f>
        <v>0</v>
      </c>
      <c r="CX711" s="230">
        <f t="shared" si="712"/>
        <v>0</v>
      </c>
      <c r="CY711" s="238"/>
    </row>
    <row r="712" spans="1:103" s="76" customFormat="1" ht="14.25" customHeight="1" x14ac:dyDescent="0.2">
      <c r="A712" s="231" t="b">
        <f t="shared" si="678"/>
        <v>0</v>
      </c>
      <c r="B712" s="245">
        <v>690</v>
      </c>
      <c r="C712" s="258"/>
      <c r="D712" s="258"/>
      <c r="E712" s="246"/>
      <c r="F712" s="247" t="str">
        <f>IF(ISBLANK(E712), "", VLOOKUP(E712, Z!$A$2:$C$4127, 3, FALSE))</f>
        <v/>
      </c>
      <c r="G712" s="248"/>
      <c r="H712" s="248"/>
      <c r="I712" s="249"/>
      <c r="J712" s="250"/>
      <c r="K712" s="259"/>
      <c r="L712" s="260"/>
      <c r="M712" s="252" t="str" cm="1">
        <f t="array" ref="M712">INDEX(Trad, 53, $A$20)</f>
        <v>Verschmutzt</v>
      </c>
      <c r="N712" s="253"/>
      <c r="O712" s="253"/>
      <c r="P712" s="254"/>
      <c r="Q712" s="251"/>
      <c r="R712" s="251"/>
      <c r="S712" s="264">
        <f t="shared" si="687"/>
        <v>0</v>
      </c>
      <c r="T712" s="252" t="str" cm="1">
        <f t="array" ref="T712">INDEX(Trad, 52, $A$20)</f>
        <v>Sauber</v>
      </c>
      <c r="U712" s="253"/>
      <c r="V712" s="253"/>
      <c r="W712" s="254"/>
      <c r="X712" s="251"/>
      <c r="Y712" s="251"/>
      <c r="Z712" s="264">
        <f t="shared" si="688"/>
        <v>0</v>
      </c>
      <c r="AA712" s="261"/>
      <c r="AB712" s="258"/>
      <c r="AC712" s="246"/>
      <c r="AD712" s="247" t="str">
        <f>IF(ISBLANK(AC712), "", VLOOKUP(AC712, Z!$A$2:$C$4127, 3, FALSE))</f>
        <v/>
      </c>
      <c r="AE712" s="262"/>
      <c r="AF712" s="263">
        <f t="shared" si="689"/>
        <v>0</v>
      </c>
      <c r="AG712" s="238"/>
      <c r="AH712" s="229">
        <f t="shared" si="713"/>
        <v>1</v>
      </c>
      <c r="AI712" s="229">
        <f t="shared" si="714"/>
        <v>1</v>
      </c>
      <c r="AJ712" s="229">
        <f t="shared" si="715"/>
        <v>0</v>
      </c>
      <c r="AK712" s="229">
        <v>0</v>
      </c>
      <c r="AL712" s="229">
        <v>0</v>
      </c>
      <c r="AM712" s="229">
        <v>1</v>
      </c>
      <c r="AN712" s="229">
        <v>0</v>
      </c>
      <c r="AO712" s="229">
        <f t="shared" si="690"/>
        <v>-100</v>
      </c>
      <c r="AP712" s="238"/>
      <c r="AQ712" s="255"/>
      <c r="AR712" s="255"/>
      <c r="AS712" s="256"/>
      <c r="AT712" s="256"/>
      <c r="AU712" s="256"/>
      <c r="AV712" s="256"/>
      <c r="AW712" s="256"/>
      <c r="AX712" s="256"/>
      <c r="AY712" s="256"/>
      <c r="AZ712" s="256"/>
      <c r="BA712" s="256"/>
      <c r="BB712" s="256"/>
      <c r="BC712" s="256"/>
      <c r="BD712" s="238"/>
      <c r="BE712" s="229" cm="1">
        <f t="array" ref="BE712">IF(ISBLANK(R712), INDEX(Use, $AH712, 4) - AM712*INDEX(Use, $AH712, 6), R712)</f>
        <v>5</v>
      </c>
      <c r="BF712" s="229">
        <f t="shared" si="691"/>
        <v>30</v>
      </c>
      <c r="BG712" s="229">
        <f t="shared" si="679"/>
        <v>13</v>
      </c>
      <c r="BH712" s="229">
        <f t="shared" si="680"/>
        <v>0</v>
      </c>
      <c r="BI712" s="234" cm="1">
        <f t="array" ref="BI712">K712/IF($L712&gt;0, INDEX($AU$23:$BA$77, $L712+20, $AH712), 1)</f>
        <v>0</v>
      </c>
      <c r="BJ712" s="230">
        <f t="shared" si="692"/>
        <v>0</v>
      </c>
      <c r="BK712" s="229">
        <v>35</v>
      </c>
      <c r="BL712" s="230">
        <f t="shared" si="693"/>
        <v>48</v>
      </c>
      <c r="BM712" s="235">
        <f t="shared" si="694"/>
        <v>2.9108720930232557</v>
      </c>
      <c r="BN712" s="235" cm="1">
        <f t="array" ref="BN712">$BI712 * SUMPRODUCT(INDEX($AR$77:$AT$82,,$AI712),INDEX($AU$77:$BA$82,,$AH712), N($AQ$77:$AQ$82&gt;$AO712)) / BM712 / 1000</f>
        <v>0</v>
      </c>
      <c r="BO712" s="232">
        <f t="shared" si="681"/>
        <v>30</v>
      </c>
      <c r="BP712" s="230">
        <f t="shared" si="695"/>
        <v>43</v>
      </c>
      <c r="BQ712" s="235">
        <f t="shared" si="696"/>
        <v>3.2938815789473681</v>
      </c>
      <c r="BR712" s="235" cm="1">
        <f t="array" ref="BR712">$BI712 * IF($AH712&lt;=2,
SUMPRODUCT(INDEX($AR$72:$AT$76,,$AI712), INDEX($AU$72:$BA$76,,$AH712), 1 / ($BB$72:$BB$76*BQ712 + (1-$BB$72:$BB$76)*BM712), N($AQ$72:$AQ$76&gt;$AO712)),
SUMPRODUCT(INDEX($AR$67:$AT$76,,$AI712), INDEX($AU$67:$BA$76,,$AH712), 1 / ($BC$67:$BC$76*BQ712 + (1-$BC$67:$BC$76)*BM712), N($AQ$67:$AQ$76&gt;$AO712))
) / 1000</f>
        <v>0</v>
      </c>
      <c r="BS712" s="232">
        <f t="shared" si="682"/>
        <v>25</v>
      </c>
      <c r="BT712" s="230">
        <f t="shared" si="697"/>
        <v>38</v>
      </c>
      <c r="BU712" s="235">
        <f t="shared" si="698"/>
        <v>3.792954545454545</v>
      </c>
      <c r="BV712" s="235" cm="1">
        <f t="array" ref="BV712">$BI712 * IF($AH712&lt;=2,
SUMPRODUCT(INDEX($AR$67:$AT$71,,$AI712), INDEX($AU$67:$BA$71,,$AH712), 1 / ($BB$67:$BB$71*BU712 + (1-$BB$67:$BB$71)*BQ712), N($AQ$67:$AQ$71&gt;$AO712)),
SUMPRODUCT(INDEX($AR$57:$AT$66,,$AI712), INDEX($AU$57:$BA$66,,$AH712), 1 / ($BC$57:$BC$66*BU712 + (1-$BC$57:$BC$66)*BQ712), N($AQ$57:$AQ$66&gt;$AO712))
) / 1000</f>
        <v>0</v>
      </c>
      <c r="BW712" s="232">
        <f t="shared" si="683"/>
        <v>20</v>
      </c>
      <c r="BX712" s="230">
        <f t="shared" si="699"/>
        <v>33</v>
      </c>
      <c r="BY712" s="235">
        <f t="shared" si="700"/>
        <v>4.4702678571428569</v>
      </c>
      <c r="BZ712" s="235" cm="1">
        <f t="array" ref="BZ712">$BI712 * IF($AH712&lt;=2,
SUMPRODUCT(INDEX($AR$62:$AT$66,,$AI712), INDEX($AU$62:$BA$66,,$AH712), 1 / ($BB$62:$BB$66*BY712 + (1-$BB$62:$BB$66)*BU712), N($AQ$62:$AQ$66&gt;$AO712)),
SUMPRODUCT(INDEX($AR$47:$AT$56,,$AI712), INDEX($AU$47:$BA$56,,$AH712), 1 / ($BC$47:$BC$56*BY712 + (1-$BC$47:$BC$56)*BU712), N($AQ$47:$AQ$56&gt;$AO712))
) / 1000</f>
        <v>0</v>
      </c>
      <c r="CA712" s="235" cm="1">
        <f t="array" ref="CA712">$BI712 * IF($AH712&lt;=2,
SUMPRODUCT(INDEX($AR$23:$AT$61,,$AI712), INDEX($AU$23:$BA$61,,$AH712), 1 / ($BB$23:$BB$61*BY712), N($AQ$23:$AQ$61&gt;$AO712)),
SUMPRODUCT(INDEX($AR$23:$AT$46,,$AI712), INDEX($AU$23:$BA$46,,$AH712), 1 / ($BC$23:$BC$46*BY712), N($AQ$23:$AQ$46&gt;$AO712))
) / 1000</f>
        <v>0</v>
      </c>
      <c r="CB712" s="230">
        <f t="shared" si="701"/>
        <v>0</v>
      </c>
      <c r="CC712" s="238"/>
      <c r="CD712" s="229" cm="1">
        <f t="array" ref="CD712">IF(ISBLANK(Y712), INDEX(Use, $AH712, 4) - AN712*INDEX(Use, $AH712, 6) - (Q712-X712), Y712)</f>
        <v>7</v>
      </c>
      <c r="CE712" s="229">
        <f t="shared" si="702"/>
        <v>32</v>
      </c>
      <c r="CF712" s="230">
        <f t="shared" si="703"/>
        <v>0</v>
      </c>
      <c r="CG712" s="229">
        <v>35</v>
      </c>
      <c r="CH712" s="230">
        <f t="shared" si="704"/>
        <v>48</v>
      </c>
      <c r="CI712" s="235">
        <f t="shared" si="705"/>
        <v>3.0748170731707316</v>
      </c>
      <c r="CJ712" s="235" cm="1">
        <f t="array" ref="CJ712">$BI712 * SUMPRODUCT(INDEX($AR$77:$AT$82,,$AI712),INDEX($AU$77:$BA$82,,$AH712), N($AQ$77:$AQ$82&gt;$AO712)) / CI712 / 1000</f>
        <v>0</v>
      </c>
      <c r="CK712" s="232">
        <f t="shared" si="684"/>
        <v>30</v>
      </c>
      <c r="CL712" s="230">
        <f t="shared" si="706"/>
        <v>43</v>
      </c>
      <c r="CM712" s="235">
        <f t="shared" si="707"/>
        <v>3.5018750000000001</v>
      </c>
      <c r="CN712" s="235" cm="1">
        <f t="array" ref="CN712">$BI712 * IF($AH712&lt;=2,
SUMPRODUCT(INDEX($AR$72:$AT$76,,$AI712), INDEX($AU$72:$BA$76,,$AH712), 1 / ($BB$72:$BB$76*CM712 + (1-$BB$72:$BB$76)*CI712), N($AQ$72:$AQ$76&gt;$AO712)),
SUMPRODUCT(INDEX($AR$67:$AT$76,,$AI712), INDEX($AU$67:$BA$76,,$AH712), 1 / ($BC$67:$BC$76*CM712 + (1-$BC$67:$BC$76)*CI712), N($AQ$67:$AQ$76&gt;$AO712))
) / 1000</f>
        <v>0</v>
      </c>
      <c r="CO712" s="232">
        <f t="shared" si="685"/>
        <v>25</v>
      </c>
      <c r="CP712" s="230">
        <f t="shared" si="708"/>
        <v>38</v>
      </c>
      <c r="CQ712" s="235">
        <f t="shared" si="709"/>
        <v>4.0666935483870965</v>
      </c>
      <c r="CR712" s="235" cm="1">
        <f t="array" ref="CR712">$BI712 * IF($AH712&lt;=2,
SUMPRODUCT(INDEX($AR$67:$AT$71,,$AI712), INDEX($AU$67:$BA$71,,$AH712), 1 / ($BB$67:$BB$71*CQ712 + (1-$BB$67:$BB$71)*CM712), N($AQ$67:$AQ$71&gt;$AO712)),
SUMPRODUCT(INDEX($AR$57:$AT$66,,$AI712), INDEX($AU$57:$BA$66,,$AH712), 1 / ($BC$57:$BC$66*CQ712 + (1-$BC$57:$BC$66)*CM712), N($AQ$57:$AQ$66&gt;$AO712))
) / 1000</f>
        <v>0</v>
      </c>
      <c r="CS712" s="232">
        <f t="shared" si="686"/>
        <v>20</v>
      </c>
      <c r="CT712" s="230">
        <f t="shared" si="710"/>
        <v>33</v>
      </c>
      <c r="CU712" s="235">
        <f t="shared" si="711"/>
        <v>4.8487499999999999</v>
      </c>
      <c r="CV712" s="235" cm="1">
        <f t="array" ref="CV712">$BI712 * IF($AH712&lt;=2,
SUMPRODUCT(INDEX($AR$62:$AT$66,,$AI712), INDEX($AU$62:$BA$66,,$AH712), 1 / ($BB$62:$BB$66*CU712 + (1-$BB$62:$BB$66)*CQ712), N($AQ$62:$AQ$66&gt;$AO712)),
SUMPRODUCT(INDEX($AR$47:$AT$56,,$AI712), INDEX($AU$47:$BA$56,,$AH712), 1 / ($BC$47:$BC$56*CU712 + (1-$BC$47:$BC$56)*CQ712), N($AQ$47:$AQ$56&gt;$AO712))
) / 1000</f>
        <v>0</v>
      </c>
      <c r="CW712" s="235" cm="1">
        <f t="array" ref="CW712">$BI712 * IF($AH712&lt;=2,
SUMPRODUCT(INDEX($AR$23:$AT$61,,$AI712), INDEX($AU$23:$BA$61,,$AH712), 1 / ($BB$23:$BB$61*CU712), N($AQ$23:$AQ$61&gt;$AO712)),
SUMPRODUCT(INDEX($AR$23:$AT$46,,$AI712), INDEX($AU$23:$BA$46,,$AH712), 1 / ($BC$23:$BC$46*CU712), N($AQ$23:$AQ$46&gt;$AO712))
) / 1000</f>
        <v>0</v>
      </c>
      <c r="CX712" s="230">
        <f t="shared" si="712"/>
        <v>0</v>
      </c>
      <c r="CY712" s="238"/>
    </row>
    <row r="713" spans="1:103" s="76" customFormat="1" ht="14.25" customHeight="1" x14ac:dyDescent="0.2">
      <c r="A713" s="231" t="b">
        <f t="shared" si="678"/>
        <v>0</v>
      </c>
      <c r="B713" s="245">
        <v>691</v>
      </c>
      <c r="C713" s="258"/>
      <c r="D713" s="258"/>
      <c r="E713" s="246"/>
      <c r="F713" s="247" t="str">
        <f>IF(ISBLANK(E713), "", VLOOKUP(E713, Z!$A$2:$C$4127, 3, FALSE))</f>
        <v/>
      </c>
      <c r="G713" s="248"/>
      <c r="H713" s="248"/>
      <c r="I713" s="249"/>
      <c r="J713" s="250"/>
      <c r="K713" s="259"/>
      <c r="L713" s="260"/>
      <c r="M713" s="252" t="str" cm="1">
        <f t="array" ref="M713">INDEX(Trad, 53, $A$20)</f>
        <v>Verschmutzt</v>
      </c>
      <c r="N713" s="253"/>
      <c r="O713" s="253"/>
      <c r="P713" s="254"/>
      <c r="Q713" s="251"/>
      <c r="R713" s="251"/>
      <c r="S713" s="264">
        <f t="shared" si="687"/>
        <v>0</v>
      </c>
      <c r="T713" s="252" t="str" cm="1">
        <f t="array" ref="T713">INDEX(Trad, 52, $A$20)</f>
        <v>Sauber</v>
      </c>
      <c r="U713" s="253"/>
      <c r="V713" s="253"/>
      <c r="W713" s="254"/>
      <c r="X713" s="251"/>
      <c r="Y713" s="251"/>
      <c r="Z713" s="264">
        <f t="shared" si="688"/>
        <v>0</v>
      </c>
      <c r="AA713" s="261"/>
      <c r="AB713" s="258"/>
      <c r="AC713" s="246"/>
      <c r="AD713" s="247" t="str">
        <f>IF(ISBLANK(AC713), "", VLOOKUP(AC713, Z!$A$2:$C$4127, 3, FALSE))</f>
        <v/>
      </c>
      <c r="AE713" s="262"/>
      <c r="AF713" s="263">
        <f t="shared" si="689"/>
        <v>0</v>
      </c>
      <c r="AG713" s="238"/>
      <c r="AH713" s="229">
        <f t="shared" si="713"/>
        <v>1</v>
      </c>
      <c r="AI713" s="229">
        <f t="shared" si="714"/>
        <v>1</v>
      </c>
      <c r="AJ713" s="229">
        <f t="shared" si="715"/>
        <v>0</v>
      </c>
      <c r="AK713" s="229">
        <v>0</v>
      </c>
      <c r="AL713" s="229">
        <v>0</v>
      </c>
      <c r="AM713" s="229">
        <v>1</v>
      </c>
      <c r="AN713" s="229">
        <v>0</v>
      </c>
      <c r="AO713" s="229">
        <f t="shared" si="690"/>
        <v>-100</v>
      </c>
      <c r="AP713" s="238"/>
      <c r="AQ713" s="255"/>
      <c r="AR713" s="255"/>
      <c r="AS713" s="256"/>
      <c r="AT713" s="256"/>
      <c r="AU713" s="256"/>
      <c r="AV713" s="256"/>
      <c r="AW713" s="256"/>
      <c r="AX713" s="256"/>
      <c r="AY713" s="256"/>
      <c r="AZ713" s="256"/>
      <c r="BA713" s="256"/>
      <c r="BB713" s="256"/>
      <c r="BC713" s="256"/>
      <c r="BD713" s="238"/>
      <c r="BE713" s="229" cm="1">
        <f t="array" ref="BE713">IF(ISBLANK(R713), INDEX(Use, $AH713, 4) - AM713*INDEX(Use, $AH713, 6), R713)</f>
        <v>5</v>
      </c>
      <c r="BF713" s="229">
        <f t="shared" si="691"/>
        <v>30</v>
      </c>
      <c r="BG713" s="229">
        <f t="shared" si="679"/>
        <v>13</v>
      </c>
      <c r="BH713" s="229">
        <f t="shared" si="680"/>
        <v>0</v>
      </c>
      <c r="BI713" s="234" cm="1">
        <f t="array" ref="BI713">K713/IF($L713&gt;0, INDEX($AU$23:$BA$77, $L713+20, $AH713), 1)</f>
        <v>0</v>
      </c>
      <c r="BJ713" s="230">
        <f t="shared" si="692"/>
        <v>0</v>
      </c>
      <c r="BK713" s="229">
        <v>35</v>
      </c>
      <c r="BL713" s="230">
        <f t="shared" si="693"/>
        <v>48</v>
      </c>
      <c r="BM713" s="235">
        <f t="shared" si="694"/>
        <v>2.9108720930232557</v>
      </c>
      <c r="BN713" s="235" cm="1">
        <f t="array" ref="BN713">$BI713 * SUMPRODUCT(INDEX($AR$77:$AT$82,,$AI713),INDEX($AU$77:$BA$82,,$AH713), N($AQ$77:$AQ$82&gt;$AO713)) / BM713 / 1000</f>
        <v>0</v>
      </c>
      <c r="BO713" s="232">
        <f t="shared" si="681"/>
        <v>30</v>
      </c>
      <c r="BP713" s="230">
        <f t="shared" si="695"/>
        <v>43</v>
      </c>
      <c r="BQ713" s="235">
        <f t="shared" si="696"/>
        <v>3.2938815789473681</v>
      </c>
      <c r="BR713" s="235" cm="1">
        <f t="array" ref="BR713">$BI713 * IF($AH713&lt;=2,
SUMPRODUCT(INDEX($AR$72:$AT$76,,$AI713), INDEX($AU$72:$BA$76,,$AH713), 1 / ($BB$72:$BB$76*BQ713 + (1-$BB$72:$BB$76)*BM713), N($AQ$72:$AQ$76&gt;$AO713)),
SUMPRODUCT(INDEX($AR$67:$AT$76,,$AI713), INDEX($AU$67:$BA$76,,$AH713), 1 / ($BC$67:$BC$76*BQ713 + (1-$BC$67:$BC$76)*BM713), N($AQ$67:$AQ$76&gt;$AO713))
) / 1000</f>
        <v>0</v>
      </c>
      <c r="BS713" s="232">
        <f t="shared" si="682"/>
        <v>25</v>
      </c>
      <c r="BT713" s="230">
        <f t="shared" si="697"/>
        <v>38</v>
      </c>
      <c r="BU713" s="235">
        <f t="shared" si="698"/>
        <v>3.792954545454545</v>
      </c>
      <c r="BV713" s="235" cm="1">
        <f t="array" ref="BV713">$BI713 * IF($AH713&lt;=2,
SUMPRODUCT(INDEX($AR$67:$AT$71,,$AI713), INDEX($AU$67:$BA$71,,$AH713), 1 / ($BB$67:$BB$71*BU713 + (1-$BB$67:$BB$71)*BQ713), N($AQ$67:$AQ$71&gt;$AO713)),
SUMPRODUCT(INDEX($AR$57:$AT$66,,$AI713), INDEX($AU$57:$BA$66,,$AH713), 1 / ($BC$57:$BC$66*BU713 + (1-$BC$57:$BC$66)*BQ713), N($AQ$57:$AQ$66&gt;$AO713))
) / 1000</f>
        <v>0</v>
      </c>
      <c r="BW713" s="232">
        <f t="shared" si="683"/>
        <v>20</v>
      </c>
      <c r="BX713" s="230">
        <f t="shared" si="699"/>
        <v>33</v>
      </c>
      <c r="BY713" s="235">
        <f t="shared" si="700"/>
        <v>4.4702678571428569</v>
      </c>
      <c r="BZ713" s="235" cm="1">
        <f t="array" ref="BZ713">$BI713 * IF($AH713&lt;=2,
SUMPRODUCT(INDEX($AR$62:$AT$66,,$AI713), INDEX($AU$62:$BA$66,,$AH713), 1 / ($BB$62:$BB$66*BY713 + (1-$BB$62:$BB$66)*BU713), N($AQ$62:$AQ$66&gt;$AO713)),
SUMPRODUCT(INDEX($AR$47:$AT$56,,$AI713), INDEX($AU$47:$BA$56,,$AH713), 1 / ($BC$47:$BC$56*BY713 + (1-$BC$47:$BC$56)*BU713), N($AQ$47:$AQ$56&gt;$AO713))
) / 1000</f>
        <v>0</v>
      </c>
      <c r="CA713" s="235" cm="1">
        <f t="array" ref="CA713">$BI713 * IF($AH713&lt;=2,
SUMPRODUCT(INDEX($AR$23:$AT$61,,$AI713), INDEX($AU$23:$BA$61,,$AH713), 1 / ($BB$23:$BB$61*BY713), N($AQ$23:$AQ$61&gt;$AO713)),
SUMPRODUCT(INDEX($AR$23:$AT$46,,$AI713), INDEX($AU$23:$BA$46,,$AH713), 1 / ($BC$23:$BC$46*BY713), N($AQ$23:$AQ$46&gt;$AO713))
) / 1000</f>
        <v>0</v>
      </c>
      <c r="CB713" s="230">
        <f t="shared" si="701"/>
        <v>0</v>
      </c>
      <c r="CC713" s="238"/>
      <c r="CD713" s="229" cm="1">
        <f t="array" ref="CD713">IF(ISBLANK(Y713), INDEX(Use, $AH713, 4) - AN713*INDEX(Use, $AH713, 6) - (Q713-X713), Y713)</f>
        <v>7</v>
      </c>
      <c r="CE713" s="229">
        <f t="shared" si="702"/>
        <v>32</v>
      </c>
      <c r="CF713" s="230">
        <f t="shared" si="703"/>
        <v>0</v>
      </c>
      <c r="CG713" s="229">
        <v>35</v>
      </c>
      <c r="CH713" s="230">
        <f t="shared" si="704"/>
        <v>48</v>
      </c>
      <c r="CI713" s="235">
        <f t="shared" si="705"/>
        <v>3.0748170731707316</v>
      </c>
      <c r="CJ713" s="235" cm="1">
        <f t="array" ref="CJ713">$BI713 * SUMPRODUCT(INDEX($AR$77:$AT$82,,$AI713),INDEX($AU$77:$BA$82,,$AH713), N($AQ$77:$AQ$82&gt;$AO713)) / CI713 / 1000</f>
        <v>0</v>
      </c>
      <c r="CK713" s="232">
        <f t="shared" si="684"/>
        <v>30</v>
      </c>
      <c r="CL713" s="230">
        <f t="shared" si="706"/>
        <v>43</v>
      </c>
      <c r="CM713" s="235">
        <f t="shared" si="707"/>
        <v>3.5018750000000001</v>
      </c>
      <c r="CN713" s="235" cm="1">
        <f t="array" ref="CN713">$BI713 * IF($AH713&lt;=2,
SUMPRODUCT(INDEX($AR$72:$AT$76,,$AI713), INDEX($AU$72:$BA$76,,$AH713), 1 / ($BB$72:$BB$76*CM713 + (1-$BB$72:$BB$76)*CI713), N($AQ$72:$AQ$76&gt;$AO713)),
SUMPRODUCT(INDEX($AR$67:$AT$76,,$AI713), INDEX($AU$67:$BA$76,,$AH713), 1 / ($BC$67:$BC$76*CM713 + (1-$BC$67:$BC$76)*CI713), N($AQ$67:$AQ$76&gt;$AO713))
) / 1000</f>
        <v>0</v>
      </c>
      <c r="CO713" s="232">
        <f t="shared" si="685"/>
        <v>25</v>
      </c>
      <c r="CP713" s="230">
        <f t="shared" si="708"/>
        <v>38</v>
      </c>
      <c r="CQ713" s="235">
        <f t="shared" si="709"/>
        <v>4.0666935483870965</v>
      </c>
      <c r="CR713" s="235" cm="1">
        <f t="array" ref="CR713">$BI713 * IF($AH713&lt;=2,
SUMPRODUCT(INDEX($AR$67:$AT$71,,$AI713), INDEX($AU$67:$BA$71,,$AH713), 1 / ($BB$67:$BB$71*CQ713 + (1-$BB$67:$BB$71)*CM713), N($AQ$67:$AQ$71&gt;$AO713)),
SUMPRODUCT(INDEX($AR$57:$AT$66,,$AI713), INDEX($AU$57:$BA$66,,$AH713), 1 / ($BC$57:$BC$66*CQ713 + (1-$BC$57:$BC$66)*CM713), N($AQ$57:$AQ$66&gt;$AO713))
) / 1000</f>
        <v>0</v>
      </c>
      <c r="CS713" s="232">
        <f t="shared" si="686"/>
        <v>20</v>
      </c>
      <c r="CT713" s="230">
        <f t="shared" si="710"/>
        <v>33</v>
      </c>
      <c r="CU713" s="235">
        <f t="shared" si="711"/>
        <v>4.8487499999999999</v>
      </c>
      <c r="CV713" s="235" cm="1">
        <f t="array" ref="CV713">$BI713 * IF($AH713&lt;=2,
SUMPRODUCT(INDEX($AR$62:$AT$66,,$AI713), INDEX($AU$62:$BA$66,,$AH713), 1 / ($BB$62:$BB$66*CU713 + (1-$BB$62:$BB$66)*CQ713), N($AQ$62:$AQ$66&gt;$AO713)),
SUMPRODUCT(INDEX($AR$47:$AT$56,,$AI713), INDEX($AU$47:$BA$56,,$AH713), 1 / ($BC$47:$BC$56*CU713 + (1-$BC$47:$BC$56)*CQ713), N($AQ$47:$AQ$56&gt;$AO713))
) / 1000</f>
        <v>0</v>
      </c>
      <c r="CW713" s="235" cm="1">
        <f t="array" ref="CW713">$BI713 * IF($AH713&lt;=2,
SUMPRODUCT(INDEX($AR$23:$AT$61,,$AI713), INDEX($AU$23:$BA$61,,$AH713), 1 / ($BB$23:$BB$61*CU713), N($AQ$23:$AQ$61&gt;$AO713)),
SUMPRODUCT(INDEX($AR$23:$AT$46,,$AI713), INDEX($AU$23:$BA$46,,$AH713), 1 / ($BC$23:$BC$46*CU713), N($AQ$23:$AQ$46&gt;$AO713))
) / 1000</f>
        <v>0</v>
      </c>
      <c r="CX713" s="230">
        <f t="shared" si="712"/>
        <v>0</v>
      </c>
      <c r="CY713" s="238"/>
    </row>
    <row r="714" spans="1:103" s="76" customFormat="1" ht="14.25" customHeight="1" x14ac:dyDescent="0.2">
      <c r="A714" s="231" t="b">
        <f t="shared" si="678"/>
        <v>0</v>
      </c>
      <c r="B714" s="245">
        <v>692</v>
      </c>
      <c r="C714" s="258"/>
      <c r="D714" s="258"/>
      <c r="E714" s="246"/>
      <c r="F714" s="247" t="str">
        <f>IF(ISBLANK(E714), "", VLOOKUP(E714, Z!$A$2:$C$4127, 3, FALSE))</f>
        <v/>
      </c>
      <c r="G714" s="248"/>
      <c r="H714" s="248"/>
      <c r="I714" s="249"/>
      <c r="J714" s="250"/>
      <c r="K714" s="259"/>
      <c r="L714" s="260"/>
      <c r="M714" s="252" t="str" cm="1">
        <f t="array" ref="M714">INDEX(Trad, 53, $A$20)</f>
        <v>Verschmutzt</v>
      </c>
      <c r="N714" s="253"/>
      <c r="O714" s="253"/>
      <c r="P714" s="254"/>
      <c r="Q714" s="251"/>
      <c r="R714" s="251"/>
      <c r="S714" s="264">
        <f t="shared" si="687"/>
        <v>0</v>
      </c>
      <c r="T714" s="252" t="str" cm="1">
        <f t="array" ref="T714">INDEX(Trad, 52, $A$20)</f>
        <v>Sauber</v>
      </c>
      <c r="U714" s="253"/>
      <c r="V714" s="253"/>
      <c r="W714" s="254"/>
      <c r="X714" s="251"/>
      <c r="Y714" s="251"/>
      <c r="Z714" s="264">
        <f t="shared" si="688"/>
        <v>0</v>
      </c>
      <c r="AA714" s="261"/>
      <c r="AB714" s="258"/>
      <c r="AC714" s="246"/>
      <c r="AD714" s="247" t="str">
        <f>IF(ISBLANK(AC714), "", VLOOKUP(AC714, Z!$A$2:$C$4127, 3, FALSE))</f>
        <v/>
      </c>
      <c r="AE714" s="262"/>
      <c r="AF714" s="263">
        <f t="shared" si="689"/>
        <v>0</v>
      </c>
      <c r="AG714" s="238"/>
      <c r="AH714" s="229">
        <f t="shared" si="713"/>
        <v>1</v>
      </c>
      <c r="AI714" s="229">
        <f t="shared" si="714"/>
        <v>1</v>
      </c>
      <c r="AJ714" s="229">
        <f t="shared" si="715"/>
        <v>0</v>
      </c>
      <c r="AK714" s="229">
        <v>0</v>
      </c>
      <c r="AL714" s="229">
        <v>0</v>
      </c>
      <c r="AM714" s="229">
        <v>1</v>
      </c>
      <c r="AN714" s="229">
        <v>0</v>
      </c>
      <c r="AO714" s="229">
        <f t="shared" si="690"/>
        <v>-100</v>
      </c>
      <c r="AP714" s="238"/>
      <c r="AQ714" s="255"/>
      <c r="AR714" s="255"/>
      <c r="AS714" s="256"/>
      <c r="AT714" s="256"/>
      <c r="AU714" s="256"/>
      <c r="AV714" s="256"/>
      <c r="AW714" s="256"/>
      <c r="AX714" s="256"/>
      <c r="AY714" s="256"/>
      <c r="AZ714" s="256"/>
      <c r="BA714" s="256"/>
      <c r="BB714" s="256"/>
      <c r="BC714" s="256"/>
      <c r="BD714" s="238"/>
      <c r="BE714" s="229" cm="1">
        <f t="array" ref="BE714">IF(ISBLANK(R714), INDEX(Use, $AH714, 4) - AM714*INDEX(Use, $AH714, 6), R714)</f>
        <v>5</v>
      </c>
      <c r="BF714" s="229">
        <f t="shared" si="691"/>
        <v>30</v>
      </c>
      <c r="BG714" s="229">
        <f t="shared" si="679"/>
        <v>13</v>
      </c>
      <c r="BH714" s="229">
        <f t="shared" si="680"/>
        <v>0</v>
      </c>
      <c r="BI714" s="234" cm="1">
        <f t="array" ref="BI714">K714/IF($L714&gt;0, INDEX($AU$23:$BA$77, $L714+20, $AH714), 1)</f>
        <v>0</v>
      </c>
      <c r="BJ714" s="230">
        <f t="shared" si="692"/>
        <v>0</v>
      </c>
      <c r="BK714" s="229">
        <v>35</v>
      </c>
      <c r="BL714" s="230">
        <f t="shared" si="693"/>
        <v>48</v>
      </c>
      <c r="BM714" s="235">
        <f t="shared" si="694"/>
        <v>2.9108720930232557</v>
      </c>
      <c r="BN714" s="235" cm="1">
        <f t="array" ref="BN714">$BI714 * SUMPRODUCT(INDEX($AR$77:$AT$82,,$AI714),INDEX($AU$77:$BA$82,,$AH714), N($AQ$77:$AQ$82&gt;$AO714)) / BM714 / 1000</f>
        <v>0</v>
      </c>
      <c r="BO714" s="232">
        <f t="shared" si="681"/>
        <v>30</v>
      </c>
      <c r="BP714" s="230">
        <f t="shared" si="695"/>
        <v>43</v>
      </c>
      <c r="BQ714" s="235">
        <f t="shared" si="696"/>
        <v>3.2938815789473681</v>
      </c>
      <c r="BR714" s="235" cm="1">
        <f t="array" ref="BR714">$BI714 * IF($AH714&lt;=2,
SUMPRODUCT(INDEX($AR$72:$AT$76,,$AI714), INDEX($AU$72:$BA$76,,$AH714), 1 / ($BB$72:$BB$76*BQ714 + (1-$BB$72:$BB$76)*BM714), N($AQ$72:$AQ$76&gt;$AO714)),
SUMPRODUCT(INDEX($AR$67:$AT$76,,$AI714), INDEX($AU$67:$BA$76,,$AH714), 1 / ($BC$67:$BC$76*BQ714 + (1-$BC$67:$BC$76)*BM714), N($AQ$67:$AQ$76&gt;$AO714))
) / 1000</f>
        <v>0</v>
      </c>
      <c r="BS714" s="232">
        <f t="shared" si="682"/>
        <v>25</v>
      </c>
      <c r="BT714" s="230">
        <f t="shared" si="697"/>
        <v>38</v>
      </c>
      <c r="BU714" s="235">
        <f t="shared" si="698"/>
        <v>3.792954545454545</v>
      </c>
      <c r="BV714" s="235" cm="1">
        <f t="array" ref="BV714">$BI714 * IF($AH714&lt;=2,
SUMPRODUCT(INDEX($AR$67:$AT$71,,$AI714), INDEX($AU$67:$BA$71,,$AH714), 1 / ($BB$67:$BB$71*BU714 + (1-$BB$67:$BB$71)*BQ714), N($AQ$67:$AQ$71&gt;$AO714)),
SUMPRODUCT(INDEX($AR$57:$AT$66,,$AI714), INDEX($AU$57:$BA$66,,$AH714), 1 / ($BC$57:$BC$66*BU714 + (1-$BC$57:$BC$66)*BQ714), N($AQ$57:$AQ$66&gt;$AO714))
) / 1000</f>
        <v>0</v>
      </c>
      <c r="BW714" s="232">
        <f t="shared" si="683"/>
        <v>20</v>
      </c>
      <c r="BX714" s="230">
        <f t="shared" si="699"/>
        <v>33</v>
      </c>
      <c r="BY714" s="235">
        <f t="shared" si="700"/>
        <v>4.4702678571428569</v>
      </c>
      <c r="BZ714" s="235" cm="1">
        <f t="array" ref="BZ714">$BI714 * IF($AH714&lt;=2,
SUMPRODUCT(INDEX($AR$62:$AT$66,,$AI714), INDEX($AU$62:$BA$66,,$AH714), 1 / ($BB$62:$BB$66*BY714 + (1-$BB$62:$BB$66)*BU714), N($AQ$62:$AQ$66&gt;$AO714)),
SUMPRODUCT(INDEX($AR$47:$AT$56,,$AI714), INDEX($AU$47:$BA$56,,$AH714), 1 / ($BC$47:$BC$56*BY714 + (1-$BC$47:$BC$56)*BU714), N($AQ$47:$AQ$56&gt;$AO714))
) / 1000</f>
        <v>0</v>
      </c>
      <c r="CA714" s="235" cm="1">
        <f t="array" ref="CA714">$BI714 * IF($AH714&lt;=2,
SUMPRODUCT(INDEX($AR$23:$AT$61,,$AI714), INDEX($AU$23:$BA$61,,$AH714), 1 / ($BB$23:$BB$61*BY714), N($AQ$23:$AQ$61&gt;$AO714)),
SUMPRODUCT(INDEX($AR$23:$AT$46,,$AI714), INDEX($AU$23:$BA$46,,$AH714), 1 / ($BC$23:$BC$46*BY714), N($AQ$23:$AQ$46&gt;$AO714))
) / 1000</f>
        <v>0</v>
      </c>
      <c r="CB714" s="230">
        <f t="shared" si="701"/>
        <v>0</v>
      </c>
      <c r="CC714" s="238"/>
      <c r="CD714" s="229" cm="1">
        <f t="array" ref="CD714">IF(ISBLANK(Y714), INDEX(Use, $AH714, 4) - AN714*INDEX(Use, $AH714, 6) - (Q714-X714), Y714)</f>
        <v>7</v>
      </c>
      <c r="CE714" s="229">
        <f t="shared" si="702"/>
        <v>32</v>
      </c>
      <c r="CF714" s="230">
        <f t="shared" si="703"/>
        <v>0</v>
      </c>
      <c r="CG714" s="229">
        <v>35</v>
      </c>
      <c r="CH714" s="230">
        <f t="shared" si="704"/>
        <v>48</v>
      </c>
      <c r="CI714" s="235">
        <f t="shared" si="705"/>
        <v>3.0748170731707316</v>
      </c>
      <c r="CJ714" s="235" cm="1">
        <f t="array" ref="CJ714">$BI714 * SUMPRODUCT(INDEX($AR$77:$AT$82,,$AI714),INDEX($AU$77:$BA$82,,$AH714), N($AQ$77:$AQ$82&gt;$AO714)) / CI714 / 1000</f>
        <v>0</v>
      </c>
      <c r="CK714" s="232">
        <f t="shared" si="684"/>
        <v>30</v>
      </c>
      <c r="CL714" s="230">
        <f t="shared" si="706"/>
        <v>43</v>
      </c>
      <c r="CM714" s="235">
        <f t="shared" si="707"/>
        <v>3.5018750000000001</v>
      </c>
      <c r="CN714" s="235" cm="1">
        <f t="array" ref="CN714">$BI714 * IF($AH714&lt;=2,
SUMPRODUCT(INDEX($AR$72:$AT$76,,$AI714), INDEX($AU$72:$BA$76,,$AH714), 1 / ($BB$72:$BB$76*CM714 + (1-$BB$72:$BB$76)*CI714), N($AQ$72:$AQ$76&gt;$AO714)),
SUMPRODUCT(INDEX($AR$67:$AT$76,,$AI714), INDEX($AU$67:$BA$76,,$AH714), 1 / ($BC$67:$BC$76*CM714 + (1-$BC$67:$BC$76)*CI714), N($AQ$67:$AQ$76&gt;$AO714))
) / 1000</f>
        <v>0</v>
      </c>
      <c r="CO714" s="232">
        <f t="shared" si="685"/>
        <v>25</v>
      </c>
      <c r="CP714" s="230">
        <f t="shared" si="708"/>
        <v>38</v>
      </c>
      <c r="CQ714" s="235">
        <f t="shared" si="709"/>
        <v>4.0666935483870965</v>
      </c>
      <c r="CR714" s="235" cm="1">
        <f t="array" ref="CR714">$BI714 * IF($AH714&lt;=2,
SUMPRODUCT(INDEX($AR$67:$AT$71,,$AI714), INDEX($AU$67:$BA$71,,$AH714), 1 / ($BB$67:$BB$71*CQ714 + (1-$BB$67:$BB$71)*CM714), N($AQ$67:$AQ$71&gt;$AO714)),
SUMPRODUCT(INDEX($AR$57:$AT$66,,$AI714), INDEX($AU$57:$BA$66,,$AH714), 1 / ($BC$57:$BC$66*CQ714 + (1-$BC$57:$BC$66)*CM714), N($AQ$57:$AQ$66&gt;$AO714))
) / 1000</f>
        <v>0</v>
      </c>
      <c r="CS714" s="232">
        <f t="shared" si="686"/>
        <v>20</v>
      </c>
      <c r="CT714" s="230">
        <f t="shared" si="710"/>
        <v>33</v>
      </c>
      <c r="CU714" s="235">
        <f t="shared" si="711"/>
        <v>4.8487499999999999</v>
      </c>
      <c r="CV714" s="235" cm="1">
        <f t="array" ref="CV714">$BI714 * IF($AH714&lt;=2,
SUMPRODUCT(INDEX($AR$62:$AT$66,,$AI714), INDEX($AU$62:$BA$66,,$AH714), 1 / ($BB$62:$BB$66*CU714 + (1-$BB$62:$BB$66)*CQ714), N($AQ$62:$AQ$66&gt;$AO714)),
SUMPRODUCT(INDEX($AR$47:$AT$56,,$AI714), INDEX($AU$47:$BA$56,,$AH714), 1 / ($BC$47:$BC$56*CU714 + (1-$BC$47:$BC$56)*CQ714), N($AQ$47:$AQ$56&gt;$AO714))
) / 1000</f>
        <v>0</v>
      </c>
      <c r="CW714" s="235" cm="1">
        <f t="array" ref="CW714">$BI714 * IF($AH714&lt;=2,
SUMPRODUCT(INDEX($AR$23:$AT$61,,$AI714), INDEX($AU$23:$BA$61,,$AH714), 1 / ($BB$23:$BB$61*CU714), N($AQ$23:$AQ$61&gt;$AO714)),
SUMPRODUCT(INDEX($AR$23:$AT$46,,$AI714), INDEX($AU$23:$BA$46,,$AH714), 1 / ($BC$23:$BC$46*CU714), N($AQ$23:$AQ$46&gt;$AO714))
) / 1000</f>
        <v>0</v>
      </c>
      <c r="CX714" s="230">
        <f t="shared" si="712"/>
        <v>0</v>
      </c>
      <c r="CY714" s="238"/>
    </row>
    <row r="715" spans="1:103" s="76" customFormat="1" ht="14.25" customHeight="1" x14ac:dyDescent="0.2">
      <c r="A715" s="231" t="b">
        <f t="shared" si="678"/>
        <v>0</v>
      </c>
      <c r="B715" s="245">
        <v>693</v>
      </c>
      <c r="C715" s="258"/>
      <c r="D715" s="258"/>
      <c r="E715" s="246"/>
      <c r="F715" s="247" t="str">
        <f>IF(ISBLANK(E715), "", VLOOKUP(E715, Z!$A$2:$C$4127, 3, FALSE))</f>
        <v/>
      </c>
      <c r="G715" s="248"/>
      <c r="H715" s="248"/>
      <c r="I715" s="249"/>
      <c r="J715" s="250"/>
      <c r="K715" s="259"/>
      <c r="L715" s="260"/>
      <c r="M715" s="252" t="str" cm="1">
        <f t="array" ref="M715">INDEX(Trad, 53, $A$20)</f>
        <v>Verschmutzt</v>
      </c>
      <c r="N715" s="253"/>
      <c r="O715" s="253"/>
      <c r="P715" s="254"/>
      <c r="Q715" s="251"/>
      <c r="R715" s="251"/>
      <c r="S715" s="264">
        <f t="shared" si="687"/>
        <v>0</v>
      </c>
      <c r="T715" s="252" t="str" cm="1">
        <f t="array" ref="T715">INDEX(Trad, 52, $A$20)</f>
        <v>Sauber</v>
      </c>
      <c r="U715" s="253"/>
      <c r="V715" s="253"/>
      <c r="W715" s="254"/>
      <c r="X715" s="251"/>
      <c r="Y715" s="251"/>
      <c r="Z715" s="264">
        <f t="shared" si="688"/>
        <v>0</v>
      </c>
      <c r="AA715" s="261"/>
      <c r="AB715" s="258"/>
      <c r="AC715" s="246"/>
      <c r="AD715" s="247" t="str">
        <f>IF(ISBLANK(AC715), "", VLOOKUP(AC715, Z!$A$2:$C$4127, 3, FALSE))</f>
        <v/>
      </c>
      <c r="AE715" s="262"/>
      <c r="AF715" s="263">
        <f t="shared" si="689"/>
        <v>0</v>
      </c>
      <c r="AG715" s="238"/>
      <c r="AH715" s="229">
        <f t="shared" si="713"/>
        <v>1</v>
      </c>
      <c r="AI715" s="229">
        <f t="shared" si="714"/>
        <v>1</v>
      </c>
      <c r="AJ715" s="229">
        <f t="shared" si="715"/>
        <v>0</v>
      </c>
      <c r="AK715" s="229">
        <v>0</v>
      </c>
      <c r="AL715" s="229">
        <v>0</v>
      </c>
      <c r="AM715" s="229">
        <v>1</v>
      </c>
      <c r="AN715" s="229">
        <v>0</v>
      </c>
      <c r="AO715" s="229">
        <f t="shared" si="690"/>
        <v>-100</v>
      </c>
      <c r="AP715" s="238"/>
      <c r="AQ715" s="255"/>
      <c r="AR715" s="255"/>
      <c r="AS715" s="256"/>
      <c r="AT715" s="256"/>
      <c r="AU715" s="256"/>
      <c r="AV715" s="256"/>
      <c r="AW715" s="256"/>
      <c r="AX715" s="256"/>
      <c r="AY715" s="256"/>
      <c r="AZ715" s="256"/>
      <c r="BA715" s="256"/>
      <c r="BB715" s="256"/>
      <c r="BC715" s="256"/>
      <c r="BD715" s="238"/>
      <c r="BE715" s="229" cm="1">
        <f t="array" ref="BE715">IF(ISBLANK(R715), INDEX(Use, $AH715, 4) - AM715*INDEX(Use, $AH715, 6), R715)</f>
        <v>5</v>
      </c>
      <c r="BF715" s="229">
        <f t="shared" si="691"/>
        <v>30</v>
      </c>
      <c r="BG715" s="229">
        <f t="shared" si="679"/>
        <v>13</v>
      </c>
      <c r="BH715" s="229">
        <f t="shared" si="680"/>
        <v>0</v>
      </c>
      <c r="BI715" s="234" cm="1">
        <f t="array" ref="BI715">K715/IF($L715&gt;0, INDEX($AU$23:$BA$77, $L715+20, $AH715), 1)</f>
        <v>0</v>
      </c>
      <c r="BJ715" s="230">
        <f t="shared" si="692"/>
        <v>0</v>
      </c>
      <c r="BK715" s="229">
        <v>35</v>
      </c>
      <c r="BL715" s="230">
        <f t="shared" si="693"/>
        <v>48</v>
      </c>
      <c r="BM715" s="235">
        <f t="shared" si="694"/>
        <v>2.9108720930232557</v>
      </c>
      <c r="BN715" s="235" cm="1">
        <f t="array" ref="BN715">$BI715 * SUMPRODUCT(INDEX($AR$77:$AT$82,,$AI715),INDEX($AU$77:$BA$82,,$AH715), N($AQ$77:$AQ$82&gt;$AO715)) / BM715 / 1000</f>
        <v>0</v>
      </c>
      <c r="BO715" s="232">
        <f t="shared" si="681"/>
        <v>30</v>
      </c>
      <c r="BP715" s="230">
        <f t="shared" si="695"/>
        <v>43</v>
      </c>
      <c r="BQ715" s="235">
        <f t="shared" si="696"/>
        <v>3.2938815789473681</v>
      </c>
      <c r="BR715" s="235" cm="1">
        <f t="array" ref="BR715">$BI715 * IF($AH715&lt;=2,
SUMPRODUCT(INDEX($AR$72:$AT$76,,$AI715), INDEX($AU$72:$BA$76,,$AH715), 1 / ($BB$72:$BB$76*BQ715 + (1-$BB$72:$BB$76)*BM715), N($AQ$72:$AQ$76&gt;$AO715)),
SUMPRODUCT(INDEX($AR$67:$AT$76,,$AI715), INDEX($AU$67:$BA$76,,$AH715), 1 / ($BC$67:$BC$76*BQ715 + (1-$BC$67:$BC$76)*BM715), N($AQ$67:$AQ$76&gt;$AO715))
) / 1000</f>
        <v>0</v>
      </c>
      <c r="BS715" s="232">
        <f t="shared" si="682"/>
        <v>25</v>
      </c>
      <c r="BT715" s="230">
        <f t="shared" si="697"/>
        <v>38</v>
      </c>
      <c r="BU715" s="235">
        <f t="shared" si="698"/>
        <v>3.792954545454545</v>
      </c>
      <c r="BV715" s="235" cm="1">
        <f t="array" ref="BV715">$BI715 * IF($AH715&lt;=2,
SUMPRODUCT(INDEX($AR$67:$AT$71,,$AI715), INDEX($AU$67:$BA$71,,$AH715), 1 / ($BB$67:$BB$71*BU715 + (1-$BB$67:$BB$71)*BQ715), N($AQ$67:$AQ$71&gt;$AO715)),
SUMPRODUCT(INDEX($AR$57:$AT$66,,$AI715), INDEX($AU$57:$BA$66,,$AH715), 1 / ($BC$57:$BC$66*BU715 + (1-$BC$57:$BC$66)*BQ715), N($AQ$57:$AQ$66&gt;$AO715))
) / 1000</f>
        <v>0</v>
      </c>
      <c r="BW715" s="232">
        <f t="shared" si="683"/>
        <v>20</v>
      </c>
      <c r="BX715" s="230">
        <f t="shared" si="699"/>
        <v>33</v>
      </c>
      <c r="BY715" s="235">
        <f t="shared" si="700"/>
        <v>4.4702678571428569</v>
      </c>
      <c r="BZ715" s="235" cm="1">
        <f t="array" ref="BZ715">$BI715 * IF($AH715&lt;=2,
SUMPRODUCT(INDEX($AR$62:$AT$66,,$AI715), INDEX($AU$62:$BA$66,,$AH715), 1 / ($BB$62:$BB$66*BY715 + (1-$BB$62:$BB$66)*BU715), N($AQ$62:$AQ$66&gt;$AO715)),
SUMPRODUCT(INDEX($AR$47:$AT$56,,$AI715), INDEX($AU$47:$BA$56,,$AH715), 1 / ($BC$47:$BC$56*BY715 + (1-$BC$47:$BC$56)*BU715), N($AQ$47:$AQ$56&gt;$AO715))
) / 1000</f>
        <v>0</v>
      </c>
      <c r="CA715" s="235" cm="1">
        <f t="array" ref="CA715">$BI715 * IF($AH715&lt;=2,
SUMPRODUCT(INDEX($AR$23:$AT$61,,$AI715), INDEX($AU$23:$BA$61,,$AH715), 1 / ($BB$23:$BB$61*BY715), N($AQ$23:$AQ$61&gt;$AO715)),
SUMPRODUCT(INDEX($AR$23:$AT$46,,$AI715), INDEX($AU$23:$BA$46,,$AH715), 1 / ($BC$23:$BC$46*BY715), N($AQ$23:$AQ$46&gt;$AO715))
) / 1000</f>
        <v>0</v>
      </c>
      <c r="CB715" s="230">
        <f t="shared" si="701"/>
        <v>0</v>
      </c>
      <c r="CC715" s="238"/>
      <c r="CD715" s="229" cm="1">
        <f t="array" ref="CD715">IF(ISBLANK(Y715), INDEX(Use, $AH715, 4) - AN715*INDEX(Use, $AH715, 6) - (Q715-X715), Y715)</f>
        <v>7</v>
      </c>
      <c r="CE715" s="229">
        <f t="shared" si="702"/>
        <v>32</v>
      </c>
      <c r="CF715" s="230">
        <f t="shared" si="703"/>
        <v>0</v>
      </c>
      <c r="CG715" s="229">
        <v>35</v>
      </c>
      <c r="CH715" s="230">
        <f t="shared" si="704"/>
        <v>48</v>
      </c>
      <c r="CI715" s="235">
        <f t="shared" si="705"/>
        <v>3.0748170731707316</v>
      </c>
      <c r="CJ715" s="235" cm="1">
        <f t="array" ref="CJ715">$BI715 * SUMPRODUCT(INDEX($AR$77:$AT$82,,$AI715),INDEX($AU$77:$BA$82,,$AH715), N($AQ$77:$AQ$82&gt;$AO715)) / CI715 / 1000</f>
        <v>0</v>
      </c>
      <c r="CK715" s="232">
        <f t="shared" si="684"/>
        <v>30</v>
      </c>
      <c r="CL715" s="230">
        <f t="shared" si="706"/>
        <v>43</v>
      </c>
      <c r="CM715" s="235">
        <f t="shared" si="707"/>
        <v>3.5018750000000001</v>
      </c>
      <c r="CN715" s="235" cm="1">
        <f t="array" ref="CN715">$BI715 * IF($AH715&lt;=2,
SUMPRODUCT(INDEX($AR$72:$AT$76,,$AI715), INDEX($AU$72:$BA$76,,$AH715), 1 / ($BB$72:$BB$76*CM715 + (1-$BB$72:$BB$76)*CI715), N($AQ$72:$AQ$76&gt;$AO715)),
SUMPRODUCT(INDEX($AR$67:$AT$76,,$AI715), INDEX($AU$67:$BA$76,,$AH715), 1 / ($BC$67:$BC$76*CM715 + (1-$BC$67:$BC$76)*CI715), N($AQ$67:$AQ$76&gt;$AO715))
) / 1000</f>
        <v>0</v>
      </c>
      <c r="CO715" s="232">
        <f t="shared" si="685"/>
        <v>25</v>
      </c>
      <c r="CP715" s="230">
        <f t="shared" si="708"/>
        <v>38</v>
      </c>
      <c r="CQ715" s="235">
        <f t="shared" si="709"/>
        <v>4.0666935483870965</v>
      </c>
      <c r="CR715" s="235" cm="1">
        <f t="array" ref="CR715">$BI715 * IF($AH715&lt;=2,
SUMPRODUCT(INDEX($AR$67:$AT$71,,$AI715), INDEX($AU$67:$BA$71,,$AH715), 1 / ($BB$67:$BB$71*CQ715 + (1-$BB$67:$BB$71)*CM715), N($AQ$67:$AQ$71&gt;$AO715)),
SUMPRODUCT(INDEX($AR$57:$AT$66,,$AI715), INDEX($AU$57:$BA$66,,$AH715), 1 / ($BC$57:$BC$66*CQ715 + (1-$BC$57:$BC$66)*CM715), N($AQ$57:$AQ$66&gt;$AO715))
) / 1000</f>
        <v>0</v>
      </c>
      <c r="CS715" s="232">
        <f t="shared" si="686"/>
        <v>20</v>
      </c>
      <c r="CT715" s="230">
        <f t="shared" si="710"/>
        <v>33</v>
      </c>
      <c r="CU715" s="235">
        <f t="shared" si="711"/>
        <v>4.8487499999999999</v>
      </c>
      <c r="CV715" s="235" cm="1">
        <f t="array" ref="CV715">$BI715 * IF($AH715&lt;=2,
SUMPRODUCT(INDEX($AR$62:$AT$66,,$AI715), INDEX($AU$62:$BA$66,,$AH715), 1 / ($BB$62:$BB$66*CU715 + (1-$BB$62:$BB$66)*CQ715), N($AQ$62:$AQ$66&gt;$AO715)),
SUMPRODUCT(INDEX($AR$47:$AT$56,,$AI715), INDEX($AU$47:$BA$56,,$AH715), 1 / ($BC$47:$BC$56*CU715 + (1-$BC$47:$BC$56)*CQ715), N($AQ$47:$AQ$56&gt;$AO715))
) / 1000</f>
        <v>0</v>
      </c>
      <c r="CW715" s="235" cm="1">
        <f t="array" ref="CW715">$BI715 * IF($AH715&lt;=2,
SUMPRODUCT(INDEX($AR$23:$AT$61,,$AI715), INDEX($AU$23:$BA$61,,$AH715), 1 / ($BB$23:$BB$61*CU715), N($AQ$23:$AQ$61&gt;$AO715)),
SUMPRODUCT(INDEX($AR$23:$AT$46,,$AI715), INDEX($AU$23:$BA$46,,$AH715), 1 / ($BC$23:$BC$46*CU715), N($AQ$23:$AQ$46&gt;$AO715))
) / 1000</f>
        <v>0</v>
      </c>
      <c r="CX715" s="230">
        <f t="shared" si="712"/>
        <v>0</v>
      </c>
      <c r="CY715" s="238"/>
    </row>
    <row r="716" spans="1:103" s="76" customFormat="1" ht="14.25" customHeight="1" x14ac:dyDescent="0.2">
      <c r="A716" s="231" t="b">
        <f t="shared" si="678"/>
        <v>0</v>
      </c>
      <c r="B716" s="245">
        <v>694</v>
      </c>
      <c r="C716" s="258"/>
      <c r="D716" s="258"/>
      <c r="E716" s="246"/>
      <c r="F716" s="247" t="str">
        <f>IF(ISBLANK(E716), "", VLOOKUP(E716, Z!$A$2:$C$4127, 3, FALSE))</f>
        <v/>
      </c>
      <c r="G716" s="248"/>
      <c r="H716" s="248"/>
      <c r="I716" s="249"/>
      <c r="J716" s="250"/>
      <c r="K716" s="259"/>
      <c r="L716" s="260"/>
      <c r="M716" s="252" t="str" cm="1">
        <f t="array" ref="M716">INDEX(Trad, 53, $A$20)</f>
        <v>Verschmutzt</v>
      </c>
      <c r="N716" s="253"/>
      <c r="O716" s="253"/>
      <c r="P716" s="254"/>
      <c r="Q716" s="251"/>
      <c r="R716" s="251"/>
      <c r="S716" s="264">
        <f t="shared" si="687"/>
        <v>0</v>
      </c>
      <c r="T716" s="252" t="str" cm="1">
        <f t="array" ref="T716">INDEX(Trad, 52, $A$20)</f>
        <v>Sauber</v>
      </c>
      <c r="U716" s="253"/>
      <c r="V716" s="253"/>
      <c r="W716" s="254"/>
      <c r="X716" s="251"/>
      <c r="Y716" s="251"/>
      <c r="Z716" s="264">
        <f t="shared" si="688"/>
        <v>0</v>
      </c>
      <c r="AA716" s="261"/>
      <c r="AB716" s="258"/>
      <c r="AC716" s="246"/>
      <c r="AD716" s="247" t="str">
        <f>IF(ISBLANK(AC716), "", VLOOKUP(AC716, Z!$A$2:$C$4127, 3, FALSE))</f>
        <v/>
      </c>
      <c r="AE716" s="262"/>
      <c r="AF716" s="263">
        <f t="shared" si="689"/>
        <v>0</v>
      </c>
      <c r="AG716" s="238"/>
      <c r="AH716" s="229">
        <f t="shared" si="713"/>
        <v>1</v>
      </c>
      <c r="AI716" s="229">
        <f t="shared" si="714"/>
        <v>1</v>
      </c>
      <c r="AJ716" s="229">
        <f t="shared" si="715"/>
        <v>0</v>
      </c>
      <c r="AK716" s="229">
        <v>0</v>
      </c>
      <c r="AL716" s="229">
        <v>0</v>
      </c>
      <c r="AM716" s="229">
        <v>1</v>
      </c>
      <c r="AN716" s="229">
        <v>0</v>
      </c>
      <c r="AO716" s="229">
        <f t="shared" si="690"/>
        <v>-100</v>
      </c>
      <c r="AP716" s="238"/>
      <c r="AQ716" s="255"/>
      <c r="AR716" s="255"/>
      <c r="AS716" s="256"/>
      <c r="AT716" s="256"/>
      <c r="AU716" s="256"/>
      <c r="AV716" s="256"/>
      <c r="AW716" s="256"/>
      <c r="AX716" s="256"/>
      <c r="AY716" s="256"/>
      <c r="AZ716" s="256"/>
      <c r="BA716" s="256"/>
      <c r="BB716" s="256"/>
      <c r="BC716" s="256"/>
      <c r="BD716" s="238"/>
      <c r="BE716" s="229" cm="1">
        <f t="array" ref="BE716">IF(ISBLANK(R716), INDEX(Use, $AH716, 4) - AM716*INDEX(Use, $AH716, 6), R716)</f>
        <v>5</v>
      </c>
      <c r="BF716" s="229">
        <f t="shared" si="691"/>
        <v>30</v>
      </c>
      <c r="BG716" s="229">
        <f t="shared" si="679"/>
        <v>13</v>
      </c>
      <c r="BH716" s="229">
        <f t="shared" si="680"/>
        <v>0</v>
      </c>
      <c r="BI716" s="234" cm="1">
        <f t="array" ref="BI716">K716/IF($L716&gt;0, INDEX($AU$23:$BA$77, $L716+20, $AH716), 1)</f>
        <v>0</v>
      </c>
      <c r="BJ716" s="230">
        <f t="shared" si="692"/>
        <v>0</v>
      </c>
      <c r="BK716" s="229">
        <v>35</v>
      </c>
      <c r="BL716" s="230">
        <f t="shared" si="693"/>
        <v>48</v>
      </c>
      <c r="BM716" s="235">
        <f t="shared" si="694"/>
        <v>2.9108720930232557</v>
      </c>
      <c r="BN716" s="235" cm="1">
        <f t="array" ref="BN716">$BI716 * SUMPRODUCT(INDEX($AR$77:$AT$82,,$AI716),INDEX($AU$77:$BA$82,,$AH716), N($AQ$77:$AQ$82&gt;$AO716)) / BM716 / 1000</f>
        <v>0</v>
      </c>
      <c r="BO716" s="232">
        <f t="shared" si="681"/>
        <v>30</v>
      </c>
      <c r="BP716" s="230">
        <f t="shared" si="695"/>
        <v>43</v>
      </c>
      <c r="BQ716" s="235">
        <f t="shared" si="696"/>
        <v>3.2938815789473681</v>
      </c>
      <c r="BR716" s="235" cm="1">
        <f t="array" ref="BR716">$BI716 * IF($AH716&lt;=2,
SUMPRODUCT(INDEX($AR$72:$AT$76,,$AI716), INDEX($AU$72:$BA$76,,$AH716), 1 / ($BB$72:$BB$76*BQ716 + (1-$BB$72:$BB$76)*BM716), N($AQ$72:$AQ$76&gt;$AO716)),
SUMPRODUCT(INDEX($AR$67:$AT$76,,$AI716), INDEX($AU$67:$BA$76,,$AH716), 1 / ($BC$67:$BC$76*BQ716 + (1-$BC$67:$BC$76)*BM716), N($AQ$67:$AQ$76&gt;$AO716))
) / 1000</f>
        <v>0</v>
      </c>
      <c r="BS716" s="232">
        <f t="shared" si="682"/>
        <v>25</v>
      </c>
      <c r="BT716" s="230">
        <f t="shared" si="697"/>
        <v>38</v>
      </c>
      <c r="BU716" s="235">
        <f t="shared" si="698"/>
        <v>3.792954545454545</v>
      </c>
      <c r="BV716" s="235" cm="1">
        <f t="array" ref="BV716">$BI716 * IF($AH716&lt;=2,
SUMPRODUCT(INDEX($AR$67:$AT$71,,$AI716), INDEX($AU$67:$BA$71,,$AH716), 1 / ($BB$67:$BB$71*BU716 + (1-$BB$67:$BB$71)*BQ716), N($AQ$67:$AQ$71&gt;$AO716)),
SUMPRODUCT(INDEX($AR$57:$AT$66,,$AI716), INDEX($AU$57:$BA$66,,$AH716), 1 / ($BC$57:$BC$66*BU716 + (1-$BC$57:$BC$66)*BQ716), N($AQ$57:$AQ$66&gt;$AO716))
) / 1000</f>
        <v>0</v>
      </c>
      <c r="BW716" s="232">
        <f t="shared" si="683"/>
        <v>20</v>
      </c>
      <c r="BX716" s="230">
        <f t="shared" si="699"/>
        <v>33</v>
      </c>
      <c r="BY716" s="235">
        <f t="shared" si="700"/>
        <v>4.4702678571428569</v>
      </c>
      <c r="BZ716" s="235" cm="1">
        <f t="array" ref="BZ716">$BI716 * IF($AH716&lt;=2,
SUMPRODUCT(INDEX($AR$62:$AT$66,,$AI716), INDEX($AU$62:$BA$66,,$AH716), 1 / ($BB$62:$BB$66*BY716 + (1-$BB$62:$BB$66)*BU716), N($AQ$62:$AQ$66&gt;$AO716)),
SUMPRODUCT(INDEX($AR$47:$AT$56,,$AI716), INDEX($AU$47:$BA$56,,$AH716), 1 / ($BC$47:$BC$56*BY716 + (1-$BC$47:$BC$56)*BU716), N($AQ$47:$AQ$56&gt;$AO716))
) / 1000</f>
        <v>0</v>
      </c>
      <c r="CA716" s="235" cm="1">
        <f t="array" ref="CA716">$BI716 * IF($AH716&lt;=2,
SUMPRODUCT(INDEX($AR$23:$AT$61,,$AI716), INDEX($AU$23:$BA$61,,$AH716), 1 / ($BB$23:$BB$61*BY716), N($AQ$23:$AQ$61&gt;$AO716)),
SUMPRODUCT(INDEX($AR$23:$AT$46,,$AI716), INDEX($AU$23:$BA$46,,$AH716), 1 / ($BC$23:$BC$46*BY716), N($AQ$23:$AQ$46&gt;$AO716))
) / 1000</f>
        <v>0</v>
      </c>
      <c r="CB716" s="230">
        <f t="shared" si="701"/>
        <v>0</v>
      </c>
      <c r="CC716" s="238"/>
      <c r="CD716" s="229" cm="1">
        <f t="array" ref="CD716">IF(ISBLANK(Y716), INDEX(Use, $AH716, 4) - AN716*INDEX(Use, $AH716, 6) - (Q716-X716), Y716)</f>
        <v>7</v>
      </c>
      <c r="CE716" s="229">
        <f t="shared" si="702"/>
        <v>32</v>
      </c>
      <c r="CF716" s="230">
        <f t="shared" si="703"/>
        <v>0</v>
      </c>
      <c r="CG716" s="229">
        <v>35</v>
      </c>
      <c r="CH716" s="230">
        <f t="shared" si="704"/>
        <v>48</v>
      </c>
      <c r="CI716" s="235">
        <f t="shared" si="705"/>
        <v>3.0748170731707316</v>
      </c>
      <c r="CJ716" s="235" cm="1">
        <f t="array" ref="CJ716">$BI716 * SUMPRODUCT(INDEX($AR$77:$AT$82,,$AI716),INDEX($AU$77:$BA$82,,$AH716), N($AQ$77:$AQ$82&gt;$AO716)) / CI716 / 1000</f>
        <v>0</v>
      </c>
      <c r="CK716" s="232">
        <f t="shared" si="684"/>
        <v>30</v>
      </c>
      <c r="CL716" s="230">
        <f t="shared" si="706"/>
        <v>43</v>
      </c>
      <c r="CM716" s="235">
        <f t="shared" si="707"/>
        <v>3.5018750000000001</v>
      </c>
      <c r="CN716" s="235" cm="1">
        <f t="array" ref="CN716">$BI716 * IF($AH716&lt;=2,
SUMPRODUCT(INDEX($AR$72:$AT$76,,$AI716), INDEX($AU$72:$BA$76,,$AH716), 1 / ($BB$72:$BB$76*CM716 + (1-$BB$72:$BB$76)*CI716), N($AQ$72:$AQ$76&gt;$AO716)),
SUMPRODUCT(INDEX($AR$67:$AT$76,,$AI716), INDEX($AU$67:$BA$76,,$AH716), 1 / ($BC$67:$BC$76*CM716 + (1-$BC$67:$BC$76)*CI716), N($AQ$67:$AQ$76&gt;$AO716))
) / 1000</f>
        <v>0</v>
      </c>
      <c r="CO716" s="232">
        <f t="shared" si="685"/>
        <v>25</v>
      </c>
      <c r="CP716" s="230">
        <f t="shared" si="708"/>
        <v>38</v>
      </c>
      <c r="CQ716" s="235">
        <f t="shared" si="709"/>
        <v>4.0666935483870965</v>
      </c>
      <c r="CR716" s="235" cm="1">
        <f t="array" ref="CR716">$BI716 * IF($AH716&lt;=2,
SUMPRODUCT(INDEX($AR$67:$AT$71,,$AI716), INDEX($AU$67:$BA$71,,$AH716), 1 / ($BB$67:$BB$71*CQ716 + (1-$BB$67:$BB$71)*CM716), N($AQ$67:$AQ$71&gt;$AO716)),
SUMPRODUCT(INDEX($AR$57:$AT$66,,$AI716), INDEX($AU$57:$BA$66,,$AH716), 1 / ($BC$57:$BC$66*CQ716 + (1-$BC$57:$BC$66)*CM716), N($AQ$57:$AQ$66&gt;$AO716))
) / 1000</f>
        <v>0</v>
      </c>
      <c r="CS716" s="232">
        <f t="shared" si="686"/>
        <v>20</v>
      </c>
      <c r="CT716" s="230">
        <f t="shared" si="710"/>
        <v>33</v>
      </c>
      <c r="CU716" s="235">
        <f t="shared" si="711"/>
        <v>4.8487499999999999</v>
      </c>
      <c r="CV716" s="235" cm="1">
        <f t="array" ref="CV716">$BI716 * IF($AH716&lt;=2,
SUMPRODUCT(INDEX($AR$62:$AT$66,,$AI716), INDEX($AU$62:$BA$66,,$AH716), 1 / ($BB$62:$BB$66*CU716 + (1-$BB$62:$BB$66)*CQ716), N($AQ$62:$AQ$66&gt;$AO716)),
SUMPRODUCT(INDEX($AR$47:$AT$56,,$AI716), INDEX($AU$47:$BA$56,,$AH716), 1 / ($BC$47:$BC$56*CU716 + (1-$BC$47:$BC$56)*CQ716), N($AQ$47:$AQ$56&gt;$AO716))
) / 1000</f>
        <v>0</v>
      </c>
      <c r="CW716" s="235" cm="1">
        <f t="array" ref="CW716">$BI716 * IF($AH716&lt;=2,
SUMPRODUCT(INDEX($AR$23:$AT$61,,$AI716), INDEX($AU$23:$BA$61,,$AH716), 1 / ($BB$23:$BB$61*CU716), N($AQ$23:$AQ$61&gt;$AO716)),
SUMPRODUCT(INDEX($AR$23:$AT$46,,$AI716), INDEX($AU$23:$BA$46,,$AH716), 1 / ($BC$23:$BC$46*CU716), N($AQ$23:$AQ$46&gt;$AO716))
) / 1000</f>
        <v>0</v>
      </c>
      <c r="CX716" s="230">
        <f t="shared" si="712"/>
        <v>0</v>
      </c>
      <c r="CY716" s="238"/>
    </row>
    <row r="717" spans="1:103" s="76" customFormat="1" ht="14.25" customHeight="1" x14ac:dyDescent="0.2">
      <c r="A717" s="231" t="b">
        <f t="shared" si="678"/>
        <v>0</v>
      </c>
      <c r="B717" s="245">
        <v>695</v>
      </c>
      <c r="C717" s="258"/>
      <c r="D717" s="258"/>
      <c r="E717" s="246"/>
      <c r="F717" s="247" t="str">
        <f>IF(ISBLANK(E717), "", VLOOKUP(E717, Z!$A$2:$C$4127, 3, FALSE))</f>
        <v/>
      </c>
      <c r="G717" s="248"/>
      <c r="H717" s="248"/>
      <c r="I717" s="249"/>
      <c r="J717" s="250"/>
      <c r="K717" s="259"/>
      <c r="L717" s="260"/>
      <c r="M717" s="252" t="str" cm="1">
        <f t="array" ref="M717">INDEX(Trad, 53, $A$20)</f>
        <v>Verschmutzt</v>
      </c>
      <c r="N717" s="253"/>
      <c r="O717" s="253"/>
      <c r="P717" s="254"/>
      <c r="Q717" s="251"/>
      <c r="R717" s="251"/>
      <c r="S717" s="264">
        <f t="shared" si="687"/>
        <v>0</v>
      </c>
      <c r="T717" s="252" t="str" cm="1">
        <f t="array" ref="T717">INDEX(Trad, 52, $A$20)</f>
        <v>Sauber</v>
      </c>
      <c r="U717" s="253"/>
      <c r="V717" s="253"/>
      <c r="W717" s="254"/>
      <c r="X717" s="251"/>
      <c r="Y717" s="251"/>
      <c r="Z717" s="264">
        <f t="shared" si="688"/>
        <v>0</v>
      </c>
      <c r="AA717" s="261"/>
      <c r="AB717" s="258"/>
      <c r="AC717" s="246"/>
      <c r="AD717" s="247" t="str">
        <f>IF(ISBLANK(AC717), "", VLOOKUP(AC717, Z!$A$2:$C$4127, 3, FALSE))</f>
        <v/>
      </c>
      <c r="AE717" s="262"/>
      <c r="AF717" s="263">
        <f t="shared" si="689"/>
        <v>0</v>
      </c>
      <c r="AG717" s="238"/>
      <c r="AH717" s="229">
        <f t="shared" si="713"/>
        <v>1</v>
      </c>
      <c r="AI717" s="229">
        <f t="shared" si="714"/>
        <v>1</v>
      </c>
      <c r="AJ717" s="229">
        <f t="shared" si="715"/>
        <v>0</v>
      </c>
      <c r="AK717" s="229">
        <v>0</v>
      </c>
      <c r="AL717" s="229">
        <v>0</v>
      </c>
      <c r="AM717" s="229">
        <v>1</v>
      </c>
      <c r="AN717" s="229">
        <v>0</v>
      </c>
      <c r="AO717" s="229">
        <f t="shared" si="690"/>
        <v>-100</v>
      </c>
      <c r="AP717" s="238"/>
      <c r="AQ717" s="255"/>
      <c r="AR717" s="255"/>
      <c r="AS717" s="256"/>
      <c r="AT717" s="256"/>
      <c r="AU717" s="256"/>
      <c r="AV717" s="256"/>
      <c r="AW717" s="256"/>
      <c r="AX717" s="256"/>
      <c r="AY717" s="256"/>
      <c r="AZ717" s="256"/>
      <c r="BA717" s="256"/>
      <c r="BB717" s="256"/>
      <c r="BC717" s="256"/>
      <c r="BD717" s="238"/>
      <c r="BE717" s="229" cm="1">
        <f t="array" ref="BE717">IF(ISBLANK(R717), INDEX(Use, $AH717, 4) - AM717*INDEX(Use, $AH717, 6), R717)</f>
        <v>5</v>
      </c>
      <c r="BF717" s="229">
        <f t="shared" si="691"/>
        <v>30</v>
      </c>
      <c r="BG717" s="229">
        <f t="shared" si="679"/>
        <v>13</v>
      </c>
      <c r="BH717" s="229">
        <f t="shared" si="680"/>
        <v>0</v>
      </c>
      <c r="BI717" s="234" cm="1">
        <f t="array" ref="BI717">K717/IF($L717&gt;0, INDEX($AU$23:$BA$77, $L717+20, $AH717), 1)</f>
        <v>0</v>
      </c>
      <c r="BJ717" s="230">
        <f t="shared" si="692"/>
        <v>0</v>
      </c>
      <c r="BK717" s="229">
        <v>35</v>
      </c>
      <c r="BL717" s="230">
        <f t="shared" si="693"/>
        <v>48</v>
      </c>
      <c r="BM717" s="235">
        <f t="shared" si="694"/>
        <v>2.9108720930232557</v>
      </c>
      <c r="BN717" s="235" cm="1">
        <f t="array" ref="BN717">$BI717 * SUMPRODUCT(INDEX($AR$77:$AT$82,,$AI717),INDEX($AU$77:$BA$82,,$AH717), N($AQ$77:$AQ$82&gt;$AO717)) / BM717 / 1000</f>
        <v>0</v>
      </c>
      <c r="BO717" s="232">
        <f t="shared" si="681"/>
        <v>30</v>
      </c>
      <c r="BP717" s="230">
        <f t="shared" si="695"/>
        <v>43</v>
      </c>
      <c r="BQ717" s="235">
        <f t="shared" si="696"/>
        <v>3.2938815789473681</v>
      </c>
      <c r="BR717" s="235" cm="1">
        <f t="array" ref="BR717">$BI717 * IF($AH717&lt;=2,
SUMPRODUCT(INDEX($AR$72:$AT$76,,$AI717), INDEX($AU$72:$BA$76,,$AH717), 1 / ($BB$72:$BB$76*BQ717 + (1-$BB$72:$BB$76)*BM717), N($AQ$72:$AQ$76&gt;$AO717)),
SUMPRODUCT(INDEX($AR$67:$AT$76,,$AI717), INDEX($AU$67:$BA$76,,$AH717), 1 / ($BC$67:$BC$76*BQ717 + (1-$BC$67:$BC$76)*BM717), N($AQ$67:$AQ$76&gt;$AO717))
) / 1000</f>
        <v>0</v>
      </c>
      <c r="BS717" s="232">
        <f t="shared" si="682"/>
        <v>25</v>
      </c>
      <c r="BT717" s="230">
        <f t="shared" si="697"/>
        <v>38</v>
      </c>
      <c r="BU717" s="235">
        <f t="shared" si="698"/>
        <v>3.792954545454545</v>
      </c>
      <c r="BV717" s="235" cm="1">
        <f t="array" ref="BV717">$BI717 * IF($AH717&lt;=2,
SUMPRODUCT(INDEX($AR$67:$AT$71,,$AI717), INDEX($AU$67:$BA$71,,$AH717), 1 / ($BB$67:$BB$71*BU717 + (1-$BB$67:$BB$71)*BQ717), N($AQ$67:$AQ$71&gt;$AO717)),
SUMPRODUCT(INDEX($AR$57:$AT$66,,$AI717), INDEX($AU$57:$BA$66,,$AH717), 1 / ($BC$57:$BC$66*BU717 + (1-$BC$57:$BC$66)*BQ717), N($AQ$57:$AQ$66&gt;$AO717))
) / 1000</f>
        <v>0</v>
      </c>
      <c r="BW717" s="232">
        <f t="shared" si="683"/>
        <v>20</v>
      </c>
      <c r="BX717" s="230">
        <f t="shared" si="699"/>
        <v>33</v>
      </c>
      <c r="BY717" s="235">
        <f t="shared" si="700"/>
        <v>4.4702678571428569</v>
      </c>
      <c r="BZ717" s="235" cm="1">
        <f t="array" ref="BZ717">$BI717 * IF($AH717&lt;=2,
SUMPRODUCT(INDEX($AR$62:$AT$66,,$AI717), INDEX($AU$62:$BA$66,,$AH717), 1 / ($BB$62:$BB$66*BY717 + (1-$BB$62:$BB$66)*BU717), N($AQ$62:$AQ$66&gt;$AO717)),
SUMPRODUCT(INDEX($AR$47:$AT$56,,$AI717), INDEX($AU$47:$BA$56,,$AH717), 1 / ($BC$47:$BC$56*BY717 + (1-$BC$47:$BC$56)*BU717), N($AQ$47:$AQ$56&gt;$AO717))
) / 1000</f>
        <v>0</v>
      </c>
      <c r="CA717" s="235" cm="1">
        <f t="array" ref="CA717">$BI717 * IF($AH717&lt;=2,
SUMPRODUCT(INDEX($AR$23:$AT$61,,$AI717), INDEX($AU$23:$BA$61,,$AH717), 1 / ($BB$23:$BB$61*BY717), N($AQ$23:$AQ$61&gt;$AO717)),
SUMPRODUCT(INDEX($AR$23:$AT$46,,$AI717), INDEX($AU$23:$BA$46,,$AH717), 1 / ($BC$23:$BC$46*BY717), N($AQ$23:$AQ$46&gt;$AO717))
) / 1000</f>
        <v>0</v>
      </c>
      <c r="CB717" s="230">
        <f t="shared" si="701"/>
        <v>0</v>
      </c>
      <c r="CC717" s="238"/>
      <c r="CD717" s="229" cm="1">
        <f t="array" ref="CD717">IF(ISBLANK(Y717), INDEX(Use, $AH717, 4) - AN717*INDEX(Use, $AH717, 6) - (Q717-X717), Y717)</f>
        <v>7</v>
      </c>
      <c r="CE717" s="229">
        <f t="shared" si="702"/>
        <v>32</v>
      </c>
      <c r="CF717" s="230">
        <f t="shared" si="703"/>
        <v>0</v>
      </c>
      <c r="CG717" s="229">
        <v>35</v>
      </c>
      <c r="CH717" s="230">
        <f t="shared" si="704"/>
        <v>48</v>
      </c>
      <c r="CI717" s="235">
        <f t="shared" si="705"/>
        <v>3.0748170731707316</v>
      </c>
      <c r="CJ717" s="235" cm="1">
        <f t="array" ref="CJ717">$BI717 * SUMPRODUCT(INDEX($AR$77:$AT$82,,$AI717),INDEX($AU$77:$BA$82,,$AH717), N($AQ$77:$AQ$82&gt;$AO717)) / CI717 / 1000</f>
        <v>0</v>
      </c>
      <c r="CK717" s="232">
        <f t="shared" si="684"/>
        <v>30</v>
      </c>
      <c r="CL717" s="230">
        <f t="shared" si="706"/>
        <v>43</v>
      </c>
      <c r="CM717" s="235">
        <f t="shared" si="707"/>
        <v>3.5018750000000001</v>
      </c>
      <c r="CN717" s="235" cm="1">
        <f t="array" ref="CN717">$BI717 * IF($AH717&lt;=2,
SUMPRODUCT(INDEX($AR$72:$AT$76,,$AI717), INDEX($AU$72:$BA$76,,$AH717), 1 / ($BB$72:$BB$76*CM717 + (1-$BB$72:$BB$76)*CI717), N($AQ$72:$AQ$76&gt;$AO717)),
SUMPRODUCT(INDEX($AR$67:$AT$76,,$AI717), INDEX($AU$67:$BA$76,,$AH717), 1 / ($BC$67:$BC$76*CM717 + (1-$BC$67:$BC$76)*CI717), N($AQ$67:$AQ$76&gt;$AO717))
) / 1000</f>
        <v>0</v>
      </c>
      <c r="CO717" s="232">
        <f t="shared" si="685"/>
        <v>25</v>
      </c>
      <c r="CP717" s="230">
        <f t="shared" si="708"/>
        <v>38</v>
      </c>
      <c r="CQ717" s="235">
        <f t="shared" si="709"/>
        <v>4.0666935483870965</v>
      </c>
      <c r="CR717" s="235" cm="1">
        <f t="array" ref="CR717">$BI717 * IF($AH717&lt;=2,
SUMPRODUCT(INDEX($AR$67:$AT$71,,$AI717), INDEX($AU$67:$BA$71,,$AH717), 1 / ($BB$67:$BB$71*CQ717 + (1-$BB$67:$BB$71)*CM717), N($AQ$67:$AQ$71&gt;$AO717)),
SUMPRODUCT(INDEX($AR$57:$AT$66,,$AI717), INDEX($AU$57:$BA$66,,$AH717), 1 / ($BC$57:$BC$66*CQ717 + (1-$BC$57:$BC$66)*CM717), N($AQ$57:$AQ$66&gt;$AO717))
) / 1000</f>
        <v>0</v>
      </c>
      <c r="CS717" s="232">
        <f t="shared" si="686"/>
        <v>20</v>
      </c>
      <c r="CT717" s="230">
        <f t="shared" si="710"/>
        <v>33</v>
      </c>
      <c r="CU717" s="235">
        <f t="shared" si="711"/>
        <v>4.8487499999999999</v>
      </c>
      <c r="CV717" s="235" cm="1">
        <f t="array" ref="CV717">$BI717 * IF($AH717&lt;=2,
SUMPRODUCT(INDEX($AR$62:$AT$66,,$AI717), INDEX($AU$62:$BA$66,,$AH717), 1 / ($BB$62:$BB$66*CU717 + (1-$BB$62:$BB$66)*CQ717), N($AQ$62:$AQ$66&gt;$AO717)),
SUMPRODUCT(INDEX($AR$47:$AT$56,,$AI717), INDEX($AU$47:$BA$56,,$AH717), 1 / ($BC$47:$BC$56*CU717 + (1-$BC$47:$BC$56)*CQ717), N($AQ$47:$AQ$56&gt;$AO717))
) / 1000</f>
        <v>0</v>
      </c>
      <c r="CW717" s="235" cm="1">
        <f t="array" ref="CW717">$BI717 * IF($AH717&lt;=2,
SUMPRODUCT(INDEX($AR$23:$AT$61,,$AI717), INDEX($AU$23:$BA$61,,$AH717), 1 / ($BB$23:$BB$61*CU717), N($AQ$23:$AQ$61&gt;$AO717)),
SUMPRODUCT(INDEX($AR$23:$AT$46,,$AI717), INDEX($AU$23:$BA$46,,$AH717), 1 / ($BC$23:$BC$46*CU717), N($AQ$23:$AQ$46&gt;$AO717))
) / 1000</f>
        <v>0</v>
      </c>
      <c r="CX717" s="230">
        <f t="shared" si="712"/>
        <v>0</v>
      </c>
      <c r="CY717" s="238"/>
    </row>
    <row r="718" spans="1:103" s="76" customFormat="1" ht="14.25" customHeight="1" x14ac:dyDescent="0.2">
      <c r="A718" s="231" t="b">
        <f t="shared" si="678"/>
        <v>0</v>
      </c>
      <c r="B718" s="245">
        <v>696</v>
      </c>
      <c r="C718" s="258"/>
      <c r="D718" s="258"/>
      <c r="E718" s="246"/>
      <c r="F718" s="247" t="str">
        <f>IF(ISBLANK(E718), "", VLOOKUP(E718, Z!$A$2:$C$4127, 3, FALSE))</f>
        <v/>
      </c>
      <c r="G718" s="248"/>
      <c r="H718" s="248"/>
      <c r="I718" s="249"/>
      <c r="J718" s="250"/>
      <c r="K718" s="259"/>
      <c r="L718" s="260"/>
      <c r="M718" s="252" t="str" cm="1">
        <f t="array" ref="M718">INDEX(Trad, 53, $A$20)</f>
        <v>Verschmutzt</v>
      </c>
      <c r="N718" s="253"/>
      <c r="O718" s="253"/>
      <c r="P718" s="254"/>
      <c r="Q718" s="251"/>
      <c r="R718" s="251"/>
      <c r="S718" s="264">
        <f t="shared" si="687"/>
        <v>0</v>
      </c>
      <c r="T718" s="252" t="str" cm="1">
        <f t="array" ref="T718">INDEX(Trad, 52, $A$20)</f>
        <v>Sauber</v>
      </c>
      <c r="U718" s="253"/>
      <c r="V718" s="253"/>
      <c r="W718" s="254"/>
      <c r="X718" s="251"/>
      <c r="Y718" s="251"/>
      <c r="Z718" s="264">
        <f t="shared" si="688"/>
        <v>0</v>
      </c>
      <c r="AA718" s="261"/>
      <c r="AB718" s="258"/>
      <c r="AC718" s="246"/>
      <c r="AD718" s="247" t="str">
        <f>IF(ISBLANK(AC718), "", VLOOKUP(AC718, Z!$A$2:$C$4127, 3, FALSE))</f>
        <v/>
      </c>
      <c r="AE718" s="262"/>
      <c r="AF718" s="263">
        <f t="shared" si="689"/>
        <v>0</v>
      </c>
      <c r="AG718" s="238"/>
      <c r="AH718" s="229">
        <f t="shared" si="713"/>
        <v>1</v>
      </c>
      <c r="AI718" s="229">
        <f t="shared" si="714"/>
        <v>1</v>
      </c>
      <c r="AJ718" s="229">
        <f t="shared" si="715"/>
        <v>0</v>
      </c>
      <c r="AK718" s="229">
        <v>0</v>
      </c>
      <c r="AL718" s="229">
        <v>0</v>
      </c>
      <c r="AM718" s="229">
        <v>1</v>
      </c>
      <c r="AN718" s="229">
        <v>0</v>
      </c>
      <c r="AO718" s="229">
        <f t="shared" si="690"/>
        <v>-100</v>
      </c>
      <c r="AP718" s="238"/>
      <c r="AQ718" s="255"/>
      <c r="AR718" s="255"/>
      <c r="AS718" s="256"/>
      <c r="AT718" s="256"/>
      <c r="AU718" s="256"/>
      <c r="AV718" s="256"/>
      <c r="AW718" s="256"/>
      <c r="AX718" s="256"/>
      <c r="AY718" s="256"/>
      <c r="AZ718" s="256"/>
      <c r="BA718" s="256"/>
      <c r="BB718" s="256"/>
      <c r="BC718" s="256"/>
      <c r="BD718" s="238"/>
      <c r="BE718" s="229" cm="1">
        <f t="array" ref="BE718">IF(ISBLANK(R718), INDEX(Use, $AH718, 4) - AM718*INDEX(Use, $AH718, 6), R718)</f>
        <v>5</v>
      </c>
      <c r="BF718" s="229">
        <f t="shared" si="691"/>
        <v>30</v>
      </c>
      <c r="BG718" s="229">
        <f t="shared" si="679"/>
        <v>13</v>
      </c>
      <c r="BH718" s="229">
        <f t="shared" si="680"/>
        <v>0</v>
      </c>
      <c r="BI718" s="234" cm="1">
        <f t="array" ref="BI718">K718/IF($L718&gt;0, INDEX($AU$23:$BA$77, $L718+20, $AH718), 1)</f>
        <v>0</v>
      </c>
      <c r="BJ718" s="230">
        <f t="shared" si="692"/>
        <v>0</v>
      </c>
      <c r="BK718" s="229">
        <v>35</v>
      </c>
      <c r="BL718" s="230">
        <f t="shared" si="693"/>
        <v>48</v>
      </c>
      <c r="BM718" s="235">
        <f t="shared" si="694"/>
        <v>2.9108720930232557</v>
      </c>
      <c r="BN718" s="235" cm="1">
        <f t="array" ref="BN718">$BI718 * SUMPRODUCT(INDEX($AR$77:$AT$82,,$AI718),INDEX($AU$77:$BA$82,,$AH718), N($AQ$77:$AQ$82&gt;$AO718)) / BM718 / 1000</f>
        <v>0</v>
      </c>
      <c r="BO718" s="232">
        <f t="shared" si="681"/>
        <v>30</v>
      </c>
      <c r="BP718" s="230">
        <f t="shared" si="695"/>
        <v>43</v>
      </c>
      <c r="BQ718" s="235">
        <f t="shared" si="696"/>
        <v>3.2938815789473681</v>
      </c>
      <c r="BR718" s="235" cm="1">
        <f t="array" ref="BR718">$BI718 * IF($AH718&lt;=2,
SUMPRODUCT(INDEX($AR$72:$AT$76,,$AI718), INDEX($AU$72:$BA$76,,$AH718), 1 / ($BB$72:$BB$76*BQ718 + (1-$BB$72:$BB$76)*BM718), N($AQ$72:$AQ$76&gt;$AO718)),
SUMPRODUCT(INDEX($AR$67:$AT$76,,$AI718), INDEX($AU$67:$BA$76,,$AH718), 1 / ($BC$67:$BC$76*BQ718 + (1-$BC$67:$BC$76)*BM718), N($AQ$67:$AQ$76&gt;$AO718))
) / 1000</f>
        <v>0</v>
      </c>
      <c r="BS718" s="232">
        <f t="shared" si="682"/>
        <v>25</v>
      </c>
      <c r="BT718" s="230">
        <f t="shared" si="697"/>
        <v>38</v>
      </c>
      <c r="BU718" s="235">
        <f t="shared" si="698"/>
        <v>3.792954545454545</v>
      </c>
      <c r="BV718" s="235" cm="1">
        <f t="array" ref="BV718">$BI718 * IF($AH718&lt;=2,
SUMPRODUCT(INDEX($AR$67:$AT$71,,$AI718), INDEX($AU$67:$BA$71,,$AH718), 1 / ($BB$67:$BB$71*BU718 + (1-$BB$67:$BB$71)*BQ718), N($AQ$67:$AQ$71&gt;$AO718)),
SUMPRODUCT(INDEX($AR$57:$AT$66,,$AI718), INDEX($AU$57:$BA$66,,$AH718), 1 / ($BC$57:$BC$66*BU718 + (1-$BC$57:$BC$66)*BQ718), N($AQ$57:$AQ$66&gt;$AO718))
) / 1000</f>
        <v>0</v>
      </c>
      <c r="BW718" s="232">
        <f t="shared" si="683"/>
        <v>20</v>
      </c>
      <c r="BX718" s="230">
        <f t="shared" si="699"/>
        <v>33</v>
      </c>
      <c r="BY718" s="235">
        <f t="shared" si="700"/>
        <v>4.4702678571428569</v>
      </c>
      <c r="BZ718" s="235" cm="1">
        <f t="array" ref="BZ718">$BI718 * IF($AH718&lt;=2,
SUMPRODUCT(INDEX($AR$62:$AT$66,,$AI718), INDEX($AU$62:$BA$66,,$AH718), 1 / ($BB$62:$BB$66*BY718 + (1-$BB$62:$BB$66)*BU718), N($AQ$62:$AQ$66&gt;$AO718)),
SUMPRODUCT(INDEX($AR$47:$AT$56,,$AI718), INDEX($AU$47:$BA$56,,$AH718), 1 / ($BC$47:$BC$56*BY718 + (1-$BC$47:$BC$56)*BU718), N($AQ$47:$AQ$56&gt;$AO718))
) / 1000</f>
        <v>0</v>
      </c>
      <c r="CA718" s="235" cm="1">
        <f t="array" ref="CA718">$BI718 * IF($AH718&lt;=2,
SUMPRODUCT(INDEX($AR$23:$AT$61,,$AI718), INDEX($AU$23:$BA$61,,$AH718), 1 / ($BB$23:$BB$61*BY718), N($AQ$23:$AQ$61&gt;$AO718)),
SUMPRODUCT(INDEX($AR$23:$AT$46,,$AI718), INDEX($AU$23:$BA$46,,$AH718), 1 / ($BC$23:$BC$46*BY718), N($AQ$23:$AQ$46&gt;$AO718))
) / 1000</f>
        <v>0</v>
      </c>
      <c r="CB718" s="230">
        <f t="shared" si="701"/>
        <v>0</v>
      </c>
      <c r="CC718" s="238"/>
      <c r="CD718" s="229" cm="1">
        <f t="array" ref="CD718">IF(ISBLANK(Y718), INDEX(Use, $AH718, 4) - AN718*INDEX(Use, $AH718, 6) - (Q718-X718), Y718)</f>
        <v>7</v>
      </c>
      <c r="CE718" s="229">
        <f t="shared" si="702"/>
        <v>32</v>
      </c>
      <c r="CF718" s="230">
        <f t="shared" si="703"/>
        <v>0</v>
      </c>
      <c r="CG718" s="229">
        <v>35</v>
      </c>
      <c r="CH718" s="230">
        <f t="shared" si="704"/>
        <v>48</v>
      </c>
      <c r="CI718" s="235">
        <f t="shared" si="705"/>
        <v>3.0748170731707316</v>
      </c>
      <c r="CJ718" s="235" cm="1">
        <f t="array" ref="CJ718">$BI718 * SUMPRODUCT(INDEX($AR$77:$AT$82,,$AI718),INDEX($AU$77:$BA$82,,$AH718), N($AQ$77:$AQ$82&gt;$AO718)) / CI718 / 1000</f>
        <v>0</v>
      </c>
      <c r="CK718" s="232">
        <f t="shared" si="684"/>
        <v>30</v>
      </c>
      <c r="CL718" s="230">
        <f t="shared" si="706"/>
        <v>43</v>
      </c>
      <c r="CM718" s="235">
        <f t="shared" si="707"/>
        <v>3.5018750000000001</v>
      </c>
      <c r="CN718" s="235" cm="1">
        <f t="array" ref="CN718">$BI718 * IF($AH718&lt;=2,
SUMPRODUCT(INDEX($AR$72:$AT$76,,$AI718), INDEX($AU$72:$BA$76,,$AH718), 1 / ($BB$72:$BB$76*CM718 + (1-$BB$72:$BB$76)*CI718), N($AQ$72:$AQ$76&gt;$AO718)),
SUMPRODUCT(INDEX($AR$67:$AT$76,,$AI718), INDEX($AU$67:$BA$76,,$AH718), 1 / ($BC$67:$BC$76*CM718 + (1-$BC$67:$BC$76)*CI718), N($AQ$67:$AQ$76&gt;$AO718))
) / 1000</f>
        <v>0</v>
      </c>
      <c r="CO718" s="232">
        <f t="shared" si="685"/>
        <v>25</v>
      </c>
      <c r="CP718" s="230">
        <f t="shared" si="708"/>
        <v>38</v>
      </c>
      <c r="CQ718" s="235">
        <f t="shared" si="709"/>
        <v>4.0666935483870965</v>
      </c>
      <c r="CR718" s="235" cm="1">
        <f t="array" ref="CR718">$BI718 * IF($AH718&lt;=2,
SUMPRODUCT(INDEX($AR$67:$AT$71,,$AI718), INDEX($AU$67:$BA$71,,$AH718), 1 / ($BB$67:$BB$71*CQ718 + (1-$BB$67:$BB$71)*CM718), N($AQ$67:$AQ$71&gt;$AO718)),
SUMPRODUCT(INDEX($AR$57:$AT$66,,$AI718), INDEX($AU$57:$BA$66,,$AH718), 1 / ($BC$57:$BC$66*CQ718 + (1-$BC$57:$BC$66)*CM718), N($AQ$57:$AQ$66&gt;$AO718))
) / 1000</f>
        <v>0</v>
      </c>
      <c r="CS718" s="232">
        <f t="shared" si="686"/>
        <v>20</v>
      </c>
      <c r="CT718" s="230">
        <f t="shared" si="710"/>
        <v>33</v>
      </c>
      <c r="CU718" s="235">
        <f t="shared" si="711"/>
        <v>4.8487499999999999</v>
      </c>
      <c r="CV718" s="235" cm="1">
        <f t="array" ref="CV718">$BI718 * IF($AH718&lt;=2,
SUMPRODUCT(INDEX($AR$62:$AT$66,,$AI718), INDEX($AU$62:$BA$66,,$AH718), 1 / ($BB$62:$BB$66*CU718 + (1-$BB$62:$BB$66)*CQ718), N($AQ$62:$AQ$66&gt;$AO718)),
SUMPRODUCT(INDEX($AR$47:$AT$56,,$AI718), INDEX($AU$47:$BA$56,,$AH718), 1 / ($BC$47:$BC$56*CU718 + (1-$BC$47:$BC$56)*CQ718), N($AQ$47:$AQ$56&gt;$AO718))
) / 1000</f>
        <v>0</v>
      </c>
      <c r="CW718" s="235" cm="1">
        <f t="array" ref="CW718">$BI718 * IF($AH718&lt;=2,
SUMPRODUCT(INDEX($AR$23:$AT$61,,$AI718), INDEX($AU$23:$BA$61,,$AH718), 1 / ($BB$23:$BB$61*CU718), N($AQ$23:$AQ$61&gt;$AO718)),
SUMPRODUCT(INDEX($AR$23:$AT$46,,$AI718), INDEX($AU$23:$BA$46,,$AH718), 1 / ($BC$23:$BC$46*CU718), N($AQ$23:$AQ$46&gt;$AO718))
) / 1000</f>
        <v>0</v>
      </c>
      <c r="CX718" s="230">
        <f t="shared" si="712"/>
        <v>0</v>
      </c>
      <c r="CY718" s="238"/>
    </row>
    <row r="719" spans="1:103" s="76" customFormat="1" ht="14.25" customHeight="1" x14ac:dyDescent="0.2">
      <c r="A719" s="231" t="b">
        <f t="shared" si="678"/>
        <v>0</v>
      </c>
      <c r="B719" s="245">
        <v>697</v>
      </c>
      <c r="C719" s="258"/>
      <c r="D719" s="258"/>
      <c r="E719" s="246"/>
      <c r="F719" s="247" t="str">
        <f>IF(ISBLANK(E719), "", VLOOKUP(E719, Z!$A$2:$C$4127, 3, FALSE))</f>
        <v/>
      </c>
      <c r="G719" s="248"/>
      <c r="H719" s="248"/>
      <c r="I719" s="249"/>
      <c r="J719" s="250"/>
      <c r="K719" s="259"/>
      <c r="L719" s="260"/>
      <c r="M719" s="252" t="str" cm="1">
        <f t="array" ref="M719">INDEX(Trad, 53, $A$20)</f>
        <v>Verschmutzt</v>
      </c>
      <c r="N719" s="253"/>
      <c r="O719" s="253"/>
      <c r="P719" s="254"/>
      <c r="Q719" s="251"/>
      <c r="R719" s="251"/>
      <c r="S719" s="264">
        <f t="shared" si="687"/>
        <v>0</v>
      </c>
      <c r="T719" s="252" t="str" cm="1">
        <f t="array" ref="T719">INDEX(Trad, 52, $A$20)</f>
        <v>Sauber</v>
      </c>
      <c r="U719" s="253"/>
      <c r="V719" s="253"/>
      <c r="W719" s="254"/>
      <c r="X719" s="251"/>
      <c r="Y719" s="251"/>
      <c r="Z719" s="264">
        <f t="shared" si="688"/>
        <v>0</v>
      </c>
      <c r="AA719" s="261"/>
      <c r="AB719" s="258"/>
      <c r="AC719" s="246"/>
      <c r="AD719" s="247" t="str">
        <f>IF(ISBLANK(AC719), "", VLOOKUP(AC719, Z!$A$2:$C$4127, 3, FALSE))</f>
        <v/>
      </c>
      <c r="AE719" s="262"/>
      <c r="AF719" s="263">
        <f t="shared" si="689"/>
        <v>0</v>
      </c>
      <c r="AG719" s="238"/>
      <c r="AH719" s="229">
        <f t="shared" si="713"/>
        <v>1</v>
      </c>
      <c r="AI719" s="229">
        <f t="shared" si="714"/>
        <v>1</v>
      </c>
      <c r="AJ719" s="229">
        <f t="shared" si="715"/>
        <v>0</v>
      </c>
      <c r="AK719" s="229">
        <v>0</v>
      </c>
      <c r="AL719" s="229">
        <v>0</v>
      </c>
      <c r="AM719" s="229">
        <v>1</v>
      </c>
      <c r="AN719" s="229">
        <v>0</v>
      </c>
      <c r="AO719" s="229">
        <f t="shared" si="690"/>
        <v>-100</v>
      </c>
      <c r="AP719" s="238"/>
      <c r="AQ719" s="255"/>
      <c r="AR719" s="255"/>
      <c r="AS719" s="256"/>
      <c r="AT719" s="256"/>
      <c r="AU719" s="256"/>
      <c r="AV719" s="256"/>
      <c r="AW719" s="256"/>
      <c r="AX719" s="256"/>
      <c r="AY719" s="256"/>
      <c r="AZ719" s="256"/>
      <c r="BA719" s="256"/>
      <c r="BB719" s="256"/>
      <c r="BC719" s="256"/>
      <c r="BD719" s="238"/>
      <c r="BE719" s="229" cm="1">
        <f t="array" ref="BE719">IF(ISBLANK(R719), INDEX(Use, $AH719, 4) - AM719*INDEX(Use, $AH719, 6), R719)</f>
        <v>5</v>
      </c>
      <c r="BF719" s="229">
        <f t="shared" si="691"/>
        <v>30</v>
      </c>
      <c r="BG719" s="229">
        <f t="shared" si="679"/>
        <v>13</v>
      </c>
      <c r="BH719" s="229">
        <f t="shared" si="680"/>
        <v>0</v>
      </c>
      <c r="BI719" s="234" cm="1">
        <f t="array" ref="BI719">K719/IF($L719&gt;0, INDEX($AU$23:$BA$77, $L719+20, $AH719), 1)</f>
        <v>0</v>
      </c>
      <c r="BJ719" s="230">
        <f t="shared" si="692"/>
        <v>0</v>
      </c>
      <c r="BK719" s="229">
        <v>35</v>
      </c>
      <c r="BL719" s="230">
        <f t="shared" si="693"/>
        <v>48</v>
      </c>
      <c r="BM719" s="235">
        <f t="shared" si="694"/>
        <v>2.9108720930232557</v>
      </c>
      <c r="BN719" s="235" cm="1">
        <f t="array" ref="BN719">$BI719 * SUMPRODUCT(INDEX($AR$77:$AT$82,,$AI719),INDEX($AU$77:$BA$82,,$AH719), N($AQ$77:$AQ$82&gt;$AO719)) / BM719 / 1000</f>
        <v>0</v>
      </c>
      <c r="BO719" s="232">
        <f t="shared" si="681"/>
        <v>30</v>
      </c>
      <c r="BP719" s="230">
        <f t="shared" si="695"/>
        <v>43</v>
      </c>
      <c r="BQ719" s="235">
        <f t="shared" si="696"/>
        <v>3.2938815789473681</v>
      </c>
      <c r="BR719" s="235" cm="1">
        <f t="array" ref="BR719">$BI719 * IF($AH719&lt;=2,
SUMPRODUCT(INDEX($AR$72:$AT$76,,$AI719), INDEX($AU$72:$BA$76,,$AH719), 1 / ($BB$72:$BB$76*BQ719 + (1-$BB$72:$BB$76)*BM719), N($AQ$72:$AQ$76&gt;$AO719)),
SUMPRODUCT(INDEX($AR$67:$AT$76,,$AI719), INDEX($AU$67:$BA$76,,$AH719), 1 / ($BC$67:$BC$76*BQ719 + (1-$BC$67:$BC$76)*BM719), N($AQ$67:$AQ$76&gt;$AO719))
) / 1000</f>
        <v>0</v>
      </c>
      <c r="BS719" s="232">
        <f t="shared" si="682"/>
        <v>25</v>
      </c>
      <c r="BT719" s="230">
        <f t="shared" si="697"/>
        <v>38</v>
      </c>
      <c r="BU719" s="235">
        <f t="shared" si="698"/>
        <v>3.792954545454545</v>
      </c>
      <c r="BV719" s="235" cm="1">
        <f t="array" ref="BV719">$BI719 * IF($AH719&lt;=2,
SUMPRODUCT(INDEX($AR$67:$AT$71,,$AI719), INDEX($AU$67:$BA$71,,$AH719), 1 / ($BB$67:$BB$71*BU719 + (1-$BB$67:$BB$71)*BQ719), N($AQ$67:$AQ$71&gt;$AO719)),
SUMPRODUCT(INDEX($AR$57:$AT$66,,$AI719), INDEX($AU$57:$BA$66,,$AH719), 1 / ($BC$57:$BC$66*BU719 + (1-$BC$57:$BC$66)*BQ719), N($AQ$57:$AQ$66&gt;$AO719))
) / 1000</f>
        <v>0</v>
      </c>
      <c r="BW719" s="232">
        <f t="shared" si="683"/>
        <v>20</v>
      </c>
      <c r="BX719" s="230">
        <f t="shared" si="699"/>
        <v>33</v>
      </c>
      <c r="BY719" s="235">
        <f t="shared" si="700"/>
        <v>4.4702678571428569</v>
      </c>
      <c r="BZ719" s="235" cm="1">
        <f t="array" ref="BZ719">$BI719 * IF($AH719&lt;=2,
SUMPRODUCT(INDEX($AR$62:$AT$66,,$AI719), INDEX($AU$62:$BA$66,,$AH719), 1 / ($BB$62:$BB$66*BY719 + (1-$BB$62:$BB$66)*BU719), N($AQ$62:$AQ$66&gt;$AO719)),
SUMPRODUCT(INDEX($AR$47:$AT$56,,$AI719), INDEX($AU$47:$BA$56,,$AH719), 1 / ($BC$47:$BC$56*BY719 + (1-$BC$47:$BC$56)*BU719), N($AQ$47:$AQ$56&gt;$AO719))
) / 1000</f>
        <v>0</v>
      </c>
      <c r="CA719" s="235" cm="1">
        <f t="array" ref="CA719">$BI719 * IF($AH719&lt;=2,
SUMPRODUCT(INDEX($AR$23:$AT$61,,$AI719), INDEX($AU$23:$BA$61,,$AH719), 1 / ($BB$23:$BB$61*BY719), N($AQ$23:$AQ$61&gt;$AO719)),
SUMPRODUCT(INDEX($AR$23:$AT$46,,$AI719), INDEX($AU$23:$BA$46,,$AH719), 1 / ($BC$23:$BC$46*BY719), N($AQ$23:$AQ$46&gt;$AO719))
) / 1000</f>
        <v>0</v>
      </c>
      <c r="CB719" s="230">
        <f t="shared" si="701"/>
        <v>0</v>
      </c>
      <c r="CC719" s="238"/>
      <c r="CD719" s="229" cm="1">
        <f t="array" ref="CD719">IF(ISBLANK(Y719), INDEX(Use, $AH719, 4) - AN719*INDEX(Use, $AH719, 6) - (Q719-X719), Y719)</f>
        <v>7</v>
      </c>
      <c r="CE719" s="229">
        <f t="shared" si="702"/>
        <v>32</v>
      </c>
      <c r="CF719" s="230">
        <f t="shared" si="703"/>
        <v>0</v>
      </c>
      <c r="CG719" s="229">
        <v>35</v>
      </c>
      <c r="CH719" s="230">
        <f t="shared" si="704"/>
        <v>48</v>
      </c>
      <c r="CI719" s="235">
        <f t="shared" si="705"/>
        <v>3.0748170731707316</v>
      </c>
      <c r="CJ719" s="235" cm="1">
        <f t="array" ref="CJ719">$BI719 * SUMPRODUCT(INDEX($AR$77:$AT$82,,$AI719),INDEX($AU$77:$BA$82,,$AH719), N($AQ$77:$AQ$82&gt;$AO719)) / CI719 / 1000</f>
        <v>0</v>
      </c>
      <c r="CK719" s="232">
        <f t="shared" si="684"/>
        <v>30</v>
      </c>
      <c r="CL719" s="230">
        <f t="shared" si="706"/>
        <v>43</v>
      </c>
      <c r="CM719" s="235">
        <f t="shared" si="707"/>
        <v>3.5018750000000001</v>
      </c>
      <c r="CN719" s="235" cm="1">
        <f t="array" ref="CN719">$BI719 * IF($AH719&lt;=2,
SUMPRODUCT(INDEX($AR$72:$AT$76,,$AI719), INDEX($AU$72:$BA$76,,$AH719), 1 / ($BB$72:$BB$76*CM719 + (1-$BB$72:$BB$76)*CI719), N($AQ$72:$AQ$76&gt;$AO719)),
SUMPRODUCT(INDEX($AR$67:$AT$76,,$AI719), INDEX($AU$67:$BA$76,,$AH719), 1 / ($BC$67:$BC$76*CM719 + (1-$BC$67:$BC$76)*CI719), N($AQ$67:$AQ$76&gt;$AO719))
) / 1000</f>
        <v>0</v>
      </c>
      <c r="CO719" s="232">
        <f t="shared" si="685"/>
        <v>25</v>
      </c>
      <c r="CP719" s="230">
        <f t="shared" si="708"/>
        <v>38</v>
      </c>
      <c r="CQ719" s="235">
        <f t="shared" si="709"/>
        <v>4.0666935483870965</v>
      </c>
      <c r="CR719" s="235" cm="1">
        <f t="array" ref="CR719">$BI719 * IF($AH719&lt;=2,
SUMPRODUCT(INDEX($AR$67:$AT$71,,$AI719), INDEX($AU$67:$BA$71,,$AH719), 1 / ($BB$67:$BB$71*CQ719 + (1-$BB$67:$BB$71)*CM719), N($AQ$67:$AQ$71&gt;$AO719)),
SUMPRODUCT(INDEX($AR$57:$AT$66,,$AI719), INDEX($AU$57:$BA$66,,$AH719), 1 / ($BC$57:$BC$66*CQ719 + (1-$BC$57:$BC$66)*CM719), N($AQ$57:$AQ$66&gt;$AO719))
) / 1000</f>
        <v>0</v>
      </c>
      <c r="CS719" s="232">
        <f t="shared" si="686"/>
        <v>20</v>
      </c>
      <c r="CT719" s="230">
        <f t="shared" si="710"/>
        <v>33</v>
      </c>
      <c r="CU719" s="235">
        <f t="shared" si="711"/>
        <v>4.8487499999999999</v>
      </c>
      <c r="CV719" s="235" cm="1">
        <f t="array" ref="CV719">$BI719 * IF($AH719&lt;=2,
SUMPRODUCT(INDEX($AR$62:$AT$66,,$AI719), INDEX($AU$62:$BA$66,,$AH719), 1 / ($BB$62:$BB$66*CU719 + (1-$BB$62:$BB$66)*CQ719), N($AQ$62:$AQ$66&gt;$AO719)),
SUMPRODUCT(INDEX($AR$47:$AT$56,,$AI719), INDEX($AU$47:$BA$56,,$AH719), 1 / ($BC$47:$BC$56*CU719 + (1-$BC$47:$BC$56)*CQ719), N($AQ$47:$AQ$56&gt;$AO719))
) / 1000</f>
        <v>0</v>
      </c>
      <c r="CW719" s="235" cm="1">
        <f t="array" ref="CW719">$BI719 * IF($AH719&lt;=2,
SUMPRODUCT(INDEX($AR$23:$AT$61,,$AI719), INDEX($AU$23:$BA$61,,$AH719), 1 / ($BB$23:$BB$61*CU719), N($AQ$23:$AQ$61&gt;$AO719)),
SUMPRODUCT(INDEX($AR$23:$AT$46,,$AI719), INDEX($AU$23:$BA$46,,$AH719), 1 / ($BC$23:$BC$46*CU719), N($AQ$23:$AQ$46&gt;$AO719))
) / 1000</f>
        <v>0</v>
      </c>
      <c r="CX719" s="230">
        <f t="shared" si="712"/>
        <v>0</v>
      </c>
      <c r="CY719" s="238"/>
    </row>
    <row r="720" spans="1:103" s="76" customFormat="1" ht="14.25" customHeight="1" x14ac:dyDescent="0.2">
      <c r="A720" s="231" t="b">
        <f t="shared" si="678"/>
        <v>0</v>
      </c>
      <c r="B720" s="245">
        <v>698</v>
      </c>
      <c r="C720" s="258"/>
      <c r="D720" s="258"/>
      <c r="E720" s="246"/>
      <c r="F720" s="247" t="str">
        <f>IF(ISBLANK(E720), "", VLOOKUP(E720, Z!$A$2:$C$4127, 3, FALSE))</f>
        <v/>
      </c>
      <c r="G720" s="248"/>
      <c r="H720" s="248"/>
      <c r="I720" s="249"/>
      <c r="J720" s="250"/>
      <c r="K720" s="259"/>
      <c r="L720" s="260"/>
      <c r="M720" s="252" t="str" cm="1">
        <f t="array" ref="M720">INDEX(Trad, 53, $A$20)</f>
        <v>Verschmutzt</v>
      </c>
      <c r="N720" s="253"/>
      <c r="O720" s="253"/>
      <c r="P720" s="254"/>
      <c r="Q720" s="251"/>
      <c r="R720" s="251"/>
      <c r="S720" s="264">
        <f t="shared" si="687"/>
        <v>0</v>
      </c>
      <c r="T720" s="252" t="str" cm="1">
        <f t="array" ref="T720">INDEX(Trad, 52, $A$20)</f>
        <v>Sauber</v>
      </c>
      <c r="U720" s="253"/>
      <c r="V720" s="253"/>
      <c r="W720" s="254"/>
      <c r="X720" s="251"/>
      <c r="Y720" s="251"/>
      <c r="Z720" s="264">
        <f t="shared" si="688"/>
        <v>0</v>
      </c>
      <c r="AA720" s="261"/>
      <c r="AB720" s="258"/>
      <c r="AC720" s="246"/>
      <c r="AD720" s="247" t="str">
        <f>IF(ISBLANK(AC720), "", VLOOKUP(AC720, Z!$A$2:$C$4127, 3, FALSE))</f>
        <v/>
      </c>
      <c r="AE720" s="262"/>
      <c r="AF720" s="263">
        <f t="shared" si="689"/>
        <v>0</v>
      </c>
      <c r="AG720" s="238"/>
      <c r="AH720" s="229">
        <f t="shared" si="713"/>
        <v>1</v>
      </c>
      <c r="AI720" s="229">
        <f t="shared" si="714"/>
        <v>1</v>
      </c>
      <c r="AJ720" s="229">
        <f t="shared" si="715"/>
        <v>0</v>
      </c>
      <c r="AK720" s="229">
        <v>0</v>
      </c>
      <c r="AL720" s="229">
        <v>0</v>
      </c>
      <c r="AM720" s="229">
        <v>1</v>
      </c>
      <c r="AN720" s="229">
        <v>0</v>
      </c>
      <c r="AO720" s="229">
        <f t="shared" si="690"/>
        <v>-100</v>
      </c>
      <c r="AP720" s="238"/>
      <c r="AQ720" s="255"/>
      <c r="AR720" s="255"/>
      <c r="AS720" s="256"/>
      <c r="AT720" s="256"/>
      <c r="AU720" s="256"/>
      <c r="AV720" s="256"/>
      <c r="AW720" s="256"/>
      <c r="AX720" s="256"/>
      <c r="AY720" s="256"/>
      <c r="AZ720" s="256"/>
      <c r="BA720" s="256"/>
      <c r="BB720" s="256"/>
      <c r="BC720" s="256"/>
      <c r="BD720" s="238"/>
      <c r="BE720" s="229" cm="1">
        <f t="array" ref="BE720">IF(ISBLANK(R720), INDEX(Use, $AH720, 4) - AM720*INDEX(Use, $AH720, 6), R720)</f>
        <v>5</v>
      </c>
      <c r="BF720" s="229">
        <f t="shared" si="691"/>
        <v>30</v>
      </c>
      <c r="BG720" s="229">
        <f t="shared" si="679"/>
        <v>13</v>
      </c>
      <c r="BH720" s="229">
        <f t="shared" si="680"/>
        <v>0</v>
      </c>
      <c r="BI720" s="234" cm="1">
        <f t="array" ref="BI720">K720/IF($L720&gt;0, INDEX($AU$23:$BA$77, $L720+20, $AH720), 1)</f>
        <v>0</v>
      </c>
      <c r="BJ720" s="230">
        <f t="shared" si="692"/>
        <v>0</v>
      </c>
      <c r="BK720" s="229">
        <v>35</v>
      </c>
      <c r="BL720" s="230">
        <f t="shared" si="693"/>
        <v>48</v>
      </c>
      <c r="BM720" s="235">
        <f t="shared" si="694"/>
        <v>2.9108720930232557</v>
      </c>
      <c r="BN720" s="235" cm="1">
        <f t="array" ref="BN720">$BI720 * SUMPRODUCT(INDEX($AR$77:$AT$82,,$AI720),INDEX($AU$77:$BA$82,,$AH720), N($AQ$77:$AQ$82&gt;$AO720)) / BM720 / 1000</f>
        <v>0</v>
      </c>
      <c r="BO720" s="232">
        <f t="shared" si="681"/>
        <v>30</v>
      </c>
      <c r="BP720" s="230">
        <f t="shared" si="695"/>
        <v>43</v>
      </c>
      <c r="BQ720" s="235">
        <f t="shared" si="696"/>
        <v>3.2938815789473681</v>
      </c>
      <c r="BR720" s="235" cm="1">
        <f t="array" ref="BR720">$BI720 * IF($AH720&lt;=2,
SUMPRODUCT(INDEX($AR$72:$AT$76,,$AI720), INDEX($AU$72:$BA$76,,$AH720), 1 / ($BB$72:$BB$76*BQ720 + (1-$BB$72:$BB$76)*BM720), N($AQ$72:$AQ$76&gt;$AO720)),
SUMPRODUCT(INDEX($AR$67:$AT$76,,$AI720), INDEX($AU$67:$BA$76,,$AH720), 1 / ($BC$67:$BC$76*BQ720 + (1-$BC$67:$BC$76)*BM720), N($AQ$67:$AQ$76&gt;$AO720))
) / 1000</f>
        <v>0</v>
      </c>
      <c r="BS720" s="232">
        <f t="shared" si="682"/>
        <v>25</v>
      </c>
      <c r="BT720" s="230">
        <f t="shared" si="697"/>
        <v>38</v>
      </c>
      <c r="BU720" s="235">
        <f t="shared" si="698"/>
        <v>3.792954545454545</v>
      </c>
      <c r="BV720" s="235" cm="1">
        <f t="array" ref="BV720">$BI720 * IF($AH720&lt;=2,
SUMPRODUCT(INDEX($AR$67:$AT$71,,$AI720), INDEX($AU$67:$BA$71,,$AH720), 1 / ($BB$67:$BB$71*BU720 + (1-$BB$67:$BB$71)*BQ720), N($AQ$67:$AQ$71&gt;$AO720)),
SUMPRODUCT(INDEX($AR$57:$AT$66,,$AI720), INDEX($AU$57:$BA$66,,$AH720), 1 / ($BC$57:$BC$66*BU720 + (1-$BC$57:$BC$66)*BQ720), N($AQ$57:$AQ$66&gt;$AO720))
) / 1000</f>
        <v>0</v>
      </c>
      <c r="BW720" s="232">
        <f t="shared" si="683"/>
        <v>20</v>
      </c>
      <c r="BX720" s="230">
        <f t="shared" si="699"/>
        <v>33</v>
      </c>
      <c r="BY720" s="235">
        <f t="shared" si="700"/>
        <v>4.4702678571428569</v>
      </c>
      <c r="BZ720" s="235" cm="1">
        <f t="array" ref="BZ720">$BI720 * IF($AH720&lt;=2,
SUMPRODUCT(INDEX($AR$62:$AT$66,,$AI720), INDEX($AU$62:$BA$66,,$AH720), 1 / ($BB$62:$BB$66*BY720 + (1-$BB$62:$BB$66)*BU720), N($AQ$62:$AQ$66&gt;$AO720)),
SUMPRODUCT(INDEX($AR$47:$AT$56,,$AI720), INDEX($AU$47:$BA$56,,$AH720), 1 / ($BC$47:$BC$56*BY720 + (1-$BC$47:$BC$56)*BU720), N($AQ$47:$AQ$56&gt;$AO720))
) / 1000</f>
        <v>0</v>
      </c>
      <c r="CA720" s="235" cm="1">
        <f t="array" ref="CA720">$BI720 * IF($AH720&lt;=2,
SUMPRODUCT(INDEX($AR$23:$AT$61,,$AI720), INDEX($AU$23:$BA$61,,$AH720), 1 / ($BB$23:$BB$61*BY720), N($AQ$23:$AQ$61&gt;$AO720)),
SUMPRODUCT(INDEX($AR$23:$AT$46,,$AI720), INDEX($AU$23:$BA$46,,$AH720), 1 / ($BC$23:$BC$46*BY720), N($AQ$23:$AQ$46&gt;$AO720))
) / 1000</f>
        <v>0</v>
      </c>
      <c r="CB720" s="230">
        <f t="shared" si="701"/>
        <v>0</v>
      </c>
      <c r="CC720" s="238"/>
      <c r="CD720" s="229" cm="1">
        <f t="array" ref="CD720">IF(ISBLANK(Y720), INDEX(Use, $AH720, 4) - AN720*INDEX(Use, $AH720, 6) - (Q720-X720), Y720)</f>
        <v>7</v>
      </c>
      <c r="CE720" s="229">
        <f t="shared" si="702"/>
        <v>32</v>
      </c>
      <c r="CF720" s="230">
        <f t="shared" si="703"/>
        <v>0</v>
      </c>
      <c r="CG720" s="229">
        <v>35</v>
      </c>
      <c r="CH720" s="230">
        <f t="shared" si="704"/>
        <v>48</v>
      </c>
      <c r="CI720" s="235">
        <f t="shared" si="705"/>
        <v>3.0748170731707316</v>
      </c>
      <c r="CJ720" s="235" cm="1">
        <f t="array" ref="CJ720">$BI720 * SUMPRODUCT(INDEX($AR$77:$AT$82,,$AI720),INDEX($AU$77:$BA$82,,$AH720), N($AQ$77:$AQ$82&gt;$AO720)) / CI720 / 1000</f>
        <v>0</v>
      </c>
      <c r="CK720" s="232">
        <f t="shared" si="684"/>
        <v>30</v>
      </c>
      <c r="CL720" s="230">
        <f t="shared" si="706"/>
        <v>43</v>
      </c>
      <c r="CM720" s="235">
        <f t="shared" si="707"/>
        <v>3.5018750000000001</v>
      </c>
      <c r="CN720" s="235" cm="1">
        <f t="array" ref="CN720">$BI720 * IF($AH720&lt;=2,
SUMPRODUCT(INDEX($AR$72:$AT$76,,$AI720), INDEX($AU$72:$BA$76,,$AH720), 1 / ($BB$72:$BB$76*CM720 + (1-$BB$72:$BB$76)*CI720), N($AQ$72:$AQ$76&gt;$AO720)),
SUMPRODUCT(INDEX($AR$67:$AT$76,,$AI720), INDEX($AU$67:$BA$76,,$AH720), 1 / ($BC$67:$BC$76*CM720 + (1-$BC$67:$BC$76)*CI720), N($AQ$67:$AQ$76&gt;$AO720))
) / 1000</f>
        <v>0</v>
      </c>
      <c r="CO720" s="232">
        <f t="shared" si="685"/>
        <v>25</v>
      </c>
      <c r="CP720" s="230">
        <f t="shared" si="708"/>
        <v>38</v>
      </c>
      <c r="CQ720" s="235">
        <f t="shared" si="709"/>
        <v>4.0666935483870965</v>
      </c>
      <c r="CR720" s="235" cm="1">
        <f t="array" ref="CR720">$BI720 * IF($AH720&lt;=2,
SUMPRODUCT(INDEX($AR$67:$AT$71,,$AI720), INDEX($AU$67:$BA$71,,$AH720), 1 / ($BB$67:$BB$71*CQ720 + (1-$BB$67:$BB$71)*CM720), N($AQ$67:$AQ$71&gt;$AO720)),
SUMPRODUCT(INDEX($AR$57:$AT$66,,$AI720), INDEX($AU$57:$BA$66,,$AH720), 1 / ($BC$57:$BC$66*CQ720 + (1-$BC$57:$BC$66)*CM720), N($AQ$57:$AQ$66&gt;$AO720))
) / 1000</f>
        <v>0</v>
      </c>
      <c r="CS720" s="232">
        <f t="shared" si="686"/>
        <v>20</v>
      </c>
      <c r="CT720" s="230">
        <f t="shared" si="710"/>
        <v>33</v>
      </c>
      <c r="CU720" s="235">
        <f t="shared" si="711"/>
        <v>4.8487499999999999</v>
      </c>
      <c r="CV720" s="235" cm="1">
        <f t="array" ref="CV720">$BI720 * IF($AH720&lt;=2,
SUMPRODUCT(INDEX($AR$62:$AT$66,,$AI720), INDEX($AU$62:$BA$66,,$AH720), 1 / ($BB$62:$BB$66*CU720 + (1-$BB$62:$BB$66)*CQ720), N($AQ$62:$AQ$66&gt;$AO720)),
SUMPRODUCT(INDEX($AR$47:$AT$56,,$AI720), INDEX($AU$47:$BA$56,,$AH720), 1 / ($BC$47:$BC$56*CU720 + (1-$BC$47:$BC$56)*CQ720), N($AQ$47:$AQ$56&gt;$AO720))
) / 1000</f>
        <v>0</v>
      </c>
      <c r="CW720" s="235" cm="1">
        <f t="array" ref="CW720">$BI720 * IF($AH720&lt;=2,
SUMPRODUCT(INDEX($AR$23:$AT$61,,$AI720), INDEX($AU$23:$BA$61,,$AH720), 1 / ($BB$23:$BB$61*CU720), N($AQ$23:$AQ$61&gt;$AO720)),
SUMPRODUCT(INDEX($AR$23:$AT$46,,$AI720), INDEX($AU$23:$BA$46,,$AH720), 1 / ($BC$23:$BC$46*CU720), N($AQ$23:$AQ$46&gt;$AO720))
) / 1000</f>
        <v>0</v>
      </c>
      <c r="CX720" s="230">
        <f t="shared" si="712"/>
        <v>0</v>
      </c>
      <c r="CY720" s="238"/>
    </row>
    <row r="721" spans="1:103" s="76" customFormat="1" ht="14.25" customHeight="1" x14ac:dyDescent="0.2">
      <c r="A721" s="231" t="b">
        <f t="shared" si="678"/>
        <v>0</v>
      </c>
      <c r="B721" s="245">
        <v>699</v>
      </c>
      <c r="C721" s="258"/>
      <c r="D721" s="258"/>
      <c r="E721" s="246"/>
      <c r="F721" s="247" t="str">
        <f>IF(ISBLANK(E721), "", VLOOKUP(E721, Z!$A$2:$C$4127, 3, FALSE))</f>
        <v/>
      </c>
      <c r="G721" s="248"/>
      <c r="H721" s="248"/>
      <c r="I721" s="249"/>
      <c r="J721" s="250"/>
      <c r="K721" s="259"/>
      <c r="L721" s="260"/>
      <c r="M721" s="252" t="str" cm="1">
        <f t="array" ref="M721">INDEX(Trad, 53, $A$20)</f>
        <v>Verschmutzt</v>
      </c>
      <c r="N721" s="253"/>
      <c r="O721" s="253"/>
      <c r="P721" s="254"/>
      <c r="Q721" s="251"/>
      <c r="R721" s="251"/>
      <c r="S721" s="264">
        <f t="shared" si="687"/>
        <v>0</v>
      </c>
      <c r="T721" s="252" t="str" cm="1">
        <f t="array" ref="T721">INDEX(Trad, 52, $A$20)</f>
        <v>Sauber</v>
      </c>
      <c r="U721" s="253"/>
      <c r="V721" s="253"/>
      <c r="W721" s="254"/>
      <c r="X721" s="251"/>
      <c r="Y721" s="251"/>
      <c r="Z721" s="264">
        <f t="shared" si="688"/>
        <v>0</v>
      </c>
      <c r="AA721" s="261"/>
      <c r="AB721" s="258"/>
      <c r="AC721" s="246"/>
      <c r="AD721" s="247" t="str">
        <f>IF(ISBLANK(AC721), "", VLOOKUP(AC721, Z!$A$2:$C$4127, 3, FALSE))</f>
        <v/>
      </c>
      <c r="AE721" s="262"/>
      <c r="AF721" s="263">
        <f t="shared" si="689"/>
        <v>0</v>
      </c>
      <c r="AG721" s="238"/>
      <c r="AH721" s="229">
        <f t="shared" si="713"/>
        <v>1</v>
      </c>
      <c r="AI721" s="229">
        <f t="shared" si="714"/>
        <v>1</v>
      </c>
      <c r="AJ721" s="229">
        <f t="shared" si="715"/>
        <v>0</v>
      </c>
      <c r="AK721" s="229">
        <v>0</v>
      </c>
      <c r="AL721" s="229">
        <v>0</v>
      </c>
      <c r="AM721" s="229">
        <v>1</v>
      </c>
      <c r="AN721" s="229">
        <v>0</v>
      </c>
      <c r="AO721" s="229">
        <f t="shared" si="690"/>
        <v>-100</v>
      </c>
      <c r="AP721" s="238"/>
      <c r="AQ721" s="255"/>
      <c r="AR721" s="255"/>
      <c r="AS721" s="256"/>
      <c r="AT721" s="256"/>
      <c r="AU721" s="256"/>
      <c r="AV721" s="256"/>
      <c r="AW721" s="256"/>
      <c r="AX721" s="256"/>
      <c r="AY721" s="256"/>
      <c r="AZ721" s="256"/>
      <c r="BA721" s="256"/>
      <c r="BB721" s="256"/>
      <c r="BC721" s="256"/>
      <c r="BD721" s="238"/>
      <c r="BE721" s="229" cm="1">
        <f t="array" ref="BE721">IF(ISBLANK(R721), INDEX(Use, $AH721, 4) - AM721*INDEX(Use, $AH721, 6), R721)</f>
        <v>5</v>
      </c>
      <c r="BF721" s="229">
        <f t="shared" si="691"/>
        <v>30</v>
      </c>
      <c r="BG721" s="229">
        <f t="shared" si="679"/>
        <v>13</v>
      </c>
      <c r="BH721" s="229">
        <f t="shared" si="680"/>
        <v>0</v>
      </c>
      <c r="BI721" s="234" cm="1">
        <f t="array" ref="BI721">K721/IF($L721&gt;0, INDEX($AU$23:$BA$77, $L721+20, $AH721), 1)</f>
        <v>0</v>
      </c>
      <c r="BJ721" s="230">
        <f t="shared" si="692"/>
        <v>0</v>
      </c>
      <c r="BK721" s="229">
        <v>35</v>
      </c>
      <c r="BL721" s="230">
        <f t="shared" si="693"/>
        <v>48</v>
      </c>
      <c r="BM721" s="235">
        <f t="shared" si="694"/>
        <v>2.9108720930232557</v>
      </c>
      <c r="BN721" s="235" cm="1">
        <f t="array" ref="BN721">$BI721 * SUMPRODUCT(INDEX($AR$77:$AT$82,,$AI721),INDEX($AU$77:$BA$82,,$AH721), N($AQ$77:$AQ$82&gt;$AO721)) / BM721 / 1000</f>
        <v>0</v>
      </c>
      <c r="BO721" s="232">
        <f t="shared" si="681"/>
        <v>30</v>
      </c>
      <c r="BP721" s="230">
        <f t="shared" si="695"/>
        <v>43</v>
      </c>
      <c r="BQ721" s="235">
        <f t="shared" si="696"/>
        <v>3.2938815789473681</v>
      </c>
      <c r="BR721" s="235" cm="1">
        <f t="array" ref="BR721">$BI721 * IF($AH721&lt;=2,
SUMPRODUCT(INDEX($AR$72:$AT$76,,$AI721), INDEX($AU$72:$BA$76,,$AH721), 1 / ($BB$72:$BB$76*BQ721 + (1-$BB$72:$BB$76)*BM721), N($AQ$72:$AQ$76&gt;$AO721)),
SUMPRODUCT(INDEX($AR$67:$AT$76,,$AI721), INDEX($AU$67:$BA$76,,$AH721), 1 / ($BC$67:$BC$76*BQ721 + (1-$BC$67:$BC$76)*BM721), N($AQ$67:$AQ$76&gt;$AO721))
) / 1000</f>
        <v>0</v>
      </c>
      <c r="BS721" s="232">
        <f t="shared" si="682"/>
        <v>25</v>
      </c>
      <c r="BT721" s="230">
        <f t="shared" si="697"/>
        <v>38</v>
      </c>
      <c r="BU721" s="235">
        <f t="shared" si="698"/>
        <v>3.792954545454545</v>
      </c>
      <c r="BV721" s="235" cm="1">
        <f t="array" ref="BV721">$BI721 * IF($AH721&lt;=2,
SUMPRODUCT(INDEX($AR$67:$AT$71,,$AI721), INDEX($AU$67:$BA$71,,$AH721), 1 / ($BB$67:$BB$71*BU721 + (1-$BB$67:$BB$71)*BQ721), N($AQ$67:$AQ$71&gt;$AO721)),
SUMPRODUCT(INDEX($AR$57:$AT$66,,$AI721), INDEX($AU$57:$BA$66,,$AH721), 1 / ($BC$57:$BC$66*BU721 + (1-$BC$57:$BC$66)*BQ721), N($AQ$57:$AQ$66&gt;$AO721))
) / 1000</f>
        <v>0</v>
      </c>
      <c r="BW721" s="232">
        <f t="shared" si="683"/>
        <v>20</v>
      </c>
      <c r="BX721" s="230">
        <f t="shared" si="699"/>
        <v>33</v>
      </c>
      <c r="BY721" s="235">
        <f t="shared" si="700"/>
        <v>4.4702678571428569</v>
      </c>
      <c r="BZ721" s="235" cm="1">
        <f t="array" ref="BZ721">$BI721 * IF($AH721&lt;=2,
SUMPRODUCT(INDEX($AR$62:$AT$66,,$AI721), INDEX($AU$62:$BA$66,,$AH721), 1 / ($BB$62:$BB$66*BY721 + (1-$BB$62:$BB$66)*BU721), N($AQ$62:$AQ$66&gt;$AO721)),
SUMPRODUCT(INDEX($AR$47:$AT$56,,$AI721), INDEX($AU$47:$BA$56,,$AH721), 1 / ($BC$47:$BC$56*BY721 + (1-$BC$47:$BC$56)*BU721), N($AQ$47:$AQ$56&gt;$AO721))
) / 1000</f>
        <v>0</v>
      </c>
      <c r="CA721" s="235" cm="1">
        <f t="array" ref="CA721">$BI721 * IF($AH721&lt;=2,
SUMPRODUCT(INDEX($AR$23:$AT$61,,$AI721), INDEX($AU$23:$BA$61,,$AH721), 1 / ($BB$23:$BB$61*BY721), N($AQ$23:$AQ$61&gt;$AO721)),
SUMPRODUCT(INDEX($AR$23:$AT$46,,$AI721), INDEX($AU$23:$BA$46,,$AH721), 1 / ($BC$23:$BC$46*BY721), N($AQ$23:$AQ$46&gt;$AO721))
) / 1000</f>
        <v>0</v>
      </c>
      <c r="CB721" s="230">
        <f t="shared" si="701"/>
        <v>0</v>
      </c>
      <c r="CC721" s="238"/>
      <c r="CD721" s="229" cm="1">
        <f t="array" ref="CD721">IF(ISBLANK(Y721), INDEX(Use, $AH721, 4) - AN721*INDEX(Use, $AH721, 6) - (Q721-X721), Y721)</f>
        <v>7</v>
      </c>
      <c r="CE721" s="229">
        <f t="shared" si="702"/>
        <v>32</v>
      </c>
      <c r="CF721" s="230">
        <f t="shared" si="703"/>
        <v>0</v>
      </c>
      <c r="CG721" s="229">
        <v>35</v>
      </c>
      <c r="CH721" s="230">
        <f t="shared" si="704"/>
        <v>48</v>
      </c>
      <c r="CI721" s="235">
        <f t="shared" si="705"/>
        <v>3.0748170731707316</v>
      </c>
      <c r="CJ721" s="235" cm="1">
        <f t="array" ref="CJ721">$BI721 * SUMPRODUCT(INDEX($AR$77:$AT$82,,$AI721),INDEX($AU$77:$BA$82,,$AH721), N($AQ$77:$AQ$82&gt;$AO721)) / CI721 / 1000</f>
        <v>0</v>
      </c>
      <c r="CK721" s="232">
        <f t="shared" si="684"/>
        <v>30</v>
      </c>
      <c r="CL721" s="230">
        <f t="shared" si="706"/>
        <v>43</v>
      </c>
      <c r="CM721" s="235">
        <f t="shared" si="707"/>
        <v>3.5018750000000001</v>
      </c>
      <c r="CN721" s="235" cm="1">
        <f t="array" ref="CN721">$BI721 * IF($AH721&lt;=2,
SUMPRODUCT(INDEX($AR$72:$AT$76,,$AI721), INDEX($AU$72:$BA$76,,$AH721), 1 / ($BB$72:$BB$76*CM721 + (1-$BB$72:$BB$76)*CI721), N($AQ$72:$AQ$76&gt;$AO721)),
SUMPRODUCT(INDEX($AR$67:$AT$76,,$AI721), INDEX($AU$67:$BA$76,,$AH721), 1 / ($BC$67:$BC$76*CM721 + (1-$BC$67:$BC$76)*CI721), N($AQ$67:$AQ$76&gt;$AO721))
) / 1000</f>
        <v>0</v>
      </c>
      <c r="CO721" s="232">
        <f t="shared" si="685"/>
        <v>25</v>
      </c>
      <c r="CP721" s="230">
        <f t="shared" si="708"/>
        <v>38</v>
      </c>
      <c r="CQ721" s="235">
        <f t="shared" si="709"/>
        <v>4.0666935483870965</v>
      </c>
      <c r="CR721" s="235" cm="1">
        <f t="array" ref="CR721">$BI721 * IF($AH721&lt;=2,
SUMPRODUCT(INDEX($AR$67:$AT$71,,$AI721), INDEX($AU$67:$BA$71,,$AH721), 1 / ($BB$67:$BB$71*CQ721 + (1-$BB$67:$BB$71)*CM721), N($AQ$67:$AQ$71&gt;$AO721)),
SUMPRODUCT(INDEX($AR$57:$AT$66,,$AI721), INDEX($AU$57:$BA$66,,$AH721), 1 / ($BC$57:$BC$66*CQ721 + (1-$BC$57:$BC$66)*CM721), N($AQ$57:$AQ$66&gt;$AO721))
) / 1000</f>
        <v>0</v>
      </c>
      <c r="CS721" s="232">
        <f t="shared" si="686"/>
        <v>20</v>
      </c>
      <c r="CT721" s="230">
        <f t="shared" si="710"/>
        <v>33</v>
      </c>
      <c r="CU721" s="235">
        <f t="shared" si="711"/>
        <v>4.8487499999999999</v>
      </c>
      <c r="CV721" s="235" cm="1">
        <f t="array" ref="CV721">$BI721 * IF($AH721&lt;=2,
SUMPRODUCT(INDEX($AR$62:$AT$66,,$AI721), INDEX($AU$62:$BA$66,,$AH721), 1 / ($BB$62:$BB$66*CU721 + (1-$BB$62:$BB$66)*CQ721), N($AQ$62:$AQ$66&gt;$AO721)),
SUMPRODUCT(INDEX($AR$47:$AT$56,,$AI721), INDEX($AU$47:$BA$56,,$AH721), 1 / ($BC$47:$BC$56*CU721 + (1-$BC$47:$BC$56)*CQ721), N($AQ$47:$AQ$56&gt;$AO721))
) / 1000</f>
        <v>0</v>
      </c>
      <c r="CW721" s="235" cm="1">
        <f t="array" ref="CW721">$BI721 * IF($AH721&lt;=2,
SUMPRODUCT(INDEX($AR$23:$AT$61,,$AI721), INDEX($AU$23:$BA$61,,$AH721), 1 / ($BB$23:$BB$61*CU721), N($AQ$23:$AQ$61&gt;$AO721)),
SUMPRODUCT(INDEX($AR$23:$AT$46,,$AI721), INDEX($AU$23:$BA$46,,$AH721), 1 / ($BC$23:$BC$46*CU721), N($AQ$23:$AQ$46&gt;$AO721))
) / 1000</f>
        <v>0</v>
      </c>
      <c r="CX721" s="230">
        <f t="shared" si="712"/>
        <v>0</v>
      </c>
      <c r="CY721" s="238"/>
    </row>
    <row r="722" spans="1:103" s="76" customFormat="1" ht="14.25" customHeight="1" x14ac:dyDescent="0.2">
      <c r="A722" s="231" t="b">
        <f t="shared" si="678"/>
        <v>0</v>
      </c>
      <c r="B722" s="245">
        <v>700</v>
      </c>
      <c r="C722" s="258"/>
      <c r="D722" s="258"/>
      <c r="E722" s="246"/>
      <c r="F722" s="247" t="str">
        <f>IF(ISBLANK(E722), "", VLOOKUP(E722, Z!$A$2:$C$4127, 3, FALSE))</f>
        <v/>
      </c>
      <c r="G722" s="248"/>
      <c r="H722" s="248"/>
      <c r="I722" s="249"/>
      <c r="J722" s="250"/>
      <c r="K722" s="259"/>
      <c r="L722" s="260"/>
      <c r="M722" s="252" t="str" cm="1">
        <f t="array" ref="M722">INDEX(Trad, 53, $A$20)</f>
        <v>Verschmutzt</v>
      </c>
      <c r="N722" s="253"/>
      <c r="O722" s="253"/>
      <c r="P722" s="254"/>
      <c r="Q722" s="251"/>
      <c r="R722" s="251"/>
      <c r="S722" s="264">
        <f t="shared" si="687"/>
        <v>0</v>
      </c>
      <c r="T722" s="252" t="str" cm="1">
        <f t="array" ref="T722">INDEX(Trad, 52, $A$20)</f>
        <v>Sauber</v>
      </c>
      <c r="U722" s="253"/>
      <c r="V722" s="253"/>
      <c r="W722" s="254"/>
      <c r="X722" s="251"/>
      <c r="Y722" s="251"/>
      <c r="Z722" s="264">
        <f t="shared" si="688"/>
        <v>0</v>
      </c>
      <c r="AA722" s="261"/>
      <c r="AB722" s="258"/>
      <c r="AC722" s="246"/>
      <c r="AD722" s="247" t="str">
        <f>IF(ISBLANK(AC722), "", VLOOKUP(AC722, Z!$A$2:$C$4127, 3, FALSE))</f>
        <v/>
      </c>
      <c r="AE722" s="262"/>
      <c r="AF722" s="263">
        <f t="shared" si="689"/>
        <v>0</v>
      </c>
      <c r="AG722" s="238"/>
      <c r="AH722" s="229">
        <f t="shared" si="713"/>
        <v>1</v>
      </c>
      <c r="AI722" s="229">
        <f t="shared" si="714"/>
        <v>1</v>
      </c>
      <c r="AJ722" s="229">
        <f t="shared" si="715"/>
        <v>0</v>
      </c>
      <c r="AK722" s="229">
        <v>0</v>
      </c>
      <c r="AL722" s="229">
        <v>0</v>
      </c>
      <c r="AM722" s="229">
        <v>1</v>
      </c>
      <c r="AN722" s="229">
        <v>0</v>
      </c>
      <c r="AO722" s="229">
        <f t="shared" si="690"/>
        <v>-100</v>
      </c>
      <c r="AP722" s="238"/>
      <c r="AQ722" s="255"/>
      <c r="AR722" s="255"/>
      <c r="AS722" s="256"/>
      <c r="AT722" s="256"/>
      <c r="AU722" s="256"/>
      <c r="AV722" s="256"/>
      <c r="AW722" s="256"/>
      <c r="AX722" s="256"/>
      <c r="AY722" s="256"/>
      <c r="AZ722" s="256"/>
      <c r="BA722" s="256"/>
      <c r="BB722" s="256"/>
      <c r="BC722" s="256"/>
      <c r="BD722" s="238"/>
      <c r="BE722" s="229" cm="1">
        <f t="array" ref="BE722">IF(ISBLANK(R722), INDEX(Use, $AH722, 4) - AM722*INDEX(Use, $AH722, 6), R722)</f>
        <v>5</v>
      </c>
      <c r="BF722" s="229">
        <f t="shared" si="691"/>
        <v>30</v>
      </c>
      <c r="BG722" s="229">
        <f t="shared" si="679"/>
        <v>13</v>
      </c>
      <c r="BH722" s="229">
        <f t="shared" si="680"/>
        <v>0</v>
      </c>
      <c r="BI722" s="234" cm="1">
        <f t="array" ref="BI722">K722/IF($L722&gt;0, INDEX($AU$23:$BA$77, $L722+20, $AH722), 1)</f>
        <v>0</v>
      </c>
      <c r="BJ722" s="230">
        <f t="shared" si="692"/>
        <v>0</v>
      </c>
      <c r="BK722" s="229">
        <v>35</v>
      </c>
      <c r="BL722" s="230">
        <f t="shared" si="693"/>
        <v>48</v>
      </c>
      <c r="BM722" s="235">
        <f t="shared" si="694"/>
        <v>2.9108720930232557</v>
      </c>
      <c r="BN722" s="235" cm="1">
        <f t="array" ref="BN722">$BI722 * SUMPRODUCT(INDEX($AR$77:$AT$82,,$AI722),INDEX($AU$77:$BA$82,,$AH722), N($AQ$77:$AQ$82&gt;$AO722)) / BM722 / 1000</f>
        <v>0</v>
      </c>
      <c r="BO722" s="232">
        <f t="shared" si="681"/>
        <v>30</v>
      </c>
      <c r="BP722" s="230">
        <f t="shared" si="695"/>
        <v>43</v>
      </c>
      <c r="BQ722" s="235">
        <f t="shared" si="696"/>
        <v>3.2938815789473681</v>
      </c>
      <c r="BR722" s="235" cm="1">
        <f t="array" ref="BR722">$BI722 * IF($AH722&lt;=2,
SUMPRODUCT(INDEX($AR$72:$AT$76,,$AI722), INDEX($AU$72:$BA$76,,$AH722), 1 / ($BB$72:$BB$76*BQ722 + (1-$BB$72:$BB$76)*BM722), N($AQ$72:$AQ$76&gt;$AO722)),
SUMPRODUCT(INDEX($AR$67:$AT$76,,$AI722), INDEX($AU$67:$BA$76,,$AH722), 1 / ($BC$67:$BC$76*BQ722 + (1-$BC$67:$BC$76)*BM722), N($AQ$67:$AQ$76&gt;$AO722))
) / 1000</f>
        <v>0</v>
      </c>
      <c r="BS722" s="232">
        <f t="shared" si="682"/>
        <v>25</v>
      </c>
      <c r="BT722" s="230">
        <f t="shared" si="697"/>
        <v>38</v>
      </c>
      <c r="BU722" s="235">
        <f t="shared" si="698"/>
        <v>3.792954545454545</v>
      </c>
      <c r="BV722" s="235" cm="1">
        <f t="array" ref="BV722">$BI722 * IF($AH722&lt;=2,
SUMPRODUCT(INDEX($AR$67:$AT$71,,$AI722), INDEX($AU$67:$BA$71,,$AH722), 1 / ($BB$67:$BB$71*BU722 + (1-$BB$67:$BB$71)*BQ722), N($AQ$67:$AQ$71&gt;$AO722)),
SUMPRODUCT(INDEX($AR$57:$AT$66,,$AI722), INDEX($AU$57:$BA$66,,$AH722), 1 / ($BC$57:$BC$66*BU722 + (1-$BC$57:$BC$66)*BQ722), N($AQ$57:$AQ$66&gt;$AO722))
) / 1000</f>
        <v>0</v>
      </c>
      <c r="BW722" s="232">
        <f t="shared" si="683"/>
        <v>20</v>
      </c>
      <c r="BX722" s="230">
        <f t="shared" si="699"/>
        <v>33</v>
      </c>
      <c r="BY722" s="235">
        <f t="shared" si="700"/>
        <v>4.4702678571428569</v>
      </c>
      <c r="BZ722" s="235" cm="1">
        <f t="array" ref="BZ722">$BI722 * IF($AH722&lt;=2,
SUMPRODUCT(INDEX($AR$62:$AT$66,,$AI722), INDEX($AU$62:$BA$66,,$AH722), 1 / ($BB$62:$BB$66*BY722 + (1-$BB$62:$BB$66)*BU722), N($AQ$62:$AQ$66&gt;$AO722)),
SUMPRODUCT(INDEX($AR$47:$AT$56,,$AI722), INDEX($AU$47:$BA$56,,$AH722), 1 / ($BC$47:$BC$56*BY722 + (1-$BC$47:$BC$56)*BU722), N($AQ$47:$AQ$56&gt;$AO722))
) / 1000</f>
        <v>0</v>
      </c>
      <c r="CA722" s="235" cm="1">
        <f t="array" ref="CA722">$BI722 * IF($AH722&lt;=2,
SUMPRODUCT(INDEX($AR$23:$AT$61,,$AI722), INDEX($AU$23:$BA$61,,$AH722), 1 / ($BB$23:$BB$61*BY722), N($AQ$23:$AQ$61&gt;$AO722)),
SUMPRODUCT(INDEX($AR$23:$AT$46,,$AI722), INDEX($AU$23:$BA$46,,$AH722), 1 / ($BC$23:$BC$46*BY722), N($AQ$23:$AQ$46&gt;$AO722))
) / 1000</f>
        <v>0</v>
      </c>
      <c r="CB722" s="230">
        <f t="shared" si="701"/>
        <v>0</v>
      </c>
      <c r="CC722" s="238"/>
      <c r="CD722" s="229" cm="1">
        <f t="array" ref="CD722">IF(ISBLANK(Y722), INDEX(Use, $AH722, 4) - AN722*INDEX(Use, $AH722, 6) - (Q722-X722), Y722)</f>
        <v>7</v>
      </c>
      <c r="CE722" s="229">
        <f t="shared" si="702"/>
        <v>32</v>
      </c>
      <c r="CF722" s="230">
        <f t="shared" si="703"/>
        <v>0</v>
      </c>
      <c r="CG722" s="229">
        <v>35</v>
      </c>
      <c r="CH722" s="230">
        <f t="shared" si="704"/>
        <v>48</v>
      </c>
      <c r="CI722" s="235">
        <f t="shared" si="705"/>
        <v>3.0748170731707316</v>
      </c>
      <c r="CJ722" s="235" cm="1">
        <f t="array" ref="CJ722">$BI722 * SUMPRODUCT(INDEX($AR$77:$AT$82,,$AI722),INDEX($AU$77:$BA$82,,$AH722), N($AQ$77:$AQ$82&gt;$AO722)) / CI722 / 1000</f>
        <v>0</v>
      </c>
      <c r="CK722" s="232">
        <f t="shared" si="684"/>
        <v>30</v>
      </c>
      <c r="CL722" s="230">
        <f t="shared" si="706"/>
        <v>43</v>
      </c>
      <c r="CM722" s="235">
        <f t="shared" si="707"/>
        <v>3.5018750000000001</v>
      </c>
      <c r="CN722" s="235" cm="1">
        <f t="array" ref="CN722">$BI722 * IF($AH722&lt;=2,
SUMPRODUCT(INDEX($AR$72:$AT$76,,$AI722), INDEX($AU$72:$BA$76,,$AH722), 1 / ($BB$72:$BB$76*CM722 + (1-$BB$72:$BB$76)*CI722), N($AQ$72:$AQ$76&gt;$AO722)),
SUMPRODUCT(INDEX($AR$67:$AT$76,,$AI722), INDEX($AU$67:$BA$76,,$AH722), 1 / ($BC$67:$BC$76*CM722 + (1-$BC$67:$BC$76)*CI722), N($AQ$67:$AQ$76&gt;$AO722))
) / 1000</f>
        <v>0</v>
      </c>
      <c r="CO722" s="232">
        <f t="shared" si="685"/>
        <v>25</v>
      </c>
      <c r="CP722" s="230">
        <f t="shared" si="708"/>
        <v>38</v>
      </c>
      <c r="CQ722" s="235">
        <f t="shared" si="709"/>
        <v>4.0666935483870965</v>
      </c>
      <c r="CR722" s="235" cm="1">
        <f t="array" ref="CR722">$BI722 * IF($AH722&lt;=2,
SUMPRODUCT(INDEX($AR$67:$AT$71,,$AI722), INDEX($AU$67:$BA$71,,$AH722), 1 / ($BB$67:$BB$71*CQ722 + (1-$BB$67:$BB$71)*CM722), N($AQ$67:$AQ$71&gt;$AO722)),
SUMPRODUCT(INDEX($AR$57:$AT$66,,$AI722), INDEX($AU$57:$BA$66,,$AH722), 1 / ($BC$57:$BC$66*CQ722 + (1-$BC$57:$BC$66)*CM722), N($AQ$57:$AQ$66&gt;$AO722))
) / 1000</f>
        <v>0</v>
      </c>
      <c r="CS722" s="232">
        <f t="shared" si="686"/>
        <v>20</v>
      </c>
      <c r="CT722" s="230">
        <f t="shared" si="710"/>
        <v>33</v>
      </c>
      <c r="CU722" s="235">
        <f t="shared" si="711"/>
        <v>4.8487499999999999</v>
      </c>
      <c r="CV722" s="235" cm="1">
        <f t="array" ref="CV722">$BI722 * IF($AH722&lt;=2,
SUMPRODUCT(INDEX($AR$62:$AT$66,,$AI722), INDEX($AU$62:$BA$66,,$AH722), 1 / ($BB$62:$BB$66*CU722 + (1-$BB$62:$BB$66)*CQ722), N($AQ$62:$AQ$66&gt;$AO722)),
SUMPRODUCT(INDEX($AR$47:$AT$56,,$AI722), INDEX($AU$47:$BA$56,,$AH722), 1 / ($BC$47:$BC$56*CU722 + (1-$BC$47:$BC$56)*CQ722), N($AQ$47:$AQ$56&gt;$AO722))
) / 1000</f>
        <v>0</v>
      </c>
      <c r="CW722" s="235" cm="1">
        <f t="array" ref="CW722">$BI722 * IF($AH722&lt;=2,
SUMPRODUCT(INDEX($AR$23:$AT$61,,$AI722), INDEX($AU$23:$BA$61,,$AH722), 1 / ($BB$23:$BB$61*CU722), N($AQ$23:$AQ$61&gt;$AO722)),
SUMPRODUCT(INDEX($AR$23:$AT$46,,$AI722), INDEX($AU$23:$BA$46,,$AH722), 1 / ($BC$23:$BC$46*CU722), N($AQ$23:$AQ$46&gt;$AO722))
) / 1000</f>
        <v>0</v>
      </c>
      <c r="CX722" s="230">
        <f t="shared" si="712"/>
        <v>0</v>
      </c>
      <c r="CY722" s="238"/>
    </row>
    <row r="723" spans="1:103" s="76" customFormat="1" ht="14.25" customHeight="1" x14ac:dyDescent="0.2">
      <c r="A723" s="231" t="b">
        <f t="shared" si="678"/>
        <v>0</v>
      </c>
      <c r="B723" s="245">
        <v>701</v>
      </c>
      <c r="C723" s="258"/>
      <c r="D723" s="258"/>
      <c r="E723" s="246"/>
      <c r="F723" s="247" t="str">
        <f>IF(ISBLANK(E723), "", VLOOKUP(E723, Z!$A$2:$C$4127, 3, FALSE))</f>
        <v/>
      </c>
      <c r="G723" s="248"/>
      <c r="H723" s="248"/>
      <c r="I723" s="249"/>
      <c r="J723" s="250"/>
      <c r="K723" s="259"/>
      <c r="L723" s="260"/>
      <c r="M723" s="252" t="str" cm="1">
        <f t="array" ref="M723">INDEX(Trad, 53, $A$20)</f>
        <v>Verschmutzt</v>
      </c>
      <c r="N723" s="253"/>
      <c r="O723" s="253"/>
      <c r="P723" s="254"/>
      <c r="Q723" s="251"/>
      <c r="R723" s="251"/>
      <c r="S723" s="264">
        <f t="shared" si="687"/>
        <v>0</v>
      </c>
      <c r="T723" s="252" t="str" cm="1">
        <f t="array" ref="T723">INDEX(Trad, 52, $A$20)</f>
        <v>Sauber</v>
      </c>
      <c r="U723" s="253"/>
      <c r="V723" s="253"/>
      <c r="W723" s="254"/>
      <c r="X723" s="251"/>
      <c r="Y723" s="251"/>
      <c r="Z723" s="264">
        <f t="shared" si="688"/>
        <v>0</v>
      </c>
      <c r="AA723" s="261"/>
      <c r="AB723" s="258"/>
      <c r="AC723" s="246"/>
      <c r="AD723" s="247" t="str">
        <f>IF(ISBLANK(AC723), "", VLOOKUP(AC723, Z!$A$2:$C$4127, 3, FALSE))</f>
        <v/>
      </c>
      <c r="AE723" s="262"/>
      <c r="AF723" s="263">
        <f t="shared" si="689"/>
        <v>0</v>
      </c>
      <c r="AG723" s="238"/>
      <c r="AH723" s="229">
        <f t="shared" si="713"/>
        <v>1</v>
      </c>
      <c r="AI723" s="229">
        <f t="shared" si="714"/>
        <v>1</v>
      </c>
      <c r="AJ723" s="229">
        <f t="shared" si="715"/>
        <v>0</v>
      </c>
      <c r="AK723" s="229">
        <v>0</v>
      </c>
      <c r="AL723" s="229">
        <v>0</v>
      </c>
      <c r="AM723" s="229">
        <v>1</v>
      </c>
      <c r="AN723" s="229">
        <v>0</v>
      </c>
      <c r="AO723" s="229">
        <f t="shared" si="690"/>
        <v>-100</v>
      </c>
      <c r="AP723" s="238"/>
      <c r="AQ723" s="255"/>
      <c r="AR723" s="255"/>
      <c r="AS723" s="256"/>
      <c r="AT723" s="256"/>
      <c r="AU723" s="256"/>
      <c r="AV723" s="256"/>
      <c r="AW723" s="256"/>
      <c r="AX723" s="256"/>
      <c r="AY723" s="256"/>
      <c r="AZ723" s="256"/>
      <c r="BA723" s="256"/>
      <c r="BB723" s="256"/>
      <c r="BC723" s="256"/>
      <c r="BD723" s="238"/>
      <c r="BE723" s="229" cm="1">
        <f t="array" ref="BE723">IF(ISBLANK(R723), INDEX(Use, $AH723, 4) - AM723*INDEX(Use, $AH723, 6), R723)</f>
        <v>5</v>
      </c>
      <c r="BF723" s="229">
        <f t="shared" si="691"/>
        <v>30</v>
      </c>
      <c r="BG723" s="229">
        <f t="shared" si="679"/>
        <v>13</v>
      </c>
      <c r="BH723" s="229">
        <f t="shared" si="680"/>
        <v>0</v>
      </c>
      <c r="BI723" s="234" cm="1">
        <f t="array" ref="BI723">K723/IF($L723&gt;0, INDEX($AU$23:$BA$77, $L723+20, $AH723), 1)</f>
        <v>0</v>
      </c>
      <c r="BJ723" s="230">
        <f t="shared" si="692"/>
        <v>0</v>
      </c>
      <c r="BK723" s="229">
        <v>35</v>
      </c>
      <c r="BL723" s="230">
        <f t="shared" si="693"/>
        <v>48</v>
      </c>
      <c r="BM723" s="235">
        <f t="shared" si="694"/>
        <v>2.9108720930232557</v>
      </c>
      <c r="BN723" s="235" cm="1">
        <f t="array" ref="BN723">$BI723 * SUMPRODUCT(INDEX($AR$77:$AT$82,,$AI723),INDEX($AU$77:$BA$82,,$AH723), N($AQ$77:$AQ$82&gt;$AO723)) / BM723 / 1000</f>
        <v>0</v>
      </c>
      <c r="BO723" s="232">
        <f t="shared" si="681"/>
        <v>30</v>
      </c>
      <c r="BP723" s="230">
        <f t="shared" si="695"/>
        <v>43</v>
      </c>
      <c r="BQ723" s="235">
        <f t="shared" si="696"/>
        <v>3.2938815789473681</v>
      </c>
      <c r="BR723" s="235" cm="1">
        <f t="array" ref="BR723">$BI723 * IF($AH723&lt;=2,
SUMPRODUCT(INDEX($AR$72:$AT$76,,$AI723), INDEX($AU$72:$BA$76,,$AH723), 1 / ($BB$72:$BB$76*BQ723 + (1-$BB$72:$BB$76)*BM723), N($AQ$72:$AQ$76&gt;$AO723)),
SUMPRODUCT(INDEX($AR$67:$AT$76,,$AI723), INDEX($AU$67:$BA$76,,$AH723), 1 / ($BC$67:$BC$76*BQ723 + (1-$BC$67:$BC$76)*BM723), N($AQ$67:$AQ$76&gt;$AO723))
) / 1000</f>
        <v>0</v>
      </c>
      <c r="BS723" s="232">
        <f t="shared" si="682"/>
        <v>25</v>
      </c>
      <c r="BT723" s="230">
        <f t="shared" si="697"/>
        <v>38</v>
      </c>
      <c r="BU723" s="235">
        <f t="shared" si="698"/>
        <v>3.792954545454545</v>
      </c>
      <c r="BV723" s="235" cm="1">
        <f t="array" ref="BV723">$BI723 * IF($AH723&lt;=2,
SUMPRODUCT(INDEX($AR$67:$AT$71,,$AI723), INDEX($AU$67:$BA$71,,$AH723), 1 / ($BB$67:$BB$71*BU723 + (1-$BB$67:$BB$71)*BQ723), N($AQ$67:$AQ$71&gt;$AO723)),
SUMPRODUCT(INDEX($AR$57:$AT$66,,$AI723), INDEX($AU$57:$BA$66,,$AH723), 1 / ($BC$57:$BC$66*BU723 + (1-$BC$57:$BC$66)*BQ723), N($AQ$57:$AQ$66&gt;$AO723))
) / 1000</f>
        <v>0</v>
      </c>
      <c r="BW723" s="232">
        <f t="shared" si="683"/>
        <v>20</v>
      </c>
      <c r="BX723" s="230">
        <f t="shared" si="699"/>
        <v>33</v>
      </c>
      <c r="BY723" s="235">
        <f t="shared" si="700"/>
        <v>4.4702678571428569</v>
      </c>
      <c r="BZ723" s="235" cm="1">
        <f t="array" ref="BZ723">$BI723 * IF($AH723&lt;=2,
SUMPRODUCT(INDEX($AR$62:$AT$66,,$AI723), INDEX($AU$62:$BA$66,,$AH723), 1 / ($BB$62:$BB$66*BY723 + (1-$BB$62:$BB$66)*BU723), N($AQ$62:$AQ$66&gt;$AO723)),
SUMPRODUCT(INDEX($AR$47:$AT$56,,$AI723), INDEX($AU$47:$BA$56,,$AH723), 1 / ($BC$47:$BC$56*BY723 + (1-$BC$47:$BC$56)*BU723), N($AQ$47:$AQ$56&gt;$AO723))
) / 1000</f>
        <v>0</v>
      </c>
      <c r="CA723" s="235" cm="1">
        <f t="array" ref="CA723">$BI723 * IF($AH723&lt;=2,
SUMPRODUCT(INDEX($AR$23:$AT$61,,$AI723), INDEX($AU$23:$BA$61,,$AH723), 1 / ($BB$23:$BB$61*BY723), N($AQ$23:$AQ$61&gt;$AO723)),
SUMPRODUCT(INDEX($AR$23:$AT$46,,$AI723), INDEX($AU$23:$BA$46,,$AH723), 1 / ($BC$23:$BC$46*BY723), N($AQ$23:$AQ$46&gt;$AO723))
) / 1000</f>
        <v>0</v>
      </c>
      <c r="CB723" s="230">
        <f t="shared" si="701"/>
        <v>0</v>
      </c>
      <c r="CC723" s="238"/>
      <c r="CD723" s="229" cm="1">
        <f t="array" ref="CD723">IF(ISBLANK(Y723), INDEX(Use, $AH723, 4) - AN723*INDEX(Use, $AH723, 6) - (Q723-X723), Y723)</f>
        <v>7</v>
      </c>
      <c r="CE723" s="229">
        <f t="shared" si="702"/>
        <v>32</v>
      </c>
      <c r="CF723" s="230">
        <f t="shared" si="703"/>
        <v>0</v>
      </c>
      <c r="CG723" s="229">
        <v>35</v>
      </c>
      <c r="CH723" s="230">
        <f t="shared" si="704"/>
        <v>48</v>
      </c>
      <c r="CI723" s="235">
        <f t="shared" si="705"/>
        <v>3.0748170731707316</v>
      </c>
      <c r="CJ723" s="235" cm="1">
        <f t="array" ref="CJ723">$BI723 * SUMPRODUCT(INDEX($AR$77:$AT$82,,$AI723),INDEX($AU$77:$BA$82,,$AH723), N($AQ$77:$AQ$82&gt;$AO723)) / CI723 / 1000</f>
        <v>0</v>
      </c>
      <c r="CK723" s="232">
        <f t="shared" si="684"/>
        <v>30</v>
      </c>
      <c r="CL723" s="230">
        <f t="shared" si="706"/>
        <v>43</v>
      </c>
      <c r="CM723" s="235">
        <f t="shared" si="707"/>
        <v>3.5018750000000001</v>
      </c>
      <c r="CN723" s="235" cm="1">
        <f t="array" ref="CN723">$BI723 * IF($AH723&lt;=2,
SUMPRODUCT(INDEX($AR$72:$AT$76,,$AI723), INDEX($AU$72:$BA$76,,$AH723), 1 / ($BB$72:$BB$76*CM723 + (1-$BB$72:$BB$76)*CI723), N($AQ$72:$AQ$76&gt;$AO723)),
SUMPRODUCT(INDEX($AR$67:$AT$76,,$AI723), INDEX($AU$67:$BA$76,,$AH723), 1 / ($BC$67:$BC$76*CM723 + (1-$BC$67:$BC$76)*CI723), N($AQ$67:$AQ$76&gt;$AO723))
) / 1000</f>
        <v>0</v>
      </c>
      <c r="CO723" s="232">
        <f t="shared" si="685"/>
        <v>25</v>
      </c>
      <c r="CP723" s="230">
        <f t="shared" si="708"/>
        <v>38</v>
      </c>
      <c r="CQ723" s="235">
        <f t="shared" si="709"/>
        <v>4.0666935483870965</v>
      </c>
      <c r="CR723" s="235" cm="1">
        <f t="array" ref="CR723">$BI723 * IF($AH723&lt;=2,
SUMPRODUCT(INDEX($AR$67:$AT$71,,$AI723), INDEX($AU$67:$BA$71,,$AH723), 1 / ($BB$67:$BB$71*CQ723 + (1-$BB$67:$BB$71)*CM723), N($AQ$67:$AQ$71&gt;$AO723)),
SUMPRODUCT(INDEX($AR$57:$AT$66,,$AI723), INDEX($AU$57:$BA$66,,$AH723), 1 / ($BC$57:$BC$66*CQ723 + (1-$BC$57:$BC$66)*CM723), N($AQ$57:$AQ$66&gt;$AO723))
) / 1000</f>
        <v>0</v>
      </c>
      <c r="CS723" s="232">
        <f t="shared" si="686"/>
        <v>20</v>
      </c>
      <c r="CT723" s="230">
        <f t="shared" si="710"/>
        <v>33</v>
      </c>
      <c r="CU723" s="235">
        <f t="shared" si="711"/>
        <v>4.8487499999999999</v>
      </c>
      <c r="CV723" s="235" cm="1">
        <f t="array" ref="CV723">$BI723 * IF($AH723&lt;=2,
SUMPRODUCT(INDEX($AR$62:$AT$66,,$AI723), INDEX($AU$62:$BA$66,,$AH723), 1 / ($BB$62:$BB$66*CU723 + (1-$BB$62:$BB$66)*CQ723), N($AQ$62:$AQ$66&gt;$AO723)),
SUMPRODUCT(INDEX($AR$47:$AT$56,,$AI723), INDEX($AU$47:$BA$56,,$AH723), 1 / ($BC$47:$BC$56*CU723 + (1-$BC$47:$BC$56)*CQ723), N($AQ$47:$AQ$56&gt;$AO723))
) / 1000</f>
        <v>0</v>
      </c>
      <c r="CW723" s="235" cm="1">
        <f t="array" ref="CW723">$BI723 * IF($AH723&lt;=2,
SUMPRODUCT(INDEX($AR$23:$AT$61,,$AI723), INDEX($AU$23:$BA$61,,$AH723), 1 / ($BB$23:$BB$61*CU723), N($AQ$23:$AQ$61&gt;$AO723)),
SUMPRODUCT(INDEX($AR$23:$AT$46,,$AI723), INDEX($AU$23:$BA$46,,$AH723), 1 / ($BC$23:$BC$46*CU723), N($AQ$23:$AQ$46&gt;$AO723))
) / 1000</f>
        <v>0</v>
      </c>
      <c r="CX723" s="230">
        <f t="shared" si="712"/>
        <v>0</v>
      </c>
      <c r="CY723" s="238"/>
    </row>
    <row r="724" spans="1:103" s="76" customFormat="1" ht="14.25" customHeight="1" x14ac:dyDescent="0.2">
      <c r="A724" s="231" t="b">
        <f t="shared" si="678"/>
        <v>0</v>
      </c>
      <c r="B724" s="245">
        <v>702</v>
      </c>
      <c r="C724" s="258"/>
      <c r="D724" s="258"/>
      <c r="E724" s="246"/>
      <c r="F724" s="247" t="str">
        <f>IF(ISBLANK(E724), "", VLOOKUP(E724, Z!$A$2:$C$4127, 3, FALSE))</f>
        <v/>
      </c>
      <c r="G724" s="248"/>
      <c r="H724" s="248"/>
      <c r="I724" s="249"/>
      <c r="J724" s="250"/>
      <c r="K724" s="259"/>
      <c r="L724" s="260"/>
      <c r="M724" s="252" t="str" cm="1">
        <f t="array" ref="M724">INDEX(Trad, 53, $A$20)</f>
        <v>Verschmutzt</v>
      </c>
      <c r="N724" s="253"/>
      <c r="O724" s="253"/>
      <c r="P724" s="254"/>
      <c r="Q724" s="251"/>
      <c r="R724" s="251"/>
      <c r="S724" s="264">
        <f t="shared" si="687"/>
        <v>0</v>
      </c>
      <c r="T724" s="252" t="str" cm="1">
        <f t="array" ref="T724">INDEX(Trad, 52, $A$20)</f>
        <v>Sauber</v>
      </c>
      <c r="U724" s="253"/>
      <c r="V724" s="253"/>
      <c r="W724" s="254"/>
      <c r="X724" s="251"/>
      <c r="Y724" s="251"/>
      <c r="Z724" s="264">
        <f t="shared" si="688"/>
        <v>0</v>
      </c>
      <c r="AA724" s="261"/>
      <c r="AB724" s="258"/>
      <c r="AC724" s="246"/>
      <c r="AD724" s="247" t="str">
        <f>IF(ISBLANK(AC724), "", VLOOKUP(AC724, Z!$A$2:$C$4127, 3, FALSE))</f>
        <v/>
      </c>
      <c r="AE724" s="262"/>
      <c r="AF724" s="263">
        <f t="shared" si="689"/>
        <v>0</v>
      </c>
      <c r="AG724" s="238"/>
      <c r="AH724" s="229">
        <f t="shared" si="713"/>
        <v>1</v>
      </c>
      <c r="AI724" s="229">
        <f t="shared" si="714"/>
        <v>1</v>
      </c>
      <c r="AJ724" s="229">
        <f t="shared" si="715"/>
        <v>0</v>
      </c>
      <c r="AK724" s="229">
        <v>0</v>
      </c>
      <c r="AL724" s="229">
        <v>0</v>
      </c>
      <c r="AM724" s="229">
        <v>1</v>
      </c>
      <c r="AN724" s="229">
        <v>0</v>
      </c>
      <c r="AO724" s="229">
        <f t="shared" si="690"/>
        <v>-100</v>
      </c>
      <c r="AP724" s="238"/>
      <c r="AQ724" s="255"/>
      <c r="AR724" s="255"/>
      <c r="AS724" s="256"/>
      <c r="AT724" s="256"/>
      <c r="AU724" s="256"/>
      <c r="AV724" s="256"/>
      <c r="AW724" s="256"/>
      <c r="AX724" s="256"/>
      <c r="AY724" s="256"/>
      <c r="AZ724" s="256"/>
      <c r="BA724" s="256"/>
      <c r="BB724" s="256"/>
      <c r="BC724" s="256"/>
      <c r="BD724" s="238"/>
      <c r="BE724" s="229" cm="1">
        <f t="array" ref="BE724">IF(ISBLANK(R724), INDEX(Use, $AH724, 4) - AM724*INDEX(Use, $AH724, 6), R724)</f>
        <v>5</v>
      </c>
      <c r="BF724" s="229">
        <f t="shared" si="691"/>
        <v>30</v>
      </c>
      <c r="BG724" s="229">
        <f t="shared" si="679"/>
        <v>13</v>
      </c>
      <c r="BH724" s="229">
        <f t="shared" si="680"/>
        <v>0</v>
      </c>
      <c r="BI724" s="234" cm="1">
        <f t="array" ref="BI724">K724/IF($L724&gt;0, INDEX($AU$23:$BA$77, $L724+20, $AH724), 1)</f>
        <v>0</v>
      </c>
      <c r="BJ724" s="230">
        <f t="shared" si="692"/>
        <v>0</v>
      </c>
      <c r="BK724" s="229">
        <v>35</v>
      </c>
      <c r="BL724" s="230">
        <f t="shared" si="693"/>
        <v>48</v>
      </c>
      <c r="BM724" s="235">
        <f t="shared" si="694"/>
        <v>2.9108720930232557</v>
      </c>
      <c r="BN724" s="235" cm="1">
        <f t="array" ref="BN724">$BI724 * SUMPRODUCT(INDEX($AR$77:$AT$82,,$AI724),INDEX($AU$77:$BA$82,,$AH724), N($AQ$77:$AQ$82&gt;$AO724)) / BM724 / 1000</f>
        <v>0</v>
      </c>
      <c r="BO724" s="232">
        <f t="shared" si="681"/>
        <v>30</v>
      </c>
      <c r="BP724" s="230">
        <f t="shared" si="695"/>
        <v>43</v>
      </c>
      <c r="BQ724" s="235">
        <f t="shared" si="696"/>
        <v>3.2938815789473681</v>
      </c>
      <c r="BR724" s="235" cm="1">
        <f t="array" ref="BR724">$BI724 * IF($AH724&lt;=2,
SUMPRODUCT(INDEX($AR$72:$AT$76,,$AI724), INDEX($AU$72:$BA$76,,$AH724), 1 / ($BB$72:$BB$76*BQ724 + (1-$BB$72:$BB$76)*BM724), N($AQ$72:$AQ$76&gt;$AO724)),
SUMPRODUCT(INDEX($AR$67:$AT$76,,$AI724), INDEX($AU$67:$BA$76,,$AH724), 1 / ($BC$67:$BC$76*BQ724 + (1-$BC$67:$BC$76)*BM724), N($AQ$67:$AQ$76&gt;$AO724))
) / 1000</f>
        <v>0</v>
      </c>
      <c r="BS724" s="232">
        <f t="shared" si="682"/>
        <v>25</v>
      </c>
      <c r="BT724" s="230">
        <f t="shared" si="697"/>
        <v>38</v>
      </c>
      <c r="BU724" s="235">
        <f t="shared" si="698"/>
        <v>3.792954545454545</v>
      </c>
      <c r="BV724" s="235" cm="1">
        <f t="array" ref="BV724">$BI724 * IF($AH724&lt;=2,
SUMPRODUCT(INDEX($AR$67:$AT$71,,$AI724), INDEX($AU$67:$BA$71,,$AH724), 1 / ($BB$67:$BB$71*BU724 + (1-$BB$67:$BB$71)*BQ724), N($AQ$67:$AQ$71&gt;$AO724)),
SUMPRODUCT(INDEX($AR$57:$AT$66,,$AI724), INDEX($AU$57:$BA$66,,$AH724), 1 / ($BC$57:$BC$66*BU724 + (1-$BC$57:$BC$66)*BQ724), N($AQ$57:$AQ$66&gt;$AO724))
) / 1000</f>
        <v>0</v>
      </c>
      <c r="BW724" s="232">
        <f t="shared" si="683"/>
        <v>20</v>
      </c>
      <c r="BX724" s="230">
        <f t="shared" si="699"/>
        <v>33</v>
      </c>
      <c r="BY724" s="235">
        <f t="shared" si="700"/>
        <v>4.4702678571428569</v>
      </c>
      <c r="BZ724" s="235" cm="1">
        <f t="array" ref="BZ724">$BI724 * IF($AH724&lt;=2,
SUMPRODUCT(INDEX($AR$62:$AT$66,,$AI724), INDEX($AU$62:$BA$66,,$AH724), 1 / ($BB$62:$BB$66*BY724 + (1-$BB$62:$BB$66)*BU724), N($AQ$62:$AQ$66&gt;$AO724)),
SUMPRODUCT(INDEX($AR$47:$AT$56,,$AI724), INDEX($AU$47:$BA$56,,$AH724), 1 / ($BC$47:$BC$56*BY724 + (1-$BC$47:$BC$56)*BU724), N($AQ$47:$AQ$56&gt;$AO724))
) / 1000</f>
        <v>0</v>
      </c>
      <c r="CA724" s="235" cm="1">
        <f t="array" ref="CA724">$BI724 * IF($AH724&lt;=2,
SUMPRODUCT(INDEX($AR$23:$AT$61,,$AI724), INDEX($AU$23:$BA$61,,$AH724), 1 / ($BB$23:$BB$61*BY724), N($AQ$23:$AQ$61&gt;$AO724)),
SUMPRODUCT(INDEX($AR$23:$AT$46,,$AI724), INDEX($AU$23:$BA$46,,$AH724), 1 / ($BC$23:$BC$46*BY724), N($AQ$23:$AQ$46&gt;$AO724))
) / 1000</f>
        <v>0</v>
      </c>
      <c r="CB724" s="230">
        <f t="shared" si="701"/>
        <v>0</v>
      </c>
      <c r="CC724" s="238"/>
      <c r="CD724" s="229" cm="1">
        <f t="array" ref="CD724">IF(ISBLANK(Y724), INDEX(Use, $AH724, 4) - AN724*INDEX(Use, $AH724, 6) - (Q724-X724), Y724)</f>
        <v>7</v>
      </c>
      <c r="CE724" s="229">
        <f t="shared" si="702"/>
        <v>32</v>
      </c>
      <c r="CF724" s="230">
        <f t="shared" si="703"/>
        <v>0</v>
      </c>
      <c r="CG724" s="229">
        <v>35</v>
      </c>
      <c r="CH724" s="230">
        <f t="shared" si="704"/>
        <v>48</v>
      </c>
      <c r="CI724" s="235">
        <f t="shared" si="705"/>
        <v>3.0748170731707316</v>
      </c>
      <c r="CJ724" s="235" cm="1">
        <f t="array" ref="CJ724">$BI724 * SUMPRODUCT(INDEX($AR$77:$AT$82,,$AI724),INDEX($AU$77:$BA$82,,$AH724), N($AQ$77:$AQ$82&gt;$AO724)) / CI724 / 1000</f>
        <v>0</v>
      </c>
      <c r="CK724" s="232">
        <f t="shared" si="684"/>
        <v>30</v>
      </c>
      <c r="CL724" s="230">
        <f t="shared" si="706"/>
        <v>43</v>
      </c>
      <c r="CM724" s="235">
        <f t="shared" si="707"/>
        <v>3.5018750000000001</v>
      </c>
      <c r="CN724" s="235" cm="1">
        <f t="array" ref="CN724">$BI724 * IF($AH724&lt;=2,
SUMPRODUCT(INDEX($AR$72:$AT$76,,$AI724), INDEX($AU$72:$BA$76,,$AH724), 1 / ($BB$72:$BB$76*CM724 + (1-$BB$72:$BB$76)*CI724), N($AQ$72:$AQ$76&gt;$AO724)),
SUMPRODUCT(INDEX($AR$67:$AT$76,,$AI724), INDEX($AU$67:$BA$76,,$AH724), 1 / ($BC$67:$BC$76*CM724 + (1-$BC$67:$BC$76)*CI724), N($AQ$67:$AQ$76&gt;$AO724))
) / 1000</f>
        <v>0</v>
      </c>
      <c r="CO724" s="232">
        <f t="shared" si="685"/>
        <v>25</v>
      </c>
      <c r="CP724" s="230">
        <f t="shared" si="708"/>
        <v>38</v>
      </c>
      <c r="CQ724" s="235">
        <f t="shared" si="709"/>
        <v>4.0666935483870965</v>
      </c>
      <c r="CR724" s="235" cm="1">
        <f t="array" ref="CR724">$BI724 * IF($AH724&lt;=2,
SUMPRODUCT(INDEX($AR$67:$AT$71,,$AI724), INDEX($AU$67:$BA$71,,$AH724), 1 / ($BB$67:$BB$71*CQ724 + (1-$BB$67:$BB$71)*CM724), N($AQ$67:$AQ$71&gt;$AO724)),
SUMPRODUCT(INDEX($AR$57:$AT$66,,$AI724), INDEX($AU$57:$BA$66,,$AH724), 1 / ($BC$57:$BC$66*CQ724 + (1-$BC$57:$BC$66)*CM724), N($AQ$57:$AQ$66&gt;$AO724))
) / 1000</f>
        <v>0</v>
      </c>
      <c r="CS724" s="232">
        <f t="shared" si="686"/>
        <v>20</v>
      </c>
      <c r="CT724" s="230">
        <f t="shared" si="710"/>
        <v>33</v>
      </c>
      <c r="CU724" s="235">
        <f t="shared" si="711"/>
        <v>4.8487499999999999</v>
      </c>
      <c r="CV724" s="235" cm="1">
        <f t="array" ref="CV724">$BI724 * IF($AH724&lt;=2,
SUMPRODUCT(INDEX($AR$62:$AT$66,,$AI724), INDEX($AU$62:$BA$66,,$AH724), 1 / ($BB$62:$BB$66*CU724 + (1-$BB$62:$BB$66)*CQ724), N($AQ$62:$AQ$66&gt;$AO724)),
SUMPRODUCT(INDEX($AR$47:$AT$56,,$AI724), INDEX($AU$47:$BA$56,,$AH724), 1 / ($BC$47:$BC$56*CU724 + (1-$BC$47:$BC$56)*CQ724), N($AQ$47:$AQ$56&gt;$AO724))
) / 1000</f>
        <v>0</v>
      </c>
      <c r="CW724" s="235" cm="1">
        <f t="array" ref="CW724">$BI724 * IF($AH724&lt;=2,
SUMPRODUCT(INDEX($AR$23:$AT$61,,$AI724), INDEX($AU$23:$BA$61,,$AH724), 1 / ($BB$23:$BB$61*CU724), N($AQ$23:$AQ$61&gt;$AO724)),
SUMPRODUCT(INDEX($AR$23:$AT$46,,$AI724), INDEX($AU$23:$BA$46,,$AH724), 1 / ($BC$23:$BC$46*CU724), N($AQ$23:$AQ$46&gt;$AO724))
) / 1000</f>
        <v>0</v>
      </c>
      <c r="CX724" s="230">
        <f t="shared" si="712"/>
        <v>0</v>
      </c>
      <c r="CY724" s="238"/>
    </row>
    <row r="725" spans="1:103" s="76" customFormat="1" ht="14.25" customHeight="1" x14ac:dyDescent="0.2">
      <c r="A725" s="231" t="b">
        <f t="shared" si="678"/>
        <v>0</v>
      </c>
      <c r="B725" s="245">
        <v>703</v>
      </c>
      <c r="C725" s="258"/>
      <c r="D725" s="258"/>
      <c r="E725" s="246"/>
      <c r="F725" s="247" t="str">
        <f>IF(ISBLANK(E725), "", VLOOKUP(E725, Z!$A$2:$C$4127, 3, FALSE))</f>
        <v/>
      </c>
      <c r="G725" s="248"/>
      <c r="H725" s="248"/>
      <c r="I725" s="249"/>
      <c r="J725" s="250"/>
      <c r="K725" s="259"/>
      <c r="L725" s="260"/>
      <c r="M725" s="252" t="str" cm="1">
        <f t="array" ref="M725">INDEX(Trad, 53, $A$20)</f>
        <v>Verschmutzt</v>
      </c>
      <c r="N725" s="253"/>
      <c r="O725" s="253"/>
      <c r="P725" s="254"/>
      <c r="Q725" s="251"/>
      <c r="R725" s="251"/>
      <c r="S725" s="264">
        <f t="shared" si="687"/>
        <v>0</v>
      </c>
      <c r="T725" s="252" t="str" cm="1">
        <f t="array" ref="T725">INDEX(Trad, 52, $A$20)</f>
        <v>Sauber</v>
      </c>
      <c r="U725" s="253"/>
      <c r="V725" s="253"/>
      <c r="W725" s="254"/>
      <c r="X725" s="251"/>
      <c r="Y725" s="251"/>
      <c r="Z725" s="264">
        <f t="shared" si="688"/>
        <v>0</v>
      </c>
      <c r="AA725" s="261"/>
      <c r="AB725" s="258"/>
      <c r="AC725" s="246"/>
      <c r="AD725" s="247" t="str">
        <f>IF(ISBLANK(AC725), "", VLOOKUP(AC725, Z!$A$2:$C$4127, 3, FALSE))</f>
        <v/>
      </c>
      <c r="AE725" s="262"/>
      <c r="AF725" s="263">
        <f t="shared" si="689"/>
        <v>0</v>
      </c>
      <c r="AG725" s="238"/>
      <c r="AH725" s="229">
        <f t="shared" si="713"/>
        <v>1</v>
      </c>
      <c r="AI725" s="229">
        <f t="shared" si="714"/>
        <v>1</v>
      </c>
      <c r="AJ725" s="229">
        <f t="shared" si="715"/>
        <v>0</v>
      </c>
      <c r="AK725" s="229">
        <v>0</v>
      </c>
      <c r="AL725" s="229">
        <v>0</v>
      </c>
      <c r="AM725" s="229">
        <v>1</v>
      </c>
      <c r="AN725" s="229">
        <v>0</v>
      </c>
      <c r="AO725" s="229">
        <f t="shared" si="690"/>
        <v>-100</v>
      </c>
      <c r="AP725" s="238"/>
      <c r="AQ725" s="255"/>
      <c r="AR725" s="255"/>
      <c r="AS725" s="256"/>
      <c r="AT725" s="256"/>
      <c r="AU725" s="256"/>
      <c r="AV725" s="256"/>
      <c r="AW725" s="256"/>
      <c r="AX725" s="256"/>
      <c r="AY725" s="256"/>
      <c r="AZ725" s="256"/>
      <c r="BA725" s="256"/>
      <c r="BB725" s="256"/>
      <c r="BC725" s="256"/>
      <c r="BD725" s="238"/>
      <c r="BE725" s="229" cm="1">
        <f t="array" ref="BE725">IF(ISBLANK(R725), INDEX(Use, $AH725, 4) - AM725*INDEX(Use, $AH725, 6), R725)</f>
        <v>5</v>
      </c>
      <c r="BF725" s="229">
        <f t="shared" si="691"/>
        <v>30</v>
      </c>
      <c r="BG725" s="229">
        <f t="shared" si="679"/>
        <v>13</v>
      </c>
      <c r="BH725" s="229">
        <f t="shared" si="680"/>
        <v>0</v>
      </c>
      <c r="BI725" s="234" cm="1">
        <f t="array" ref="BI725">K725/IF($L725&gt;0, INDEX($AU$23:$BA$77, $L725+20, $AH725), 1)</f>
        <v>0</v>
      </c>
      <c r="BJ725" s="230">
        <f t="shared" si="692"/>
        <v>0</v>
      </c>
      <c r="BK725" s="229">
        <v>35</v>
      </c>
      <c r="BL725" s="230">
        <f t="shared" si="693"/>
        <v>48</v>
      </c>
      <c r="BM725" s="235">
        <f t="shared" si="694"/>
        <v>2.9108720930232557</v>
      </c>
      <c r="BN725" s="235" cm="1">
        <f t="array" ref="BN725">$BI725 * SUMPRODUCT(INDEX($AR$77:$AT$82,,$AI725),INDEX($AU$77:$BA$82,,$AH725), N($AQ$77:$AQ$82&gt;$AO725)) / BM725 / 1000</f>
        <v>0</v>
      </c>
      <c r="BO725" s="232">
        <f t="shared" si="681"/>
        <v>30</v>
      </c>
      <c r="BP725" s="230">
        <f t="shared" si="695"/>
        <v>43</v>
      </c>
      <c r="BQ725" s="235">
        <f t="shared" si="696"/>
        <v>3.2938815789473681</v>
      </c>
      <c r="BR725" s="235" cm="1">
        <f t="array" ref="BR725">$BI725 * IF($AH725&lt;=2,
SUMPRODUCT(INDEX($AR$72:$AT$76,,$AI725), INDEX($AU$72:$BA$76,,$AH725), 1 / ($BB$72:$BB$76*BQ725 + (1-$BB$72:$BB$76)*BM725), N($AQ$72:$AQ$76&gt;$AO725)),
SUMPRODUCT(INDEX($AR$67:$AT$76,,$AI725), INDEX($AU$67:$BA$76,,$AH725), 1 / ($BC$67:$BC$76*BQ725 + (1-$BC$67:$BC$76)*BM725), N($AQ$67:$AQ$76&gt;$AO725))
) / 1000</f>
        <v>0</v>
      </c>
      <c r="BS725" s="232">
        <f t="shared" si="682"/>
        <v>25</v>
      </c>
      <c r="BT725" s="230">
        <f t="shared" si="697"/>
        <v>38</v>
      </c>
      <c r="BU725" s="235">
        <f t="shared" si="698"/>
        <v>3.792954545454545</v>
      </c>
      <c r="BV725" s="235" cm="1">
        <f t="array" ref="BV725">$BI725 * IF($AH725&lt;=2,
SUMPRODUCT(INDEX($AR$67:$AT$71,,$AI725), INDEX($AU$67:$BA$71,,$AH725), 1 / ($BB$67:$BB$71*BU725 + (1-$BB$67:$BB$71)*BQ725), N($AQ$67:$AQ$71&gt;$AO725)),
SUMPRODUCT(INDEX($AR$57:$AT$66,,$AI725), INDEX($AU$57:$BA$66,,$AH725), 1 / ($BC$57:$BC$66*BU725 + (1-$BC$57:$BC$66)*BQ725), N($AQ$57:$AQ$66&gt;$AO725))
) / 1000</f>
        <v>0</v>
      </c>
      <c r="BW725" s="232">
        <f t="shared" si="683"/>
        <v>20</v>
      </c>
      <c r="BX725" s="230">
        <f t="shared" si="699"/>
        <v>33</v>
      </c>
      <c r="BY725" s="235">
        <f t="shared" si="700"/>
        <v>4.4702678571428569</v>
      </c>
      <c r="BZ725" s="235" cm="1">
        <f t="array" ref="BZ725">$BI725 * IF($AH725&lt;=2,
SUMPRODUCT(INDEX($AR$62:$AT$66,,$AI725), INDEX($AU$62:$BA$66,,$AH725), 1 / ($BB$62:$BB$66*BY725 + (1-$BB$62:$BB$66)*BU725), N($AQ$62:$AQ$66&gt;$AO725)),
SUMPRODUCT(INDEX($AR$47:$AT$56,,$AI725), INDEX($AU$47:$BA$56,,$AH725), 1 / ($BC$47:$BC$56*BY725 + (1-$BC$47:$BC$56)*BU725), N($AQ$47:$AQ$56&gt;$AO725))
) / 1000</f>
        <v>0</v>
      </c>
      <c r="CA725" s="235" cm="1">
        <f t="array" ref="CA725">$BI725 * IF($AH725&lt;=2,
SUMPRODUCT(INDEX($AR$23:$AT$61,,$AI725), INDEX($AU$23:$BA$61,,$AH725), 1 / ($BB$23:$BB$61*BY725), N($AQ$23:$AQ$61&gt;$AO725)),
SUMPRODUCT(INDEX($AR$23:$AT$46,,$AI725), INDEX($AU$23:$BA$46,,$AH725), 1 / ($BC$23:$BC$46*BY725), N($AQ$23:$AQ$46&gt;$AO725))
) / 1000</f>
        <v>0</v>
      </c>
      <c r="CB725" s="230">
        <f t="shared" si="701"/>
        <v>0</v>
      </c>
      <c r="CC725" s="238"/>
      <c r="CD725" s="229" cm="1">
        <f t="array" ref="CD725">IF(ISBLANK(Y725), INDEX(Use, $AH725, 4) - AN725*INDEX(Use, $AH725, 6) - (Q725-X725), Y725)</f>
        <v>7</v>
      </c>
      <c r="CE725" s="229">
        <f t="shared" si="702"/>
        <v>32</v>
      </c>
      <c r="CF725" s="230">
        <f t="shared" si="703"/>
        <v>0</v>
      </c>
      <c r="CG725" s="229">
        <v>35</v>
      </c>
      <c r="CH725" s="230">
        <f t="shared" si="704"/>
        <v>48</v>
      </c>
      <c r="CI725" s="235">
        <f t="shared" si="705"/>
        <v>3.0748170731707316</v>
      </c>
      <c r="CJ725" s="235" cm="1">
        <f t="array" ref="CJ725">$BI725 * SUMPRODUCT(INDEX($AR$77:$AT$82,,$AI725),INDEX($AU$77:$BA$82,,$AH725), N($AQ$77:$AQ$82&gt;$AO725)) / CI725 / 1000</f>
        <v>0</v>
      </c>
      <c r="CK725" s="232">
        <f t="shared" si="684"/>
        <v>30</v>
      </c>
      <c r="CL725" s="230">
        <f t="shared" si="706"/>
        <v>43</v>
      </c>
      <c r="CM725" s="235">
        <f t="shared" si="707"/>
        <v>3.5018750000000001</v>
      </c>
      <c r="CN725" s="235" cm="1">
        <f t="array" ref="CN725">$BI725 * IF($AH725&lt;=2,
SUMPRODUCT(INDEX($AR$72:$AT$76,,$AI725), INDEX($AU$72:$BA$76,,$AH725), 1 / ($BB$72:$BB$76*CM725 + (1-$BB$72:$BB$76)*CI725), N($AQ$72:$AQ$76&gt;$AO725)),
SUMPRODUCT(INDEX($AR$67:$AT$76,,$AI725), INDEX($AU$67:$BA$76,,$AH725), 1 / ($BC$67:$BC$76*CM725 + (1-$BC$67:$BC$76)*CI725), N($AQ$67:$AQ$76&gt;$AO725))
) / 1000</f>
        <v>0</v>
      </c>
      <c r="CO725" s="232">
        <f t="shared" si="685"/>
        <v>25</v>
      </c>
      <c r="CP725" s="230">
        <f t="shared" si="708"/>
        <v>38</v>
      </c>
      <c r="CQ725" s="235">
        <f t="shared" si="709"/>
        <v>4.0666935483870965</v>
      </c>
      <c r="CR725" s="235" cm="1">
        <f t="array" ref="CR725">$BI725 * IF($AH725&lt;=2,
SUMPRODUCT(INDEX($AR$67:$AT$71,,$AI725), INDEX($AU$67:$BA$71,,$AH725), 1 / ($BB$67:$BB$71*CQ725 + (1-$BB$67:$BB$71)*CM725), N($AQ$67:$AQ$71&gt;$AO725)),
SUMPRODUCT(INDEX($AR$57:$AT$66,,$AI725), INDEX($AU$57:$BA$66,,$AH725), 1 / ($BC$57:$BC$66*CQ725 + (1-$BC$57:$BC$66)*CM725), N($AQ$57:$AQ$66&gt;$AO725))
) / 1000</f>
        <v>0</v>
      </c>
      <c r="CS725" s="232">
        <f t="shared" si="686"/>
        <v>20</v>
      </c>
      <c r="CT725" s="230">
        <f t="shared" si="710"/>
        <v>33</v>
      </c>
      <c r="CU725" s="235">
        <f t="shared" si="711"/>
        <v>4.8487499999999999</v>
      </c>
      <c r="CV725" s="235" cm="1">
        <f t="array" ref="CV725">$BI725 * IF($AH725&lt;=2,
SUMPRODUCT(INDEX($AR$62:$AT$66,,$AI725), INDEX($AU$62:$BA$66,,$AH725), 1 / ($BB$62:$BB$66*CU725 + (1-$BB$62:$BB$66)*CQ725), N($AQ$62:$AQ$66&gt;$AO725)),
SUMPRODUCT(INDEX($AR$47:$AT$56,,$AI725), INDEX($AU$47:$BA$56,,$AH725), 1 / ($BC$47:$BC$56*CU725 + (1-$BC$47:$BC$56)*CQ725), N($AQ$47:$AQ$56&gt;$AO725))
) / 1000</f>
        <v>0</v>
      </c>
      <c r="CW725" s="235" cm="1">
        <f t="array" ref="CW725">$BI725 * IF($AH725&lt;=2,
SUMPRODUCT(INDEX($AR$23:$AT$61,,$AI725), INDEX($AU$23:$BA$61,,$AH725), 1 / ($BB$23:$BB$61*CU725), N($AQ$23:$AQ$61&gt;$AO725)),
SUMPRODUCT(INDEX($AR$23:$AT$46,,$AI725), INDEX($AU$23:$BA$46,,$AH725), 1 / ($BC$23:$BC$46*CU725), N($AQ$23:$AQ$46&gt;$AO725))
) / 1000</f>
        <v>0</v>
      </c>
      <c r="CX725" s="230">
        <f t="shared" si="712"/>
        <v>0</v>
      </c>
      <c r="CY725" s="238"/>
    </row>
    <row r="726" spans="1:103" s="76" customFormat="1" ht="14.25" customHeight="1" x14ac:dyDescent="0.2">
      <c r="A726" s="231" t="b">
        <f t="shared" ref="A726:A789" si="716">IF(OR(AND($K726&gt;80, $AH726=1), AND($K726&gt;40, $AH726=3), AND($K726&gt;30, $AH726=4),), TRUE, FALSE)</f>
        <v>0</v>
      </c>
      <c r="B726" s="245">
        <v>704</v>
      </c>
      <c r="C726" s="258"/>
      <c r="D726" s="258"/>
      <c r="E726" s="246"/>
      <c r="F726" s="247" t="str">
        <f>IF(ISBLANK(E726), "", VLOOKUP(E726, Z!$A$2:$C$4127, 3, FALSE))</f>
        <v/>
      </c>
      <c r="G726" s="248"/>
      <c r="H726" s="248"/>
      <c r="I726" s="249"/>
      <c r="J726" s="250"/>
      <c r="K726" s="259"/>
      <c r="L726" s="260"/>
      <c r="M726" s="252" t="str" cm="1">
        <f t="array" ref="M726">INDEX(Trad, 53, $A$20)</f>
        <v>Verschmutzt</v>
      </c>
      <c r="N726" s="253"/>
      <c r="O726" s="253"/>
      <c r="P726" s="254"/>
      <c r="Q726" s="251"/>
      <c r="R726" s="251"/>
      <c r="S726" s="264">
        <f t="shared" si="687"/>
        <v>0</v>
      </c>
      <c r="T726" s="252" t="str" cm="1">
        <f t="array" ref="T726">INDEX(Trad, 52, $A$20)</f>
        <v>Sauber</v>
      </c>
      <c r="U726" s="253"/>
      <c r="V726" s="253"/>
      <c r="W726" s="254"/>
      <c r="X726" s="251"/>
      <c r="Y726" s="251"/>
      <c r="Z726" s="264">
        <f t="shared" si="688"/>
        <v>0</v>
      </c>
      <c r="AA726" s="261"/>
      <c r="AB726" s="258"/>
      <c r="AC726" s="246"/>
      <c r="AD726" s="247" t="str">
        <f>IF(ISBLANK(AC726), "", VLOOKUP(AC726, Z!$A$2:$C$4127, 3, FALSE))</f>
        <v/>
      </c>
      <c r="AE726" s="262"/>
      <c r="AF726" s="263">
        <f t="shared" si="689"/>
        <v>0</v>
      </c>
      <c r="AG726" s="238"/>
      <c r="AH726" s="229">
        <f t="shared" si="713"/>
        <v>1</v>
      </c>
      <c r="AI726" s="229">
        <f t="shared" si="714"/>
        <v>1</v>
      </c>
      <c r="AJ726" s="229">
        <f t="shared" si="715"/>
        <v>0</v>
      </c>
      <c r="AK726" s="229">
        <v>0</v>
      </c>
      <c r="AL726" s="229">
        <v>0</v>
      </c>
      <c r="AM726" s="229">
        <v>1</v>
      </c>
      <c r="AN726" s="229">
        <v>0</v>
      </c>
      <c r="AO726" s="229">
        <f t="shared" si="690"/>
        <v>-100</v>
      </c>
      <c r="AP726" s="238"/>
      <c r="AQ726" s="255"/>
      <c r="AR726" s="255"/>
      <c r="AS726" s="256"/>
      <c r="AT726" s="256"/>
      <c r="AU726" s="256"/>
      <c r="AV726" s="256"/>
      <c r="AW726" s="256"/>
      <c r="AX726" s="256"/>
      <c r="AY726" s="256"/>
      <c r="AZ726" s="256"/>
      <c r="BA726" s="256"/>
      <c r="BB726" s="256"/>
      <c r="BC726" s="256"/>
      <c r="BD726" s="238"/>
      <c r="BE726" s="229" cm="1">
        <f t="array" ref="BE726">IF(ISBLANK(R726), INDEX(Use, $AH726, 4) - AM726*INDEX(Use, $AH726, 6), R726)</f>
        <v>5</v>
      </c>
      <c r="BF726" s="229">
        <f t="shared" si="691"/>
        <v>30</v>
      </c>
      <c r="BG726" s="229">
        <f t="shared" si="679"/>
        <v>13</v>
      </c>
      <c r="BH726" s="229">
        <f t="shared" si="680"/>
        <v>0</v>
      </c>
      <c r="BI726" s="234" cm="1">
        <f t="array" ref="BI726">K726/IF($L726&gt;0, INDEX($AU$23:$BA$77, $L726+20, $AH726), 1)</f>
        <v>0</v>
      </c>
      <c r="BJ726" s="230">
        <f t="shared" si="692"/>
        <v>0</v>
      </c>
      <c r="BK726" s="229">
        <v>35</v>
      </c>
      <c r="BL726" s="230">
        <f t="shared" si="693"/>
        <v>48</v>
      </c>
      <c r="BM726" s="235">
        <f t="shared" si="694"/>
        <v>2.9108720930232557</v>
      </c>
      <c r="BN726" s="235" cm="1">
        <f t="array" ref="BN726">$BI726 * SUMPRODUCT(INDEX($AR$77:$AT$82,,$AI726),INDEX($AU$77:$BA$82,,$AH726), N($AQ$77:$AQ$82&gt;$AO726)) / BM726 / 1000</f>
        <v>0</v>
      </c>
      <c r="BO726" s="232">
        <f t="shared" si="681"/>
        <v>30</v>
      </c>
      <c r="BP726" s="230">
        <f t="shared" si="695"/>
        <v>43</v>
      </c>
      <c r="BQ726" s="235">
        <f t="shared" si="696"/>
        <v>3.2938815789473681</v>
      </c>
      <c r="BR726" s="235" cm="1">
        <f t="array" ref="BR726">$BI726 * IF($AH726&lt;=2,
SUMPRODUCT(INDEX($AR$72:$AT$76,,$AI726), INDEX($AU$72:$BA$76,,$AH726), 1 / ($BB$72:$BB$76*BQ726 + (1-$BB$72:$BB$76)*BM726), N($AQ$72:$AQ$76&gt;$AO726)),
SUMPRODUCT(INDEX($AR$67:$AT$76,,$AI726), INDEX($AU$67:$BA$76,,$AH726), 1 / ($BC$67:$BC$76*BQ726 + (1-$BC$67:$BC$76)*BM726), N($AQ$67:$AQ$76&gt;$AO726))
) / 1000</f>
        <v>0</v>
      </c>
      <c r="BS726" s="232">
        <f t="shared" si="682"/>
        <v>25</v>
      </c>
      <c r="BT726" s="230">
        <f t="shared" si="697"/>
        <v>38</v>
      </c>
      <c r="BU726" s="235">
        <f t="shared" si="698"/>
        <v>3.792954545454545</v>
      </c>
      <c r="BV726" s="235" cm="1">
        <f t="array" ref="BV726">$BI726 * IF($AH726&lt;=2,
SUMPRODUCT(INDEX($AR$67:$AT$71,,$AI726), INDEX($AU$67:$BA$71,,$AH726), 1 / ($BB$67:$BB$71*BU726 + (1-$BB$67:$BB$71)*BQ726), N($AQ$67:$AQ$71&gt;$AO726)),
SUMPRODUCT(INDEX($AR$57:$AT$66,,$AI726), INDEX($AU$57:$BA$66,,$AH726), 1 / ($BC$57:$BC$66*BU726 + (1-$BC$57:$BC$66)*BQ726), N($AQ$57:$AQ$66&gt;$AO726))
) / 1000</f>
        <v>0</v>
      </c>
      <c r="BW726" s="232">
        <f t="shared" si="683"/>
        <v>20</v>
      </c>
      <c r="BX726" s="230">
        <f t="shared" si="699"/>
        <v>33</v>
      </c>
      <c r="BY726" s="235">
        <f t="shared" si="700"/>
        <v>4.4702678571428569</v>
      </c>
      <c r="BZ726" s="235" cm="1">
        <f t="array" ref="BZ726">$BI726 * IF($AH726&lt;=2,
SUMPRODUCT(INDEX($AR$62:$AT$66,,$AI726), INDEX($AU$62:$BA$66,,$AH726), 1 / ($BB$62:$BB$66*BY726 + (1-$BB$62:$BB$66)*BU726), N($AQ$62:$AQ$66&gt;$AO726)),
SUMPRODUCT(INDEX($AR$47:$AT$56,,$AI726), INDEX($AU$47:$BA$56,,$AH726), 1 / ($BC$47:$BC$56*BY726 + (1-$BC$47:$BC$56)*BU726), N($AQ$47:$AQ$56&gt;$AO726))
) / 1000</f>
        <v>0</v>
      </c>
      <c r="CA726" s="235" cm="1">
        <f t="array" ref="CA726">$BI726 * IF($AH726&lt;=2,
SUMPRODUCT(INDEX($AR$23:$AT$61,,$AI726), INDEX($AU$23:$BA$61,,$AH726), 1 / ($BB$23:$BB$61*BY726), N($AQ$23:$AQ$61&gt;$AO726)),
SUMPRODUCT(INDEX($AR$23:$AT$46,,$AI726), INDEX($AU$23:$BA$46,,$AH726), 1 / ($BC$23:$BC$46*BY726), N($AQ$23:$AQ$46&gt;$AO726))
) / 1000</f>
        <v>0</v>
      </c>
      <c r="CB726" s="230">
        <f t="shared" si="701"/>
        <v>0</v>
      </c>
      <c r="CC726" s="238"/>
      <c r="CD726" s="229" cm="1">
        <f t="array" ref="CD726">IF(ISBLANK(Y726), INDEX(Use, $AH726, 4) - AN726*INDEX(Use, $AH726, 6) - (Q726-X726), Y726)</f>
        <v>7</v>
      </c>
      <c r="CE726" s="229">
        <f t="shared" si="702"/>
        <v>32</v>
      </c>
      <c r="CF726" s="230">
        <f t="shared" si="703"/>
        <v>0</v>
      </c>
      <c r="CG726" s="229">
        <v>35</v>
      </c>
      <c r="CH726" s="230">
        <f t="shared" si="704"/>
        <v>48</v>
      </c>
      <c r="CI726" s="235">
        <f t="shared" si="705"/>
        <v>3.0748170731707316</v>
      </c>
      <c r="CJ726" s="235" cm="1">
        <f t="array" ref="CJ726">$BI726 * SUMPRODUCT(INDEX($AR$77:$AT$82,,$AI726),INDEX($AU$77:$BA$82,,$AH726), N($AQ$77:$AQ$82&gt;$AO726)) / CI726 / 1000</f>
        <v>0</v>
      </c>
      <c r="CK726" s="232">
        <f t="shared" si="684"/>
        <v>30</v>
      </c>
      <c r="CL726" s="230">
        <f t="shared" si="706"/>
        <v>43</v>
      </c>
      <c r="CM726" s="235">
        <f t="shared" si="707"/>
        <v>3.5018750000000001</v>
      </c>
      <c r="CN726" s="235" cm="1">
        <f t="array" ref="CN726">$BI726 * IF($AH726&lt;=2,
SUMPRODUCT(INDEX($AR$72:$AT$76,,$AI726), INDEX($AU$72:$BA$76,,$AH726), 1 / ($BB$72:$BB$76*CM726 + (1-$BB$72:$BB$76)*CI726), N($AQ$72:$AQ$76&gt;$AO726)),
SUMPRODUCT(INDEX($AR$67:$AT$76,,$AI726), INDEX($AU$67:$BA$76,,$AH726), 1 / ($BC$67:$BC$76*CM726 + (1-$BC$67:$BC$76)*CI726), N($AQ$67:$AQ$76&gt;$AO726))
) / 1000</f>
        <v>0</v>
      </c>
      <c r="CO726" s="232">
        <f t="shared" si="685"/>
        <v>25</v>
      </c>
      <c r="CP726" s="230">
        <f t="shared" si="708"/>
        <v>38</v>
      </c>
      <c r="CQ726" s="235">
        <f t="shared" si="709"/>
        <v>4.0666935483870965</v>
      </c>
      <c r="CR726" s="235" cm="1">
        <f t="array" ref="CR726">$BI726 * IF($AH726&lt;=2,
SUMPRODUCT(INDEX($AR$67:$AT$71,,$AI726), INDEX($AU$67:$BA$71,,$AH726), 1 / ($BB$67:$BB$71*CQ726 + (1-$BB$67:$BB$71)*CM726), N($AQ$67:$AQ$71&gt;$AO726)),
SUMPRODUCT(INDEX($AR$57:$AT$66,,$AI726), INDEX($AU$57:$BA$66,,$AH726), 1 / ($BC$57:$BC$66*CQ726 + (1-$BC$57:$BC$66)*CM726), N($AQ$57:$AQ$66&gt;$AO726))
) / 1000</f>
        <v>0</v>
      </c>
      <c r="CS726" s="232">
        <f t="shared" si="686"/>
        <v>20</v>
      </c>
      <c r="CT726" s="230">
        <f t="shared" si="710"/>
        <v>33</v>
      </c>
      <c r="CU726" s="235">
        <f t="shared" si="711"/>
        <v>4.8487499999999999</v>
      </c>
      <c r="CV726" s="235" cm="1">
        <f t="array" ref="CV726">$BI726 * IF($AH726&lt;=2,
SUMPRODUCT(INDEX($AR$62:$AT$66,,$AI726), INDEX($AU$62:$BA$66,,$AH726), 1 / ($BB$62:$BB$66*CU726 + (1-$BB$62:$BB$66)*CQ726), N($AQ$62:$AQ$66&gt;$AO726)),
SUMPRODUCT(INDEX($AR$47:$AT$56,,$AI726), INDEX($AU$47:$BA$56,,$AH726), 1 / ($BC$47:$BC$56*CU726 + (1-$BC$47:$BC$56)*CQ726), N($AQ$47:$AQ$56&gt;$AO726))
) / 1000</f>
        <v>0</v>
      </c>
      <c r="CW726" s="235" cm="1">
        <f t="array" ref="CW726">$BI726 * IF($AH726&lt;=2,
SUMPRODUCT(INDEX($AR$23:$AT$61,,$AI726), INDEX($AU$23:$BA$61,,$AH726), 1 / ($BB$23:$BB$61*CU726), N($AQ$23:$AQ$61&gt;$AO726)),
SUMPRODUCT(INDEX($AR$23:$AT$46,,$AI726), INDEX($AU$23:$BA$46,,$AH726), 1 / ($BC$23:$BC$46*CU726), N($AQ$23:$AQ$46&gt;$AO726))
) / 1000</f>
        <v>0</v>
      </c>
      <c r="CX726" s="230">
        <f t="shared" si="712"/>
        <v>0</v>
      </c>
      <c r="CY726" s="238"/>
    </row>
    <row r="727" spans="1:103" s="76" customFormat="1" ht="14.25" customHeight="1" x14ac:dyDescent="0.2">
      <c r="A727" s="231" t="b">
        <f t="shared" si="716"/>
        <v>0</v>
      </c>
      <c r="B727" s="245">
        <v>705</v>
      </c>
      <c r="C727" s="258"/>
      <c r="D727" s="258"/>
      <c r="E727" s="246"/>
      <c r="F727" s="247" t="str">
        <f>IF(ISBLANK(E727), "", VLOOKUP(E727, Z!$A$2:$C$4127, 3, FALSE))</f>
        <v/>
      </c>
      <c r="G727" s="248"/>
      <c r="H727" s="248"/>
      <c r="I727" s="249"/>
      <c r="J727" s="250"/>
      <c r="K727" s="259"/>
      <c r="L727" s="260"/>
      <c r="M727" s="252" t="str" cm="1">
        <f t="array" ref="M727">INDEX(Trad, 53, $A$20)</f>
        <v>Verschmutzt</v>
      </c>
      <c r="N727" s="253"/>
      <c r="O727" s="253"/>
      <c r="P727" s="254"/>
      <c r="Q727" s="251"/>
      <c r="R727" s="251"/>
      <c r="S727" s="264">
        <f t="shared" si="687"/>
        <v>0</v>
      </c>
      <c r="T727" s="252" t="str" cm="1">
        <f t="array" ref="T727">INDEX(Trad, 52, $A$20)</f>
        <v>Sauber</v>
      </c>
      <c r="U727" s="253"/>
      <c r="V727" s="253"/>
      <c r="W727" s="254"/>
      <c r="X727" s="251"/>
      <c r="Y727" s="251"/>
      <c r="Z727" s="264">
        <f t="shared" si="688"/>
        <v>0</v>
      </c>
      <c r="AA727" s="261"/>
      <c r="AB727" s="258"/>
      <c r="AC727" s="246"/>
      <c r="AD727" s="247" t="str">
        <f>IF(ISBLANK(AC727), "", VLOOKUP(AC727, Z!$A$2:$C$4127, 3, FALSE))</f>
        <v/>
      </c>
      <c r="AE727" s="262"/>
      <c r="AF727" s="263">
        <f t="shared" si="689"/>
        <v>0</v>
      </c>
      <c r="AG727" s="238"/>
      <c r="AH727" s="229">
        <f t="shared" si="713"/>
        <v>1</v>
      </c>
      <c r="AI727" s="229">
        <f t="shared" si="714"/>
        <v>1</v>
      </c>
      <c r="AJ727" s="229">
        <f t="shared" si="715"/>
        <v>0</v>
      </c>
      <c r="AK727" s="229">
        <v>0</v>
      </c>
      <c r="AL727" s="229">
        <v>0</v>
      </c>
      <c r="AM727" s="229">
        <v>1</v>
      </c>
      <c r="AN727" s="229">
        <v>0</v>
      </c>
      <c r="AO727" s="229">
        <f t="shared" si="690"/>
        <v>-100</v>
      </c>
      <c r="AP727" s="238"/>
      <c r="AQ727" s="255"/>
      <c r="AR727" s="255"/>
      <c r="AS727" s="256"/>
      <c r="AT727" s="256"/>
      <c r="AU727" s="256"/>
      <c r="AV727" s="256"/>
      <c r="AW727" s="256"/>
      <c r="AX727" s="256"/>
      <c r="AY727" s="256"/>
      <c r="AZ727" s="256"/>
      <c r="BA727" s="256"/>
      <c r="BB727" s="256"/>
      <c r="BC727" s="256"/>
      <c r="BD727" s="238"/>
      <c r="BE727" s="229" cm="1">
        <f t="array" ref="BE727">IF(ISBLANK(R727), INDEX(Use, $AH727, 4) - AM727*INDEX(Use, $AH727, 6), R727)</f>
        <v>5</v>
      </c>
      <c r="BF727" s="229">
        <f t="shared" si="691"/>
        <v>30</v>
      </c>
      <c r="BG727" s="229">
        <f t="shared" ref="BG727:BG790" si="717">IF($AJ727=1, 6, IF($AH727=4, 10, 13))</f>
        <v>13</v>
      </c>
      <c r="BH727" s="229">
        <f t="shared" ref="BH727:BH790" si="718">IF($AJ727=1, 9, 0)</f>
        <v>0</v>
      </c>
      <c r="BI727" s="234" cm="1">
        <f t="array" ref="BI727">K727/IF($L727&gt;0, INDEX($AU$23:$BA$77, $L727+20, $AH727), 1)</f>
        <v>0</v>
      </c>
      <c r="BJ727" s="230">
        <f t="shared" si="692"/>
        <v>0</v>
      </c>
      <c r="BK727" s="229">
        <v>35</v>
      </c>
      <c r="BL727" s="230">
        <f t="shared" si="693"/>
        <v>48</v>
      </c>
      <c r="BM727" s="235">
        <f t="shared" si="694"/>
        <v>2.9108720930232557</v>
      </c>
      <c r="BN727" s="235" cm="1">
        <f t="array" ref="BN727">$BI727 * SUMPRODUCT(INDEX($AR$77:$AT$82,,$AI727),INDEX($AU$77:$BA$82,,$AH727), N($AQ$77:$AQ$82&gt;$AO727)) / BM727 / 1000</f>
        <v>0</v>
      </c>
      <c r="BO727" s="232">
        <f t="shared" ref="BO727:BO790" si="719">IF($AH727&lt;=2, 30, 25)</f>
        <v>30</v>
      </c>
      <c r="BP727" s="230">
        <f t="shared" si="695"/>
        <v>43</v>
      </c>
      <c r="BQ727" s="235">
        <f t="shared" si="696"/>
        <v>3.2938815789473681</v>
      </c>
      <c r="BR727" s="235" cm="1">
        <f t="array" ref="BR727">$BI727 * IF($AH727&lt;=2,
SUMPRODUCT(INDEX($AR$72:$AT$76,,$AI727), INDEX($AU$72:$BA$76,,$AH727), 1 / ($BB$72:$BB$76*BQ727 + (1-$BB$72:$BB$76)*BM727), N($AQ$72:$AQ$76&gt;$AO727)),
SUMPRODUCT(INDEX($AR$67:$AT$76,,$AI727), INDEX($AU$67:$BA$76,,$AH727), 1 / ($BC$67:$BC$76*BQ727 + (1-$BC$67:$BC$76)*BM727), N($AQ$67:$AQ$76&gt;$AO727))
) / 1000</f>
        <v>0</v>
      </c>
      <c r="BS727" s="232">
        <f t="shared" ref="BS727:BS790" si="720">IF($AH727&lt;=2, 25, 15)</f>
        <v>25</v>
      </c>
      <c r="BT727" s="230">
        <f t="shared" si="697"/>
        <v>38</v>
      </c>
      <c r="BU727" s="235">
        <f t="shared" si="698"/>
        <v>3.792954545454545</v>
      </c>
      <c r="BV727" s="235" cm="1">
        <f t="array" ref="BV727">$BI727 * IF($AH727&lt;=2,
SUMPRODUCT(INDEX($AR$67:$AT$71,,$AI727), INDEX($AU$67:$BA$71,,$AH727), 1 / ($BB$67:$BB$71*BU727 + (1-$BB$67:$BB$71)*BQ727), N($AQ$67:$AQ$71&gt;$AO727)),
SUMPRODUCT(INDEX($AR$57:$AT$66,,$AI727), INDEX($AU$57:$BA$66,,$AH727), 1 / ($BC$57:$BC$66*BU727 + (1-$BC$57:$BC$66)*BQ727), N($AQ$57:$AQ$66&gt;$AO727))
) / 1000</f>
        <v>0</v>
      </c>
      <c r="BW727" s="232">
        <f t="shared" ref="BW727:BW790" si="721">IF($AH727&lt;=2, 20, 5)</f>
        <v>20</v>
      </c>
      <c r="BX727" s="230">
        <f t="shared" si="699"/>
        <v>33</v>
      </c>
      <c r="BY727" s="235">
        <f t="shared" si="700"/>
        <v>4.4702678571428569</v>
      </c>
      <c r="BZ727" s="235" cm="1">
        <f t="array" ref="BZ727">$BI727 * IF($AH727&lt;=2,
SUMPRODUCT(INDEX($AR$62:$AT$66,,$AI727), INDEX($AU$62:$BA$66,,$AH727), 1 / ($BB$62:$BB$66*BY727 + (1-$BB$62:$BB$66)*BU727), N($AQ$62:$AQ$66&gt;$AO727)),
SUMPRODUCT(INDEX($AR$47:$AT$56,,$AI727), INDEX($AU$47:$BA$56,,$AH727), 1 / ($BC$47:$BC$56*BY727 + (1-$BC$47:$BC$56)*BU727), N($AQ$47:$AQ$56&gt;$AO727))
) / 1000</f>
        <v>0</v>
      </c>
      <c r="CA727" s="235" cm="1">
        <f t="array" ref="CA727">$BI727 * IF($AH727&lt;=2,
SUMPRODUCT(INDEX($AR$23:$AT$61,,$AI727), INDEX($AU$23:$BA$61,,$AH727), 1 / ($BB$23:$BB$61*BY727), N($AQ$23:$AQ$61&gt;$AO727)),
SUMPRODUCT(INDEX($AR$23:$AT$46,,$AI727), INDEX($AU$23:$BA$46,,$AH727), 1 / ($BC$23:$BC$46*BY727), N($AQ$23:$AQ$46&gt;$AO727))
) / 1000</f>
        <v>0</v>
      </c>
      <c r="CB727" s="230">
        <f t="shared" si="701"/>
        <v>0</v>
      </c>
      <c r="CC727" s="238"/>
      <c r="CD727" s="229" cm="1">
        <f t="array" ref="CD727">IF(ISBLANK(Y727), INDEX(Use, $AH727, 4) - AN727*INDEX(Use, $AH727, 6) - (Q727-X727), Y727)</f>
        <v>7</v>
      </c>
      <c r="CE727" s="229">
        <f t="shared" si="702"/>
        <v>32</v>
      </c>
      <c r="CF727" s="230">
        <f t="shared" si="703"/>
        <v>0</v>
      </c>
      <c r="CG727" s="229">
        <v>35</v>
      </c>
      <c r="CH727" s="230">
        <f t="shared" si="704"/>
        <v>48</v>
      </c>
      <c r="CI727" s="235">
        <f t="shared" si="705"/>
        <v>3.0748170731707316</v>
      </c>
      <c r="CJ727" s="235" cm="1">
        <f t="array" ref="CJ727">$BI727 * SUMPRODUCT(INDEX($AR$77:$AT$82,,$AI727),INDEX($AU$77:$BA$82,,$AH727), N($AQ$77:$AQ$82&gt;$AO727)) / CI727 / 1000</f>
        <v>0</v>
      </c>
      <c r="CK727" s="232">
        <f t="shared" ref="CK727:CK790" si="722">IF($AH727&lt;=2, 30, 25)</f>
        <v>30</v>
      </c>
      <c r="CL727" s="230">
        <f t="shared" si="706"/>
        <v>43</v>
      </c>
      <c r="CM727" s="235">
        <f t="shared" si="707"/>
        <v>3.5018750000000001</v>
      </c>
      <c r="CN727" s="235" cm="1">
        <f t="array" ref="CN727">$BI727 * IF($AH727&lt;=2,
SUMPRODUCT(INDEX($AR$72:$AT$76,,$AI727), INDEX($AU$72:$BA$76,,$AH727), 1 / ($BB$72:$BB$76*CM727 + (1-$BB$72:$BB$76)*CI727), N($AQ$72:$AQ$76&gt;$AO727)),
SUMPRODUCT(INDEX($AR$67:$AT$76,,$AI727), INDEX($AU$67:$BA$76,,$AH727), 1 / ($BC$67:$BC$76*CM727 + (1-$BC$67:$BC$76)*CI727), N($AQ$67:$AQ$76&gt;$AO727))
) / 1000</f>
        <v>0</v>
      </c>
      <c r="CO727" s="232">
        <f t="shared" ref="CO727:CO790" si="723">IF($AH727&lt;=2, 25, 15)</f>
        <v>25</v>
      </c>
      <c r="CP727" s="230">
        <f t="shared" si="708"/>
        <v>38</v>
      </c>
      <c r="CQ727" s="235">
        <f t="shared" si="709"/>
        <v>4.0666935483870965</v>
      </c>
      <c r="CR727" s="235" cm="1">
        <f t="array" ref="CR727">$BI727 * IF($AH727&lt;=2,
SUMPRODUCT(INDEX($AR$67:$AT$71,,$AI727), INDEX($AU$67:$BA$71,,$AH727), 1 / ($BB$67:$BB$71*CQ727 + (1-$BB$67:$BB$71)*CM727), N($AQ$67:$AQ$71&gt;$AO727)),
SUMPRODUCT(INDEX($AR$57:$AT$66,,$AI727), INDEX($AU$57:$BA$66,,$AH727), 1 / ($BC$57:$BC$66*CQ727 + (1-$BC$57:$BC$66)*CM727), N($AQ$57:$AQ$66&gt;$AO727))
) / 1000</f>
        <v>0</v>
      </c>
      <c r="CS727" s="232">
        <f t="shared" ref="CS727:CS790" si="724">IF($AH727&lt;=2, 20, 5)</f>
        <v>20</v>
      </c>
      <c r="CT727" s="230">
        <f t="shared" si="710"/>
        <v>33</v>
      </c>
      <c r="CU727" s="235">
        <f t="shared" si="711"/>
        <v>4.8487499999999999</v>
      </c>
      <c r="CV727" s="235" cm="1">
        <f t="array" ref="CV727">$BI727 * IF($AH727&lt;=2,
SUMPRODUCT(INDEX($AR$62:$AT$66,,$AI727), INDEX($AU$62:$BA$66,,$AH727), 1 / ($BB$62:$BB$66*CU727 + (1-$BB$62:$BB$66)*CQ727), N($AQ$62:$AQ$66&gt;$AO727)),
SUMPRODUCT(INDEX($AR$47:$AT$56,,$AI727), INDEX($AU$47:$BA$56,,$AH727), 1 / ($BC$47:$BC$56*CU727 + (1-$BC$47:$BC$56)*CQ727), N($AQ$47:$AQ$56&gt;$AO727))
) / 1000</f>
        <v>0</v>
      </c>
      <c r="CW727" s="235" cm="1">
        <f t="array" ref="CW727">$BI727 * IF($AH727&lt;=2,
SUMPRODUCT(INDEX($AR$23:$AT$61,,$AI727), INDEX($AU$23:$BA$61,,$AH727), 1 / ($BB$23:$BB$61*CU727), N($AQ$23:$AQ$61&gt;$AO727)),
SUMPRODUCT(INDEX($AR$23:$AT$46,,$AI727), INDEX($AU$23:$BA$46,,$AH727), 1 / ($BC$23:$BC$46*CU727), N($AQ$23:$AQ$46&gt;$AO727))
) / 1000</f>
        <v>0</v>
      </c>
      <c r="CX727" s="230">
        <f t="shared" si="712"/>
        <v>0</v>
      </c>
      <c r="CY727" s="238"/>
    </row>
    <row r="728" spans="1:103" s="76" customFormat="1" ht="14.25" customHeight="1" x14ac:dyDescent="0.2">
      <c r="A728" s="231" t="b">
        <f t="shared" si="716"/>
        <v>0</v>
      </c>
      <c r="B728" s="245">
        <v>706</v>
      </c>
      <c r="C728" s="258"/>
      <c r="D728" s="258"/>
      <c r="E728" s="246"/>
      <c r="F728" s="247" t="str">
        <f>IF(ISBLANK(E728), "", VLOOKUP(E728, Z!$A$2:$C$4127, 3, FALSE))</f>
        <v/>
      </c>
      <c r="G728" s="248"/>
      <c r="H728" s="248"/>
      <c r="I728" s="249"/>
      <c r="J728" s="250"/>
      <c r="K728" s="259"/>
      <c r="L728" s="260"/>
      <c r="M728" s="252" t="str" cm="1">
        <f t="array" ref="M728">INDEX(Trad, 53, $A$20)</f>
        <v>Verschmutzt</v>
      </c>
      <c r="N728" s="253"/>
      <c r="O728" s="253"/>
      <c r="P728" s="254"/>
      <c r="Q728" s="251"/>
      <c r="R728" s="251"/>
      <c r="S728" s="264">
        <f t="shared" si="687"/>
        <v>0</v>
      </c>
      <c r="T728" s="252" t="str" cm="1">
        <f t="array" ref="T728">INDEX(Trad, 52, $A$20)</f>
        <v>Sauber</v>
      </c>
      <c r="U728" s="253"/>
      <c r="V728" s="253"/>
      <c r="W728" s="254"/>
      <c r="X728" s="251"/>
      <c r="Y728" s="251"/>
      <c r="Z728" s="264">
        <f t="shared" si="688"/>
        <v>0</v>
      </c>
      <c r="AA728" s="261"/>
      <c r="AB728" s="258"/>
      <c r="AC728" s="246"/>
      <c r="AD728" s="247" t="str">
        <f>IF(ISBLANK(AC728), "", VLOOKUP(AC728, Z!$A$2:$C$4127, 3, FALSE))</f>
        <v/>
      </c>
      <c r="AE728" s="262"/>
      <c r="AF728" s="263">
        <f t="shared" si="689"/>
        <v>0</v>
      </c>
      <c r="AG728" s="238"/>
      <c r="AH728" s="229">
        <f t="shared" si="713"/>
        <v>1</v>
      </c>
      <c r="AI728" s="229">
        <f t="shared" si="714"/>
        <v>1</v>
      </c>
      <c r="AJ728" s="229">
        <f t="shared" si="715"/>
        <v>0</v>
      </c>
      <c r="AK728" s="229">
        <v>0</v>
      </c>
      <c r="AL728" s="229">
        <v>0</v>
      </c>
      <c r="AM728" s="229">
        <v>1</v>
      </c>
      <c r="AN728" s="229">
        <v>0</v>
      </c>
      <c r="AO728" s="229">
        <f t="shared" si="690"/>
        <v>-100</v>
      </c>
      <c r="AP728" s="238"/>
      <c r="AQ728" s="255"/>
      <c r="AR728" s="255"/>
      <c r="AS728" s="256"/>
      <c r="AT728" s="256"/>
      <c r="AU728" s="256"/>
      <c r="AV728" s="256"/>
      <c r="AW728" s="256"/>
      <c r="AX728" s="256"/>
      <c r="AY728" s="256"/>
      <c r="AZ728" s="256"/>
      <c r="BA728" s="256"/>
      <c r="BB728" s="256"/>
      <c r="BC728" s="256"/>
      <c r="BD728" s="238"/>
      <c r="BE728" s="229" cm="1">
        <f t="array" ref="BE728">IF(ISBLANK(R728), INDEX(Use, $AH728, 4) - AM728*INDEX(Use, $AH728, 6), R728)</f>
        <v>5</v>
      </c>
      <c r="BF728" s="229">
        <f t="shared" si="691"/>
        <v>30</v>
      </c>
      <c r="BG728" s="229">
        <f t="shared" si="717"/>
        <v>13</v>
      </c>
      <c r="BH728" s="229">
        <f t="shared" si="718"/>
        <v>0</v>
      </c>
      <c r="BI728" s="234" cm="1">
        <f t="array" ref="BI728">K728/IF($L728&gt;0, INDEX($AU$23:$BA$77, $L728+20, $AH728), 1)</f>
        <v>0</v>
      </c>
      <c r="BJ728" s="230">
        <f t="shared" si="692"/>
        <v>0</v>
      </c>
      <c r="BK728" s="229">
        <v>35</v>
      </c>
      <c r="BL728" s="230">
        <f t="shared" si="693"/>
        <v>48</v>
      </c>
      <c r="BM728" s="235">
        <f t="shared" si="694"/>
        <v>2.9108720930232557</v>
      </c>
      <c r="BN728" s="235" cm="1">
        <f t="array" ref="BN728">$BI728 * SUMPRODUCT(INDEX($AR$77:$AT$82,,$AI728),INDEX($AU$77:$BA$82,,$AH728), N($AQ$77:$AQ$82&gt;$AO728)) / BM728 / 1000</f>
        <v>0</v>
      </c>
      <c r="BO728" s="232">
        <f t="shared" si="719"/>
        <v>30</v>
      </c>
      <c r="BP728" s="230">
        <f t="shared" si="695"/>
        <v>43</v>
      </c>
      <c r="BQ728" s="235">
        <f t="shared" si="696"/>
        <v>3.2938815789473681</v>
      </c>
      <c r="BR728" s="235" cm="1">
        <f t="array" ref="BR728">$BI728 * IF($AH728&lt;=2,
SUMPRODUCT(INDEX($AR$72:$AT$76,,$AI728), INDEX($AU$72:$BA$76,,$AH728), 1 / ($BB$72:$BB$76*BQ728 + (1-$BB$72:$BB$76)*BM728), N($AQ$72:$AQ$76&gt;$AO728)),
SUMPRODUCT(INDEX($AR$67:$AT$76,,$AI728), INDEX($AU$67:$BA$76,,$AH728), 1 / ($BC$67:$BC$76*BQ728 + (1-$BC$67:$BC$76)*BM728), N($AQ$67:$AQ$76&gt;$AO728))
) / 1000</f>
        <v>0</v>
      </c>
      <c r="BS728" s="232">
        <f t="shared" si="720"/>
        <v>25</v>
      </c>
      <c r="BT728" s="230">
        <f t="shared" si="697"/>
        <v>38</v>
      </c>
      <c r="BU728" s="235">
        <f t="shared" si="698"/>
        <v>3.792954545454545</v>
      </c>
      <c r="BV728" s="235" cm="1">
        <f t="array" ref="BV728">$BI728 * IF($AH728&lt;=2,
SUMPRODUCT(INDEX($AR$67:$AT$71,,$AI728), INDEX($AU$67:$BA$71,,$AH728), 1 / ($BB$67:$BB$71*BU728 + (1-$BB$67:$BB$71)*BQ728), N($AQ$67:$AQ$71&gt;$AO728)),
SUMPRODUCT(INDEX($AR$57:$AT$66,,$AI728), INDEX($AU$57:$BA$66,,$AH728), 1 / ($BC$57:$BC$66*BU728 + (1-$BC$57:$BC$66)*BQ728), N($AQ$57:$AQ$66&gt;$AO728))
) / 1000</f>
        <v>0</v>
      </c>
      <c r="BW728" s="232">
        <f t="shared" si="721"/>
        <v>20</v>
      </c>
      <c r="BX728" s="230">
        <f t="shared" si="699"/>
        <v>33</v>
      </c>
      <c r="BY728" s="235">
        <f t="shared" si="700"/>
        <v>4.4702678571428569</v>
      </c>
      <c r="BZ728" s="235" cm="1">
        <f t="array" ref="BZ728">$BI728 * IF($AH728&lt;=2,
SUMPRODUCT(INDEX($AR$62:$AT$66,,$AI728), INDEX($AU$62:$BA$66,,$AH728), 1 / ($BB$62:$BB$66*BY728 + (1-$BB$62:$BB$66)*BU728), N($AQ$62:$AQ$66&gt;$AO728)),
SUMPRODUCT(INDEX($AR$47:$AT$56,,$AI728), INDEX($AU$47:$BA$56,,$AH728), 1 / ($BC$47:$BC$56*BY728 + (1-$BC$47:$BC$56)*BU728), N($AQ$47:$AQ$56&gt;$AO728))
) / 1000</f>
        <v>0</v>
      </c>
      <c r="CA728" s="235" cm="1">
        <f t="array" ref="CA728">$BI728 * IF($AH728&lt;=2,
SUMPRODUCT(INDEX($AR$23:$AT$61,,$AI728), INDEX($AU$23:$BA$61,,$AH728), 1 / ($BB$23:$BB$61*BY728), N($AQ$23:$AQ$61&gt;$AO728)),
SUMPRODUCT(INDEX($AR$23:$AT$46,,$AI728), INDEX($AU$23:$BA$46,,$AH728), 1 / ($BC$23:$BC$46*BY728), N($AQ$23:$AQ$46&gt;$AO728))
) / 1000</f>
        <v>0</v>
      </c>
      <c r="CB728" s="230">
        <f t="shared" si="701"/>
        <v>0</v>
      </c>
      <c r="CC728" s="238"/>
      <c r="CD728" s="229" cm="1">
        <f t="array" ref="CD728">IF(ISBLANK(Y728), INDEX(Use, $AH728, 4) - AN728*INDEX(Use, $AH728, 6) - (Q728-X728), Y728)</f>
        <v>7</v>
      </c>
      <c r="CE728" s="229">
        <f t="shared" si="702"/>
        <v>32</v>
      </c>
      <c r="CF728" s="230">
        <f t="shared" si="703"/>
        <v>0</v>
      </c>
      <c r="CG728" s="229">
        <v>35</v>
      </c>
      <c r="CH728" s="230">
        <f t="shared" si="704"/>
        <v>48</v>
      </c>
      <c r="CI728" s="235">
        <f t="shared" si="705"/>
        <v>3.0748170731707316</v>
      </c>
      <c r="CJ728" s="235" cm="1">
        <f t="array" ref="CJ728">$BI728 * SUMPRODUCT(INDEX($AR$77:$AT$82,,$AI728),INDEX($AU$77:$BA$82,,$AH728), N($AQ$77:$AQ$82&gt;$AO728)) / CI728 / 1000</f>
        <v>0</v>
      </c>
      <c r="CK728" s="232">
        <f t="shared" si="722"/>
        <v>30</v>
      </c>
      <c r="CL728" s="230">
        <f t="shared" si="706"/>
        <v>43</v>
      </c>
      <c r="CM728" s="235">
        <f t="shared" si="707"/>
        <v>3.5018750000000001</v>
      </c>
      <c r="CN728" s="235" cm="1">
        <f t="array" ref="CN728">$BI728 * IF($AH728&lt;=2,
SUMPRODUCT(INDEX($AR$72:$AT$76,,$AI728), INDEX($AU$72:$BA$76,,$AH728), 1 / ($BB$72:$BB$76*CM728 + (1-$BB$72:$BB$76)*CI728), N($AQ$72:$AQ$76&gt;$AO728)),
SUMPRODUCT(INDEX($AR$67:$AT$76,,$AI728), INDEX($AU$67:$BA$76,,$AH728), 1 / ($BC$67:$BC$76*CM728 + (1-$BC$67:$BC$76)*CI728), N($AQ$67:$AQ$76&gt;$AO728))
) / 1000</f>
        <v>0</v>
      </c>
      <c r="CO728" s="232">
        <f t="shared" si="723"/>
        <v>25</v>
      </c>
      <c r="CP728" s="230">
        <f t="shared" si="708"/>
        <v>38</v>
      </c>
      <c r="CQ728" s="235">
        <f t="shared" si="709"/>
        <v>4.0666935483870965</v>
      </c>
      <c r="CR728" s="235" cm="1">
        <f t="array" ref="CR728">$BI728 * IF($AH728&lt;=2,
SUMPRODUCT(INDEX($AR$67:$AT$71,,$AI728), INDEX($AU$67:$BA$71,,$AH728), 1 / ($BB$67:$BB$71*CQ728 + (1-$BB$67:$BB$71)*CM728), N($AQ$67:$AQ$71&gt;$AO728)),
SUMPRODUCT(INDEX($AR$57:$AT$66,,$AI728), INDEX($AU$57:$BA$66,,$AH728), 1 / ($BC$57:$BC$66*CQ728 + (1-$BC$57:$BC$66)*CM728), N($AQ$57:$AQ$66&gt;$AO728))
) / 1000</f>
        <v>0</v>
      </c>
      <c r="CS728" s="232">
        <f t="shared" si="724"/>
        <v>20</v>
      </c>
      <c r="CT728" s="230">
        <f t="shared" si="710"/>
        <v>33</v>
      </c>
      <c r="CU728" s="235">
        <f t="shared" si="711"/>
        <v>4.8487499999999999</v>
      </c>
      <c r="CV728" s="235" cm="1">
        <f t="array" ref="CV728">$BI728 * IF($AH728&lt;=2,
SUMPRODUCT(INDEX($AR$62:$AT$66,,$AI728), INDEX($AU$62:$BA$66,,$AH728), 1 / ($BB$62:$BB$66*CU728 + (1-$BB$62:$BB$66)*CQ728), N($AQ$62:$AQ$66&gt;$AO728)),
SUMPRODUCT(INDEX($AR$47:$AT$56,,$AI728), INDEX($AU$47:$BA$56,,$AH728), 1 / ($BC$47:$BC$56*CU728 + (1-$BC$47:$BC$56)*CQ728), N($AQ$47:$AQ$56&gt;$AO728))
) / 1000</f>
        <v>0</v>
      </c>
      <c r="CW728" s="235" cm="1">
        <f t="array" ref="CW728">$BI728 * IF($AH728&lt;=2,
SUMPRODUCT(INDEX($AR$23:$AT$61,,$AI728), INDEX($AU$23:$BA$61,,$AH728), 1 / ($BB$23:$BB$61*CU728), N($AQ$23:$AQ$61&gt;$AO728)),
SUMPRODUCT(INDEX($AR$23:$AT$46,,$AI728), INDEX($AU$23:$BA$46,,$AH728), 1 / ($BC$23:$BC$46*CU728), N($AQ$23:$AQ$46&gt;$AO728))
) / 1000</f>
        <v>0</v>
      </c>
      <c r="CX728" s="230">
        <f t="shared" si="712"/>
        <v>0</v>
      </c>
      <c r="CY728" s="238"/>
    </row>
    <row r="729" spans="1:103" s="76" customFormat="1" ht="14.25" customHeight="1" x14ac:dyDescent="0.2">
      <c r="A729" s="231" t="b">
        <f t="shared" si="716"/>
        <v>0</v>
      </c>
      <c r="B729" s="245">
        <v>707</v>
      </c>
      <c r="C729" s="258"/>
      <c r="D729" s="258"/>
      <c r="E729" s="246"/>
      <c r="F729" s="247" t="str">
        <f>IF(ISBLANK(E729), "", VLOOKUP(E729, Z!$A$2:$C$4127, 3, FALSE))</f>
        <v/>
      </c>
      <c r="G729" s="248"/>
      <c r="H729" s="248"/>
      <c r="I729" s="249"/>
      <c r="J729" s="250"/>
      <c r="K729" s="259"/>
      <c r="L729" s="260"/>
      <c r="M729" s="252" t="str" cm="1">
        <f t="array" ref="M729">INDEX(Trad, 53, $A$20)</f>
        <v>Verschmutzt</v>
      </c>
      <c r="N729" s="253"/>
      <c r="O729" s="253"/>
      <c r="P729" s="254"/>
      <c r="Q729" s="251"/>
      <c r="R729" s="251"/>
      <c r="S729" s="264">
        <f t="shared" si="687"/>
        <v>0</v>
      </c>
      <c r="T729" s="252" t="str" cm="1">
        <f t="array" ref="T729">INDEX(Trad, 52, $A$20)</f>
        <v>Sauber</v>
      </c>
      <c r="U729" s="253"/>
      <c r="V729" s="253"/>
      <c r="W729" s="254"/>
      <c r="X729" s="251"/>
      <c r="Y729" s="251"/>
      <c r="Z729" s="264">
        <f t="shared" si="688"/>
        <v>0</v>
      </c>
      <c r="AA729" s="261"/>
      <c r="AB729" s="258"/>
      <c r="AC729" s="246"/>
      <c r="AD729" s="247" t="str">
        <f>IF(ISBLANK(AC729), "", VLOOKUP(AC729, Z!$A$2:$C$4127, 3, FALSE))</f>
        <v/>
      </c>
      <c r="AE729" s="262"/>
      <c r="AF729" s="263">
        <f t="shared" si="689"/>
        <v>0</v>
      </c>
      <c r="AG729" s="238"/>
      <c r="AH729" s="229">
        <f t="shared" si="713"/>
        <v>1</v>
      </c>
      <c r="AI729" s="229">
        <f t="shared" si="714"/>
        <v>1</v>
      </c>
      <c r="AJ729" s="229">
        <f t="shared" si="715"/>
        <v>0</v>
      </c>
      <c r="AK729" s="229">
        <v>0</v>
      </c>
      <c r="AL729" s="229">
        <v>0</v>
      </c>
      <c r="AM729" s="229">
        <v>1</v>
      </c>
      <c r="AN729" s="229">
        <v>0</v>
      </c>
      <c r="AO729" s="229">
        <f t="shared" si="690"/>
        <v>-100</v>
      </c>
      <c r="AP729" s="238"/>
      <c r="AQ729" s="255"/>
      <c r="AR729" s="255"/>
      <c r="AS729" s="256"/>
      <c r="AT729" s="256"/>
      <c r="AU729" s="256"/>
      <c r="AV729" s="256"/>
      <c r="AW729" s="256"/>
      <c r="AX729" s="256"/>
      <c r="AY729" s="256"/>
      <c r="AZ729" s="256"/>
      <c r="BA729" s="256"/>
      <c r="BB729" s="256"/>
      <c r="BC729" s="256"/>
      <c r="BD729" s="238"/>
      <c r="BE729" s="229" cm="1">
        <f t="array" ref="BE729">IF(ISBLANK(R729), INDEX(Use, $AH729, 4) - AM729*INDEX(Use, $AH729, 6), R729)</f>
        <v>5</v>
      </c>
      <c r="BF729" s="229">
        <f t="shared" si="691"/>
        <v>30</v>
      </c>
      <c r="BG729" s="229">
        <f t="shared" si="717"/>
        <v>13</v>
      </c>
      <c r="BH729" s="229">
        <f t="shared" si="718"/>
        <v>0</v>
      </c>
      <c r="BI729" s="234" cm="1">
        <f t="array" ref="BI729">K729/IF($L729&gt;0, INDEX($AU$23:$BA$77, $L729+20, $AH729), 1)</f>
        <v>0</v>
      </c>
      <c r="BJ729" s="230">
        <f t="shared" si="692"/>
        <v>0</v>
      </c>
      <c r="BK729" s="229">
        <v>35</v>
      </c>
      <c r="BL729" s="230">
        <f t="shared" si="693"/>
        <v>48</v>
      </c>
      <c r="BM729" s="235">
        <f t="shared" si="694"/>
        <v>2.9108720930232557</v>
      </c>
      <c r="BN729" s="235" cm="1">
        <f t="array" ref="BN729">$BI729 * SUMPRODUCT(INDEX($AR$77:$AT$82,,$AI729),INDEX($AU$77:$BA$82,,$AH729), N($AQ$77:$AQ$82&gt;$AO729)) / BM729 / 1000</f>
        <v>0</v>
      </c>
      <c r="BO729" s="232">
        <f t="shared" si="719"/>
        <v>30</v>
      </c>
      <c r="BP729" s="230">
        <f t="shared" si="695"/>
        <v>43</v>
      </c>
      <c r="BQ729" s="235">
        <f t="shared" si="696"/>
        <v>3.2938815789473681</v>
      </c>
      <c r="BR729" s="235" cm="1">
        <f t="array" ref="BR729">$BI729 * IF($AH729&lt;=2,
SUMPRODUCT(INDEX($AR$72:$AT$76,,$AI729), INDEX($AU$72:$BA$76,,$AH729), 1 / ($BB$72:$BB$76*BQ729 + (1-$BB$72:$BB$76)*BM729), N($AQ$72:$AQ$76&gt;$AO729)),
SUMPRODUCT(INDEX($AR$67:$AT$76,,$AI729), INDEX($AU$67:$BA$76,,$AH729), 1 / ($BC$67:$BC$76*BQ729 + (1-$BC$67:$BC$76)*BM729), N($AQ$67:$AQ$76&gt;$AO729))
) / 1000</f>
        <v>0</v>
      </c>
      <c r="BS729" s="232">
        <f t="shared" si="720"/>
        <v>25</v>
      </c>
      <c r="BT729" s="230">
        <f t="shared" si="697"/>
        <v>38</v>
      </c>
      <c r="BU729" s="235">
        <f t="shared" si="698"/>
        <v>3.792954545454545</v>
      </c>
      <c r="BV729" s="235" cm="1">
        <f t="array" ref="BV729">$BI729 * IF($AH729&lt;=2,
SUMPRODUCT(INDEX($AR$67:$AT$71,,$AI729), INDEX($AU$67:$BA$71,,$AH729), 1 / ($BB$67:$BB$71*BU729 + (1-$BB$67:$BB$71)*BQ729), N($AQ$67:$AQ$71&gt;$AO729)),
SUMPRODUCT(INDEX($AR$57:$AT$66,,$AI729), INDEX($AU$57:$BA$66,,$AH729), 1 / ($BC$57:$BC$66*BU729 + (1-$BC$57:$BC$66)*BQ729), N($AQ$57:$AQ$66&gt;$AO729))
) / 1000</f>
        <v>0</v>
      </c>
      <c r="BW729" s="232">
        <f t="shared" si="721"/>
        <v>20</v>
      </c>
      <c r="BX729" s="230">
        <f t="shared" si="699"/>
        <v>33</v>
      </c>
      <c r="BY729" s="235">
        <f t="shared" si="700"/>
        <v>4.4702678571428569</v>
      </c>
      <c r="BZ729" s="235" cm="1">
        <f t="array" ref="BZ729">$BI729 * IF($AH729&lt;=2,
SUMPRODUCT(INDEX($AR$62:$AT$66,,$AI729), INDEX($AU$62:$BA$66,,$AH729), 1 / ($BB$62:$BB$66*BY729 + (1-$BB$62:$BB$66)*BU729), N($AQ$62:$AQ$66&gt;$AO729)),
SUMPRODUCT(INDEX($AR$47:$AT$56,,$AI729), INDEX($AU$47:$BA$56,,$AH729), 1 / ($BC$47:$BC$56*BY729 + (1-$BC$47:$BC$56)*BU729), N($AQ$47:$AQ$56&gt;$AO729))
) / 1000</f>
        <v>0</v>
      </c>
      <c r="CA729" s="235" cm="1">
        <f t="array" ref="CA729">$BI729 * IF($AH729&lt;=2,
SUMPRODUCT(INDEX($AR$23:$AT$61,,$AI729), INDEX($AU$23:$BA$61,,$AH729), 1 / ($BB$23:$BB$61*BY729), N($AQ$23:$AQ$61&gt;$AO729)),
SUMPRODUCT(INDEX($AR$23:$AT$46,,$AI729), INDEX($AU$23:$BA$46,,$AH729), 1 / ($BC$23:$BC$46*BY729), N($AQ$23:$AQ$46&gt;$AO729))
) / 1000</f>
        <v>0</v>
      </c>
      <c r="CB729" s="230">
        <f t="shared" si="701"/>
        <v>0</v>
      </c>
      <c r="CC729" s="238"/>
      <c r="CD729" s="229" cm="1">
        <f t="array" ref="CD729">IF(ISBLANK(Y729), INDEX(Use, $AH729, 4) - AN729*INDEX(Use, $AH729, 6) - (Q729-X729), Y729)</f>
        <v>7</v>
      </c>
      <c r="CE729" s="229">
        <f t="shared" si="702"/>
        <v>32</v>
      </c>
      <c r="CF729" s="230">
        <f t="shared" si="703"/>
        <v>0</v>
      </c>
      <c r="CG729" s="229">
        <v>35</v>
      </c>
      <c r="CH729" s="230">
        <f t="shared" si="704"/>
        <v>48</v>
      </c>
      <c r="CI729" s="235">
        <f t="shared" si="705"/>
        <v>3.0748170731707316</v>
      </c>
      <c r="CJ729" s="235" cm="1">
        <f t="array" ref="CJ729">$BI729 * SUMPRODUCT(INDEX($AR$77:$AT$82,,$AI729),INDEX($AU$77:$BA$82,,$AH729), N($AQ$77:$AQ$82&gt;$AO729)) / CI729 / 1000</f>
        <v>0</v>
      </c>
      <c r="CK729" s="232">
        <f t="shared" si="722"/>
        <v>30</v>
      </c>
      <c r="CL729" s="230">
        <f t="shared" si="706"/>
        <v>43</v>
      </c>
      <c r="CM729" s="235">
        <f t="shared" si="707"/>
        <v>3.5018750000000001</v>
      </c>
      <c r="CN729" s="235" cm="1">
        <f t="array" ref="CN729">$BI729 * IF($AH729&lt;=2,
SUMPRODUCT(INDEX($AR$72:$AT$76,,$AI729), INDEX($AU$72:$BA$76,,$AH729), 1 / ($BB$72:$BB$76*CM729 + (1-$BB$72:$BB$76)*CI729), N($AQ$72:$AQ$76&gt;$AO729)),
SUMPRODUCT(INDEX($AR$67:$AT$76,,$AI729), INDEX($AU$67:$BA$76,,$AH729), 1 / ($BC$67:$BC$76*CM729 + (1-$BC$67:$BC$76)*CI729), N($AQ$67:$AQ$76&gt;$AO729))
) / 1000</f>
        <v>0</v>
      </c>
      <c r="CO729" s="232">
        <f t="shared" si="723"/>
        <v>25</v>
      </c>
      <c r="CP729" s="230">
        <f t="shared" si="708"/>
        <v>38</v>
      </c>
      <c r="CQ729" s="235">
        <f t="shared" si="709"/>
        <v>4.0666935483870965</v>
      </c>
      <c r="CR729" s="235" cm="1">
        <f t="array" ref="CR729">$BI729 * IF($AH729&lt;=2,
SUMPRODUCT(INDEX($AR$67:$AT$71,,$AI729), INDEX($AU$67:$BA$71,,$AH729), 1 / ($BB$67:$BB$71*CQ729 + (1-$BB$67:$BB$71)*CM729), N($AQ$67:$AQ$71&gt;$AO729)),
SUMPRODUCT(INDEX($AR$57:$AT$66,,$AI729), INDEX($AU$57:$BA$66,,$AH729), 1 / ($BC$57:$BC$66*CQ729 + (1-$BC$57:$BC$66)*CM729), N($AQ$57:$AQ$66&gt;$AO729))
) / 1000</f>
        <v>0</v>
      </c>
      <c r="CS729" s="232">
        <f t="shared" si="724"/>
        <v>20</v>
      </c>
      <c r="CT729" s="230">
        <f t="shared" si="710"/>
        <v>33</v>
      </c>
      <c r="CU729" s="235">
        <f t="shared" si="711"/>
        <v>4.8487499999999999</v>
      </c>
      <c r="CV729" s="235" cm="1">
        <f t="array" ref="CV729">$BI729 * IF($AH729&lt;=2,
SUMPRODUCT(INDEX($AR$62:$AT$66,,$AI729), INDEX($AU$62:$BA$66,,$AH729), 1 / ($BB$62:$BB$66*CU729 + (1-$BB$62:$BB$66)*CQ729), N($AQ$62:$AQ$66&gt;$AO729)),
SUMPRODUCT(INDEX($AR$47:$AT$56,,$AI729), INDEX($AU$47:$BA$56,,$AH729), 1 / ($BC$47:$BC$56*CU729 + (1-$BC$47:$BC$56)*CQ729), N($AQ$47:$AQ$56&gt;$AO729))
) / 1000</f>
        <v>0</v>
      </c>
      <c r="CW729" s="235" cm="1">
        <f t="array" ref="CW729">$BI729 * IF($AH729&lt;=2,
SUMPRODUCT(INDEX($AR$23:$AT$61,,$AI729), INDEX($AU$23:$BA$61,,$AH729), 1 / ($BB$23:$BB$61*CU729), N($AQ$23:$AQ$61&gt;$AO729)),
SUMPRODUCT(INDEX($AR$23:$AT$46,,$AI729), INDEX($AU$23:$BA$46,,$AH729), 1 / ($BC$23:$BC$46*CU729), N($AQ$23:$AQ$46&gt;$AO729))
) / 1000</f>
        <v>0</v>
      </c>
      <c r="CX729" s="230">
        <f t="shared" si="712"/>
        <v>0</v>
      </c>
      <c r="CY729" s="238"/>
    </row>
    <row r="730" spans="1:103" s="76" customFormat="1" ht="14.25" customHeight="1" x14ac:dyDescent="0.2">
      <c r="A730" s="231" t="b">
        <f t="shared" si="716"/>
        <v>0</v>
      </c>
      <c r="B730" s="245">
        <v>708</v>
      </c>
      <c r="C730" s="258"/>
      <c r="D730" s="258"/>
      <c r="E730" s="246"/>
      <c r="F730" s="247" t="str">
        <f>IF(ISBLANK(E730), "", VLOOKUP(E730, Z!$A$2:$C$4127, 3, FALSE))</f>
        <v/>
      </c>
      <c r="G730" s="248"/>
      <c r="H730" s="248"/>
      <c r="I730" s="249"/>
      <c r="J730" s="250"/>
      <c r="K730" s="259"/>
      <c r="L730" s="260"/>
      <c r="M730" s="252" t="str" cm="1">
        <f t="array" ref="M730">INDEX(Trad, 53, $A$20)</f>
        <v>Verschmutzt</v>
      </c>
      <c r="N730" s="253"/>
      <c r="O730" s="253"/>
      <c r="P730" s="254"/>
      <c r="Q730" s="251"/>
      <c r="R730" s="251"/>
      <c r="S730" s="264">
        <f t="shared" si="687"/>
        <v>0</v>
      </c>
      <c r="T730" s="252" t="str" cm="1">
        <f t="array" ref="T730">INDEX(Trad, 52, $A$20)</f>
        <v>Sauber</v>
      </c>
      <c r="U730" s="253"/>
      <c r="V730" s="253"/>
      <c r="W730" s="254"/>
      <c r="X730" s="251"/>
      <c r="Y730" s="251"/>
      <c r="Z730" s="264">
        <f t="shared" si="688"/>
        <v>0</v>
      </c>
      <c r="AA730" s="261"/>
      <c r="AB730" s="258"/>
      <c r="AC730" s="246"/>
      <c r="AD730" s="247" t="str">
        <f>IF(ISBLANK(AC730), "", VLOOKUP(AC730, Z!$A$2:$C$4127, 3, FALSE))</f>
        <v/>
      </c>
      <c r="AE730" s="262"/>
      <c r="AF730" s="263">
        <f t="shared" si="689"/>
        <v>0</v>
      </c>
      <c r="AG730" s="238"/>
      <c r="AH730" s="229">
        <f t="shared" si="713"/>
        <v>1</v>
      </c>
      <c r="AI730" s="229">
        <f t="shared" si="714"/>
        <v>1</v>
      </c>
      <c r="AJ730" s="229">
        <f t="shared" si="715"/>
        <v>0</v>
      </c>
      <c r="AK730" s="229">
        <v>0</v>
      </c>
      <c r="AL730" s="229">
        <v>0</v>
      </c>
      <c r="AM730" s="229">
        <v>1</v>
      </c>
      <c r="AN730" s="229">
        <v>0</v>
      </c>
      <c r="AO730" s="229">
        <f t="shared" si="690"/>
        <v>-100</v>
      </c>
      <c r="AP730" s="238"/>
      <c r="AQ730" s="255"/>
      <c r="AR730" s="255"/>
      <c r="AS730" s="256"/>
      <c r="AT730" s="256"/>
      <c r="AU730" s="256"/>
      <c r="AV730" s="256"/>
      <c r="AW730" s="256"/>
      <c r="AX730" s="256"/>
      <c r="AY730" s="256"/>
      <c r="AZ730" s="256"/>
      <c r="BA730" s="256"/>
      <c r="BB730" s="256"/>
      <c r="BC730" s="256"/>
      <c r="BD730" s="238"/>
      <c r="BE730" s="229" cm="1">
        <f t="array" ref="BE730">IF(ISBLANK(R730), INDEX(Use, $AH730, 4) - AM730*INDEX(Use, $AH730, 6), R730)</f>
        <v>5</v>
      </c>
      <c r="BF730" s="229">
        <f t="shared" si="691"/>
        <v>30</v>
      </c>
      <c r="BG730" s="229">
        <f t="shared" si="717"/>
        <v>13</v>
      </c>
      <c r="BH730" s="229">
        <f t="shared" si="718"/>
        <v>0</v>
      </c>
      <c r="BI730" s="234" cm="1">
        <f t="array" ref="BI730">K730/IF($L730&gt;0, INDEX($AU$23:$BA$77, $L730+20, $AH730), 1)</f>
        <v>0</v>
      </c>
      <c r="BJ730" s="230">
        <f t="shared" si="692"/>
        <v>0</v>
      </c>
      <c r="BK730" s="229">
        <v>35</v>
      </c>
      <c r="BL730" s="230">
        <f t="shared" si="693"/>
        <v>48</v>
      </c>
      <c r="BM730" s="235">
        <f t="shared" si="694"/>
        <v>2.9108720930232557</v>
      </c>
      <c r="BN730" s="235" cm="1">
        <f t="array" ref="BN730">$BI730 * SUMPRODUCT(INDEX($AR$77:$AT$82,,$AI730),INDEX($AU$77:$BA$82,,$AH730), N($AQ$77:$AQ$82&gt;$AO730)) / BM730 / 1000</f>
        <v>0</v>
      </c>
      <c r="BO730" s="232">
        <f t="shared" si="719"/>
        <v>30</v>
      </c>
      <c r="BP730" s="230">
        <f t="shared" si="695"/>
        <v>43</v>
      </c>
      <c r="BQ730" s="235">
        <f t="shared" si="696"/>
        <v>3.2938815789473681</v>
      </c>
      <c r="BR730" s="235" cm="1">
        <f t="array" ref="BR730">$BI730 * IF($AH730&lt;=2,
SUMPRODUCT(INDEX($AR$72:$AT$76,,$AI730), INDEX($AU$72:$BA$76,,$AH730), 1 / ($BB$72:$BB$76*BQ730 + (1-$BB$72:$BB$76)*BM730), N($AQ$72:$AQ$76&gt;$AO730)),
SUMPRODUCT(INDEX($AR$67:$AT$76,,$AI730), INDEX($AU$67:$BA$76,,$AH730), 1 / ($BC$67:$BC$76*BQ730 + (1-$BC$67:$BC$76)*BM730), N($AQ$67:$AQ$76&gt;$AO730))
) / 1000</f>
        <v>0</v>
      </c>
      <c r="BS730" s="232">
        <f t="shared" si="720"/>
        <v>25</v>
      </c>
      <c r="BT730" s="230">
        <f t="shared" si="697"/>
        <v>38</v>
      </c>
      <c r="BU730" s="235">
        <f t="shared" si="698"/>
        <v>3.792954545454545</v>
      </c>
      <c r="BV730" s="235" cm="1">
        <f t="array" ref="BV730">$BI730 * IF($AH730&lt;=2,
SUMPRODUCT(INDEX($AR$67:$AT$71,,$AI730), INDEX($AU$67:$BA$71,,$AH730), 1 / ($BB$67:$BB$71*BU730 + (1-$BB$67:$BB$71)*BQ730), N($AQ$67:$AQ$71&gt;$AO730)),
SUMPRODUCT(INDEX($AR$57:$AT$66,,$AI730), INDEX($AU$57:$BA$66,,$AH730), 1 / ($BC$57:$BC$66*BU730 + (1-$BC$57:$BC$66)*BQ730), N($AQ$57:$AQ$66&gt;$AO730))
) / 1000</f>
        <v>0</v>
      </c>
      <c r="BW730" s="232">
        <f t="shared" si="721"/>
        <v>20</v>
      </c>
      <c r="BX730" s="230">
        <f t="shared" si="699"/>
        <v>33</v>
      </c>
      <c r="BY730" s="235">
        <f t="shared" si="700"/>
        <v>4.4702678571428569</v>
      </c>
      <c r="BZ730" s="235" cm="1">
        <f t="array" ref="BZ730">$BI730 * IF($AH730&lt;=2,
SUMPRODUCT(INDEX($AR$62:$AT$66,,$AI730), INDEX($AU$62:$BA$66,,$AH730), 1 / ($BB$62:$BB$66*BY730 + (1-$BB$62:$BB$66)*BU730), N($AQ$62:$AQ$66&gt;$AO730)),
SUMPRODUCT(INDEX($AR$47:$AT$56,,$AI730), INDEX($AU$47:$BA$56,,$AH730), 1 / ($BC$47:$BC$56*BY730 + (1-$BC$47:$BC$56)*BU730), N($AQ$47:$AQ$56&gt;$AO730))
) / 1000</f>
        <v>0</v>
      </c>
      <c r="CA730" s="235" cm="1">
        <f t="array" ref="CA730">$BI730 * IF($AH730&lt;=2,
SUMPRODUCT(INDEX($AR$23:$AT$61,,$AI730), INDEX($AU$23:$BA$61,,$AH730), 1 / ($BB$23:$BB$61*BY730), N($AQ$23:$AQ$61&gt;$AO730)),
SUMPRODUCT(INDEX($AR$23:$AT$46,,$AI730), INDEX($AU$23:$BA$46,,$AH730), 1 / ($BC$23:$BC$46*BY730), N($AQ$23:$AQ$46&gt;$AO730))
) / 1000</f>
        <v>0</v>
      </c>
      <c r="CB730" s="230">
        <f t="shared" si="701"/>
        <v>0</v>
      </c>
      <c r="CC730" s="238"/>
      <c r="CD730" s="229" cm="1">
        <f t="array" ref="CD730">IF(ISBLANK(Y730), INDEX(Use, $AH730, 4) - AN730*INDEX(Use, $AH730, 6) - (Q730-X730), Y730)</f>
        <v>7</v>
      </c>
      <c r="CE730" s="229">
        <f t="shared" si="702"/>
        <v>32</v>
      </c>
      <c r="CF730" s="230">
        <f t="shared" si="703"/>
        <v>0</v>
      </c>
      <c r="CG730" s="229">
        <v>35</v>
      </c>
      <c r="CH730" s="230">
        <f t="shared" si="704"/>
        <v>48</v>
      </c>
      <c r="CI730" s="235">
        <f t="shared" si="705"/>
        <v>3.0748170731707316</v>
      </c>
      <c r="CJ730" s="235" cm="1">
        <f t="array" ref="CJ730">$BI730 * SUMPRODUCT(INDEX($AR$77:$AT$82,,$AI730),INDEX($AU$77:$BA$82,,$AH730), N($AQ$77:$AQ$82&gt;$AO730)) / CI730 / 1000</f>
        <v>0</v>
      </c>
      <c r="CK730" s="232">
        <f t="shared" si="722"/>
        <v>30</v>
      </c>
      <c r="CL730" s="230">
        <f t="shared" si="706"/>
        <v>43</v>
      </c>
      <c r="CM730" s="235">
        <f t="shared" si="707"/>
        <v>3.5018750000000001</v>
      </c>
      <c r="CN730" s="235" cm="1">
        <f t="array" ref="CN730">$BI730 * IF($AH730&lt;=2,
SUMPRODUCT(INDEX($AR$72:$AT$76,,$AI730), INDEX($AU$72:$BA$76,,$AH730), 1 / ($BB$72:$BB$76*CM730 + (1-$BB$72:$BB$76)*CI730), N($AQ$72:$AQ$76&gt;$AO730)),
SUMPRODUCT(INDEX($AR$67:$AT$76,,$AI730), INDEX($AU$67:$BA$76,,$AH730), 1 / ($BC$67:$BC$76*CM730 + (1-$BC$67:$BC$76)*CI730), N($AQ$67:$AQ$76&gt;$AO730))
) / 1000</f>
        <v>0</v>
      </c>
      <c r="CO730" s="232">
        <f t="shared" si="723"/>
        <v>25</v>
      </c>
      <c r="CP730" s="230">
        <f t="shared" si="708"/>
        <v>38</v>
      </c>
      <c r="CQ730" s="235">
        <f t="shared" si="709"/>
        <v>4.0666935483870965</v>
      </c>
      <c r="CR730" s="235" cm="1">
        <f t="array" ref="CR730">$BI730 * IF($AH730&lt;=2,
SUMPRODUCT(INDEX($AR$67:$AT$71,,$AI730), INDEX($AU$67:$BA$71,,$AH730), 1 / ($BB$67:$BB$71*CQ730 + (1-$BB$67:$BB$71)*CM730), N($AQ$67:$AQ$71&gt;$AO730)),
SUMPRODUCT(INDEX($AR$57:$AT$66,,$AI730), INDEX($AU$57:$BA$66,,$AH730), 1 / ($BC$57:$BC$66*CQ730 + (1-$BC$57:$BC$66)*CM730), N($AQ$57:$AQ$66&gt;$AO730))
) / 1000</f>
        <v>0</v>
      </c>
      <c r="CS730" s="232">
        <f t="shared" si="724"/>
        <v>20</v>
      </c>
      <c r="CT730" s="230">
        <f t="shared" si="710"/>
        <v>33</v>
      </c>
      <c r="CU730" s="235">
        <f t="shared" si="711"/>
        <v>4.8487499999999999</v>
      </c>
      <c r="CV730" s="235" cm="1">
        <f t="array" ref="CV730">$BI730 * IF($AH730&lt;=2,
SUMPRODUCT(INDEX($AR$62:$AT$66,,$AI730), INDEX($AU$62:$BA$66,,$AH730), 1 / ($BB$62:$BB$66*CU730 + (1-$BB$62:$BB$66)*CQ730), N($AQ$62:$AQ$66&gt;$AO730)),
SUMPRODUCT(INDEX($AR$47:$AT$56,,$AI730), INDEX($AU$47:$BA$56,,$AH730), 1 / ($BC$47:$BC$56*CU730 + (1-$BC$47:$BC$56)*CQ730), N($AQ$47:$AQ$56&gt;$AO730))
) / 1000</f>
        <v>0</v>
      </c>
      <c r="CW730" s="235" cm="1">
        <f t="array" ref="CW730">$BI730 * IF($AH730&lt;=2,
SUMPRODUCT(INDEX($AR$23:$AT$61,,$AI730), INDEX($AU$23:$BA$61,,$AH730), 1 / ($BB$23:$BB$61*CU730), N($AQ$23:$AQ$61&gt;$AO730)),
SUMPRODUCT(INDEX($AR$23:$AT$46,,$AI730), INDEX($AU$23:$BA$46,,$AH730), 1 / ($BC$23:$BC$46*CU730), N($AQ$23:$AQ$46&gt;$AO730))
) / 1000</f>
        <v>0</v>
      </c>
      <c r="CX730" s="230">
        <f t="shared" si="712"/>
        <v>0</v>
      </c>
      <c r="CY730" s="238"/>
    </row>
    <row r="731" spans="1:103" s="76" customFormat="1" ht="14.25" customHeight="1" x14ac:dyDescent="0.2">
      <c r="A731" s="231" t="b">
        <f t="shared" si="716"/>
        <v>0</v>
      </c>
      <c r="B731" s="245">
        <v>709</v>
      </c>
      <c r="C731" s="258"/>
      <c r="D731" s="258"/>
      <c r="E731" s="246"/>
      <c r="F731" s="247" t="str">
        <f>IF(ISBLANK(E731), "", VLOOKUP(E731, Z!$A$2:$C$4127, 3, FALSE))</f>
        <v/>
      </c>
      <c r="G731" s="248"/>
      <c r="H731" s="248"/>
      <c r="I731" s="249"/>
      <c r="J731" s="250"/>
      <c r="K731" s="259"/>
      <c r="L731" s="260"/>
      <c r="M731" s="252" t="str" cm="1">
        <f t="array" ref="M731">INDEX(Trad, 53, $A$20)</f>
        <v>Verschmutzt</v>
      </c>
      <c r="N731" s="253"/>
      <c r="O731" s="253"/>
      <c r="P731" s="254"/>
      <c r="Q731" s="251"/>
      <c r="R731" s="251"/>
      <c r="S731" s="264">
        <f t="shared" si="687"/>
        <v>0</v>
      </c>
      <c r="T731" s="252" t="str" cm="1">
        <f t="array" ref="T731">INDEX(Trad, 52, $A$20)</f>
        <v>Sauber</v>
      </c>
      <c r="U731" s="253"/>
      <c r="V731" s="253"/>
      <c r="W731" s="254"/>
      <c r="X731" s="251"/>
      <c r="Y731" s="251"/>
      <c r="Z731" s="264">
        <f t="shared" si="688"/>
        <v>0</v>
      </c>
      <c r="AA731" s="261"/>
      <c r="AB731" s="258"/>
      <c r="AC731" s="246"/>
      <c r="AD731" s="247" t="str">
        <f>IF(ISBLANK(AC731), "", VLOOKUP(AC731, Z!$A$2:$C$4127, 3, FALSE))</f>
        <v/>
      </c>
      <c r="AE731" s="262"/>
      <c r="AF731" s="263">
        <f t="shared" si="689"/>
        <v>0</v>
      </c>
      <c r="AG731" s="238"/>
      <c r="AH731" s="229">
        <f t="shared" si="713"/>
        <v>1</v>
      </c>
      <c r="AI731" s="229">
        <f t="shared" si="714"/>
        <v>1</v>
      </c>
      <c r="AJ731" s="229">
        <f t="shared" si="715"/>
        <v>0</v>
      </c>
      <c r="AK731" s="229">
        <v>0</v>
      </c>
      <c r="AL731" s="229">
        <v>0</v>
      </c>
      <c r="AM731" s="229">
        <v>1</v>
      </c>
      <c r="AN731" s="229">
        <v>0</v>
      </c>
      <c r="AO731" s="229">
        <f t="shared" si="690"/>
        <v>-100</v>
      </c>
      <c r="AP731" s="238"/>
      <c r="AQ731" s="255"/>
      <c r="AR731" s="255"/>
      <c r="AS731" s="256"/>
      <c r="AT731" s="256"/>
      <c r="AU731" s="256"/>
      <c r="AV731" s="256"/>
      <c r="AW731" s="256"/>
      <c r="AX731" s="256"/>
      <c r="AY731" s="256"/>
      <c r="AZ731" s="256"/>
      <c r="BA731" s="256"/>
      <c r="BB731" s="256"/>
      <c r="BC731" s="256"/>
      <c r="BD731" s="238"/>
      <c r="BE731" s="229" cm="1">
        <f t="array" ref="BE731">IF(ISBLANK(R731), INDEX(Use, $AH731, 4) - AM731*INDEX(Use, $AH731, 6), R731)</f>
        <v>5</v>
      </c>
      <c r="BF731" s="229">
        <f t="shared" si="691"/>
        <v>30</v>
      </c>
      <c r="BG731" s="229">
        <f t="shared" si="717"/>
        <v>13</v>
      </c>
      <c r="BH731" s="229">
        <f t="shared" si="718"/>
        <v>0</v>
      </c>
      <c r="BI731" s="234" cm="1">
        <f t="array" ref="BI731">K731/IF($L731&gt;0, INDEX($AU$23:$BA$77, $L731+20, $AH731), 1)</f>
        <v>0</v>
      </c>
      <c r="BJ731" s="230">
        <f t="shared" si="692"/>
        <v>0</v>
      </c>
      <c r="BK731" s="229">
        <v>35</v>
      </c>
      <c r="BL731" s="230">
        <f t="shared" si="693"/>
        <v>48</v>
      </c>
      <c r="BM731" s="235">
        <f t="shared" si="694"/>
        <v>2.9108720930232557</v>
      </c>
      <c r="BN731" s="235" cm="1">
        <f t="array" ref="BN731">$BI731 * SUMPRODUCT(INDEX($AR$77:$AT$82,,$AI731),INDEX($AU$77:$BA$82,,$AH731), N($AQ$77:$AQ$82&gt;$AO731)) / BM731 / 1000</f>
        <v>0</v>
      </c>
      <c r="BO731" s="232">
        <f t="shared" si="719"/>
        <v>30</v>
      </c>
      <c r="BP731" s="230">
        <f t="shared" si="695"/>
        <v>43</v>
      </c>
      <c r="BQ731" s="235">
        <f t="shared" si="696"/>
        <v>3.2938815789473681</v>
      </c>
      <c r="BR731" s="235" cm="1">
        <f t="array" ref="BR731">$BI731 * IF($AH731&lt;=2,
SUMPRODUCT(INDEX($AR$72:$AT$76,,$AI731), INDEX($AU$72:$BA$76,,$AH731), 1 / ($BB$72:$BB$76*BQ731 + (1-$BB$72:$BB$76)*BM731), N($AQ$72:$AQ$76&gt;$AO731)),
SUMPRODUCT(INDEX($AR$67:$AT$76,,$AI731), INDEX($AU$67:$BA$76,,$AH731), 1 / ($BC$67:$BC$76*BQ731 + (1-$BC$67:$BC$76)*BM731), N($AQ$67:$AQ$76&gt;$AO731))
) / 1000</f>
        <v>0</v>
      </c>
      <c r="BS731" s="232">
        <f t="shared" si="720"/>
        <v>25</v>
      </c>
      <c r="BT731" s="230">
        <f t="shared" si="697"/>
        <v>38</v>
      </c>
      <c r="BU731" s="235">
        <f t="shared" si="698"/>
        <v>3.792954545454545</v>
      </c>
      <c r="BV731" s="235" cm="1">
        <f t="array" ref="BV731">$BI731 * IF($AH731&lt;=2,
SUMPRODUCT(INDEX($AR$67:$AT$71,,$AI731), INDEX($AU$67:$BA$71,,$AH731), 1 / ($BB$67:$BB$71*BU731 + (1-$BB$67:$BB$71)*BQ731), N($AQ$67:$AQ$71&gt;$AO731)),
SUMPRODUCT(INDEX($AR$57:$AT$66,,$AI731), INDEX($AU$57:$BA$66,,$AH731), 1 / ($BC$57:$BC$66*BU731 + (1-$BC$57:$BC$66)*BQ731), N($AQ$57:$AQ$66&gt;$AO731))
) / 1000</f>
        <v>0</v>
      </c>
      <c r="BW731" s="232">
        <f t="shared" si="721"/>
        <v>20</v>
      </c>
      <c r="BX731" s="230">
        <f t="shared" si="699"/>
        <v>33</v>
      </c>
      <c r="BY731" s="235">
        <f t="shared" si="700"/>
        <v>4.4702678571428569</v>
      </c>
      <c r="BZ731" s="235" cm="1">
        <f t="array" ref="BZ731">$BI731 * IF($AH731&lt;=2,
SUMPRODUCT(INDEX($AR$62:$AT$66,,$AI731), INDEX($AU$62:$BA$66,,$AH731), 1 / ($BB$62:$BB$66*BY731 + (1-$BB$62:$BB$66)*BU731), N($AQ$62:$AQ$66&gt;$AO731)),
SUMPRODUCT(INDEX($AR$47:$AT$56,,$AI731), INDEX($AU$47:$BA$56,,$AH731), 1 / ($BC$47:$BC$56*BY731 + (1-$BC$47:$BC$56)*BU731), N($AQ$47:$AQ$56&gt;$AO731))
) / 1000</f>
        <v>0</v>
      </c>
      <c r="CA731" s="235" cm="1">
        <f t="array" ref="CA731">$BI731 * IF($AH731&lt;=2,
SUMPRODUCT(INDEX($AR$23:$AT$61,,$AI731), INDEX($AU$23:$BA$61,,$AH731), 1 / ($BB$23:$BB$61*BY731), N($AQ$23:$AQ$61&gt;$AO731)),
SUMPRODUCT(INDEX($AR$23:$AT$46,,$AI731), INDEX($AU$23:$BA$46,,$AH731), 1 / ($BC$23:$BC$46*BY731), N($AQ$23:$AQ$46&gt;$AO731))
) / 1000</f>
        <v>0</v>
      </c>
      <c r="CB731" s="230">
        <f t="shared" si="701"/>
        <v>0</v>
      </c>
      <c r="CC731" s="238"/>
      <c r="CD731" s="229" cm="1">
        <f t="array" ref="CD731">IF(ISBLANK(Y731), INDEX(Use, $AH731, 4) - AN731*INDEX(Use, $AH731, 6) - (Q731-X731), Y731)</f>
        <v>7</v>
      </c>
      <c r="CE731" s="229">
        <f t="shared" si="702"/>
        <v>32</v>
      </c>
      <c r="CF731" s="230">
        <f t="shared" si="703"/>
        <v>0</v>
      </c>
      <c r="CG731" s="229">
        <v>35</v>
      </c>
      <c r="CH731" s="230">
        <f t="shared" si="704"/>
        <v>48</v>
      </c>
      <c r="CI731" s="235">
        <f t="shared" si="705"/>
        <v>3.0748170731707316</v>
      </c>
      <c r="CJ731" s="235" cm="1">
        <f t="array" ref="CJ731">$BI731 * SUMPRODUCT(INDEX($AR$77:$AT$82,,$AI731),INDEX($AU$77:$BA$82,,$AH731), N($AQ$77:$AQ$82&gt;$AO731)) / CI731 / 1000</f>
        <v>0</v>
      </c>
      <c r="CK731" s="232">
        <f t="shared" si="722"/>
        <v>30</v>
      </c>
      <c r="CL731" s="230">
        <f t="shared" si="706"/>
        <v>43</v>
      </c>
      <c r="CM731" s="235">
        <f t="shared" si="707"/>
        <v>3.5018750000000001</v>
      </c>
      <c r="CN731" s="235" cm="1">
        <f t="array" ref="CN731">$BI731 * IF($AH731&lt;=2,
SUMPRODUCT(INDEX($AR$72:$AT$76,,$AI731), INDEX($AU$72:$BA$76,,$AH731), 1 / ($BB$72:$BB$76*CM731 + (1-$BB$72:$BB$76)*CI731), N($AQ$72:$AQ$76&gt;$AO731)),
SUMPRODUCT(INDEX($AR$67:$AT$76,,$AI731), INDEX($AU$67:$BA$76,,$AH731), 1 / ($BC$67:$BC$76*CM731 + (1-$BC$67:$BC$76)*CI731), N($AQ$67:$AQ$76&gt;$AO731))
) / 1000</f>
        <v>0</v>
      </c>
      <c r="CO731" s="232">
        <f t="shared" si="723"/>
        <v>25</v>
      </c>
      <c r="CP731" s="230">
        <f t="shared" si="708"/>
        <v>38</v>
      </c>
      <c r="CQ731" s="235">
        <f t="shared" si="709"/>
        <v>4.0666935483870965</v>
      </c>
      <c r="CR731" s="235" cm="1">
        <f t="array" ref="CR731">$BI731 * IF($AH731&lt;=2,
SUMPRODUCT(INDEX($AR$67:$AT$71,,$AI731), INDEX($AU$67:$BA$71,,$AH731), 1 / ($BB$67:$BB$71*CQ731 + (1-$BB$67:$BB$71)*CM731), N($AQ$67:$AQ$71&gt;$AO731)),
SUMPRODUCT(INDEX($AR$57:$AT$66,,$AI731), INDEX($AU$57:$BA$66,,$AH731), 1 / ($BC$57:$BC$66*CQ731 + (1-$BC$57:$BC$66)*CM731), N($AQ$57:$AQ$66&gt;$AO731))
) / 1000</f>
        <v>0</v>
      </c>
      <c r="CS731" s="232">
        <f t="shared" si="724"/>
        <v>20</v>
      </c>
      <c r="CT731" s="230">
        <f t="shared" si="710"/>
        <v>33</v>
      </c>
      <c r="CU731" s="235">
        <f t="shared" si="711"/>
        <v>4.8487499999999999</v>
      </c>
      <c r="CV731" s="235" cm="1">
        <f t="array" ref="CV731">$BI731 * IF($AH731&lt;=2,
SUMPRODUCT(INDEX($AR$62:$AT$66,,$AI731), INDEX($AU$62:$BA$66,,$AH731), 1 / ($BB$62:$BB$66*CU731 + (1-$BB$62:$BB$66)*CQ731), N($AQ$62:$AQ$66&gt;$AO731)),
SUMPRODUCT(INDEX($AR$47:$AT$56,,$AI731), INDEX($AU$47:$BA$56,,$AH731), 1 / ($BC$47:$BC$56*CU731 + (1-$BC$47:$BC$56)*CQ731), N($AQ$47:$AQ$56&gt;$AO731))
) / 1000</f>
        <v>0</v>
      </c>
      <c r="CW731" s="235" cm="1">
        <f t="array" ref="CW731">$BI731 * IF($AH731&lt;=2,
SUMPRODUCT(INDEX($AR$23:$AT$61,,$AI731), INDEX($AU$23:$BA$61,,$AH731), 1 / ($BB$23:$BB$61*CU731), N($AQ$23:$AQ$61&gt;$AO731)),
SUMPRODUCT(INDEX($AR$23:$AT$46,,$AI731), INDEX($AU$23:$BA$46,,$AH731), 1 / ($BC$23:$BC$46*CU731), N($AQ$23:$AQ$46&gt;$AO731))
) / 1000</f>
        <v>0</v>
      </c>
      <c r="CX731" s="230">
        <f t="shared" si="712"/>
        <v>0</v>
      </c>
      <c r="CY731" s="238"/>
    </row>
    <row r="732" spans="1:103" s="76" customFormat="1" ht="14.25" customHeight="1" x14ac:dyDescent="0.2">
      <c r="A732" s="231" t="b">
        <f t="shared" si="716"/>
        <v>0</v>
      </c>
      <c r="B732" s="245">
        <v>710</v>
      </c>
      <c r="C732" s="258"/>
      <c r="D732" s="258"/>
      <c r="E732" s="246"/>
      <c r="F732" s="247" t="str">
        <f>IF(ISBLANK(E732), "", VLOOKUP(E732, Z!$A$2:$C$4127, 3, FALSE))</f>
        <v/>
      </c>
      <c r="G732" s="248"/>
      <c r="H732" s="248"/>
      <c r="I732" s="249"/>
      <c r="J732" s="250"/>
      <c r="K732" s="259"/>
      <c r="L732" s="260"/>
      <c r="M732" s="252" t="str" cm="1">
        <f t="array" ref="M732">INDEX(Trad, 53, $A$20)</f>
        <v>Verschmutzt</v>
      </c>
      <c r="N732" s="253"/>
      <c r="O732" s="253"/>
      <c r="P732" s="254"/>
      <c r="Q732" s="251"/>
      <c r="R732" s="251"/>
      <c r="S732" s="264">
        <f t="shared" si="687"/>
        <v>0</v>
      </c>
      <c r="T732" s="252" t="str" cm="1">
        <f t="array" ref="T732">INDEX(Trad, 52, $A$20)</f>
        <v>Sauber</v>
      </c>
      <c r="U732" s="253"/>
      <c r="V732" s="253"/>
      <c r="W732" s="254"/>
      <c r="X732" s="251"/>
      <c r="Y732" s="251"/>
      <c r="Z732" s="264">
        <f t="shared" si="688"/>
        <v>0</v>
      </c>
      <c r="AA732" s="261"/>
      <c r="AB732" s="258"/>
      <c r="AC732" s="246"/>
      <c r="AD732" s="247" t="str">
        <f>IF(ISBLANK(AC732), "", VLOOKUP(AC732, Z!$A$2:$C$4127, 3, FALSE))</f>
        <v/>
      </c>
      <c r="AE732" s="262"/>
      <c r="AF732" s="263">
        <f t="shared" si="689"/>
        <v>0</v>
      </c>
      <c r="AG732" s="238"/>
      <c r="AH732" s="229">
        <f t="shared" si="713"/>
        <v>1</v>
      </c>
      <c r="AI732" s="229">
        <f t="shared" si="714"/>
        <v>1</v>
      </c>
      <c r="AJ732" s="229">
        <f t="shared" si="715"/>
        <v>0</v>
      </c>
      <c r="AK732" s="229">
        <v>0</v>
      </c>
      <c r="AL732" s="229">
        <v>0</v>
      </c>
      <c r="AM732" s="229">
        <v>1</v>
      </c>
      <c r="AN732" s="229">
        <v>0</v>
      </c>
      <c r="AO732" s="229">
        <f t="shared" si="690"/>
        <v>-100</v>
      </c>
      <c r="AP732" s="238"/>
      <c r="AQ732" s="255"/>
      <c r="AR732" s="255"/>
      <c r="AS732" s="256"/>
      <c r="AT732" s="256"/>
      <c r="AU732" s="256"/>
      <c r="AV732" s="256"/>
      <c r="AW732" s="256"/>
      <c r="AX732" s="256"/>
      <c r="AY732" s="256"/>
      <c r="AZ732" s="256"/>
      <c r="BA732" s="256"/>
      <c r="BB732" s="256"/>
      <c r="BC732" s="256"/>
      <c r="BD732" s="238"/>
      <c r="BE732" s="229" cm="1">
        <f t="array" ref="BE732">IF(ISBLANK(R732), INDEX(Use, $AH732, 4) - AM732*INDEX(Use, $AH732, 6), R732)</f>
        <v>5</v>
      </c>
      <c r="BF732" s="229">
        <f t="shared" si="691"/>
        <v>30</v>
      </c>
      <c r="BG732" s="229">
        <f t="shared" si="717"/>
        <v>13</v>
      </c>
      <c r="BH732" s="229">
        <f t="shared" si="718"/>
        <v>0</v>
      </c>
      <c r="BI732" s="234" cm="1">
        <f t="array" ref="BI732">K732/IF($L732&gt;0, INDEX($AU$23:$BA$77, $L732+20, $AH732), 1)</f>
        <v>0</v>
      </c>
      <c r="BJ732" s="230">
        <f t="shared" si="692"/>
        <v>0</v>
      </c>
      <c r="BK732" s="229">
        <v>35</v>
      </c>
      <c r="BL732" s="230">
        <f t="shared" si="693"/>
        <v>48</v>
      </c>
      <c r="BM732" s="235">
        <f t="shared" si="694"/>
        <v>2.9108720930232557</v>
      </c>
      <c r="BN732" s="235" cm="1">
        <f t="array" ref="BN732">$BI732 * SUMPRODUCT(INDEX($AR$77:$AT$82,,$AI732),INDEX($AU$77:$BA$82,,$AH732), N($AQ$77:$AQ$82&gt;$AO732)) / BM732 / 1000</f>
        <v>0</v>
      </c>
      <c r="BO732" s="232">
        <f t="shared" si="719"/>
        <v>30</v>
      </c>
      <c r="BP732" s="230">
        <f t="shared" si="695"/>
        <v>43</v>
      </c>
      <c r="BQ732" s="235">
        <f t="shared" si="696"/>
        <v>3.2938815789473681</v>
      </c>
      <c r="BR732" s="235" cm="1">
        <f t="array" ref="BR732">$BI732 * IF($AH732&lt;=2,
SUMPRODUCT(INDEX($AR$72:$AT$76,,$AI732), INDEX($AU$72:$BA$76,,$AH732), 1 / ($BB$72:$BB$76*BQ732 + (1-$BB$72:$BB$76)*BM732), N($AQ$72:$AQ$76&gt;$AO732)),
SUMPRODUCT(INDEX($AR$67:$AT$76,,$AI732), INDEX($AU$67:$BA$76,,$AH732), 1 / ($BC$67:$BC$76*BQ732 + (1-$BC$67:$BC$76)*BM732), N($AQ$67:$AQ$76&gt;$AO732))
) / 1000</f>
        <v>0</v>
      </c>
      <c r="BS732" s="232">
        <f t="shared" si="720"/>
        <v>25</v>
      </c>
      <c r="BT732" s="230">
        <f t="shared" si="697"/>
        <v>38</v>
      </c>
      <c r="BU732" s="235">
        <f t="shared" si="698"/>
        <v>3.792954545454545</v>
      </c>
      <c r="BV732" s="235" cm="1">
        <f t="array" ref="BV732">$BI732 * IF($AH732&lt;=2,
SUMPRODUCT(INDEX($AR$67:$AT$71,,$AI732), INDEX($AU$67:$BA$71,,$AH732), 1 / ($BB$67:$BB$71*BU732 + (1-$BB$67:$BB$71)*BQ732), N($AQ$67:$AQ$71&gt;$AO732)),
SUMPRODUCT(INDEX($AR$57:$AT$66,,$AI732), INDEX($AU$57:$BA$66,,$AH732), 1 / ($BC$57:$BC$66*BU732 + (1-$BC$57:$BC$66)*BQ732), N($AQ$57:$AQ$66&gt;$AO732))
) / 1000</f>
        <v>0</v>
      </c>
      <c r="BW732" s="232">
        <f t="shared" si="721"/>
        <v>20</v>
      </c>
      <c r="BX732" s="230">
        <f t="shared" si="699"/>
        <v>33</v>
      </c>
      <c r="BY732" s="235">
        <f t="shared" si="700"/>
        <v>4.4702678571428569</v>
      </c>
      <c r="BZ732" s="235" cm="1">
        <f t="array" ref="BZ732">$BI732 * IF($AH732&lt;=2,
SUMPRODUCT(INDEX($AR$62:$AT$66,,$AI732), INDEX($AU$62:$BA$66,,$AH732), 1 / ($BB$62:$BB$66*BY732 + (1-$BB$62:$BB$66)*BU732), N($AQ$62:$AQ$66&gt;$AO732)),
SUMPRODUCT(INDEX($AR$47:$AT$56,,$AI732), INDEX($AU$47:$BA$56,,$AH732), 1 / ($BC$47:$BC$56*BY732 + (1-$BC$47:$BC$56)*BU732), N($AQ$47:$AQ$56&gt;$AO732))
) / 1000</f>
        <v>0</v>
      </c>
      <c r="CA732" s="235" cm="1">
        <f t="array" ref="CA732">$BI732 * IF($AH732&lt;=2,
SUMPRODUCT(INDEX($AR$23:$AT$61,,$AI732), INDEX($AU$23:$BA$61,,$AH732), 1 / ($BB$23:$BB$61*BY732), N($AQ$23:$AQ$61&gt;$AO732)),
SUMPRODUCT(INDEX($AR$23:$AT$46,,$AI732), INDEX($AU$23:$BA$46,,$AH732), 1 / ($BC$23:$BC$46*BY732), N($AQ$23:$AQ$46&gt;$AO732))
) / 1000</f>
        <v>0</v>
      </c>
      <c r="CB732" s="230">
        <f t="shared" si="701"/>
        <v>0</v>
      </c>
      <c r="CC732" s="238"/>
      <c r="CD732" s="229" cm="1">
        <f t="array" ref="CD732">IF(ISBLANK(Y732), INDEX(Use, $AH732, 4) - AN732*INDEX(Use, $AH732, 6) - (Q732-X732), Y732)</f>
        <v>7</v>
      </c>
      <c r="CE732" s="229">
        <f t="shared" si="702"/>
        <v>32</v>
      </c>
      <c r="CF732" s="230">
        <f t="shared" si="703"/>
        <v>0</v>
      </c>
      <c r="CG732" s="229">
        <v>35</v>
      </c>
      <c r="CH732" s="230">
        <f t="shared" si="704"/>
        <v>48</v>
      </c>
      <c r="CI732" s="235">
        <f t="shared" si="705"/>
        <v>3.0748170731707316</v>
      </c>
      <c r="CJ732" s="235" cm="1">
        <f t="array" ref="CJ732">$BI732 * SUMPRODUCT(INDEX($AR$77:$AT$82,,$AI732),INDEX($AU$77:$BA$82,,$AH732), N($AQ$77:$AQ$82&gt;$AO732)) / CI732 / 1000</f>
        <v>0</v>
      </c>
      <c r="CK732" s="232">
        <f t="shared" si="722"/>
        <v>30</v>
      </c>
      <c r="CL732" s="230">
        <f t="shared" si="706"/>
        <v>43</v>
      </c>
      <c r="CM732" s="235">
        <f t="shared" si="707"/>
        <v>3.5018750000000001</v>
      </c>
      <c r="CN732" s="235" cm="1">
        <f t="array" ref="CN732">$BI732 * IF($AH732&lt;=2,
SUMPRODUCT(INDEX($AR$72:$AT$76,,$AI732), INDEX($AU$72:$BA$76,,$AH732), 1 / ($BB$72:$BB$76*CM732 + (1-$BB$72:$BB$76)*CI732), N($AQ$72:$AQ$76&gt;$AO732)),
SUMPRODUCT(INDEX($AR$67:$AT$76,,$AI732), INDEX($AU$67:$BA$76,,$AH732), 1 / ($BC$67:$BC$76*CM732 + (1-$BC$67:$BC$76)*CI732), N($AQ$67:$AQ$76&gt;$AO732))
) / 1000</f>
        <v>0</v>
      </c>
      <c r="CO732" s="232">
        <f t="shared" si="723"/>
        <v>25</v>
      </c>
      <c r="CP732" s="230">
        <f t="shared" si="708"/>
        <v>38</v>
      </c>
      <c r="CQ732" s="235">
        <f t="shared" si="709"/>
        <v>4.0666935483870965</v>
      </c>
      <c r="CR732" s="235" cm="1">
        <f t="array" ref="CR732">$BI732 * IF($AH732&lt;=2,
SUMPRODUCT(INDEX($AR$67:$AT$71,,$AI732), INDEX($AU$67:$BA$71,,$AH732), 1 / ($BB$67:$BB$71*CQ732 + (1-$BB$67:$BB$71)*CM732), N($AQ$67:$AQ$71&gt;$AO732)),
SUMPRODUCT(INDEX($AR$57:$AT$66,,$AI732), INDEX($AU$57:$BA$66,,$AH732), 1 / ($BC$57:$BC$66*CQ732 + (1-$BC$57:$BC$66)*CM732), N($AQ$57:$AQ$66&gt;$AO732))
) / 1000</f>
        <v>0</v>
      </c>
      <c r="CS732" s="232">
        <f t="shared" si="724"/>
        <v>20</v>
      </c>
      <c r="CT732" s="230">
        <f t="shared" si="710"/>
        <v>33</v>
      </c>
      <c r="CU732" s="235">
        <f t="shared" si="711"/>
        <v>4.8487499999999999</v>
      </c>
      <c r="CV732" s="235" cm="1">
        <f t="array" ref="CV732">$BI732 * IF($AH732&lt;=2,
SUMPRODUCT(INDEX($AR$62:$AT$66,,$AI732), INDEX($AU$62:$BA$66,,$AH732), 1 / ($BB$62:$BB$66*CU732 + (1-$BB$62:$BB$66)*CQ732), N($AQ$62:$AQ$66&gt;$AO732)),
SUMPRODUCT(INDEX($AR$47:$AT$56,,$AI732), INDEX($AU$47:$BA$56,,$AH732), 1 / ($BC$47:$BC$56*CU732 + (1-$BC$47:$BC$56)*CQ732), N($AQ$47:$AQ$56&gt;$AO732))
) / 1000</f>
        <v>0</v>
      </c>
      <c r="CW732" s="235" cm="1">
        <f t="array" ref="CW732">$BI732 * IF($AH732&lt;=2,
SUMPRODUCT(INDEX($AR$23:$AT$61,,$AI732), INDEX($AU$23:$BA$61,,$AH732), 1 / ($BB$23:$BB$61*CU732), N($AQ$23:$AQ$61&gt;$AO732)),
SUMPRODUCT(INDEX($AR$23:$AT$46,,$AI732), INDEX($AU$23:$BA$46,,$AH732), 1 / ($BC$23:$BC$46*CU732), N($AQ$23:$AQ$46&gt;$AO732))
) / 1000</f>
        <v>0</v>
      </c>
      <c r="CX732" s="230">
        <f t="shared" si="712"/>
        <v>0</v>
      </c>
      <c r="CY732" s="238"/>
    </row>
    <row r="733" spans="1:103" s="76" customFormat="1" ht="14.25" customHeight="1" x14ac:dyDescent="0.2">
      <c r="A733" s="231" t="b">
        <f t="shared" si="716"/>
        <v>0</v>
      </c>
      <c r="B733" s="245">
        <v>711</v>
      </c>
      <c r="C733" s="258"/>
      <c r="D733" s="258"/>
      <c r="E733" s="246"/>
      <c r="F733" s="247" t="str">
        <f>IF(ISBLANK(E733), "", VLOOKUP(E733, Z!$A$2:$C$4127, 3, FALSE))</f>
        <v/>
      </c>
      <c r="G733" s="248"/>
      <c r="H733" s="248"/>
      <c r="I733" s="249"/>
      <c r="J733" s="250"/>
      <c r="K733" s="259"/>
      <c r="L733" s="260"/>
      <c r="M733" s="252" t="str" cm="1">
        <f t="array" ref="M733">INDEX(Trad, 53, $A$20)</f>
        <v>Verschmutzt</v>
      </c>
      <c r="N733" s="253"/>
      <c r="O733" s="253"/>
      <c r="P733" s="254"/>
      <c r="Q733" s="251"/>
      <c r="R733" s="251"/>
      <c r="S733" s="264">
        <f t="shared" si="687"/>
        <v>0</v>
      </c>
      <c r="T733" s="252" t="str" cm="1">
        <f t="array" ref="T733">INDEX(Trad, 52, $A$20)</f>
        <v>Sauber</v>
      </c>
      <c r="U733" s="253"/>
      <c r="V733" s="253"/>
      <c r="W733" s="254"/>
      <c r="X733" s="251"/>
      <c r="Y733" s="251"/>
      <c r="Z733" s="264">
        <f t="shared" si="688"/>
        <v>0</v>
      </c>
      <c r="AA733" s="261"/>
      <c r="AB733" s="258"/>
      <c r="AC733" s="246"/>
      <c r="AD733" s="247" t="str">
        <f>IF(ISBLANK(AC733), "", VLOOKUP(AC733, Z!$A$2:$C$4127, 3, FALSE))</f>
        <v/>
      </c>
      <c r="AE733" s="262"/>
      <c r="AF733" s="263">
        <f t="shared" si="689"/>
        <v>0</v>
      </c>
      <c r="AG733" s="238"/>
      <c r="AH733" s="229">
        <f t="shared" si="713"/>
        <v>1</v>
      </c>
      <c r="AI733" s="229">
        <f t="shared" si="714"/>
        <v>1</v>
      </c>
      <c r="AJ733" s="229">
        <f t="shared" si="715"/>
        <v>0</v>
      </c>
      <c r="AK733" s="229">
        <v>0</v>
      </c>
      <c r="AL733" s="229">
        <v>0</v>
      </c>
      <c r="AM733" s="229">
        <v>1</v>
      </c>
      <c r="AN733" s="229">
        <v>0</v>
      </c>
      <c r="AO733" s="229">
        <f t="shared" si="690"/>
        <v>-100</v>
      </c>
      <c r="AP733" s="238"/>
      <c r="AQ733" s="255"/>
      <c r="AR733" s="255"/>
      <c r="AS733" s="256"/>
      <c r="AT733" s="256"/>
      <c r="AU733" s="256"/>
      <c r="AV733" s="256"/>
      <c r="AW733" s="256"/>
      <c r="AX733" s="256"/>
      <c r="AY733" s="256"/>
      <c r="AZ733" s="256"/>
      <c r="BA733" s="256"/>
      <c r="BB733" s="256"/>
      <c r="BC733" s="256"/>
      <c r="BD733" s="238"/>
      <c r="BE733" s="229" cm="1">
        <f t="array" ref="BE733">IF(ISBLANK(R733), INDEX(Use, $AH733, 4) - AM733*INDEX(Use, $AH733, 6), R733)</f>
        <v>5</v>
      </c>
      <c r="BF733" s="229">
        <f t="shared" si="691"/>
        <v>30</v>
      </c>
      <c r="BG733" s="229">
        <f t="shared" si="717"/>
        <v>13</v>
      </c>
      <c r="BH733" s="229">
        <f t="shared" si="718"/>
        <v>0</v>
      </c>
      <c r="BI733" s="234" cm="1">
        <f t="array" ref="BI733">K733/IF($L733&gt;0, INDEX($AU$23:$BA$77, $L733+20, $AH733), 1)</f>
        <v>0</v>
      </c>
      <c r="BJ733" s="230">
        <f t="shared" si="692"/>
        <v>0</v>
      </c>
      <c r="BK733" s="229">
        <v>35</v>
      </c>
      <c r="BL733" s="230">
        <f t="shared" si="693"/>
        <v>48</v>
      </c>
      <c r="BM733" s="235">
        <f t="shared" si="694"/>
        <v>2.9108720930232557</v>
      </c>
      <c r="BN733" s="235" cm="1">
        <f t="array" ref="BN733">$BI733 * SUMPRODUCT(INDEX($AR$77:$AT$82,,$AI733),INDEX($AU$77:$BA$82,,$AH733), N($AQ$77:$AQ$82&gt;$AO733)) / BM733 / 1000</f>
        <v>0</v>
      </c>
      <c r="BO733" s="232">
        <f t="shared" si="719"/>
        <v>30</v>
      </c>
      <c r="BP733" s="230">
        <f t="shared" si="695"/>
        <v>43</v>
      </c>
      <c r="BQ733" s="235">
        <f t="shared" si="696"/>
        <v>3.2938815789473681</v>
      </c>
      <c r="BR733" s="235" cm="1">
        <f t="array" ref="BR733">$BI733 * IF($AH733&lt;=2,
SUMPRODUCT(INDEX($AR$72:$AT$76,,$AI733), INDEX($AU$72:$BA$76,,$AH733), 1 / ($BB$72:$BB$76*BQ733 + (1-$BB$72:$BB$76)*BM733), N($AQ$72:$AQ$76&gt;$AO733)),
SUMPRODUCT(INDEX($AR$67:$AT$76,,$AI733), INDEX($AU$67:$BA$76,,$AH733), 1 / ($BC$67:$BC$76*BQ733 + (1-$BC$67:$BC$76)*BM733), N($AQ$67:$AQ$76&gt;$AO733))
) / 1000</f>
        <v>0</v>
      </c>
      <c r="BS733" s="232">
        <f t="shared" si="720"/>
        <v>25</v>
      </c>
      <c r="BT733" s="230">
        <f t="shared" si="697"/>
        <v>38</v>
      </c>
      <c r="BU733" s="235">
        <f t="shared" si="698"/>
        <v>3.792954545454545</v>
      </c>
      <c r="BV733" s="235" cm="1">
        <f t="array" ref="BV733">$BI733 * IF($AH733&lt;=2,
SUMPRODUCT(INDEX($AR$67:$AT$71,,$AI733), INDEX($AU$67:$BA$71,,$AH733), 1 / ($BB$67:$BB$71*BU733 + (1-$BB$67:$BB$71)*BQ733), N($AQ$67:$AQ$71&gt;$AO733)),
SUMPRODUCT(INDEX($AR$57:$AT$66,,$AI733), INDEX($AU$57:$BA$66,,$AH733), 1 / ($BC$57:$BC$66*BU733 + (1-$BC$57:$BC$66)*BQ733), N($AQ$57:$AQ$66&gt;$AO733))
) / 1000</f>
        <v>0</v>
      </c>
      <c r="BW733" s="232">
        <f t="shared" si="721"/>
        <v>20</v>
      </c>
      <c r="BX733" s="230">
        <f t="shared" si="699"/>
        <v>33</v>
      </c>
      <c r="BY733" s="235">
        <f t="shared" si="700"/>
        <v>4.4702678571428569</v>
      </c>
      <c r="BZ733" s="235" cm="1">
        <f t="array" ref="BZ733">$BI733 * IF($AH733&lt;=2,
SUMPRODUCT(INDEX($AR$62:$AT$66,,$AI733), INDEX($AU$62:$BA$66,,$AH733), 1 / ($BB$62:$BB$66*BY733 + (1-$BB$62:$BB$66)*BU733), N($AQ$62:$AQ$66&gt;$AO733)),
SUMPRODUCT(INDEX($AR$47:$AT$56,,$AI733), INDEX($AU$47:$BA$56,,$AH733), 1 / ($BC$47:$BC$56*BY733 + (1-$BC$47:$BC$56)*BU733), N($AQ$47:$AQ$56&gt;$AO733))
) / 1000</f>
        <v>0</v>
      </c>
      <c r="CA733" s="235" cm="1">
        <f t="array" ref="CA733">$BI733 * IF($AH733&lt;=2,
SUMPRODUCT(INDEX($AR$23:$AT$61,,$AI733), INDEX($AU$23:$BA$61,,$AH733), 1 / ($BB$23:$BB$61*BY733), N($AQ$23:$AQ$61&gt;$AO733)),
SUMPRODUCT(INDEX($AR$23:$AT$46,,$AI733), INDEX($AU$23:$BA$46,,$AH733), 1 / ($BC$23:$BC$46*BY733), N($AQ$23:$AQ$46&gt;$AO733))
) / 1000</f>
        <v>0</v>
      </c>
      <c r="CB733" s="230">
        <f t="shared" si="701"/>
        <v>0</v>
      </c>
      <c r="CC733" s="238"/>
      <c r="CD733" s="229" cm="1">
        <f t="array" ref="CD733">IF(ISBLANK(Y733), INDEX(Use, $AH733, 4) - AN733*INDEX(Use, $AH733, 6) - (Q733-X733), Y733)</f>
        <v>7</v>
      </c>
      <c r="CE733" s="229">
        <f t="shared" si="702"/>
        <v>32</v>
      </c>
      <c r="CF733" s="230">
        <f t="shared" si="703"/>
        <v>0</v>
      </c>
      <c r="CG733" s="229">
        <v>35</v>
      </c>
      <c r="CH733" s="230">
        <f t="shared" si="704"/>
        <v>48</v>
      </c>
      <c r="CI733" s="235">
        <f t="shared" si="705"/>
        <v>3.0748170731707316</v>
      </c>
      <c r="CJ733" s="235" cm="1">
        <f t="array" ref="CJ733">$BI733 * SUMPRODUCT(INDEX($AR$77:$AT$82,,$AI733),INDEX($AU$77:$BA$82,,$AH733), N($AQ$77:$AQ$82&gt;$AO733)) / CI733 / 1000</f>
        <v>0</v>
      </c>
      <c r="CK733" s="232">
        <f t="shared" si="722"/>
        <v>30</v>
      </c>
      <c r="CL733" s="230">
        <f t="shared" si="706"/>
        <v>43</v>
      </c>
      <c r="CM733" s="235">
        <f t="shared" si="707"/>
        <v>3.5018750000000001</v>
      </c>
      <c r="CN733" s="235" cm="1">
        <f t="array" ref="CN733">$BI733 * IF($AH733&lt;=2,
SUMPRODUCT(INDEX($AR$72:$AT$76,,$AI733), INDEX($AU$72:$BA$76,,$AH733), 1 / ($BB$72:$BB$76*CM733 + (1-$BB$72:$BB$76)*CI733), N($AQ$72:$AQ$76&gt;$AO733)),
SUMPRODUCT(INDEX($AR$67:$AT$76,,$AI733), INDEX($AU$67:$BA$76,,$AH733), 1 / ($BC$67:$BC$76*CM733 + (1-$BC$67:$BC$76)*CI733), N($AQ$67:$AQ$76&gt;$AO733))
) / 1000</f>
        <v>0</v>
      </c>
      <c r="CO733" s="232">
        <f t="shared" si="723"/>
        <v>25</v>
      </c>
      <c r="CP733" s="230">
        <f t="shared" si="708"/>
        <v>38</v>
      </c>
      <c r="CQ733" s="235">
        <f t="shared" si="709"/>
        <v>4.0666935483870965</v>
      </c>
      <c r="CR733" s="235" cm="1">
        <f t="array" ref="CR733">$BI733 * IF($AH733&lt;=2,
SUMPRODUCT(INDEX($AR$67:$AT$71,,$AI733), INDEX($AU$67:$BA$71,,$AH733), 1 / ($BB$67:$BB$71*CQ733 + (1-$BB$67:$BB$71)*CM733), N($AQ$67:$AQ$71&gt;$AO733)),
SUMPRODUCT(INDEX($AR$57:$AT$66,,$AI733), INDEX($AU$57:$BA$66,,$AH733), 1 / ($BC$57:$BC$66*CQ733 + (1-$BC$57:$BC$66)*CM733), N($AQ$57:$AQ$66&gt;$AO733))
) / 1000</f>
        <v>0</v>
      </c>
      <c r="CS733" s="232">
        <f t="shared" si="724"/>
        <v>20</v>
      </c>
      <c r="CT733" s="230">
        <f t="shared" si="710"/>
        <v>33</v>
      </c>
      <c r="CU733" s="235">
        <f t="shared" si="711"/>
        <v>4.8487499999999999</v>
      </c>
      <c r="CV733" s="235" cm="1">
        <f t="array" ref="CV733">$BI733 * IF($AH733&lt;=2,
SUMPRODUCT(INDEX($AR$62:$AT$66,,$AI733), INDEX($AU$62:$BA$66,,$AH733), 1 / ($BB$62:$BB$66*CU733 + (1-$BB$62:$BB$66)*CQ733), N($AQ$62:$AQ$66&gt;$AO733)),
SUMPRODUCT(INDEX($AR$47:$AT$56,,$AI733), INDEX($AU$47:$BA$56,,$AH733), 1 / ($BC$47:$BC$56*CU733 + (1-$BC$47:$BC$56)*CQ733), N($AQ$47:$AQ$56&gt;$AO733))
) / 1000</f>
        <v>0</v>
      </c>
      <c r="CW733" s="235" cm="1">
        <f t="array" ref="CW733">$BI733 * IF($AH733&lt;=2,
SUMPRODUCT(INDEX($AR$23:$AT$61,,$AI733), INDEX($AU$23:$BA$61,,$AH733), 1 / ($BB$23:$BB$61*CU733), N($AQ$23:$AQ$61&gt;$AO733)),
SUMPRODUCT(INDEX($AR$23:$AT$46,,$AI733), INDEX($AU$23:$BA$46,,$AH733), 1 / ($BC$23:$BC$46*CU733), N($AQ$23:$AQ$46&gt;$AO733))
) / 1000</f>
        <v>0</v>
      </c>
      <c r="CX733" s="230">
        <f t="shared" si="712"/>
        <v>0</v>
      </c>
      <c r="CY733" s="238"/>
    </row>
    <row r="734" spans="1:103" s="76" customFormat="1" ht="14.25" customHeight="1" x14ac:dyDescent="0.2">
      <c r="A734" s="231" t="b">
        <f t="shared" si="716"/>
        <v>0</v>
      </c>
      <c r="B734" s="245">
        <v>712</v>
      </c>
      <c r="C734" s="258"/>
      <c r="D734" s="258"/>
      <c r="E734" s="246"/>
      <c r="F734" s="247" t="str">
        <f>IF(ISBLANK(E734), "", VLOOKUP(E734, Z!$A$2:$C$4127, 3, FALSE))</f>
        <v/>
      </c>
      <c r="G734" s="248"/>
      <c r="H734" s="248"/>
      <c r="I734" s="249"/>
      <c r="J734" s="250"/>
      <c r="K734" s="259"/>
      <c r="L734" s="260"/>
      <c r="M734" s="252" t="str" cm="1">
        <f t="array" ref="M734">INDEX(Trad, 53, $A$20)</f>
        <v>Verschmutzt</v>
      </c>
      <c r="N734" s="253"/>
      <c r="O734" s="253"/>
      <c r="P734" s="254"/>
      <c r="Q734" s="251"/>
      <c r="R734" s="251"/>
      <c r="S734" s="264">
        <f t="shared" si="687"/>
        <v>0</v>
      </c>
      <c r="T734" s="252" t="str" cm="1">
        <f t="array" ref="T734">INDEX(Trad, 52, $A$20)</f>
        <v>Sauber</v>
      </c>
      <c r="U734" s="253"/>
      <c r="V734" s="253"/>
      <c r="W734" s="254"/>
      <c r="X734" s="251"/>
      <c r="Y734" s="251"/>
      <c r="Z734" s="264">
        <f t="shared" si="688"/>
        <v>0</v>
      </c>
      <c r="AA734" s="261"/>
      <c r="AB734" s="258"/>
      <c r="AC734" s="246"/>
      <c r="AD734" s="247" t="str">
        <f>IF(ISBLANK(AC734), "", VLOOKUP(AC734, Z!$A$2:$C$4127, 3, FALSE))</f>
        <v/>
      </c>
      <c r="AE734" s="262"/>
      <c r="AF734" s="263">
        <f t="shared" si="689"/>
        <v>0</v>
      </c>
      <c r="AG734" s="238"/>
      <c r="AH734" s="229">
        <f t="shared" si="713"/>
        <v>1</v>
      </c>
      <c r="AI734" s="229">
        <f t="shared" si="714"/>
        <v>1</v>
      </c>
      <c r="AJ734" s="229">
        <f t="shared" si="715"/>
        <v>0</v>
      </c>
      <c r="AK734" s="229">
        <v>0</v>
      </c>
      <c r="AL734" s="229">
        <v>0</v>
      </c>
      <c r="AM734" s="229">
        <v>1</v>
      </c>
      <c r="AN734" s="229">
        <v>0</v>
      </c>
      <c r="AO734" s="229">
        <f t="shared" si="690"/>
        <v>-100</v>
      </c>
      <c r="AP734" s="238"/>
      <c r="AQ734" s="255"/>
      <c r="AR734" s="255"/>
      <c r="AS734" s="256"/>
      <c r="AT734" s="256"/>
      <c r="AU734" s="256"/>
      <c r="AV734" s="256"/>
      <c r="AW734" s="256"/>
      <c r="AX734" s="256"/>
      <c r="AY734" s="256"/>
      <c r="AZ734" s="256"/>
      <c r="BA734" s="256"/>
      <c r="BB734" s="256"/>
      <c r="BC734" s="256"/>
      <c r="BD734" s="238"/>
      <c r="BE734" s="229" cm="1">
        <f t="array" ref="BE734">IF(ISBLANK(R734), INDEX(Use, $AH734, 4) - AM734*INDEX(Use, $AH734, 6), R734)</f>
        <v>5</v>
      </c>
      <c r="BF734" s="229">
        <f t="shared" si="691"/>
        <v>30</v>
      </c>
      <c r="BG734" s="229">
        <f t="shared" si="717"/>
        <v>13</v>
      </c>
      <c r="BH734" s="229">
        <f t="shared" si="718"/>
        <v>0</v>
      </c>
      <c r="BI734" s="234" cm="1">
        <f t="array" ref="BI734">K734/IF($L734&gt;0, INDEX($AU$23:$BA$77, $L734+20, $AH734), 1)</f>
        <v>0</v>
      </c>
      <c r="BJ734" s="230">
        <f t="shared" si="692"/>
        <v>0</v>
      </c>
      <c r="BK734" s="229">
        <v>35</v>
      </c>
      <c r="BL734" s="230">
        <f t="shared" si="693"/>
        <v>48</v>
      </c>
      <c r="BM734" s="235">
        <f t="shared" si="694"/>
        <v>2.9108720930232557</v>
      </c>
      <c r="BN734" s="235" cm="1">
        <f t="array" ref="BN734">$BI734 * SUMPRODUCT(INDEX($AR$77:$AT$82,,$AI734),INDEX($AU$77:$BA$82,,$AH734), N($AQ$77:$AQ$82&gt;$AO734)) / BM734 / 1000</f>
        <v>0</v>
      </c>
      <c r="BO734" s="232">
        <f t="shared" si="719"/>
        <v>30</v>
      </c>
      <c r="BP734" s="230">
        <f t="shared" si="695"/>
        <v>43</v>
      </c>
      <c r="BQ734" s="235">
        <f t="shared" si="696"/>
        <v>3.2938815789473681</v>
      </c>
      <c r="BR734" s="235" cm="1">
        <f t="array" ref="BR734">$BI734 * IF($AH734&lt;=2,
SUMPRODUCT(INDEX($AR$72:$AT$76,,$AI734), INDEX($AU$72:$BA$76,,$AH734), 1 / ($BB$72:$BB$76*BQ734 + (1-$BB$72:$BB$76)*BM734), N($AQ$72:$AQ$76&gt;$AO734)),
SUMPRODUCT(INDEX($AR$67:$AT$76,,$AI734), INDEX($AU$67:$BA$76,,$AH734), 1 / ($BC$67:$BC$76*BQ734 + (1-$BC$67:$BC$76)*BM734), N($AQ$67:$AQ$76&gt;$AO734))
) / 1000</f>
        <v>0</v>
      </c>
      <c r="BS734" s="232">
        <f t="shared" si="720"/>
        <v>25</v>
      </c>
      <c r="BT734" s="230">
        <f t="shared" si="697"/>
        <v>38</v>
      </c>
      <c r="BU734" s="235">
        <f t="shared" si="698"/>
        <v>3.792954545454545</v>
      </c>
      <c r="BV734" s="235" cm="1">
        <f t="array" ref="BV734">$BI734 * IF($AH734&lt;=2,
SUMPRODUCT(INDEX($AR$67:$AT$71,,$AI734), INDEX($AU$67:$BA$71,,$AH734), 1 / ($BB$67:$BB$71*BU734 + (1-$BB$67:$BB$71)*BQ734), N($AQ$67:$AQ$71&gt;$AO734)),
SUMPRODUCT(INDEX($AR$57:$AT$66,,$AI734), INDEX($AU$57:$BA$66,,$AH734), 1 / ($BC$57:$BC$66*BU734 + (1-$BC$57:$BC$66)*BQ734), N($AQ$57:$AQ$66&gt;$AO734))
) / 1000</f>
        <v>0</v>
      </c>
      <c r="BW734" s="232">
        <f t="shared" si="721"/>
        <v>20</v>
      </c>
      <c r="BX734" s="230">
        <f t="shared" si="699"/>
        <v>33</v>
      </c>
      <c r="BY734" s="235">
        <f t="shared" si="700"/>
        <v>4.4702678571428569</v>
      </c>
      <c r="BZ734" s="235" cm="1">
        <f t="array" ref="BZ734">$BI734 * IF($AH734&lt;=2,
SUMPRODUCT(INDEX($AR$62:$AT$66,,$AI734), INDEX($AU$62:$BA$66,,$AH734), 1 / ($BB$62:$BB$66*BY734 + (1-$BB$62:$BB$66)*BU734), N($AQ$62:$AQ$66&gt;$AO734)),
SUMPRODUCT(INDEX($AR$47:$AT$56,,$AI734), INDEX($AU$47:$BA$56,,$AH734), 1 / ($BC$47:$BC$56*BY734 + (1-$BC$47:$BC$56)*BU734), N($AQ$47:$AQ$56&gt;$AO734))
) / 1000</f>
        <v>0</v>
      </c>
      <c r="CA734" s="235" cm="1">
        <f t="array" ref="CA734">$BI734 * IF($AH734&lt;=2,
SUMPRODUCT(INDEX($AR$23:$AT$61,,$AI734), INDEX($AU$23:$BA$61,,$AH734), 1 / ($BB$23:$BB$61*BY734), N($AQ$23:$AQ$61&gt;$AO734)),
SUMPRODUCT(INDEX($AR$23:$AT$46,,$AI734), INDEX($AU$23:$BA$46,,$AH734), 1 / ($BC$23:$BC$46*BY734), N($AQ$23:$AQ$46&gt;$AO734))
) / 1000</f>
        <v>0</v>
      </c>
      <c r="CB734" s="230">
        <f t="shared" si="701"/>
        <v>0</v>
      </c>
      <c r="CC734" s="238"/>
      <c r="CD734" s="229" cm="1">
        <f t="array" ref="CD734">IF(ISBLANK(Y734), INDEX(Use, $AH734, 4) - AN734*INDEX(Use, $AH734, 6) - (Q734-X734), Y734)</f>
        <v>7</v>
      </c>
      <c r="CE734" s="229">
        <f t="shared" si="702"/>
        <v>32</v>
      </c>
      <c r="CF734" s="230">
        <f t="shared" si="703"/>
        <v>0</v>
      </c>
      <c r="CG734" s="229">
        <v>35</v>
      </c>
      <c r="CH734" s="230">
        <f t="shared" si="704"/>
        <v>48</v>
      </c>
      <c r="CI734" s="235">
        <f t="shared" si="705"/>
        <v>3.0748170731707316</v>
      </c>
      <c r="CJ734" s="235" cm="1">
        <f t="array" ref="CJ734">$BI734 * SUMPRODUCT(INDEX($AR$77:$AT$82,,$AI734),INDEX($AU$77:$BA$82,,$AH734), N($AQ$77:$AQ$82&gt;$AO734)) / CI734 / 1000</f>
        <v>0</v>
      </c>
      <c r="CK734" s="232">
        <f t="shared" si="722"/>
        <v>30</v>
      </c>
      <c r="CL734" s="230">
        <f t="shared" si="706"/>
        <v>43</v>
      </c>
      <c r="CM734" s="235">
        <f t="shared" si="707"/>
        <v>3.5018750000000001</v>
      </c>
      <c r="CN734" s="235" cm="1">
        <f t="array" ref="CN734">$BI734 * IF($AH734&lt;=2,
SUMPRODUCT(INDEX($AR$72:$AT$76,,$AI734), INDEX($AU$72:$BA$76,,$AH734), 1 / ($BB$72:$BB$76*CM734 + (1-$BB$72:$BB$76)*CI734), N($AQ$72:$AQ$76&gt;$AO734)),
SUMPRODUCT(INDEX($AR$67:$AT$76,,$AI734), INDEX($AU$67:$BA$76,,$AH734), 1 / ($BC$67:$BC$76*CM734 + (1-$BC$67:$BC$76)*CI734), N($AQ$67:$AQ$76&gt;$AO734))
) / 1000</f>
        <v>0</v>
      </c>
      <c r="CO734" s="232">
        <f t="shared" si="723"/>
        <v>25</v>
      </c>
      <c r="CP734" s="230">
        <f t="shared" si="708"/>
        <v>38</v>
      </c>
      <c r="CQ734" s="235">
        <f t="shared" si="709"/>
        <v>4.0666935483870965</v>
      </c>
      <c r="CR734" s="235" cm="1">
        <f t="array" ref="CR734">$BI734 * IF($AH734&lt;=2,
SUMPRODUCT(INDEX($AR$67:$AT$71,,$AI734), INDEX($AU$67:$BA$71,,$AH734), 1 / ($BB$67:$BB$71*CQ734 + (1-$BB$67:$BB$71)*CM734), N($AQ$67:$AQ$71&gt;$AO734)),
SUMPRODUCT(INDEX($AR$57:$AT$66,,$AI734), INDEX($AU$57:$BA$66,,$AH734), 1 / ($BC$57:$BC$66*CQ734 + (1-$BC$57:$BC$66)*CM734), N($AQ$57:$AQ$66&gt;$AO734))
) / 1000</f>
        <v>0</v>
      </c>
      <c r="CS734" s="232">
        <f t="shared" si="724"/>
        <v>20</v>
      </c>
      <c r="CT734" s="230">
        <f t="shared" si="710"/>
        <v>33</v>
      </c>
      <c r="CU734" s="235">
        <f t="shared" si="711"/>
        <v>4.8487499999999999</v>
      </c>
      <c r="CV734" s="235" cm="1">
        <f t="array" ref="CV734">$BI734 * IF($AH734&lt;=2,
SUMPRODUCT(INDEX($AR$62:$AT$66,,$AI734), INDEX($AU$62:$BA$66,,$AH734), 1 / ($BB$62:$BB$66*CU734 + (1-$BB$62:$BB$66)*CQ734), N($AQ$62:$AQ$66&gt;$AO734)),
SUMPRODUCT(INDEX($AR$47:$AT$56,,$AI734), INDEX($AU$47:$BA$56,,$AH734), 1 / ($BC$47:$BC$56*CU734 + (1-$BC$47:$BC$56)*CQ734), N($AQ$47:$AQ$56&gt;$AO734))
) / 1000</f>
        <v>0</v>
      </c>
      <c r="CW734" s="235" cm="1">
        <f t="array" ref="CW734">$BI734 * IF($AH734&lt;=2,
SUMPRODUCT(INDEX($AR$23:$AT$61,,$AI734), INDEX($AU$23:$BA$61,,$AH734), 1 / ($BB$23:$BB$61*CU734), N($AQ$23:$AQ$61&gt;$AO734)),
SUMPRODUCT(INDEX($AR$23:$AT$46,,$AI734), INDEX($AU$23:$BA$46,,$AH734), 1 / ($BC$23:$BC$46*CU734), N($AQ$23:$AQ$46&gt;$AO734))
) / 1000</f>
        <v>0</v>
      </c>
      <c r="CX734" s="230">
        <f t="shared" si="712"/>
        <v>0</v>
      </c>
      <c r="CY734" s="238"/>
    </row>
    <row r="735" spans="1:103" s="76" customFormat="1" ht="14.25" customHeight="1" x14ac:dyDescent="0.2">
      <c r="A735" s="231" t="b">
        <f t="shared" si="716"/>
        <v>0</v>
      </c>
      <c r="B735" s="245">
        <v>713</v>
      </c>
      <c r="C735" s="258"/>
      <c r="D735" s="258"/>
      <c r="E735" s="246"/>
      <c r="F735" s="247" t="str">
        <f>IF(ISBLANK(E735), "", VLOOKUP(E735, Z!$A$2:$C$4127, 3, FALSE))</f>
        <v/>
      </c>
      <c r="G735" s="248"/>
      <c r="H735" s="248"/>
      <c r="I735" s="249"/>
      <c r="J735" s="250"/>
      <c r="K735" s="259"/>
      <c r="L735" s="260"/>
      <c r="M735" s="252" t="str" cm="1">
        <f t="array" ref="M735">INDEX(Trad, 53, $A$20)</f>
        <v>Verschmutzt</v>
      </c>
      <c r="N735" s="253"/>
      <c r="O735" s="253"/>
      <c r="P735" s="254"/>
      <c r="Q735" s="251"/>
      <c r="R735" s="251"/>
      <c r="S735" s="264">
        <f t="shared" si="687"/>
        <v>0</v>
      </c>
      <c r="T735" s="252" t="str" cm="1">
        <f t="array" ref="T735">INDEX(Trad, 52, $A$20)</f>
        <v>Sauber</v>
      </c>
      <c r="U735" s="253"/>
      <c r="V735" s="253"/>
      <c r="W735" s="254"/>
      <c r="X735" s="251"/>
      <c r="Y735" s="251"/>
      <c r="Z735" s="264">
        <f t="shared" si="688"/>
        <v>0</v>
      </c>
      <c r="AA735" s="261"/>
      <c r="AB735" s="258"/>
      <c r="AC735" s="246"/>
      <c r="AD735" s="247" t="str">
        <f>IF(ISBLANK(AC735), "", VLOOKUP(AC735, Z!$A$2:$C$4127, 3, FALSE))</f>
        <v/>
      </c>
      <c r="AE735" s="262"/>
      <c r="AF735" s="263">
        <f t="shared" si="689"/>
        <v>0</v>
      </c>
      <c r="AG735" s="238"/>
      <c r="AH735" s="229">
        <f t="shared" si="713"/>
        <v>1</v>
      </c>
      <c r="AI735" s="229">
        <f t="shared" si="714"/>
        <v>1</v>
      </c>
      <c r="AJ735" s="229">
        <f t="shared" si="715"/>
        <v>0</v>
      </c>
      <c r="AK735" s="229">
        <v>0</v>
      </c>
      <c r="AL735" s="229">
        <v>0</v>
      </c>
      <c r="AM735" s="229">
        <v>1</v>
      </c>
      <c r="AN735" s="229">
        <v>0</v>
      </c>
      <c r="AO735" s="229">
        <f t="shared" si="690"/>
        <v>-100</v>
      </c>
      <c r="AP735" s="238"/>
      <c r="AQ735" s="255"/>
      <c r="AR735" s="255"/>
      <c r="AS735" s="256"/>
      <c r="AT735" s="256"/>
      <c r="AU735" s="256"/>
      <c r="AV735" s="256"/>
      <c r="AW735" s="256"/>
      <c r="AX735" s="256"/>
      <c r="AY735" s="256"/>
      <c r="AZ735" s="256"/>
      <c r="BA735" s="256"/>
      <c r="BB735" s="256"/>
      <c r="BC735" s="256"/>
      <c r="BD735" s="238"/>
      <c r="BE735" s="229" cm="1">
        <f t="array" ref="BE735">IF(ISBLANK(R735), INDEX(Use, $AH735, 4) - AM735*INDEX(Use, $AH735, 6), R735)</f>
        <v>5</v>
      </c>
      <c r="BF735" s="229">
        <f t="shared" si="691"/>
        <v>30</v>
      </c>
      <c r="BG735" s="229">
        <f t="shared" si="717"/>
        <v>13</v>
      </c>
      <c r="BH735" s="229">
        <f t="shared" si="718"/>
        <v>0</v>
      </c>
      <c r="BI735" s="234" cm="1">
        <f t="array" ref="BI735">K735/IF($L735&gt;0, INDEX($AU$23:$BA$77, $L735+20, $AH735), 1)</f>
        <v>0</v>
      </c>
      <c r="BJ735" s="230">
        <f t="shared" si="692"/>
        <v>0</v>
      </c>
      <c r="BK735" s="229">
        <v>35</v>
      </c>
      <c r="BL735" s="230">
        <f t="shared" si="693"/>
        <v>48</v>
      </c>
      <c r="BM735" s="235">
        <f t="shared" si="694"/>
        <v>2.9108720930232557</v>
      </c>
      <c r="BN735" s="235" cm="1">
        <f t="array" ref="BN735">$BI735 * SUMPRODUCT(INDEX($AR$77:$AT$82,,$AI735),INDEX($AU$77:$BA$82,,$AH735), N($AQ$77:$AQ$82&gt;$AO735)) / BM735 / 1000</f>
        <v>0</v>
      </c>
      <c r="BO735" s="232">
        <f t="shared" si="719"/>
        <v>30</v>
      </c>
      <c r="BP735" s="230">
        <f t="shared" si="695"/>
        <v>43</v>
      </c>
      <c r="BQ735" s="235">
        <f t="shared" si="696"/>
        <v>3.2938815789473681</v>
      </c>
      <c r="BR735" s="235" cm="1">
        <f t="array" ref="BR735">$BI735 * IF($AH735&lt;=2,
SUMPRODUCT(INDEX($AR$72:$AT$76,,$AI735), INDEX($AU$72:$BA$76,,$AH735), 1 / ($BB$72:$BB$76*BQ735 + (1-$BB$72:$BB$76)*BM735), N($AQ$72:$AQ$76&gt;$AO735)),
SUMPRODUCT(INDEX($AR$67:$AT$76,,$AI735), INDEX($AU$67:$BA$76,,$AH735), 1 / ($BC$67:$BC$76*BQ735 + (1-$BC$67:$BC$76)*BM735), N($AQ$67:$AQ$76&gt;$AO735))
) / 1000</f>
        <v>0</v>
      </c>
      <c r="BS735" s="232">
        <f t="shared" si="720"/>
        <v>25</v>
      </c>
      <c r="BT735" s="230">
        <f t="shared" si="697"/>
        <v>38</v>
      </c>
      <c r="BU735" s="235">
        <f t="shared" si="698"/>
        <v>3.792954545454545</v>
      </c>
      <c r="BV735" s="235" cm="1">
        <f t="array" ref="BV735">$BI735 * IF($AH735&lt;=2,
SUMPRODUCT(INDEX($AR$67:$AT$71,,$AI735), INDEX($AU$67:$BA$71,,$AH735), 1 / ($BB$67:$BB$71*BU735 + (1-$BB$67:$BB$71)*BQ735), N($AQ$67:$AQ$71&gt;$AO735)),
SUMPRODUCT(INDEX($AR$57:$AT$66,,$AI735), INDEX($AU$57:$BA$66,,$AH735), 1 / ($BC$57:$BC$66*BU735 + (1-$BC$57:$BC$66)*BQ735), N($AQ$57:$AQ$66&gt;$AO735))
) / 1000</f>
        <v>0</v>
      </c>
      <c r="BW735" s="232">
        <f t="shared" si="721"/>
        <v>20</v>
      </c>
      <c r="BX735" s="230">
        <f t="shared" si="699"/>
        <v>33</v>
      </c>
      <c r="BY735" s="235">
        <f t="shared" si="700"/>
        <v>4.4702678571428569</v>
      </c>
      <c r="BZ735" s="235" cm="1">
        <f t="array" ref="BZ735">$BI735 * IF($AH735&lt;=2,
SUMPRODUCT(INDEX($AR$62:$AT$66,,$AI735), INDEX($AU$62:$BA$66,,$AH735), 1 / ($BB$62:$BB$66*BY735 + (1-$BB$62:$BB$66)*BU735), N($AQ$62:$AQ$66&gt;$AO735)),
SUMPRODUCT(INDEX($AR$47:$AT$56,,$AI735), INDEX($AU$47:$BA$56,,$AH735), 1 / ($BC$47:$BC$56*BY735 + (1-$BC$47:$BC$56)*BU735), N($AQ$47:$AQ$56&gt;$AO735))
) / 1000</f>
        <v>0</v>
      </c>
      <c r="CA735" s="235" cm="1">
        <f t="array" ref="CA735">$BI735 * IF($AH735&lt;=2,
SUMPRODUCT(INDEX($AR$23:$AT$61,,$AI735), INDEX($AU$23:$BA$61,,$AH735), 1 / ($BB$23:$BB$61*BY735), N($AQ$23:$AQ$61&gt;$AO735)),
SUMPRODUCT(INDEX($AR$23:$AT$46,,$AI735), INDEX($AU$23:$BA$46,,$AH735), 1 / ($BC$23:$BC$46*BY735), N($AQ$23:$AQ$46&gt;$AO735))
) / 1000</f>
        <v>0</v>
      </c>
      <c r="CB735" s="230">
        <f t="shared" si="701"/>
        <v>0</v>
      </c>
      <c r="CC735" s="238"/>
      <c r="CD735" s="229" cm="1">
        <f t="array" ref="CD735">IF(ISBLANK(Y735), INDEX(Use, $AH735, 4) - AN735*INDEX(Use, $AH735, 6) - (Q735-X735), Y735)</f>
        <v>7</v>
      </c>
      <c r="CE735" s="229">
        <f t="shared" si="702"/>
        <v>32</v>
      </c>
      <c r="CF735" s="230">
        <f t="shared" si="703"/>
        <v>0</v>
      </c>
      <c r="CG735" s="229">
        <v>35</v>
      </c>
      <c r="CH735" s="230">
        <f t="shared" si="704"/>
        <v>48</v>
      </c>
      <c r="CI735" s="235">
        <f t="shared" si="705"/>
        <v>3.0748170731707316</v>
      </c>
      <c r="CJ735" s="235" cm="1">
        <f t="array" ref="CJ735">$BI735 * SUMPRODUCT(INDEX($AR$77:$AT$82,,$AI735),INDEX($AU$77:$BA$82,,$AH735), N($AQ$77:$AQ$82&gt;$AO735)) / CI735 / 1000</f>
        <v>0</v>
      </c>
      <c r="CK735" s="232">
        <f t="shared" si="722"/>
        <v>30</v>
      </c>
      <c r="CL735" s="230">
        <f t="shared" si="706"/>
        <v>43</v>
      </c>
      <c r="CM735" s="235">
        <f t="shared" si="707"/>
        <v>3.5018750000000001</v>
      </c>
      <c r="CN735" s="235" cm="1">
        <f t="array" ref="CN735">$BI735 * IF($AH735&lt;=2,
SUMPRODUCT(INDEX($AR$72:$AT$76,,$AI735), INDEX($AU$72:$BA$76,,$AH735), 1 / ($BB$72:$BB$76*CM735 + (1-$BB$72:$BB$76)*CI735), N($AQ$72:$AQ$76&gt;$AO735)),
SUMPRODUCT(INDEX($AR$67:$AT$76,,$AI735), INDEX($AU$67:$BA$76,,$AH735), 1 / ($BC$67:$BC$76*CM735 + (1-$BC$67:$BC$76)*CI735), N($AQ$67:$AQ$76&gt;$AO735))
) / 1000</f>
        <v>0</v>
      </c>
      <c r="CO735" s="232">
        <f t="shared" si="723"/>
        <v>25</v>
      </c>
      <c r="CP735" s="230">
        <f t="shared" si="708"/>
        <v>38</v>
      </c>
      <c r="CQ735" s="235">
        <f t="shared" si="709"/>
        <v>4.0666935483870965</v>
      </c>
      <c r="CR735" s="235" cm="1">
        <f t="array" ref="CR735">$BI735 * IF($AH735&lt;=2,
SUMPRODUCT(INDEX($AR$67:$AT$71,,$AI735), INDEX($AU$67:$BA$71,,$AH735), 1 / ($BB$67:$BB$71*CQ735 + (1-$BB$67:$BB$71)*CM735), N($AQ$67:$AQ$71&gt;$AO735)),
SUMPRODUCT(INDEX($AR$57:$AT$66,,$AI735), INDEX($AU$57:$BA$66,,$AH735), 1 / ($BC$57:$BC$66*CQ735 + (1-$BC$57:$BC$66)*CM735), N($AQ$57:$AQ$66&gt;$AO735))
) / 1000</f>
        <v>0</v>
      </c>
      <c r="CS735" s="232">
        <f t="shared" si="724"/>
        <v>20</v>
      </c>
      <c r="CT735" s="230">
        <f t="shared" si="710"/>
        <v>33</v>
      </c>
      <c r="CU735" s="235">
        <f t="shared" si="711"/>
        <v>4.8487499999999999</v>
      </c>
      <c r="CV735" s="235" cm="1">
        <f t="array" ref="CV735">$BI735 * IF($AH735&lt;=2,
SUMPRODUCT(INDEX($AR$62:$AT$66,,$AI735), INDEX($AU$62:$BA$66,,$AH735), 1 / ($BB$62:$BB$66*CU735 + (1-$BB$62:$BB$66)*CQ735), N($AQ$62:$AQ$66&gt;$AO735)),
SUMPRODUCT(INDEX($AR$47:$AT$56,,$AI735), INDEX($AU$47:$BA$56,,$AH735), 1 / ($BC$47:$BC$56*CU735 + (1-$BC$47:$BC$56)*CQ735), N($AQ$47:$AQ$56&gt;$AO735))
) / 1000</f>
        <v>0</v>
      </c>
      <c r="CW735" s="235" cm="1">
        <f t="array" ref="CW735">$BI735 * IF($AH735&lt;=2,
SUMPRODUCT(INDEX($AR$23:$AT$61,,$AI735), INDEX($AU$23:$BA$61,,$AH735), 1 / ($BB$23:$BB$61*CU735), N($AQ$23:$AQ$61&gt;$AO735)),
SUMPRODUCT(INDEX($AR$23:$AT$46,,$AI735), INDEX($AU$23:$BA$46,,$AH735), 1 / ($BC$23:$BC$46*CU735), N($AQ$23:$AQ$46&gt;$AO735))
) / 1000</f>
        <v>0</v>
      </c>
      <c r="CX735" s="230">
        <f t="shared" si="712"/>
        <v>0</v>
      </c>
      <c r="CY735" s="238"/>
    </row>
    <row r="736" spans="1:103" s="76" customFormat="1" ht="14.25" customHeight="1" x14ac:dyDescent="0.2">
      <c r="A736" s="231" t="b">
        <f t="shared" si="716"/>
        <v>0</v>
      </c>
      <c r="B736" s="245">
        <v>714</v>
      </c>
      <c r="C736" s="258"/>
      <c r="D736" s="258"/>
      <c r="E736" s="246"/>
      <c r="F736" s="247" t="str">
        <f>IF(ISBLANK(E736), "", VLOOKUP(E736, Z!$A$2:$C$4127, 3, FALSE))</f>
        <v/>
      </c>
      <c r="G736" s="248"/>
      <c r="H736" s="248"/>
      <c r="I736" s="249"/>
      <c r="J736" s="250"/>
      <c r="K736" s="259"/>
      <c r="L736" s="260"/>
      <c r="M736" s="252" t="str" cm="1">
        <f t="array" ref="M736">INDEX(Trad, 53, $A$20)</f>
        <v>Verschmutzt</v>
      </c>
      <c r="N736" s="253"/>
      <c r="O736" s="253"/>
      <c r="P736" s="254"/>
      <c r="Q736" s="251"/>
      <c r="R736" s="251"/>
      <c r="S736" s="264">
        <f t="shared" si="687"/>
        <v>0</v>
      </c>
      <c r="T736" s="252" t="str" cm="1">
        <f t="array" ref="T736">INDEX(Trad, 52, $A$20)</f>
        <v>Sauber</v>
      </c>
      <c r="U736" s="253"/>
      <c r="V736" s="253"/>
      <c r="W736" s="254"/>
      <c r="X736" s="251"/>
      <c r="Y736" s="251"/>
      <c r="Z736" s="264">
        <f t="shared" si="688"/>
        <v>0</v>
      </c>
      <c r="AA736" s="261"/>
      <c r="AB736" s="258"/>
      <c r="AC736" s="246"/>
      <c r="AD736" s="247" t="str">
        <f>IF(ISBLANK(AC736), "", VLOOKUP(AC736, Z!$A$2:$C$4127, 3, FALSE))</f>
        <v/>
      </c>
      <c r="AE736" s="262"/>
      <c r="AF736" s="263">
        <f t="shared" si="689"/>
        <v>0</v>
      </c>
      <c r="AG736" s="238"/>
      <c r="AH736" s="229">
        <f t="shared" si="713"/>
        <v>1</v>
      </c>
      <c r="AI736" s="229">
        <f t="shared" si="714"/>
        <v>1</v>
      </c>
      <c r="AJ736" s="229">
        <f t="shared" si="715"/>
        <v>0</v>
      </c>
      <c r="AK736" s="229">
        <v>0</v>
      </c>
      <c r="AL736" s="229">
        <v>0</v>
      </c>
      <c r="AM736" s="229">
        <v>1</v>
      </c>
      <c r="AN736" s="229">
        <v>0</v>
      </c>
      <c r="AO736" s="229">
        <f t="shared" si="690"/>
        <v>-100</v>
      </c>
      <c r="AP736" s="238"/>
      <c r="AQ736" s="255"/>
      <c r="AR736" s="255"/>
      <c r="AS736" s="256"/>
      <c r="AT736" s="256"/>
      <c r="AU736" s="256"/>
      <c r="AV736" s="256"/>
      <c r="AW736" s="256"/>
      <c r="AX736" s="256"/>
      <c r="AY736" s="256"/>
      <c r="AZ736" s="256"/>
      <c r="BA736" s="256"/>
      <c r="BB736" s="256"/>
      <c r="BC736" s="256"/>
      <c r="BD736" s="238"/>
      <c r="BE736" s="229" cm="1">
        <f t="array" ref="BE736">IF(ISBLANK(R736), INDEX(Use, $AH736, 4) - AM736*INDEX(Use, $AH736, 6), R736)</f>
        <v>5</v>
      </c>
      <c r="BF736" s="229">
        <f t="shared" si="691"/>
        <v>30</v>
      </c>
      <c r="BG736" s="229">
        <f t="shared" si="717"/>
        <v>13</v>
      </c>
      <c r="BH736" s="229">
        <f t="shared" si="718"/>
        <v>0</v>
      </c>
      <c r="BI736" s="234" cm="1">
        <f t="array" ref="BI736">K736/IF($L736&gt;0, INDEX($AU$23:$BA$77, $L736+20, $AH736), 1)</f>
        <v>0</v>
      </c>
      <c r="BJ736" s="230">
        <f t="shared" si="692"/>
        <v>0</v>
      </c>
      <c r="BK736" s="229">
        <v>35</v>
      </c>
      <c r="BL736" s="230">
        <f t="shared" si="693"/>
        <v>48</v>
      </c>
      <c r="BM736" s="235">
        <f t="shared" si="694"/>
        <v>2.9108720930232557</v>
      </c>
      <c r="BN736" s="235" cm="1">
        <f t="array" ref="BN736">$BI736 * SUMPRODUCT(INDEX($AR$77:$AT$82,,$AI736),INDEX($AU$77:$BA$82,,$AH736), N($AQ$77:$AQ$82&gt;$AO736)) / BM736 / 1000</f>
        <v>0</v>
      </c>
      <c r="BO736" s="232">
        <f t="shared" si="719"/>
        <v>30</v>
      </c>
      <c r="BP736" s="230">
        <f t="shared" si="695"/>
        <v>43</v>
      </c>
      <c r="BQ736" s="235">
        <f t="shared" si="696"/>
        <v>3.2938815789473681</v>
      </c>
      <c r="BR736" s="235" cm="1">
        <f t="array" ref="BR736">$BI736 * IF($AH736&lt;=2,
SUMPRODUCT(INDEX($AR$72:$AT$76,,$AI736), INDEX($AU$72:$BA$76,,$AH736), 1 / ($BB$72:$BB$76*BQ736 + (1-$BB$72:$BB$76)*BM736), N($AQ$72:$AQ$76&gt;$AO736)),
SUMPRODUCT(INDEX($AR$67:$AT$76,,$AI736), INDEX($AU$67:$BA$76,,$AH736), 1 / ($BC$67:$BC$76*BQ736 + (1-$BC$67:$BC$76)*BM736), N($AQ$67:$AQ$76&gt;$AO736))
) / 1000</f>
        <v>0</v>
      </c>
      <c r="BS736" s="232">
        <f t="shared" si="720"/>
        <v>25</v>
      </c>
      <c r="BT736" s="230">
        <f t="shared" si="697"/>
        <v>38</v>
      </c>
      <c r="BU736" s="235">
        <f t="shared" si="698"/>
        <v>3.792954545454545</v>
      </c>
      <c r="BV736" s="235" cm="1">
        <f t="array" ref="BV736">$BI736 * IF($AH736&lt;=2,
SUMPRODUCT(INDEX($AR$67:$AT$71,,$AI736), INDEX($AU$67:$BA$71,,$AH736), 1 / ($BB$67:$BB$71*BU736 + (1-$BB$67:$BB$71)*BQ736), N($AQ$67:$AQ$71&gt;$AO736)),
SUMPRODUCT(INDEX($AR$57:$AT$66,,$AI736), INDEX($AU$57:$BA$66,,$AH736), 1 / ($BC$57:$BC$66*BU736 + (1-$BC$57:$BC$66)*BQ736), N($AQ$57:$AQ$66&gt;$AO736))
) / 1000</f>
        <v>0</v>
      </c>
      <c r="BW736" s="232">
        <f t="shared" si="721"/>
        <v>20</v>
      </c>
      <c r="BX736" s="230">
        <f t="shared" si="699"/>
        <v>33</v>
      </c>
      <c r="BY736" s="235">
        <f t="shared" si="700"/>
        <v>4.4702678571428569</v>
      </c>
      <c r="BZ736" s="235" cm="1">
        <f t="array" ref="BZ736">$BI736 * IF($AH736&lt;=2,
SUMPRODUCT(INDEX($AR$62:$AT$66,,$AI736), INDEX($AU$62:$BA$66,,$AH736), 1 / ($BB$62:$BB$66*BY736 + (1-$BB$62:$BB$66)*BU736), N($AQ$62:$AQ$66&gt;$AO736)),
SUMPRODUCT(INDEX($AR$47:$AT$56,,$AI736), INDEX($AU$47:$BA$56,,$AH736), 1 / ($BC$47:$BC$56*BY736 + (1-$BC$47:$BC$56)*BU736), N($AQ$47:$AQ$56&gt;$AO736))
) / 1000</f>
        <v>0</v>
      </c>
      <c r="CA736" s="235" cm="1">
        <f t="array" ref="CA736">$BI736 * IF($AH736&lt;=2,
SUMPRODUCT(INDEX($AR$23:$AT$61,,$AI736), INDEX($AU$23:$BA$61,,$AH736), 1 / ($BB$23:$BB$61*BY736), N($AQ$23:$AQ$61&gt;$AO736)),
SUMPRODUCT(INDEX($AR$23:$AT$46,,$AI736), INDEX($AU$23:$BA$46,,$AH736), 1 / ($BC$23:$BC$46*BY736), N($AQ$23:$AQ$46&gt;$AO736))
) / 1000</f>
        <v>0</v>
      </c>
      <c r="CB736" s="230">
        <f t="shared" si="701"/>
        <v>0</v>
      </c>
      <c r="CC736" s="238"/>
      <c r="CD736" s="229" cm="1">
        <f t="array" ref="CD736">IF(ISBLANK(Y736), INDEX(Use, $AH736, 4) - AN736*INDEX(Use, $AH736, 6) - (Q736-X736), Y736)</f>
        <v>7</v>
      </c>
      <c r="CE736" s="229">
        <f t="shared" si="702"/>
        <v>32</v>
      </c>
      <c r="CF736" s="230">
        <f t="shared" si="703"/>
        <v>0</v>
      </c>
      <c r="CG736" s="229">
        <v>35</v>
      </c>
      <c r="CH736" s="230">
        <f t="shared" si="704"/>
        <v>48</v>
      </c>
      <c r="CI736" s="235">
        <f t="shared" si="705"/>
        <v>3.0748170731707316</v>
      </c>
      <c r="CJ736" s="235" cm="1">
        <f t="array" ref="CJ736">$BI736 * SUMPRODUCT(INDEX($AR$77:$AT$82,,$AI736),INDEX($AU$77:$BA$82,,$AH736), N($AQ$77:$AQ$82&gt;$AO736)) / CI736 / 1000</f>
        <v>0</v>
      </c>
      <c r="CK736" s="232">
        <f t="shared" si="722"/>
        <v>30</v>
      </c>
      <c r="CL736" s="230">
        <f t="shared" si="706"/>
        <v>43</v>
      </c>
      <c r="CM736" s="235">
        <f t="shared" si="707"/>
        <v>3.5018750000000001</v>
      </c>
      <c r="CN736" s="235" cm="1">
        <f t="array" ref="CN736">$BI736 * IF($AH736&lt;=2,
SUMPRODUCT(INDEX($AR$72:$AT$76,,$AI736), INDEX($AU$72:$BA$76,,$AH736), 1 / ($BB$72:$BB$76*CM736 + (1-$BB$72:$BB$76)*CI736), N($AQ$72:$AQ$76&gt;$AO736)),
SUMPRODUCT(INDEX($AR$67:$AT$76,,$AI736), INDEX($AU$67:$BA$76,,$AH736), 1 / ($BC$67:$BC$76*CM736 + (1-$BC$67:$BC$76)*CI736), N($AQ$67:$AQ$76&gt;$AO736))
) / 1000</f>
        <v>0</v>
      </c>
      <c r="CO736" s="232">
        <f t="shared" si="723"/>
        <v>25</v>
      </c>
      <c r="CP736" s="230">
        <f t="shared" si="708"/>
        <v>38</v>
      </c>
      <c r="CQ736" s="235">
        <f t="shared" si="709"/>
        <v>4.0666935483870965</v>
      </c>
      <c r="CR736" s="235" cm="1">
        <f t="array" ref="CR736">$BI736 * IF($AH736&lt;=2,
SUMPRODUCT(INDEX($AR$67:$AT$71,,$AI736), INDEX($AU$67:$BA$71,,$AH736), 1 / ($BB$67:$BB$71*CQ736 + (1-$BB$67:$BB$71)*CM736), N($AQ$67:$AQ$71&gt;$AO736)),
SUMPRODUCT(INDEX($AR$57:$AT$66,,$AI736), INDEX($AU$57:$BA$66,,$AH736), 1 / ($BC$57:$BC$66*CQ736 + (1-$BC$57:$BC$66)*CM736), N($AQ$57:$AQ$66&gt;$AO736))
) / 1000</f>
        <v>0</v>
      </c>
      <c r="CS736" s="232">
        <f t="shared" si="724"/>
        <v>20</v>
      </c>
      <c r="CT736" s="230">
        <f t="shared" si="710"/>
        <v>33</v>
      </c>
      <c r="CU736" s="235">
        <f t="shared" si="711"/>
        <v>4.8487499999999999</v>
      </c>
      <c r="CV736" s="235" cm="1">
        <f t="array" ref="CV736">$BI736 * IF($AH736&lt;=2,
SUMPRODUCT(INDEX($AR$62:$AT$66,,$AI736), INDEX($AU$62:$BA$66,,$AH736), 1 / ($BB$62:$BB$66*CU736 + (1-$BB$62:$BB$66)*CQ736), N($AQ$62:$AQ$66&gt;$AO736)),
SUMPRODUCT(INDEX($AR$47:$AT$56,,$AI736), INDEX($AU$47:$BA$56,,$AH736), 1 / ($BC$47:$BC$56*CU736 + (1-$BC$47:$BC$56)*CQ736), N($AQ$47:$AQ$56&gt;$AO736))
) / 1000</f>
        <v>0</v>
      </c>
      <c r="CW736" s="235" cm="1">
        <f t="array" ref="CW736">$BI736 * IF($AH736&lt;=2,
SUMPRODUCT(INDEX($AR$23:$AT$61,,$AI736), INDEX($AU$23:$BA$61,,$AH736), 1 / ($BB$23:$BB$61*CU736), N($AQ$23:$AQ$61&gt;$AO736)),
SUMPRODUCT(INDEX($AR$23:$AT$46,,$AI736), INDEX($AU$23:$BA$46,,$AH736), 1 / ($BC$23:$BC$46*CU736), N($AQ$23:$AQ$46&gt;$AO736))
) / 1000</f>
        <v>0</v>
      </c>
      <c r="CX736" s="230">
        <f t="shared" si="712"/>
        <v>0</v>
      </c>
      <c r="CY736" s="238"/>
    </row>
    <row r="737" spans="1:103" s="76" customFormat="1" ht="14.25" customHeight="1" x14ac:dyDescent="0.2">
      <c r="A737" s="231" t="b">
        <f t="shared" si="716"/>
        <v>0</v>
      </c>
      <c r="B737" s="245">
        <v>715</v>
      </c>
      <c r="C737" s="258"/>
      <c r="D737" s="258"/>
      <c r="E737" s="246"/>
      <c r="F737" s="247" t="str">
        <f>IF(ISBLANK(E737), "", VLOOKUP(E737, Z!$A$2:$C$4127, 3, FALSE))</f>
        <v/>
      </c>
      <c r="G737" s="248"/>
      <c r="H737" s="248"/>
      <c r="I737" s="249"/>
      <c r="J737" s="250"/>
      <c r="K737" s="259"/>
      <c r="L737" s="260"/>
      <c r="M737" s="252" t="str" cm="1">
        <f t="array" ref="M737">INDEX(Trad, 53, $A$20)</f>
        <v>Verschmutzt</v>
      </c>
      <c r="N737" s="253"/>
      <c r="O737" s="253"/>
      <c r="P737" s="254"/>
      <c r="Q737" s="251"/>
      <c r="R737" s="251"/>
      <c r="S737" s="264">
        <f t="shared" si="687"/>
        <v>0</v>
      </c>
      <c r="T737" s="252" t="str" cm="1">
        <f t="array" ref="T737">INDEX(Trad, 52, $A$20)</f>
        <v>Sauber</v>
      </c>
      <c r="U737" s="253"/>
      <c r="V737" s="253"/>
      <c r="W737" s="254"/>
      <c r="X737" s="251"/>
      <c r="Y737" s="251"/>
      <c r="Z737" s="264">
        <f t="shared" si="688"/>
        <v>0</v>
      </c>
      <c r="AA737" s="261"/>
      <c r="AB737" s="258"/>
      <c r="AC737" s="246"/>
      <c r="AD737" s="247" t="str">
        <f>IF(ISBLANK(AC737), "", VLOOKUP(AC737, Z!$A$2:$C$4127, 3, FALSE))</f>
        <v/>
      </c>
      <c r="AE737" s="262"/>
      <c r="AF737" s="263">
        <f t="shared" si="689"/>
        <v>0</v>
      </c>
      <c r="AG737" s="238"/>
      <c r="AH737" s="229">
        <f t="shared" si="713"/>
        <v>1</v>
      </c>
      <c r="AI737" s="229">
        <f t="shared" si="714"/>
        <v>1</v>
      </c>
      <c r="AJ737" s="229">
        <f t="shared" si="715"/>
        <v>0</v>
      </c>
      <c r="AK737" s="229">
        <v>0</v>
      </c>
      <c r="AL737" s="229">
        <v>0</v>
      </c>
      <c r="AM737" s="229">
        <v>1</v>
      </c>
      <c r="AN737" s="229">
        <v>0</v>
      </c>
      <c r="AO737" s="229">
        <f t="shared" si="690"/>
        <v>-100</v>
      </c>
      <c r="AP737" s="238"/>
      <c r="AQ737" s="255"/>
      <c r="AR737" s="255"/>
      <c r="AS737" s="256"/>
      <c r="AT737" s="256"/>
      <c r="AU737" s="256"/>
      <c r="AV737" s="256"/>
      <c r="AW737" s="256"/>
      <c r="AX737" s="256"/>
      <c r="AY737" s="256"/>
      <c r="AZ737" s="256"/>
      <c r="BA737" s="256"/>
      <c r="BB737" s="256"/>
      <c r="BC737" s="256"/>
      <c r="BD737" s="238"/>
      <c r="BE737" s="229" cm="1">
        <f t="array" ref="BE737">IF(ISBLANK(R737), INDEX(Use, $AH737, 4) - AM737*INDEX(Use, $AH737, 6), R737)</f>
        <v>5</v>
      </c>
      <c r="BF737" s="229">
        <f t="shared" si="691"/>
        <v>30</v>
      </c>
      <c r="BG737" s="229">
        <f t="shared" si="717"/>
        <v>13</v>
      </c>
      <c r="BH737" s="229">
        <f t="shared" si="718"/>
        <v>0</v>
      </c>
      <c r="BI737" s="234" cm="1">
        <f t="array" ref="BI737">K737/IF($L737&gt;0, INDEX($AU$23:$BA$77, $L737+20, $AH737), 1)</f>
        <v>0</v>
      </c>
      <c r="BJ737" s="230">
        <f t="shared" si="692"/>
        <v>0</v>
      </c>
      <c r="BK737" s="229">
        <v>35</v>
      </c>
      <c r="BL737" s="230">
        <f t="shared" si="693"/>
        <v>48</v>
      </c>
      <c r="BM737" s="235">
        <f t="shared" si="694"/>
        <v>2.9108720930232557</v>
      </c>
      <c r="BN737" s="235" cm="1">
        <f t="array" ref="BN737">$BI737 * SUMPRODUCT(INDEX($AR$77:$AT$82,,$AI737),INDEX($AU$77:$BA$82,,$AH737), N($AQ$77:$AQ$82&gt;$AO737)) / BM737 / 1000</f>
        <v>0</v>
      </c>
      <c r="BO737" s="232">
        <f t="shared" si="719"/>
        <v>30</v>
      </c>
      <c r="BP737" s="230">
        <f t="shared" si="695"/>
        <v>43</v>
      </c>
      <c r="BQ737" s="235">
        <f t="shared" si="696"/>
        <v>3.2938815789473681</v>
      </c>
      <c r="BR737" s="235" cm="1">
        <f t="array" ref="BR737">$BI737 * IF($AH737&lt;=2,
SUMPRODUCT(INDEX($AR$72:$AT$76,,$AI737), INDEX($AU$72:$BA$76,,$AH737), 1 / ($BB$72:$BB$76*BQ737 + (1-$BB$72:$BB$76)*BM737), N($AQ$72:$AQ$76&gt;$AO737)),
SUMPRODUCT(INDEX($AR$67:$AT$76,,$AI737), INDEX($AU$67:$BA$76,,$AH737), 1 / ($BC$67:$BC$76*BQ737 + (1-$BC$67:$BC$76)*BM737), N($AQ$67:$AQ$76&gt;$AO737))
) / 1000</f>
        <v>0</v>
      </c>
      <c r="BS737" s="232">
        <f t="shared" si="720"/>
        <v>25</v>
      </c>
      <c r="BT737" s="230">
        <f t="shared" si="697"/>
        <v>38</v>
      </c>
      <c r="BU737" s="235">
        <f t="shared" si="698"/>
        <v>3.792954545454545</v>
      </c>
      <c r="BV737" s="235" cm="1">
        <f t="array" ref="BV737">$BI737 * IF($AH737&lt;=2,
SUMPRODUCT(INDEX($AR$67:$AT$71,,$AI737), INDEX($AU$67:$BA$71,,$AH737), 1 / ($BB$67:$BB$71*BU737 + (1-$BB$67:$BB$71)*BQ737), N($AQ$67:$AQ$71&gt;$AO737)),
SUMPRODUCT(INDEX($AR$57:$AT$66,,$AI737), INDEX($AU$57:$BA$66,,$AH737), 1 / ($BC$57:$BC$66*BU737 + (1-$BC$57:$BC$66)*BQ737), N($AQ$57:$AQ$66&gt;$AO737))
) / 1000</f>
        <v>0</v>
      </c>
      <c r="BW737" s="232">
        <f t="shared" si="721"/>
        <v>20</v>
      </c>
      <c r="BX737" s="230">
        <f t="shared" si="699"/>
        <v>33</v>
      </c>
      <c r="BY737" s="235">
        <f t="shared" si="700"/>
        <v>4.4702678571428569</v>
      </c>
      <c r="BZ737" s="235" cm="1">
        <f t="array" ref="BZ737">$BI737 * IF($AH737&lt;=2,
SUMPRODUCT(INDEX($AR$62:$AT$66,,$AI737), INDEX($AU$62:$BA$66,,$AH737), 1 / ($BB$62:$BB$66*BY737 + (1-$BB$62:$BB$66)*BU737), N($AQ$62:$AQ$66&gt;$AO737)),
SUMPRODUCT(INDEX($AR$47:$AT$56,,$AI737), INDEX($AU$47:$BA$56,,$AH737), 1 / ($BC$47:$BC$56*BY737 + (1-$BC$47:$BC$56)*BU737), N($AQ$47:$AQ$56&gt;$AO737))
) / 1000</f>
        <v>0</v>
      </c>
      <c r="CA737" s="235" cm="1">
        <f t="array" ref="CA737">$BI737 * IF($AH737&lt;=2,
SUMPRODUCT(INDEX($AR$23:$AT$61,,$AI737), INDEX($AU$23:$BA$61,,$AH737), 1 / ($BB$23:$BB$61*BY737), N($AQ$23:$AQ$61&gt;$AO737)),
SUMPRODUCT(INDEX($AR$23:$AT$46,,$AI737), INDEX($AU$23:$BA$46,,$AH737), 1 / ($BC$23:$BC$46*BY737), N($AQ$23:$AQ$46&gt;$AO737))
) / 1000</f>
        <v>0</v>
      </c>
      <c r="CB737" s="230">
        <f t="shared" si="701"/>
        <v>0</v>
      </c>
      <c r="CC737" s="238"/>
      <c r="CD737" s="229" cm="1">
        <f t="array" ref="CD737">IF(ISBLANK(Y737), INDEX(Use, $AH737, 4) - AN737*INDEX(Use, $AH737, 6) - (Q737-X737), Y737)</f>
        <v>7</v>
      </c>
      <c r="CE737" s="229">
        <f t="shared" si="702"/>
        <v>32</v>
      </c>
      <c r="CF737" s="230">
        <f t="shared" si="703"/>
        <v>0</v>
      </c>
      <c r="CG737" s="229">
        <v>35</v>
      </c>
      <c r="CH737" s="230">
        <f t="shared" si="704"/>
        <v>48</v>
      </c>
      <c r="CI737" s="235">
        <f t="shared" si="705"/>
        <v>3.0748170731707316</v>
      </c>
      <c r="CJ737" s="235" cm="1">
        <f t="array" ref="CJ737">$BI737 * SUMPRODUCT(INDEX($AR$77:$AT$82,,$AI737),INDEX($AU$77:$BA$82,,$AH737), N($AQ$77:$AQ$82&gt;$AO737)) / CI737 / 1000</f>
        <v>0</v>
      </c>
      <c r="CK737" s="232">
        <f t="shared" si="722"/>
        <v>30</v>
      </c>
      <c r="CL737" s="230">
        <f t="shared" si="706"/>
        <v>43</v>
      </c>
      <c r="CM737" s="235">
        <f t="shared" si="707"/>
        <v>3.5018750000000001</v>
      </c>
      <c r="CN737" s="235" cm="1">
        <f t="array" ref="CN737">$BI737 * IF($AH737&lt;=2,
SUMPRODUCT(INDEX($AR$72:$AT$76,,$AI737), INDEX($AU$72:$BA$76,,$AH737), 1 / ($BB$72:$BB$76*CM737 + (1-$BB$72:$BB$76)*CI737), N($AQ$72:$AQ$76&gt;$AO737)),
SUMPRODUCT(INDEX($AR$67:$AT$76,,$AI737), INDEX($AU$67:$BA$76,,$AH737), 1 / ($BC$67:$BC$76*CM737 + (1-$BC$67:$BC$76)*CI737), N($AQ$67:$AQ$76&gt;$AO737))
) / 1000</f>
        <v>0</v>
      </c>
      <c r="CO737" s="232">
        <f t="shared" si="723"/>
        <v>25</v>
      </c>
      <c r="CP737" s="230">
        <f t="shared" si="708"/>
        <v>38</v>
      </c>
      <c r="CQ737" s="235">
        <f t="shared" si="709"/>
        <v>4.0666935483870965</v>
      </c>
      <c r="CR737" s="235" cm="1">
        <f t="array" ref="CR737">$BI737 * IF($AH737&lt;=2,
SUMPRODUCT(INDEX($AR$67:$AT$71,,$AI737), INDEX($AU$67:$BA$71,,$AH737), 1 / ($BB$67:$BB$71*CQ737 + (1-$BB$67:$BB$71)*CM737), N($AQ$67:$AQ$71&gt;$AO737)),
SUMPRODUCT(INDEX($AR$57:$AT$66,,$AI737), INDEX($AU$57:$BA$66,,$AH737), 1 / ($BC$57:$BC$66*CQ737 + (1-$BC$57:$BC$66)*CM737), N($AQ$57:$AQ$66&gt;$AO737))
) / 1000</f>
        <v>0</v>
      </c>
      <c r="CS737" s="232">
        <f t="shared" si="724"/>
        <v>20</v>
      </c>
      <c r="CT737" s="230">
        <f t="shared" si="710"/>
        <v>33</v>
      </c>
      <c r="CU737" s="235">
        <f t="shared" si="711"/>
        <v>4.8487499999999999</v>
      </c>
      <c r="CV737" s="235" cm="1">
        <f t="array" ref="CV737">$BI737 * IF($AH737&lt;=2,
SUMPRODUCT(INDEX($AR$62:$AT$66,,$AI737), INDEX($AU$62:$BA$66,,$AH737), 1 / ($BB$62:$BB$66*CU737 + (1-$BB$62:$BB$66)*CQ737), N($AQ$62:$AQ$66&gt;$AO737)),
SUMPRODUCT(INDEX($AR$47:$AT$56,,$AI737), INDEX($AU$47:$BA$56,,$AH737), 1 / ($BC$47:$BC$56*CU737 + (1-$BC$47:$BC$56)*CQ737), N($AQ$47:$AQ$56&gt;$AO737))
) / 1000</f>
        <v>0</v>
      </c>
      <c r="CW737" s="235" cm="1">
        <f t="array" ref="CW737">$BI737 * IF($AH737&lt;=2,
SUMPRODUCT(INDEX($AR$23:$AT$61,,$AI737), INDEX($AU$23:$BA$61,,$AH737), 1 / ($BB$23:$BB$61*CU737), N($AQ$23:$AQ$61&gt;$AO737)),
SUMPRODUCT(INDEX($AR$23:$AT$46,,$AI737), INDEX($AU$23:$BA$46,,$AH737), 1 / ($BC$23:$BC$46*CU737), N($AQ$23:$AQ$46&gt;$AO737))
) / 1000</f>
        <v>0</v>
      </c>
      <c r="CX737" s="230">
        <f t="shared" si="712"/>
        <v>0</v>
      </c>
      <c r="CY737" s="238"/>
    </row>
    <row r="738" spans="1:103" s="76" customFormat="1" ht="14.25" customHeight="1" x14ac:dyDescent="0.2">
      <c r="A738" s="231" t="b">
        <f t="shared" si="716"/>
        <v>0</v>
      </c>
      <c r="B738" s="245">
        <v>716</v>
      </c>
      <c r="C738" s="258"/>
      <c r="D738" s="258"/>
      <c r="E738" s="246"/>
      <c r="F738" s="247" t="str">
        <f>IF(ISBLANK(E738), "", VLOOKUP(E738, Z!$A$2:$C$4127, 3, FALSE))</f>
        <v/>
      </c>
      <c r="G738" s="248"/>
      <c r="H738" s="248"/>
      <c r="I738" s="249"/>
      <c r="J738" s="250"/>
      <c r="K738" s="259"/>
      <c r="L738" s="260"/>
      <c r="M738" s="252" t="str" cm="1">
        <f t="array" ref="M738">INDEX(Trad, 53, $A$20)</f>
        <v>Verschmutzt</v>
      </c>
      <c r="N738" s="253"/>
      <c r="O738" s="253"/>
      <c r="P738" s="254"/>
      <c r="Q738" s="251"/>
      <c r="R738" s="251"/>
      <c r="S738" s="264">
        <f t="shared" si="687"/>
        <v>0</v>
      </c>
      <c r="T738" s="252" t="str" cm="1">
        <f t="array" ref="T738">INDEX(Trad, 52, $A$20)</f>
        <v>Sauber</v>
      </c>
      <c r="U738" s="253"/>
      <c r="V738" s="253"/>
      <c r="W738" s="254"/>
      <c r="X738" s="251"/>
      <c r="Y738" s="251"/>
      <c r="Z738" s="264">
        <f t="shared" si="688"/>
        <v>0</v>
      </c>
      <c r="AA738" s="261"/>
      <c r="AB738" s="258"/>
      <c r="AC738" s="246"/>
      <c r="AD738" s="247" t="str">
        <f>IF(ISBLANK(AC738), "", VLOOKUP(AC738, Z!$A$2:$C$4127, 3, FALSE))</f>
        <v/>
      </c>
      <c r="AE738" s="262"/>
      <c r="AF738" s="263">
        <f t="shared" si="689"/>
        <v>0</v>
      </c>
      <c r="AG738" s="238"/>
      <c r="AH738" s="229">
        <f t="shared" si="713"/>
        <v>1</v>
      </c>
      <c r="AI738" s="229">
        <f t="shared" si="714"/>
        <v>1</v>
      </c>
      <c r="AJ738" s="229">
        <f t="shared" si="715"/>
        <v>0</v>
      </c>
      <c r="AK738" s="229">
        <v>0</v>
      </c>
      <c r="AL738" s="229">
        <v>0</v>
      </c>
      <c r="AM738" s="229">
        <v>1</v>
      </c>
      <c r="AN738" s="229">
        <v>0</v>
      </c>
      <c r="AO738" s="229">
        <f t="shared" si="690"/>
        <v>-100</v>
      </c>
      <c r="AP738" s="238"/>
      <c r="AQ738" s="255"/>
      <c r="AR738" s="255"/>
      <c r="AS738" s="256"/>
      <c r="AT738" s="256"/>
      <c r="AU738" s="256"/>
      <c r="AV738" s="256"/>
      <c r="AW738" s="256"/>
      <c r="AX738" s="256"/>
      <c r="AY738" s="256"/>
      <c r="AZ738" s="256"/>
      <c r="BA738" s="256"/>
      <c r="BB738" s="256"/>
      <c r="BC738" s="256"/>
      <c r="BD738" s="238"/>
      <c r="BE738" s="229" cm="1">
        <f t="array" ref="BE738">IF(ISBLANK(R738), INDEX(Use, $AH738, 4) - AM738*INDEX(Use, $AH738, 6), R738)</f>
        <v>5</v>
      </c>
      <c r="BF738" s="229">
        <f t="shared" si="691"/>
        <v>30</v>
      </c>
      <c r="BG738" s="229">
        <f t="shared" si="717"/>
        <v>13</v>
      </c>
      <c r="BH738" s="229">
        <f t="shared" si="718"/>
        <v>0</v>
      </c>
      <c r="BI738" s="234" cm="1">
        <f t="array" ref="BI738">K738/IF($L738&gt;0, INDEX($AU$23:$BA$77, $L738+20, $AH738), 1)</f>
        <v>0</v>
      </c>
      <c r="BJ738" s="230">
        <f t="shared" si="692"/>
        <v>0</v>
      </c>
      <c r="BK738" s="229">
        <v>35</v>
      </c>
      <c r="BL738" s="230">
        <f t="shared" si="693"/>
        <v>48</v>
      </c>
      <c r="BM738" s="235">
        <f t="shared" si="694"/>
        <v>2.9108720930232557</v>
      </c>
      <c r="BN738" s="235" cm="1">
        <f t="array" ref="BN738">$BI738 * SUMPRODUCT(INDEX($AR$77:$AT$82,,$AI738),INDEX($AU$77:$BA$82,,$AH738), N($AQ$77:$AQ$82&gt;$AO738)) / BM738 / 1000</f>
        <v>0</v>
      </c>
      <c r="BO738" s="232">
        <f t="shared" si="719"/>
        <v>30</v>
      </c>
      <c r="BP738" s="230">
        <f t="shared" si="695"/>
        <v>43</v>
      </c>
      <c r="BQ738" s="235">
        <f t="shared" si="696"/>
        <v>3.2938815789473681</v>
      </c>
      <c r="BR738" s="235" cm="1">
        <f t="array" ref="BR738">$BI738 * IF($AH738&lt;=2,
SUMPRODUCT(INDEX($AR$72:$AT$76,,$AI738), INDEX($AU$72:$BA$76,,$AH738), 1 / ($BB$72:$BB$76*BQ738 + (1-$BB$72:$BB$76)*BM738), N($AQ$72:$AQ$76&gt;$AO738)),
SUMPRODUCT(INDEX($AR$67:$AT$76,,$AI738), INDEX($AU$67:$BA$76,,$AH738), 1 / ($BC$67:$BC$76*BQ738 + (1-$BC$67:$BC$76)*BM738), N($AQ$67:$AQ$76&gt;$AO738))
) / 1000</f>
        <v>0</v>
      </c>
      <c r="BS738" s="232">
        <f t="shared" si="720"/>
        <v>25</v>
      </c>
      <c r="BT738" s="230">
        <f t="shared" si="697"/>
        <v>38</v>
      </c>
      <c r="BU738" s="235">
        <f t="shared" si="698"/>
        <v>3.792954545454545</v>
      </c>
      <c r="BV738" s="235" cm="1">
        <f t="array" ref="BV738">$BI738 * IF($AH738&lt;=2,
SUMPRODUCT(INDEX($AR$67:$AT$71,,$AI738), INDEX($AU$67:$BA$71,,$AH738), 1 / ($BB$67:$BB$71*BU738 + (1-$BB$67:$BB$71)*BQ738), N($AQ$67:$AQ$71&gt;$AO738)),
SUMPRODUCT(INDEX($AR$57:$AT$66,,$AI738), INDEX($AU$57:$BA$66,,$AH738), 1 / ($BC$57:$BC$66*BU738 + (1-$BC$57:$BC$66)*BQ738), N($AQ$57:$AQ$66&gt;$AO738))
) / 1000</f>
        <v>0</v>
      </c>
      <c r="BW738" s="232">
        <f t="shared" si="721"/>
        <v>20</v>
      </c>
      <c r="BX738" s="230">
        <f t="shared" si="699"/>
        <v>33</v>
      </c>
      <c r="BY738" s="235">
        <f t="shared" si="700"/>
        <v>4.4702678571428569</v>
      </c>
      <c r="BZ738" s="235" cm="1">
        <f t="array" ref="BZ738">$BI738 * IF($AH738&lt;=2,
SUMPRODUCT(INDEX($AR$62:$AT$66,,$AI738), INDEX($AU$62:$BA$66,,$AH738), 1 / ($BB$62:$BB$66*BY738 + (1-$BB$62:$BB$66)*BU738), N($AQ$62:$AQ$66&gt;$AO738)),
SUMPRODUCT(INDEX($AR$47:$AT$56,,$AI738), INDEX($AU$47:$BA$56,,$AH738), 1 / ($BC$47:$BC$56*BY738 + (1-$BC$47:$BC$56)*BU738), N($AQ$47:$AQ$56&gt;$AO738))
) / 1000</f>
        <v>0</v>
      </c>
      <c r="CA738" s="235" cm="1">
        <f t="array" ref="CA738">$BI738 * IF($AH738&lt;=2,
SUMPRODUCT(INDEX($AR$23:$AT$61,,$AI738), INDEX($AU$23:$BA$61,,$AH738), 1 / ($BB$23:$BB$61*BY738), N($AQ$23:$AQ$61&gt;$AO738)),
SUMPRODUCT(INDEX($AR$23:$AT$46,,$AI738), INDEX($AU$23:$BA$46,,$AH738), 1 / ($BC$23:$BC$46*BY738), N($AQ$23:$AQ$46&gt;$AO738))
) / 1000</f>
        <v>0</v>
      </c>
      <c r="CB738" s="230">
        <f t="shared" si="701"/>
        <v>0</v>
      </c>
      <c r="CC738" s="238"/>
      <c r="CD738" s="229" cm="1">
        <f t="array" ref="CD738">IF(ISBLANK(Y738), INDEX(Use, $AH738, 4) - AN738*INDEX(Use, $AH738, 6) - (Q738-X738), Y738)</f>
        <v>7</v>
      </c>
      <c r="CE738" s="229">
        <f t="shared" si="702"/>
        <v>32</v>
      </c>
      <c r="CF738" s="230">
        <f t="shared" si="703"/>
        <v>0</v>
      </c>
      <c r="CG738" s="229">
        <v>35</v>
      </c>
      <c r="CH738" s="230">
        <f t="shared" si="704"/>
        <v>48</v>
      </c>
      <c r="CI738" s="235">
        <f t="shared" si="705"/>
        <v>3.0748170731707316</v>
      </c>
      <c r="CJ738" s="235" cm="1">
        <f t="array" ref="CJ738">$BI738 * SUMPRODUCT(INDEX($AR$77:$AT$82,,$AI738),INDEX($AU$77:$BA$82,,$AH738), N($AQ$77:$AQ$82&gt;$AO738)) / CI738 / 1000</f>
        <v>0</v>
      </c>
      <c r="CK738" s="232">
        <f t="shared" si="722"/>
        <v>30</v>
      </c>
      <c r="CL738" s="230">
        <f t="shared" si="706"/>
        <v>43</v>
      </c>
      <c r="CM738" s="235">
        <f t="shared" si="707"/>
        <v>3.5018750000000001</v>
      </c>
      <c r="CN738" s="235" cm="1">
        <f t="array" ref="CN738">$BI738 * IF($AH738&lt;=2,
SUMPRODUCT(INDEX($AR$72:$AT$76,,$AI738), INDEX($AU$72:$BA$76,,$AH738), 1 / ($BB$72:$BB$76*CM738 + (1-$BB$72:$BB$76)*CI738), N($AQ$72:$AQ$76&gt;$AO738)),
SUMPRODUCT(INDEX($AR$67:$AT$76,,$AI738), INDEX($AU$67:$BA$76,,$AH738), 1 / ($BC$67:$BC$76*CM738 + (1-$BC$67:$BC$76)*CI738), N($AQ$67:$AQ$76&gt;$AO738))
) / 1000</f>
        <v>0</v>
      </c>
      <c r="CO738" s="232">
        <f t="shared" si="723"/>
        <v>25</v>
      </c>
      <c r="CP738" s="230">
        <f t="shared" si="708"/>
        <v>38</v>
      </c>
      <c r="CQ738" s="235">
        <f t="shared" si="709"/>
        <v>4.0666935483870965</v>
      </c>
      <c r="CR738" s="235" cm="1">
        <f t="array" ref="CR738">$BI738 * IF($AH738&lt;=2,
SUMPRODUCT(INDEX($AR$67:$AT$71,,$AI738), INDEX($AU$67:$BA$71,,$AH738), 1 / ($BB$67:$BB$71*CQ738 + (1-$BB$67:$BB$71)*CM738), N($AQ$67:$AQ$71&gt;$AO738)),
SUMPRODUCT(INDEX($AR$57:$AT$66,,$AI738), INDEX($AU$57:$BA$66,,$AH738), 1 / ($BC$57:$BC$66*CQ738 + (1-$BC$57:$BC$66)*CM738), N($AQ$57:$AQ$66&gt;$AO738))
) / 1000</f>
        <v>0</v>
      </c>
      <c r="CS738" s="232">
        <f t="shared" si="724"/>
        <v>20</v>
      </c>
      <c r="CT738" s="230">
        <f t="shared" si="710"/>
        <v>33</v>
      </c>
      <c r="CU738" s="235">
        <f t="shared" si="711"/>
        <v>4.8487499999999999</v>
      </c>
      <c r="CV738" s="235" cm="1">
        <f t="array" ref="CV738">$BI738 * IF($AH738&lt;=2,
SUMPRODUCT(INDEX($AR$62:$AT$66,,$AI738), INDEX($AU$62:$BA$66,,$AH738), 1 / ($BB$62:$BB$66*CU738 + (1-$BB$62:$BB$66)*CQ738), N($AQ$62:$AQ$66&gt;$AO738)),
SUMPRODUCT(INDEX($AR$47:$AT$56,,$AI738), INDEX($AU$47:$BA$56,,$AH738), 1 / ($BC$47:$BC$56*CU738 + (1-$BC$47:$BC$56)*CQ738), N($AQ$47:$AQ$56&gt;$AO738))
) / 1000</f>
        <v>0</v>
      </c>
      <c r="CW738" s="235" cm="1">
        <f t="array" ref="CW738">$BI738 * IF($AH738&lt;=2,
SUMPRODUCT(INDEX($AR$23:$AT$61,,$AI738), INDEX($AU$23:$BA$61,,$AH738), 1 / ($BB$23:$BB$61*CU738), N($AQ$23:$AQ$61&gt;$AO738)),
SUMPRODUCT(INDEX($AR$23:$AT$46,,$AI738), INDEX($AU$23:$BA$46,,$AH738), 1 / ($BC$23:$BC$46*CU738), N($AQ$23:$AQ$46&gt;$AO738))
) / 1000</f>
        <v>0</v>
      </c>
      <c r="CX738" s="230">
        <f t="shared" si="712"/>
        <v>0</v>
      </c>
      <c r="CY738" s="238"/>
    </row>
    <row r="739" spans="1:103" s="76" customFormat="1" ht="14.25" customHeight="1" x14ac:dyDescent="0.2">
      <c r="A739" s="231" t="b">
        <f t="shared" si="716"/>
        <v>0</v>
      </c>
      <c r="B739" s="245">
        <v>717</v>
      </c>
      <c r="C739" s="258"/>
      <c r="D739" s="258"/>
      <c r="E739" s="246"/>
      <c r="F739" s="247" t="str">
        <f>IF(ISBLANK(E739), "", VLOOKUP(E739, Z!$A$2:$C$4127, 3, FALSE))</f>
        <v/>
      </c>
      <c r="G739" s="248"/>
      <c r="H739" s="248"/>
      <c r="I739" s="249"/>
      <c r="J739" s="250"/>
      <c r="K739" s="259"/>
      <c r="L739" s="260"/>
      <c r="M739" s="252" t="str" cm="1">
        <f t="array" ref="M739">INDEX(Trad, 53, $A$20)</f>
        <v>Verschmutzt</v>
      </c>
      <c r="N739" s="253"/>
      <c r="O739" s="253"/>
      <c r="P739" s="254"/>
      <c r="Q739" s="251"/>
      <c r="R739" s="251"/>
      <c r="S739" s="264">
        <f t="shared" si="687"/>
        <v>0</v>
      </c>
      <c r="T739" s="252" t="str" cm="1">
        <f t="array" ref="T739">INDEX(Trad, 52, $A$20)</f>
        <v>Sauber</v>
      </c>
      <c r="U739" s="253"/>
      <c r="V739" s="253"/>
      <c r="W739" s="254"/>
      <c r="X739" s="251"/>
      <c r="Y739" s="251"/>
      <c r="Z739" s="264">
        <f t="shared" si="688"/>
        <v>0</v>
      </c>
      <c r="AA739" s="261"/>
      <c r="AB739" s="258"/>
      <c r="AC739" s="246"/>
      <c r="AD739" s="247" t="str">
        <f>IF(ISBLANK(AC739), "", VLOOKUP(AC739, Z!$A$2:$C$4127, 3, FALSE))</f>
        <v/>
      </c>
      <c r="AE739" s="262"/>
      <c r="AF739" s="263">
        <f t="shared" si="689"/>
        <v>0</v>
      </c>
      <c r="AG739" s="238"/>
      <c r="AH739" s="229">
        <f t="shared" si="713"/>
        <v>1</v>
      </c>
      <c r="AI739" s="229">
        <f t="shared" si="714"/>
        <v>1</v>
      </c>
      <c r="AJ739" s="229">
        <f t="shared" si="715"/>
        <v>0</v>
      </c>
      <c r="AK739" s="229">
        <v>0</v>
      </c>
      <c r="AL739" s="229">
        <v>0</v>
      </c>
      <c r="AM739" s="229">
        <v>1</v>
      </c>
      <c r="AN739" s="229">
        <v>0</v>
      </c>
      <c r="AO739" s="229">
        <f t="shared" si="690"/>
        <v>-100</v>
      </c>
      <c r="AP739" s="238"/>
      <c r="AQ739" s="255"/>
      <c r="AR739" s="255"/>
      <c r="AS739" s="256"/>
      <c r="AT739" s="256"/>
      <c r="AU739" s="256"/>
      <c r="AV739" s="256"/>
      <c r="AW739" s="256"/>
      <c r="AX739" s="256"/>
      <c r="AY739" s="256"/>
      <c r="AZ739" s="256"/>
      <c r="BA739" s="256"/>
      <c r="BB739" s="256"/>
      <c r="BC739" s="256"/>
      <c r="BD739" s="238"/>
      <c r="BE739" s="229" cm="1">
        <f t="array" ref="BE739">IF(ISBLANK(R739), INDEX(Use, $AH739, 4) - AM739*INDEX(Use, $AH739, 6), R739)</f>
        <v>5</v>
      </c>
      <c r="BF739" s="229">
        <f t="shared" si="691"/>
        <v>30</v>
      </c>
      <c r="BG739" s="229">
        <f t="shared" si="717"/>
        <v>13</v>
      </c>
      <c r="BH739" s="229">
        <f t="shared" si="718"/>
        <v>0</v>
      </c>
      <c r="BI739" s="234" cm="1">
        <f t="array" ref="BI739">K739/IF($L739&gt;0, INDEX($AU$23:$BA$77, $L739+20, $AH739), 1)</f>
        <v>0</v>
      </c>
      <c r="BJ739" s="230">
        <f t="shared" si="692"/>
        <v>0</v>
      </c>
      <c r="BK739" s="229">
        <v>35</v>
      </c>
      <c r="BL739" s="230">
        <f t="shared" si="693"/>
        <v>48</v>
      </c>
      <c r="BM739" s="235">
        <f t="shared" si="694"/>
        <v>2.9108720930232557</v>
      </c>
      <c r="BN739" s="235" cm="1">
        <f t="array" ref="BN739">$BI739 * SUMPRODUCT(INDEX($AR$77:$AT$82,,$AI739),INDEX($AU$77:$BA$82,,$AH739), N($AQ$77:$AQ$82&gt;$AO739)) / BM739 / 1000</f>
        <v>0</v>
      </c>
      <c r="BO739" s="232">
        <f t="shared" si="719"/>
        <v>30</v>
      </c>
      <c r="BP739" s="230">
        <f t="shared" si="695"/>
        <v>43</v>
      </c>
      <c r="BQ739" s="235">
        <f t="shared" si="696"/>
        <v>3.2938815789473681</v>
      </c>
      <c r="BR739" s="235" cm="1">
        <f t="array" ref="BR739">$BI739 * IF($AH739&lt;=2,
SUMPRODUCT(INDEX($AR$72:$AT$76,,$AI739), INDEX($AU$72:$BA$76,,$AH739), 1 / ($BB$72:$BB$76*BQ739 + (1-$BB$72:$BB$76)*BM739), N($AQ$72:$AQ$76&gt;$AO739)),
SUMPRODUCT(INDEX($AR$67:$AT$76,,$AI739), INDEX($AU$67:$BA$76,,$AH739), 1 / ($BC$67:$BC$76*BQ739 + (1-$BC$67:$BC$76)*BM739), N($AQ$67:$AQ$76&gt;$AO739))
) / 1000</f>
        <v>0</v>
      </c>
      <c r="BS739" s="232">
        <f t="shared" si="720"/>
        <v>25</v>
      </c>
      <c r="BT739" s="230">
        <f t="shared" si="697"/>
        <v>38</v>
      </c>
      <c r="BU739" s="235">
        <f t="shared" si="698"/>
        <v>3.792954545454545</v>
      </c>
      <c r="BV739" s="235" cm="1">
        <f t="array" ref="BV739">$BI739 * IF($AH739&lt;=2,
SUMPRODUCT(INDEX($AR$67:$AT$71,,$AI739), INDEX($AU$67:$BA$71,,$AH739), 1 / ($BB$67:$BB$71*BU739 + (1-$BB$67:$BB$71)*BQ739), N($AQ$67:$AQ$71&gt;$AO739)),
SUMPRODUCT(INDEX($AR$57:$AT$66,,$AI739), INDEX($AU$57:$BA$66,,$AH739), 1 / ($BC$57:$BC$66*BU739 + (1-$BC$57:$BC$66)*BQ739), N($AQ$57:$AQ$66&gt;$AO739))
) / 1000</f>
        <v>0</v>
      </c>
      <c r="BW739" s="232">
        <f t="shared" si="721"/>
        <v>20</v>
      </c>
      <c r="BX739" s="230">
        <f t="shared" si="699"/>
        <v>33</v>
      </c>
      <c r="BY739" s="235">
        <f t="shared" si="700"/>
        <v>4.4702678571428569</v>
      </c>
      <c r="BZ739" s="235" cm="1">
        <f t="array" ref="BZ739">$BI739 * IF($AH739&lt;=2,
SUMPRODUCT(INDEX($AR$62:$AT$66,,$AI739), INDEX($AU$62:$BA$66,,$AH739), 1 / ($BB$62:$BB$66*BY739 + (1-$BB$62:$BB$66)*BU739), N($AQ$62:$AQ$66&gt;$AO739)),
SUMPRODUCT(INDEX($AR$47:$AT$56,,$AI739), INDEX($AU$47:$BA$56,,$AH739), 1 / ($BC$47:$BC$56*BY739 + (1-$BC$47:$BC$56)*BU739), N($AQ$47:$AQ$56&gt;$AO739))
) / 1000</f>
        <v>0</v>
      </c>
      <c r="CA739" s="235" cm="1">
        <f t="array" ref="CA739">$BI739 * IF($AH739&lt;=2,
SUMPRODUCT(INDEX($AR$23:$AT$61,,$AI739), INDEX($AU$23:$BA$61,,$AH739), 1 / ($BB$23:$BB$61*BY739), N($AQ$23:$AQ$61&gt;$AO739)),
SUMPRODUCT(INDEX($AR$23:$AT$46,,$AI739), INDEX($AU$23:$BA$46,,$AH739), 1 / ($BC$23:$BC$46*BY739), N($AQ$23:$AQ$46&gt;$AO739))
) / 1000</f>
        <v>0</v>
      </c>
      <c r="CB739" s="230">
        <f t="shared" si="701"/>
        <v>0</v>
      </c>
      <c r="CC739" s="238"/>
      <c r="CD739" s="229" cm="1">
        <f t="array" ref="CD739">IF(ISBLANK(Y739), INDEX(Use, $AH739, 4) - AN739*INDEX(Use, $AH739, 6) - (Q739-X739), Y739)</f>
        <v>7</v>
      </c>
      <c r="CE739" s="229">
        <f t="shared" si="702"/>
        <v>32</v>
      </c>
      <c r="CF739" s="230">
        <f t="shared" si="703"/>
        <v>0</v>
      </c>
      <c r="CG739" s="229">
        <v>35</v>
      </c>
      <c r="CH739" s="230">
        <f t="shared" si="704"/>
        <v>48</v>
      </c>
      <c r="CI739" s="235">
        <f t="shared" si="705"/>
        <v>3.0748170731707316</v>
      </c>
      <c r="CJ739" s="235" cm="1">
        <f t="array" ref="CJ739">$BI739 * SUMPRODUCT(INDEX($AR$77:$AT$82,,$AI739),INDEX($AU$77:$BA$82,,$AH739), N($AQ$77:$AQ$82&gt;$AO739)) / CI739 / 1000</f>
        <v>0</v>
      </c>
      <c r="CK739" s="232">
        <f t="shared" si="722"/>
        <v>30</v>
      </c>
      <c r="CL739" s="230">
        <f t="shared" si="706"/>
        <v>43</v>
      </c>
      <c r="CM739" s="235">
        <f t="shared" si="707"/>
        <v>3.5018750000000001</v>
      </c>
      <c r="CN739" s="235" cm="1">
        <f t="array" ref="CN739">$BI739 * IF($AH739&lt;=2,
SUMPRODUCT(INDEX($AR$72:$AT$76,,$AI739), INDEX($AU$72:$BA$76,,$AH739), 1 / ($BB$72:$BB$76*CM739 + (1-$BB$72:$BB$76)*CI739), N($AQ$72:$AQ$76&gt;$AO739)),
SUMPRODUCT(INDEX($AR$67:$AT$76,,$AI739), INDEX($AU$67:$BA$76,,$AH739), 1 / ($BC$67:$BC$76*CM739 + (1-$BC$67:$BC$76)*CI739), N($AQ$67:$AQ$76&gt;$AO739))
) / 1000</f>
        <v>0</v>
      </c>
      <c r="CO739" s="232">
        <f t="shared" si="723"/>
        <v>25</v>
      </c>
      <c r="CP739" s="230">
        <f t="shared" si="708"/>
        <v>38</v>
      </c>
      <c r="CQ739" s="235">
        <f t="shared" si="709"/>
        <v>4.0666935483870965</v>
      </c>
      <c r="CR739" s="235" cm="1">
        <f t="array" ref="CR739">$BI739 * IF($AH739&lt;=2,
SUMPRODUCT(INDEX($AR$67:$AT$71,,$AI739), INDEX($AU$67:$BA$71,,$AH739), 1 / ($BB$67:$BB$71*CQ739 + (1-$BB$67:$BB$71)*CM739), N($AQ$67:$AQ$71&gt;$AO739)),
SUMPRODUCT(INDEX($AR$57:$AT$66,,$AI739), INDEX($AU$57:$BA$66,,$AH739), 1 / ($BC$57:$BC$66*CQ739 + (1-$BC$57:$BC$66)*CM739), N($AQ$57:$AQ$66&gt;$AO739))
) / 1000</f>
        <v>0</v>
      </c>
      <c r="CS739" s="232">
        <f t="shared" si="724"/>
        <v>20</v>
      </c>
      <c r="CT739" s="230">
        <f t="shared" si="710"/>
        <v>33</v>
      </c>
      <c r="CU739" s="235">
        <f t="shared" si="711"/>
        <v>4.8487499999999999</v>
      </c>
      <c r="CV739" s="235" cm="1">
        <f t="array" ref="CV739">$BI739 * IF($AH739&lt;=2,
SUMPRODUCT(INDEX($AR$62:$AT$66,,$AI739), INDEX($AU$62:$BA$66,,$AH739), 1 / ($BB$62:$BB$66*CU739 + (1-$BB$62:$BB$66)*CQ739), N($AQ$62:$AQ$66&gt;$AO739)),
SUMPRODUCT(INDEX($AR$47:$AT$56,,$AI739), INDEX($AU$47:$BA$56,,$AH739), 1 / ($BC$47:$BC$56*CU739 + (1-$BC$47:$BC$56)*CQ739), N($AQ$47:$AQ$56&gt;$AO739))
) / 1000</f>
        <v>0</v>
      </c>
      <c r="CW739" s="235" cm="1">
        <f t="array" ref="CW739">$BI739 * IF($AH739&lt;=2,
SUMPRODUCT(INDEX($AR$23:$AT$61,,$AI739), INDEX($AU$23:$BA$61,,$AH739), 1 / ($BB$23:$BB$61*CU739), N($AQ$23:$AQ$61&gt;$AO739)),
SUMPRODUCT(INDEX($AR$23:$AT$46,,$AI739), INDEX($AU$23:$BA$46,,$AH739), 1 / ($BC$23:$BC$46*CU739), N($AQ$23:$AQ$46&gt;$AO739))
) / 1000</f>
        <v>0</v>
      </c>
      <c r="CX739" s="230">
        <f t="shared" si="712"/>
        <v>0</v>
      </c>
      <c r="CY739" s="238"/>
    </row>
    <row r="740" spans="1:103" s="76" customFormat="1" ht="14.25" customHeight="1" x14ac:dyDescent="0.2">
      <c r="A740" s="231" t="b">
        <f t="shared" si="716"/>
        <v>0</v>
      </c>
      <c r="B740" s="245">
        <v>718</v>
      </c>
      <c r="C740" s="258"/>
      <c r="D740" s="258"/>
      <c r="E740" s="246"/>
      <c r="F740" s="247" t="str">
        <f>IF(ISBLANK(E740), "", VLOOKUP(E740, Z!$A$2:$C$4127, 3, FALSE))</f>
        <v/>
      </c>
      <c r="G740" s="248"/>
      <c r="H740" s="248"/>
      <c r="I740" s="249"/>
      <c r="J740" s="250"/>
      <c r="K740" s="259"/>
      <c r="L740" s="260"/>
      <c r="M740" s="252" t="str" cm="1">
        <f t="array" ref="M740">INDEX(Trad, 53, $A$20)</f>
        <v>Verschmutzt</v>
      </c>
      <c r="N740" s="253"/>
      <c r="O740" s="253"/>
      <c r="P740" s="254"/>
      <c r="Q740" s="251"/>
      <c r="R740" s="251"/>
      <c r="S740" s="264">
        <f t="shared" si="687"/>
        <v>0</v>
      </c>
      <c r="T740" s="252" t="str" cm="1">
        <f t="array" ref="T740">INDEX(Trad, 52, $A$20)</f>
        <v>Sauber</v>
      </c>
      <c r="U740" s="253"/>
      <c r="V740" s="253"/>
      <c r="W740" s="254"/>
      <c r="X740" s="251"/>
      <c r="Y740" s="251"/>
      <c r="Z740" s="264">
        <f t="shared" si="688"/>
        <v>0</v>
      </c>
      <c r="AA740" s="261"/>
      <c r="AB740" s="258"/>
      <c r="AC740" s="246"/>
      <c r="AD740" s="247" t="str">
        <f>IF(ISBLANK(AC740), "", VLOOKUP(AC740, Z!$A$2:$C$4127, 3, FALSE))</f>
        <v/>
      </c>
      <c r="AE740" s="262"/>
      <c r="AF740" s="263">
        <f t="shared" si="689"/>
        <v>0</v>
      </c>
      <c r="AG740" s="238"/>
      <c r="AH740" s="229">
        <f t="shared" si="713"/>
        <v>1</v>
      </c>
      <c r="AI740" s="229">
        <f t="shared" si="714"/>
        <v>1</v>
      </c>
      <c r="AJ740" s="229">
        <f t="shared" si="715"/>
        <v>0</v>
      </c>
      <c r="AK740" s="229">
        <v>0</v>
      </c>
      <c r="AL740" s="229">
        <v>0</v>
      </c>
      <c r="AM740" s="229">
        <v>1</v>
      </c>
      <c r="AN740" s="229">
        <v>0</v>
      </c>
      <c r="AO740" s="229">
        <f t="shared" si="690"/>
        <v>-100</v>
      </c>
      <c r="AP740" s="238"/>
      <c r="AQ740" s="255"/>
      <c r="AR740" s="255"/>
      <c r="AS740" s="256"/>
      <c r="AT740" s="256"/>
      <c r="AU740" s="256"/>
      <c r="AV740" s="256"/>
      <c r="AW740" s="256"/>
      <c r="AX740" s="256"/>
      <c r="AY740" s="256"/>
      <c r="AZ740" s="256"/>
      <c r="BA740" s="256"/>
      <c r="BB740" s="256"/>
      <c r="BC740" s="256"/>
      <c r="BD740" s="238"/>
      <c r="BE740" s="229" cm="1">
        <f t="array" ref="BE740">IF(ISBLANK(R740), INDEX(Use, $AH740, 4) - AM740*INDEX(Use, $AH740, 6), R740)</f>
        <v>5</v>
      </c>
      <c r="BF740" s="229">
        <f t="shared" si="691"/>
        <v>30</v>
      </c>
      <c r="BG740" s="229">
        <f t="shared" si="717"/>
        <v>13</v>
      </c>
      <c r="BH740" s="229">
        <f t="shared" si="718"/>
        <v>0</v>
      </c>
      <c r="BI740" s="234" cm="1">
        <f t="array" ref="BI740">K740/IF($L740&gt;0, INDEX($AU$23:$BA$77, $L740+20, $AH740), 1)</f>
        <v>0</v>
      </c>
      <c r="BJ740" s="230">
        <f t="shared" si="692"/>
        <v>0</v>
      </c>
      <c r="BK740" s="229">
        <v>35</v>
      </c>
      <c r="BL740" s="230">
        <f t="shared" si="693"/>
        <v>48</v>
      </c>
      <c r="BM740" s="235">
        <f t="shared" si="694"/>
        <v>2.9108720930232557</v>
      </c>
      <c r="BN740" s="235" cm="1">
        <f t="array" ref="BN740">$BI740 * SUMPRODUCT(INDEX($AR$77:$AT$82,,$AI740),INDEX($AU$77:$BA$82,,$AH740), N($AQ$77:$AQ$82&gt;$AO740)) / BM740 / 1000</f>
        <v>0</v>
      </c>
      <c r="BO740" s="232">
        <f t="shared" si="719"/>
        <v>30</v>
      </c>
      <c r="BP740" s="230">
        <f t="shared" si="695"/>
        <v>43</v>
      </c>
      <c r="BQ740" s="235">
        <f t="shared" si="696"/>
        <v>3.2938815789473681</v>
      </c>
      <c r="BR740" s="235" cm="1">
        <f t="array" ref="BR740">$BI740 * IF($AH740&lt;=2,
SUMPRODUCT(INDEX($AR$72:$AT$76,,$AI740), INDEX($AU$72:$BA$76,,$AH740), 1 / ($BB$72:$BB$76*BQ740 + (1-$BB$72:$BB$76)*BM740), N($AQ$72:$AQ$76&gt;$AO740)),
SUMPRODUCT(INDEX($AR$67:$AT$76,,$AI740), INDEX($AU$67:$BA$76,,$AH740), 1 / ($BC$67:$BC$76*BQ740 + (1-$BC$67:$BC$76)*BM740), N($AQ$67:$AQ$76&gt;$AO740))
) / 1000</f>
        <v>0</v>
      </c>
      <c r="BS740" s="232">
        <f t="shared" si="720"/>
        <v>25</v>
      </c>
      <c r="BT740" s="230">
        <f t="shared" si="697"/>
        <v>38</v>
      </c>
      <c r="BU740" s="235">
        <f t="shared" si="698"/>
        <v>3.792954545454545</v>
      </c>
      <c r="BV740" s="235" cm="1">
        <f t="array" ref="BV740">$BI740 * IF($AH740&lt;=2,
SUMPRODUCT(INDEX($AR$67:$AT$71,,$AI740), INDEX($AU$67:$BA$71,,$AH740), 1 / ($BB$67:$BB$71*BU740 + (1-$BB$67:$BB$71)*BQ740), N($AQ$67:$AQ$71&gt;$AO740)),
SUMPRODUCT(INDEX($AR$57:$AT$66,,$AI740), INDEX($AU$57:$BA$66,,$AH740), 1 / ($BC$57:$BC$66*BU740 + (1-$BC$57:$BC$66)*BQ740), N($AQ$57:$AQ$66&gt;$AO740))
) / 1000</f>
        <v>0</v>
      </c>
      <c r="BW740" s="232">
        <f t="shared" si="721"/>
        <v>20</v>
      </c>
      <c r="BX740" s="230">
        <f t="shared" si="699"/>
        <v>33</v>
      </c>
      <c r="BY740" s="235">
        <f t="shared" si="700"/>
        <v>4.4702678571428569</v>
      </c>
      <c r="BZ740" s="235" cm="1">
        <f t="array" ref="BZ740">$BI740 * IF($AH740&lt;=2,
SUMPRODUCT(INDEX($AR$62:$AT$66,,$AI740), INDEX($AU$62:$BA$66,,$AH740), 1 / ($BB$62:$BB$66*BY740 + (1-$BB$62:$BB$66)*BU740), N($AQ$62:$AQ$66&gt;$AO740)),
SUMPRODUCT(INDEX($AR$47:$AT$56,,$AI740), INDEX($AU$47:$BA$56,,$AH740), 1 / ($BC$47:$BC$56*BY740 + (1-$BC$47:$BC$56)*BU740), N($AQ$47:$AQ$56&gt;$AO740))
) / 1000</f>
        <v>0</v>
      </c>
      <c r="CA740" s="235" cm="1">
        <f t="array" ref="CA740">$BI740 * IF($AH740&lt;=2,
SUMPRODUCT(INDEX($AR$23:$AT$61,,$AI740), INDEX($AU$23:$BA$61,,$AH740), 1 / ($BB$23:$BB$61*BY740), N($AQ$23:$AQ$61&gt;$AO740)),
SUMPRODUCT(INDEX($AR$23:$AT$46,,$AI740), INDEX($AU$23:$BA$46,,$AH740), 1 / ($BC$23:$BC$46*BY740), N($AQ$23:$AQ$46&gt;$AO740))
) / 1000</f>
        <v>0</v>
      </c>
      <c r="CB740" s="230">
        <f t="shared" si="701"/>
        <v>0</v>
      </c>
      <c r="CC740" s="238"/>
      <c r="CD740" s="229" cm="1">
        <f t="array" ref="CD740">IF(ISBLANK(Y740), INDEX(Use, $AH740, 4) - AN740*INDEX(Use, $AH740, 6) - (Q740-X740), Y740)</f>
        <v>7</v>
      </c>
      <c r="CE740" s="229">
        <f t="shared" si="702"/>
        <v>32</v>
      </c>
      <c r="CF740" s="230">
        <f t="shared" si="703"/>
        <v>0</v>
      </c>
      <c r="CG740" s="229">
        <v>35</v>
      </c>
      <c r="CH740" s="230">
        <f t="shared" si="704"/>
        <v>48</v>
      </c>
      <c r="CI740" s="235">
        <f t="shared" si="705"/>
        <v>3.0748170731707316</v>
      </c>
      <c r="CJ740" s="235" cm="1">
        <f t="array" ref="CJ740">$BI740 * SUMPRODUCT(INDEX($AR$77:$AT$82,,$AI740),INDEX($AU$77:$BA$82,,$AH740), N($AQ$77:$AQ$82&gt;$AO740)) / CI740 / 1000</f>
        <v>0</v>
      </c>
      <c r="CK740" s="232">
        <f t="shared" si="722"/>
        <v>30</v>
      </c>
      <c r="CL740" s="230">
        <f t="shared" si="706"/>
        <v>43</v>
      </c>
      <c r="CM740" s="235">
        <f t="shared" si="707"/>
        <v>3.5018750000000001</v>
      </c>
      <c r="CN740" s="235" cm="1">
        <f t="array" ref="CN740">$BI740 * IF($AH740&lt;=2,
SUMPRODUCT(INDEX($AR$72:$AT$76,,$AI740), INDEX($AU$72:$BA$76,,$AH740), 1 / ($BB$72:$BB$76*CM740 + (1-$BB$72:$BB$76)*CI740), N($AQ$72:$AQ$76&gt;$AO740)),
SUMPRODUCT(INDEX($AR$67:$AT$76,,$AI740), INDEX($AU$67:$BA$76,,$AH740), 1 / ($BC$67:$BC$76*CM740 + (1-$BC$67:$BC$76)*CI740), N($AQ$67:$AQ$76&gt;$AO740))
) / 1000</f>
        <v>0</v>
      </c>
      <c r="CO740" s="232">
        <f t="shared" si="723"/>
        <v>25</v>
      </c>
      <c r="CP740" s="230">
        <f t="shared" si="708"/>
        <v>38</v>
      </c>
      <c r="CQ740" s="235">
        <f t="shared" si="709"/>
        <v>4.0666935483870965</v>
      </c>
      <c r="CR740" s="235" cm="1">
        <f t="array" ref="CR740">$BI740 * IF($AH740&lt;=2,
SUMPRODUCT(INDEX($AR$67:$AT$71,,$AI740), INDEX($AU$67:$BA$71,,$AH740), 1 / ($BB$67:$BB$71*CQ740 + (1-$BB$67:$BB$71)*CM740), N($AQ$67:$AQ$71&gt;$AO740)),
SUMPRODUCT(INDEX($AR$57:$AT$66,,$AI740), INDEX($AU$57:$BA$66,,$AH740), 1 / ($BC$57:$BC$66*CQ740 + (1-$BC$57:$BC$66)*CM740), N($AQ$57:$AQ$66&gt;$AO740))
) / 1000</f>
        <v>0</v>
      </c>
      <c r="CS740" s="232">
        <f t="shared" si="724"/>
        <v>20</v>
      </c>
      <c r="CT740" s="230">
        <f t="shared" si="710"/>
        <v>33</v>
      </c>
      <c r="CU740" s="235">
        <f t="shared" si="711"/>
        <v>4.8487499999999999</v>
      </c>
      <c r="CV740" s="235" cm="1">
        <f t="array" ref="CV740">$BI740 * IF($AH740&lt;=2,
SUMPRODUCT(INDEX($AR$62:$AT$66,,$AI740), INDEX($AU$62:$BA$66,,$AH740), 1 / ($BB$62:$BB$66*CU740 + (1-$BB$62:$BB$66)*CQ740), N($AQ$62:$AQ$66&gt;$AO740)),
SUMPRODUCT(INDEX($AR$47:$AT$56,,$AI740), INDEX($AU$47:$BA$56,,$AH740), 1 / ($BC$47:$BC$56*CU740 + (1-$BC$47:$BC$56)*CQ740), N($AQ$47:$AQ$56&gt;$AO740))
) / 1000</f>
        <v>0</v>
      </c>
      <c r="CW740" s="235" cm="1">
        <f t="array" ref="CW740">$BI740 * IF($AH740&lt;=2,
SUMPRODUCT(INDEX($AR$23:$AT$61,,$AI740), INDEX($AU$23:$BA$61,,$AH740), 1 / ($BB$23:$BB$61*CU740), N($AQ$23:$AQ$61&gt;$AO740)),
SUMPRODUCT(INDEX($AR$23:$AT$46,,$AI740), INDEX($AU$23:$BA$46,,$AH740), 1 / ($BC$23:$BC$46*CU740), N($AQ$23:$AQ$46&gt;$AO740))
) / 1000</f>
        <v>0</v>
      </c>
      <c r="CX740" s="230">
        <f t="shared" si="712"/>
        <v>0</v>
      </c>
      <c r="CY740" s="238"/>
    </row>
    <row r="741" spans="1:103" s="76" customFormat="1" ht="14.25" customHeight="1" x14ac:dyDescent="0.2">
      <c r="A741" s="231" t="b">
        <f t="shared" si="716"/>
        <v>0</v>
      </c>
      <c r="B741" s="245">
        <v>719</v>
      </c>
      <c r="C741" s="258"/>
      <c r="D741" s="258"/>
      <c r="E741" s="246"/>
      <c r="F741" s="247" t="str">
        <f>IF(ISBLANK(E741), "", VLOOKUP(E741, Z!$A$2:$C$4127, 3, FALSE))</f>
        <v/>
      </c>
      <c r="G741" s="248"/>
      <c r="H741" s="248"/>
      <c r="I741" s="249"/>
      <c r="J741" s="250"/>
      <c r="K741" s="259"/>
      <c r="L741" s="260"/>
      <c r="M741" s="252" t="str" cm="1">
        <f t="array" ref="M741">INDEX(Trad, 53, $A$20)</f>
        <v>Verschmutzt</v>
      </c>
      <c r="N741" s="253"/>
      <c r="O741" s="253"/>
      <c r="P741" s="254"/>
      <c r="Q741" s="251"/>
      <c r="R741" s="251"/>
      <c r="S741" s="264">
        <f t="shared" si="687"/>
        <v>0</v>
      </c>
      <c r="T741" s="252" t="str" cm="1">
        <f t="array" ref="T741">INDEX(Trad, 52, $A$20)</f>
        <v>Sauber</v>
      </c>
      <c r="U741" s="253"/>
      <c r="V741" s="253"/>
      <c r="W741" s="254"/>
      <c r="X741" s="251"/>
      <c r="Y741" s="251"/>
      <c r="Z741" s="264">
        <f t="shared" si="688"/>
        <v>0</v>
      </c>
      <c r="AA741" s="261"/>
      <c r="AB741" s="258"/>
      <c r="AC741" s="246"/>
      <c r="AD741" s="247" t="str">
        <f>IF(ISBLANK(AC741), "", VLOOKUP(AC741, Z!$A$2:$C$4127, 3, FALSE))</f>
        <v/>
      </c>
      <c r="AE741" s="262"/>
      <c r="AF741" s="263">
        <f t="shared" si="689"/>
        <v>0</v>
      </c>
      <c r="AG741" s="238"/>
      <c r="AH741" s="229">
        <f t="shared" si="713"/>
        <v>1</v>
      </c>
      <c r="AI741" s="229">
        <f t="shared" si="714"/>
        <v>1</v>
      </c>
      <c r="AJ741" s="229">
        <f t="shared" si="715"/>
        <v>0</v>
      </c>
      <c r="AK741" s="229">
        <v>0</v>
      </c>
      <c r="AL741" s="229">
        <v>0</v>
      </c>
      <c r="AM741" s="229">
        <v>1</v>
      </c>
      <c r="AN741" s="229">
        <v>0</v>
      </c>
      <c r="AO741" s="229">
        <f t="shared" si="690"/>
        <v>-100</v>
      </c>
      <c r="AP741" s="238"/>
      <c r="AQ741" s="255"/>
      <c r="AR741" s="255"/>
      <c r="AS741" s="256"/>
      <c r="AT741" s="256"/>
      <c r="AU741" s="256"/>
      <c r="AV741" s="256"/>
      <c r="AW741" s="256"/>
      <c r="AX741" s="256"/>
      <c r="AY741" s="256"/>
      <c r="AZ741" s="256"/>
      <c r="BA741" s="256"/>
      <c r="BB741" s="256"/>
      <c r="BC741" s="256"/>
      <c r="BD741" s="238"/>
      <c r="BE741" s="229" cm="1">
        <f t="array" ref="BE741">IF(ISBLANK(R741), INDEX(Use, $AH741, 4) - AM741*INDEX(Use, $AH741, 6), R741)</f>
        <v>5</v>
      </c>
      <c r="BF741" s="229">
        <f t="shared" si="691"/>
        <v>30</v>
      </c>
      <c r="BG741" s="229">
        <f t="shared" si="717"/>
        <v>13</v>
      </c>
      <c r="BH741" s="229">
        <f t="shared" si="718"/>
        <v>0</v>
      </c>
      <c r="BI741" s="234" cm="1">
        <f t="array" ref="BI741">K741/IF($L741&gt;0, INDEX($AU$23:$BA$77, $L741+20, $AH741), 1)</f>
        <v>0</v>
      </c>
      <c r="BJ741" s="230">
        <f t="shared" si="692"/>
        <v>0</v>
      </c>
      <c r="BK741" s="229">
        <v>35</v>
      </c>
      <c r="BL741" s="230">
        <f t="shared" si="693"/>
        <v>48</v>
      </c>
      <c r="BM741" s="235">
        <f t="shared" si="694"/>
        <v>2.9108720930232557</v>
      </c>
      <c r="BN741" s="235" cm="1">
        <f t="array" ref="BN741">$BI741 * SUMPRODUCT(INDEX($AR$77:$AT$82,,$AI741),INDEX($AU$77:$BA$82,,$AH741), N($AQ$77:$AQ$82&gt;$AO741)) / BM741 / 1000</f>
        <v>0</v>
      </c>
      <c r="BO741" s="232">
        <f t="shared" si="719"/>
        <v>30</v>
      </c>
      <c r="BP741" s="230">
        <f t="shared" si="695"/>
        <v>43</v>
      </c>
      <c r="BQ741" s="235">
        <f t="shared" si="696"/>
        <v>3.2938815789473681</v>
      </c>
      <c r="BR741" s="235" cm="1">
        <f t="array" ref="BR741">$BI741 * IF($AH741&lt;=2,
SUMPRODUCT(INDEX($AR$72:$AT$76,,$AI741), INDEX($AU$72:$BA$76,,$AH741), 1 / ($BB$72:$BB$76*BQ741 + (1-$BB$72:$BB$76)*BM741), N($AQ$72:$AQ$76&gt;$AO741)),
SUMPRODUCT(INDEX($AR$67:$AT$76,,$AI741), INDEX($AU$67:$BA$76,,$AH741), 1 / ($BC$67:$BC$76*BQ741 + (1-$BC$67:$BC$76)*BM741), N($AQ$67:$AQ$76&gt;$AO741))
) / 1000</f>
        <v>0</v>
      </c>
      <c r="BS741" s="232">
        <f t="shared" si="720"/>
        <v>25</v>
      </c>
      <c r="BT741" s="230">
        <f t="shared" si="697"/>
        <v>38</v>
      </c>
      <c r="BU741" s="235">
        <f t="shared" si="698"/>
        <v>3.792954545454545</v>
      </c>
      <c r="BV741" s="235" cm="1">
        <f t="array" ref="BV741">$BI741 * IF($AH741&lt;=2,
SUMPRODUCT(INDEX($AR$67:$AT$71,,$AI741), INDEX($AU$67:$BA$71,,$AH741), 1 / ($BB$67:$BB$71*BU741 + (1-$BB$67:$BB$71)*BQ741), N($AQ$67:$AQ$71&gt;$AO741)),
SUMPRODUCT(INDEX($AR$57:$AT$66,,$AI741), INDEX($AU$57:$BA$66,,$AH741), 1 / ($BC$57:$BC$66*BU741 + (1-$BC$57:$BC$66)*BQ741), N($AQ$57:$AQ$66&gt;$AO741))
) / 1000</f>
        <v>0</v>
      </c>
      <c r="BW741" s="232">
        <f t="shared" si="721"/>
        <v>20</v>
      </c>
      <c r="BX741" s="230">
        <f t="shared" si="699"/>
        <v>33</v>
      </c>
      <c r="BY741" s="235">
        <f t="shared" si="700"/>
        <v>4.4702678571428569</v>
      </c>
      <c r="BZ741" s="235" cm="1">
        <f t="array" ref="BZ741">$BI741 * IF($AH741&lt;=2,
SUMPRODUCT(INDEX($AR$62:$AT$66,,$AI741), INDEX($AU$62:$BA$66,,$AH741), 1 / ($BB$62:$BB$66*BY741 + (1-$BB$62:$BB$66)*BU741), N($AQ$62:$AQ$66&gt;$AO741)),
SUMPRODUCT(INDEX($AR$47:$AT$56,,$AI741), INDEX($AU$47:$BA$56,,$AH741), 1 / ($BC$47:$BC$56*BY741 + (1-$BC$47:$BC$56)*BU741), N($AQ$47:$AQ$56&gt;$AO741))
) / 1000</f>
        <v>0</v>
      </c>
      <c r="CA741" s="235" cm="1">
        <f t="array" ref="CA741">$BI741 * IF($AH741&lt;=2,
SUMPRODUCT(INDEX($AR$23:$AT$61,,$AI741), INDEX($AU$23:$BA$61,,$AH741), 1 / ($BB$23:$BB$61*BY741), N($AQ$23:$AQ$61&gt;$AO741)),
SUMPRODUCT(INDEX($AR$23:$AT$46,,$AI741), INDEX($AU$23:$BA$46,,$AH741), 1 / ($BC$23:$BC$46*BY741), N($AQ$23:$AQ$46&gt;$AO741))
) / 1000</f>
        <v>0</v>
      </c>
      <c r="CB741" s="230">
        <f t="shared" si="701"/>
        <v>0</v>
      </c>
      <c r="CC741" s="238"/>
      <c r="CD741" s="229" cm="1">
        <f t="array" ref="CD741">IF(ISBLANK(Y741), INDEX(Use, $AH741, 4) - AN741*INDEX(Use, $AH741, 6) - (Q741-X741), Y741)</f>
        <v>7</v>
      </c>
      <c r="CE741" s="229">
        <f t="shared" si="702"/>
        <v>32</v>
      </c>
      <c r="CF741" s="230">
        <f t="shared" si="703"/>
        <v>0</v>
      </c>
      <c r="CG741" s="229">
        <v>35</v>
      </c>
      <c r="CH741" s="230">
        <f t="shared" si="704"/>
        <v>48</v>
      </c>
      <c r="CI741" s="235">
        <f t="shared" si="705"/>
        <v>3.0748170731707316</v>
      </c>
      <c r="CJ741" s="235" cm="1">
        <f t="array" ref="CJ741">$BI741 * SUMPRODUCT(INDEX($AR$77:$AT$82,,$AI741),INDEX($AU$77:$BA$82,,$AH741), N($AQ$77:$AQ$82&gt;$AO741)) / CI741 / 1000</f>
        <v>0</v>
      </c>
      <c r="CK741" s="232">
        <f t="shared" si="722"/>
        <v>30</v>
      </c>
      <c r="CL741" s="230">
        <f t="shared" si="706"/>
        <v>43</v>
      </c>
      <c r="CM741" s="235">
        <f t="shared" si="707"/>
        <v>3.5018750000000001</v>
      </c>
      <c r="CN741" s="235" cm="1">
        <f t="array" ref="CN741">$BI741 * IF($AH741&lt;=2,
SUMPRODUCT(INDEX($AR$72:$AT$76,,$AI741), INDEX($AU$72:$BA$76,,$AH741), 1 / ($BB$72:$BB$76*CM741 + (1-$BB$72:$BB$76)*CI741), N($AQ$72:$AQ$76&gt;$AO741)),
SUMPRODUCT(INDEX($AR$67:$AT$76,,$AI741), INDEX($AU$67:$BA$76,,$AH741), 1 / ($BC$67:$BC$76*CM741 + (1-$BC$67:$BC$76)*CI741), N($AQ$67:$AQ$76&gt;$AO741))
) / 1000</f>
        <v>0</v>
      </c>
      <c r="CO741" s="232">
        <f t="shared" si="723"/>
        <v>25</v>
      </c>
      <c r="CP741" s="230">
        <f t="shared" si="708"/>
        <v>38</v>
      </c>
      <c r="CQ741" s="235">
        <f t="shared" si="709"/>
        <v>4.0666935483870965</v>
      </c>
      <c r="CR741" s="235" cm="1">
        <f t="array" ref="CR741">$BI741 * IF($AH741&lt;=2,
SUMPRODUCT(INDEX($AR$67:$AT$71,,$AI741), INDEX($AU$67:$BA$71,,$AH741), 1 / ($BB$67:$BB$71*CQ741 + (1-$BB$67:$BB$71)*CM741), N($AQ$67:$AQ$71&gt;$AO741)),
SUMPRODUCT(INDEX($AR$57:$AT$66,,$AI741), INDEX($AU$57:$BA$66,,$AH741), 1 / ($BC$57:$BC$66*CQ741 + (1-$BC$57:$BC$66)*CM741), N($AQ$57:$AQ$66&gt;$AO741))
) / 1000</f>
        <v>0</v>
      </c>
      <c r="CS741" s="232">
        <f t="shared" si="724"/>
        <v>20</v>
      </c>
      <c r="CT741" s="230">
        <f t="shared" si="710"/>
        <v>33</v>
      </c>
      <c r="CU741" s="235">
        <f t="shared" si="711"/>
        <v>4.8487499999999999</v>
      </c>
      <c r="CV741" s="235" cm="1">
        <f t="array" ref="CV741">$BI741 * IF($AH741&lt;=2,
SUMPRODUCT(INDEX($AR$62:$AT$66,,$AI741), INDEX($AU$62:$BA$66,,$AH741), 1 / ($BB$62:$BB$66*CU741 + (1-$BB$62:$BB$66)*CQ741), N($AQ$62:$AQ$66&gt;$AO741)),
SUMPRODUCT(INDEX($AR$47:$AT$56,,$AI741), INDEX($AU$47:$BA$56,,$AH741), 1 / ($BC$47:$BC$56*CU741 + (1-$BC$47:$BC$56)*CQ741), N($AQ$47:$AQ$56&gt;$AO741))
) / 1000</f>
        <v>0</v>
      </c>
      <c r="CW741" s="235" cm="1">
        <f t="array" ref="CW741">$BI741 * IF($AH741&lt;=2,
SUMPRODUCT(INDEX($AR$23:$AT$61,,$AI741), INDEX($AU$23:$BA$61,,$AH741), 1 / ($BB$23:$BB$61*CU741), N($AQ$23:$AQ$61&gt;$AO741)),
SUMPRODUCT(INDEX($AR$23:$AT$46,,$AI741), INDEX($AU$23:$BA$46,,$AH741), 1 / ($BC$23:$BC$46*CU741), N($AQ$23:$AQ$46&gt;$AO741))
) / 1000</f>
        <v>0</v>
      </c>
      <c r="CX741" s="230">
        <f t="shared" si="712"/>
        <v>0</v>
      </c>
      <c r="CY741" s="238"/>
    </row>
    <row r="742" spans="1:103" s="76" customFormat="1" ht="14.25" customHeight="1" x14ac:dyDescent="0.2">
      <c r="A742" s="231" t="b">
        <f t="shared" si="716"/>
        <v>0</v>
      </c>
      <c r="B742" s="245">
        <v>720</v>
      </c>
      <c r="C742" s="258"/>
      <c r="D742" s="258"/>
      <c r="E742" s="246"/>
      <c r="F742" s="247" t="str">
        <f>IF(ISBLANK(E742), "", VLOOKUP(E742, Z!$A$2:$C$4127, 3, FALSE))</f>
        <v/>
      </c>
      <c r="G742" s="248"/>
      <c r="H742" s="248"/>
      <c r="I742" s="249"/>
      <c r="J742" s="250"/>
      <c r="K742" s="259"/>
      <c r="L742" s="260"/>
      <c r="M742" s="252" t="str" cm="1">
        <f t="array" ref="M742">INDEX(Trad, 53, $A$20)</f>
        <v>Verschmutzt</v>
      </c>
      <c r="N742" s="253"/>
      <c r="O742" s="253"/>
      <c r="P742" s="254"/>
      <c r="Q742" s="251"/>
      <c r="R742" s="251"/>
      <c r="S742" s="264">
        <f t="shared" si="687"/>
        <v>0</v>
      </c>
      <c r="T742" s="252" t="str" cm="1">
        <f t="array" ref="T742">INDEX(Trad, 52, $A$20)</f>
        <v>Sauber</v>
      </c>
      <c r="U742" s="253"/>
      <c r="V742" s="253"/>
      <c r="W742" s="254"/>
      <c r="X742" s="251"/>
      <c r="Y742" s="251"/>
      <c r="Z742" s="264">
        <f t="shared" si="688"/>
        <v>0</v>
      </c>
      <c r="AA742" s="261"/>
      <c r="AB742" s="258"/>
      <c r="AC742" s="246"/>
      <c r="AD742" s="247" t="str">
        <f>IF(ISBLANK(AC742), "", VLOOKUP(AC742, Z!$A$2:$C$4127, 3, FALSE))</f>
        <v/>
      </c>
      <c r="AE742" s="262"/>
      <c r="AF742" s="263">
        <f t="shared" si="689"/>
        <v>0</v>
      </c>
      <c r="AG742" s="238"/>
      <c r="AH742" s="229">
        <f t="shared" si="713"/>
        <v>1</v>
      </c>
      <c r="AI742" s="229">
        <f t="shared" si="714"/>
        <v>1</v>
      </c>
      <c r="AJ742" s="229">
        <f t="shared" si="715"/>
        <v>0</v>
      </c>
      <c r="AK742" s="229">
        <v>0</v>
      </c>
      <c r="AL742" s="229">
        <v>0</v>
      </c>
      <c r="AM742" s="229">
        <v>1</v>
      </c>
      <c r="AN742" s="229">
        <v>0</v>
      </c>
      <c r="AO742" s="229">
        <f t="shared" si="690"/>
        <v>-100</v>
      </c>
      <c r="AP742" s="238"/>
      <c r="AQ742" s="255"/>
      <c r="AR742" s="255"/>
      <c r="AS742" s="256"/>
      <c r="AT742" s="256"/>
      <c r="AU742" s="256"/>
      <c r="AV742" s="256"/>
      <c r="AW742" s="256"/>
      <c r="AX742" s="256"/>
      <c r="AY742" s="256"/>
      <c r="AZ742" s="256"/>
      <c r="BA742" s="256"/>
      <c r="BB742" s="256"/>
      <c r="BC742" s="256"/>
      <c r="BD742" s="238"/>
      <c r="BE742" s="229" cm="1">
        <f t="array" ref="BE742">IF(ISBLANK(R742), INDEX(Use, $AH742, 4) - AM742*INDEX(Use, $AH742, 6), R742)</f>
        <v>5</v>
      </c>
      <c r="BF742" s="229">
        <f t="shared" si="691"/>
        <v>30</v>
      </c>
      <c r="BG742" s="229">
        <f t="shared" si="717"/>
        <v>13</v>
      </c>
      <c r="BH742" s="229">
        <f t="shared" si="718"/>
        <v>0</v>
      </c>
      <c r="BI742" s="234" cm="1">
        <f t="array" ref="BI742">K742/IF($L742&gt;0, INDEX($AU$23:$BA$77, $L742+20, $AH742), 1)</f>
        <v>0</v>
      </c>
      <c r="BJ742" s="230">
        <f t="shared" si="692"/>
        <v>0</v>
      </c>
      <c r="BK742" s="229">
        <v>35</v>
      </c>
      <c r="BL742" s="230">
        <f t="shared" si="693"/>
        <v>48</v>
      </c>
      <c r="BM742" s="235">
        <f t="shared" si="694"/>
        <v>2.9108720930232557</v>
      </c>
      <c r="BN742" s="235" cm="1">
        <f t="array" ref="BN742">$BI742 * SUMPRODUCT(INDEX($AR$77:$AT$82,,$AI742),INDEX($AU$77:$BA$82,,$AH742), N($AQ$77:$AQ$82&gt;$AO742)) / BM742 / 1000</f>
        <v>0</v>
      </c>
      <c r="BO742" s="232">
        <f t="shared" si="719"/>
        <v>30</v>
      </c>
      <c r="BP742" s="230">
        <f t="shared" si="695"/>
        <v>43</v>
      </c>
      <c r="BQ742" s="235">
        <f t="shared" si="696"/>
        <v>3.2938815789473681</v>
      </c>
      <c r="BR742" s="235" cm="1">
        <f t="array" ref="BR742">$BI742 * IF($AH742&lt;=2,
SUMPRODUCT(INDEX($AR$72:$AT$76,,$AI742), INDEX($AU$72:$BA$76,,$AH742), 1 / ($BB$72:$BB$76*BQ742 + (1-$BB$72:$BB$76)*BM742), N($AQ$72:$AQ$76&gt;$AO742)),
SUMPRODUCT(INDEX($AR$67:$AT$76,,$AI742), INDEX($AU$67:$BA$76,,$AH742), 1 / ($BC$67:$BC$76*BQ742 + (1-$BC$67:$BC$76)*BM742), N($AQ$67:$AQ$76&gt;$AO742))
) / 1000</f>
        <v>0</v>
      </c>
      <c r="BS742" s="232">
        <f t="shared" si="720"/>
        <v>25</v>
      </c>
      <c r="BT742" s="230">
        <f t="shared" si="697"/>
        <v>38</v>
      </c>
      <c r="BU742" s="235">
        <f t="shared" si="698"/>
        <v>3.792954545454545</v>
      </c>
      <c r="BV742" s="235" cm="1">
        <f t="array" ref="BV742">$BI742 * IF($AH742&lt;=2,
SUMPRODUCT(INDEX($AR$67:$AT$71,,$AI742), INDEX($AU$67:$BA$71,,$AH742), 1 / ($BB$67:$BB$71*BU742 + (1-$BB$67:$BB$71)*BQ742), N($AQ$67:$AQ$71&gt;$AO742)),
SUMPRODUCT(INDEX($AR$57:$AT$66,,$AI742), INDEX($AU$57:$BA$66,,$AH742), 1 / ($BC$57:$BC$66*BU742 + (1-$BC$57:$BC$66)*BQ742), N($AQ$57:$AQ$66&gt;$AO742))
) / 1000</f>
        <v>0</v>
      </c>
      <c r="BW742" s="232">
        <f t="shared" si="721"/>
        <v>20</v>
      </c>
      <c r="BX742" s="230">
        <f t="shared" si="699"/>
        <v>33</v>
      </c>
      <c r="BY742" s="235">
        <f t="shared" si="700"/>
        <v>4.4702678571428569</v>
      </c>
      <c r="BZ742" s="235" cm="1">
        <f t="array" ref="BZ742">$BI742 * IF($AH742&lt;=2,
SUMPRODUCT(INDEX($AR$62:$AT$66,,$AI742), INDEX($AU$62:$BA$66,,$AH742), 1 / ($BB$62:$BB$66*BY742 + (1-$BB$62:$BB$66)*BU742), N($AQ$62:$AQ$66&gt;$AO742)),
SUMPRODUCT(INDEX($AR$47:$AT$56,,$AI742), INDEX($AU$47:$BA$56,,$AH742), 1 / ($BC$47:$BC$56*BY742 + (1-$BC$47:$BC$56)*BU742), N($AQ$47:$AQ$56&gt;$AO742))
) / 1000</f>
        <v>0</v>
      </c>
      <c r="CA742" s="235" cm="1">
        <f t="array" ref="CA742">$BI742 * IF($AH742&lt;=2,
SUMPRODUCT(INDEX($AR$23:$AT$61,,$AI742), INDEX($AU$23:$BA$61,,$AH742), 1 / ($BB$23:$BB$61*BY742), N($AQ$23:$AQ$61&gt;$AO742)),
SUMPRODUCT(INDEX($AR$23:$AT$46,,$AI742), INDEX($AU$23:$BA$46,,$AH742), 1 / ($BC$23:$BC$46*BY742), N($AQ$23:$AQ$46&gt;$AO742))
) / 1000</f>
        <v>0</v>
      </c>
      <c r="CB742" s="230">
        <f t="shared" si="701"/>
        <v>0</v>
      </c>
      <c r="CC742" s="238"/>
      <c r="CD742" s="229" cm="1">
        <f t="array" ref="CD742">IF(ISBLANK(Y742), INDEX(Use, $AH742, 4) - AN742*INDEX(Use, $AH742, 6) - (Q742-X742), Y742)</f>
        <v>7</v>
      </c>
      <c r="CE742" s="229">
        <f t="shared" si="702"/>
        <v>32</v>
      </c>
      <c r="CF742" s="230">
        <f t="shared" si="703"/>
        <v>0</v>
      </c>
      <c r="CG742" s="229">
        <v>35</v>
      </c>
      <c r="CH742" s="230">
        <f t="shared" si="704"/>
        <v>48</v>
      </c>
      <c r="CI742" s="235">
        <f t="shared" si="705"/>
        <v>3.0748170731707316</v>
      </c>
      <c r="CJ742" s="235" cm="1">
        <f t="array" ref="CJ742">$BI742 * SUMPRODUCT(INDEX($AR$77:$AT$82,,$AI742),INDEX($AU$77:$BA$82,,$AH742), N($AQ$77:$AQ$82&gt;$AO742)) / CI742 / 1000</f>
        <v>0</v>
      </c>
      <c r="CK742" s="232">
        <f t="shared" si="722"/>
        <v>30</v>
      </c>
      <c r="CL742" s="230">
        <f t="shared" si="706"/>
        <v>43</v>
      </c>
      <c r="CM742" s="235">
        <f t="shared" si="707"/>
        <v>3.5018750000000001</v>
      </c>
      <c r="CN742" s="235" cm="1">
        <f t="array" ref="CN742">$BI742 * IF($AH742&lt;=2,
SUMPRODUCT(INDEX($AR$72:$AT$76,,$AI742), INDEX($AU$72:$BA$76,,$AH742), 1 / ($BB$72:$BB$76*CM742 + (1-$BB$72:$BB$76)*CI742), N($AQ$72:$AQ$76&gt;$AO742)),
SUMPRODUCT(INDEX($AR$67:$AT$76,,$AI742), INDEX($AU$67:$BA$76,,$AH742), 1 / ($BC$67:$BC$76*CM742 + (1-$BC$67:$BC$76)*CI742), N($AQ$67:$AQ$76&gt;$AO742))
) / 1000</f>
        <v>0</v>
      </c>
      <c r="CO742" s="232">
        <f t="shared" si="723"/>
        <v>25</v>
      </c>
      <c r="CP742" s="230">
        <f t="shared" si="708"/>
        <v>38</v>
      </c>
      <c r="CQ742" s="235">
        <f t="shared" si="709"/>
        <v>4.0666935483870965</v>
      </c>
      <c r="CR742" s="235" cm="1">
        <f t="array" ref="CR742">$BI742 * IF($AH742&lt;=2,
SUMPRODUCT(INDEX($AR$67:$AT$71,,$AI742), INDEX($AU$67:$BA$71,,$AH742), 1 / ($BB$67:$BB$71*CQ742 + (1-$BB$67:$BB$71)*CM742), N($AQ$67:$AQ$71&gt;$AO742)),
SUMPRODUCT(INDEX($AR$57:$AT$66,,$AI742), INDEX($AU$57:$BA$66,,$AH742), 1 / ($BC$57:$BC$66*CQ742 + (1-$BC$57:$BC$66)*CM742), N($AQ$57:$AQ$66&gt;$AO742))
) / 1000</f>
        <v>0</v>
      </c>
      <c r="CS742" s="232">
        <f t="shared" si="724"/>
        <v>20</v>
      </c>
      <c r="CT742" s="230">
        <f t="shared" si="710"/>
        <v>33</v>
      </c>
      <c r="CU742" s="235">
        <f t="shared" si="711"/>
        <v>4.8487499999999999</v>
      </c>
      <c r="CV742" s="235" cm="1">
        <f t="array" ref="CV742">$BI742 * IF($AH742&lt;=2,
SUMPRODUCT(INDEX($AR$62:$AT$66,,$AI742), INDEX($AU$62:$BA$66,,$AH742), 1 / ($BB$62:$BB$66*CU742 + (1-$BB$62:$BB$66)*CQ742), N($AQ$62:$AQ$66&gt;$AO742)),
SUMPRODUCT(INDEX($AR$47:$AT$56,,$AI742), INDEX($AU$47:$BA$56,,$AH742), 1 / ($BC$47:$BC$56*CU742 + (1-$BC$47:$BC$56)*CQ742), N($AQ$47:$AQ$56&gt;$AO742))
) / 1000</f>
        <v>0</v>
      </c>
      <c r="CW742" s="235" cm="1">
        <f t="array" ref="CW742">$BI742 * IF($AH742&lt;=2,
SUMPRODUCT(INDEX($AR$23:$AT$61,,$AI742), INDEX($AU$23:$BA$61,,$AH742), 1 / ($BB$23:$BB$61*CU742), N($AQ$23:$AQ$61&gt;$AO742)),
SUMPRODUCT(INDEX($AR$23:$AT$46,,$AI742), INDEX($AU$23:$BA$46,,$AH742), 1 / ($BC$23:$BC$46*CU742), N($AQ$23:$AQ$46&gt;$AO742))
) / 1000</f>
        <v>0</v>
      </c>
      <c r="CX742" s="230">
        <f t="shared" si="712"/>
        <v>0</v>
      </c>
      <c r="CY742" s="238"/>
    </row>
    <row r="743" spans="1:103" s="76" customFormat="1" ht="14.25" customHeight="1" x14ac:dyDescent="0.2">
      <c r="A743" s="231" t="b">
        <f t="shared" si="716"/>
        <v>0</v>
      </c>
      <c r="B743" s="245">
        <v>721</v>
      </c>
      <c r="C743" s="258"/>
      <c r="D743" s="258"/>
      <c r="E743" s="246"/>
      <c r="F743" s="247" t="str">
        <f>IF(ISBLANK(E743), "", VLOOKUP(E743, Z!$A$2:$C$4127, 3, FALSE))</f>
        <v/>
      </c>
      <c r="G743" s="248"/>
      <c r="H743" s="248"/>
      <c r="I743" s="249"/>
      <c r="J743" s="250"/>
      <c r="K743" s="259"/>
      <c r="L743" s="260"/>
      <c r="M743" s="252" t="str" cm="1">
        <f t="array" ref="M743">INDEX(Trad, 53, $A$20)</f>
        <v>Verschmutzt</v>
      </c>
      <c r="N743" s="253"/>
      <c r="O743" s="253"/>
      <c r="P743" s="254"/>
      <c r="Q743" s="251"/>
      <c r="R743" s="251"/>
      <c r="S743" s="264">
        <f t="shared" si="687"/>
        <v>0</v>
      </c>
      <c r="T743" s="252" t="str" cm="1">
        <f t="array" ref="T743">INDEX(Trad, 52, $A$20)</f>
        <v>Sauber</v>
      </c>
      <c r="U743" s="253"/>
      <c r="V743" s="253"/>
      <c r="W743" s="254"/>
      <c r="X743" s="251"/>
      <c r="Y743" s="251"/>
      <c r="Z743" s="264">
        <f t="shared" si="688"/>
        <v>0</v>
      </c>
      <c r="AA743" s="261"/>
      <c r="AB743" s="258"/>
      <c r="AC743" s="246"/>
      <c r="AD743" s="247" t="str">
        <f>IF(ISBLANK(AC743), "", VLOOKUP(AC743, Z!$A$2:$C$4127, 3, FALSE))</f>
        <v/>
      </c>
      <c r="AE743" s="262"/>
      <c r="AF743" s="263">
        <f t="shared" si="689"/>
        <v>0</v>
      </c>
      <c r="AG743" s="238"/>
      <c r="AH743" s="229">
        <f t="shared" si="713"/>
        <v>1</v>
      </c>
      <c r="AI743" s="229">
        <f t="shared" si="714"/>
        <v>1</v>
      </c>
      <c r="AJ743" s="229">
        <f t="shared" si="715"/>
        <v>0</v>
      </c>
      <c r="AK743" s="229">
        <v>0</v>
      </c>
      <c r="AL743" s="229">
        <v>0</v>
      </c>
      <c r="AM743" s="229">
        <v>1</v>
      </c>
      <c r="AN743" s="229">
        <v>0</v>
      </c>
      <c r="AO743" s="229">
        <f t="shared" si="690"/>
        <v>-100</v>
      </c>
      <c r="AP743" s="238"/>
      <c r="AQ743" s="255"/>
      <c r="AR743" s="255"/>
      <c r="AS743" s="256"/>
      <c r="AT743" s="256"/>
      <c r="AU743" s="256"/>
      <c r="AV743" s="256"/>
      <c r="AW743" s="256"/>
      <c r="AX743" s="256"/>
      <c r="AY743" s="256"/>
      <c r="AZ743" s="256"/>
      <c r="BA743" s="256"/>
      <c r="BB743" s="256"/>
      <c r="BC743" s="256"/>
      <c r="BD743" s="238"/>
      <c r="BE743" s="229" cm="1">
        <f t="array" ref="BE743">IF(ISBLANK(R743), INDEX(Use, $AH743, 4) - AM743*INDEX(Use, $AH743, 6), R743)</f>
        <v>5</v>
      </c>
      <c r="BF743" s="229">
        <f t="shared" si="691"/>
        <v>30</v>
      </c>
      <c r="BG743" s="229">
        <f t="shared" si="717"/>
        <v>13</v>
      </c>
      <c r="BH743" s="229">
        <f t="shared" si="718"/>
        <v>0</v>
      </c>
      <c r="BI743" s="234" cm="1">
        <f t="array" ref="BI743">K743/IF($L743&gt;0, INDEX($AU$23:$BA$77, $L743+20, $AH743), 1)</f>
        <v>0</v>
      </c>
      <c r="BJ743" s="230">
        <f t="shared" si="692"/>
        <v>0</v>
      </c>
      <c r="BK743" s="229">
        <v>35</v>
      </c>
      <c r="BL743" s="230">
        <f t="shared" si="693"/>
        <v>48</v>
      </c>
      <c r="BM743" s="235">
        <f t="shared" si="694"/>
        <v>2.9108720930232557</v>
      </c>
      <c r="BN743" s="235" cm="1">
        <f t="array" ref="BN743">$BI743 * SUMPRODUCT(INDEX($AR$77:$AT$82,,$AI743),INDEX($AU$77:$BA$82,,$AH743), N($AQ$77:$AQ$82&gt;$AO743)) / BM743 / 1000</f>
        <v>0</v>
      </c>
      <c r="BO743" s="232">
        <f t="shared" si="719"/>
        <v>30</v>
      </c>
      <c r="BP743" s="230">
        <f t="shared" si="695"/>
        <v>43</v>
      </c>
      <c r="BQ743" s="235">
        <f t="shared" si="696"/>
        <v>3.2938815789473681</v>
      </c>
      <c r="BR743" s="235" cm="1">
        <f t="array" ref="BR743">$BI743 * IF($AH743&lt;=2,
SUMPRODUCT(INDEX($AR$72:$AT$76,,$AI743), INDEX($AU$72:$BA$76,,$AH743), 1 / ($BB$72:$BB$76*BQ743 + (1-$BB$72:$BB$76)*BM743), N($AQ$72:$AQ$76&gt;$AO743)),
SUMPRODUCT(INDEX($AR$67:$AT$76,,$AI743), INDEX($AU$67:$BA$76,,$AH743), 1 / ($BC$67:$BC$76*BQ743 + (1-$BC$67:$BC$76)*BM743), N($AQ$67:$AQ$76&gt;$AO743))
) / 1000</f>
        <v>0</v>
      </c>
      <c r="BS743" s="232">
        <f t="shared" si="720"/>
        <v>25</v>
      </c>
      <c r="BT743" s="230">
        <f t="shared" si="697"/>
        <v>38</v>
      </c>
      <c r="BU743" s="235">
        <f t="shared" si="698"/>
        <v>3.792954545454545</v>
      </c>
      <c r="BV743" s="235" cm="1">
        <f t="array" ref="BV743">$BI743 * IF($AH743&lt;=2,
SUMPRODUCT(INDEX($AR$67:$AT$71,,$AI743), INDEX($AU$67:$BA$71,,$AH743), 1 / ($BB$67:$BB$71*BU743 + (1-$BB$67:$BB$71)*BQ743), N($AQ$67:$AQ$71&gt;$AO743)),
SUMPRODUCT(INDEX($AR$57:$AT$66,,$AI743), INDEX($AU$57:$BA$66,,$AH743), 1 / ($BC$57:$BC$66*BU743 + (1-$BC$57:$BC$66)*BQ743), N($AQ$57:$AQ$66&gt;$AO743))
) / 1000</f>
        <v>0</v>
      </c>
      <c r="BW743" s="232">
        <f t="shared" si="721"/>
        <v>20</v>
      </c>
      <c r="BX743" s="230">
        <f t="shared" si="699"/>
        <v>33</v>
      </c>
      <c r="BY743" s="235">
        <f t="shared" si="700"/>
        <v>4.4702678571428569</v>
      </c>
      <c r="BZ743" s="235" cm="1">
        <f t="array" ref="BZ743">$BI743 * IF($AH743&lt;=2,
SUMPRODUCT(INDEX($AR$62:$AT$66,,$AI743), INDEX($AU$62:$BA$66,,$AH743), 1 / ($BB$62:$BB$66*BY743 + (1-$BB$62:$BB$66)*BU743), N($AQ$62:$AQ$66&gt;$AO743)),
SUMPRODUCT(INDEX($AR$47:$AT$56,,$AI743), INDEX($AU$47:$BA$56,,$AH743), 1 / ($BC$47:$BC$56*BY743 + (1-$BC$47:$BC$56)*BU743), N($AQ$47:$AQ$56&gt;$AO743))
) / 1000</f>
        <v>0</v>
      </c>
      <c r="CA743" s="235" cm="1">
        <f t="array" ref="CA743">$BI743 * IF($AH743&lt;=2,
SUMPRODUCT(INDEX($AR$23:$AT$61,,$AI743), INDEX($AU$23:$BA$61,,$AH743), 1 / ($BB$23:$BB$61*BY743), N($AQ$23:$AQ$61&gt;$AO743)),
SUMPRODUCT(INDEX($AR$23:$AT$46,,$AI743), INDEX($AU$23:$BA$46,,$AH743), 1 / ($BC$23:$BC$46*BY743), N($AQ$23:$AQ$46&gt;$AO743))
) / 1000</f>
        <v>0</v>
      </c>
      <c r="CB743" s="230">
        <f t="shared" si="701"/>
        <v>0</v>
      </c>
      <c r="CC743" s="238"/>
      <c r="CD743" s="229" cm="1">
        <f t="array" ref="CD743">IF(ISBLANK(Y743), INDEX(Use, $AH743, 4) - AN743*INDEX(Use, $AH743, 6) - (Q743-X743), Y743)</f>
        <v>7</v>
      </c>
      <c r="CE743" s="229">
        <f t="shared" si="702"/>
        <v>32</v>
      </c>
      <c r="CF743" s="230">
        <f t="shared" si="703"/>
        <v>0</v>
      </c>
      <c r="CG743" s="229">
        <v>35</v>
      </c>
      <c r="CH743" s="230">
        <f t="shared" si="704"/>
        <v>48</v>
      </c>
      <c r="CI743" s="235">
        <f t="shared" si="705"/>
        <v>3.0748170731707316</v>
      </c>
      <c r="CJ743" s="235" cm="1">
        <f t="array" ref="CJ743">$BI743 * SUMPRODUCT(INDEX($AR$77:$AT$82,,$AI743),INDEX($AU$77:$BA$82,,$AH743), N($AQ$77:$AQ$82&gt;$AO743)) / CI743 / 1000</f>
        <v>0</v>
      </c>
      <c r="CK743" s="232">
        <f t="shared" si="722"/>
        <v>30</v>
      </c>
      <c r="CL743" s="230">
        <f t="shared" si="706"/>
        <v>43</v>
      </c>
      <c r="CM743" s="235">
        <f t="shared" si="707"/>
        <v>3.5018750000000001</v>
      </c>
      <c r="CN743" s="235" cm="1">
        <f t="array" ref="CN743">$BI743 * IF($AH743&lt;=2,
SUMPRODUCT(INDEX($AR$72:$AT$76,,$AI743), INDEX($AU$72:$BA$76,,$AH743), 1 / ($BB$72:$BB$76*CM743 + (1-$BB$72:$BB$76)*CI743), N($AQ$72:$AQ$76&gt;$AO743)),
SUMPRODUCT(INDEX($AR$67:$AT$76,,$AI743), INDEX($AU$67:$BA$76,,$AH743), 1 / ($BC$67:$BC$76*CM743 + (1-$BC$67:$BC$76)*CI743), N($AQ$67:$AQ$76&gt;$AO743))
) / 1000</f>
        <v>0</v>
      </c>
      <c r="CO743" s="232">
        <f t="shared" si="723"/>
        <v>25</v>
      </c>
      <c r="CP743" s="230">
        <f t="shared" si="708"/>
        <v>38</v>
      </c>
      <c r="CQ743" s="235">
        <f t="shared" si="709"/>
        <v>4.0666935483870965</v>
      </c>
      <c r="CR743" s="235" cm="1">
        <f t="array" ref="CR743">$BI743 * IF($AH743&lt;=2,
SUMPRODUCT(INDEX($AR$67:$AT$71,,$AI743), INDEX($AU$67:$BA$71,,$AH743), 1 / ($BB$67:$BB$71*CQ743 + (1-$BB$67:$BB$71)*CM743), N($AQ$67:$AQ$71&gt;$AO743)),
SUMPRODUCT(INDEX($AR$57:$AT$66,,$AI743), INDEX($AU$57:$BA$66,,$AH743), 1 / ($BC$57:$BC$66*CQ743 + (1-$BC$57:$BC$66)*CM743), N($AQ$57:$AQ$66&gt;$AO743))
) / 1000</f>
        <v>0</v>
      </c>
      <c r="CS743" s="232">
        <f t="shared" si="724"/>
        <v>20</v>
      </c>
      <c r="CT743" s="230">
        <f t="shared" si="710"/>
        <v>33</v>
      </c>
      <c r="CU743" s="235">
        <f t="shared" si="711"/>
        <v>4.8487499999999999</v>
      </c>
      <c r="CV743" s="235" cm="1">
        <f t="array" ref="CV743">$BI743 * IF($AH743&lt;=2,
SUMPRODUCT(INDEX($AR$62:$AT$66,,$AI743), INDEX($AU$62:$BA$66,,$AH743), 1 / ($BB$62:$BB$66*CU743 + (1-$BB$62:$BB$66)*CQ743), N($AQ$62:$AQ$66&gt;$AO743)),
SUMPRODUCT(INDEX($AR$47:$AT$56,,$AI743), INDEX($AU$47:$BA$56,,$AH743), 1 / ($BC$47:$BC$56*CU743 + (1-$BC$47:$BC$56)*CQ743), N($AQ$47:$AQ$56&gt;$AO743))
) / 1000</f>
        <v>0</v>
      </c>
      <c r="CW743" s="235" cm="1">
        <f t="array" ref="CW743">$BI743 * IF($AH743&lt;=2,
SUMPRODUCT(INDEX($AR$23:$AT$61,,$AI743), INDEX($AU$23:$BA$61,,$AH743), 1 / ($BB$23:$BB$61*CU743), N($AQ$23:$AQ$61&gt;$AO743)),
SUMPRODUCT(INDEX($AR$23:$AT$46,,$AI743), INDEX($AU$23:$BA$46,,$AH743), 1 / ($BC$23:$BC$46*CU743), N($AQ$23:$AQ$46&gt;$AO743))
) / 1000</f>
        <v>0</v>
      </c>
      <c r="CX743" s="230">
        <f t="shared" si="712"/>
        <v>0</v>
      </c>
      <c r="CY743" s="238"/>
    </row>
    <row r="744" spans="1:103" s="76" customFormat="1" ht="14.25" customHeight="1" x14ac:dyDescent="0.2">
      <c r="A744" s="231" t="b">
        <f t="shared" si="716"/>
        <v>0</v>
      </c>
      <c r="B744" s="245">
        <v>722</v>
      </c>
      <c r="C744" s="258"/>
      <c r="D744" s="258"/>
      <c r="E744" s="246"/>
      <c r="F744" s="247" t="str">
        <f>IF(ISBLANK(E744), "", VLOOKUP(E744, Z!$A$2:$C$4127, 3, FALSE))</f>
        <v/>
      </c>
      <c r="G744" s="248"/>
      <c r="H744" s="248"/>
      <c r="I744" s="249"/>
      <c r="J744" s="250"/>
      <c r="K744" s="259"/>
      <c r="L744" s="260"/>
      <c r="M744" s="252" t="str" cm="1">
        <f t="array" ref="M744">INDEX(Trad, 53, $A$20)</f>
        <v>Verschmutzt</v>
      </c>
      <c r="N744" s="253"/>
      <c r="O744" s="253"/>
      <c r="P744" s="254"/>
      <c r="Q744" s="251"/>
      <c r="R744" s="251"/>
      <c r="S744" s="264">
        <f t="shared" si="687"/>
        <v>0</v>
      </c>
      <c r="T744" s="252" t="str" cm="1">
        <f t="array" ref="T744">INDEX(Trad, 52, $A$20)</f>
        <v>Sauber</v>
      </c>
      <c r="U744" s="253"/>
      <c r="V744" s="253"/>
      <c r="W744" s="254"/>
      <c r="X744" s="251"/>
      <c r="Y744" s="251"/>
      <c r="Z744" s="264">
        <f t="shared" si="688"/>
        <v>0</v>
      </c>
      <c r="AA744" s="261"/>
      <c r="AB744" s="258"/>
      <c r="AC744" s="246"/>
      <c r="AD744" s="247" t="str">
        <f>IF(ISBLANK(AC744), "", VLOOKUP(AC744, Z!$A$2:$C$4127, 3, FALSE))</f>
        <v/>
      </c>
      <c r="AE744" s="262"/>
      <c r="AF744" s="263">
        <f t="shared" si="689"/>
        <v>0</v>
      </c>
      <c r="AG744" s="238"/>
      <c r="AH744" s="229">
        <f t="shared" si="713"/>
        <v>1</v>
      </c>
      <c r="AI744" s="229">
        <f t="shared" si="714"/>
        <v>1</v>
      </c>
      <c r="AJ744" s="229">
        <f t="shared" si="715"/>
        <v>0</v>
      </c>
      <c r="AK744" s="229">
        <v>0</v>
      </c>
      <c r="AL744" s="229">
        <v>0</v>
      </c>
      <c r="AM744" s="229">
        <v>1</v>
      </c>
      <c r="AN744" s="229">
        <v>0</v>
      </c>
      <c r="AO744" s="229">
        <f t="shared" si="690"/>
        <v>-100</v>
      </c>
      <c r="AP744" s="238"/>
      <c r="AQ744" s="255"/>
      <c r="AR744" s="255"/>
      <c r="AS744" s="256"/>
      <c r="AT744" s="256"/>
      <c r="AU744" s="256"/>
      <c r="AV744" s="256"/>
      <c r="AW744" s="256"/>
      <c r="AX744" s="256"/>
      <c r="AY744" s="256"/>
      <c r="AZ744" s="256"/>
      <c r="BA744" s="256"/>
      <c r="BB744" s="256"/>
      <c r="BC744" s="256"/>
      <c r="BD744" s="238"/>
      <c r="BE744" s="229" cm="1">
        <f t="array" ref="BE744">IF(ISBLANK(R744), INDEX(Use, $AH744, 4) - AM744*INDEX(Use, $AH744, 6), R744)</f>
        <v>5</v>
      </c>
      <c r="BF744" s="229">
        <f t="shared" si="691"/>
        <v>30</v>
      </c>
      <c r="BG744" s="229">
        <f t="shared" si="717"/>
        <v>13</v>
      </c>
      <c r="BH744" s="229">
        <f t="shared" si="718"/>
        <v>0</v>
      </c>
      <c r="BI744" s="234" cm="1">
        <f t="array" ref="BI744">K744/IF($L744&gt;0, INDEX($AU$23:$BA$77, $L744+20, $AH744), 1)</f>
        <v>0</v>
      </c>
      <c r="BJ744" s="230">
        <f t="shared" si="692"/>
        <v>0</v>
      </c>
      <c r="BK744" s="229">
        <v>35</v>
      </c>
      <c r="BL744" s="230">
        <f t="shared" si="693"/>
        <v>48</v>
      </c>
      <c r="BM744" s="235">
        <f t="shared" si="694"/>
        <v>2.9108720930232557</v>
      </c>
      <c r="BN744" s="235" cm="1">
        <f t="array" ref="BN744">$BI744 * SUMPRODUCT(INDEX($AR$77:$AT$82,,$AI744),INDEX($AU$77:$BA$82,,$AH744), N($AQ$77:$AQ$82&gt;$AO744)) / BM744 / 1000</f>
        <v>0</v>
      </c>
      <c r="BO744" s="232">
        <f t="shared" si="719"/>
        <v>30</v>
      </c>
      <c r="BP744" s="230">
        <f t="shared" si="695"/>
        <v>43</v>
      </c>
      <c r="BQ744" s="235">
        <f t="shared" si="696"/>
        <v>3.2938815789473681</v>
      </c>
      <c r="BR744" s="235" cm="1">
        <f t="array" ref="BR744">$BI744 * IF($AH744&lt;=2,
SUMPRODUCT(INDEX($AR$72:$AT$76,,$AI744), INDEX($AU$72:$BA$76,,$AH744), 1 / ($BB$72:$BB$76*BQ744 + (1-$BB$72:$BB$76)*BM744), N($AQ$72:$AQ$76&gt;$AO744)),
SUMPRODUCT(INDEX($AR$67:$AT$76,,$AI744), INDEX($AU$67:$BA$76,,$AH744), 1 / ($BC$67:$BC$76*BQ744 + (1-$BC$67:$BC$76)*BM744), N($AQ$67:$AQ$76&gt;$AO744))
) / 1000</f>
        <v>0</v>
      </c>
      <c r="BS744" s="232">
        <f t="shared" si="720"/>
        <v>25</v>
      </c>
      <c r="BT744" s="230">
        <f t="shared" si="697"/>
        <v>38</v>
      </c>
      <c r="BU744" s="235">
        <f t="shared" si="698"/>
        <v>3.792954545454545</v>
      </c>
      <c r="BV744" s="235" cm="1">
        <f t="array" ref="BV744">$BI744 * IF($AH744&lt;=2,
SUMPRODUCT(INDEX($AR$67:$AT$71,,$AI744), INDEX($AU$67:$BA$71,,$AH744), 1 / ($BB$67:$BB$71*BU744 + (1-$BB$67:$BB$71)*BQ744), N($AQ$67:$AQ$71&gt;$AO744)),
SUMPRODUCT(INDEX($AR$57:$AT$66,,$AI744), INDEX($AU$57:$BA$66,,$AH744), 1 / ($BC$57:$BC$66*BU744 + (1-$BC$57:$BC$66)*BQ744), N($AQ$57:$AQ$66&gt;$AO744))
) / 1000</f>
        <v>0</v>
      </c>
      <c r="BW744" s="232">
        <f t="shared" si="721"/>
        <v>20</v>
      </c>
      <c r="BX744" s="230">
        <f t="shared" si="699"/>
        <v>33</v>
      </c>
      <c r="BY744" s="235">
        <f t="shared" si="700"/>
        <v>4.4702678571428569</v>
      </c>
      <c r="BZ744" s="235" cm="1">
        <f t="array" ref="BZ744">$BI744 * IF($AH744&lt;=2,
SUMPRODUCT(INDEX($AR$62:$AT$66,,$AI744), INDEX($AU$62:$BA$66,,$AH744), 1 / ($BB$62:$BB$66*BY744 + (1-$BB$62:$BB$66)*BU744), N($AQ$62:$AQ$66&gt;$AO744)),
SUMPRODUCT(INDEX($AR$47:$AT$56,,$AI744), INDEX($AU$47:$BA$56,,$AH744), 1 / ($BC$47:$BC$56*BY744 + (1-$BC$47:$BC$56)*BU744), N($AQ$47:$AQ$56&gt;$AO744))
) / 1000</f>
        <v>0</v>
      </c>
      <c r="CA744" s="235" cm="1">
        <f t="array" ref="CA744">$BI744 * IF($AH744&lt;=2,
SUMPRODUCT(INDEX($AR$23:$AT$61,,$AI744), INDEX($AU$23:$BA$61,,$AH744), 1 / ($BB$23:$BB$61*BY744), N($AQ$23:$AQ$61&gt;$AO744)),
SUMPRODUCT(INDEX($AR$23:$AT$46,,$AI744), INDEX($AU$23:$BA$46,,$AH744), 1 / ($BC$23:$BC$46*BY744), N($AQ$23:$AQ$46&gt;$AO744))
) / 1000</f>
        <v>0</v>
      </c>
      <c r="CB744" s="230">
        <f t="shared" si="701"/>
        <v>0</v>
      </c>
      <c r="CC744" s="238"/>
      <c r="CD744" s="229" cm="1">
        <f t="array" ref="CD744">IF(ISBLANK(Y744), INDEX(Use, $AH744, 4) - AN744*INDEX(Use, $AH744, 6) - (Q744-X744), Y744)</f>
        <v>7</v>
      </c>
      <c r="CE744" s="229">
        <f t="shared" si="702"/>
        <v>32</v>
      </c>
      <c r="CF744" s="230">
        <f t="shared" si="703"/>
        <v>0</v>
      </c>
      <c r="CG744" s="229">
        <v>35</v>
      </c>
      <c r="CH744" s="230">
        <f t="shared" si="704"/>
        <v>48</v>
      </c>
      <c r="CI744" s="235">
        <f t="shared" si="705"/>
        <v>3.0748170731707316</v>
      </c>
      <c r="CJ744" s="235" cm="1">
        <f t="array" ref="CJ744">$BI744 * SUMPRODUCT(INDEX($AR$77:$AT$82,,$AI744),INDEX($AU$77:$BA$82,,$AH744), N($AQ$77:$AQ$82&gt;$AO744)) / CI744 / 1000</f>
        <v>0</v>
      </c>
      <c r="CK744" s="232">
        <f t="shared" si="722"/>
        <v>30</v>
      </c>
      <c r="CL744" s="230">
        <f t="shared" si="706"/>
        <v>43</v>
      </c>
      <c r="CM744" s="235">
        <f t="shared" si="707"/>
        <v>3.5018750000000001</v>
      </c>
      <c r="CN744" s="235" cm="1">
        <f t="array" ref="CN744">$BI744 * IF($AH744&lt;=2,
SUMPRODUCT(INDEX($AR$72:$AT$76,,$AI744), INDEX($AU$72:$BA$76,,$AH744), 1 / ($BB$72:$BB$76*CM744 + (1-$BB$72:$BB$76)*CI744), N($AQ$72:$AQ$76&gt;$AO744)),
SUMPRODUCT(INDEX($AR$67:$AT$76,,$AI744), INDEX($AU$67:$BA$76,,$AH744), 1 / ($BC$67:$BC$76*CM744 + (1-$BC$67:$BC$76)*CI744), N($AQ$67:$AQ$76&gt;$AO744))
) / 1000</f>
        <v>0</v>
      </c>
      <c r="CO744" s="232">
        <f t="shared" si="723"/>
        <v>25</v>
      </c>
      <c r="CP744" s="230">
        <f t="shared" si="708"/>
        <v>38</v>
      </c>
      <c r="CQ744" s="235">
        <f t="shared" si="709"/>
        <v>4.0666935483870965</v>
      </c>
      <c r="CR744" s="235" cm="1">
        <f t="array" ref="CR744">$BI744 * IF($AH744&lt;=2,
SUMPRODUCT(INDEX($AR$67:$AT$71,,$AI744), INDEX($AU$67:$BA$71,,$AH744), 1 / ($BB$67:$BB$71*CQ744 + (1-$BB$67:$BB$71)*CM744), N($AQ$67:$AQ$71&gt;$AO744)),
SUMPRODUCT(INDEX($AR$57:$AT$66,,$AI744), INDEX($AU$57:$BA$66,,$AH744), 1 / ($BC$57:$BC$66*CQ744 + (1-$BC$57:$BC$66)*CM744), N($AQ$57:$AQ$66&gt;$AO744))
) / 1000</f>
        <v>0</v>
      </c>
      <c r="CS744" s="232">
        <f t="shared" si="724"/>
        <v>20</v>
      </c>
      <c r="CT744" s="230">
        <f t="shared" si="710"/>
        <v>33</v>
      </c>
      <c r="CU744" s="235">
        <f t="shared" si="711"/>
        <v>4.8487499999999999</v>
      </c>
      <c r="CV744" s="235" cm="1">
        <f t="array" ref="CV744">$BI744 * IF($AH744&lt;=2,
SUMPRODUCT(INDEX($AR$62:$AT$66,,$AI744), INDEX($AU$62:$BA$66,,$AH744), 1 / ($BB$62:$BB$66*CU744 + (1-$BB$62:$BB$66)*CQ744), N($AQ$62:$AQ$66&gt;$AO744)),
SUMPRODUCT(INDEX($AR$47:$AT$56,,$AI744), INDEX($AU$47:$BA$56,,$AH744), 1 / ($BC$47:$BC$56*CU744 + (1-$BC$47:$BC$56)*CQ744), N($AQ$47:$AQ$56&gt;$AO744))
) / 1000</f>
        <v>0</v>
      </c>
      <c r="CW744" s="235" cm="1">
        <f t="array" ref="CW744">$BI744 * IF($AH744&lt;=2,
SUMPRODUCT(INDEX($AR$23:$AT$61,,$AI744), INDEX($AU$23:$BA$61,,$AH744), 1 / ($BB$23:$BB$61*CU744), N($AQ$23:$AQ$61&gt;$AO744)),
SUMPRODUCT(INDEX($AR$23:$AT$46,,$AI744), INDEX($AU$23:$BA$46,,$AH744), 1 / ($BC$23:$BC$46*CU744), N($AQ$23:$AQ$46&gt;$AO744))
) / 1000</f>
        <v>0</v>
      </c>
      <c r="CX744" s="230">
        <f t="shared" si="712"/>
        <v>0</v>
      </c>
      <c r="CY744" s="238"/>
    </row>
    <row r="745" spans="1:103" s="76" customFormat="1" ht="14.25" customHeight="1" x14ac:dyDescent="0.2">
      <c r="A745" s="231" t="b">
        <f t="shared" si="716"/>
        <v>0</v>
      </c>
      <c r="B745" s="245">
        <v>723</v>
      </c>
      <c r="C745" s="258"/>
      <c r="D745" s="258"/>
      <c r="E745" s="246"/>
      <c r="F745" s="247" t="str">
        <f>IF(ISBLANK(E745), "", VLOOKUP(E745, Z!$A$2:$C$4127, 3, FALSE))</f>
        <v/>
      </c>
      <c r="G745" s="248"/>
      <c r="H745" s="248"/>
      <c r="I745" s="249"/>
      <c r="J745" s="250"/>
      <c r="K745" s="259"/>
      <c r="L745" s="260"/>
      <c r="M745" s="252" t="str" cm="1">
        <f t="array" ref="M745">INDEX(Trad, 53, $A$20)</f>
        <v>Verschmutzt</v>
      </c>
      <c r="N745" s="253"/>
      <c r="O745" s="253"/>
      <c r="P745" s="254"/>
      <c r="Q745" s="251"/>
      <c r="R745" s="251"/>
      <c r="S745" s="264">
        <f t="shared" si="687"/>
        <v>0</v>
      </c>
      <c r="T745" s="252" t="str" cm="1">
        <f t="array" ref="T745">INDEX(Trad, 52, $A$20)</f>
        <v>Sauber</v>
      </c>
      <c r="U745" s="253"/>
      <c r="V745" s="253"/>
      <c r="W745" s="254"/>
      <c r="X745" s="251"/>
      <c r="Y745" s="251"/>
      <c r="Z745" s="264">
        <f t="shared" si="688"/>
        <v>0</v>
      </c>
      <c r="AA745" s="261"/>
      <c r="AB745" s="258"/>
      <c r="AC745" s="246"/>
      <c r="AD745" s="247" t="str">
        <f>IF(ISBLANK(AC745), "", VLOOKUP(AC745, Z!$A$2:$C$4127, 3, FALSE))</f>
        <v/>
      </c>
      <c r="AE745" s="262"/>
      <c r="AF745" s="263">
        <f t="shared" si="689"/>
        <v>0</v>
      </c>
      <c r="AG745" s="238"/>
      <c r="AH745" s="229">
        <f t="shared" si="713"/>
        <v>1</v>
      </c>
      <c r="AI745" s="229">
        <f t="shared" si="714"/>
        <v>1</v>
      </c>
      <c r="AJ745" s="229">
        <f t="shared" si="715"/>
        <v>0</v>
      </c>
      <c r="AK745" s="229">
        <v>0</v>
      </c>
      <c r="AL745" s="229">
        <v>0</v>
      </c>
      <c r="AM745" s="229">
        <v>1</v>
      </c>
      <c r="AN745" s="229">
        <v>0</v>
      </c>
      <c r="AO745" s="229">
        <f t="shared" si="690"/>
        <v>-100</v>
      </c>
      <c r="AP745" s="238"/>
      <c r="AQ745" s="255"/>
      <c r="AR745" s="255"/>
      <c r="AS745" s="256"/>
      <c r="AT745" s="256"/>
      <c r="AU745" s="256"/>
      <c r="AV745" s="256"/>
      <c r="AW745" s="256"/>
      <c r="AX745" s="256"/>
      <c r="AY745" s="256"/>
      <c r="AZ745" s="256"/>
      <c r="BA745" s="256"/>
      <c r="BB745" s="256"/>
      <c r="BC745" s="256"/>
      <c r="BD745" s="238"/>
      <c r="BE745" s="229" cm="1">
        <f t="array" ref="BE745">IF(ISBLANK(R745), INDEX(Use, $AH745, 4) - AM745*INDEX(Use, $AH745, 6), R745)</f>
        <v>5</v>
      </c>
      <c r="BF745" s="229">
        <f t="shared" si="691"/>
        <v>30</v>
      </c>
      <c r="BG745" s="229">
        <f t="shared" si="717"/>
        <v>13</v>
      </c>
      <c r="BH745" s="229">
        <f t="shared" si="718"/>
        <v>0</v>
      </c>
      <c r="BI745" s="234" cm="1">
        <f t="array" ref="BI745">K745/IF($L745&gt;0, INDEX($AU$23:$BA$77, $L745+20, $AH745), 1)</f>
        <v>0</v>
      </c>
      <c r="BJ745" s="230">
        <f t="shared" si="692"/>
        <v>0</v>
      </c>
      <c r="BK745" s="229">
        <v>35</v>
      </c>
      <c r="BL745" s="230">
        <f t="shared" si="693"/>
        <v>48</v>
      </c>
      <c r="BM745" s="235">
        <f t="shared" si="694"/>
        <v>2.9108720930232557</v>
      </c>
      <c r="BN745" s="235" cm="1">
        <f t="array" ref="BN745">$BI745 * SUMPRODUCT(INDEX($AR$77:$AT$82,,$AI745),INDEX($AU$77:$BA$82,,$AH745), N($AQ$77:$AQ$82&gt;$AO745)) / BM745 / 1000</f>
        <v>0</v>
      </c>
      <c r="BO745" s="232">
        <f t="shared" si="719"/>
        <v>30</v>
      </c>
      <c r="BP745" s="230">
        <f t="shared" si="695"/>
        <v>43</v>
      </c>
      <c r="BQ745" s="235">
        <f t="shared" si="696"/>
        <v>3.2938815789473681</v>
      </c>
      <c r="BR745" s="235" cm="1">
        <f t="array" ref="BR745">$BI745 * IF($AH745&lt;=2,
SUMPRODUCT(INDEX($AR$72:$AT$76,,$AI745), INDEX($AU$72:$BA$76,,$AH745), 1 / ($BB$72:$BB$76*BQ745 + (1-$BB$72:$BB$76)*BM745), N($AQ$72:$AQ$76&gt;$AO745)),
SUMPRODUCT(INDEX($AR$67:$AT$76,,$AI745), INDEX($AU$67:$BA$76,,$AH745), 1 / ($BC$67:$BC$76*BQ745 + (1-$BC$67:$BC$76)*BM745), N($AQ$67:$AQ$76&gt;$AO745))
) / 1000</f>
        <v>0</v>
      </c>
      <c r="BS745" s="232">
        <f t="shared" si="720"/>
        <v>25</v>
      </c>
      <c r="BT745" s="230">
        <f t="shared" si="697"/>
        <v>38</v>
      </c>
      <c r="BU745" s="235">
        <f t="shared" si="698"/>
        <v>3.792954545454545</v>
      </c>
      <c r="BV745" s="235" cm="1">
        <f t="array" ref="BV745">$BI745 * IF($AH745&lt;=2,
SUMPRODUCT(INDEX($AR$67:$AT$71,,$AI745), INDEX($AU$67:$BA$71,,$AH745), 1 / ($BB$67:$BB$71*BU745 + (1-$BB$67:$BB$71)*BQ745), N($AQ$67:$AQ$71&gt;$AO745)),
SUMPRODUCT(INDEX($AR$57:$AT$66,,$AI745), INDEX($AU$57:$BA$66,,$AH745), 1 / ($BC$57:$BC$66*BU745 + (1-$BC$57:$BC$66)*BQ745), N($AQ$57:$AQ$66&gt;$AO745))
) / 1000</f>
        <v>0</v>
      </c>
      <c r="BW745" s="232">
        <f t="shared" si="721"/>
        <v>20</v>
      </c>
      <c r="BX745" s="230">
        <f t="shared" si="699"/>
        <v>33</v>
      </c>
      <c r="BY745" s="235">
        <f t="shared" si="700"/>
        <v>4.4702678571428569</v>
      </c>
      <c r="BZ745" s="235" cm="1">
        <f t="array" ref="BZ745">$BI745 * IF($AH745&lt;=2,
SUMPRODUCT(INDEX($AR$62:$AT$66,,$AI745), INDEX($AU$62:$BA$66,,$AH745), 1 / ($BB$62:$BB$66*BY745 + (1-$BB$62:$BB$66)*BU745), N($AQ$62:$AQ$66&gt;$AO745)),
SUMPRODUCT(INDEX($AR$47:$AT$56,,$AI745), INDEX($AU$47:$BA$56,,$AH745), 1 / ($BC$47:$BC$56*BY745 + (1-$BC$47:$BC$56)*BU745), N($AQ$47:$AQ$56&gt;$AO745))
) / 1000</f>
        <v>0</v>
      </c>
      <c r="CA745" s="235" cm="1">
        <f t="array" ref="CA745">$BI745 * IF($AH745&lt;=2,
SUMPRODUCT(INDEX($AR$23:$AT$61,,$AI745), INDEX($AU$23:$BA$61,,$AH745), 1 / ($BB$23:$BB$61*BY745), N($AQ$23:$AQ$61&gt;$AO745)),
SUMPRODUCT(INDEX($AR$23:$AT$46,,$AI745), INDEX($AU$23:$BA$46,,$AH745), 1 / ($BC$23:$BC$46*BY745), N($AQ$23:$AQ$46&gt;$AO745))
) / 1000</f>
        <v>0</v>
      </c>
      <c r="CB745" s="230">
        <f t="shared" si="701"/>
        <v>0</v>
      </c>
      <c r="CC745" s="238"/>
      <c r="CD745" s="229" cm="1">
        <f t="array" ref="CD745">IF(ISBLANK(Y745), INDEX(Use, $AH745, 4) - AN745*INDEX(Use, $AH745, 6) - (Q745-X745), Y745)</f>
        <v>7</v>
      </c>
      <c r="CE745" s="229">
        <f t="shared" si="702"/>
        <v>32</v>
      </c>
      <c r="CF745" s="230">
        <f t="shared" si="703"/>
        <v>0</v>
      </c>
      <c r="CG745" s="229">
        <v>35</v>
      </c>
      <c r="CH745" s="230">
        <f t="shared" si="704"/>
        <v>48</v>
      </c>
      <c r="CI745" s="235">
        <f t="shared" si="705"/>
        <v>3.0748170731707316</v>
      </c>
      <c r="CJ745" s="235" cm="1">
        <f t="array" ref="CJ745">$BI745 * SUMPRODUCT(INDEX($AR$77:$AT$82,,$AI745),INDEX($AU$77:$BA$82,,$AH745), N($AQ$77:$AQ$82&gt;$AO745)) / CI745 / 1000</f>
        <v>0</v>
      </c>
      <c r="CK745" s="232">
        <f t="shared" si="722"/>
        <v>30</v>
      </c>
      <c r="CL745" s="230">
        <f t="shared" si="706"/>
        <v>43</v>
      </c>
      <c r="CM745" s="235">
        <f t="shared" si="707"/>
        <v>3.5018750000000001</v>
      </c>
      <c r="CN745" s="235" cm="1">
        <f t="array" ref="CN745">$BI745 * IF($AH745&lt;=2,
SUMPRODUCT(INDEX($AR$72:$AT$76,,$AI745), INDEX($AU$72:$BA$76,,$AH745), 1 / ($BB$72:$BB$76*CM745 + (1-$BB$72:$BB$76)*CI745), N($AQ$72:$AQ$76&gt;$AO745)),
SUMPRODUCT(INDEX($AR$67:$AT$76,,$AI745), INDEX($AU$67:$BA$76,,$AH745), 1 / ($BC$67:$BC$76*CM745 + (1-$BC$67:$BC$76)*CI745), N($AQ$67:$AQ$76&gt;$AO745))
) / 1000</f>
        <v>0</v>
      </c>
      <c r="CO745" s="232">
        <f t="shared" si="723"/>
        <v>25</v>
      </c>
      <c r="CP745" s="230">
        <f t="shared" si="708"/>
        <v>38</v>
      </c>
      <c r="CQ745" s="235">
        <f t="shared" si="709"/>
        <v>4.0666935483870965</v>
      </c>
      <c r="CR745" s="235" cm="1">
        <f t="array" ref="CR745">$BI745 * IF($AH745&lt;=2,
SUMPRODUCT(INDEX($AR$67:$AT$71,,$AI745), INDEX($AU$67:$BA$71,,$AH745), 1 / ($BB$67:$BB$71*CQ745 + (1-$BB$67:$BB$71)*CM745), N($AQ$67:$AQ$71&gt;$AO745)),
SUMPRODUCT(INDEX($AR$57:$AT$66,,$AI745), INDEX($AU$57:$BA$66,,$AH745), 1 / ($BC$57:$BC$66*CQ745 + (1-$BC$57:$BC$66)*CM745), N($AQ$57:$AQ$66&gt;$AO745))
) / 1000</f>
        <v>0</v>
      </c>
      <c r="CS745" s="232">
        <f t="shared" si="724"/>
        <v>20</v>
      </c>
      <c r="CT745" s="230">
        <f t="shared" si="710"/>
        <v>33</v>
      </c>
      <c r="CU745" s="235">
        <f t="shared" si="711"/>
        <v>4.8487499999999999</v>
      </c>
      <c r="CV745" s="235" cm="1">
        <f t="array" ref="CV745">$BI745 * IF($AH745&lt;=2,
SUMPRODUCT(INDEX($AR$62:$AT$66,,$AI745), INDEX($AU$62:$BA$66,,$AH745), 1 / ($BB$62:$BB$66*CU745 + (1-$BB$62:$BB$66)*CQ745), N($AQ$62:$AQ$66&gt;$AO745)),
SUMPRODUCT(INDEX($AR$47:$AT$56,,$AI745), INDEX($AU$47:$BA$56,,$AH745), 1 / ($BC$47:$BC$56*CU745 + (1-$BC$47:$BC$56)*CQ745), N($AQ$47:$AQ$56&gt;$AO745))
) / 1000</f>
        <v>0</v>
      </c>
      <c r="CW745" s="235" cm="1">
        <f t="array" ref="CW745">$BI745 * IF($AH745&lt;=2,
SUMPRODUCT(INDEX($AR$23:$AT$61,,$AI745), INDEX($AU$23:$BA$61,,$AH745), 1 / ($BB$23:$BB$61*CU745), N($AQ$23:$AQ$61&gt;$AO745)),
SUMPRODUCT(INDEX($AR$23:$AT$46,,$AI745), INDEX($AU$23:$BA$46,,$AH745), 1 / ($BC$23:$BC$46*CU745), N($AQ$23:$AQ$46&gt;$AO745))
) / 1000</f>
        <v>0</v>
      </c>
      <c r="CX745" s="230">
        <f t="shared" si="712"/>
        <v>0</v>
      </c>
      <c r="CY745" s="238"/>
    </row>
    <row r="746" spans="1:103" s="76" customFormat="1" ht="14.25" customHeight="1" x14ac:dyDescent="0.2">
      <c r="A746" s="231" t="b">
        <f t="shared" si="716"/>
        <v>0</v>
      </c>
      <c r="B746" s="245">
        <v>724</v>
      </c>
      <c r="C746" s="258"/>
      <c r="D746" s="258"/>
      <c r="E746" s="246"/>
      <c r="F746" s="247" t="str">
        <f>IF(ISBLANK(E746), "", VLOOKUP(E746, Z!$A$2:$C$4127, 3, FALSE))</f>
        <v/>
      </c>
      <c r="G746" s="248"/>
      <c r="H746" s="248"/>
      <c r="I746" s="249"/>
      <c r="J746" s="250"/>
      <c r="K746" s="259"/>
      <c r="L746" s="260"/>
      <c r="M746" s="252" t="str" cm="1">
        <f t="array" ref="M746">INDEX(Trad, 53, $A$20)</f>
        <v>Verschmutzt</v>
      </c>
      <c r="N746" s="253"/>
      <c r="O746" s="253"/>
      <c r="P746" s="254"/>
      <c r="Q746" s="251"/>
      <c r="R746" s="251"/>
      <c r="S746" s="264">
        <f t="shared" si="687"/>
        <v>0</v>
      </c>
      <c r="T746" s="252" t="str" cm="1">
        <f t="array" ref="T746">INDEX(Trad, 52, $A$20)</f>
        <v>Sauber</v>
      </c>
      <c r="U746" s="253"/>
      <c r="V746" s="253"/>
      <c r="W746" s="254"/>
      <c r="X746" s="251"/>
      <c r="Y746" s="251"/>
      <c r="Z746" s="264">
        <f t="shared" si="688"/>
        <v>0</v>
      </c>
      <c r="AA746" s="261"/>
      <c r="AB746" s="258"/>
      <c r="AC746" s="246"/>
      <c r="AD746" s="247" t="str">
        <f>IF(ISBLANK(AC746), "", VLOOKUP(AC746, Z!$A$2:$C$4127, 3, FALSE))</f>
        <v/>
      </c>
      <c r="AE746" s="262"/>
      <c r="AF746" s="263">
        <f t="shared" si="689"/>
        <v>0</v>
      </c>
      <c r="AG746" s="238"/>
      <c r="AH746" s="229">
        <f t="shared" si="713"/>
        <v>1</v>
      </c>
      <c r="AI746" s="229">
        <f t="shared" si="714"/>
        <v>1</v>
      </c>
      <c r="AJ746" s="229">
        <f t="shared" si="715"/>
        <v>0</v>
      </c>
      <c r="AK746" s="229">
        <v>0</v>
      </c>
      <c r="AL746" s="229">
        <v>0</v>
      </c>
      <c r="AM746" s="229">
        <v>1</v>
      </c>
      <c r="AN746" s="229">
        <v>0</v>
      </c>
      <c r="AO746" s="229">
        <f t="shared" si="690"/>
        <v>-100</v>
      </c>
      <c r="AP746" s="238"/>
      <c r="AQ746" s="255"/>
      <c r="AR746" s="255"/>
      <c r="AS746" s="256"/>
      <c r="AT746" s="256"/>
      <c r="AU746" s="256"/>
      <c r="AV746" s="256"/>
      <c r="AW746" s="256"/>
      <c r="AX746" s="256"/>
      <c r="AY746" s="256"/>
      <c r="AZ746" s="256"/>
      <c r="BA746" s="256"/>
      <c r="BB746" s="256"/>
      <c r="BC746" s="256"/>
      <c r="BD746" s="238"/>
      <c r="BE746" s="229" cm="1">
        <f t="array" ref="BE746">IF(ISBLANK(R746), INDEX(Use, $AH746, 4) - AM746*INDEX(Use, $AH746, 6), R746)</f>
        <v>5</v>
      </c>
      <c r="BF746" s="229">
        <f t="shared" si="691"/>
        <v>30</v>
      </c>
      <c r="BG746" s="229">
        <f t="shared" si="717"/>
        <v>13</v>
      </c>
      <c r="BH746" s="229">
        <f t="shared" si="718"/>
        <v>0</v>
      </c>
      <c r="BI746" s="234" cm="1">
        <f t="array" ref="BI746">K746/IF($L746&gt;0, INDEX($AU$23:$BA$77, $L746+20, $AH746), 1)</f>
        <v>0</v>
      </c>
      <c r="BJ746" s="230">
        <f t="shared" si="692"/>
        <v>0</v>
      </c>
      <c r="BK746" s="229">
        <v>35</v>
      </c>
      <c r="BL746" s="230">
        <f t="shared" si="693"/>
        <v>48</v>
      </c>
      <c r="BM746" s="235">
        <f t="shared" si="694"/>
        <v>2.9108720930232557</v>
      </c>
      <c r="BN746" s="235" cm="1">
        <f t="array" ref="BN746">$BI746 * SUMPRODUCT(INDEX($AR$77:$AT$82,,$AI746),INDEX($AU$77:$BA$82,,$AH746), N($AQ$77:$AQ$82&gt;$AO746)) / BM746 / 1000</f>
        <v>0</v>
      </c>
      <c r="BO746" s="232">
        <f t="shared" si="719"/>
        <v>30</v>
      </c>
      <c r="BP746" s="230">
        <f t="shared" si="695"/>
        <v>43</v>
      </c>
      <c r="BQ746" s="235">
        <f t="shared" si="696"/>
        <v>3.2938815789473681</v>
      </c>
      <c r="BR746" s="235" cm="1">
        <f t="array" ref="BR746">$BI746 * IF($AH746&lt;=2,
SUMPRODUCT(INDEX($AR$72:$AT$76,,$AI746), INDEX($AU$72:$BA$76,,$AH746), 1 / ($BB$72:$BB$76*BQ746 + (1-$BB$72:$BB$76)*BM746), N($AQ$72:$AQ$76&gt;$AO746)),
SUMPRODUCT(INDEX($AR$67:$AT$76,,$AI746), INDEX($AU$67:$BA$76,,$AH746), 1 / ($BC$67:$BC$76*BQ746 + (1-$BC$67:$BC$76)*BM746), N($AQ$67:$AQ$76&gt;$AO746))
) / 1000</f>
        <v>0</v>
      </c>
      <c r="BS746" s="232">
        <f t="shared" si="720"/>
        <v>25</v>
      </c>
      <c r="BT746" s="230">
        <f t="shared" si="697"/>
        <v>38</v>
      </c>
      <c r="BU746" s="235">
        <f t="shared" si="698"/>
        <v>3.792954545454545</v>
      </c>
      <c r="BV746" s="235" cm="1">
        <f t="array" ref="BV746">$BI746 * IF($AH746&lt;=2,
SUMPRODUCT(INDEX($AR$67:$AT$71,,$AI746), INDEX($AU$67:$BA$71,,$AH746), 1 / ($BB$67:$BB$71*BU746 + (1-$BB$67:$BB$71)*BQ746), N($AQ$67:$AQ$71&gt;$AO746)),
SUMPRODUCT(INDEX($AR$57:$AT$66,,$AI746), INDEX($AU$57:$BA$66,,$AH746), 1 / ($BC$57:$BC$66*BU746 + (1-$BC$57:$BC$66)*BQ746), N($AQ$57:$AQ$66&gt;$AO746))
) / 1000</f>
        <v>0</v>
      </c>
      <c r="BW746" s="232">
        <f t="shared" si="721"/>
        <v>20</v>
      </c>
      <c r="BX746" s="230">
        <f t="shared" si="699"/>
        <v>33</v>
      </c>
      <c r="BY746" s="235">
        <f t="shared" si="700"/>
        <v>4.4702678571428569</v>
      </c>
      <c r="BZ746" s="235" cm="1">
        <f t="array" ref="BZ746">$BI746 * IF($AH746&lt;=2,
SUMPRODUCT(INDEX($AR$62:$AT$66,,$AI746), INDEX($AU$62:$BA$66,,$AH746), 1 / ($BB$62:$BB$66*BY746 + (1-$BB$62:$BB$66)*BU746), N($AQ$62:$AQ$66&gt;$AO746)),
SUMPRODUCT(INDEX($AR$47:$AT$56,,$AI746), INDEX($AU$47:$BA$56,,$AH746), 1 / ($BC$47:$BC$56*BY746 + (1-$BC$47:$BC$56)*BU746), N($AQ$47:$AQ$56&gt;$AO746))
) / 1000</f>
        <v>0</v>
      </c>
      <c r="CA746" s="235" cm="1">
        <f t="array" ref="CA746">$BI746 * IF($AH746&lt;=2,
SUMPRODUCT(INDEX($AR$23:$AT$61,,$AI746), INDEX($AU$23:$BA$61,,$AH746), 1 / ($BB$23:$BB$61*BY746), N($AQ$23:$AQ$61&gt;$AO746)),
SUMPRODUCT(INDEX($AR$23:$AT$46,,$AI746), INDEX($AU$23:$BA$46,,$AH746), 1 / ($BC$23:$BC$46*BY746), N($AQ$23:$AQ$46&gt;$AO746))
) / 1000</f>
        <v>0</v>
      </c>
      <c r="CB746" s="230">
        <f t="shared" si="701"/>
        <v>0</v>
      </c>
      <c r="CC746" s="238"/>
      <c r="CD746" s="229" cm="1">
        <f t="array" ref="CD746">IF(ISBLANK(Y746), INDEX(Use, $AH746, 4) - AN746*INDEX(Use, $AH746, 6) - (Q746-X746), Y746)</f>
        <v>7</v>
      </c>
      <c r="CE746" s="229">
        <f t="shared" si="702"/>
        <v>32</v>
      </c>
      <c r="CF746" s="230">
        <f t="shared" si="703"/>
        <v>0</v>
      </c>
      <c r="CG746" s="229">
        <v>35</v>
      </c>
      <c r="CH746" s="230">
        <f t="shared" si="704"/>
        <v>48</v>
      </c>
      <c r="CI746" s="235">
        <f t="shared" si="705"/>
        <v>3.0748170731707316</v>
      </c>
      <c r="CJ746" s="235" cm="1">
        <f t="array" ref="CJ746">$BI746 * SUMPRODUCT(INDEX($AR$77:$AT$82,,$AI746),INDEX($AU$77:$BA$82,,$AH746), N($AQ$77:$AQ$82&gt;$AO746)) / CI746 / 1000</f>
        <v>0</v>
      </c>
      <c r="CK746" s="232">
        <f t="shared" si="722"/>
        <v>30</v>
      </c>
      <c r="CL746" s="230">
        <f t="shared" si="706"/>
        <v>43</v>
      </c>
      <c r="CM746" s="235">
        <f t="shared" si="707"/>
        <v>3.5018750000000001</v>
      </c>
      <c r="CN746" s="235" cm="1">
        <f t="array" ref="CN746">$BI746 * IF($AH746&lt;=2,
SUMPRODUCT(INDEX($AR$72:$AT$76,,$AI746), INDEX($AU$72:$BA$76,,$AH746), 1 / ($BB$72:$BB$76*CM746 + (1-$BB$72:$BB$76)*CI746), N($AQ$72:$AQ$76&gt;$AO746)),
SUMPRODUCT(INDEX($AR$67:$AT$76,,$AI746), INDEX($AU$67:$BA$76,,$AH746), 1 / ($BC$67:$BC$76*CM746 + (1-$BC$67:$BC$76)*CI746), N($AQ$67:$AQ$76&gt;$AO746))
) / 1000</f>
        <v>0</v>
      </c>
      <c r="CO746" s="232">
        <f t="shared" si="723"/>
        <v>25</v>
      </c>
      <c r="CP746" s="230">
        <f t="shared" si="708"/>
        <v>38</v>
      </c>
      <c r="CQ746" s="235">
        <f t="shared" si="709"/>
        <v>4.0666935483870965</v>
      </c>
      <c r="CR746" s="235" cm="1">
        <f t="array" ref="CR746">$BI746 * IF($AH746&lt;=2,
SUMPRODUCT(INDEX($AR$67:$AT$71,,$AI746), INDEX($AU$67:$BA$71,,$AH746), 1 / ($BB$67:$BB$71*CQ746 + (1-$BB$67:$BB$71)*CM746), N($AQ$67:$AQ$71&gt;$AO746)),
SUMPRODUCT(INDEX($AR$57:$AT$66,,$AI746), INDEX($AU$57:$BA$66,,$AH746), 1 / ($BC$57:$BC$66*CQ746 + (1-$BC$57:$BC$66)*CM746), N($AQ$57:$AQ$66&gt;$AO746))
) / 1000</f>
        <v>0</v>
      </c>
      <c r="CS746" s="232">
        <f t="shared" si="724"/>
        <v>20</v>
      </c>
      <c r="CT746" s="230">
        <f t="shared" si="710"/>
        <v>33</v>
      </c>
      <c r="CU746" s="235">
        <f t="shared" si="711"/>
        <v>4.8487499999999999</v>
      </c>
      <c r="CV746" s="235" cm="1">
        <f t="array" ref="CV746">$BI746 * IF($AH746&lt;=2,
SUMPRODUCT(INDEX($AR$62:$AT$66,,$AI746), INDEX($AU$62:$BA$66,,$AH746), 1 / ($BB$62:$BB$66*CU746 + (1-$BB$62:$BB$66)*CQ746), N($AQ$62:$AQ$66&gt;$AO746)),
SUMPRODUCT(INDEX($AR$47:$AT$56,,$AI746), INDEX($AU$47:$BA$56,,$AH746), 1 / ($BC$47:$BC$56*CU746 + (1-$BC$47:$BC$56)*CQ746), N($AQ$47:$AQ$56&gt;$AO746))
) / 1000</f>
        <v>0</v>
      </c>
      <c r="CW746" s="235" cm="1">
        <f t="array" ref="CW746">$BI746 * IF($AH746&lt;=2,
SUMPRODUCT(INDEX($AR$23:$AT$61,,$AI746), INDEX($AU$23:$BA$61,,$AH746), 1 / ($BB$23:$BB$61*CU746), N($AQ$23:$AQ$61&gt;$AO746)),
SUMPRODUCT(INDEX($AR$23:$AT$46,,$AI746), INDEX($AU$23:$BA$46,,$AH746), 1 / ($BC$23:$BC$46*CU746), N($AQ$23:$AQ$46&gt;$AO746))
) / 1000</f>
        <v>0</v>
      </c>
      <c r="CX746" s="230">
        <f t="shared" si="712"/>
        <v>0</v>
      </c>
      <c r="CY746" s="238"/>
    </row>
    <row r="747" spans="1:103" s="76" customFormat="1" ht="14.25" customHeight="1" x14ac:dyDescent="0.2">
      <c r="A747" s="231" t="b">
        <f t="shared" si="716"/>
        <v>0</v>
      </c>
      <c r="B747" s="245">
        <v>725</v>
      </c>
      <c r="C747" s="258"/>
      <c r="D747" s="258"/>
      <c r="E747" s="246"/>
      <c r="F747" s="247" t="str">
        <f>IF(ISBLANK(E747), "", VLOOKUP(E747, Z!$A$2:$C$4127, 3, FALSE))</f>
        <v/>
      </c>
      <c r="G747" s="248"/>
      <c r="H747" s="248"/>
      <c r="I747" s="249"/>
      <c r="J747" s="250"/>
      <c r="K747" s="259"/>
      <c r="L747" s="260"/>
      <c r="M747" s="252" t="str" cm="1">
        <f t="array" ref="M747">INDEX(Trad, 53, $A$20)</f>
        <v>Verschmutzt</v>
      </c>
      <c r="N747" s="253"/>
      <c r="O747" s="253"/>
      <c r="P747" s="254"/>
      <c r="Q747" s="251"/>
      <c r="R747" s="251"/>
      <c r="S747" s="264">
        <f t="shared" si="687"/>
        <v>0</v>
      </c>
      <c r="T747" s="252" t="str" cm="1">
        <f t="array" ref="T747">INDEX(Trad, 52, $A$20)</f>
        <v>Sauber</v>
      </c>
      <c r="U747" s="253"/>
      <c r="V747" s="253"/>
      <c r="W747" s="254"/>
      <c r="X747" s="251"/>
      <c r="Y747" s="251"/>
      <c r="Z747" s="264">
        <f t="shared" si="688"/>
        <v>0</v>
      </c>
      <c r="AA747" s="261"/>
      <c r="AB747" s="258"/>
      <c r="AC747" s="246"/>
      <c r="AD747" s="247" t="str">
        <f>IF(ISBLANK(AC747), "", VLOOKUP(AC747, Z!$A$2:$C$4127, 3, FALSE))</f>
        <v/>
      </c>
      <c r="AE747" s="262"/>
      <c r="AF747" s="263">
        <f t="shared" si="689"/>
        <v>0</v>
      </c>
      <c r="AG747" s="238"/>
      <c r="AH747" s="229">
        <f t="shared" si="713"/>
        <v>1</v>
      </c>
      <c r="AI747" s="229">
        <f t="shared" si="714"/>
        <v>1</v>
      </c>
      <c r="AJ747" s="229">
        <f t="shared" si="715"/>
        <v>0</v>
      </c>
      <c r="AK747" s="229">
        <v>0</v>
      </c>
      <c r="AL747" s="229">
        <v>0</v>
      </c>
      <c r="AM747" s="229">
        <v>1</v>
      </c>
      <c r="AN747" s="229">
        <v>0</v>
      </c>
      <c r="AO747" s="229">
        <f t="shared" si="690"/>
        <v>-100</v>
      </c>
      <c r="AP747" s="238"/>
      <c r="AQ747" s="255"/>
      <c r="AR747" s="255"/>
      <c r="AS747" s="256"/>
      <c r="AT747" s="256"/>
      <c r="AU747" s="256"/>
      <c r="AV747" s="256"/>
      <c r="AW747" s="256"/>
      <c r="AX747" s="256"/>
      <c r="AY747" s="256"/>
      <c r="AZ747" s="256"/>
      <c r="BA747" s="256"/>
      <c r="BB747" s="256"/>
      <c r="BC747" s="256"/>
      <c r="BD747" s="238"/>
      <c r="BE747" s="229" cm="1">
        <f t="array" ref="BE747">IF(ISBLANK(R747), INDEX(Use, $AH747, 4) - AM747*INDEX(Use, $AH747, 6), R747)</f>
        <v>5</v>
      </c>
      <c r="BF747" s="229">
        <f t="shared" si="691"/>
        <v>30</v>
      </c>
      <c r="BG747" s="229">
        <f t="shared" si="717"/>
        <v>13</v>
      </c>
      <c r="BH747" s="229">
        <f t="shared" si="718"/>
        <v>0</v>
      </c>
      <c r="BI747" s="234" cm="1">
        <f t="array" ref="BI747">K747/IF($L747&gt;0, INDEX($AU$23:$BA$77, $L747+20, $AH747), 1)</f>
        <v>0</v>
      </c>
      <c r="BJ747" s="230">
        <f t="shared" si="692"/>
        <v>0</v>
      </c>
      <c r="BK747" s="229">
        <v>35</v>
      </c>
      <c r="BL747" s="230">
        <f t="shared" si="693"/>
        <v>48</v>
      </c>
      <c r="BM747" s="235">
        <f t="shared" si="694"/>
        <v>2.9108720930232557</v>
      </c>
      <c r="BN747" s="235" cm="1">
        <f t="array" ref="BN747">$BI747 * SUMPRODUCT(INDEX($AR$77:$AT$82,,$AI747),INDEX($AU$77:$BA$82,,$AH747), N($AQ$77:$AQ$82&gt;$AO747)) / BM747 / 1000</f>
        <v>0</v>
      </c>
      <c r="BO747" s="232">
        <f t="shared" si="719"/>
        <v>30</v>
      </c>
      <c r="BP747" s="230">
        <f t="shared" si="695"/>
        <v>43</v>
      </c>
      <c r="BQ747" s="235">
        <f t="shared" si="696"/>
        <v>3.2938815789473681</v>
      </c>
      <c r="BR747" s="235" cm="1">
        <f t="array" ref="BR747">$BI747 * IF($AH747&lt;=2,
SUMPRODUCT(INDEX($AR$72:$AT$76,,$AI747), INDEX($AU$72:$BA$76,,$AH747), 1 / ($BB$72:$BB$76*BQ747 + (1-$BB$72:$BB$76)*BM747), N($AQ$72:$AQ$76&gt;$AO747)),
SUMPRODUCT(INDEX($AR$67:$AT$76,,$AI747), INDEX($AU$67:$BA$76,,$AH747), 1 / ($BC$67:$BC$76*BQ747 + (1-$BC$67:$BC$76)*BM747), N($AQ$67:$AQ$76&gt;$AO747))
) / 1000</f>
        <v>0</v>
      </c>
      <c r="BS747" s="232">
        <f t="shared" si="720"/>
        <v>25</v>
      </c>
      <c r="BT747" s="230">
        <f t="shared" si="697"/>
        <v>38</v>
      </c>
      <c r="BU747" s="235">
        <f t="shared" si="698"/>
        <v>3.792954545454545</v>
      </c>
      <c r="BV747" s="235" cm="1">
        <f t="array" ref="BV747">$BI747 * IF($AH747&lt;=2,
SUMPRODUCT(INDEX($AR$67:$AT$71,,$AI747), INDEX($AU$67:$BA$71,,$AH747), 1 / ($BB$67:$BB$71*BU747 + (1-$BB$67:$BB$71)*BQ747), N($AQ$67:$AQ$71&gt;$AO747)),
SUMPRODUCT(INDEX($AR$57:$AT$66,,$AI747), INDEX($AU$57:$BA$66,,$AH747), 1 / ($BC$57:$BC$66*BU747 + (1-$BC$57:$BC$66)*BQ747), N($AQ$57:$AQ$66&gt;$AO747))
) / 1000</f>
        <v>0</v>
      </c>
      <c r="BW747" s="232">
        <f t="shared" si="721"/>
        <v>20</v>
      </c>
      <c r="BX747" s="230">
        <f t="shared" si="699"/>
        <v>33</v>
      </c>
      <c r="BY747" s="235">
        <f t="shared" si="700"/>
        <v>4.4702678571428569</v>
      </c>
      <c r="BZ747" s="235" cm="1">
        <f t="array" ref="BZ747">$BI747 * IF($AH747&lt;=2,
SUMPRODUCT(INDEX($AR$62:$AT$66,,$AI747), INDEX($AU$62:$BA$66,,$AH747), 1 / ($BB$62:$BB$66*BY747 + (1-$BB$62:$BB$66)*BU747), N($AQ$62:$AQ$66&gt;$AO747)),
SUMPRODUCT(INDEX($AR$47:$AT$56,,$AI747), INDEX($AU$47:$BA$56,,$AH747), 1 / ($BC$47:$BC$56*BY747 + (1-$BC$47:$BC$56)*BU747), N($AQ$47:$AQ$56&gt;$AO747))
) / 1000</f>
        <v>0</v>
      </c>
      <c r="CA747" s="235" cm="1">
        <f t="array" ref="CA747">$BI747 * IF($AH747&lt;=2,
SUMPRODUCT(INDEX($AR$23:$AT$61,,$AI747), INDEX($AU$23:$BA$61,,$AH747), 1 / ($BB$23:$BB$61*BY747), N($AQ$23:$AQ$61&gt;$AO747)),
SUMPRODUCT(INDEX($AR$23:$AT$46,,$AI747), INDEX($AU$23:$BA$46,,$AH747), 1 / ($BC$23:$BC$46*BY747), N($AQ$23:$AQ$46&gt;$AO747))
) / 1000</f>
        <v>0</v>
      </c>
      <c r="CB747" s="230">
        <f t="shared" si="701"/>
        <v>0</v>
      </c>
      <c r="CC747" s="238"/>
      <c r="CD747" s="229" cm="1">
        <f t="array" ref="CD747">IF(ISBLANK(Y747), INDEX(Use, $AH747, 4) - AN747*INDEX(Use, $AH747, 6) - (Q747-X747), Y747)</f>
        <v>7</v>
      </c>
      <c r="CE747" s="229">
        <f t="shared" si="702"/>
        <v>32</v>
      </c>
      <c r="CF747" s="230">
        <f t="shared" si="703"/>
        <v>0</v>
      </c>
      <c r="CG747" s="229">
        <v>35</v>
      </c>
      <c r="CH747" s="230">
        <f t="shared" si="704"/>
        <v>48</v>
      </c>
      <c r="CI747" s="235">
        <f t="shared" si="705"/>
        <v>3.0748170731707316</v>
      </c>
      <c r="CJ747" s="235" cm="1">
        <f t="array" ref="CJ747">$BI747 * SUMPRODUCT(INDEX($AR$77:$AT$82,,$AI747),INDEX($AU$77:$BA$82,,$AH747), N($AQ$77:$AQ$82&gt;$AO747)) / CI747 / 1000</f>
        <v>0</v>
      </c>
      <c r="CK747" s="232">
        <f t="shared" si="722"/>
        <v>30</v>
      </c>
      <c r="CL747" s="230">
        <f t="shared" si="706"/>
        <v>43</v>
      </c>
      <c r="CM747" s="235">
        <f t="shared" si="707"/>
        <v>3.5018750000000001</v>
      </c>
      <c r="CN747" s="235" cm="1">
        <f t="array" ref="CN747">$BI747 * IF($AH747&lt;=2,
SUMPRODUCT(INDEX($AR$72:$AT$76,,$AI747), INDEX($AU$72:$BA$76,,$AH747), 1 / ($BB$72:$BB$76*CM747 + (1-$BB$72:$BB$76)*CI747), N($AQ$72:$AQ$76&gt;$AO747)),
SUMPRODUCT(INDEX($AR$67:$AT$76,,$AI747), INDEX($AU$67:$BA$76,,$AH747), 1 / ($BC$67:$BC$76*CM747 + (1-$BC$67:$BC$76)*CI747), N($AQ$67:$AQ$76&gt;$AO747))
) / 1000</f>
        <v>0</v>
      </c>
      <c r="CO747" s="232">
        <f t="shared" si="723"/>
        <v>25</v>
      </c>
      <c r="CP747" s="230">
        <f t="shared" si="708"/>
        <v>38</v>
      </c>
      <c r="CQ747" s="235">
        <f t="shared" si="709"/>
        <v>4.0666935483870965</v>
      </c>
      <c r="CR747" s="235" cm="1">
        <f t="array" ref="CR747">$BI747 * IF($AH747&lt;=2,
SUMPRODUCT(INDEX($AR$67:$AT$71,,$AI747), INDEX($AU$67:$BA$71,,$AH747), 1 / ($BB$67:$BB$71*CQ747 + (1-$BB$67:$BB$71)*CM747), N($AQ$67:$AQ$71&gt;$AO747)),
SUMPRODUCT(INDEX($AR$57:$AT$66,,$AI747), INDEX($AU$57:$BA$66,,$AH747), 1 / ($BC$57:$BC$66*CQ747 + (1-$BC$57:$BC$66)*CM747), N($AQ$57:$AQ$66&gt;$AO747))
) / 1000</f>
        <v>0</v>
      </c>
      <c r="CS747" s="232">
        <f t="shared" si="724"/>
        <v>20</v>
      </c>
      <c r="CT747" s="230">
        <f t="shared" si="710"/>
        <v>33</v>
      </c>
      <c r="CU747" s="235">
        <f t="shared" si="711"/>
        <v>4.8487499999999999</v>
      </c>
      <c r="CV747" s="235" cm="1">
        <f t="array" ref="CV747">$BI747 * IF($AH747&lt;=2,
SUMPRODUCT(INDEX($AR$62:$AT$66,,$AI747), INDEX($AU$62:$BA$66,,$AH747), 1 / ($BB$62:$BB$66*CU747 + (1-$BB$62:$BB$66)*CQ747), N($AQ$62:$AQ$66&gt;$AO747)),
SUMPRODUCT(INDEX($AR$47:$AT$56,,$AI747), INDEX($AU$47:$BA$56,,$AH747), 1 / ($BC$47:$BC$56*CU747 + (1-$BC$47:$BC$56)*CQ747), N($AQ$47:$AQ$56&gt;$AO747))
) / 1000</f>
        <v>0</v>
      </c>
      <c r="CW747" s="235" cm="1">
        <f t="array" ref="CW747">$BI747 * IF($AH747&lt;=2,
SUMPRODUCT(INDEX($AR$23:$AT$61,,$AI747), INDEX($AU$23:$BA$61,,$AH747), 1 / ($BB$23:$BB$61*CU747), N($AQ$23:$AQ$61&gt;$AO747)),
SUMPRODUCT(INDEX($AR$23:$AT$46,,$AI747), INDEX($AU$23:$BA$46,,$AH747), 1 / ($BC$23:$BC$46*CU747), N($AQ$23:$AQ$46&gt;$AO747))
) / 1000</f>
        <v>0</v>
      </c>
      <c r="CX747" s="230">
        <f t="shared" si="712"/>
        <v>0</v>
      </c>
      <c r="CY747" s="238"/>
    </row>
    <row r="748" spans="1:103" s="76" customFormat="1" ht="14.25" customHeight="1" x14ac:dyDescent="0.2">
      <c r="A748" s="231" t="b">
        <f t="shared" si="716"/>
        <v>0</v>
      </c>
      <c r="B748" s="245">
        <v>726</v>
      </c>
      <c r="C748" s="258"/>
      <c r="D748" s="258"/>
      <c r="E748" s="246"/>
      <c r="F748" s="247" t="str">
        <f>IF(ISBLANK(E748), "", VLOOKUP(E748, Z!$A$2:$C$4127, 3, FALSE))</f>
        <v/>
      </c>
      <c r="G748" s="248"/>
      <c r="H748" s="248"/>
      <c r="I748" s="249"/>
      <c r="J748" s="250"/>
      <c r="K748" s="259"/>
      <c r="L748" s="260"/>
      <c r="M748" s="252" t="str" cm="1">
        <f t="array" ref="M748">INDEX(Trad, 53, $A$20)</f>
        <v>Verschmutzt</v>
      </c>
      <c r="N748" s="253"/>
      <c r="O748" s="253"/>
      <c r="P748" s="254"/>
      <c r="Q748" s="251"/>
      <c r="R748" s="251"/>
      <c r="S748" s="264">
        <f t="shared" si="687"/>
        <v>0</v>
      </c>
      <c r="T748" s="252" t="str" cm="1">
        <f t="array" ref="T748">INDEX(Trad, 52, $A$20)</f>
        <v>Sauber</v>
      </c>
      <c r="U748" s="253"/>
      <c r="V748" s="253"/>
      <c r="W748" s="254"/>
      <c r="X748" s="251"/>
      <c r="Y748" s="251"/>
      <c r="Z748" s="264">
        <f t="shared" si="688"/>
        <v>0</v>
      </c>
      <c r="AA748" s="261"/>
      <c r="AB748" s="258"/>
      <c r="AC748" s="246"/>
      <c r="AD748" s="247" t="str">
        <f>IF(ISBLANK(AC748), "", VLOOKUP(AC748, Z!$A$2:$C$4127, 3, FALSE))</f>
        <v/>
      </c>
      <c r="AE748" s="262"/>
      <c r="AF748" s="263">
        <f t="shared" si="689"/>
        <v>0</v>
      </c>
      <c r="AG748" s="238"/>
      <c r="AH748" s="229">
        <f t="shared" si="713"/>
        <v>1</v>
      </c>
      <c r="AI748" s="229">
        <f t="shared" si="714"/>
        <v>1</v>
      </c>
      <c r="AJ748" s="229">
        <f t="shared" si="715"/>
        <v>0</v>
      </c>
      <c r="AK748" s="229">
        <v>0</v>
      </c>
      <c r="AL748" s="229">
        <v>0</v>
      </c>
      <c r="AM748" s="229">
        <v>1</v>
      </c>
      <c r="AN748" s="229">
        <v>0</v>
      </c>
      <c r="AO748" s="229">
        <f t="shared" si="690"/>
        <v>-100</v>
      </c>
      <c r="AP748" s="238"/>
      <c r="AQ748" s="255"/>
      <c r="AR748" s="255"/>
      <c r="AS748" s="256"/>
      <c r="AT748" s="256"/>
      <c r="AU748" s="256"/>
      <c r="AV748" s="256"/>
      <c r="AW748" s="256"/>
      <c r="AX748" s="256"/>
      <c r="AY748" s="256"/>
      <c r="AZ748" s="256"/>
      <c r="BA748" s="256"/>
      <c r="BB748" s="256"/>
      <c r="BC748" s="256"/>
      <c r="BD748" s="238"/>
      <c r="BE748" s="229" cm="1">
        <f t="array" ref="BE748">IF(ISBLANK(R748), INDEX(Use, $AH748, 4) - AM748*INDEX(Use, $AH748, 6), R748)</f>
        <v>5</v>
      </c>
      <c r="BF748" s="229">
        <f t="shared" si="691"/>
        <v>30</v>
      </c>
      <c r="BG748" s="229">
        <f t="shared" si="717"/>
        <v>13</v>
      </c>
      <c r="BH748" s="229">
        <f t="shared" si="718"/>
        <v>0</v>
      </c>
      <c r="BI748" s="234" cm="1">
        <f t="array" ref="BI748">K748/IF($L748&gt;0, INDEX($AU$23:$BA$77, $L748+20, $AH748), 1)</f>
        <v>0</v>
      </c>
      <c r="BJ748" s="230">
        <f t="shared" si="692"/>
        <v>0</v>
      </c>
      <c r="BK748" s="229">
        <v>35</v>
      </c>
      <c r="BL748" s="230">
        <f t="shared" si="693"/>
        <v>48</v>
      </c>
      <c r="BM748" s="235">
        <f t="shared" si="694"/>
        <v>2.9108720930232557</v>
      </c>
      <c r="BN748" s="235" cm="1">
        <f t="array" ref="BN748">$BI748 * SUMPRODUCT(INDEX($AR$77:$AT$82,,$AI748),INDEX($AU$77:$BA$82,,$AH748), N($AQ$77:$AQ$82&gt;$AO748)) / BM748 / 1000</f>
        <v>0</v>
      </c>
      <c r="BO748" s="232">
        <f t="shared" si="719"/>
        <v>30</v>
      </c>
      <c r="BP748" s="230">
        <f t="shared" si="695"/>
        <v>43</v>
      </c>
      <c r="BQ748" s="235">
        <f t="shared" si="696"/>
        <v>3.2938815789473681</v>
      </c>
      <c r="BR748" s="235" cm="1">
        <f t="array" ref="BR748">$BI748 * IF($AH748&lt;=2,
SUMPRODUCT(INDEX($AR$72:$AT$76,,$AI748), INDEX($AU$72:$BA$76,,$AH748), 1 / ($BB$72:$BB$76*BQ748 + (1-$BB$72:$BB$76)*BM748), N($AQ$72:$AQ$76&gt;$AO748)),
SUMPRODUCT(INDEX($AR$67:$AT$76,,$AI748), INDEX($AU$67:$BA$76,,$AH748), 1 / ($BC$67:$BC$76*BQ748 + (1-$BC$67:$BC$76)*BM748), N($AQ$67:$AQ$76&gt;$AO748))
) / 1000</f>
        <v>0</v>
      </c>
      <c r="BS748" s="232">
        <f t="shared" si="720"/>
        <v>25</v>
      </c>
      <c r="BT748" s="230">
        <f t="shared" si="697"/>
        <v>38</v>
      </c>
      <c r="BU748" s="235">
        <f t="shared" si="698"/>
        <v>3.792954545454545</v>
      </c>
      <c r="BV748" s="235" cm="1">
        <f t="array" ref="BV748">$BI748 * IF($AH748&lt;=2,
SUMPRODUCT(INDEX($AR$67:$AT$71,,$AI748), INDEX($AU$67:$BA$71,,$AH748), 1 / ($BB$67:$BB$71*BU748 + (1-$BB$67:$BB$71)*BQ748), N($AQ$67:$AQ$71&gt;$AO748)),
SUMPRODUCT(INDEX($AR$57:$AT$66,,$AI748), INDEX($AU$57:$BA$66,,$AH748), 1 / ($BC$57:$BC$66*BU748 + (1-$BC$57:$BC$66)*BQ748), N($AQ$57:$AQ$66&gt;$AO748))
) / 1000</f>
        <v>0</v>
      </c>
      <c r="BW748" s="232">
        <f t="shared" si="721"/>
        <v>20</v>
      </c>
      <c r="BX748" s="230">
        <f t="shared" si="699"/>
        <v>33</v>
      </c>
      <c r="BY748" s="235">
        <f t="shared" si="700"/>
        <v>4.4702678571428569</v>
      </c>
      <c r="BZ748" s="235" cm="1">
        <f t="array" ref="BZ748">$BI748 * IF($AH748&lt;=2,
SUMPRODUCT(INDEX($AR$62:$AT$66,,$AI748), INDEX($AU$62:$BA$66,,$AH748), 1 / ($BB$62:$BB$66*BY748 + (1-$BB$62:$BB$66)*BU748), N($AQ$62:$AQ$66&gt;$AO748)),
SUMPRODUCT(INDEX($AR$47:$AT$56,,$AI748), INDEX($AU$47:$BA$56,,$AH748), 1 / ($BC$47:$BC$56*BY748 + (1-$BC$47:$BC$56)*BU748), N($AQ$47:$AQ$56&gt;$AO748))
) / 1000</f>
        <v>0</v>
      </c>
      <c r="CA748" s="235" cm="1">
        <f t="array" ref="CA748">$BI748 * IF($AH748&lt;=2,
SUMPRODUCT(INDEX($AR$23:$AT$61,,$AI748), INDEX($AU$23:$BA$61,,$AH748), 1 / ($BB$23:$BB$61*BY748), N($AQ$23:$AQ$61&gt;$AO748)),
SUMPRODUCT(INDEX($AR$23:$AT$46,,$AI748), INDEX($AU$23:$BA$46,,$AH748), 1 / ($BC$23:$BC$46*BY748), N($AQ$23:$AQ$46&gt;$AO748))
) / 1000</f>
        <v>0</v>
      </c>
      <c r="CB748" s="230">
        <f t="shared" si="701"/>
        <v>0</v>
      </c>
      <c r="CC748" s="238"/>
      <c r="CD748" s="229" cm="1">
        <f t="array" ref="CD748">IF(ISBLANK(Y748), INDEX(Use, $AH748, 4) - AN748*INDEX(Use, $AH748, 6) - (Q748-X748), Y748)</f>
        <v>7</v>
      </c>
      <c r="CE748" s="229">
        <f t="shared" si="702"/>
        <v>32</v>
      </c>
      <c r="CF748" s="230">
        <f t="shared" si="703"/>
        <v>0</v>
      </c>
      <c r="CG748" s="229">
        <v>35</v>
      </c>
      <c r="CH748" s="230">
        <f t="shared" si="704"/>
        <v>48</v>
      </c>
      <c r="CI748" s="235">
        <f t="shared" si="705"/>
        <v>3.0748170731707316</v>
      </c>
      <c r="CJ748" s="235" cm="1">
        <f t="array" ref="CJ748">$BI748 * SUMPRODUCT(INDEX($AR$77:$AT$82,,$AI748),INDEX($AU$77:$BA$82,,$AH748), N($AQ$77:$AQ$82&gt;$AO748)) / CI748 / 1000</f>
        <v>0</v>
      </c>
      <c r="CK748" s="232">
        <f t="shared" si="722"/>
        <v>30</v>
      </c>
      <c r="CL748" s="230">
        <f t="shared" si="706"/>
        <v>43</v>
      </c>
      <c r="CM748" s="235">
        <f t="shared" si="707"/>
        <v>3.5018750000000001</v>
      </c>
      <c r="CN748" s="235" cm="1">
        <f t="array" ref="CN748">$BI748 * IF($AH748&lt;=2,
SUMPRODUCT(INDEX($AR$72:$AT$76,,$AI748), INDEX($AU$72:$BA$76,,$AH748), 1 / ($BB$72:$BB$76*CM748 + (1-$BB$72:$BB$76)*CI748), N($AQ$72:$AQ$76&gt;$AO748)),
SUMPRODUCT(INDEX($AR$67:$AT$76,,$AI748), INDEX($AU$67:$BA$76,,$AH748), 1 / ($BC$67:$BC$76*CM748 + (1-$BC$67:$BC$76)*CI748), N($AQ$67:$AQ$76&gt;$AO748))
) / 1000</f>
        <v>0</v>
      </c>
      <c r="CO748" s="232">
        <f t="shared" si="723"/>
        <v>25</v>
      </c>
      <c r="CP748" s="230">
        <f t="shared" si="708"/>
        <v>38</v>
      </c>
      <c r="CQ748" s="235">
        <f t="shared" si="709"/>
        <v>4.0666935483870965</v>
      </c>
      <c r="CR748" s="235" cm="1">
        <f t="array" ref="CR748">$BI748 * IF($AH748&lt;=2,
SUMPRODUCT(INDEX($AR$67:$AT$71,,$AI748), INDEX($AU$67:$BA$71,,$AH748), 1 / ($BB$67:$BB$71*CQ748 + (1-$BB$67:$BB$71)*CM748), N($AQ$67:$AQ$71&gt;$AO748)),
SUMPRODUCT(INDEX($AR$57:$AT$66,,$AI748), INDEX($AU$57:$BA$66,,$AH748), 1 / ($BC$57:$BC$66*CQ748 + (1-$BC$57:$BC$66)*CM748), N($AQ$57:$AQ$66&gt;$AO748))
) / 1000</f>
        <v>0</v>
      </c>
      <c r="CS748" s="232">
        <f t="shared" si="724"/>
        <v>20</v>
      </c>
      <c r="CT748" s="230">
        <f t="shared" si="710"/>
        <v>33</v>
      </c>
      <c r="CU748" s="235">
        <f t="shared" si="711"/>
        <v>4.8487499999999999</v>
      </c>
      <c r="CV748" s="235" cm="1">
        <f t="array" ref="CV748">$BI748 * IF($AH748&lt;=2,
SUMPRODUCT(INDEX($AR$62:$AT$66,,$AI748), INDEX($AU$62:$BA$66,,$AH748), 1 / ($BB$62:$BB$66*CU748 + (1-$BB$62:$BB$66)*CQ748), N($AQ$62:$AQ$66&gt;$AO748)),
SUMPRODUCT(INDEX($AR$47:$AT$56,,$AI748), INDEX($AU$47:$BA$56,,$AH748), 1 / ($BC$47:$BC$56*CU748 + (1-$BC$47:$BC$56)*CQ748), N($AQ$47:$AQ$56&gt;$AO748))
) / 1000</f>
        <v>0</v>
      </c>
      <c r="CW748" s="235" cm="1">
        <f t="array" ref="CW748">$BI748 * IF($AH748&lt;=2,
SUMPRODUCT(INDEX($AR$23:$AT$61,,$AI748), INDEX($AU$23:$BA$61,,$AH748), 1 / ($BB$23:$BB$61*CU748), N($AQ$23:$AQ$61&gt;$AO748)),
SUMPRODUCT(INDEX($AR$23:$AT$46,,$AI748), INDEX($AU$23:$BA$46,,$AH748), 1 / ($BC$23:$BC$46*CU748), N($AQ$23:$AQ$46&gt;$AO748))
) / 1000</f>
        <v>0</v>
      </c>
      <c r="CX748" s="230">
        <f t="shared" si="712"/>
        <v>0</v>
      </c>
      <c r="CY748" s="238"/>
    </row>
    <row r="749" spans="1:103" s="76" customFormat="1" ht="14.25" customHeight="1" x14ac:dyDescent="0.2">
      <c r="A749" s="231" t="b">
        <f t="shared" si="716"/>
        <v>0</v>
      </c>
      <c r="B749" s="245">
        <v>727</v>
      </c>
      <c r="C749" s="258"/>
      <c r="D749" s="258"/>
      <c r="E749" s="246"/>
      <c r="F749" s="247" t="str">
        <f>IF(ISBLANK(E749), "", VLOOKUP(E749, Z!$A$2:$C$4127, 3, FALSE))</f>
        <v/>
      </c>
      <c r="G749" s="248"/>
      <c r="H749" s="248"/>
      <c r="I749" s="249"/>
      <c r="J749" s="250"/>
      <c r="K749" s="259"/>
      <c r="L749" s="260"/>
      <c r="M749" s="252" t="str" cm="1">
        <f t="array" ref="M749">INDEX(Trad, 53, $A$20)</f>
        <v>Verschmutzt</v>
      </c>
      <c r="N749" s="253"/>
      <c r="O749" s="253"/>
      <c r="P749" s="254"/>
      <c r="Q749" s="251"/>
      <c r="R749" s="251"/>
      <c r="S749" s="264">
        <f t="shared" si="687"/>
        <v>0</v>
      </c>
      <c r="T749" s="252" t="str" cm="1">
        <f t="array" ref="T749">INDEX(Trad, 52, $A$20)</f>
        <v>Sauber</v>
      </c>
      <c r="U749" s="253"/>
      <c r="V749" s="253"/>
      <c r="W749" s="254"/>
      <c r="X749" s="251"/>
      <c r="Y749" s="251"/>
      <c r="Z749" s="264">
        <f t="shared" si="688"/>
        <v>0</v>
      </c>
      <c r="AA749" s="261"/>
      <c r="AB749" s="258"/>
      <c r="AC749" s="246"/>
      <c r="AD749" s="247" t="str">
        <f>IF(ISBLANK(AC749), "", VLOOKUP(AC749, Z!$A$2:$C$4127, 3, FALSE))</f>
        <v/>
      </c>
      <c r="AE749" s="262"/>
      <c r="AF749" s="263">
        <f t="shared" si="689"/>
        <v>0</v>
      </c>
      <c r="AG749" s="238"/>
      <c r="AH749" s="229">
        <f t="shared" si="713"/>
        <v>1</v>
      </c>
      <c r="AI749" s="229">
        <f t="shared" si="714"/>
        <v>1</v>
      </c>
      <c r="AJ749" s="229">
        <f t="shared" si="715"/>
        <v>0</v>
      </c>
      <c r="AK749" s="229">
        <v>0</v>
      </c>
      <c r="AL749" s="229">
        <v>0</v>
      </c>
      <c r="AM749" s="229">
        <v>1</v>
      </c>
      <c r="AN749" s="229">
        <v>0</v>
      </c>
      <c r="AO749" s="229">
        <f t="shared" si="690"/>
        <v>-100</v>
      </c>
      <c r="AP749" s="238"/>
      <c r="AQ749" s="255"/>
      <c r="AR749" s="255"/>
      <c r="AS749" s="256"/>
      <c r="AT749" s="256"/>
      <c r="AU749" s="256"/>
      <c r="AV749" s="256"/>
      <c r="AW749" s="256"/>
      <c r="AX749" s="256"/>
      <c r="AY749" s="256"/>
      <c r="AZ749" s="256"/>
      <c r="BA749" s="256"/>
      <c r="BB749" s="256"/>
      <c r="BC749" s="256"/>
      <c r="BD749" s="238"/>
      <c r="BE749" s="229" cm="1">
        <f t="array" ref="BE749">IF(ISBLANK(R749), INDEX(Use, $AH749, 4) - AM749*INDEX(Use, $AH749, 6), R749)</f>
        <v>5</v>
      </c>
      <c r="BF749" s="229">
        <f t="shared" si="691"/>
        <v>30</v>
      </c>
      <c r="BG749" s="229">
        <f t="shared" si="717"/>
        <v>13</v>
      </c>
      <c r="BH749" s="229">
        <f t="shared" si="718"/>
        <v>0</v>
      </c>
      <c r="BI749" s="234" cm="1">
        <f t="array" ref="BI749">K749/IF($L749&gt;0, INDEX($AU$23:$BA$77, $L749+20, $AH749), 1)</f>
        <v>0</v>
      </c>
      <c r="BJ749" s="230">
        <f t="shared" si="692"/>
        <v>0</v>
      </c>
      <c r="BK749" s="229">
        <v>35</v>
      </c>
      <c r="BL749" s="230">
        <f t="shared" si="693"/>
        <v>48</v>
      </c>
      <c r="BM749" s="235">
        <f t="shared" si="694"/>
        <v>2.9108720930232557</v>
      </c>
      <c r="BN749" s="235" cm="1">
        <f t="array" ref="BN749">$BI749 * SUMPRODUCT(INDEX($AR$77:$AT$82,,$AI749),INDEX($AU$77:$BA$82,,$AH749), N($AQ$77:$AQ$82&gt;$AO749)) / BM749 / 1000</f>
        <v>0</v>
      </c>
      <c r="BO749" s="232">
        <f t="shared" si="719"/>
        <v>30</v>
      </c>
      <c r="BP749" s="230">
        <f t="shared" si="695"/>
        <v>43</v>
      </c>
      <c r="BQ749" s="235">
        <f t="shared" si="696"/>
        <v>3.2938815789473681</v>
      </c>
      <c r="BR749" s="235" cm="1">
        <f t="array" ref="BR749">$BI749 * IF($AH749&lt;=2,
SUMPRODUCT(INDEX($AR$72:$AT$76,,$AI749), INDEX($AU$72:$BA$76,,$AH749), 1 / ($BB$72:$BB$76*BQ749 + (1-$BB$72:$BB$76)*BM749), N($AQ$72:$AQ$76&gt;$AO749)),
SUMPRODUCT(INDEX($AR$67:$AT$76,,$AI749), INDEX($AU$67:$BA$76,,$AH749), 1 / ($BC$67:$BC$76*BQ749 + (1-$BC$67:$BC$76)*BM749), N($AQ$67:$AQ$76&gt;$AO749))
) / 1000</f>
        <v>0</v>
      </c>
      <c r="BS749" s="232">
        <f t="shared" si="720"/>
        <v>25</v>
      </c>
      <c r="BT749" s="230">
        <f t="shared" si="697"/>
        <v>38</v>
      </c>
      <c r="BU749" s="235">
        <f t="shared" si="698"/>
        <v>3.792954545454545</v>
      </c>
      <c r="BV749" s="235" cm="1">
        <f t="array" ref="BV749">$BI749 * IF($AH749&lt;=2,
SUMPRODUCT(INDEX($AR$67:$AT$71,,$AI749), INDEX($AU$67:$BA$71,,$AH749), 1 / ($BB$67:$BB$71*BU749 + (1-$BB$67:$BB$71)*BQ749), N($AQ$67:$AQ$71&gt;$AO749)),
SUMPRODUCT(INDEX($AR$57:$AT$66,,$AI749), INDEX($AU$57:$BA$66,,$AH749), 1 / ($BC$57:$BC$66*BU749 + (1-$BC$57:$BC$66)*BQ749), N($AQ$57:$AQ$66&gt;$AO749))
) / 1000</f>
        <v>0</v>
      </c>
      <c r="BW749" s="232">
        <f t="shared" si="721"/>
        <v>20</v>
      </c>
      <c r="BX749" s="230">
        <f t="shared" si="699"/>
        <v>33</v>
      </c>
      <c r="BY749" s="235">
        <f t="shared" si="700"/>
        <v>4.4702678571428569</v>
      </c>
      <c r="BZ749" s="235" cm="1">
        <f t="array" ref="BZ749">$BI749 * IF($AH749&lt;=2,
SUMPRODUCT(INDEX($AR$62:$AT$66,,$AI749), INDEX($AU$62:$BA$66,,$AH749), 1 / ($BB$62:$BB$66*BY749 + (1-$BB$62:$BB$66)*BU749), N($AQ$62:$AQ$66&gt;$AO749)),
SUMPRODUCT(INDEX($AR$47:$AT$56,,$AI749), INDEX($AU$47:$BA$56,,$AH749), 1 / ($BC$47:$BC$56*BY749 + (1-$BC$47:$BC$56)*BU749), N($AQ$47:$AQ$56&gt;$AO749))
) / 1000</f>
        <v>0</v>
      </c>
      <c r="CA749" s="235" cm="1">
        <f t="array" ref="CA749">$BI749 * IF($AH749&lt;=2,
SUMPRODUCT(INDEX($AR$23:$AT$61,,$AI749), INDEX($AU$23:$BA$61,,$AH749), 1 / ($BB$23:$BB$61*BY749), N($AQ$23:$AQ$61&gt;$AO749)),
SUMPRODUCT(INDEX($AR$23:$AT$46,,$AI749), INDEX($AU$23:$BA$46,,$AH749), 1 / ($BC$23:$BC$46*BY749), N($AQ$23:$AQ$46&gt;$AO749))
) / 1000</f>
        <v>0</v>
      </c>
      <c r="CB749" s="230">
        <f t="shared" si="701"/>
        <v>0</v>
      </c>
      <c r="CC749" s="238"/>
      <c r="CD749" s="229" cm="1">
        <f t="array" ref="CD749">IF(ISBLANK(Y749), INDEX(Use, $AH749, 4) - AN749*INDEX(Use, $AH749, 6) - (Q749-X749), Y749)</f>
        <v>7</v>
      </c>
      <c r="CE749" s="229">
        <f t="shared" si="702"/>
        <v>32</v>
      </c>
      <c r="CF749" s="230">
        <f t="shared" si="703"/>
        <v>0</v>
      </c>
      <c r="CG749" s="229">
        <v>35</v>
      </c>
      <c r="CH749" s="230">
        <f t="shared" si="704"/>
        <v>48</v>
      </c>
      <c r="CI749" s="235">
        <f t="shared" si="705"/>
        <v>3.0748170731707316</v>
      </c>
      <c r="CJ749" s="235" cm="1">
        <f t="array" ref="CJ749">$BI749 * SUMPRODUCT(INDEX($AR$77:$AT$82,,$AI749),INDEX($AU$77:$BA$82,,$AH749), N($AQ$77:$AQ$82&gt;$AO749)) / CI749 / 1000</f>
        <v>0</v>
      </c>
      <c r="CK749" s="232">
        <f t="shared" si="722"/>
        <v>30</v>
      </c>
      <c r="CL749" s="230">
        <f t="shared" si="706"/>
        <v>43</v>
      </c>
      <c r="CM749" s="235">
        <f t="shared" si="707"/>
        <v>3.5018750000000001</v>
      </c>
      <c r="CN749" s="235" cm="1">
        <f t="array" ref="CN749">$BI749 * IF($AH749&lt;=2,
SUMPRODUCT(INDEX($AR$72:$AT$76,,$AI749), INDEX($AU$72:$BA$76,,$AH749), 1 / ($BB$72:$BB$76*CM749 + (1-$BB$72:$BB$76)*CI749), N($AQ$72:$AQ$76&gt;$AO749)),
SUMPRODUCT(INDEX($AR$67:$AT$76,,$AI749), INDEX($AU$67:$BA$76,,$AH749), 1 / ($BC$67:$BC$76*CM749 + (1-$BC$67:$BC$76)*CI749), N($AQ$67:$AQ$76&gt;$AO749))
) / 1000</f>
        <v>0</v>
      </c>
      <c r="CO749" s="232">
        <f t="shared" si="723"/>
        <v>25</v>
      </c>
      <c r="CP749" s="230">
        <f t="shared" si="708"/>
        <v>38</v>
      </c>
      <c r="CQ749" s="235">
        <f t="shared" si="709"/>
        <v>4.0666935483870965</v>
      </c>
      <c r="CR749" s="235" cm="1">
        <f t="array" ref="CR749">$BI749 * IF($AH749&lt;=2,
SUMPRODUCT(INDEX($AR$67:$AT$71,,$AI749), INDEX($AU$67:$BA$71,,$AH749), 1 / ($BB$67:$BB$71*CQ749 + (1-$BB$67:$BB$71)*CM749), N($AQ$67:$AQ$71&gt;$AO749)),
SUMPRODUCT(INDEX($AR$57:$AT$66,,$AI749), INDEX($AU$57:$BA$66,,$AH749), 1 / ($BC$57:$BC$66*CQ749 + (1-$BC$57:$BC$66)*CM749), N($AQ$57:$AQ$66&gt;$AO749))
) / 1000</f>
        <v>0</v>
      </c>
      <c r="CS749" s="232">
        <f t="shared" si="724"/>
        <v>20</v>
      </c>
      <c r="CT749" s="230">
        <f t="shared" si="710"/>
        <v>33</v>
      </c>
      <c r="CU749" s="235">
        <f t="shared" si="711"/>
        <v>4.8487499999999999</v>
      </c>
      <c r="CV749" s="235" cm="1">
        <f t="array" ref="CV749">$BI749 * IF($AH749&lt;=2,
SUMPRODUCT(INDEX($AR$62:$AT$66,,$AI749), INDEX($AU$62:$BA$66,,$AH749), 1 / ($BB$62:$BB$66*CU749 + (1-$BB$62:$BB$66)*CQ749), N($AQ$62:$AQ$66&gt;$AO749)),
SUMPRODUCT(INDEX($AR$47:$AT$56,,$AI749), INDEX($AU$47:$BA$56,,$AH749), 1 / ($BC$47:$BC$56*CU749 + (1-$BC$47:$BC$56)*CQ749), N($AQ$47:$AQ$56&gt;$AO749))
) / 1000</f>
        <v>0</v>
      </c>
      <c r="CW749" s="235" cm="1">
        <f t="array" ref="CW749">$BI749 * IF($AH749&lt;=2,
SUMPRODUCT(INDEX($AR$23:$AT$61,,$AI749), INDEX($AU$23:$BA$61,,$AH749), 1 / ($BB$23:$BB$61*CU749), N($AQ$23:$AQ$61&gt;$AO749)),
SUMPRODUCT(INDEX($AR$23:$AT$46,,$AI749), INDEX($AU$23:$BA$46,,$AH749), 1 / ($BC$23:$BC$46*CU749), N($AQ$23:$AQ$46&gt;$AO749))
) / 1000</f>
        <v>0</v>
      </c>
      <c r="CX749" s="230">
        <f t="shared" si="712"/>
        <v>0</v>
      </c>
      <c r="CY749" s="238"/>
    </row>
    <row r="750" spans="1:103" s="76" customFormat="1" ht="14.25" customHeight="1" x14ac:dyDescent="0.2">
      <c r="A750" s="231" t="b">
        <f t="shared" si="716"/>
        <v>0</v>
      </c>
      <c r="B750" s="245">
        <v>728</v>
      </c>
      <c r="C750" s="258"/>
      <c r="D750" s="258"/>
      <c r="E750" s="246"/>
      <c r="F750" s="247" t="str">
        <f>IF(ISBLANK(E750), "", VLOOKUP(E750, Z!$A$2:$C$4127, 3, FALSE))</f>
        <v/>
      </c>
      <c r="G750" s="248"/>
      <c r="H750" s="248"/>
      <c r="I750" s="249"/>
      <c r="J750" s="250"/>
      <c r="K750" s="259"/>
      <c r="L750" s="260"/>
      <c r="M750" s="252" t="str" cm="1">
        <f t="array" ref="M750">INDEX(Trad, 53, $A$20)</f>
        <v>Verschmutzt</v>
      </c>
      <c r="N750" s="253"/>
      <c r="O750" s="253"/>
      <c r="P750" s="254"/>
      <c r="Q750" s="251"/>
      <c r="R750" s="251"/>
      <c r="S750" s="264">
        <f t="shared" si="687"/>
        <v>0</v>
      </c>
      <c r="T750" s="252" t="str" cm="1">
        <f t="array" ref="T750">INDEX(Trad, 52, $A$20)</f>
        <v>Sauber</v>
      </c>
      <c r="U750" s="253"/>
      <c r="V750" s="253"/>
      <c r="W750" s="254"/>
      <c r="X750" s="251"/>
      <c r="Y750" s="251"/>
      <c r="Z750" s="264">
        <f t="shared" si="688"/>
        <v>0</v>
      </c>
      <c r="AA750" s="261"/>
      <c r="AB750" s="258"/>
      <c r="AC750" s="246"/>
      <c r="AD750" s="247" t="str">
        <f>IF(ISBLANK(AC750), "", VLOOKUP(AC750, Z!$A$2:$C$4127, 3, FALSE))</f>
        <v/>
      </c>
      <c r="AE750" s="262"/>
      <c r="AF750" s="263">
        <f t="shared" si="689"/>
        <v>0</v>
      </c>
      <c r="AG750" s="238"/>
      <c r="AH750" s="229">
        <f t="shared" si="713"/>
        <v>1</v>
      </c>
      <c r="AI750" s="229">
        <f t="shared" si="714"/>
        <v>1</v>
      </c>
      <c r="AJ750" s="229">
        <f t="shared" si="715"/>
        <v>0</v>
      </c>
      <c r="AK750" s="229">
        <v>0</v>
      </c>
      <c r="AL750" s="229">
        <v>0</v>
      </c>
      <c r="AM750" s="229">
        <v>1</v>
      </c>
      <c r="AN750" s="229">
        <v>0</v>
      </c>
      <c r="AO750" s="229">
        <f t="shared" si="690"/>
        <v>-100</v>
      </c>
      <c r="AP750" s="238"/>
      <c r="AQ750" s="255"/>
      <c r="AR750" s="255"/>
      <c r="AS750" s="256"/>
      <c r="AT750" s="256"/>
      <c r="AU750" s="256"/>
      <c r="AV750" s="256"/>
      <c r="AW750" s="256"/>
      <c r="AX750" s="256"/>
      <c r="AY750" s="256"/>
      <c r="AZ750" s="256"/>
      <c r="BA750" s="256"/>
      <c r="BB750" s="256"/>
      <c r="BC750" s="256"/>
      <c r="BD750" s="238"/>
      <c r="BE750" s="229" cm="1">
        <f t="array" ref="BE750">IF(ISBLANK(R750), INDEX(Use, $AH750, 4) - AM750*INDEX(Use, $AH750, 6), R750)</f>
        <v>5</v>
      </c>
      <c r="BF750" s="229">
        <f t="shared" si="691"/>
        <v>30</v>
      </c>
      <c r="BG750" s="229">
        <f t="shared" si="717"/>
        <v>13</v>
      </c>
      <c r="BH750" s="229">
        <f t="shared" si="718"/>
        <v>0</v>
      </c>
      <c r="BI750" s="234" cm="1">
        <f t="array" ref="BI750">K750/IF($L750&gt;0, INDEX($AU$23:$BA$77, $L750+20, $AH750), 1)</f>
        <v>0</v>
      </c>
      <c r="BJ750" s="230">
        <f t="shared" si="692"/>
        <v>0</v>
      </c>
      <c r="BK750" s="229">
        <v>35</v>
      </c>
      <c r="BL750" s="230">
        <f t="shared" si="693"/>
        <v>48</v>
      </c>
      <c r="BM750" s="235">
        <f t="shared" si="694"/>
        <v>2.9108720930232557</v>
      </c>
      <c r="BN750" s="235" cm="1">
        <f t="array" ref="BN750">$BI750 * SUMPRODUCT(INDEX($AR$77:$AT$82,,$AI750),INDEX($AU$77:$BA$82,,$AH750), N($AQ$77:$AQ$82&gt;$AO750)) / BM750 / 1000</f>
        <v>0</v>
      </c>
      <c r="BO750" s="232">
        <f t="shared" si="719"/>
        <v>30</v>
      </c>
      <c r="BP750" s="230">
        <f t="shared" si="695"/>
        <v>43</v>
      </c>
      <c r="BQ750" s="235">
        <f t="shared" si="696"/>
        <v>3.2938815789473681</v>
      </c>
      <c r="BR750" s="235" cm="1">
        <f t="array" ref="BR750">$BI750 * IF($AH750&lt;=2,
SUMPRODUCT(INDEX($AR$72:$AT$76,,$AI750), INDEX($AU$72:$BA$76,,$AH750), 1 / ($BB$72:$BB$76*BQ750 + (1-$BB$72:$BB$76)*BM750), N($AQ$72:$AQ$76&gt;$AO750)),
SUMPRODUCT(INDEX($AR$67:$AT$76,,$AI750), INDEX($AU$67:$BA$76,,$AH750), 1 / ($BC$67:$BC$76*BQ750 + (1-$BC$67:$BC$76)*BM750), N($AQ$67:$AQ$76&gt;$AO750))
) / 1000</f>
        <v>0</v>
      </c>
      <c r="BS750" s="232">
        <f t="shared" si="720"/>
        <v>25</v>
      </c>
      <c r="BT750" s="230">
        <f t="shared" si="697"/>
        <v>38</v>
      </c>
      <c r="BU750" s="235">
        <f t="shared" si="698"/>
        <v>3.792954545454545</v>
      </c>
      <c r="BV750" s="235" cm="1">
        <f t="array" ref="BV750">$BI750 * IF($AH750&lt;=2,
SUMPRODUCT(INDEX($AR$67:$AT$71,,$AI750), INDEX($AU$67:$BA$71,,$AH750), 1 / ($BB$67:$BB$71*BU750 + (1-$BB$67:$BB$71)*BQ750), N($AQ$67:$AQ$71&gt;$AO750)),
SUMPRODUCT(INDEX($AR$57:$AT$66,,$AI750), INDEX($AU$57:$BA$66,,$AH750), 1 / ($BC$57:$BC$66*BU750 + (1-$BC$57:$BC$66)*BQ750), N($AQ$57:$AQ$66&gt;$AO750))
) / 1000</f>
        <v>0</v>
      </c>
      <c r="BW750" s="232">
        <f t="shared" si="721"/>
        <v>20</v>
      </c>
      <c r="BX750" s="230">
        <f t="shared" si="699"/>
        <v>33</v>
      </c>
      <c r="BY750" s="235">
        <f t="shared" si="700"/>
        <v>4.4702678571428569</v>
      </c>
      <c r="BZ750" s="235" cm="1">
        <f t="array" ref="BZ750">$BI750 * IF($AH750&lt;=2,
SUMPRODUCT(INDEX($AR$62:$AT$66,,$AI750), INDEX($AU$62:$BA$66,,$AH750), 1 / ($BB$62:$BB$66*BY750 + (1-$BB$62:$BB$66)*BU750), N($AQ$62:$AQ$66&gt;$AO750)),
SUMPRODUCT(INDEX($AR$47:$AT$56,,$AI750), INDEX($AU$47:$BA$56,,$AH750), 1 / ($BC$47:$BC$56*BY750 + (1-$BC$47:$BC$56)*BU750), N($AQ$47:$AQ$56&gt;$AO750))
) / 1000</f>
        <v>0</v>
      </c>
      <c r="CA750" s="235" cm="1">
        <f t="array" ref="CA750">$BI750 * IF($AH750&lt;=2,
SUMPRODUCT(INDEX($AR$23:$AT$61,,$AI750), INDEX($AU$23:$BA$61,,$AH750), 1 / ($BB$23:$BB$61*BY750), N($AQ$23:$AQ$61&gt;$AO750)),
SUMPRODUCT(INDEX($AR$23:$AT$46,,$AI750), INDEX($AU$23:$BA$46,,$AH750), 1 / ($BC$23:$BC$46*BY750), N($AQ$23:$AQ$46&gt;$AO750))
) / 1000</f>
        <v>0</v>
      </c>
      <c r="CB750" s="230">
        <f t="shared" si="701"/>
        <v>0</v>
      </c>
      <c r="CC750" s="238"/>
      <c r="CD750" s="229" cm="1">
        <f t="array" ref="CD750">IF(ISBLANK(Y750), INDEX(Use, $AH750, 4) - AN750*INDEX(Use, $AH750, 6) - (Q750-X750), Y750)</f>
        <v>7</v>
      </c>
      <c r="CE750" s="229">
        <f t="shared" si="702"/>
        <v>32</v>
      </c>
      <c r="CF750" s="230">
        <f t="shared" si="703"/>
        <v>0</v>
      </c>
      <c r="CG750" s="229">
        <v>35</v>
      </c>
      <c r="CH750" s="230">
        <f t="shared" si="704"/>
        <v>48</v>
      </c>
      <c r="CI750" s="235">
        <f t="shared" si="705"/>
        <v>3.0748170731707316</v>
      </c>
      <c r="CJ750" s="235" cm="1">
        <f t="array" ref="CJ750">$BI750 * SUMPRODUCT(INDEX($AR$77:$AT$82,,$AI750),INDEX($AU$77:$BA$82,,$AH750), N($AQ$77:$AQ$82&gt;$AO750)) / CI750 / 1000</f>
        <v>0</v>
      </c>
      <c r="CK750" s="232">
        <f t="shared" si="722"/>
        <v>30</v>
      </c>
      <c r="CL750" s="230">
        <f t="shared" si="706"/>
        <v>43</v>
      </c>
      <c r="CM750" s="235">
        <f t="shared" si="707"/>
        <v>3.5018750000000001</v>
      </c>
      <c r="CN750" s="235" cm="1">
        <f t="array" ref="CN750">$BI750 * IF($AH750&lt;=2,
SUMPRODUCT(INDEX($AR$72:$AT$76,,$AI750), INDEX($AU$72:$BA$76,,$AH750), 1 / ($BB$72:$BB$76*CM750 + (1-$BB$72:$BB$76)*CI750), N($AQ$72:$AQ$76&gt;$AO750)),
SUMPRODUCT(INDEX($AR$67:$AT$76,,$AI750), INDEX($AU$67:$BA$76,,$AH750), 1 / ($BC$67:$BC$76*CM750 + (1-$BC$67:$BC$76)*CI750), N($AQ$67:$AQ$76&gt;$AO750))
) / 1000</f>
        <v>0</v>
      </c>
      <c r="CO750" s="232">
        <f t="shared" si="723"/>
        <v>25</v>
      </c>
      <c r="CP750" s="230">
        <f t="shared" si="708"/>
        <v>38</v>
      </c>
      <c r="CQ750" s="235">
        <f t="shared" si="709"/>
        <v>4.0666935483870965</v>
      </c>
      <c r="CR750" s="235" cm="1">
        <f t="array" ref="CR750">$BI750 * IF($AH750&lt;=2,
SUMPRODUCT(INDEX($AR$67:$AT$71,,$AI750), INDEX($AU$67:$BA$71,,$AH750), 1 / ($BB$67:$BB$71*CQ750 + (1-$BB$67:$BB$71)*CM750), N($AQ$67:$AQ$71&gt;$AO750)),
SUMPRODUCT(INDEX($AR$57:$AT$66,,$AI750), INDEX($AU$57:$BA$66,,$AH750), 1 / ($BC$57:$BC$66*CQ750 + (1-$BC$57:$BC$66)*CM750), N($AQ$57:$AQ$66&gt;$AO750))
) / 1000</f>
        <v>0</v>
      </c>
      <c r="CS750" s="232">
        <f t="shared" si="724"/>
        <v>20</v>
      </c>
      <c r="CT750" s="230">
        <f t="shared" si="710"/>
        <v>33</v>
      </c>
      <c r="CU750" s="235">
        <f t="shared" si="711"/>
        <v>4.8487499999999999</v>
      </c>
      <c r="CV750" s="235" cm="1">
        <f t="array" ref="CV750">$BI750 * IF($AH750&lt;=2,
SUMPRODUCT(INDEX($AR$62:$AT$66,,$AI750), INDEX($AU$62:$BA$66,,$AH750), 1 / ($BB$62:$BB$66*CU750 + (1-$BB$62:$BB$66)*CQ750), N($AQ$62:$AQ$66&gt;$AO750)),
SUMPRODUCT(INDEX($AR$47:$AT$56,,$AI750), INDEX($AU$47:$BA$56,,$AH750), 1 / ($BC$47:$BC$56*CU750 + (1-$BC$47:$BC$56)*CQ750), N($AQ$47:$AQ$56&gt;$AO750))
) / 1000</f>
        <v>0</v>
      </c>
      <c r="CW750" s="235" cm="1">
        <f t="array" ref="CW750">$BI750 * IF($AH750&lt;=2,
SUMPRODUCT(INDEX($AR$23:$AT$61,,$AI750), INDEX($AU$23:$BA$61,,$AH750), 1 / ($BB$23:$BB$61*CU750), N($AQ$23:$AQ$61&gt;$AO750)),
SUMPRODUCT(INDEX($AR$23:$AT$46,,$AI750), INDEX($AU$23:$BA$46,,$AH750), 1 / ($BC$23:$BC$46*CU750), N($AQ$23:$AQ$46&gt;$AO750))
) / 1000</f>
        <v>0</v>
      </c>
      <c r="CX750" s="230">
        <f t="shared" si="712"/>
        <v>0</v>
      </c>
      <c r="CY750" s="238"/>
    </row>
    <row r="751" spans="1:103" s="76" customFormat="1" ht="14.25" customHeight="1" x14ac:dyDescent="0.2">
      <c r="A751" s="231" t="b">
        <f t="shared" si="716"/>
        <v>0</v>
      </c>
      <c r="B751" s="245">
        <v>729</v>
      </c>
      <c r="C751" s="258"/>
      <c r="D751" s="258"/>
      <c r="E751" s="246"/>
      <c r="F751" s="247" t="str">
        <f>IF(ISBLANK(E751), "", VLOOKUP(E751, Z!$A$2:$C$4127, 3, FALSE))</f>
        <v/>
      </c>
      <c r="G751" s="248"/>
      <c r="H751" s="248"/>
      <c r="I751" s="249"/>
      <c r="J751" s="250"/>
      <c r="K751" s="259"/>
      <c r="L751" s="260"/>
      <c r="M751" s="252" t="str" cm="1">
        <f t="array" ref="M751">INDEX(Trad, 53, $A$20)</f>
        <v>Verschmutzt</v>
      </c>
      <c r="N751" s="253"/>
      <c r="O751" s="253"/>
      <c r="P751" s="254"/>
      <c r="Q751" s="251"/>
      <c r="R751" s="251"/>
      <c r="S751" s="264">
        <f t="shared" si="687"/>
        <v>0</v>
      </c>
      <c r="T751" s="252" t="str" cm="1">
        <f t="array" ref="T751">INDEX(Trad, 52, $A$20)</f>
        <v>Sauber</v>
      </c>
      <c r="U751" s="253"/>
      <c r="V751" s="253"/>
      <c r="W751" s="254"/>
      <c r="X751" s="251"/>
      <c r="Y751" s="251"/>
      <c r="Z751" s="264">
        <f t="shared" si="688"/>
        <v>0</v>
      </c>
      <c r="AA751" s="261"/>
      <c r="AB751" s="258"/>
      <c r="AC751" s="246"/>
      <c r="AD751" s="247" t="str">
        <f>IF(ISBLANK(AC751), "", VLOOKUP(AC751, Z!$A$2:$C$4127, 3, FALSE))</f>
        <v/>
      </c>
      <c r="AE751" s="262"/>
      <c r="AF751" s="263">
        <f t="shared" si="689"/>
        <v>0</v>
      </c>
      <c r="AG751" s="238"/>
      <c r="AH751" s="229">
        <f t="shared" si="713"/>
        <v>1</v>
      </c>
      <c r="AI751" s="229">
        <f t="shared" si="714"/>
        <v>1</v>
      </c>
      <c r="AJ751" s="229">
        <f t="shared" si="715"/>
        <v>0</v>
      </c>
      <c r="AK751" s="229">
        <v>0</v>
      </c>
      <c r="AL751" s="229">
        <v>0</v>
      </c>
      <c r="AM751" s="229">
        <v>1</v>
      </c>
      <c r="AN751" s="229">
        <v>0</v>
      </c>
      <c r="AO751" s="229">
        <f t="shared" si="690"/>
        <v>-100</v>
      </c>
      <c r="AP751" s="238"/>
      <c r="AQ751" s="255"/>
      <c r="AR751" s="255"/>
      <c r="AS751" s="256"/>
      <c r="AT751" s="256"/>
      <c r="AU751" s="256"/>
      <c r="AV751" s="256"/>
      <c r="AW751" s="256"/>
      <c r="AX751" s="256"/>
      <c r="AY751" s="256"/>
      <c r="AZ751" s="256"/>
      <c r="BA751" s="256"/>
      <c r="BB751" s="256"/>
      <c r="BC751" s="256"/>
      <c r="BD751" s="238"/>
      <c r="BE751" s="229" cm="1">
        <f t="array" ref="BE751">IF(ISBLANK(R751), INDEX(Use, $AH751, 4) - AM751*INDEX(Use, $AH751, 6), R751)</f>
        <v>5</v>
      </c>
      <c r="BF751" s="229">
        <f t="shared" si="691"/>
        <v>30</v>
      </c>
      <c r="BG751" s="229">
        <f t="shared" si="717"/>
        <v>13</v>
      </c>
      <c r="BH751" s="229">
        <f t="shared" si="718"/>
        <v>0</v>
      </c>
      <c r="BI751" s="234" cm="1">
        <f t="array" ref="BI751">K751/IF($L751&gt;0, INDEX($AU$23:$BA$77, $L751+20, $AH751), 1)</f>
        <v>0</v>
      </c>
      <c r="BJ751" s="230">
        <f t="shared" si="692"/>
        <v>0</v>
      </c>
      <c r="BK751" s="229">
        <v>35</v>
      </c>
      <c r="BL751" s="230">
        <f t="shared" si="693"/>
        <v>48</v>
      </c>
      <c r="BM751" s="235">
        <f t="shared" si="694"/>
        <v>2.9108720930232557</v>
      </c>
      <c r="BN751" s="235" cm="1">
        <f t="array" ref="BN751">$BI751 * SUMPRODUCT(INDEX($AR$77:$AT$82,,$AI751),INDEX($AU$77:$BA$82,,$AH751), N($AQ$77:$AQ$82&gt;$AO751)) / BM751 / 1000</f>
        <v>0</v>
      </c>
      <c r="BO751" s="232">
        <f t="shared" si="719"/>
        <v>30</v>
      </c>
      <c r="BP751" s="230">
        <f t="shared" si="695"/>
        <v>43</v>
      </c>
      <c r="BQ751" s="235">
        <f t="shared" si="696"/>
        <v>3.2938815789473681</v>
      </c>
      <c r="BR751" s="235" cm="1">
        <f t="array" ref="BR751">$BI751 * IF($AH751&lt;=2,
SUMPRODUCT(INDEX($AR$72:$AT$76,,$AI751), INDEX($AU$72:$BA$76,,$AH751), 1 / ($BB$72:$BB$76*BQ751 + (1-$BB$72:$BB$76)*BM751), N($AQ$72:$AQ$76&gt;$AO751)),
SUMPRODUCT(INDEX($AR$67:$AT$76,,$AI751), INDEX($AU$67:$BA$76,,$AH751), 1 / ($BC$67:$BC$76*BQ751 + (1-$BC$67:$BC$76)*BM751), N($AQ$67:$AQ$76&gt;$AO751))
) / 1000</f>
        <v>0</v>
      </c>
      <c r="BS751" s="232">
        <f t="shared" si="720"/>
        <v>25</v>
      </c>
      <c r="BT751" s="230">
        <f t="shared" si="697"/>
        <v>38</v>
      </c>
      <c r="BU751" s="235">
        <f t="shared" si="698"/>
        <v>3.792954545454545</v>
      </c>
      <c r="BV751" s="235" cm="1">
        <f t="array" ref="BV751">$BI751 * IF($AH751&lt;=2,
SUMPRODUCT(INDEX($AR$67:$AT$71,,$AI751), INDEX($AU$67:$BA$71,,$AH751), 1 / ($BB$67:$BB$71*BU751 + (1-$BB$67:$BB$71)*BQ751), N($AQ$67:$AQ$71&gt;$AO751)),
SUMPRODUCT(INDEX($AR$57:$AT$66,,$AI751), INDEX($AU$57:$BA$66,,$AH751), 1 / ($BC$57:$BC$66*BU751 + (1-$BC$57:$BC$66)*BQ751), N($AQ$57:$AQ$66&gt;$AO751))
) / 1000</f>
        <v>0</v>
      </c>
      <c r="BW751" s="232">
        <f t="shared" si="721"/>
        <v>20</v>
      </c>
      <c r="BX751" s="230">
        <f t="shared" si="699"/>
        <v>33</v>
      </c>
      <c r="BY751" s="235">
        <f t="shared" si="700"/>
        <v>4.4702678571428569</v>
      </c>
      <c r="BZ751" s="235" cm="1">
        <f t="array" ref="BZ751">$BI751 * IF($AH751&lt;=2,
SUMPRODUCT(INDEX($AR$62:$AT$66,,$AI751), INDEX($AU$62:$BA$66,,$AH751), 1 / ($BB$62:$BB$66*BY751 + (1-$BB$62:$BB$66)*BU751), N($AQ$62:$AQ$66&gt;$AO751)),
SUMPRODUCT(INDEX($AR$47:$AT$56,,$AI751), INDEX($AU$47:$BA$56,,$AH751), 1 / ($BC$47:$BC$56*BY751 + (1-$BC$47:$BC$56)*BU751), N($AQ$47:$AQ$56&gt;$AO751))
) / 1000</f>
        <v>0</v>
      </c>
      <c r="CA751" s="235" cm="1">
        <f t="array" ref="CA751">$BI751 * IF($AH751&lt;=2,
SUMPRODUCT(INDEX($AR$23:$AT$61,,$AI751), INDEX($AU$23:$BA$61,,$AH751), 1 / ($BB$23:$BB$61*BY751), N($AQ$23:$AQ$61&gt;$AO751)),
SUMPRODUCT(INDEX($AR$23:$AT$46,,$AI751), INDEX($AU$23:$BA$46,,$AH751), 1 / ($BC$23:$BC$46*BY751), N($AQ$23:$AQ$46&gt;$AO751))
) / 1000</f>
        <v>0</v>
      </c>
      <c r="CB751" s="230">
        <f t="shared" si="701"/>
        <v>0</v>
      </c>
      <c r="CC751" s="238"/>
      <c r="CD751" s="229" cm="1">
        <f t="array" ref="CD751">IF(ISBLANK(Y751), INDEX(Use, $AH751, 4) - AN751*INDEX(Use, $AH751, 6) - (Q751-X751), Y751)</f>
        <v>7</v>
      </c>
      <c r="CE751" s="229">
        <f t="shared" si="702"/>
        <v>32</v>
      </c>
      <c r="CF751" s="230">
        <f t="shared" si="703"/>
        <v>0</v>
      </c>
      <c r="CG751" s="229">
        <v>35</v>
      </c>
      <c r="CH751" s="230">
        <f t="shared" si="704"/>
        <v>48</v>
      </c>
      <c r="CI751" s="235">
        <f t="shared" si="705"/>
        <v>3.0748170731707316</v>
      </c>
      <c r="CJ751" s="235" cm="1">
        <f t="array" ref="CJ751">$BI751 * SUMPRODUCT(INDEX($AR$77:$AT$82,,$AI751),INDEX($AU$77:$BA$82,,$AH751), N($AQ$77:$AQ$82&gt;$AO751)) / CI751 / 1000</f>
        <v>0</v>
      </c>
      <c r="CK751" s="232">
        <f t="shared" si="722"/>
        <v>30</v>
      </c>
      <c r="CL751" s="230">
        <f t="shared" si="706"/>
        <v>43</v>
      </c>
      <c r="CM751" s="235">
        <f t="shared" si="707"/>
        <v>3.5018750000000001</v>
      </c>
      <c r="CN751" s="235" cm="1">
        <f t="array" ref="CN751">$BI751 * IF($AH751&lt;=2,
SUMPRODUCT(INDEX($AR$72:$AT$76,,$AI751), INDEX($AU$72:$BA$76,,$AH751), 1 / ($BB$72:$BB$76*CM751 + (1-$BB$72:$BB$76)*CI751), N($AQ$72:$AQ$76&gt;$AO751)),
SUMPRODUCT(INDEX($AR$67:$AT$76,,$AI751), INDEX($AU$67:$BA$76,,$AH751), 1 / ($BC$67:$BC$76*CM751 + (1-$BC$67:$BC$76)*CI751), N($AQ$67:$AQ$76&gt;$AO751))
) / 1000</f>
        <v>0</v>
      </c>
      <c r="CO751" s="232">
        <f t="shared" si="723"/>
        <v>25</v>
      </c>
      <c r="CP751" s="230">
        <f t="shared" si="708"/>
        <v>38</v>
      </c>
      <c r="CQ751" s="235">
        <f t="shared" si="709"/>
        <v>4.0666935483870965</v>
      </c>
      <c r="CR751" s="235" cm="1">
        <f t="array" ref="CR751">$BI751 * IF($AH751&lt;=2,
SUMPRODUCT(INDEX($AR$67:$AT$71,,$AI751), INDEX($AU$67:$BA$71,,$AH751), 1 / ($BB$67:$BB$71*CQ751 + (1-$BB$67:$BB$71)*CM751), N($AQ$67:$AQ$71&gt;$AO751)),
SUMPRODUCT(INDEX($AR$57:$AT$66,,$AI751), INDEX($AU$57:$BA$66,,$AH751), 1 / ($BC$57:$BC$66*CQ751 + (1-$BC$57:$BC$66)*CM751), N($AQ$57:$AQ$66&gt;$AO751))
) / 1000</f>
        <v>0</v>
      </c>
      <c r="CS751" s="232">
        <f t="shared" si="724"/>
        <v>20</v>
      </c>
      <c r="CT751" s="230">
        <f t="shared" si="710"/>
        <v>33</v>
      </c>
      <c r="CU751" s="235">
        <f t="shared" si="711"/>
        <v>4.8487499999999999</v>
      </c>
      <c r="CV751" s="235" cm="1">
        <f t="array" ref="CV751">$BI751 * IF($AH751&lt;=2,
SUMPRODUCT(INDEX($AR$62:$AT$66,,$AI751), INDEX($AU$62:$BA$66,,$AH751), 1 / ($BB$62:$BB$66*CU751 + (1-$BB$62:$BB$66)*CQ751), N($AQ$62:$AQ$66&gt;$AO751)),
SUMPRODUCT(INDEX($AR$47:$AT$56,,$AI751), INDEX($AU$47:$BA$56,,$AH751), 1 / ($BC$47:$BC$56*CU751 + (1-$BC$47:$BC$56)*CQ751), N($AQ$47:$AQ$56&gt;$AO751))
) / 1000</f>
        <v>0</v>
      </c>
      <c r="CW751" s="235" cm="1">
        <f t="array" ref="CW751">$BI751 * IF($AH751&lt;=2,
SUMPRODUCT(INDEX($AR$23:$AT$61,,$AI751), INDEX($AU$23:$BA$61,,$AH751), 1 / ($BB$23:$BB$61*CU751), N($AQ$23:$AQ$61&gt;$AO751)),
SUMPRODUCT(INDEX($AR$23:$AT$46,,$AI751), INDEX($AU$23:$BA$46,,$AH751), 1 / ($BC$23:$BC$46*CU751), N($AQ$23:$AQ$46&gt;$AO751))
) / 1000</f>
        <v>0</v>
      </c>
      <c r="CX751" s="230">
        <f t="shared" si="712"/>
        <v>0</v>
      </c>
      <c r="CY751" s="238"/>
    </row>
    <row r="752" spans="1:103" s="76" customFormat="1" ht="14.25" customHeight="1" x14ac:dyDescent="0.2">
      <c r="A752" s="231" t="b">
        <f t="shared" si="716"/>
        <v>0</v>
      </c>
      <c r="B752" s="245">
        <v>730</v>
      </c>
      <c r="C752" s="258"/>
      <c r="D752" s="258"/>
      <c r="E752" s="246"/>
      <c r="F752" s="247" t="str">
        <f>IF(ISBLANK(E752), "", VLOOKUP(E752, Z!$A$2:$C$4127, 3, FALSE))</f>
        <v/>
      </c>
      <c r="G752" s="248"/>
      <c r="H752" s="248"/>
      <c r="I752" s="249"/>
      <c r="J752" s="250"/>
      <c r="K752" s="259"/>
      <c r="L752" s="260"/>
      <c r="M752" s="252" t="str" cm="1">
        <f t="array" ref="M752">INDEX(Trad, 53, $A$20)</f>
        <v>Verschmutzt</v>
      </c>
      <c r="N752" s="253"/>
      <c r="O752" s="253"/>
      <c r="P752" s="254"/>
      <c r="Q752" s="251"/>
      <c r="R752" s="251"/>
      <c r="S752" s="264">
        <f t="shared" si="687"/>
        <v>0</v>
      </c>
      <c r="T752" s="252" t="str" cm="1">
        <f t="array" ref="T752">INDEX(Trad, 52, $A$20)</f>
        <v>Sauber</v>
      </c>
      <c r="U752" s="253"/>
      <c r="V752" s="253"/>
      <c r="W752" s="254"/>
      <c r="X752" s="251"/>
      <c r="Y752" s="251"/>
      <c r="Z752" s="264">
        <f t="shared" si="688"/>
        <v>0</v>
      </c>
      <c r="AA752" s="261"/>
      <c r="AB752" s="258"/>
      <c r="AC752" s="246"/>
      <c r="AD752" s="247" t="str">
        <f>IF(ISBLANK(AC752), "", VLOOKUP(AC752, Z!$A$2:$C$4127, 3, FALSE))</f>
        <v/>
      </c>
      <c r="AE752" s="262"/>
      <c r="AF752" s="263">
        <f t="shared" si="689"/>
        <v>0</v>
      </c>
      <c r="AG752" s="238"/>
      <c r="AH752" s="229">
        <f t="shared" si="713"/>
        <v>1</v>
      </c>
      <c r="AI752" s="229">
        <f t="shared" si="714"/>
        <v>1</v>
      </c>
      <c r="AJ752" s="229">
        <f t="shared" si="715"/>
        <v>0</v>
      </c>
      <c r="AK752" s="229">
        <v>0</v>
      </c>
      <c r="AL752" s="229">
        <v>0</v>
      </c>
      <c r="AM752" s="229">
        <v>1</v>
      </c>
      <c r="AN752" s="229">
        <v>0</v>
      </c>
      <c r="AO752" s="229">
        <f t="shared" si="690"/>
        <v>-100</v>
      </c>
      <c r="AP752" s="238"/>
      <c r="AQ752" s="255"/>
      <c r="AR752" s="255"/>
      <c r="AS752" s="256"/>
      <c r="AT752" s="256"/>
      <c r="AU752" s="256"/>
      <c r="AV752" s="256"/>
      <c r="AW752" s="256"/>
      <c r="AX752" s="256"/>
      <c r="AY752" s="256"/>
      <c r="AZ752" s="256"/>
      <c r="BA752" s="256"/>
      <c r="BB752" s="256"/>
      <c r="BC752" s="256"/>
      <c r="BD752" s="238"/>
      <c r="BE752" s="229" cm="1">
        <f t="array" ref="BE752">IF(ISBLANK(R752), INDEX(Use, $AH752, 4) - AM752*INDEX(Use, $AH752, 6), R752)</f>
        <v>5</v>
      </c>
      <c r="BF752" s="229">
        <f t="shared" si="691"/>
        <v>30</v>
      </c>
      <c r="BG752" s="229">
        <f t="shared" si="717"/>
        <v>13</v>
      </c>
      <c r="BH752" s="229">
        <f t="shared" si="718"/>
        <v>0</v>
      </c>
      <c r="BI752" s="234" cm="1">
        <f t="array" ref="BI752">K752/IF($L752&gt;0, INDEX($AU$23:$BA$77, $L752+20, $AH752), 1)</f>
        <v>0</v>
      </c>
      <c r="BJ752" s="230">
        <f t="shared" si="692"/>
        <v>0</v>
      </c>
      <c r="BK752" s="229">
        <v>35</v>
      </c>
      <c r="BL752" s="230">
        <f t="shared" si="693"/>
        <v>48</v>
      </c>
      <c r="BM752" s="235">
        <f t="shared" si="694"/>
        <v>2.9108720930232557</v>
      </c>
      <c r="BN752" s="235" cm="1">
        <f t="array" ref="BN752">$BI752 * SUMPRODUCT(INDEX($AR$77:$AT$82,,$AI752),INDEX($AU$77:$BA$82,,$AH752), N($AQ$77:$AQ$82&gt;$AO752)) / BM752 / 1000</f>
        <v>0</v>
      </c>
      <c r="BO752" s="232">
        <f t="shared" si="719"/>
        <v>30</v>
      </c>
      <c r="BP752" s="230">
        <f t="shared" si="695"/>
        <v>43</v>
      </c>
      <c r="BQ752" s="235">
        <f t="shared" si="696"/>
        <v>3.2938815789473681</v>
      </c>
      <c r="BR752" s="235" cm="1">
        <f t="array" ref="BR752">$BI752 * IF($AH752&lt;=2,
SUMPRODUCT(INDEX($AR$72:$AT$76,,$AI752), INDEX($AU$72:$BA$76,,$AH752), 1 / ($BB$72:$BB$76*BQ752 + (1-$BB$72:$BB$76)*BM752), N($AQ$72:$AQ$76&gt;$AO752)),
SUMPRODUCT(INDEX($AR$67:$AT$76,,$AI752), INDEX($AU$67:$BA$76,,$AH752), 1 / ($BC$67:$BC$76*BQ752 + (1-$BC$67:$BC$76)*BM752), N($AQ$67:$AQ$76&gt;$AO752))
) / 1000</f>
        <v>0</v>
      </c>
      <c r="BS752" s="232">
        <f t="shared" si="720"/>
        <v>25</v>
      </c>
      <c r="BT752" s="230">
        <f t="shared" si="697"/>
        <v>38</v>
      </c>
      <c r="BU752" s="235">
        <f t="shared" si="698"/>
        <v>3.792954545454545</v>
      </c>
      <c r="BV752" s="235" cm="1">
        <f t="array" ref="BV752">$BI752 * IF($AH752&lt;=2,
SUMPRODUCT(INDEX($AR$67:$AT$71,,$AI752), INDEX($AU$67:$BA$71,,$AH752), 1 / ($BB$67:$BB$71*BU752 + (1-$BB$67:$BB$71)*BQ752), N($AQ$67:$AQ$71&gt;$AO752)),
SUMPRODUCT(INDEX($AR$57:$AT$66,,$AI752), INDEX($AU$57:$BA$66,,$AH752), 1 / ($BC$57:$BC$66*BU752 + (1-$BC$57:$BC$66)*BQ752), N($AQ$57:$AQ$66&gt;$AO752))
) / 1000</f>
        <v>0</v>
      </c>
      <c r="BW752" s="232">
        <f t="shared" si="721"/>
        <v>20</v>
      </c>
      <c r="BX752" s="230">
        <f t="shared" si="699"/>
        <v>33</v>
      </c>
      <c r="BY752" s="235">
        <f t="shared" si="700"/>
        <v>4.4702678571428569</v>
      </c>
      <c r="BZ752" s="235" cm="1">
        <f t="array" ref="BZ752">$BI752 * IF($AH752&lt;=2,
SUMPRODUCT(INDEX($AR$62:$AT$66,,$AI752), INDEX($AU$62:$BA$66,,$AH752), 1 / ($BB$62:$BB$66*BY752 + (1-$BB$62:$BB$66)*BU752), N($AQ$62:$AQ$66&gt;$AO752)),
SUMPRODUCT(INDEX($AR$47:$AT$56,,$AI752), INDEX($AU$47:$BA$56,,$AH752), 1 / ($BC$47:$BC$56*BY752 + (1-$BC$47:$BC$56)*BU752), N($AQ$47:$AQ$56&gt;$AO752))
) / 1000</f>
        <v>0</v>
      </c>
      <c r="CA752" s="235" cm="1">
        <f t="array" ref="CA752">$BI752 * IF($AH752&lt;=2,
SUMPRODUCT(INDEX($AR$23:$AT$61,,$AI752), INDEX($AU$23:$BA$61,,$AH752), 1 / ($BB$23:$BB$61*BY752), N($AQ$23:$AQ$61&gt;$AO752)),
SUMPRODUCT(INDEX($AR$23:$AT$46,,$AI752), INDEX($AU$23:$BA$46,,$AH752), 1 / ($BC$23:$BC$46*BY752), N($AQ$23:$AQ$46&gt;$AO752))
) / 1000</f>
        <v>0</v>
      </c>
      <c r="CB752" s="230">
        <f t="shared" si="701"/>
        <v>0</v>
      </c>
      <c r="CC752" s="238"/>
      <c r="CD752" s="229" cm="1">
        <f t="array" ref="CD752">IF(ISBLANK(Y752), INDEX(Use, $AH752, 4) - AN752*INDEX(Use, $AH752, 6) - (Q752-X752), Y752)</f>
        <v>7</v>
      </c>
      <c r="CE752" s="229">
        <f t="shared" si="702"/>
        <v>32</v>
      </c>
      <c r="CF752" s="230">
        <f t="shared" si="703"/>
        <v>0</v>
      </c>
      <c r="CG752" s="229">
        <v>35</v>
      </c>
      <c r="CH752" s="230">
        <f t="shared" si="704"/>
        <v>48</v>
      </c>
      <c r="CI752" s="235">
        <f t="shared" si="705"/>
        <v>3.0748170731707316</v>
      </c>
      <c r="CJ752" s="235" cm="1">
        <f t="array" ref="CJ752">$BI752 * SUMPRODUCT(INDEX($AR$77:$AT$82,,$AI752),INDEX($AU$77:$BA$82,,$AH752), N($AQ$77:$AQ$82&gt;$AO752)) / CI752 / 1000</f>
        <v>0</v>
      </c>
      <c r="CK752" s="232">
        <f t="shared" si="722"/>
        <v>30</v>
      </c>
      <c r="CL752" s="230">
        <f t="shared" si="706"/>
        <v>43</v>
      </c>
      <c r="CM752" s="235">
        <f t="shared" si="707"/>
        <v>3.5018750000000001</v>
      </c>
      <c r="CN752" s="235" cm="1">
        <f t="array" ref="CN752">$BI752 * IF($AH752&lt;=2,
SUMPRODUCT(INDEX($AR$72:$AT$76,,$AI752), INDEX($AU$72:$BA$76,,$AH752), 1 / ($BB$72:$BB$76*CM752 + (1-$BB$72:$BB$76)*CI752), N($AQ$72:$AQ$76&gt;$AO752)),
SUMPRODUCT(INDEX($AR$67:$AT$76,,$AI752), INDEX($AU$67:$BA$76,,$AH752), 1 / ($BC$67:$BC$76*CM752 + (1-$BC$67:$BC$76)*CI752), N($AQ$67:$AQ$76&gt;$AO752))
) / 1000</f>
        <v>0</v>
      </c>
      <c r="CO752" s="232">
        <f t="shared" si="723"/>
        <v>25</v>
      </c>
      <c r="CP752" s="230">
        <f t="shared" si="708"/>
        <v>38</v>
      </c>
      <c r="CQ752" s="235">
        <f t="shared" si="709"/>
        <v>4.0666935483870965</v>
      </c>
      <c r="CR752" s="235" cm="1">
        <f t="array" ref="CR752">$BI752 * IF($AH752&lt;=2,
SUMPRODUCT(INDEX($AR$67:$AT$71,,$AI752), INDEX($AU$67:$BA$71,,$AH752), 1 / ($BB$67:$BB$71*CQ752 + (1-$BB$67:$BB$71)*CM752), N($AQ$67:$AQ$71&gt;$AO752)),
SUMPRODUCT(INDEX($AR$57:$AT$66,,$AI752), INDEX($AU$57:$BA$66,,$AH752), 1 / ($BC$57:$BC$66*CQ752 + (1-$BC$57:$BC$66)*CM752), N($AQ$57:$AQ$66&gt;$AO752))
) / 1000</f>
        <v>0</v>
      </c>
      <c r="CS752" s="232">
        <f t="shared" si="724"/>
        <v>20</v>
      </c>
      <c r="CT752" s="230">
        <f t="shared" si="710"/>
        <v>33</v>
      </c>
      <c r="CU752" s="235">
        <f t="shared" si="711"/>
        <v>4.8487499999999999</v>
      </c>
      <c r="CV752" s="235" cm="1">
        <f t="array" ref="CV752">$BI752 * IF($AH752&lt;=2,
SUMPRODUCT(INDEX($AR$62:$AT$66,,$AI752), INDEX($AU$62:$BA$66,,$AH752), 1 / ($BB$62:$BB$66*CU752 + (1-$BB$62:$BB$66)*CQ752), N($AQ$62:$AQ$66&gt;$AO752)),
SUMPRODUCT(INDEX($AR$47:$AT$56,,$AI752), INDEX($AU$47:$BA$56,,$AH752), 1 / ($BC$47:$BC$56*CU752 + (1-$BC$47:$BC$56)*CQ752), N($AQ$47:$AQ$56&gt;$AO752))
) / 1000</f>
        <v>0</v>
      </c>
      <c r="CW752" s="235" cm="1">
        <f t="array" ref="CW752">$BI752 * IF($AH752&lt;=2,
SUMPRODUCT(INDEX($AR$23:$AT$61,,$AI752), INDEX($AU$23:$BA$61,,$AH752), 1 / ($BB$23:$BB$61*CU752), N($AQ$23:$AQ$61&gt;$AO752)),
SUMPRODUCT(INDEX($AR$23:$AT$46,,$AI752), INDEX($AU$23:$BA$46,,$AH752), 1 / ($BC$23:$BC$46*CU752), N($AQ$23:$AQ$46&gt;$AO752))
) / 1000</f>
        <v>0</v>
      </c>
      <c r="CX752" s="230">
        <f t="shared" si="712"/>
        <v>0</v>
      </c>
      <c r="CY752" s="238"/>
    </row>
    <row r="753" spans="1:103" s="76" customFormat="1" ht="14.25" customHeight="1" x14ac:dyDescent="0.2">
      <c r="A753" s="231" t="b">
        <f t="shared" si="716"/>
        <v>0</v>
      </c>
      <c r="B753" s="245">
        <v>731</v>
      </c>
      <c r="C753" s="258"/>
      <c r="D753" s="258"/>
      <c r="E753" s="246"/>
      <c r="F753" s="247" t="str">
        <f>IF(ISBLANK(E753), "", VLOOKUP(E753, Z!$A$2:$C$4127, 3, FALSE))</f>
        <v/>
      </c>
      <c r="G753" s="248"/>
      <c r="H753" s="248"/>
      <c r="I753" s="249"/>
      <c r="J753" s="250"/>
      <c r="K753" s="259"/>
      <c r="L753" s="260"/>
      <c r="M753" s="252" t="str" cm="1">
        <f t="array" ref="M753">INDEX(Trad, 53, $A$20)</f>
        <v>Verschmutzt</v>
      </c>
      <c r="N753" s="253"/>
      <c r="O753" s="253"/>
      <c r="P753" s="254"/>
      <c r="Q753" s="251"/>
      <c r="R753" s="251"/>
      <c r="S753" s="264">
        <f t="shared" si="687"/>
        <v>0</v>
      </c>
      <c r="T753" s="252" t="str" cm="1">
        <f t="array" ref="T753">INDEX(Trad, 52, $A$20)</f>
        <v>Sauber</v>
      </c>
      <c r="U753" s="253"/>
      <c r="V753" s="253"/>
      <c r="W753" s="254"/>
      <c r="X753" s="251"/>
      <c r="Y753" s="251"/>
      <c r="Z753" s="264">
        <f t="shared" si="688"/>
        <v>0</v>
      </c>
      <c r="AA753" s="261"/>
      <c r="AB753" s="258"/>
      <c r="AC753" s="246"/>
      <c r="AD753" s="247" t="str">
        <f>IF(ISBLANK(AC753), "", VLOOKUP(AC753, Z!$A$2:$C$4127, 3, FALSE))</f>
        <v/>
      </c>
      <c r="AE753" s="262"/>
      <c r="AF753" s="263">
        <f t="shared" si="689"/>
        <v>0</v>
      </c>
      <c r="AG753" s="238"/>
      <c r="AH753" s="229">
        <f t="shared" si="713"/>
        <v>1</v>
      </c>
      <c r="AI753" s="229">
        <f t="shared" si="714"/>
        <v>1</v>
      </c>
      <c r="AJ753" s="229">
        <f t="shared" si="715"/>
        <v>0</v>
      </c>
      <c r="AK753" s="229">
        <v>0</v>
      </c>
      <c r="AL753" s="229">
        <v>0</v>
      </c>
      <c r="AM753" s="229">
        <v>1</v>
      </c>
      <c r="AN753" s="229">
        <v>0</v>
      </c>
      <c r="AO753" s="229">
        <f t="shared" si="690"/>
        <v>-100</v>
      </c>
      <c r="AP753" s="238"/>
      <c r="AQ753" s="255"/>
      <c r="AR753" s="255"/>
      <c r="AS753" s="256"/>
      <c r="AT753" s="256"/>
      <c r="AU753" s="256"/>
      <c r="AV753" s="256"/>
      <c r="AW753" s="256"/>
      <c r="AX753" s="256"/>
      <c r="AY753" s="256"/>
      <c r="AZ753" s="256"/>
      <c r="BA753" s="256"/>
      <c r="BB753" s="256"/>
      <c r="BC753" s="256"/>
      <c r="BD753" s="238"/>
      <c r="BE753" s="229" cm="1">
        <f t="array" ref="BE753">IF(ISBLANK(R753), INDEX(Use, $AH753, 4) - AM753*INDEX(Use, $AH753, 6), R753)</f>
        <v>5</v>
      </c>
      <c r="BF753" s="229">
        <f t="shared" si="691"/>
        <v>30</v>
      </c>
      <c r="BG753" s="229">
        <f t="shared" si="717"/>
        <v>13</v>
      </c>
      <c r="BH753" s="229">
        <f t="shared" si="718"/>
        <v>0</v>
      </c>
      <c r="BI753" s="234" cm="1">
        <f t="array" ref="BI753">K753/IF($L753&gt;0, INDEX($AU$23:$BA$77, $L753+20, $AH753), 1)</f>
        <v>0</v>
      </c>
      <c r="BJ753" s="230">
        <f t="shared" si="692"/>
        <v>0</v>
      </c>
      <c r="BK753" s="229">
        <v>35</v>
      </c>
      <c r="BL753" s="230">
        <f t="shared" si="693"/>
        <v>48</v>
      </c>
      <c r="BM753" s="235">
        <f t="shared" si="694"/>
        <v>2.9108720930232557</v>
      </c>
      <c r="BN753" s="235" cm="1">
        <f t="array" ref="BN753">$BI753 * SUMPRODUCT(INDEX($AR$77:$AT$82,,$AI753),INDEX($AU$77:$BA$82,,$AH753), N($AQ$77:$AQ$82&gt;$AO753)) / BM753 / 1000</f>
        <v>0</v>
      </c>
      <c r="BO753" s="232">
        <f t="shared" si="719"/>
        <v>30</v>
      </c>
      <c r="BP753" s="230">
        <f t="shared" si="695"/>
        <v>43</v>
      </c>
      <c r="BQ753" s="235">
        <f t="shared" si="696"/>
        <v>3.2938815789473681</v>
      </c>
      <c r="BR753" s="235" cm="1">
        <f t="array" ref="BR753">$BI753 * IF($AH753&lt;=2,
SUMPRODUCT(INDEX($AR$72:$AT$76,,$AI753), INDEX($AU$72:$BA$76,,$AH753), 1 / ($BB$72:$BB$76*BQ753 + (1-$BB$72:$BB$76)*BM753), N($AQ$72:$AQ$76&gt;$AO753)),
SUMPRODUCT(INDEX($AR$67:$AT$76,,$AI753), INDEX($AU$67:$BA$76,,$AH753), 1 / ($BC$67:$BC$76*BQ753 + (1-$BC$67:$BC$76)*BM753), N($AQ$67:$AQ$76&gt;$AO753))
) / 1000</f>
        <v>0</v>
      </c>
      <c r="BS753" s="232">
        <f t="shared" si="720"/>
        <v>25</v>
      </c>
      <c r="BT753" s="230">
        <f t="shared" si="697"/>
        <v>38</v>
      </c>
      <c r="BU753" s="235">
        <f t="shared" si="698"/>
        <v>3.792954545454545</v>
      </c>
      <c r="BV753" s="235" cm="1">
        <f t="array" ref="BV753">$BI753 * IF($AH753&lt;=2,
SUMPRODUCT(INDEX($AR$67:$AT$71,,$AI753), INDEX($AU$67:$BA$71,,$AH753), 1 / ($BB$67:$BB$71*BU753 + (1-$BB$67:$BB$71)*BQ753), N($AQ$67:$AQ$71&gt;$AO753)),
SUMPRODUCT(INDEX($AR$57:$AT$66,,$AI753), INDEX($AU$57:$BA$66,,$AH753), 1 / ($BC$57:$BC$66*BU753 + (1-$BC$57:$BC$66)*BQ753), N($AQ$57:$AQ$66&gt;$AO753))
) / 1000</f>
        <v>0</v>
      </c>
      <c r="BW753" s="232">
        <f t="shared" si="721"/>
        <v>20</v>
      </c>
      <c r="BX753" s="230">
        <f t="shared" si="699"/>
        <v>33</v>
      </c>
      <c r="BY753" s="235">
        <f t="shared" si="700"/>
        <v>4.4702678571428569</v>
      </c>
      <c r="BZ753" s="235" cm="1">
        <f t="array" ref="BZ753">$BI753 * IF($AH753&lt;=2,
SUMPRODUCT(INDEX($AR$62:$AT$66,,$AI753), INDEX($AU$62:$BA$66,,$AH753), 1 / ($BB$62:$BB$66*BY753 + (1-$BB$62:$BB$66)*BU753), N($AQ$62:$AQ$66&gt;$AO753)),
SUMPRODUCT(INDEX($AR$47:$AT$56,,$AI753), INDEX($AU$47:$BA$56,,$AH753), 1 / ($BC$47:$BC$56*BY753 + (1-$BC$47:$BC$56)*BU753), N($AQ$47:$AQ$56&gt;$AO753))
) / 1000</f>
        <v>0</v>
      </c>
      <c r="CA753" s="235" cm="1">
        <f t="array" ref="CA753">$BI753 * IF($AH753&lt;=2,
SUMPRODUCT(INDEX($AR$23:$AT$61,,$AI753), INDEX($AU$23:$BA$61,,$AH753), 1 / ($BB$23:$BB$61*BY753), N($AQ$23:$AQ$61&gt;$AO753)),
SUMPRODUCT(INDEX($AR$23:$AT$46,,$AI753), INDEX($AU$23:$BA$46,,$AH753), 1 / ($BC$23:$BC$46*BY753), N($AQ$23:$AQ$46&gt;$AO753))
) / 1000</f>
        <v>0</v>
      </c>
      <c r="CB753" s="230">
        <f t="shared" si="701"/>
        <v>0</v>
      </c>
      <c r="CC753" s="238"/>
      <c r="CD753" s="229" cm="1">
        <f t="array" ref="CD753">IF(ISBLANK(Y753), INDEX(Use, $AH753, 4) - AN753*INDEX(Use, $AH753, 6) - (Q753-X753), Y753)</f>
        <v>7</v>
      </c>
      <c r="CE753" s="229">
        <f t="shared" si="702"/>
        <v>32</v>
      </c>
      <c r="CF753" s="230">
        <f t="shared" si="703"/>
        <v>0</v>
      </c>
      <c r="CG753" s="229">
        <v>35</v>
      </c>
      <c r="CH753" s="230">
        <f t="shared" si="704"/>
        <v>48</v>
      </c>
      <c r="CI753" s="235">
        <f t="shared" si="705"/>
        <v>3.0748170731707316</v>
      </c>
      <c r="CJ753" s="235" cm="1">
        <f t="array" ref="CJ753">$BI753 * SUMPRODUCT(INDEX($AR$77:$AT$82,,$AI753),INDEX($AU$77:$BA$82,,$AH753), N($AQ$77:$AQ$82&gt;$AO753)) / CI753 / 1000</f>
        <v>0</v>
      </c>
      <c r="CK753" s="232">
        <f t="shared" si="722"/>
        <v>30</v>
      </c>
      <c r="CL753" s="230">
        <f t="shared" si="706"/>
        <v>43</v>
      </c>
      <c r="CM753" s="235">
        <f t="shared" si="707"/>
        <v>3.5018750000000001</v>
      </c>
      <c r="CN753" s="235" cm="1">
        <f t="array" ref="CN753">$BI753 * IF($AH753&lt;=2,
SUMPRODUCT(INDEX($AR$72:$AT$76,,$AI753), INDEX($AU$72:$BA$76,,$AH753), 1 / ($BB$72:$BB$76*CM753 + (1-$BB$72:$BB$76)*CI753), N($AQ$72:$AQ$76&gt;$AO753)),
SUMPRODUCT(INDEX($AR$67:$AT$76,,$AI753), INDEX($AU$67:$BA$76,,$AH753), 1 / ($BC$67:$BC$76*CM753 + (1-$BC$67:$BC$76)*CI753), N($AQ$67:$AQ$76&gt;$AO753))
) / 1000</f>
        <v>0</v>
      </c>
      <c r="CO753" s="232">
        <f t="shared" si="723"/>
        <v>25</v>
      </c>
      <c r="CP753" s="230">
        <f t="shared" si="708"/>
        <v>38</v>
      </c>
      <c r="CQ753" s="235">
        <f t="shared" si="709"/>
        <v>4.0666935483870965</v>
      </c>
      <c r="CR753" s="235" cm="1">
        <f t="array" ref="CR753">$BI753 * IF($AH753&lt;=2,
SUMPRODUCT(INDEX($AR$67:$AT$71,,$AI753), INDEX($AU$67:$BA$71,,$AH753), 1 / ($BB$67:$BB$71*CQ753 + (1-$BB$67:$BB$71)*CM753), N($AQ$67:$AQ$71&gt;$AO753)),
SUMPRODUCT(INDEX($AR$57:$AT$66,,$AI753), INDEX($AU$57:$BA$66,,$AH753), 1 / ($BC$57:$BC$66*CQ753 + (1-$BC$57:$BC$66)*CM753), N($AQ$57:$AQ$66&gt;$AO753))
) / 1000</f>
        <v>0</v>
      </c>
      <c r="CS753" s="232">
        <f t="shared" si="724"/>
        <v>20</v>
      </c>
      <c r="CT753" s="230">
        <f t="shared" si="710"/>
        <v>33</v>
      </c>
      <c r="CU753" s="235">
        <f t="shared" si="711"/>
        <v>4.8487499999999999</v>
      </c>
      <c r="CV753" s="235" cm="1">
        <f t="array" ref="CV753">$BI753 * IF($AH753&lt;=2,
SUMPRODUCT(INDEX($AR$62:$AT$66,,$AI753), INDEX($AU$62:$BA$66,,$AH753), 1 / ($BB$62:$BB$66*CU753 + (1-$BB$62:$BB$66)*CQ753), N($AQ$62:$AQ$66&gt;$AO753)),
SUMPRODUCT(INDEX($AR$47:$AT$56,,$AI753), INDEX($AU$47:$BA$56,,$AH753), 1 / ($BC$47:$BC$56*CU753 + (1-$BC$47:$BC$56)*CQ753), N($AQ$47:$AQ$56&gt;$AO753))
) / 1000</f>
        <v>0</v>
      </c>
      <c r="CW753" s="235" cm="1">
        <f t="array" ref="CW753">$BI753 * IF($AH753&lt;=2,
SUMPRODUCT(INDEX($AR$23:$AT$61,,$AI753), INDEX($AU$23:$BA$61,,$AH753), 1 / ($BB$23:$BB$61*CU753), N($AQ$23:$AQ$61&gt;$AO753)),
SUMPRODUCT(INDEX($AR$23:$AT$46,,$AI753), INDEX($AU$23:$BA$46,,$AH753), 1 / ($BC$23:$BC$46*CU753), N($AQ$23:$AQ$46&gt;$AO753))
) / 1000</f>
        <v>0</v>
      </c>
      <c r="CX753" s="230">
        <f t="shared" si="712"/>
        <v>0</v>
      </c>
      <c r="CY753" s="238"/>
    </row>
    <row r="754" spans="1:103" s="76" customFormat="1" ht="14.25" customHeight="1" x14ac:dyDescent="0.2">
      <c r="A754" s="231" t="b">
        <f t="shared" si="716"/>
        <v>0</v>
      </c>
      <c r="B754" s="245">
        <v>732</v>
      </c>
      <c r="C754" s="258"/>
      <c r="D754" s="258"/>
      <c r="E754" s="246"/>
      <c r="F754" s="247" t="str">
        <f>IF(ISBLANK(E754), "", VLOOKUP(E754, Z!$A$2:$C$4127, 3, FALSE))</f>
        <v/>
      </c>
      <c r="G754" s="248"/>
      <c r="H754" s="248"/>
      <c r="I754" s="249"/>
      <c r="J754" s="250"/>
      <c r="K754" s="259"/>
      <c r="L754" s="260"/>
      <c r="M754" s="252" t="str" cm="1">
        <f t="array" ref="M754">INDEX(Trad, 53, $A$20)</f>
        <v>Verschmutzt</v>
      </c>
      <c r="N754" s="253"/>
      <c r="O754" s="253"/>
      <c r="P754" s="254"/>
      <c r="Q754" s="251"/>
      <c r="R754" s="251"/>
      <c r="S754" s="264">
        <f t="shared" si="687"/>
        <v>0</v>
      </c>
      <c r="T754" s="252" t="str" cm="1">
        <f t="array" ref="T754">INDEX(Trad, 52, $A$20)</f>
        <v>Sauber</v>
      </c>
      <c r="U754" s="253"/>
      <c r="V754" s="253"/>
      <c r="W754" s="254"/>
      <c r="X754" s="251"/>
      <c r="Y754" s="251"/>
      <c r="Z754" s="264">
        <f t="shared" si="688"/>
        <v>0</v>
      </c>
      <c r="AA754" s="261"/>
      <c r="AB754" s="258"/>
      <c r="AC754" s="246"/>
      <c r="AD754" s="247" t="str">
        <f>IF(ISBLANK(AC754), "", VLOOKUP(AC754, Z!$A$2:$C$4127, 3, FALSE))</f>
        <v/>
      </c>
      <c r="AE754" s="262"/>
      <c r="AF754" s="263">
        <f t="shared" si="689"/>
        <v>0</v>
      </c>
      <c r="AG754" s="238"/>
      <c r="AH754" s="229">
        <f t="shared" si="713"/>
        <v>1</v>
      </c>
      <c r="AI754" s="229">
        <f t="shared" si="714"/>
        <v>1</v>
      </c>
      <c r="AJ754" s="229">
        <f t="shared" si="715"/>
        <v>0</v>
      </c>
      <c r="AK754" s="229">
        <v>0</v>
      </c>
      <c r="AL754" s="229">
        <v>0</v>
      </c>
      <c r="AM754" s="229">
        <v>1</v>
      </c>
      <c r="AN754" s="229">
        <v>0</v>
      </c>
      <c r="AO754" s="229">
        <f t="shared" si="690"/>
        <v>-100</v>
      </c>
      <c r="AP754" s="238"/>
      <c r="AQ754" s="255"/>
      <c r="AR754" s="255"/>
      <c r="AS754" s="256"/>
      <c r="AT754" s="256"/>
      <c r="AU754" s="256"/>
      <c r="AV754" s="256"/>
      <c r="AW754" s="256"/>
      <c r="AX754" s="256"/>
      <c r="AY754" s="256"/>
      <c r="AZ754" s="256"/>
      <c r="BA754" s="256"/>
      <c r="BB754" s="256"/>
      <c r="BC754" s="256"/>
      <c r="BD754" s="238"/>
      <c r="BE754" s="229" cm="1">
        <f t="array" ref="BE754">IF(ISBLANK(R754), INDEX(Use, $AH754, 4) - AM754*INDEX(Use, $AH754, 6), R754)</f>
        <v>5</v>
      </c>
      <c r="BF754" s="229">
        <f t="shared" si="691"/>
        <v>30</v>
      </c>
      <c r="BG754" s="229">
        <f t="shared" si="717"/>
        <v>13</v>
      </c>
      <c r="BH754" s="229">
        <f t="shared" si="718"/>
        <v>0</v>
      </c>
      <c r="BI754" s="234" cm="1">
        <f t="array" ref="BI754">K754/IF($L754&gt;0, INDEX($AU$23:$BA$77, $L754+20, $AH754), 1)</f>
        <v>0</v>
      </c>
      <c r="BJ754" s="230">
        <f t="shared" si="692"/>
        <v>0</v>
      </c>
      <c r="BK754" s="229">
        <v>35</v>
      </c>
      <c r="BL754" s="230">
        <f t="shared" si="693"/>
        <v>48</v>
      </c>
      <c r="BM754" s="235">
        <f t="shared" si="694"/>
        <v>2.9108720930232557</v>
      </c>
      <c r="BN754" s="235" cm="1">
        <f t="array" ref="BN754">$BI754 * SUMPRODUCT(INDEX($AR$77:$AT$82,,$AI754),INDEX($AU$77:$BA$82,,$AH754), N($AQ$77:$AQ$82&gt;$AO754)) / BM754 / 1000</f>
        <v>0</v>
      </c>
      <c r="BO754" s="232">
        <f t="shared" si="719"/>
        <v>30</v>
      </c>
      <c r="BP754" s="230">
        <f t="shared" si="695"/>
        <v>43</v>
      </c>
      <c r="BQ754" s="235">
        <f t="shared" si="696"/>
        <v>3.2938815789473681</v>
      </c>
      <c r="BR754" s="235" cm="1">
        <f t="array" ref="BR754">$BI754 * IF($AH754&lt;=2,
SUMPRODUCT(INDEX($AR$72:$AT$76,,$AI754), INDEX($AU$72:$BA$76,,$AH754), 1 / ($BB$72:$BB$76*BQ754 + (1-$BB$72:$BB$76)*BM754), N($AQ$72:$AQ$76&gt;$AO754)),
SUMPRODUCT(INDEX($AR$67:$AT$76,,$AI754), INDEX($AU$67:$BA$76,,$AH754), 1 / ($BC$67:$BC$76*BQ754 + (1-$BC$67:$BC$76)*BM754), N($AQ$67:$AQ$76&gt;$AO754))
) / 1000</f>
        <v>0</v>
      </c>
      <c r="BS754" s="232">
        <f t="shared" si="720"/>
        <v>25</v>
      </c>
      <c r="BT754" s="230">
        <f t="shared" si="697"/>
        <v>38</v>
      </c>
      <c r="BU754" s="235">
        <f t="shared" si="698"/>
        <v>3.792954545454545</v>
      </c>
      <c r="BV754" s="235" cm="1">
        <f t="array" ref="BV754">$BI754 * IF($AH754&lt;=2,
SUMPRODUCT(INDEX($AR$67:$AT$71,,$AI754), INDEX($AU$67:$BA$71,,$AH754), 1 / ($BB$67:$BB$71*BU754 + (1-$BB$67:$BB$71)*BQ754), N($AQ$67:$AQ$71&gt;$AO754)),
SUMPRODUCT(INDEX($AR$57:$AT$66,,$AI754), INDEX($AU$57:$BA$66,,$AH754), 1 / ($BC$57:$BC$66*BU754 + (1-$BC$57:$BC$66)*BQ754), N($AQ$57:$AQ$66&gt;$AO754))
) / 1000</f>
        <v>0</v>
      </c>
      <c r="BW754" s="232">
        <f t="shared" si="721"/>
        <v>20</v>
      </c>
      <c r="BX754" s="230">
        <f t="shared" si="699"/>
        <v>33</v>
      </c>
      <c r="BY754" s="235">
        <f t="shared" si="700"/>
        <v>4.4702678571428569</v>
      </c>
      <c r="BZ754" s="235" cm="1">
        <f t="array" ref="BZ754">$BI754 * IF($AH754&lt;=2,
SUMPRODUCT(INDEX($AR$62:$AT$66,,$AI754), INDEX($AU$62:$BA$66,,$AH754), 1 / ($BB$62:$BB$66*BY754 + (1-$BB$62:$BB$66)*BU754), N($AQ$62:$AQ$66&gt;$AO754)),
SUMPRODUCT(INDEX($AR$47:$AT$56,,$AI754), INDEX($AU$47:$BA$56,,$AH754), 1 / ($BC$47:$BC$56*BY754 + (1-$BC$47:$BC$56)*BU754), N($AQ$47:$AQ$56&gt;$AO754))
) / 1000</f>
        <v>0</v>
      </c>
      <c r="CA754" s="235" cm="1">
        <f t="array" ref="CA754">$BI754 * IF($AH754&lt;=2,
SUMPRODUCT(INDEX($AR$23:$AT$61,,$AI754), INDEX($AU$23:$BA$61,,$AH754), 1 / ($BB$23:$BB$61*BY754), N($AQ$23:$AQ$61&gt;$AO754)),
SUMPRODUCT(INDEX($AR$23:$AT$46,,$AI754), INDEX($AU$23:$BA$46,,$AH754), 1 / ($BC$23:$BC$46*BY754), N($AQ$23:$AQ$46&gt;$AO754))
) / 1000</f>
        <v>0</v>
      </c>
      <c r="CB754" s="230">
        <f t="shared" si="701"/>
        <v>0</v>
      </c>
      <c r="CC754" s="238"/>
      <c r="CD754" s="229" cm="1">
        <f t="array" ref="CD754">IF(ISBLANK(Y754), INDEX(Use, $AH754, 4) - AN754*INDEX(Use, $AH754, 6) - (Q754-X754), Y754)</f>
        <v>7</v>
      </c>
      <c r="CE754" s="229">
        <f t="shared" si="702"/>
        <v>32</v>
      </c>
      <c r="CF754" s="230">
        <f t="shared" si="703"/>
        <v>0</v>
      </c>
      <c r="CG754" s="229">
        <v>35</v>
      </c>
      <c r="CH754" s="230">
        <f t="shared" si="704"/>
        <v>48</v>
      </c>
      <c r="CI754" s="235">
        <f t="shared" si="705"/>
        <v>3.0748170731707316</v>
      </c>
      <c r="CJ754" s="235" cm="1">
        <f t="array" ref="CJ754">$BI754 * SUMPRODUCT(INDEX($AR$77:$AT$82,,$AI754),INDEX($AU$77:$BA$82,,$AH754), N($AQ$77:$AQ$82&gt;$AO754)) / CI754 / 1000</f>
        <v>0</v>
      </c>
      <c r="CK754" s="232">
        <f t="shared" si="722"/>
        <v>30</v>
      </c>
      <c r="CL754" s="230">
        <f t="shared" si="706"/>
        <v>43</v>
      </c>
      <c r="CM754" s="235">
        <f t="shared" si="707"/>
        <v>3.5018750000000001</v>
      </c>
      <c r="CN754" s="235" cm="1">
        <f t="array" ref="CN754">$BI754 * IF($AH754&lt;=2,
SUMPRODUCT(INDEX($AR$72:$AT$76,,$AI754), INDEX($AU$72:$BA$76,,$AH754), 1 / ($BB$72:$BB$76*CM754 + (1-$BB$72:$BB$76)*CI754), N($AQ$72:$AQ$76&gt;$AO754)),
SUMPRODUCT(INDEX($AR$67:$AT$76,,$AI754), INDEX($AU$67:$BA$76,,$AH754), 1 / ($BC$67:$BC$76*CM754 + (1-$BC$67:$BC$76)*CI754), N($AQ$67:$AQ$76&gt;$AO754))
) / 1000</f>
        <v>0</v>
      </c>
      <c r="CO754" s="232">
        <f t="shared" si="723"/>
        <v>25</v>
      </c>
      <c r="CP754" s="230">
        <f t="shared" si="708"/>
        <v>38</v>
      </c>
      <c r="CQ754" s="235">
        <f t="shared" si="709"/>
        <v>4.0666935483870965</v>
      </c>
      <c r="CR754" s="235" cm="1">
        <f t="array" ref="CR754">$BI754 * IF($AH754&lt;=2,
SUMPRODUCT(INDEX($AR$67:$AT$71,,$AI754), INDEX($AU$67:$BA$71,,$AH754), 1 / ($BB$67:$BB$71*CQ754 + (1-$BB$67:$BB$71)*CM754), N($AQ$67:$AQ$71&gt;$AO754)),
SUMPRODUCT(INDEX($AR$57:$AT$66,,$AI754), INDEX($AU$57:$BA$66,,$AH754), 1 / ($BC$57:$BC$66*CQ754 + (1-$BC$57:$BC$66)*CM754), N($AQ$57:$AQ$66&gt;$AO754))
) / 1000</f>
        <v>0</v>
      </c>
      <c r="CS754" s="232">
        <f t="shared" si="724"/>
        <v>20</v>
      </c>
      <c r="CT754" s="230">
        <f t="shared" si="710"/>
        <v>33</v>
      </c>
      <c r="CU754" s="235">
        <f t="shared" si="711"/>
        <v>4.8487499999999999</v>
      </c>
      <c r="CV754" s="235" cm="1">
        <f t="array" ref="CV754">$BI754 * IF($AH754&lt;=2,
SUMPRODUCT(INDEX($AR$62:$AT$66,,$AI754), INDEX($AU$62:$BA$66,,$AH754), 1 / ($BB$62:$BB$66*CU754 + (1-$BB$62:$BB$66)*CQ754), N($AQ$62:$AQ$66&gt;$AO754)),
SUMPRODUCT(INDEX($AR$47:$AT$56,,$AI754), INDEX($AU$47:$BA$56,,$AH754), 1 / ($BC$47:$BC$56*CU754 + (1-$BC$47:$BC$56)*CQ754), N($AQ$47:$AQ$56&gt;$AO754))
) / 1000</f>
        <v>0</v>
      </c>
      <c r="CW754" s="235" cm="1">
        <f t="array" ref="CW754">$BI754 * IF($AH754&lt;=2,
SUMPRODUCT(INDEX($AR$23:$AT$61,,$AI754), INDEX($AU$23:$BA$61,,$AH754), 1 / ($BB$23:$BB$61*CU754), N($AQ$23:$AQ$61&gt;$AO754)),
SUMPRODUCT(INDEX($AR$23:$AT$46,,$AI754), INDEX($AU$23:$BA$46,,$AH754), 1 / ($BC$23:$BC$46*CU754), N($AQ$23:$AQ$46&gt;$AO754))
) / 1000</f>
        <v>0</v>
      </c>
      <c r="CX754" s="230">
        <f t="shared" si="712"/>
        <v>0</v>
      </c>
      <c r="CY754" s="238"/>
    </row>
    <row r="755" spans="1:103" s="76" customFormat="1" ht="14.25" customHeight="1" x14ac:dyDescent="0.2">
      <c r="A755" s="231" t="b">
        <f t="shared" si="716"/>
        <v>0</v>
      </c>
      <c r="B755" s="245">
        <v>733</v>
      </c>
      <c r="C755" s="258"/>
      <c r="D755" s="258"/>
      <c r="E755" s="246"/>
      <c r="F755" s="247" t="str">
        <f>IF(ISBLANK(E755), "", VLOOKUP(E755, Z!$A$2:$C$4127, 3, FALSE))</f>
        <v/>
      </c>
      <c r="G755" s="248"/>
      <c r="H755" s="248"/>
      <c r="I755" s="249"/>
      <c r="J755" s="250"/>
      <c r="K755" s="259"/>
      <c r="L755" s="260"/>
      <c r="M755" s="252" t="str" cm="1">
        <f t="array" ref="M755">INDEX(Trad, 53, $A$20)</f>
        <v>Verschmutzt</v>
      </c>
      <c r="N755" s="253"/>
      <c r="O755" s="253"/>
      <c r="P755" s="254"/>
      <c r="Q755" s="251"/>
      <c r="R755" s="251"/>
      <c r="S755" s="264">
        <f t="shared" si="687"/>
        <v>0</v>
      </c>
      <c r="T755" s="252" t="str" cm="1">
        <f t="array" ref="T755">INDEX(Trad, 52, $A$20)</f>
        <v>Sauber</v>
      </c>
      <c r="U755" s="253"/>
      <c r="V755" s="253"/>
      <c r="W755" s="254"/>
      <c r="X755" s="251"/>
      <c r="Y755" s="251"/>
      <c r="Z755" s="264">
        <f t="shared" si="688"/>
        <v>0</v>
      </c>
      <c r="AA755" s="261"/>
      <c r="AB755" s="258"/>
      <c r="AC755" s="246"/>
      <c r="AD755" s="247" t="str">
        <f>IF(ISBLANK(AC755), "", VLOOKUP(AC755, Z!$A$2:$C$4127, 3, FALSE))</f>
        <v/>
      </c>
      <c r="AE755" s="262"/>
      <c r="AF755" s="263">
        <f t="shared" si="689"/>
        <v>0</v>
      </c>
      <c r="AG755" s="238"/>
      <c r="AH755" s="229">
        <f t="shared" si="713"/>
        <v>1</v>
      </c>
      <c r="AI755" s="229">
        <f t="shared" si="714"/>
        <v>1</v>
      </c>
      <c r="AJ755" s="229">
        <f t="shared" si="715"/>
        <v>0</v>
      </c>
      <c r="AK755" s="229">
        <v>0</v>
      </c>
      <c r="AL755" s="229">
        <v>0</v>
      </c>
      <c r="AM755" s="229">
        <v>1</v>
      </c>
      <c r="AN755" s="229">
        <v>0</v>
      </c>
      <c r="AO755" s="229">
        <f t="shared" si="690"/>
        <v>-100</v>
      </c>
      <c r="AP755" s="238"/>
      <c r="AQ755" s="255"/>
      <c r="AR755" s="255"/>
      <c r="AS755" s="256"/>
      <c r="AT755" s="256"/>
      <c r="AU755" s="256"/>
      <c r="AV755" s="256"/>
      <c r="AW755" s="256"/>
      <c r="AX755" s="256"/>
      <c r="AY755" s="256"/>
      <c r="AZ755" s="256"/>
      <c r="BA755" s="256"/>
      <c r="BB755" s="256"/>
      <c r="BC755" s="256"/>
      <c r="BD755" s="238"/>
      <c r="BE755" s="229" cm="1">
        <f t="array" ref="BE755">IF(ISBLANK(R755), INDEX(Use, $AH755, 4) - AM755*INDEX(Use, $AH755, 6), R755)</f>
        <v>5</v>
      </c>
      <c r="BF755" s="229">
        <f t="shared" si="691"/>
        <v>30</v>
      </c>
      <c r="BG755" s="229">
        <f t="shared" si="717"/>
        <v>13</v>
      </c>
      <c r="BH755" s="229">
        <f t="shared" si="718"/>
        <v>0</v>
      </c>
      <c r="BI755" s="234" cm="1">
        <f t="array" ref="BI755">K755/IF($L755&gt;0, INDEX($AU$23:$BA$77, $L755+20, $AH755), 1)</f>
        <v>0</v>
      </c>
      <c r="BJ755" s="230">
        <f t="shared" si="692"/>
        <v>0</v>
      </c>
      <c r="BK755" s="229">
        <v>35</v>
      </c>
      <c r="BL755" s="230">
        <f t="shared" si="693"/>
        <v>48</v>
      </c>
      <c r="BM755" s="235">
        <f t="shared" si="694"/>
        <v>2.9108720930232557</v>
      </c>
      <c r="BN755" s="235" cm="1">
        <f t="array" ref="BN755">$BI755 * SUMPRODUCT(INDEX($AR$77:$AT$82,,$AI755),INDEX($AU$77:$BA$82,,$AH755), N($AQ$77:$AQ$82&gt;$AO755)) / BM755 / 1000</f>
        <v>0</v>
      </c>
      <c r="BO755" s="232">
        <f t="shared" si="719"/>
        <v>30</v>
      </c>
      <c r="BP755" s="230">
        <f t="shared" si="695"/>
        <v>43</v>
      </c>
      <c r="BQ755" s="235">
        <f t="shared" si="696"/>
        <v>3.2938815789473681</v>
      </c>
      <c r="BR755" s="235" cm="1">
        <f t="array" ref="BR755">$BI755 * IF($AH755&lt;=2,
SUMPRODUCT(INDEX($AR$72:$AT$76,,$AI755), INDEX($AU$72:$BA$76,,$AH755), 1 / ($BB$72:$BB$76*BQ755 + (1-$BB$72:$BB$76)*BM755), N($AQ$72:$AQ$76&gt;$AO755)),
SUMPRODUCT(INDEX($AR$67:$AT$76,,$AI755), INDEX($AU$67:$BA$76,,$AH755), 1 / ($BC$67:$BC$76*BQ755 + (1-$BC$67:$BC$76)*BM755), N($AQ$67:$AQ$76&gt;$AO755))
) / 1000</f>
        <v>0</v>
      </c>
      <c r="BS755" s="232">
        <f t="shared" si="720"/>
        <v>25</v>
      </c>
      <c r="BT755" s="230">
        <f t="shared" si="697"/>
        <v>38</v>
      </c>
      <c r="BU755" s="235">
        <f t="shared" si="698"/>
        <v>3.792954545454545</v>
      </c>
      <c r="BV755" s="235" cm="1">
        <f t="array" ref="BV755">$BI755 * IF($AH755&lt;=2,
SUMPRODUCT(INDEX($AR$67:$AT$71,,$AI755), INDEX($AU$67:$BA$71,,$AH755), 1 / ($BB$67:$BB$71*BU755 + (1-$BB$67:$BB$71)*BQ755), N($AQ$67:$AQ$71&gt;$AO755)),
SUMPRODUCT(INDEX($AR$57:$AT$66,,$AI755), INDEX($AU$57:$BA$66,,$AH755), 1 / ($BC$57:$BC$66*BU755 + (1-$BC$57:$BC$66)*BQ755), N($AQ$57:$AQ$66&gt;$AO755))
) / 1000</f>
        <v>0</v>
      </c>
      <c r="BW755" s="232">
        <f t="shared" si="721"/>
        <v>20</v>
      </c>
      <c r="BX755" s="230">
        <f t="shared" si="699"/>
        <v>33</v>
      </c>
      <c r="BY755" s="235">
        <f t="shared" si="700"/>
        <v>4.4702678571428569</v>
      </c>
      <c r="BZ755" s="235" cm="1">
        <f t="array" ref="BZ755">$BI755 * IF($AH755&lt;=2,
SUMPRODUCT(INDEX($AR$62:$AT$66,,$AI755), INDEX($AU$62:$BA$66,,$AH755), 1 / ($BB$62:$BB$66*BY755 + (1-$BB$62:$BB$66)*BU755), N($AQ$62:$AQ$66&gt;$AO755)),
SUMPRODUCT(INDEX($AR$47:$AT$56,,$AI755), INDEX($AU$47:$BA$56,,$AH755), 1 / ($BC$47:$BC$56*BY755 + (1-$BC$47:$BC$56)*BU755), N($AQ$47:$AQ$56&gt;$AO755))
) / 1000</f>
        <v>0</v>
      </c>
      <c r="CA755" s="235" cm="1">
        <f t="array" ref="CA755">$BI755 * IF($AH755&lt;=2,
SUMPRODUCT(INDEX($AR$23:$AT$61,,$AI755), INDEX($AU$23:$BA$61,,$AH755), 1 / ($BB$23:$BB$61*BY755), N($AQ$23:$AQ$61&gt;$AO755)),
SUMPRODUCT(INDEX($AR$23:$AT$46,,$AI755), INDEX($AU$23:$BA$46,,$AH755), 1 / ($BC$23:$BC$46*BY755), N($AQ$23:$AQ$46&gt;$AO755))
) / 1000</f>
        <v>0</v>
      </c>
      <c r="CB755" s="230">
        <f t="shared" si="701"/>
        <v>0</v>
      </c>
      <c r="CC755" s="238"/>
      <c r="CD755" s="229" cm="1">
        <f t="array" ref="CD755">IF(ISBLANK(Y755), INDEX(Use, $AH755, 4) - AN755*INDEX(Use, $AH755, 6) - (Q755-X755), Y755)</f>
        <v>7</v>
      </c>
      <c r="CE755" s="229">
        <f t="shared" si="702"/>
        <v>32</v>
      </c>
      <c r="CF755" s="230">
        <f t="shared" si="703"/>
        <v>0</v>
      </c>
      <c r="CG755" s="229">
        <v>35</v>
      </c>
      <c r="CH755" s="230">
        <f t="shared" si="704"/>
        <v>48</v>
      </c>
      <c r="CI755" s="235">
        <f t="shared" si="705"/>
        <v>3.0748170731707316</v>
      </c>
      <c r="CJ755" s="235" cm="1">
        <f t="array" ref="CJ755">$BI755 * SUMPRODUCT(INDEX($AR$77:$AT$82,,$AI755),INDEX($AU$77:$BA$82,,$AH755), N($AQ$77:$AQ$82&gt;$AO755)) / CI755 / 1000</f>
        <v>0</v>
      </c>
      <c r="CK755" s="232">
        <f t="shared" si="722"/>
        <v>30</v>
      </c>
      <c r="CL755" s="230">
        <f t="shared" si="706"/>
        <v>43</v>
      </c>
      <c r="CM755" s="235">
        <f t="shared" si="707"/>
        <v>3.5018750000000001</v>
      </c>
      <c r="CN755" s="235" cm="1">
        <f t="array" ref="CN755">$BI755 * IF($AH755&lt;=2,
SUMPRODUCT(INDEX($AR$72:$AT$76,,$AI755), INDEX($AU$72:$BA$76,,$AH755), 1 / ($BB$72:$BB$76*CM755 + (1-$BB$72:$BB$76)*CI755), N($AQ$72:$AQ$76&gt;$AO755)),
SUMPRODUCT(INDEX($AR$67:$AT$76,,$AI755), INDEX($AU$67:$BA$76,,$AH755), 1 / ($BC$67:$BC$76*CM755 + (1-$BC$67:$BC$76)*CI755), N($AQ$67:$AQ$76&gt;$AO755))
) / 1000</f>
        <v>0</v>
      </c>
      <c r="CO755" s="232">
        <f t="shared" si="723"/>
        <v>25</v>
      </c>
      <c r="CP755" s="230">
        <f t="shared" si="708"/>
        <v>38</v>
      </c>
      <c r="CQ755" s="235">
        <f t="shared" si="709"/>
        <v>4.0666935483870965</v>
      </c>
      <c r="CR755" s="235" cm="1">
        <f t="array" ref="CR755">$BI755 * IF($AH755&lt;=2,
SUMPRODUCT(INDEX($AR$67:$AT$71,,$AI755), INDEX($AU$67:$BA$71,,$AH755), 1 / ($BB$67:$BB$71*CQ755 + (1-$BB$67:$BB$71)*CM755), N($AQ$67:$AQ$71&gt;$AO755)),
SUMPRODUCT(INDEX($AR$57:$AT$66,,$AI755), INDEX($AU$57:$BA$66,,$AH755), 1 / ($BC$57:$BC$66*CQ755 + (1-$BC$57:$BC$66)*CM755), N($AQ$57:$AQ$66&gt;$AO755))
) / 1000</f>
        <v>0</v>
      </c>
      <c r="CS755" s="232">
        <f t="shared" si="724"/>
        <v>20</v>
      </c>
      <c r="CT755" s="230">
        <f t="shared" si="710"/>
        <v>33</v>
      </c>
      <c r="CU755" s="235">
        <f t="shared" si="711"/>
        <v>4.8487499999999999</v>
      </c>
      <c r="CV755" s="235" cm="1">
        <f t="array" ref="CV755">$BI755 * IF($AH755&lt;=2,
SUMPRODUCT(INDEX($AR$62:$AT$66,,$AI755), INDEX($AU$62:$BA$66,,$AH755), 1 / ($BB$62:$BB$66*CU755 + (1-$BB$62:$BB$66)*CQ755), N($AQ$62:$AQ$66&gt;$AO755)),
SUMPRODUCT(INDEX($AR$47:$AT$56,,$AI755), INDEX($AU$47:$BA$56,,$AH755), 1 / ($BC$47:$BC$56*CU755 + (1-$BC$47:$BC$56)*CQ755), N($AQ$47:$AQ$56&gt;$AO755))
) / 1000</f>
        <v>0</v>
      </c>
      <c r="CW755" s="235" cm="1">
        <f t="array" ref="CW755">$BI755 * IF($AH755&lt;=2,
SUMPRODUCT(INDEX($AR$23:$AT$61,,$AI755), INDEX($AU$23:$BA$61,,$AH755), 1 / ($BB$23:$BB$61*CU755), N($AQ$23:$AQ$61&gt;$AO755)),
SUMPRODUCT(INDEX($AR$23:$AT$46,,$AI755), INDEX($AU$23:$BA$46,,$AH755), 1 / ($BC$23:$BC$46*CU755), N($AQ$23:$AQ$46&gt;$AO755))
) / 1000</f>
        <v>0</v>
      </c>
      <c r="CX755" s="230">
        <f t="shared" si="712"/>
        <v>0</v>
      </c>
      <c r="CY755" s="238"/>
    </row>
    <row r="756" spans="1:103" s="76" customFormat="1" ht="14.25" customHeight="1" x14ac:dyDescent="0.2">
      <c r="A756" s="231" t="b">
        <f t="shared" si="716"/>
        <v>0</v>
      </c>
      <c r="B756" s="245">
        <v>734</v>
      </c>
      <c r="C756" s="258"/>
      <c r="D756" s="258"/>
      <c r="E756" s="246"/>
      <c r="F756" s="247" t="str">
        <f>IF(ISBLANK(E756), "", VLOOKUP(E756, Z!$A$2:$C$4127, 3, FALSE))</f>
        <v/>
      </c>
      <c r="G756" s="248"/>
      <c r="H756" s="248"/>
      <c r="I756" s="249"/>
      <c r="J756" s="250"/>
      <c r="K756" s="259"/>
      <c r="L756" s="260"/>
      <c r="M756" s="252" t="str" cm="1">
        <f t="array" ref="M756">INDEX(Trad, 53, $A$20)</f>
        <v>Verschmutzt</v>
      </c>
      <c r="N756" s="253"/>
      <c r="O756" s="253"/>
      <c r="P756" s="254"/>
      <c r="Q756" s="251"/>
      <c r="R756" s="251"/>
      <c r="S756" s="264">
        <f t="shared" si="687"/>
        <v>0</v>
      </c>
      <c r="T756" s="252" t="str" cm="1">
        <f t="array" ref="T756">INDEX(Trad, 52, $A$20)</f>
        <v>Sauber</v>
      </c>
      <c r="U756" s="253"/>
      <c r="V756" s="253"/>
      <c r="W756" s="254"/>
      <c r="X756" s="251"/>
      <c r="Y756" s="251"/>
      <c r="Z756" s="264">
        <f t="shared" si="688"/>
        <v>0</v>
      </c>
      <c r="AA756" s="261"/>
      <c r="AB756" s="258"/>
      <c r="AC756" s="246"/>
      <c r="AD756" s="247" t="str">
        <f>IF(ISBLANK(AC756), "", VLOOKUP(AC756, Z!$A$2:$C$4127, 3, FALSE))</f>
        <v/>
      </c>
      <c r="AE756" s="262"/>
      <c r="AF756" s="263">
        <f t="shared" si="689"/>
        <v>0</v>
      </c>
      <c r="AG756" s="238"/>
      <c r="AH756" s="229">
        <f t="shared" si="713"/>
        <v>1</v>
      </c>
      <c r="AI756" s="229">
        <f t="shared" si="714"/>
        <v>1</v>
      </c>
      <c r="AJ756" s="229">
        <f t="shared" si="715"/>
        <v>0</v>
      </c>
      <c r="AK756" s="229">
        <v>0</v>
      </c>
      <c r="AL756" s="229">
        <v>0</v>
      </c>
      <c r="AM756" s="229">
        <v>1</v>
      </c>
      <c r="AN756" s="229">
        <v>0</v>
      </c>
      <c r="AO756" s="229">
        <f t="shared" si="690"/>
        <v>-100</v>
      </c>
      <c r="AP756" s="238"/>
      <c r="AQ756" s="255"/>
      <c r="AR756" s="255"/>
      <c r="AS756" s="256"/>
      <c r="AT756" s="256"/>
      <c r="AU756" s="256"/>
      <c r="AV756" s="256"/>
      <c r="AW756" s="256"/>
      <c r="AX756" s="256"/>
      <c r="AY756" s="256"/>
      <c r="AZ756" s="256"/>
      <c r="BA756" s="256"/>
      <c r="BB756" s="256"/>
      <c r="BC756" s="256"/>
      <c r="BD756" s="238"/>
      <c r="BE756" s="229" cm="1">
        <f t="array" ref="BE756">IF(ISBLANK(R756), INDEX(Use, $AH756, 4) - AM756*INDEX(Use, $AH756, 6), R756)</f>
        <v>5</v>
      </c>
      <c r="BF756" s="229">
        <f t="shared" si="691"/>
        <v>30</v>
      </c>
      <c r="BG756" s="229">
        <f t="shared" si="717"/>
        <v>13</v>
      </c>
      <c r="BH756" s="229">
        <f t="shared" si="718"/>
        <v>0</v>
      </c>
      <c r="BI756" s="234" cm="1">
        <f t="array" ref="BI756">K756/IF($L756&gt;0, INDEX($AU$23:$BA$77, $L756+20, $AH756), 1)</f>
        <v>0</v>
      </c>
      <c r="BJ756" s="230">
        <f t="shared" si="692"/>
        <v>0</v>
      </c>
      <c r="BK756" s="229">
        <v>35</v>
      </c>
      <c r="BL756" s="230">
        <f t="shared" si="693"/>
        <v>48</v>
      </c>
      <c r="BM756" s="235">
        <f t="shared" si="694"/>
        <v>2.9108720930232557</v>
      </c>
      <c r="BN756" s="235" cm="1">
        <f t="array" ref="BN756">$BI756 * SUMPRODUCT(INDEX($AR$77:$AT$82,,$AI756),INDEX($AU$77:$BA$82,,$AH756), N($AQ$77:$AQ$82&gt;$AO756)) / BM756 / 1000</f>
        <v>0</v>
      </c>
      <c r="BO756" s="232">
        <f t="shared" si="719"/>
        <v>30</v>
      </c>
      <c r="BP756" s="230">
        <f t="shared" si="695"/>
        <v>43</v>
      </c>
      <c r="BQ756" s="235">
        <f t="shared" si="696"/>
        <v>3.2938815789473681</v>
      </c>
      <c r="BR756" s="235" cm="1">
        <f t="array" ref="BR756">$BI756 * IF($AH756&lt;=2,
SUMPRODUCT(INDEX($AR$72:$AT$76,,$AI756), INDEX($AU$72:$BA$76,,$AH756), 1 / ($BB$72:$BB$76*BQ756 + (1-$BB$72:$BB$76)*BM756), N($AQ$72:$AQ$76&gt;$AO756)),
SUMPRODUCT(INDEX($AR$67:$AT$76,,$AI756), INDEX($AU$67:$BA$76,,$AH756), 1 / ($BC$67:$BC$76*BQ756 + (1-$BC$67:$BC$76)*BM756), N($AQ$67:$AQ$76&gt;$AO756))
) / 1000</f>
        <v>0</v>
      </c>
      <c r="BS756" s="232">
        <f t="shared" si="720"/>
        <v>25</v>
      </c>
      <c r="BT756" s="230">
        <f t="shared" si="697"/>
        <v>38</v>
      </c>
      <c r="BU756" s="235">
        <f t="shared" si="698"/>
        <v>3.792954545454545</v>
      </c>
      <c r="BV756" s="235" cm="1">
        <f t="array" ref="BV756">$BI756 * IF($AH756&lt;=2,
SUMPRODUCT(INDEX($AR$67:$AT$71,,$AI756), INDEX($AU$67:$BA$71,,$AH756), 1 / ($BB$67:$BB$71*BU756 + (1-$BB$67:$BB$71)*BQ756), N($AQ$67:$AQ$71&gt;$AO756)),
SUMPRODUCT(INDEX($AR$57:$AT$66,,$AI756), INDEX($AU$57:$BA$66,,$AH756), 1 / ($BC$57:$BC$66*BU756 + (1-$BC$57:$BC$66)*BQ756), N($AQ$57:$AQ$66&gt;$AO756))
) / 1000</f>
        <v>0</v>
      </c>
      <c r="BW756" s="232">
        <f t="shared" si="721"/>
        <v>20</v>
      </c>
      <c r="BX756" s="230">
        <f t="shared" si="699"/>
        <v>33</v>
      </c>
      <c r="BY756" s="235">
        <f t="shared" si="700"/>
        <v>4.4702678571428569</v>
      </c>
      <c r="BZ756" s="235" cm="1">
        <f t="array" ref="BZ756">$BI756 * IF($AH756&lt;=2,
SUMPRODUCT(INDEX($AR$62:$AT$66,,$AI756), INDEX($AU$62:$BA$66,,$AH756), 1 / ($BB$62:$BB$66*BY756 + (1-$BB$62:$BB$66)*BU756), N($AQ$62:$AQ$66&gt;$AO756)),
SUMPRODUCT(INDEX($AR$47:$AT$56,,$AI756), INDEX($AU$47:$BA$56,,$AH756), 1 / ($BC$47:$BC$56*BY756 + (1-$BC$47:$BC$56)*BU756), N($AQ$47:$AQ$56&gt;$AO756))
) / 1000</f>
        <v>0</v>
      </c>
      <c r="CA756" s="235" cm="1">
        <f t="array" ref="CA756">$BI756 * IF($AH756&lt;=2,
SUMPRODUCT(INDEX($AR$23:$AT$61,,$AI756), INDEX($AU$23:$BA$61,,$AH756), 1 / ($BB$23:$BB$61*BY756), N($AQ$23:$AQ$61&gt;$AO756)),
SUMPRODUCT(INDEX($AR$23:$AT$46,,$AI756), INDEX($AU$23:$BA$46,,$AH756), 1 / ($BC$23:$BC$46*BY756), N($AQ$23:$AQ$46&gt;$AO756))
) / 1000</f>
        <v>0</v>
      </c>
      <c r="CB756" s="230">
        <f t="shared" si="701"/>
        <v>0</v>
      </c>
      <c r="CC756" s="238"/>
      <c r="CD756" s="229" cm="1">
        <f t="array" ref="CD756">IF(ISBLANK(Y756), INDEX(Use, $AH756, 4) - AN756*INDEX(Use, $AH756, 6) - (Q756-X756), Y756)</f>
        <v>7</v>
      </c>
      <c r="CE756" s="229">
        <f t="shared" si="702"/>
        <v>32</v>
      </c>
      <c r="CF756" s="230">
        <f t="shared" si="703"/>
        <v>0</v>
      </c>
      <c r="CG756" s="229">
        <v>35</v>
      </c>
      <c r="CH756" s="230">
        <f t="shared" si="704"/>
        <v>48</v>
      </c>
      <c r="CI756" s="235">
        <f t="shared" si="705"/>
        <v>3.0748170731707316</v>
      </c>
      <c r="CJ756" s="235" cm="1">
        <f t="array" ref="CJ756">$BI756 * SUMPRODUCT(INDEX($AR$77:$AT$82,,$AI756),INDEX($AU$77:$BA$82,,$AH756), N($AQ$77:$AQ$82&gt;$AO756)) / CI756 / 1000</f>
        <v>0</v>
      </c>
      <c r="CK756" s="232">
        <f t="shared" si="722"/>
        <v>30</v>
      </c>
      <c r="CL756" s="230">
        <f t="shared" si="706"/>
        <v>43</v>
      </c>
      <c r="CM756" s="235">
        <f t="shared" si="707"/>
        <v>3.5018750000000001</v>
      </c>
      <c r="CN756" s="235" cm="1">
        <f t="array" ref="CN756">$BI756 * IF($AH756&lt;=2,
SUMPRODUCT(INDEX($AR$72:$AT$76,,$AI756), INDEX($AU$72:$BA$76,,$AH756), 1 / ($BB$72:$BB$76*CM756 + (1-$BB$72:$BB$76)*CI756), N($AQ$72:$AQ$76&gt;$AO756)),
SUMPRODUCT(INDEX($AR$67:$AT$76,,$AI756), INDEX($AU$67:$BA$76,,$AH756), 1 / ($BC$67:$BC$76*CM756 + (1-$BC$67:$BC$76)*CI756), N($AQ$67:$AQ$76&gt;$AO756))
) / 1000</f>
        <v>0</v>
      </c>
      <c r="CO756" s="232">
        <f t="shared" si="723"/>
        <v>25</v>
      </c>
      <c r="CP756" s="230">
        <f t="shared" si="708"/>
        <v>38</v>
      </c>
      <c r="CQ756" s="235">
        <f t="shared" si="709"/>
        <v>4.0666935483870965</v>
      </c>
      <c r="CR756" s="235" cm="1">
        <f t="array" ref="CR756">$BI756 * IF($AH756&lt;=2,
SUMPRODUCT(INDEX($AR$67:$AT$71,,$AI756), INDEX($AU$67:$BA$71,,$AH756), 1 / ($BB$67:$BB$71*CQ756 + (1-$BB$67:$BB$71)*CM756), N($AQ$67:$AQ$71&gt;$AO756)),
SUMPRODUCT(INDEX($AR$57:$AT$66,,$AI756), INDEX($AU$57:$BA$66,,$AH756), 1 / ($BC$57:$BC$66*CQ756 + (1-$BC$57:$BC$66)*CM756), N($AQ$57:$AQ$66&gt;$AO756))
) / 1000</f>
        <v>0</v>
      </c>
      <c r="CS756" s="232">
        <f t="shared" si="724"/>
        <v>20</v>
      </c>
      <c r="CT756" s="230">
        <f t="shared" si="710"/>
        <v>33</v>
      </c>
      <c r="CU756" s="235">
        <f t="shared" si="711"/>
        <v>4.8487499999999999</v>
      </c>
      <c r="CV756" s="235" cm="1">
        <f t="array" ref="CV756">$BI756 * IF($AH756&lt;=2,
SUMPRODUCT(INDEX($AR$62:$AT$66,,$AI756), INDEX($AU$62:$BA$66,,$AH756), 1 / ($BB$62:$BB$66*CU756 + (1-$BB$62:$BB$66)*CQ756), N($AQ$62:$AQ$66&gt;$AO756)),
SUMPRODUCT(INDEX($AR$47:$AT$56,,$AI756), INDEX($AU$47:$BA$56,,$AH756), 1 / ($BC$47:$BC$56*CU756 + (1-$BC$47:$BC$56)*CQ756), N($AQ$47:$AQ$56&gt;$AO756))
) / 1000</f>
        <v>0</v>
      </c>
      <c r="CW756" s="235" cm="1">
        <f t="array" ref="CW756">$BI756 * IF($AH756&lt;=2,
SUMPRODUCT(INDEX($AR$23:$AT$61,,$AI756), INDEX($AU$23:$BA$61,,$AH756), 1 / ($BB$23:$BB$61*CU756), N($AQ$23:$AQ$61&gt;$AO756)),
SUMPRODUCT(INDEX($AR$23:$AT$46,,$AI756), INDEX($AU$23:$BA$46,,$AH756), 1 / ($BC$23:$BC$46*CU756), N($AQ$23:$AQ$46&gt;$AO756))
) / 1000</f>
        <v>0</v>
      </c>
      <c r="CX756" s="230">
        <f t="shared" si="712"/>
        <v>0</v>
      </c>
      <c r="CY756" s="238"/>
    </row>
    <row r="757" spans="1:103" s="76" customFormat="1" ht="14.25" customHeight="1" x14ac:dyDescent="0.2">
      <c r="A757" s="231" t="b">
        <f t="shared" si="716"/>
        <v>0</v>
      </c>
      <c r="B757" s="245">
        <v>735</v>
      </c>
      <c r="C757" s="258"/>
      <c r="D757" s="258"/>
      <c r="E757" s="246"/>
      <c r="F757" s="247" t="str">
        <f>IF(ISBLANK(E757), "", VLOOKUP(E757, Z!$A$2:$C$4127, 3, FALSE))</f>
        <v/>
      </c>
      <c r="G757" s="248"/>
      <c r="H757" s="248"/>
      <c r="I757" s="249"/>
      <c r="J757" s="250"/>
      <c r="K757" s="259"/>
      <c r="L757" s="260"/>
      <c r="M757" s="252" t="str" cm="1">
        <f t="array" ref="M757">INDEX(Trad, 53, $A$20)</f>
        <v>Verschmutzt</v>
      </c>
      <c r="N757" s="253"/>
      <c r="O757" s="253"/>
      <c r="P757" s="254"/>
      <c r="Q757" s="251"/>
      <c r="R757" s="251"/>
      <c r="S757" s="264">
        <f t="shared" si="687"/>
        <v>0</v>
      </c>
      <c r="T757" s="252" t="str" cm="1">
        <f t="array" ref="T757">INDEX(Trad, 52, $A$20)</f>
        <v>Sauber</v>
      </c>
      <c r="U757" s="253"/>
      <c r="V757" s="253"/>
      <c r="W757" s="254"/>
      <c r="X757" s="251"/>
      <c r="Y757" s="251"/>
      <c r="Z757" s="264">
        <f t="shared" si="688"/>
        <v>0</v>
      </c>
      <c r="AA757" s="261"/>
      <c r="AB757" s="258"/>
      <c r="AC757" s="246"/>
      <c r="AD757" s="247" t="str">
        <f>IF(ISBLANK(AC757), "", VLOOKUP(AC757, Z!$A$2:$C$4127, 3, FALSE))</f>
        <v/>
      </c>
      <c r="AE757" s="262"/>
      <c r="AF757" s="263">
        <f t="shared" si="689"/>
        <v>0</v>
      </c>
      <c r="AG757" s="238"/>
      <c r="AH757" s="229">
        <f t="shared" si="713"/>
        <v>1</v>
      </c>
      <c r="AI757" s="229">
        <f t="shared" si="714"/>
        <v>1</v>
      </c>
      <c r="AJ757" s="229">
        <f t="shared" si="715"/>
        <v>0</v>
      </c>
      <c r="AK757" s="229">
        <v>0</v>
      </c>
      <c r="AL757" s="229">
        <v>0</v>
      </c>
      <c r="AM757" s="229">
        <v>1</v>
      </c>
      <c r="AN757" s="229">
        <v>0</v>
      </c>
      <c r="AO757" s="229">
        <f t="shared" si="690"/>
        <v>-100</v>
      </c>
      <c r="AP757" s="238"/>
      <c r="AQ757" s="255"/>
      <c r="AR757" s="255"/>
      <c r="AS757" s="256"/>
      <c r="AT757" s="256"/>
      <c r="AU757" s="256"/>
      <c r="AV757" s="256"/>
      <c r="AW757" s="256"/>
      <c r="AX757" s="256"/>
      <c r="AY757" s="256"/>
      <c r="AZ757" s="256"/>
      <c r="BA757" s="256"/>
      <c r="BB757" s="256"/>
      <c r="BC757" s="256"/>
      <c r="BD757" s="238"/>
      <c r="BE757" s="229" cm="1">
        <f t="array" ref="BE757">IF(ISBLANK(R757), INDEX(Use, $AH757, 4) - AM757*INDEX(Use, $AH757, 6), R757)</f>
        <v>5</v>
      </c>
      <c r="BF757" s="229">
        <f t="shared" si="691"/>
        <v>30</v>
      </c>
      <c r="BG757" s="229">
        <f t="shared" si="717"/>
        <v>13</v>
      </c>
      <c r="BH757" s="229">
        <f t="shared" si="718"/>
        <v>0</v>
      </c>
      <c r="BI757" s="234" cm="1">
        <f t="array" ref="BI757">K757/IF($L757&gt;0, INDEX($AU$23:$BA$77, $L757+20, $AH757), 1)</f>
        <v>0</v>
      </c>
      <c r="BJ757" s="230">
        <f t="shared" si="692"/>
        <v>0</v>
      </c>
      <c r="BK757" s="229">
        <v>35</v>
      </c>
      <c r="BL757" s="230">
        <f t="shared" si="693"/>
        <v>48</v>
      </c>
      <c r="BM757" s="235">
        <f t="shared" si="694"/>
        <v>2.9108720930232557</v>
      </c>
      <c r="BN757" s="235" cm="1">
        <f t="array" ref="BN757">$BI757 * SUMPRODUCT(INDEX($AR$77:$AT$82,,$AI757),INDEX($AU$77:$BA$82,,$AH757), N($AQ$77:$AQ$82&gt;$AO757)) / BM757 / 1000</f>
        <v>0</v>
      </c>
      <c r="BO757" s="232">
        <f t="shared" si="719"/>
        <v>30</v>
      </c>
      <c r="BP757" s="230">
        <f t="shared" si="695"/>
        <v>43</v>
      </c>
      <c r="BQ757" s="235">
        <f t="shared" si="696"/>
        <v>3.2938815789473681</v>
      </c>
      <c r="BR757" s="235" cm="1">
        <f t="array" ref="BR757">$BI757 * IF($AH757&lt;=2,
SUMPRODUCT(INDEX($AR$72:$AT$76,,$AI757), INDEX($AU$72:$BA$76,,$AH757), 1 / ($BB$72:$BB$76*BQ757 + (1-$BB$72:$BB$76)*BM757), N($AQ$72:$AQ$76&gt;$AO757)),
SUMPRODUCT(INDEX($AR$67:$AT$76,,$AI757), INDEX($AU$67:$BA$76,,$AH757), 1 / ($BC$67:$BC$76*BQ757 + (1-$BC$67:$BC$76)*BM757), N($AQ$67:$AQ$76&gt;$AO757))
) / 1000</f>
        <v>0</v>
      </c>
      <c r="BS757" s="232">
        <f t="shared" si="720"/>
        <v>25</v>
      </c>
      <c r="BT757" s="230">
        <f t="shared" si="697"/>
        <v>38</v>
      </c>
      <c r="BU757" s="235">
        <f t="shared" si="698"/>
        <v>3.792954545454545</v>
      </c>
      <c r="BV757" s="235" cm="1">
        <f t="array" ref="BV757">$BI757 * IF($AH757&lt;=2,
SUMPRODUCT(INDEX($AR$67:$AT$71,,$AI757), INDEX($AU$67:$BA$71,,$AH757), 1 / ($BB$67:$BB$71*BU757 + (1-$BB$67:$BB$71)*BQ757), N($AQ$67:$AQ$71&gt;$AO757)),
SUMPRODUCT(INDEX($AR$57:$AT$66,,$AI757), INDEX($AU$57:$BA$66,,$AH757), 1 / ($BC$57:$BC$66*BU757 + (1-$BC$57:$BC$66)*BQ757), N($AQ$57:$AQ$66&gt;$AO757))
) / 1000</f>
        <v>0</v>
      </c>
      <c r="BW757" s="232">
        <f t="shared" si="721"/>
        <v>20</v>
      </c>
      <c r="BX757" s="230">
        <f t="shared" si="699"/>
        <v>33</v>
      </c>
      <c r="BY757" s="235">
        <f t="shared" si="700"/>
        <v>4.4702678571428569</v>
      </c>
      <c r="BZ757" s="235" cm="1">
        <f t="array" ref="BZ757">$BI757 * IF($AH757&lt;=2,
SUMPRODUCT(INDEX($AR$62:$AT$66,,$AI757), INDEX($AU$62:$BA$66,,$AH757), 1 / ($BB$62:$BB$66*BY757 + (1-$BB$62:$BB$66)*BU757), N($AQ$62:$AQ$66&gt;$AO757)),
SUMPRODUCT(INDEX($AR$47:$AT$56,,$AI757), INDEX($AU$47:$BA$56,,$AH757), 1 / ($BC$47:$BC$56*BY757 + (1-$BC$47:$BC$56)*BU757), N($AQ$47:$AQ$56&gt;$AO757))
) / 1000</f>
        <v>0</v>
      </c>
      <c r="CA757" s="235" cm="1">
        <f t="array" ref="CA757">$BI757 * IF($AH757&lt;=2,
SUMPRODUCT(INDEX($AR$23:$AT$61,,$AI757), INDEX($AU$23:$BA$61,,$AH757), 1 / ($BB$23:$BB$61*BY757), N($AQ$23:$AQ$61&gt;$AO757)),
SUMPRODUCT(INDEX($AR$23:$AT$46,,$AI757), INDEX($AU$23:$BA$46,,$AH757), 1 / ($BC$23:$BC$46*BY757), N($AQ$23:$AQ$46&gt;$AO757))
) / 1000</f>
        <v>0</v>
      </c>
      <c r="CB757" s="230">
        <f t="shared" si="701"/>
        <v>0</v>
      </c>
      <c r="CC757" s="238"/>
      <c r="CD757" s="229" cm="1">
        <f t="array" ref="CD757">IF(ISBLANK(Y757), INDEX(Use, $AH757, 4) - AN757*INDEX(Use, $AH757, 6) - (Q757-X757), Y757)</f>
        <v>7</v>
      </c>
      <c r="CE757" s="229">
        <f t="shared" si="702"/>
        <v>32</v>
      </c>
      <c r="CF757" s="230">
        <f t="shared" si="703"/>
        <v>0</v>
      </c>
      <c r="CG757" s="229">
        <v>35</v>
      </c>
      <c r="CH757" s="230">
        <f t="shared" si="704"/>
        <v>48</v>
      </c>
      <c r="CI757" s="235">
        <f t="shared" si="705"/>
        <v>3.0748170731707316</v>
      </c>
      <c r="CJ757" s="235" cm="1">
        <f t="array" ref="CJ757">$BI757 * SUMPRODUCT(INDEX($AR$77:$AT$82,,$AI757),INDEX($AU$77:$BA$82,,$AH757), N($AQ$77:$AQ$82&gt;$AO757)) / CI757 / 1000</f>
        <v>0</v>
      </c>
      <c r="CK757" s="232">
        <f t="shared" si="722"/>
        <v>30</v>
      </c>
      <c r="CL757" s="230">
        <f t="shared" si="706"/>
        <v>43</v>
      </c>
      <c r="CM757" s="235">
        <f t="shared" si="707"/>
        <v>3.5018750000000001</v>
      </c>
      <c r="CN757" s="235" cm="1">
        <f t="array" ref="CN757">$BI757 * IF($AH757&lt;=2,
SUMPRODUCT(INDEX($AR$72:$AT$76,,$AI757), INDEX($AU$72:$BA$76,,$AH757), 1 / ($BB$72:$BB$76*CM757 + (1-$BB$72:$BB$76)*CI757), N($AQ$72:$AQ$76&gt;$AO757)),
SUMPRODUCT(INDEX($AR$67:$AT$76,,$AI757), INDEX($AU$67:$BA$76,,$AH757), 1 / ($BC$67:$BC$76*CM757 + (1-$BC$67:$BC$76)*CI757), N($AQ$67:$AQ$76&gt;$AO757))
) / 1000</f>
        <v>0</v>
      </c>
      <c r="CO757" s="232">
        <f t="shared" si="723"/>
        <v>25</v>
      </c>
      <c r="CP757" s="230">
        <f t="shared" si="708"/>
        <v>38</v>
      </c>
      <c r="CQ757" s="235">
        <f t="shared" si="709"/>
        <v>4.0666935483870965</v>
      </c>
      <c r="CR757" s="235" cm="1">
        <f t="array" ref="CR757">$BI757 * IF($AH757&lt;=2,
SUMPRODUCT(INDEX($AR$67:$AT$71,,$AI757), INDEX($AU$67:$BA$71,,$AH757), 1 / ($BB$67:$BB$71*CQ757 + (1-$BB$67:$BB$71)*CM757), N($AQ$67:$AQ$71&gt;$AO757)),
SUMPRODUCT(INDEX($AR$57:$AT$66,,$AI757), INDEX($AU$57:$BA$66,,$AH757), 1 / ($BC$57:$BC$66*CQ757 + (1-$BC$57:$BC$66)*CM757), N($AQ$57:$AQ$66&gt;$AO757))
) / 1000</f>
        <v>0</v>
      </c>
      <c r="CS757" s="232">
        <f t="shared" si="724"/>
        <v>20</v>
      </c>
      <c r="CT757" s="230">
        <f t="shared" si="710"/>
        <v>33</v>
      </c>
      <c r="CU757" s="235">
        <f t="shared" si="711"/>
        <v>4.8487499999999999</v>
      </c>
      <c r="CV757" s="235" cm="1">
        <f t="array" ref="CV757">$BI757 * IF($AH757&lt;=2,
SUMPRODUCT(INDEX($AR$62:$AT$66,,$AI757), INDEX($AU$62:$BA$66,,$AH757), 1 / ($BB$62:$BB$66*CU757 + (1-$BB$62:$BB$66)*CQ757), N($AQ$62:$AQ$66&gt;$AO757)),
SUMPRODUCT(INDEX($AR$47:$AT$56,,$AI757), INDEX($AU$47:$BA$56,,$AH757), 1 / ($BC$47:$BC$56*CU757 + (1-$BC$47:$BC$56)*CQ757), N($AQ$47:$AQ$56&gt;$AO757))
) / 1000</f>
        <v>0</v>
      </c>
      <c r="CW757" s="235" cm="1">
        <f t="array" ref="CW757">$BI757 * IF($AH757&lt;=2,
SUMPRODUCT(INDEX($AR$23:$AT$61,,$AI757), INDEX($AU$23:$BA$61,,$AH757), 1 / ($BB$23:$BB$61*CU757), N($AQ$23:$AQ$61&gt;$AO757)),
SUMPRODUCT(INDEX($AR$23:$AT$46,,$AI757), INDEX($AU$23:$BA$46,,$AH757), 1 / ($BC$23:$BC$46*CU757), N($AQ$23:$AQ$46&gt;$AO757))
) / 1000</f>
        <v>0</v>
      </c>
      <c r="CX757" s="230">
        <f t="shared" si="712"/>
        <v>0</v>
      </c>
      <c r="CY757" s="238"/>
    </row>
    <row r="758" spans="1:103" s="76" customFormat="1" ht="14.25" customHeight="1" x14ac:dyDescent="0.2">
      <c r="A758" s="231" t="b">
        <f t="shared" si="716"/>
        <v>0</v>
      </c>
      <c r="B758" s="245">
        <v>736</v>
      </c>
      <c r="C758" s="258"/>
      <c r="D758" s="258"/>
      <c r="E758" s="246"/>
      <c r="F758" s="247" t="str">
        <f>IF(ISBLANK(E758), "", VLOOKUP(E758, Z!$A$2:$C$4127, 3, FALSE))</f>
        <v/>
      </c>
      <c r="G758" s="248"/>
      <c r="H758" s="248"/>
      <c r="I758" s="249"/>
      <c r="J758" s="250"/>
      <c r="K758" s="259"/>
      <c r="L758" s="260"/>
      <c r="M758" s="252" t="str" cm="1">
        <f t="array" ref="M758">INDEX(Trad, 53, $A$20)</f>
        <v>Verschmutzt</v>
      </c>
      <c r="N758" s="253"/>
      <c r="O758" s="253"/>
      <c r="P758" s="254"/>
      <c r="Q758" s="251"/>
      <c r="R758" s="251"/>
      <c r="S758" s="264">
        <f t="shared" si="687"/>
        <v>0</v>
      </c>
      <c r="T758" s="252" t="str" cm="1">
        <f t="array" ref="T758">INDEX(Trad, 52, $A$20)</f>
        <v>Sauber</v>
      </c>
      <c r="U758" s="253"/>
      <c r="V758" s="253"/>
      <c r="W758" s="254"/>
      <c r="X758" s="251"/>
      <c r="Y758" s="251"/>
      <c r="Z758" s="264">
        <f t="shared" si="688"/>
        <v>0</v>
      </c>
      <c r="AA758" s="261"/>
      <c r="AB758" s="258"/>
      <c r="AC758" s="246"/>
      <c r="AD758" s="247" t="str">
        <f>IF(ISBLANK(AC758), "", VLOOKUP(AC758, Z!$A$2:$C$4127, 3, FALSE))</f>
        <v/>
      </c>
      <c r="AE758" s="262"/>
      <c r="AF758" s="263">
        <f t="shared" si="689"/>
        <v>0</v>
      </c>
      <c r="AG758" s="238"/>
      <c r="AH758" s="229">
        <f t="shared" si="713"/>
        <v>1</v>
      </c>
      <c r="AI758" s="229">
        <f t="shared" si="714"/>
        <v>1</v>
      </c>
      <c r="AJ758" s="229">
        <f t="shared" si="715"/>
        <v>0</v>
      </c>
      <c r="AK758" s="229">
        <v>0</v>
      </c>
      <c r="AL758" s="229">
        <v>0</v>
      </c>
      <c r="AM758" s="229">
        <v>1</v>
      </c>
      <c r="AN758" s="229">
        <v>0</v>
      </c>
      <c r="AO758" s="229">
        <f t="shared" si="690"/>
        <v>-100</v>
      </c>
      <c r="AP758" s="238"/>
      <c r="AQ758" s="255"/>
      <c r="AR758" s="255"/>
      <c r="AS758" s="256"/>
      <c r="AT758" s="256"/>
      <c r="AU758" s="256"/>
      <c r="AV758" s="256"/>
      <c r="AW758" s="256"/>
      <c r="AX758" s="256"/>
      <c r="AY758" s="256"/>
      <c r="AZ758" s="256"/>
      <c r="BA758" s="256"/>
      <c r="BB758" s="256"/>
      <c r="BC758" s="256"/>
      <c r="BD758" s="238"/>
      <c r="BE758" s="229" cm="1">
        <f t="array" ref="BE758">IF(ISBLANK(R758), INDEX(Use, $AH758, 4) - AM758*INDEX(Use, $AH758, 6), R758)</f>
        <v>5</v>
      </c>
      <c r="BF758" s="229">
        <f t="shared" si="691"/>
        <v>30</v>
      </c>
      <c r="BG758" s="229">
        <f t="shared" si="717"/>
        <v>13</v>
      </c>
      <c r="BH758" s="229">
        <f t="shared" si="718"/>
        <v>0</v>
      </c>
      <c r="BI758" s="234" cm="1">
        <f t="array" ref="BI758">K758/IF($L758&gt;0, INDEX($AU$23:$BA$77, $L758+20, $AH758), 1)</f>
        <v>0</v>
      </c>
      <c r="BJ758" s="230">
        <f t="shared" si="692"/>
        <v>0</v>
      </c>
      <c r="BK758" s="229">
        <v>35</v>
      </c>
      <c r="BL758" s="230">
        <f t="shared" si="693"/>
        <v>48</v>
      </c>
      <c r="BM758" s="235">
        <f t="shared" si="694"/>
        <v>2.9108720930232557</v>
      </c>
      <c r="BN758" s="235" cm="1">
        <f t="array" ref="BN758">$BI758 * SUMPRODUCT(INDEX($AR$77:$AT$82,,$AI758),INDEX($AU$77:$BA$82,,$AH758), N($AQ$77:$AQ$82&gt;$AO758)) / BM758 / 1000</f>
        <v>0</v>
      </c>
      <c r="BO758" s="232">
        <f t="shared" si="719"/>
        <v>30</v>
      </c>
      <c r="BP758" s="230">
        <f t="shared" si="695"/>
        <v>43</v>
      </c>
      <c r="BQ758" s="235">
        <f t="shared" si="696"/>
        <v>3.2938815789473681</v>
      </c>
      <c r="BR758" s="235" cm="1">
        <f t="array" ref="BR758">$BI758 * IF($AH758&lt;=2,
SUMPRODUCT(INDEX($AR$72:$AT$76,,$AI758), INDEX($AU$72:$BA$76,,$AH758), 1 / ($BB$72:$BB$76*BQ758 + (1-$BB$72:$BB$76)*BM758), N($AQ$72:$AQ$76&gt;$AO758)),
SUMPRODUCT(INDEX($AR$67:$AT$76,,$AI758), INDEX($AU$67:$BA$76,,$AH758), 1 / ($BC$67:$BC$76*BQ758 + (1-$BC$67:$BC$76)*BM758), N($AQ$67:$AQ$76&gt;$AO758))
) / 1000</f>
        <v>0</v>
      </c>
      <c r="BS758" s="232">
        <f t="shared" si="720"/>
        <v>25</v>
      </c>
      <c r="BT758" s="230">
        <f t="shared" si="697"/>
        <v>38</v>
      </c>
      <c r="BU758" s="235">
        <f t="shared" si="698"/>
        <v>3.792954545454545</v>
      </c>
      <c r="BV758" s="235" cm="1">
        <f t="array" ref="BV758">$BI758 * IF($AH758&lt;=2,
SUMPRODUCT(INDEX($AR$67:$AT$71,,$AI758), INDEX($AU$67:$BA$71,,$AH758), 1 / ($BB$67:$BB$71*BU758 + (1-$BB$67:$BB$71)*BQ758), N($AQ$67:$AQ$71&gt;$AO758)),
SUMPRODUCT(INDEX($AR$57:$AT$66,,$AI758), INDEX($AU$57:$BA$66,,$AH758), 1 / ($BC$57:$BC$66*BU758 + (1-$BC$57:$BC$66)*BQ758), N($AQ$57:$AQ$66&gt;$AO758))
) / 1000</f>
        <v>0</v>
      </c>
      <c r="BW758" s="232">
        <f t="shared" si="721"/>
        <v>20</v>
      </c>
      <c r="BX758" s="230">
        <f t="shared" si="699"/>
        <v>33</v>
      </c>
      <c r="BY758" s="235">
        <f t="shared" si="700"/>
        <v>4.4702678571428569</v>
      </c>
      <c r="BZ758" s="235" cm="1">
        <f t="array" ref="BZ758">$BI758 * IF($AH758&lt;=2,
SUMPRODUCT(INDEX($AR$62:$AT$66,,$AI758), INDEX($AU$62:$BA$66,,$AH758), 1 / ($BB$62:$BB$66*BY758 + (1-$BB$62:$BB$66)*BU758), N($AQ$62:$AQ$66&gt;$AO758)),
SUMPRODUCT(INDEX($AR$47:$AT$56,,$AI758), INDEX($AU$47:$BA$56,,$AH758), 1 / ($BC$47:$BC$56*BY758 + (1-$BC$47:$BC$56)*BU758), N($AQ$47:$AQ$56&gt;$AO758))
) / 1000</f>
        <v>0</v>
      </c>
      <c r="CA758" s="235" cm="1">
        <f t="array" ref="CA758">$BI758 * IF($AH758&lt;=2,
SUMPRODUCT(INDEX($AR$23:$AT$61,,$AI758), INDEX($AU$23:$BA$61,,$AH758), 1 / ($BB$23:$BB$61*BY758), N($AQ$23:$AQ$61&gt;$AO758)),
SUMPRODUCT(INDEX($AR$23:$AT$46,,$AI758), INDEX($AU$23:$BA$46,,$AH758), 1 / ($BC$23:$BC$46*BY758), N($AQ$23:$AQ$46&gt;$AO758))
) / 1000</f>
        <v>0</v>
      </c>
      <c r="CB758" s="230">
        <f t="shared" si="701"/>
        <v>0</v>
      </c>
      <c r="CC758" s="238"/>
      <c r="CD758" s="229" cm="1">
        <f t="array" ref="CD758">IF(ISBLANK(Y758), INDEX(Use, $AH758, 4) - AN758*INDEX(Use, $AH758, 6) - (Q758-X758), Y758)</f>
        <v>7</v>
      </c>
      <c r="CE758" s="229">
        <f t="shared" si="702"/>
        <v>32</v>
      </c>
      <c r="CF758" s="230">
        <f t="shared" si="703"/>
        <v>0</v>
      </c>
      <c r="CG758" s="229">
        <v>35</v>
      </c>
      <c r="CH758" s="230">
        <f t="shared" si="704"/>
        <v>48</v>
      </c>
      <c r="CI758" s="235">
        <f t="shared" si="705"/>
        <v>3.0748170731707316</v>
      </c>
      <c r="CJ758" s="235" cm="1">
        <f t="array" ref="CJ758">$BI758 * SUMPRODUCT(INDEX($AR$77:$AT$82,,$AI758),INDEX($AU$77:$BA$82,,$AH758), N($AQ$77:$AQ$82&gt;$AO758)) / CI758 / 1000</f>
        <v>0</v>
      </c>
      <c r="CK758" s="232">
        <f t="shared" si="722"/>
        <v>30</v>
      </c>
      <c r="CL758" s="230">
        <f t="shared" si="706"/>
        <v>43</v>
      </c>
      <c r="CM758" s="235">
        <f t="shared" si="707"/>
        <v>3.5018750000000001</v>
      </c>
      <c r="CN758" s="235" cm="1">
        <f t="array" ref="CN758">$BI758 * IF($AH758&lt;=2,
SUMPRODUCT(INDEX($AR$72:$AT$76,,$AI758), INDEX($AU$72:$BA$76,,$AH758), 1 / ($BB$72:$BB$76*CM758 + (1-$BB$72:$BB$76)*CI758), N($AQ$72:$AQ$76&gt;$AO758)),
SUMPRODUCT(INDEX($AR$67:$AT$76,,$AI758), INDEX($AU$67:$BA$76,,$AH758), 1 / ($BC$67:$BC$76*CM758 + (1-$BC$67:$BC$76)*CI758), N($AQ$67:$AQ$76&gt;$AO758))
) / 1000</f>
        <v>0</v>
      </c>
      <c r="CO758" s="232">
        <f t="shared" si="723"/>
        <v>25</v>
      </c>
      <c r="CP758" s="230">
        <f t="shared" si="708"/>
        <v>38</v>
      </c>
      <c r="CQ758" s="235">
        <f t="shared" si="709"/>
        <v>4.0666935483870965</v>
      </c>
      <c r="CR758" s="235" cm="1">
        <f t="array" ref="CR758">$BI758 * IF($AH758&lt;=2,
SUMPRODUCT(INDEX($AR$67:$AT$71,,$AI758), INDEX($AU$67:$BA$71,,$AH758), 1 / ($BB$67:$BB$71*CQ758 + (1-$BB$67:$BB$71)*CM758), N($AQ$67:$AQ$71&gt;$AO758)),
SUMPRODUCT(INDEX($AR$57:$AT$66,,$AI758), INDEX($AU$57:$BA$66,,$AH758), 1 / ($BC$57:$BC$66*CQ758 + (1-$BC$57:$BC$66)*CM758), N($AQ$57:$AQ$66&gt;$AO758))
) / 1000</f>
        <v>0</v>
      </c>
      <c r="CS758" s="232">
        <f t="shared" si="724"/>
        <v>20</v>
      </c>
      <c r="CT758" s="230">
        <f t="shared" si="710"/>
        <v>33</v>
      </c>
      <c r="CU758" s="235">
        <f t="shared" si="711"/>
        <v>4.8487499999999999</v>
      </c>
      <c r="CV758" s="235" cm="1">
        <f t="array" ref="CV758">$BI758 * IF($AH758&lt;=2,
SUMPRODUCT(INDEX($AR$62:$AT$66,,$AI758), INDEX($AU$62:$BA$66,,$AH758), 1 / ($BB$62:$BB$66*CU758 + (1-$BB$62:$BB$66)*CQ758), N($AQ$62:$AQ$66&gt;$AO758)),
SUMPRODUCT(INDEX($AR$47:$AT$56,,$AI758), INDEX($AU$47:$BA$56,,$AH758), 1 / ($BC$47:$BC$56*CU758 + (1-$BC$47:$BC$56)*CQ758), N($AQ$47:$AQ$56&gt;$AO758))
) / 1000</f>
        <v>0</v>
      </c>
      <c r="CW758" s="235" cm="1">
        <f t="array" ref="CW758">$BI758 * IF($AH758&lt;=2,
SUMPRODUCT(INDEX($AR$23:$AT$61,,$AI758), INDEX($AU$23:$BA$61,,$AH758), 1 / ($BB$23:$BB$61*CU758), N($AQ$23:$AQ$61&gt;$AO758)),
SUMPRODUCT(INDEX($AR$23:$AT$46,,$AI758), INDEX($AU$23:$BA$46,,$AH758), 1 / ($BC$23:$BC$46*CU758), N($AQ$23:$AQ$46&gt;$AO758))
) / 1000</f>
        <v>0</v>
      </c>
      <c r="CX758" s="230">
        <f t="shared" si="712"/>
        <v>0</v>
      </c>
      <c r="CY758" s="238"/>
    </row>
    <row r="759" spans="1:103" s="76" customFormat="1" ht="14.25" customHeight="1" x14ac:dyDescent="0.2">
      <c r="A759" s="231" t="b">
        <f t="shared" si="716"/>
        <v>0</v>
      </c>
      <c r="B759" s="245">
        <v>737</v>
      </c>
      <c r="C759" s="258"/>
      <c r="D759" s="258"/>
      <c r="E759" s="246"/>
      <c r="F759" s="247" t="str">
        <f>IF(ISBLANK(E759), "", VLOOKUP(E759, Z!$A$2:$C$4127, 3, FALSE))</f>
        <v/>
      </c>
      <c r="G759" s="248"/>
      <c r="H759" s="248"/>
      <c r="I759" s="249"/>
      <c r="J759" s="250"/>
      <c r="K759" s="259"/>
      <c r="L759" s="260"/>
      <c r="M759" s="252" t="str" cm="1">
        <f t="array" ref="M759">INDEX(Trad, 53, $A$20)</f>
        <v>Verschmutzt</v>
      </c>
      <c r="N759" s="253"/>
      <c r="O759" s="253"/>
      <c r="P759" s="254"/>
      <c r="Q759" s="251"/>
      <c r="R759" s="251"/>
      <c r="S759" s="264">
        <f t="shared" si="687"/>
        <v>0</v>
      </c>
      <c r="T759" s="252" t="str" cm="1">
        <f t="array" ref="T759">INDEX(Trad, 52, $A$20)</f>
        <v>Sauber</v>
      </c>
      <c r="U759" s="253"/>
      <c r="V759" s="253"/>
      <c r="W759" s="254"/>
      <c r="X759" s="251"/>
      <c r="Y759" s="251"/>
      <c r="Z759" s="264">
        <f t="shared" si="688"/>
        <v>0</v>
      </c>
      <c r="AA759" s="261"/>
      <c r="AB759" s="258"/>
      <c r="AC759" s="246"/>
      <c r="AD759" s="247" t="str">
        <f>IF(ISBLANK(AC759), "", VLOOKUP(AC759, Z!$A$2:$C$4127, 3, FALSE))</f>
        <v/>
      </c>
      <c r="AE759" s="262"/>
      <c r="AF759" s="263">
        <f t="shared" si="689"/>
        <v>0</v>
      </c>
      <c r="AG759" s="238"/>
      <c r="AH759" s="229">
        <f t="shared" si="713"/>
        <v>1</v>
      </c>
      <c r="AI759" s="229">
        <f t="shared" si="714"/>
        <v>1</v>
      </c>
      <c r="AJ759" s="229">
        <f t="shared" si="715"/>
        <v>0</v>
      </c>
      <c r="AK759" s="229">
        <v>0</v>
      </c>
      <c r="AL759" s="229">
        <v>0</v>
      </c>
      <c r="AM759" s="229">
        <v>1</v>
      </c>
      <c r="AN759" s="229">
        <v>0</v>
      </c>
      <c r="AO759" s="229">
        <f t="shared" si="690"/>
        <v>-100</v>
      </c>
      <c r="AP759" s="238"/>
      <c r="AQ759" s="255"/>
      <c r="AR759" s="255"/>
      <c r="AS759" s="256"/>
      <c r="AT759" s="256"/>
      <c r="AU759" s="256"/>
      <c r="AV759" s="256"/>
      <c r="AW759" s="256"/>
      <c r="AX759" s="256"/>
      <c r="AY759" s="256"/>
      <c r="AZ759" s="256"/>
      <c r="BA759" s="256"/>
      <c r="BB759" s="256"/>
      <c r="BC759" s="256"/>
      <c r="BD759" s="238"/>
      <c r="BE759" s="229" cm="1">
        <f t="array" ref="BE759">IF(ISBLANK(R759), INDEX(Use, $AH759, 4) - AM759*INDEX(Use, $AH759, 6), R759)</f>
        <v>5</v>
      </c>
      <c r="BF759" s="229">
        <f t="shared" si="691"/>
        <v>30</v>
      </c>
      <c r="BG759" s="229">
        <f t="shared" si="717"/>
        <v>13</v>
      </c>
      <c r="BH759" s="229">
        <f t="shared" si="718"/>
        <v>0</v>
      </c>
      <c r="BI759" s="234" cm="1">
        <f t="array" ref="BI759">K759/IF($L759&gt;0, INDEX($AU$23:$BA$77, $L759+20, $AH759), 1)</f>
        <v>0</v>
      </c>
      <c r="BJ759" s="230">
        <f t="shared" si="692"/>
        <v>0</v>
      </c>
      <c r="BK759" s="229">
        <v>35</v>
      </c>
      <c r="BL759" s="230">
        <f t="shared" si="693"/>
        <v>48</v>
      </c>
      <c r="BM759" s="235">
        <f t="shared" si="694"/>
        <v>2.9108720930232557</v>
      </c>
      <c r="BN759" s="235" cm="1">
        <f t="array" ref="BN759">$BI759 * SUMPRODUCT(INDEX($AR$77:$AT$82,,$AI759),INDEX($AU$77:$BA$82,,$AH759), N($AQ$77:$AQ$82&gt;$AO759)) / BM759 / 1000</f>
        <v>0</v>
      </c>
      <c r="BO759" s="232">
        <f t="shared" si="719"/>
        <v>30</v>
      </c>
      <c r="BP759" s="230">
        <f t="shared" si="695"/>
        <v>43</v>
      </c>
      <c r="BQ759" s="235">
        <f t="shared" si="696"/>
        <v>3.2938815789473681</v>
      </c>
      <c r="BR759" s="235" cm="1">
        <f t="array" ref="BR759">$BI759 * IF($AH759&lt;=2,
SUMPRODUCT(INDEX($AR$72:$AT$76,,$AI759), INDEX($AU$72:$BA$76,,$AH759), 1 / ($BB$72:$BB$76*BQ759 + (1-$BB$72:$BB$76)*BM759), N($AQ$72:$AQ$76&gt;$AO759)),
SUMPRODUCT(INDEX($AR$67:$AT$76,,$AI759), INDEX($AU$67:$BA$76,,$AH759), 1 / ($BC$67:$BC$76*BQ759 + (1-$BC$67:$BC$76)*BM759), N($AQ$67:$AQ$76&gt;$AO759))
) / 1000</f>
        <v>0</v>
      </c>
      <c r="BS759" s="232">
        <f t="shared" si="720"/>
        <v>25</v>
      </c>
      <c r="BT759" s="230">
        <f t="shared" si="697"/>
        <v>38</v>
      </c>
      <c r="BU759" s="235">
        <f t="shared" si="698"/>
        <v>3.792954545454545</v>
      </c>
      <c r="BV759" s="235" cm="1">
        <f t="array" ref="BV759">$BI759 * IF($AH759&lt;=2,
SUMPRODUCT(INDEX($AR$67:$AT$71,,$AI759), INDEX($AU$67:$BA$71,,$AH759), 1 / ($BB$67:$BB$71*BU759 + (1-$BB$67:$BB$71)*BQ759), N($AQ$67:$AQ$71&gt;$AO759)),
SUMPRODUCT(INDEX($AR$57:$AT$66,,$AI759), INDEX($AU$57:$BA$66,,$AH759), 1 / ($BC$57:$BC$66*BU759 + (1-$BC$57:$BC$66)*BQ759), N($AQ$57:$AQ$66&gt;$AO759))
) / 1000</f>
        <v>0</v>
      </c>
      <c r="BW759" s="232">
        <f t="shared" si="721"/>
        <v>20</v>
      </c>
      <c r="BX759" s="230">
        <f t="shared" si="699"/>
        <v>33</v>
      </c>
      <c r="BY759" s="235">
        <f t="shared" si="700"/>
        <v>4.4702678571428569</v>
      </c>
      <c r="BZ759" s="235" cm="1">
        <f t="array" ref="BZ759">$BI759 * IF($AH759&lt;=2,
SUMPRODUCT(INDEX($AR$62:$AT$66,,$AI759), INDEX($AU$62:$BA$66,,$AH759), 1 / ($BB$62:$BB$66*BY759 + (1-$BB$62:$BB$66)*BU759), N($AQ$62:$AQ$66&gt;$AO759)),
SUMPRODUCT(INDEX($AR$47:$AT$56,,$AI759), INDEX($AU$47:$BA$56,,$AH759), 1 / ($BC$47:$BC$56*BY759 + (1-$BC$47:$BC$56)*BU759), N($AQ$47:$AQ$56&gt;$AO759))
) / 1000</f>
        <v>0</v>
      </c>
      <c r="CA759" s="235" cm="1">
        <f t="array" ref="CA759">$BI759 * IF($AH759&lt;=2,
SUMPRODUCT(INDEX($AR$23:$AT$61,,$AI759), INDEX($AU$23:$BA$61,,$AH759), 1 / ($BB$23:$BB$61*BY759), N($AQ$23:$AQ$61&gt;$AO759)),
SUMPRODUCT(INDEX($AR$23:$AT$46,,$AI759), INDEX($AU$23:$BA$46,,$AH759), 1 / ($BC$23:$BC$46*BY759), N($AQ$23:$AQ$46&gt;$AO759))
) / 1000</f>
        <v>0</v>
      </c>
      <c r="CB759" s="230">
        <f t="shared" si="701"/>
        <v>0</v>
      </c>
      <c r="CC759" s="238"/>
      <c r="CD759" s="229" cm="1">
        <f t="array" ref="CD759">IF(ISBLANK(Y759), INDEX(Use, $AH759, 4) - AN759*INDEX(Use, $AH759, 6) - (Q759-X759), Y759)</f>
        <v>7</v>
      </c>
      <c r="CE759" s="229">
        <f t="shared" si="702"/>
        <v>32</v>
      </c>
      <c r="CF759" s="230">
        <f t="shared" si="703"/>
        <v>0</v>
      </c>
      <c r="CG759" s="229">
        <v>35</v>
      </c>
      <c r="CH759" s="230">
        <f t="shared" si="704"/>
        <v>48</v>
      </c>
      <c r="CI759" s="235">
        <f t="shared" si="705"/>
        <v>3.0748170731707316</v>
      </c>
      <c r="CJ759" s="235" cm="1">
        <f t="array" ref="CJ759">$BI759 * SUMPRODUCT(INDEX($AR$77:$AT$82,,$AI759),INDEX($AU$77:$BA$82,,$AH759), N($AQ$77:$AQ$82&gt;$AO759)) / CI759 / 1000</f>
        <v>0</v>
      </c>
      <c r="CK759" s="232">
        <f t="shared" si="722"/>
        <v>30</v>
      </c>
      <c r="CL759" s="230">
        <f t="shared" si="706"/>
        <v>43</v>
      </c>
      <c r="CM759" s="235">
        <f t="shared" si="707"/>
        <v>3.5018750000000001</v>
      </c>
      <c r="CN759" s="235" cm="1">
        <f t="array" ref="CN759">$BI759 * IF($AH759&lt;=2,
SUMPRODUCT(INDEX($AR$72:$AT$76,,$AI759), INDEX($AU$72:$BA$76,,$AH759), 1 / ($BB$72:$BB$76*CM759 + (1-$BB$72:$BB$76)*CI759), N($AQ$72:$AQ$76&gt;$AO759)),
SUMPRODUCT(INDEX($AR$67:$AT$76,,$AI759), INDEX($AU$67:$BA$76,,$AH759), 1 / ($BC$67:$BC$76*CM759 + (1-$BC$67:$BC$76)*CI759), N($AQ$67:$AQ$76&gt;$AO759))
) / 1000</f>
        <v>0</v>
      </c>
      <c r="CO759" s="232">
        <f t="shared" si="723"/>
        <v>25</v>
      </c>
      <c r="CP759" s="230">
        <f t="shared" si="708"/>
        <v>38</v>
      </c>
      <c r="CQ759" s="235">
        <f t="shared" si="709"/>
        <v>4.0666935483870965</v>
      </c>
      <c r="CR759" s="235" cm="1">
        <f t="array" ref="CR759">$BI759 * IF($AH759&lt;=2,
SUMPRODUCT(INDEX($AR$67:$AT$71,,$AI759), INDEX($AU$67:$BA$71,,$AH759), 1 / ($BB$67:$BB$71*CQ759 + (1-$BB$67:$BB$71)*CM759), N($AQ$67:$AQ$71&gt;$AO759)),
SUMPRODUCT(INDEX($AR$57:$AT$66,,$AI759), INDEX($AU$57:$BA$66,,$AH759), 1 / ($BC$57:$BC$66*CQ759 + (1-$BC$57:$BC$66)*CM759), N($AQ$57:$AQ$66&gt;$AO759))
) / 1000</f>
        <v>0</v>
      </c>
      <c r="CS759" s="232">
        <f t="shared" si="724"/>
        <v>20</v>
      </c>
      <c r="CT759" s="230">
        <f t="shared" si="710"/>
        <v>33</v>
      </c>
      <c r="CU759" s="235">
        <f t="shared" si="711"/>
        <v>4.8487499999999999</v>
      </c>
      <c r="CV759" s="235" cm="1">
        <f t="array" ref="CV759">$BI759 * IF($AH759&lt;=2,
SUMPRODUCT(INDEX($AR$62:$AT$66,,$AI759), INDEX($AU$62:$BA$66,,$AH759), 1 / ($BB$62:$BB$66*CU759 + (1-$BB$62:$BB$66)*CQ759), N($AQ$62:$AQ$66&gt;$AO759)),
SUMPRODUCT(INDEX($AR$47:$AT$56,,$AI759), INDEX($AU$47:$BA$56,,$AH759), 1 / ($BC$47:$BC$56*CU759 + (1-$BC$47:$BC$56)*CQ759), N($AQ$47:$AQ$56&gt;$AO759))
) / 1000</f>
        <v>0</v>
      </c>
      <c r="CW759" s="235" cm="1">
        <f t="array" ref="CW759">$BI759 * IF($AH759&lt;=2,
SUMPRODUCT(INDEX($AR$23:$AT$61,,$AI759), INDEX($AU$23:$BA$61,,$AH759), 1 / ($BB$23:$BB$61*CU759), N($AQ$23:$AQ$61&gt;$AO759)),
SUMPRODUCT(INDEX($AR$23:$AT$46,,$AI759), INDEX($AU$23:$BA$46,,$AH759), 1 / ($BC$23:$BC$46*CU759), N($AQ$23:$AQ$46&gt;$AO759))
) / 1000</f>
        <v>0</v>
      </c>
      <c r="CX759" s="230">
        <f t="shared" si="712"/>
        <v>0</v>
      </c>
      <c r="CY759" s="238"/>
    </row>
    <row r="760" spans="1:103" s="76" customFormat="1" ht="14.25" customHeight="1" x14ac:dyDescent="0.2">
      <c r="A760" s="231" t="b">
        <f t="shared" si="716"/>
        <v>0</v>
      </c>
      <c r="B760" s="245">
        <v>738</v>
      </c>
      <c r="C760" s="258"/>
      <c r="D760" s="258"/>
      <c r="E760" s="246"/>
      <c r="F760" s="247" t="str">
        <f>IF(ISBLANK(E760), "", VLOOKUP(E760, Z!$A$2:$C$4127, 3, FALSE))</f>
        <v/>
      </c>
      <c r="G760" s="248"/>
      <c r="H760" s="248"/>
      <c r="I760" s="249"/>
      <c r="J760" s="250"/>
      <c r="K760" s="259"/>
      <c r="L760" s="260"/>
      <c r="M760" s="252" t="str" cm="1">
        <f t="array" ref="M760">INDEX(Trad, 53, $A$20)</f>
        <v>Verschmutzt</v>
      </c>
      <c r="N760" s="253"/>
      <c r="O760" s="253"/>
      <c r="P760" s="254"/>
      <c r="Q760" s="251"/>
      <c r="R760" s="251"/>
      <c r="S760" s="264">
        <f t="shared" si="687"/>
        <v>0</v>
      </c>
      <c r="T760" s="252" t="str" cm="1">
        <f t="array" ref="T760">INDEX(Trad, 52, $A$20)</f>
        <v>Sauber</v>
      </c>
      <c r="U760" s="253"/>
      <c r="V760" s="253"/>
      <c r="W760" s="254"/>
      <c r="X760" s="251"/>
      <c r="Y760" s="251"/>
      <c r="Z760" s="264">
        <f t="shared" si="688"/>
        <v>0</v>
      </c>
      <c r="AA760" s="261"/>
      <c r="AB760" s="258"/>
      <c r="AC760" s="246"/>
      <c r="AD760" s="247" t="str">
        <f>IF(ISBLANK(AC760), "", VLOOKUP(AC760, Z!$A$2:$C$4127, 3, FALSE))</f>
        <v/>
      </c>
      <c r="AE760" s="262"/>
      <c r="AF760" s="263">
        <f t="shared" si="689"/>
        <v>0</v>
      </c>
      <c r="AG760" s="238"/>
      <c r="AH760" s="229">
        <f t="shared" si="713"/>
        <v>1</v>
      </c>
      <c r="AI760" s="229">
        <f t="shared" si="714"/>
        <v>1</v>
      </c>
      <c r="AJ760" s="229">
        <f t="shared" si="715"/>
        <v>0</v>
      </c>
      <c r="AK760" s="229">
        <v>0</v>
      </c>
      <c r="AL760" s="229">
        <v>0</v>
      </c>
      <c r="AM760" s="229">
        <v>1</v>
      </c>
      <c r="AN760" s="229">
        <v>0</v>
      </c>
      <c r="AO760" s="229">
        <f t="shared" si="690"/>
        <v>-100</v>
      </c>
      <c r="AP760" s="238"/>
      <c r="AQ760" s="255"/>
      <c r="AR760" s="255"/>
      <c r="AS760" s="256"/>
      <c r="AT760" s="256"/>
      <c r="AU760" s="256"/>
      <c r="AV760" s="256"/>
      <c r="AW760" s="256"/>
      <c r="AX760" s="256"/>
      <c r="AY760" s="256"/>
      <c r="AZ760" s="256"/>
      <c r="BA760" s="256"/>
      <c r="BB760" s="256"/>
      <c r="BC760" s="256"/>
      <c r="BD760" s="238"/>
      <c r="BE760" s="229" cm="1">
        <f t="array" ref="BE760">IF(ISBLANK(R760), INDEX(Use, $AH760, 4) - AM760*INDEX(Use, $AH760, 6), R760)</f>
        <v>5</v>
      </c>
      <c r="BF760" s="229">
        <f t="shared" si="691"/>
        <v>30</v>
      </c>
      <c r="BG760" s="229">
        <f t="shared" si="717"/>
        <v>13</v>
      </c>
      <c r="BH760" s="229">
        <f t="shared" si="718"/>
        <v>0</v>
      </c>
      <c r="BI760" s="234" cm="1">
        <f t="array" ref="BI760">K760/IF($L760&gt;0, INDEX($AU$23:$BA$77, $L760+20, $AH760), 1)</f>
        <v>0</v>
      </c>
      <c r="BJ760" s="230">
        <f t="shared" si="692"/>
        <v>0</v>
      </c>
      <c r="BK760" s="229">
        <v>35</v>
      </c>
      <c r="BL760" s="230">
        <f t="shared" si="693"/>
        <v>48</v>
      </c>
      <c r="BM760" s="235">
        <f t="shared" si="694"/>
        <v>2.9108720930232557</v>
      </c>
      <c r="BN760" s="235" cm="1">
        <f t="array" ref="BN760">$BI760 * SUMPRODUCT(INDEX($AR$77:$AT$82,,$AI760),INDEX($AU$77:$BA$82,,$AH760), N($AQ$77:$AQ$82&gt;$AO760)) / BM760 / 1000</f>
        <v>0</v>
      </c>
      <c r="BO760" s="232">
        <f t="shared" si="719"/>
        <v>30</v>
      </c>
      <c r="BP760" s="230">
        <f t="shared" si="695"/>
        <v>43</v>
      </c>
      <c r="BQ760" s="235">
        <f t="shared" si="696"/>
        <v>3.2938815789473681</v>
      </c>
      <c r="BR760" s="235" cm="1">
        <f t="array" ref="BR760">$BI760 * IF($AH760&lt;=2,
SUMPRODUCT(INDEX($AR$72:$AT$76,,$AI760), INDEX($AU$72:$BA$76,,$AH760), 1 / ($BB$72:$BB$76*BQ760 + (1-$BB$72:$BB$76)*BM760), N($AQ$72:$AQ$76&gt;$AO760)),
SUMPRODUCT(INDEX($AR$67:$AT$76,,$AI760), INDEX($AU$67:$BA$76,,$AH760), 1 / ($BC$67:$BC$76*BQ760 + (1-$BC$67:$BC$76)*BM760), N($AQ$67:$AQ$76&gt;$AO760))
) / 1000</f>
        <v>0</v>
      </c>
      <c r="BS760" s="232">
        <f t="shared" si="720"/>
        <v>25</v>
      </c>
      <c r="BT760" s="230">
        <f t="shared" si="697"/>
        <v>38</v>
      </c>
      <c r="BU760" s="235">
        <f t="shared" si="698"/>
        <v>3.792954545454545</v>
      </c>
      <c r="BV760" s="235" cm="1">
        <f t="array" ref="BV760">$BI760 * IF($AH760&lt;=2,
SUMPRODUCT(INDEX($AR$67:$AT$71,,$AI760), INDEX($AU$67:$BA$71,,$AH760), 1 / ($BB$67:$BB$71*BU760 + (1-$BB$67:$BB$71)*BQ760), N($AQ$67:$AQ$71&gt;$AO760)),
SUMPRODUCT(INDEX($AR$57:$AT$66,,$AI760), INDEX($AU$57:$BA$66,,$AH760), 1 / ($BC$57:$BC$66*BU760 + (1-$BC$57:$BC$66)*BQ760), N($AQ$57:$AQ$66&gt;$AO760))
) / 1000</f>
        <v>0</v>
      </c>
      <c r="BW760" s="232">
        <f t="shared" si="721"/>
        <v>20</v>
      </c>
      <c r="BX760" s="230">
        <f t="shared" si="699"/>
        <v>33</v>
      </c>
      <c r="BY760" s="235">
        <f t="shared" si="700"/>
        <v>4.4702678571428569</v>
      </c>
      <c r="BZ760" s="235" cm="1">
        <f t="array" ref="BZ760">$BI760 * IF($AH760&lt;=2,
SUMPRODUCT(INDEX($AR$62:$AT$66,,$AI760), INDEX($AU$62:$BA$66,,$AH760), 1 / ($BB$62:$BB$66*BY760 + (1-$BB$62:$BB$66)*BU760), N($AQ$62:$AQ$66&gt;$AO760)),
SUMPRODUCT(INDEX($AR$47:$AT$56,,$AI760), INDEX($AU$47:$BA$56,,$AH760), 1 / ($BC$47:$BC$56*BY760 + (1-$BC$47:$BC$56)*BU760), N($AQ$47:$AQ$56&gt;$AO760))
) / 1000</f>
        <v>0</v>
      </c>
      <c r="CA760" s="235" cm="1">
        <f t="array" ref="CA760">$BI760 * IF($AH760&lt;=2,
SUMPRODUCT(INDEX($AR$23:$AT$61,,$AI760), INDEX($AU$23:$BA$61,,$AH760), 1 / ($BB$23:$BB$61*BY760), N($AQ$23:$AQ$61&gt;$AO760)),
SUMPRODUCT(INDEX($AR$23:$AT$46,,$AI760), INDEX($AU$23:$BA$46,,$AH760), 1 / ($BC$23:$BC$46*BY760), N($AQ$23:$AQ$46&gt;$AO760))
) / 1000</f>
        <v>0</v>
      </c>
      <c r="CB760" s="230">
        <f t="shared" si="701"/>
        <v>0</v>
      </c>
      <c r="CC760" s="238"/>
      <c r="CD760" s="229" cm="1">
        <f t="array" ref="CD760">IF(ISBLANK(Y760), INDEX(Use, $AH760, 4) - AN760*INDEX(Use, $AH760, 6) - (Q760-X760), Y760)</f>
        <v>7</v>
      </c>
      <c r="CE760" s="229">
        <f t="shared" si="702"/>
        <v>32</v>
      </c>
      <c r="CF760" s="230">
        <f t="shared" si="703"/>
        <v>0</v>
      </c>
      <c r="CG760" s="229">
        <v>35</v>
      </c>
      <c r="CH760" s="230">
        <f t="shared" si="704"/>
        <v>48</v>
      </c>
      <c r="CI760" s="235">
        <f t="shared" si="705"/>
        <v>3.0748170731707316</v>
      </c>
      <c r="CJ760" s="235" cm="1">
        <f t="array" ref="CJ760">$BI760 * SUMPRODUCT(INDEX($AR$77:$AT$82,,$AI760),INDEX($AU$77:$BA$82,,$AH760), N($AQ$77:$AQ$82&gt;$AO760)) / CI760 / 1000</f>
        <v>0</v>
      </c>
      <c r="CK760" s="232">
        <f t="shared" si="722"/>
        <v>30</v>
      </c>
      <c r="CL760" s="230">
        <f t="shared" si="706"/>
        <v>43</v>
      </c>
      <c r="CM760" s="235">
        <f t="shared" si="707"/>
        <v>3.5018750000000001</v>
      </c>
      <c r="CN760" s="235" cm="1">
        <f t="array" ref="CN760">$BI760 * IF($AH760&lt;=2,
SUMPRODUCT(INDEX($AR$72:$AT$76,,$AI760), INDEX($AU$72:$BA$76,,$AH760), 1 / ($BB$72:$BB$76*CM760 + (1-$BB$72:$BB$76)*CI760), N($AQ$72:$AQ$76&gt;$AO760)),
SUMPRODUCT(INDEX($AR$67:$AT$76,,$AI760), INDEX($AU$67:$BA$76,,$AH760), 1 / ($BC$67:$BC$76*CM760 + (1-$BC$67:$BC$76)*CI760), N($AQ$67:$AQ$76&gt;$AO760))
) / 1000</f>
        <v>0</v>
      </c>
      <c r="CO760" s="232">
        <f t="shared" si="723"/>
        <v>25</v>
      </c>
      <c r="CP760" s="230">
        <f t="shared" si="708"/>
        <v>38</v>
      </c>
      <c r="CQ760" s="235">
        <f t="shared" si="709"/>
        <v>4.0666935483870965</v>
      </c>
      <c r="CR760" s="235" cm="1">
        <f t="array" ref="CR760">$BI760 * IF($AH760&lt;=2,
SUMPRODUCT(INDEX($AR$67:$AT$71,,$AI760), INDEX($AU$67:$BA$71,,$AH760), 1 / ($BB$67:$BB$71*CQ760 + (1-$BB$67:$BB$71)*CM760), N($AQ$67:$AQ$71&gt;$AO760)),
SUMPRODUCT(INDEX($AR$57:$AT$66,,$AI760), INDEX($AU$57:$BA$66,,$AH760), 1 / ($BC$57:$BC$66*CQ760 + (1-$BC$57:$BC$66)*CM760), N($AQ$57:$AQ$66&gt;$AO760))
) / 1000</f>
        <v>0</v>
      </c>
      <c r="CS760" s="232">
        <f t="shared" si="724"/>
        <v>20</v>
      </c>
      <c r="CT760" s="230">
        <f t="shared" si="710"/>
        <v>33</v>
      </c>
      <c r="CU760" s="235">
        <f t="shared" si="711"/>
        <v>4.8487499999999999</v>
      </c>
      <c r="CV760" s="235" cm="1">
        <f t="array" ref="CV760">$BI760 * IF($AH760&lt;=2,
SUMPRODUCT(INDEX($AR$62:$AT$66,,$AI760), INDEX($AU$62:$BA$66,,$AH760), 1 / ($BB$62:$BB$66*CU760 + (1-$BB$62:$BB$66)*CQ760), N($AQ$62:$AQ$66&gt;$AO760)),
SUMPRODUCT(INDEX($AR$47:$AT$56,,$AI760), INDEX($AU$47:$BA$56,,$AH760), 1 / ($BC$47:$BC$56*CU760 + (1-$BC$47:$BC$56)*CQ760), N($AQ$47:$AQ$56&gt;$AO760))
) / 1000</f>
        <v>0</v>
      </c>
      <c r="CW760" s="235" cm="1">
        <f t="array" ref="CW760">$BI760 * IF($AH760&lt;=2,
SUMPRODUCT(INDEX($AR$23:$AT$61,,$AI760), INDEX($AU$23:$BA$61,,$AH760), 1 / ($BB$23:$BB$61*CU760), N($AQ$23:$AQ$61&gt;$AO760)),
SUMPRODUCT(INDEX($AR$23:$AT$46,,$AI760), INDEX($AU$23:$BA$46,,$AH760), 1 / ($BC$23:$BC$46*CU760), N($AQ$23:$AQ$46&gt;$AO760))
) / 1000</f>
        <v>0</v>
      </c>
      <c r="CX760" s="230">
        <f t="shared" si="712"/>
        <v>0</v>
      </c>
      <c r="CY760" s="238"/>
    </row>
    <row r="761" spans="1:103" s="76" customFormat="1" ht="14.25" customHeight="1" x14ac:dyDescent="0.2">
      <c r="A761" s="231" t="b">
        <f t="shared" si="716"/>
        <v>0</v>
      </c>
      <c r="B761" s="245">
        <v>739</v>
      </c>
      <c r="C761" s="258"/>
      <c r="D761" s="258"/>
      <c r="E761" s="246"/>
      <c r="F761" s="247" t="str">
        <f>IF(ISBLANK(E761), "", VLOOKUP(E761, Z!$A$2:$C$4127, 3, FALSE))</f>
        <v/>
      </c>
      <c r="G761" s="248"/>
      <c r="H761" s="248"/>
      <c r="I761" s="249"/>
      <c r="J761" s="250"/>
      <c r="K761" s="259"/>
      <c r="L761" s="260"/>
      <c r="M761" s="252" t="str" cm="1">
        <f t="array" ref="M761">INDEX(Trad, 53, $A$20)</f>
        <v>Verschmutzt</v>
      </c>
      <c r="N761" s="253"/>
      <c r="O761" s="253"/>
      <c r="P761" s="254"/>
      <c r="Q761" s="251"/>
      <c r="R761" s="251"/>
      <c r="S761" s="264">
        <f t="shared" si="687"/>
        <v>0</v>
      </c>
      <c r="T761" s="252" t="str" cm="1">
        <f t="array" ref="T761">INDEX(Trad, 52, $A$20)</f>
        <v>Sauber</v>
      </c>
      <c r="U761" s="253"/>
      <c r="V761" s="253"/>
      <c r="W761" s="254"/>
      <c r="X761" s="251"/>
      <c r="Y761" s="251"/>
      <c r="Z761" s="264">
        <f t="shared" si="688"/>
        <v>0</v>
      </c>
      <c r="AA761" s="261"/>
      <c r="AB761" s="258"/>
      <c r="AC761" s="246"/>
      <c r="AD761" s="247" t="str">
        <f>IF(ISBLANK(AC761), "", VLOOKUP(AC761, Z!$A$2:$C$4127, 3, FALSE))</f>
        <v/>
      </c>
      <c r="AE761" s="262"/>
      <c r="AF761" s="263">
        <f t="shared" si="689"/>
        <v>0</v>
      </c>
      <c r="AG761" s="238"/>
      <c r="AH761" s="229">
        <f t="shared" si="713"/>
        <v>1</v>
      </c>
      <c r="AI761" s="229">
        <f t="shared" si="714"/>
        <v>1</v>
      </c>
      <c r="AJ761" s="229">
        <f t="shared" si="715"/>
        <v>0</v>
      </c>
      <c r="AK761" s="229">
        <v>0</v>
      </c>
      <c r="AL761" s="229">
        <v>0</v>
      </c>
      <c r="AM761" s="229">
        <v>1</v>
      </c>
      <c r="AN761" s="229">
        <v>0</v>
      </c>
      <c r="AO761" s="229">
        <f t="shared" si="690"/>
        <v>-100</v>
      </c>
      <c r="AP761" s="238"/>
      <c r="AQ761" s="255"/>
      <c r="AR761" s="255"/>
      <c r="AS761" s="256"/>
      <c r="AT761" s="256"/>
      <c r="AU761" s="256"/>
      <c r="AV761" s="256"/>
      <c r="AW761" s="256"/>
      <c r="AX761" s="256"/>
      <c r="AY761" s="256"/>
      <c r="AZ761" s="256"/>
      <c r="BA761" s="256"/>
      <c r="BB761" s="256"/>
      <c r="BC761" s="256"/>
      <c r="BD761" s="238"/>
      <c r="BE761" s="229" cm="1">
        <f t="array" ref="BE761">IF(ISBLANK(R761), INDEX(Use, $AH761, 4) - AM761*INDEX(Use, $AH761, 6), R761)</f>
        <v>5</v>
      </c>
      <c r="BF761" s="229">
        <f t="shared" si="691"/>
        <v>30</v>
      </c>
      <c r="BG761" s="229">
        <f t="shared" si="717"/>
        <v>13</v>
      </c>
      <c r="BH761" s="229">
        <f t="shared" si="718"/>
        <v>0</v>
      </c>
      <c r="BI761" s="234" cm="1">
        <f t="array" ref="BI761">K761/IF($L761&gt;0, INDEX($AU$23:$BA$77, $L761+20, $AH761), 1)</f>
        <v>0</v>
      </c>
      <c r="BJ761" s="230">
        <f t="shared" si="692"/>
        <v>0</v>
      </c>
      <c r="BK761" s="229">
        <v>35</v>
      </c>
      <c r="BL761" s="230">
        <f t="shared" si="693"/>
        <v>48</v>
      </c>
      <c r="BM761" s="235">
        <f t="shared" si="694"/>
        <v>2.9108720930232557</v>
      </c>
      <c r="BN761" s="235" cm="1">
        <f t="array" ref="BN761">$BI761 * SUMPRODUCT(INDEX($AR$77:$AT$82,,$AI761),INDEX($AU$77:$BA$82,,$AH761), N($AQ$77:$AQ$82&gt;$AO761)) / BM761 / 1000</f>
        <v>0</v>
      </c>
      <c r="BO761" s="232">
        <f t="shared" si="719"/>
        <v>30</v>
      </c>
      <c r="BP761" s="230">
        <f t="shared" si="695"/>
        <v>43</v>
      </c>
      <c r="BQ761" s="235">
        <f t="shared" si="696"/>
        <v>3.2938815789473681</v>
      </c>
      <c r="BR761" s="235" cm="1">
        <f t="array" ref="BR761">$BI761 * IF($AH761&lt;=2,
SUMPRODUCT(INDEX($AR$72:$AT$76,,$AI761), INDEX($AU$72:$BA$76,,$AH761), 1 / ($BB$72:$BB$76*BQ761 + (1-$BB$72:$BB$76)*BM761), N($AQ$72:$AQ$76&gt;$AO761)),
SUMPRODUCT(INDEX($AR$67:$AT$76,,$AI761), INDEX($AU$67:$BA$76,,$AH761), 1 / ($BC$67:$BC$76*BQ761 + (1-$BC$67:$BC$76)*BM761), N($AQ$67:$AQ$76&gt;$AO761))
) / 1000</f>
        <v>0</v>
      </c>
      <c r="BS761" s="232">
        <f t="shared" si="720"/>
        <v>25</v>
      </c>
      <c r="BT761" s="230">
        <f t="shared" si="697"/>
        <v>38</v>
      </c>
      <c r="BU761" s="235">
        <f t="shared" si="698"/>
        <v>3.792954545454545</v>
      </c>
      <c r="BV761" s="235" cm="1">
        <f t="array" ref="BV761">$BI761 * IF($AH761&lt;=2,
SUMPRODUCT(INDEX($AR$67:$AT$71,,$AI761), INDEX($AU$67:$BA$71,,$AH761), 1 / ($BB$67:$BB$71*BU761 + (1-$BB$67:$BB$71)*BQ761), N($AQ$67:$AQ$71&gt;$AO761)),
SUMPRODUCT(INDEX($AR$57:$AT$66,,$AI761), INDEX($AU$57:$BA$66,,$AH761), 1 / ($BC$57:$BC$66*BU761 + (1-$BC$57:$BC$66)*BQ761), N($AQ$57:$AQ$66&gt;$AO761))
) / 1000</f>
        <v>0</v>
      </c>
      <c r="BW761" s="232">
        <f t="shared" si="721"/>
        <v>20</v>
      </c>
      <c r="BX761" s="230">
        <f t="shared" si="699"/>
        <v>33</v>
      </c>
      <c r="BY761" s="235">
        <f t="shared" si="700"/>
        <v>4.4702678571428569</v>
      </c>
      <c r="BZ761" s="235" cm="1">
        <f t="array" ref="BZ761">$BI761 * IF($AH761&lt;=2,
SUMPRODUCT(INDEX($AR$62:$AT$66,,$AI761), INDEX($AU$62:$BA$66,,$AH761), 1 / ($BB$62:$BB$66*BY761 + (1-$BB$62:$BB$66)*BU761), N($AQ$62:$AQ$66&gt;$AO761)),
SUMPRODUCT(INDEX($AR$47:$AT$56,,$AI761), INDEX($AU$47:$BA$56,,$AH761), 1 / ($BC$47:$BC$56*BY761 + (1-$BC$47:$BC$56)*BU761), N($AQ$47:$AQ$56&gt;$AO761))
) / 1000</f>
        <v>0</v>
      </c>
      <c r="CA761" s="235" cm="1">
        <f t="array" ref="CA761">$BI761 * IF($AH761&lt;=2,
SUMPRODUCT(INDEX($AR$23:$AT$61,,$AI761), INDEX($AU$23:$BA$61,,$AH761), 1 / ($BB$23:$BB$61*BY761), N($AQ$23:$AQ$61&gt;$AO761)),
SUMPRODUCT(INDEX($AR$23:$AT$46,,$AI761), INDEX($AU$23:$BA$46,,$AH761), 1 / ($BC$23:$BC$46*BY761), N($AQ$23:$AQ$46&gt;$AO761))
) / 1000</f>
        <v>0</v>
      </c>
      <c r="CB761" s="230">
        <f t="shared" si="701"/>
        <v>0</v>
      </c>
      <c r="CC761" s="238"/>
      <c r="CD761" s="229" cm="1">
        <f t="array" ref="CD761">IF(ISBLANK(Y761), INDEX(Use, $AH761, 4) - AN761*INDEX(Use, $AH761, 6) - (Q761-X761), Y761)</f>
        <v>7</v>
      </c>
      <c r="CE761" s="229">
        <f t="shared" si="702"/>
        <v>32</v>
      </c>
      <c r="CF761" s="230">
        <f t="shared" si="703"/>
        <v>0</v>
      </c>
      <c r="CG761" s="229">
        <v>35</v>
      </c>
      <c r="CH761" s="230">
        <f t="shared" si="704"/>
        <v>48</v>
      </c>
      <c r="CI761" s="235">
        <f t="shared" si="705"/>
        <v>3.0748170731707316</v>
      </c>
      <c r="CJ761" s="235" cm="1">
        <f t="array" ref="CJ761">$BI761 * SUMPRODUCT(INDEX($AR$77:$AT$82,,$AI761),INDEX($AU$77:$BA$82,,$AH761), N($AQ$77:$AQ$82&gt;$AO761)) / CI761 / 1000</f>
        <v>0</v>
      </c>
      <c r="CK761" s="232">
        <f t="shared" si="722"/>
        <v>30</v>
      </c>
      <c r="CL761" s="230">
        <f t="shared" si="706"/>
        <v>43</v>
      </c>
      <c r="CM761" s="235">
        <f t="shared" si="707"/>
        <v>3.5018750000000001</v>
      </c>
      <c r="CN761" s="235" cm="1">
        <f t="array" ref="CN761">$BI761 * IF($AH761&lt;=2,
SUMPRODUCT(INDEX($AR$72:$AT$76,,$AI761), INDEX($AU$72:$BA$76,,$AH761), 1 / ($BB$72:$BB$76*CM761 + (1-$BB$72:$BB$76)*CI761), N($AQ$72:$AQ$76&gt;$AO761)),
SUMPRODUCT(INDEX($AR$67:$AT$76,,$AI761), INDEX($AU$67:$BA$76,,$AH761), 1 / ($BC$67:$BC$76*CM761 + (1-$BC$67:$BC$76)*CI761), N($AQ$67:$AQ$76&gt;$AO761))
) / 1000</f>
        <v>0</v>
      </c>
      <c r="CO761" s="232">
        <f t="shared" si="723"/>
        <v>25</v>
      </c>
      <c r="CP761" s="230">
        <f t="shared" si="708"/>
        <v>38</v>
      </c>
      <c r="CQ761" s="235">
        <f t="shared" si="709"/>
        <v>4.0666935483870965</v>
      </c>
      <c r="CR761" s="235" cm="1">
        <f t="array" ref="CR761">$BI761 * IF($AH761&lt;=2,
SUMPRODUCT(INDEX($AR$67:$AT$71,,$AI761), INDEX($AU$67:$BA$71,,$AH761), 1 / ($BB$67:$BB$71*CQ761 + (1-$BB$67:$BB$71)*CM761), N($AQ$67:$AQ$71&gt;$AO761)),
SUMPRODUCT(INDEX($AR$57:$AT$66,,$AI761), INDEX($AU$57:$BA$66,,$AH761), 1 / ($BC$57:$BC$66*CQ761 + (1-$BC$57:$BC$66)*CM761), N($AQ$57:$AQ$66&gt;$AO761))
) / 1000</f>
        <v>0</v>
      </c>
      <c r="CS761" s="232">
        <f t="shared" si="724"/>
        <v>20</v>
      </c>
      <c r="CT761" s="230">
        <f t="shared" si="710"/>
        <v>33</v>
      </c>
      <c r="CU761" s="235">
        <f t="shared" si="711"/>
        <v>4.8487499999999999</v>
      </c>
      <c r="CV761" s="235" cm="1">
        <f t="array" ref="CV761">$BI761 * IF($AH761&lt;=2,
SUMPRODUCT(INDEX($AR$62:$AT$66,,$AI761), INDEX($AU$62:$BA$66,,$AH761), 1 / ($BB$62:$BB$66*CU761 + (1-$BB$62:$BB$66)*CQ761), N($AQ$62:$AQ$66&gt;$AO761)),
SUMPRODUCT(INDEX($AR$47:$AT$56,,$AI761), INDEX($AU$47:$BA$56,,$AH761), 1 / ($BC$47:$BC$56*CU761 + (1-$BC$47:$BC$56)*CQ761), N($AQ$47:$AQ$56&gt;$AO761))
) / 1000</f>
        <v>0</v>
      </c>
      <c r="CW761" s="235" cm="1">
        <f t="array" ref="CW761">$BI761 * IF($AH761&lt;=2,
SUMPRODUCT(INDEX($AR$23:$AT$61,,$AI761), INDEX($AU$23:$BA$61,,$AH761), 1 / ($BB$23:$BB$61*CU761), N($AQ$23:$AQ$61&gt;$AO761)),
SUMPRODUCT(INDEX($AR$23:$AT$46,,$AI761), INDEX($AU$23:$BA$46,,$AH761), 1 / ($BC$23:$BC$46*CU761), N($AQ$23:$AQ$46&gt;$AO761))
) / 1000</f>
        <v>0</v>
      </c>
      <c r="CX761" s="230">
        <f t="shared" si="712"/>
        <v>0</v>
      </c>
      <c r="CY761" s="238"/>
    </row>
    <row r="762" spans="1:103" s="76" customFormat="1" ht="14.25" customHeight="1" x14ac:dyDescent="0.2">
      <c r="A762" s="231" t="b">
        <f t="shared" si="716"/>
        <v>0</v>
      </c>
      <c r="B762" s="245">
        <v>740</v>
      </c>
      <c r="C762" s="258"/>
      <c r="D762" s="258"/>
      <c r="E762" s="246"/>
      <c r="F762" s="247" t="str">
        <f>IF(ISBLANK(E762), "", VLOOKUP(E762, Z!$A$2:$C$4127, 3, FALSE))</f>
        <v/>
      </c>
      <c r="G762" s="248"/>
      <c r="H762" s="248"/>
      <c r="I762" s="249"/>
      <c r="J762" s="250"/>
      <c r="K762" s="259"/>
      <c r="L762" s="260"/>
      <c r="M762" s="252" t="str" cm="1">
        <f t="array" ref="M762">INDEX(Trad, 53, $A$20)</f>
        <v>Verschmutzt</v>
      </c>
      <c r="N762" s="253"/>
      <c r="O762" s="253"/>
      <c r="P762" s="254"/>
      <c r="Q762" s="251"/>
      <c r="R762" s="251"/>
      <c r="S762" s="264">
        <f t="shared" si="687"/>
        <v>0</v>
      </c>
      <c r="T762" s="252" t="str" cm="1">
        <f t="array" ref="T762">INDEX(Trad, 52, $A$20)</f>
        <v>Sauber</v>
      </c>
      <c r="U762" s="253"/>
      <c r="V762" s="253"/>
      <c r="W762" s="254"/>
      <c r="X762" s="251"/>
      <c r="Y762" s="251"/>
      <c r="Z762" s="264">
        <f t="shared" si="688"/>
        <v>0</v>
      </c>
      <c r="AA762" s="261"/>
      <c r="AB762" s="258"/>
      <c r="AC762" s="246"/>
      <c r="AD762" s="247" t="str">
        <f>IF(ISBLANK(AC762), "", VLOOKUP(AC762, Z!$A$2:$C$4127, 3, FALSE))</f>
        <v/>
      </c>
      <c r="AE762" s="262"/>
      <c r="AF762" s="263">
        <f t="shared" si="689"/>
        <v>0</v>
      </c>
      <c r="AG762" s="238"/>
      <c r="AH762" s="229">
        <f t="shared" si="713"/>
        <v>1</v>
      </c>
      <c r="AI762" s="229">
        <f t="shared" si="714"/>
        <v>1</v>
      </c>
      <c r="AJ762" s="229">
        <f t="shared" si="715"/>
        <v>0</v>
      </c>
      <c r="AK762" s="229">
        <v>0</v>
      </c>
      <c r="AL762" s="229">
        <v>0</v>
      </c>
      <c r="AM762" s="229">
        <v>1</v>
      </c>
      <c r="AN762" s="229">
        <v>0</v>
      </c>
      <c r="AO762" s="229">
        <f t="shared" si="690"/>
        <v>-100</v>
      </c>
      <c r="AP762" s="238"/>
      <c r="AQ762" s="255"/>
      <c r="AR762" s="255"/>
      <c r="AS762" s="256"/>
      <c r="AT762" s="256"/>
      <c r="AU762" s="256"/>
      <c r="AV762" s="256"/>
      <c r="AW762" s="256"/>
      <c r="AX762" s="256"/>
      <c r="AY762" s="256"/>
      <c r="AZ762" s="256"/>
      <c r="BA762" s="256"/>
      <c r="BB762" s="256"/>
      <c r="BC762" s="256"/>
      <c r="BD762" s="238"/>
      <c r="BE762" s="229" cm="1">
        <f t="array" ref="BE762">IF(ISBLANK(R762), INDEX(Use, $AH762, 4) - AM762*INDEX(Use, $AH762, 6), R762)</f>
        <v>5</v>
      </c>
      <c r="BF762" s="229">
        <f t="shared" si="691"/>
        <v>30</v>
      </c>
      <c r="BG762" s="229">
        <f t="shared" si="717"/>
        <v>13</v>
      </c>
      <c r="BH762" s="229">
        <f t="shared" si="718"/>
        <v>0</v>
      </c>
      <c r="BI762" s="234" cm="1">
        <f t="array" ref="BI762">K762/IF($L762&gt;0, INDEX($AU$23:$BA$77, $L762+20, $AH762), 1)</f>
        <v>0</v>
      </c>
      <c r="BJ762" s="230">
        <f t="shared" si="692"/>
        <v>0</v>
      </c>
      <c r="BK762" s="229">
        <v>35</v>
      </c>
      <c r="BL762" s="230">
        <f t="shared" si="693"/>
        <v>48</v>
      </c>
      <c r="BM762" s="235">
        <f t="shared" si="694"/>
        <v>2.9108720930232557</v>
      </c>
      <c r="BN762" s="235" cm="1">
        <f t="array" ref="BN762">$BI762 * SUMPRODUCT(INDEX($AR$77:$AT$82,,$AI762),INDEX($AU$77:$BA$82,,$AH762), N($AQ$77:$AQ$82&gt;$AO762)) / BM762 / 1000</f>
        <v>0</v>
      </c>
      <c r="BO762" s="232">
        <f t="shared" si="719"/>
        <v>30</v>
      </c>
      <c r="BP762" s="230">
        <f t="shared" si="695"/>
        <v>43</v>
      </c>
      <c r="BQ762" s="235">
        <f t="shared" si="696"/>
        <v>3.2938815789473681</v>
      </c>
      <c r="BR762" s="235" cm="1">
        <f t="array" ref="BR762">$BI762 * IF($AH762&lt;=2,
SUMPRODUCT(INDEX($AR$72:$AT$76,,$AI762), INDEX($AU$72:$BA$76,,$AH762), 1 / ($BB$72:$BB$76*BQ762 + (1-$BB$72:$BB$76)*BM762), N($AQ$72:$AQ$76&gt;$AO762)),
SUMPRODUCT(INDEX($AR$67:$AT$76,,$AI762), INDEX($AU$67:$BA$76,,$AH762), 1 / ($BC$67:$BC$76*BQ762 + (1-$BC$67:$BC$76)*BM762), N($AQ$67:$AQ$76&gt;$AO762))
) / 1000</f>
        <v>0</v>
      </c>
      <c r="BS762" s="232">
        <f t="shared" si="720"/>
        <v>25</v>
      </c>
      <c r="BT762" s="230">
        <f t="shared" si="697"/>
        <v>38</v>
      </c>
      <c r="BU762" s="235">
        <f t="shared" si="698"/>
        <v>3.792954545454545</v>
      </c>
      <c r="BV762" s="235" cm="1">
        <f t="array" ref="BV762">$BI762 * IF($AH762&lt;=2,
SUMPRODUCT(INDEX($AR$67:$AT$71,,$AI762), INDEX($AU$67:$BA$71,,$AH762), 1 / ($BB$67:$BB$71*BU762 + (1-$BB$67:$BB$71)*BQ762), N($AQ$67:$AQ$71&gt;$AO762)),
SUMPRODUCT(INDEX($AR$57:$AT$66,,$AI762), INDEX($AU$57:$BA$66,,$AH762), 1 / ($BC$57:$BC$66*BU762 + (1-$BC$57:$BC$66)*BQ762), N($AQ$57:$AQ$66&gt;$AO762))
) / 1000</f>
        <v>0</v>
      </c>
      <c r="BW762" s="232">
        <f t="shared" si="721"/>
        <v>20</v>
      </c>
      <c r="BX762" s="230">
        <f t="shared" si="699"/>
        <v>33</v>
      </c>
      <c r="BY762" s="235">
        <f t="shared" si="700"/>
        <v>4.4702678571428569</v>
      </c>
      <c r="BZ762" s="235" cm="1">
        <f t="array" ref="BZ762">$BI762 * IF($AH762&lt;=2,
SUMPRODUCT(INDEX($AR$62:$AT$66,,$AI762), INDEX($AU$62:$BA$66,,$AH762), 1 / ($BB$62:$BB$66*BY762 + (1-$BB$62:$BB$66)*BU762), N($AQ$62:$AQ$66&gt;$AO762)),
SUMPRODUCT(INDEX($AR$47:$AT$56,,$AI762), INDEX($AU$47:$BA$56,,$AH762), 1 / ($BC$47:$BC$56*BY762 + (1-$BC$47:$BC$56)*BU762), N($AQ$47:$AQ$56&gt;$AO762))
) / 1000</f>
        <v>0</v>
      </c>
      <c r="CA762" s="235" cm="1">
        <f t="array" ref="CA762">$BI762 * IF($AH762&lt;=2,
SUMPRODUCT(INDEX($AR$23:$AT$61,,$AI762), INDEX($AU$23:$BA$61,,$AH762), 1 / ($BB$23:$BB$61*BY762), N($AQ$23:$AQ$61&gt;$AO762)),
SUMPRODUCT(INDEX($AR$23:$AT$46,,$AI762), INDEX($AU$23:$BA$46,,$AH762), 1 / ($BC$23:$BC$46*BY762), N($AQ$23:$AQ$46&gt;$AO762))
) / 1000</f>
        <v>0</v>
      </c>
      <c r="CB762" s="230">
        <f t="shared" si="701"/>
        <v>0</v>
      </c>
      <c r="CC762" s="238"/>
      <c r="CD762" s="229" cm="1">
        <f t="array" ref="CD762">IF(ISBLANK(Y762), INDEX(Use, $AH762, 4) - AN762*INDEX(Use, $AH762, 6) - (Q762-X762), Y762)</f>
        <v>7</v>
      </c>
      <c r="CE762" s="229">
        <f t="shared" si="702"/>
        <v>32</v>
      </c>
      <c r="CF762" s="230">
        <f t="shared" si="703"/>
        <v>0</v>
      </c>
      <c r="CG762" s="229">
        <v>35</v>
      </c>
      <c r="CH762" s="230">
        <f t="shared" si="704"/>
        <v>48</v>
      </c>
      <c r="CI762" s="235">
        <f t="shared" si="705"/>
        <v>3.0748170731707316</v>
      </c>
      <c r="CJ762" s="235" cm="1">
        <f t="array" ref="CJ762">$BI762 * SUMPRODUCT(INDEX($AR$77:$AT$82,,$AI762),INDEX($AU$77:$BA$82,,$AH762), N($AQ$77:$AQ$82&gt;$AO762)) / CI762 / 1000</f>
        <v>0</v>
      </c>
      <c r="CK762" s="232">
        <f t="shared" si="722"/>
        <v>30</v>
      </c>
      <c r="CL762" s="230">
        <f t="shared" si="706"/>
        <v>43</v>
      </c>
      <c r="CM762" s="235">
        <f t="shared" si="707"/>
        <v>3.5018750000000001</v>
      </c>
      <c r="CN762" s="235" cm="1">
        <f t="array" ref="CN762">$BI762 * IF($AH762&lt;=2,
SUMPRODUCT(INDEX($AR$72:$AT$76,,$AI762), INDEX($AU$72:$BA$76,,$AH762), 1 / ($BB$72:$BB$76*CM762 + (1-$BB$72:$BB$76)*CI762), N($AQ$72:$AQ$76&gt;$AO762)),
SUMPRODUCT(INDEX($AR$67:$AT$76,,$AI762), INDEX($AU$67:$BA$76,,$AH762), 1 / ($BC$67:$BC$76*CM762 + (1-$BC$67:$BC$76)*CI762), N($AQ$67:$AQ$76&gt;$AO762))
) / 1000</f>
        <v>0</v>
      </c>
      <c r="CO762" s="232">
        <f t="shared" si="723"/>
        <v>25</v>
      </c>
      <c r="CP762" s="230">
        <f t="shared" si="708"/>
        <v>38</v>
      </c>
      <c r="CQ762" s="235">
        <f t="shared" si="709"/>
        <v>4.0666935483870965</v>
      </c>
      <c r="CR762" s="235" cm="1">
        <f t="array" ref="CR762">$BI762 * IF($AH762&lt;=2,
SUMPRODUCT(INDEX($AR$67:$AT$71,,$AI762), INDEX($AU$67:$BA$71,,$AH762), 1 / ($BB$67:$BB$71*CQ762 + (1-$BB$67:$BB$71)*CM762), N($AQ$67:$AQ$71&gt;$AO762)),
SUMPRODUCT(INDEX($AR$57:$AT$66,,$AI762), INDEX($AU$57:$BA$66,,$AH762), 1 / ($BC$57:$BC$66*CQ762 + (1-$BC$57:$BC$66)*CM762), N($AQ$57:$AQ$66&gt;$AO762))
) / 1000</f>
        <v>0</v>
      </c>
      <c r="CS762" s="232">
        <f t="shared" si="724"/>
        <v>20</v>
      </c>
      <c r="CT762" s="230">
        <f t="shared" si="710"/>
        <v>33</v>
      </c>
      <c r="CU762" s="235">
        <f t="shared" si="711"/>
        <v>4.8487499999999999</v>
      </c>
      <c r="CV762" s="235" cm="1">
        <f t="array" ref="CV762">$BI762 * IF($AH762&lt;=2,
SUMPRODUCT(INDEX($AR$62:$AT$66,,$AI762), INDEX($AU$62:$BA$66,,$AH762), 1 / ($BB$62:$BB$66*CU762 + (1-$BB$62:$BB$66)*CQ762), N($AQ$62:$AQ$66&gt;$AO762)),
SUMPRODUCT(INDEX($AR$47:$AT$56,,$AI762), INDEX($AU$47:$BA$56,,$AH762), 1 / ($BC$47:$BC$56*CU762 + (1-$BC$47:$BC$56)*CQ762), N($AQ$47:$AQ$56&gt;$AO762))
) / 1000</f>
        <v>0</v>
      </c>
      <c r="CW762" s="235" cm="1">
        <f t="array" ref="CW762">$BI762 * IF($AH762&lt;=2,
SUMPRODUCT(INDEX($AR$23:$AT$61,,$AI762), INDEX($AU$23:$BA$61,,$AH762), 1 / ($BB$23:$BB$61*CU762), N($AQ$23:$AQ$61&gt;$AO762)),
SUMPRODUCT(INDEX($AR$23:$AT$46,,$AI762), INDEX($AU$23:$BA$46,,$AH762), 1 / ($BC$23:$BC$46*CU762), N($AQ$23:$AQ$46&gt;$AO762))
) / 1000</f>
        <v>0</v>
      </c>
      <c r="CX762" s="230">
        <f t="shared" si="712"/>
        <v>0</v>
      </c>
      <c r="CY762" s="238"/>
    </row>
    <row r="763" spans="1:103" s="76" customFormat="1" ht="14.25" customHeight="1" x14ac:dyDescent="0.2">
      <c r="A763" s="231" t="b">
        <f t="shared" si="716"/>
        <v>0</v>
      </c>
      <c r="B763" s="245">
        <v>741</v>
      </c>
      <c r="C763" s="258"/>
      <c r="D763" s="258"/>
      <c r="E763" s="246"/>
      <c r="F763" s="247" t="str">
        <f>IF(ISBLANK(E763), "", VLOOKUP(E763, Z!$A$2:$C$4127, 3, FALSE))</f>
        <v/>
      </c>
      <c r="G763" s="248"/>
      <c r="H763" s="248"/>
      <c r="I763" s="249"/>
      <c r="J763" s="250"/>
      <c r="K763" s="259"/>
      <c r="L763" s="260"/>
      <c r="M763" s="252" t="str" cm="1">
        <f t="array" ref="M763">INDEX(Trad, 53, $A$20)</f>
        <v>Verschmutzt</v>
      </c>
      <c r="N763" s="253"/>
      <c r="O763" s="253"/>
      <c r="P763" s="254"/>
      <c r="Q763" s="251"/>
      <c r="R763" s="251"/>
      <c r="S763" s="264">
        <f t="shared" ref="S763:S826" si="725">CB763*1000</f>
        <v>0</v>
      </c>
      <c r="T763" s="252" t="str" cm="1">
        <f t="array" ref="T763">INDEX(Trad, 52, $A$20)</f>
        <v>Sauber</v>
      </c>
      <c r="U763" s="253"/>
      <c r="V763" s="253"/>
      <c r="W763" s="254"/>
      <c r="X763" s="251"/>
      <c r="Y763" s="251"/>
      <c r="Z763" s="264">
        <f t="shared" ref="Z763:Z826" si="726">CX763*1000</f>
        <v>0</v>
      </c>
      <c r="AA763" s="261"/>
      <c r="AB763" s="258"/>
      <c r="AC763" s="246"/>
      <c r="AD763" s="247" t="str">
        <f>IF(ISBLANK(AC763), "", VLOOKUP(AC763, Z!$A$2:$C$4127, 3, FALSE))</f>
        <v/>
      </c>
      <c r="AE763" s="262"/>
      <c r="AF763" s="263">
        <f t="shared" ref="AF763:AF826" si="727">0.75*AP$23*(S763-Z763)</f>
        <v>0</v>
      </c>
      <c r="AG763" s="238"/>
      <c r="AH763" s="229">
        <f t="shared" si="713"/>
        <v>1</v>
      </c>
      <c r="AI763" s="229">
        <f t="shared" si="714"/>
        <v>1</v>
      </c>
      <c r="AJ763" s="229">
        <f t="shared" si="715"/>
        <v>0</v>
      </c>
      <c r="AK763" s="229">
        <v>0</v>
      </c>
      <c r="AL763" s="229">
        <v>0</v>
      </c>
      <c r="AM763" s="229">
        <v>1</v>
      </c>
      <c r="AN763" s="229">
        <v>0</v>
      </c>
      <c r="AO763" s="229">
        <f t="shared" ref="AO763:AO826" si="728">IF(AND(J763="x", AH763=5), 11, IF(AND(J763="x", AH763=6), 19, -100))</f>
        <v>-100</v>
      </c>
      <c r="AP763" s="238"/>
      <c r="AQ763" s="255"/>
      <c r="AR763" s="255"/>
      <c r="AS763" s="256"/>
      <c r="AT763" s="256"/>
      <c r="AU763" s="256"/>
      <c r="AV763" s="256"/>
      <c r="AW763" s="256"/>
      <c r="AX763" s="256"/>
      <c r="AY763" s="256"/>
      <c r="AZ763" s="256"/>
      <c r="BA763" s="256"/>
      <c r="BB763" s="256"/>
      <c r="BC763" s="256"/>
      <c r="BD763" s="238"/>
      <c r="BE763" s="229" cm="1">
        <f t="array" ref="BE763">IF(ISBLANK(R763), INDEX(Use, $AH763, 4) - AM763*INDEX(Use, $AH763, 6), R763)</f>
        <v>5</v>
      </c>
      <c r="BF763" s="229">
        <f t="shared" ref="BF763:BF826" si="729">MAX(25, BE763+25)</f>
        <v>30</v>
      </c>
      <c r="BG763" s="229">
        <f t="shared" si="717"/>
        <v>13</v>
      </c>
      <c r="BH763" s="229">
        <f t="shared" si="718"/>
        <v>0</v>
      </c>
      <c r="BI763" s="234" cm="1">
        <f t="array" ref="BI763">K763/IF($L763&gt;0, INDEX($AU$23:$BA$77, $L763+20, $AH763), 1)</f>
        <v>0</v>
      </c>
      <c r="BJ763" s="230">
        <f t="shared" ref="BJ763:BJ826" si="730">P763 /  IF(AH763&lt;=2, 0.7 + 0.3 * (O763-20)/(35-20), 0.4 + 0.6 * (O763-5)/(35-5))</f>
        <v>0</v>
      </c>
      <c r="BK763" s="229">
        <v>35</v>
      </c>
      <c r="BL763" s="230">
        <f t="shared" ref="BL763:BL826" si="731">MAX($N763, MAX($BF763, $BK763 + $BG763 + $BH763 + 0.35*$AK763*$BG763 + BJ763))</f>
        <v>48</v>
      </c>
      <c r="BM763" s="235">
        <f t="shared" ref="BM763:BM826" si="732">0.45*($BE763+273.15)/(BL763-$BE763)</f>
        <v>2.9108720930232557</v>
      </c>
      <c r="BN763" s="235" cm="1">
        <f t="array" ref="BN763">$BI763 * SUMPRODUCT(INDEX($AR$77:$AT$82,,$AI763),INDEX($AU$77:$BA$82,,$AH763), N($AQ$77:$AQ$82&gt;$AO763)) / BM763 / 1000</f>
        <v>0</v>
      </c>
      <c r="BO763" s="232">
        <f t="shared" si="719"/>
        <v>30</v>
      </c>
      <c r="BP763" s="230">
        <f t="shared" ref="BP763:BP826" si="733">MAX($N763, MAX($BF763, BO763 + $BG763 + $BH763 + IF($AH763&lt;=2, (BO763-20)/(35-20), 0.6+0.4*(BO763-5)/(35-5))*0.35*$AK763*$BG763) + IF($AH763&lt;=2,0.9,0.8)*$BJ763)</f>
        <v>43</v>
      </c>
      <c r="BQ763" s="235">
        <f t="shared" ref="BQ763:BQ826" si="734">0.45*($BE763+273.15)/(BP763-$BE763)</f>
        <v>3.2938815789473681</v>
      </c>
      <c r="BR763" s="235" cm="1">
        <f t="array" ref="BR763">$BI763 * IF($AH763&lt;=2,
SUMPRODUCT(INDEX($AR$72:$AT$76,,$AI763), INDEX($AU$72:$BA$76,,$AH763), 1 / ($BB$72:$BB$76*BQ763 + (1-$BB$72:$BB$76)*BM763), N($AQ$72:$AQ$76&gt;$AO763)),
SUMPRODUCT(INDEX($AR$67:$AT$76,,$AI763), INDEX($AU$67:$BA$76,,$AH763), 1 / ($BC$67:$BC$76*BQ763 + (1-$BC$67:$BC$76)*BM763), N($AQ$67:$AQ$76&gt;$AO763))
) / 1000</f>
        <v>0</v>
      </c>
      <c r="BS763" s="232">
        <f t="shared" si="720"/>
        <v>25</v>
      </c>
      <c r="BT763" s="230">
        <f t="shared" ref="BT763:BT826" si="735">MAX($N763, MAX($BF763, BS763 + $BG763 + $BH763 + IF($AH763&lt;=2, (BS763-20)/(35-20), 0.6+0.4*(BS763-5)/(35-5))*0.35*$AK763*$BG763) + IF($AH763&lt;=2,0.8,0.6)*$BJ763)</f>
        <v>38</v>
      </c>
      <c r="BU763" s="235">
        <f t="shared" ref="BU763:BU826" si="736">0.45*($BE763+273.15)/(BT763-$BE763)</f>
        <v>3.792954545454545</v>
      </c>
      <c r="BV763" s="235" cm="1">
        <f t="array" ref="BV763">$BI763 * IF($AH763&lt;=2,
SUMPRODUCT(INDEX($AR$67:$AT$71,,$AI763), INDEX($AU$67:$BA$71,,$AH763), 1 / ($BB$67:$BB$71*BU763 + (1-$BB$67:$BB$71)*BQ763), N($AQ$67:$AQ$71&gt;$AO763)),
SUMPRODUCT(INDEX($AR$57:$AT$66,,$AI763), INDEX($AU$57:$BA$66,,$AH763), 1 / ($BC$57:$BC$66*BU763 + (1-$BC$57:$BC$66)*BQ763), N($AQ$57:$AQ$66&gt;$AO763))
) / 1000</f>
        <v>0</v>
      </c>
      <c r="BW763" s="232">
        <f t="shared" si="721"/>
        <v>20</v>
      </c>
      <c r="BX763" s="230">
        <f t="shared" ref="BX763:BX826" si="737">MAX($N763, MAX($BF763, BW763 + $BG763 + $BH763 + IF($AH763&lt;=2, (BW763-20)/(35-20), 0.6+0.4*(BW763-5)/(35-5))*0.35*$AK763*$BG763) + IF($AH763&lt;=2,0.7,0.4)*$BJ763)</f>
        <v>33</v>
      </c>
      <c r="BY763" s="235">
        <f t="shared" ref="BY763:BY826" si="738">0.45*($BE763+273.15)/(BX763-$BE763)</f>
        <v>4.4702678571428569</v>
      </c>
      <c r="BZ763" s="235" cm="1">
        <f t="array" ref="BZ763">$BI763 * IF($AH763&lt;=2,
SUMPRODUCT(INDEX($AR$62:$AT$66,,$AI763), INDEX($AU$62:$BA$66,,$AH763), 1 / ($BB$62:$BB$66*BY763 + (1-$BB$62:$BB$66)*BU763), N($AQ$62:$AQ$66&gt;$AO763)),
SUMPRODUCT(INDEX($AR$47:$AT$56,,$AI763), INDEX($AU$47:$BA$56,,$AH763), 1 / ($BC$47:$BC$56*BY763 + (1-$BC$47:$BC$56)*BU763), N($AQ$47:$AQ$56&gt;$AO763))
) / 1000</f>
        <v>0</v>
      </c>
      <c r="CA763" s="235" cm="1">
        <f t="array" ref="CA763">$BI763 * IF($AH763&lt;=2,
SUMPRODUCT(INDEX($AR$23:$AT$61,,$AI763), INDEX($AU$23:$BA$61,,$AH763), 1 / ($BB$23:$BB$61*BY763), N($AQ$23:$AQ$61&gt;$AO763)),
SUMPRODUCT(INDEX($AR$23:$AT$46,,$AI763), INDEX($AU$23:$BA$46,,$AH763), 1 / ($BC$23:$BC$46*BY763), N($AQ$23:$AQ$46&gt;$AO763))
) / 1000</f>
        <v>0</v>
      </c>
      <c r="CB763" s="230">
        <f t="shared" ref="CB763:CB826" si="739">BN763+BR763+BV763+BZ763+CA763</f>
        <v>0</v>
      </c>
      <c r="CC763" s="238"/>
      <c r="CD763" s="229" cm="1">
        <f t="array" ref="CD763">IF(ISBLANK(Y763), INDEX(Use, $AH763, 4) - AN763*INDEX(Use, $AH763, 6) - (Q763-X763), Y763)</f>
        <v>7</v>
      </c>
      <c r="CE763" s="229">
        <f t="shared" ref="CE763:CE826" si="740">MAX(25, CD763+25)</f>
        <v>32</v>
      </c>
      <c r="CF763" s="230">
        <f t="shared" ref="CF763:CF826" si="741">W763 /  IF(AH763&lt;=2, 0.7 + 0.3 * (V763-20)/(35-20), 0.4 + 0.6 * (V763-5)/(35-5))</f>
        <v>0</v>
      </c>
      <c r="CG763" s="229">
        <v>35</v>
      </c>
      <c r="CH763" s="230">
        <f t="shared" ref="CH763:CH826" si="742">MAX($U763, MAX($CE763, $BK763 + $BG763 + $BH763 + 0.35*$AL763*$BG763 + CF763))</f>
        <v>48</v>
      </c>
      <c r="CI763" s="235">
        <f t="shared" ref="CI763:CI826" si="743">0.45*($CD763+273.15)/(CH763-$CD763)</f>
        <v>3.0748170731707316</v>
      </c>
      <c r="CJ763" s="235" cm="1">
        <f t="array" ref="CJ763">$BI763 * SUMPRODUCT(INDEX($AR$77:$AT$82,,$AI763),INDEX($AU$77:$BA$82,,$AH763), N($AQ$77:$AQ$82&gt;$AO763)) / CI763 / 1000</f>
        <v>0</v>
      </c>
      <c r="CK763" s="232">
        <f t="shared" si="722"/>
        <v>30</v>
      </c>
      <c r="CL763" s="230">
        <f t="shared" ref="CL763:CL826" si="744">MAX($U763, MAX($CE763, CK763 + $BG763 + $BH763 + IF($AH763&lt;=2, (CK763-20)/(35-20), 0.6+0.4*(CK763-5)/(35-5))*0.35*$AL763*$BG763) + IF($AH763&lt;=2,0.9,0.8)*$CF763)</f>
        <v>43</v>
      </c>
      <c r="CM763" s="235">
        <f t="shared" ref="CM763:CM826" si="745">0.45*($CD763+273.15)/(CL763-$CD763)</f>
        <v>3.5018750000000001</v>
      </c>
      <c r="CN763" s="235" cm="1">
        <f t="array" ref="CN763">$BI763 * IF($AH763&lt;=2,
SUMPRODUCT(INDEX($AR$72:$AT$76,,$AI763), INDEX($AU$72:$BA$76,,$AH763), 1 / ($BB$72:$BB$76*CM763 + (1-$BB$72:$BB$76)*CI763), N($AQ$72:$AQ$76&gt;$AO763)),
SUMPRODUCT(INDEX($AR$67:$AT$76,,$AI763), INDEX($AU$67:$BA$76,,$AH763), 1 / ($BC$67:$BC$76*CM763 + (1-$BC$67:$BC$76)*CI763), N($AQ$67:$AQ$76&gt;$AO763))
) / 1000</f>
        <v>0</v>
      </c>
      <c r="CO763" s="232">
        <f t="shared" si="723"/>
        <v>25</v>
      </c>
      <c r="CP763" s="230">
        <f t="shared" ref="CP763:CP826" si="746">MAX($U763, MAX($CE763, CO763 + $BG763 + $BH763 + IF($AH763&lt;=2, (CO763-20)/(35-20), 0.6+0.4*(CO763-5)/(35-5))*0.35*$AL763*$BG763) + IF($AH763&lt;=2,0.8,0.6)*$CF763)</f>
        <v>38</v>
      </c>
      <c r="CQ763" s="235">
        <f t="shared" ref="CQ763:CQ826" si="747">0.45*($CD763+273.15)/(CP763-$CD763)</f>
        <v>4.0666935483870965</v>
      </c>
      <c r="CR763" s="235" cm="1">
        <f t="array" ref="CR763">$BI763 * IF($AH763&lt;=2,
SUMPRODUCT(INDEX($AR$67:$AT$71,,$AI763), INDEX($AU$67:$BA$71,,$AH763), 1 / ($BB$67:$BB$71*CQ763 + (1-$BB$67:$BB$71)*CM763), N($AQ$67:$AQ$71&gt;$AO763)),
SUMPRODUCT(INDEX($AR$57:$AT$66,,$AI763), INDEX($AU$57:$BA$66,,$AH763), 1 / ($BC$57:$BC$66*CQ763 + (1-$BC$57:$BC$66)*CM763), N($AQ$57:$AQ$66&gt;$AO763))
) / 1000</f>
        <v>0</v>
      </c>
      <c r="CS763" s="232">
        <f t="shared" si="724"/>
        <v>20</v>
      </c>
      <c r="CT763" s="230">
        <f t="shared" ref="CT763:CT826" si="748">MAX($U763, MAX($CE763, CS763 + $BG763 + $BH763 + IF($AH763&lt;=2, (CS763-20)/(35-20), 0.6+0.4*(CS763-5)/(35-5))*0.35*$AL763*$BG763) + IF($AH763&lt;=2,0.7,0.4)*$CF763)</f>
        <v>33</v>
      </c>
      <c r="CU763" s="235">
        <f t="shared" ref="CU763:CU826" si="749">0.45*($CD763+273.15)/(CT763-$CD763)</f>
        <v>4.8487499999999999</v>
      </c>
      <c r="CV763" s="235" cm="1">
        <f t="array" ref="CV763">$BI763 * IF($AH763&lt;=2,
SUMPRODUCT(INDEX($AR$62:$AT$66,,$AI763), INDEX($AU$62:$BA$66,,$AH763), 1 / ($BB$62:$BB$66*CU763 + (1-$BB$62:$BB$66)*CQ763), N($AQ$62:$AQ$66&gt;$AO763)),
SUMPRODUCT(INDEX($AR$47:$AT$56,,$AI763), INDEX($AU$47:$BA$56,,$AH763), 1 / ($BC$47:$BC$56*CU763 + (1-$BC$47:$BC$56)*CQ763), N($AQ$47:$AQ$56&gt;$AO763))
) / 1000</f>
        <v>0</v>
      </c>
      <c r="CW763" s="235" cm="1">
        <f t="array" ref="CW763">$BI763 * IF($AH763&lt;=2,
SUMPRODUCT(INDEX($AR$23:$AT$61,,$AI763), INDEX($AU$23:$BA$61,,$AH763), 1 / ($BB$23:$BB$61*CU763), N($AQ$23:$AQ$61&gt;$AO763)),
SUMPRODUCT(INDEX($AR$23:$AT$46,,$AI763), INDEX($AU$23:$BA$46,,$AH763), 1 / ($BC$23:$BC$46*CU763), N($AQ$23:$AQ$46&gt;$AO763))
) / 1000</f>
        <v>0</v>
      </c>
      <c r="CX763" s="230">
        <f t="shared" ref="CX763:CX826" si="750">CJ763+CN763+CR763+CV763+CW763</f>
        <v>0</v>
      </c>
      <c r="CY763" s="238"/>
    </row>
    <row r="764" spans="1:103" s="76" customFormat="1" ht="14.25" customHeight="1" x14ac:dyDescent="0.2">
      <c r="A764" s="231" t="b">
        <f t="shared" si="716"/>
        <v>0</v>
      </c>
      <c r="B764" s="245">
        <v>742</v>
      </c>
      <c r="C764" s="258"/>
      <c r="D764" s="258"/>
      <c r="E764" s="246"/>
      <c r="F764" s="247" t="str">
        <f>IF(ISBLANK(E764), "", VLOOKUP(E764, Z!$A$2:$C$4127, 3, FALSE))</f>
        <v/>
      </c>
      <c r="G764" s="248"/>
      <c r="H764" s="248"/>
      <c r="I764" s="249"/>
      <c r="J764" s="250"/>
      <c r="K764" s="259"/>
      <c r="L764" s="260"/>
      <c r="M764" s="252" t="str" cm="1">
        <f t="array" ref="M764">INDEX(Trad, 53, $A$20)</f>
        <v>Verschmutzt</v>
      </c>
      <c r="N764" s="253"/>
      <c r="O764" s="253"/>
      <c r="P764" s="254"/>
      <c r="Q764" s="251"/>
      <c r="R764" s="251"/>
      <c r="S764" s="264">
        <f t="shared" si="725"/>
        <v>0</v>
      </c>
      <c r="T764" s="252" t="str" cm="1">
        <f t="array" ref="T764">INDEX(Trad, 52, $A$20)</f>
        <v>Sauber</v>
      </c>
      <c r="U764" s="253"/>
      <c r="V764" s="253"/>
      <c r="W764" s="254"/>
      <c r="X764" s="251"/>
      <c r="Y764" s="251"/>
      <c r="Z764" s="264">
        <f t="shared" si="726"/>
        <v>0</v>
      </c>
      <c r="AA764" s="261"/>
      <c r="AB764" s="258"/>
      <c r="AC764" s="246"/>
      <c r="AD764" s="247" t="str">
        <f>IF(ISBLANK(AC764), "", VLOOKUP(AC764, Z!$A$2:$C$4127, 3, FALSE))</f>
        <v/>
      </c>
      <c r="AE764" s="262"/>
      <c r="AF764" s="263">
        <f t="shared" si="727"/>
        <v>0</v>
      </c>
      <c r="AG764" s="238"/>
      <c r="AH764" s="229">
        <f t="shared" ref="AH764:AH827" si="751">IF(ISBLANK(H764), 1, IFERROR(MATCH(H764, INDEX(Use,,1), 0), IFERROR(MATCH(H764, INDEX(Use,,2), 0), MATCH(H764, INDEX(Use,,3), 0))))</f>
        <v>1</v>
      </c>
      <c r="AI764" s="229">
        <f t="shared" ref="AI764:AI827" si="752">IF(ISBLANK(G764), 1, IFERROR(MATCH(G764, INDEX(Loc,,1), 0), IFERROR(MATCH(G764, INDEX(Loc,,2), 0), MATCH(G764, INDEX(Loc,,3), 0))))</f>
        <v>1</v>
      </c>
      <c r="AJ764" s="229">
        <f t="shared" ref="AJ764:AJ827" si="753">_xlfn.IFNA(IF(IFERROR(MATCH(I764, INDEX(Medium,,1), 0), IFERROR(MATCH(I764, INDEX(Medium,,2), 0), MATCH(I764, INDEX(Medium,,3), 0))) = 2, 1, 0), 0)</f>
        <v>0</v>
      </c>
      <c r="AK764" s="229">
        <v>0</v>
      </c>
      <c r="AL764" s="229">
        <v>0</v>
      </c>
      <c r="AM764" s="229">
        <v>1</v>
      </c>
      <c r="AN764" s="229">
        <v>0</v>
      </c>
      <c r="AO764" s="229">
        <f t="shared" si="728"/>
        <v>-100</v>
      </c>
      <c r="AP764" s="238"/>
      <c r="AQ764" s="255"/>
      <c r="AR764" s="255"/>
      <c r="AS764" s="256"/>
      <c r="AT764" s="256"/>
      <c r="AU764" s="256"/>
      <c r="AV764" s="256"/>
      <c r="AW764" s="256"/>
      <c r="AX764" s="256"/>
      <c r="AY764" s="256"/>
      <c r="AZ764" s="256"/>
      <c r="BA764" s="256"/>
      <c r="BB764" s="256"/>
      <c r="BC764" s="256"/>
      <c r="BD764" s="238"/>
      <c r="BE764" s="229" cm="1">
        <f t="array" ref="BE764">IF(ISBLANK(R764), INDEX(Use, $AH764, 4) - AM764*INDEX(Use, $AH764, 6), R764)</f>
        <v>5</v>
      </c>
      <c r="BF764" s="229">
        <f t="shared" si="729"/>
        <v>30</v>
      </c>
      <c r="BG764" s="229">
        <f t="shared" si="717"/>
        <v>13</v>
      </c>
      <c r="BH764" s="229">
        <f t="shared" si="718"/>
        <v>0</v>
      </c>
      <c r="BI764" s="234" cm="1">
        <f t="array" ref="BI764">K764/IF($L764&gt;0, INDEX($AU$23:$BA$77, $L764+20, $AH764), 1)</f>
        <v>0</v>
      </c>
      <c r="BJ764" s="230">
        <f t="shared" si="730"/>
        <v>0</v>
      </c>
      <c r="BK764" s="229">
        <v>35</v>
      </c>
      <c r="BL764" s="230">
        <f t="shared" si="731"/>
        <v>48</v>
      </c>
      <c r="BM764" s="235">
        <f t="shared" si="732"/>
        <v>2.9108720930232557</v>
      </c>
      <c r="BN764" s="235" cm="1">
        <f t="array" ref="BN764">$BI764 * SUMPRODUCT(INDEX($AR$77:$AT$82,,$AI764),INDEX($AU$77:$BA$82,,$AH764), N($AQ$77:$AQ$82&gt;$AO764)) / BM764 / 1000</f>
        <v>0</v>
      </c>
      <c r="BO764" s="232">
        <f t="shared" si="719"/>
        <v>30</v>
      </c>
      <c r="BP764" s="230">
        <f t="shared" si="733"/>
        <v>43</v>
      </c>
      <c r="BQ764" s="235">
        <f t="shared" si="734"/>
        <v>3.2938815789473681</v>
      </c>
      <c r="BR764" s="235" cm="1">
        <f t="array" ref="BR764">$BI764 * IF($AH764&lt;=2,
SUMPRODUCT(INDEX($AR$72:$AT$76,,$AI764), INDEX($AU$72:$BA$76,,$AH764), 1 / ($BB$72:$BB$76*BQ764 + (1-$BB$72:$BB$76)*BM764), N($AQ$72:$AQ$76&gt;$AO764)),
SUMPRODUCT(INDEX($AR$67:$AT$76,,$AI764), INDEX($AU$67:$BA$76,,$AH764), 1 / ($BC$67:$BC$76*BQ764 + (1-$BC$67:$BC$76)*BM764), N($AQ$67:$AQ$76&gt;$AO764))
) / 1000</f>
        <v>0</v>
      </c>
      <c r="BS764" s="232">
        <f t="shared" si="720"/>
        <v>25</v>
      </c>
      <c r="BT764" s="230">
        <f t="shared" si="735"/>
        <v>38</v>
      </c>
      <c r="BU764" s="235">
        <f t="shared" si="736"/>
        <v>3.792954545454545</v>
      </c>
      <c r="BV764" s="235" cm="1">
        <f t="array" ref="BV764">$BI764 * IF($AH764&lt;=2,
SUMPRODUCT(INDEX($AR$67:$AT$71,,$AI764), INDEX($AU$67:$BA$71,,$AH764), 1 / ($BB$67:$BB$71*BU764 + (1-$BB$67:$BB$71)*BQ764), N($AQ$67:$AQ$71&gt;$AO764)),
SUMPRODUCT(INDEX($AR$57:$AT$66,,$AI764), INDEX($AU$57:$BA$66,,$AH764), 1 / ($BC$57:$BC$66*BU764 + (1-$BC$57:$BC$66)*BQ764), N($AQ$57:$AQ$66&gt;$AO764))
) / 1000</f>
        <v>0</v>
      </c>
      <c r="BW764" s="232">
        <f t="shared" si="721"/>
        <v>20</v>
      </c>
      <c r="BX764" s="230">
        <f t="shared" si="737"/>
        <v>33</v>
      </c>
      <c r="BY764" s="235">
        <f t="shared" si="738"/>
        <v>4.4702678571428569</v>
      </c>
      <c r="BZ764" s="235" cm="1">
        <f t="array" ref="BZ764">$BI764 * IF($AH764&lt;=2,
SUMPRODUCT(INDEX($AR$62:$AT$66,,$AI764), INDEX($AU$62:$BA$66,,$AH764), 1 / ($BB$62:$BB$66*BY764 + (1-$BB$62:$BB$66)*BU764), N($AQ$62:$AQ$66&gt;$AO764)),
SUMPRODUCT(INDEX($AR$47:$AT$56,,$AI764), INDEX($AU$47:$BA$56,,$AH764), 1 / ($BC$47:$BC$56*BY764 + (1-$BC$47:$BC$56)*BU764), N($AQ$47:$AQ$56&gt;$AO764))
) / 1000</f>
        <v>0</v>
      </c>
      <c r="CA764" s="235" cm="1">
        <f t="array" ref="CA764">$BI764 * IF($AH764&lt;=2,
SUMPRODUCT(INDEX($AR$23:$AT$61,,$AI764), INDEX($AU$23:$BA$61,,$AH764), 1 / ($BB$23:$BB$61*BY764), N($AQ$23:$AQ$61&gt;$AO764)),
SUMPRODUCT(INDEX($AR$23:$AT$46,,$AI764), INDEX($AU$23:$BA$46,,$AH764), 1 / ($BC$23:$BC$46*BY764), N($AQ$23:$AQ$46&gt;$AO764))
) / 1000</f>
        <v>0</v>
      </c>
      <c r="CB764" s="230">
        <f t="shared" si="739"/>
        <v>0</v>
      </c>
      <c r="CC764" s="238"/>
      <c r="CD764" s="229" cm="1">
        <f t="array" ref="CD764">IF(ISBLANK(Y764), INDEX(Use, $AH764, 4) - AN764*INDEX(Use, $AH764, 6) - (Q764-X764), Y764)</f>
        <v>7</v>
      </c>
      <c r="CE764" s="229">
        <f t="shared" si="740"/>
        <v>32</v>
      </c>
      <c r="CF764" s="230">
        <f t="shared" si="741"/>
        <v>0</v>
      </c>
      <c r="CG764" s="229">
        <v>35</v>
      </c>
      <c r="CH764" s="230">
        <f t="shared" si="742"/>
        <v>48</v>
      </c>
      <c r="CI764" s="235">
        <f t="shared" si="743"/>
        <v>3.0748170731707316</v>
      </c>
      <c r="CJ764" s="235" cm="1">
        <f t="array" ref="CJ764">$BI764 * SUMPRODUCT(INDEX($AR$77:$AT$82,,$AI764),INDEX($AU$77:$BA$82,,$AH764), N($AQ$77:$AQ$82&gt;$AO764)) / CI764 / 1000</f>
        <v>0</v>
      </c>
      <c r="CK764" s="232">
        <f t="shared" si="722"/>
        <v>30</v>
      </c>
      <c r="CL764" s="230">
        <f t="shared" si="744"/>
        <v>43</v>
      </c>
      <c r="CM764" s="235">
        <f t="shared" si="745"/>
        <v>3.5018750000000001</v>
      </c>
      <c r="CN764" s="235" cm="1">
        <f t="array" ref="CN764">$BI764 * IF($AH764&lt;=2,
SUMPRODUCT(INDEX($AR$72:$AT$76,,$AI764), INDEX($AU$72:$BA$76,,$AH764), 1 / ($BB$72:$BB$76*CM764 + (1-$BB$72:$BB$76)*CI764), N($AQ$72:$AQ$76&gt;$AO764)),
SUMPRODUCT(INDEX($AR$67:$AT$76,,$AI764), INDEX($AU$67:$BA$76,,$AH764), 1 / ($BC$67:$BC$76*CM764 + (1-$BC$67:$BC$76)*CI764), N($AQ$67:$AQ$76&gt;$AO764))
) / 1000</f>
        <v>0</v>
      </c>
      <c r="CO764" s="232">
        <f t="shared" si="723"/>
        <v>25</v>
      </c>
      <c r="CP764" s="230">
        <f t="shared" si="746"/>
        <v>38</v>
      </c>
      <c r="CQ764" s="235">
        <f t="shared" si="747"/>
        <v>4.0666935483870965</v>
      </c>
      <c r="CR764" s="235" cm="1">
        <f t="array" ref="CR764">$BI764 * IF($AH764&lt;=2,
SUMPRODUCT(INDEX($AR$67:$AT$71,,$AI764), INDEX($AU$67:$BA$71,,$AH764), 1 / ($BB$67:$BB$71*CQ764 + (1-$BB$67:$BB$71)*CM764), N($AQ$67:$AQ$71&gt;$AO764)),
SUMPRODUCT(INDEX($AR$57:$AT$66,,$AI764), INDEX($AU$57:$BA$66,,$AH764), 1 / ($BC$57:$BC$66*CQ764 + (1-$BC$57:$BC$66)*CM764), N($AQ$57:$AQ$66&gt;$AO764))
) / 1000</f>
        <v>0</v>
      </c>
      <c r="CS764" s="232">
        <f t="shared" si="724"/>
        <v>20</v>
      </c>
      <c r="CT764" s="230">
        <f t="shared" si="748"/>
        <v>33</v>
      </c>
      <c r="CU764" s="235">
        <f t="shared" si="749"/>
        <v>4.8487499999999999</v>
      </c>
      <c r="CV764" s="235" cm="1">
        <f t="array" ref="CV764">$BI764 * IF($AH764&lt;=2,
SUMPRODUCT(INDEX($AR$62:$AT$66,,$AI764), INDEX($AU$62:$BA$66,,$AH764), 1 / ($BB$62:$BB$66*CU764 + (1-$BB$62:$BB$66)*CQ764), N($AQ$62:$AQ$66&gt;$AO764)),
SUMPRODUCT(INDEX($AR$47:$AT$56,,$AI764), INDEX($AU$47:$BA$56,,$AH764), 1 / ($BC$47:$BC$56*CU764 + (1-$BC$47:$BC$56)*CQ764), N($AQ$47:$AQ$56&gt;$AO764))
) / 1000</f>
        <v>0</v>
      </c>
      <c r="CW764" s="235" cm="1">
        <f t="array" ref="CW764">$BI764 * IF($AH764&lt;=2,
SUMPRODUCT(INDEX($AR$23:$AT$61,,$AI764), INDEX($AU$23:$BA$61,,$AH764), 1 / ($BB$23:$BB$61*CU764), N($AQ$23:$AQ$61&gt;$AO764)),
SUMPRODUCT(INDEX($AR$23:$AT$46,,$AI764), INDEX($AU$23:$BA$46,,$AH764), 1 / ($BC$23:$BC$46*CU764), N($AQ$23:$AQ$46&gt;$AO764))
) / 1000</f>
        <v>0</v>
      </c>
      <c r="CX764" s="230">
        <f t="shared" si="750"/>
        <v>0</v>
      </c>
      <c r="CY764" s="238"/>
    </row>
    <row r="765" spans="1:103" s="76" customFormat="1" ht="14.25" customHeight="1" x14ac:dyDescent="0.2">
      <c r="A765" s="231" t="b">
        <f t="shared" si="716"/>
        <v>0</v>
      </c>
      <c r="B765" s="245">
        <v>743</v>
      </c>
      <c r="C765" s="258"/>
      <c r="D765" s="258"/>
      <c r="E765" s="246"/>
      <c r="F765" s="247" t="str">
        <f>IF(ISBLANK(E765), "", VLOOKUP(E765, Z!$A$2:$C$4127, 3, FALSE))</f>
        <v/>
      </c>
      <c r="G765" s="248"/>
      <c r="H765" s="248"/>
      <c r="I765" s="249"/>
      <c r="J765" s="250"/>
      <c r="K765" s="259"/>
      <c r="L765" s="260"/>
      <c r="M765" s="252" t="str" cm="1">
        <f t="array" ref="M765">INDEX(Trad, 53, $A$20)</f>
        <v>Verschmutzt</v>
      </c>
      <c r="N765" s="253"/>
      <c r="O765" s="253"/>
      <c r="P765" s="254"/>
      <c r="Q765" s="251"/>
      <c r="R765" s="251"/>
      <c r="S765" s="264">
        <f t="shared" si="725"/>
        <v>0</v>
      </c>
      <c r="T765" s="252" t="str" cm="1">
        <f t="array" ref="T765">INDEX(Trad, 52, $A$20)</f>
        <v>Sauber</v>
      </c>
      <c r="U765" s="253"/>
      <c r="V765" s="253"/>
      <c r="W765" s="254"/>
      <c r="X765" s="251"/>
      <c r="Y765" s="251"/>
      <c r="Z765" s="264">
        <f t="shared" si="726"/>
        <v>0</v>
      </c>
      <c r="AA765" s="261"/>
      <c r="AB765" s="258"/>
      <c r="AC765" s="246"/>
      <c r="AD765" s="247" t="str">
        <f>IF(ISBLANK(AC765), "", VLOOKUP(AC765, Z!$A$2:$C$4127, 3, FALSE))</f>
        <v/>
      </c>
      <c r="AE765" s="262"/>
      <c r="AF765" s="263">
        <f t="shared" si="727"/>
        <v>0</v>
      </c>
      <c r="AG765" s="238"/>
      <c r="AH765" s="229">
        <f t="shared" si="751"/>
        <v>1</v>
      </c>
      <c r="AI765" s="229">
        <f t="shared" si="752"/>
        <v>1</v>
      </c>
      <c r="AJ765" s="229">
        <f t="shared" si="753"/>
        <v>0</v>
      </c>
      <c r="AK765" s="229">
        <v>0</v>
      </c>
      <c r="AL765" s="229">
        <v>0</v>
      </c>
      <c r="AM765" s="229">
        <v>1</v>
      </c>
      <c r="AN765" s="229">
        <v>0</v>
      </c>
      <c r="AO765" s="229">
        <f t="shared" si="728"/>
        <v>-100</v>
      </c>
      <c r="AP765" s="238"/>
      <c r="AQ765" s="255"/>
      <c r="AR765" s="255"/>
      <c r="AS765" s="256"/>
      <c r="AT765" s="256"/>
      <c r="AU765" s="256"/>
      <c r="AV765" s="256"/>
      <c r="AW765" s="256"/>
      <c r="AX765" s="256"/>
      <c r="AY765" s="256"/>
      <c r="AZ765" s="256"/>
      <c r="BA765" s="256"/>
      <c r="BB765" s="256"/>
      <c r="BC765" s="256"/>
      <c r="BD765" s="238"/>
      <c r="BE765" s="229" cm="1">
        <f t="array" ref="BE765">IF(ISBLANK(R765), INDEX(Use, $AH765, 4) - AM765*INDEX(Use, $AH765, 6), R765)</f>
        <v>5</v>
      </c>
      <c r="BF765" s="229">
        <f t="shared" si="729"/>
        <v>30</v>
      </c>
      <c r="BG765" s="229">
        <f t="shared" si="717"/>
        <v>13</v>
      </c>
      <c r="BH765" s="229">
        <f t="shared" si="718"/>
        <v>0</v>
      </c>
      <c r="BI765" s="234" cm="1">
        <f t="array" ref="BI765">K765/IF($L765&gt;0, INDEX($AU$23:$BA$77, $L765+20, $AH765), 1)</f>
        <v>0</v>
      </c>
      <c r="BJ765" s="230">
        <f t="shared" si="730"/>
        <v>0</v>
      </c>
      <c r="BK765" s="229">
        <v>35</v>
      </c>
      <c r="BL765" s="230">
        <f t="shared" si="731"/>
        <v>48</v>
      </c>
      <c r="BM765" s="235">
        <f t="shared" si="732"/>
        <v>2.9108720930232557</v>
      </c>
      <c r="BN765" s="235" cm="1">
        <f t="array" ref="BN765">$BI765 * SUMPRODUCT(INDEX($AR$77:$AT$82,,$AI765),INDEX($AU$77:$BA$82,,$AH765), N($AQ$77:$AQ$82&gt;$AO765)) / BM765 / 1000</f>
        <v>0</v>
      </c>
      <c r="BO765" s="232">
        <f t="shared" si="719"/>
        <v>30</v>
      </c>
      <c r="BP765" s="230">
        <f t="shared" si="733"/>
        <v>43</v>
      </c>
      <c r="BQ765" s="235">
        <f t="shared" si="734"/>
        <v>3.2938815789473681</v>
      </c>
      <c r="BR765" s="235" cm="1">
        <f t="array" ref="BR765">$BI765 * IF($AH765&lt;=2,
SUMPRODUCT(INDEX($AR$72:$AT$76,,$AI765), INDEX($AU$72:$BA$76,,$AH765), 1 / ($BB$72:$BB$76*BQ765 + (1-$BB$72:$BB$76)*BM765), N($AQ$72:$AQ$76&gt;$AO765)),
SUMPRODUCT(INDEX($AR$67:$AT$76,,$AI765), INDEX($AU$67:$BA$76,,$AH765), 1 / ($BC$67:$BC$76*BQ765 + (1-$BC$67:$BC$76)*BM765), N($AQ$67:$AQ$76&gt;$AO765))
) / 1000</f>
        <v>0</v>
      </c>
      <c r="BS765" s="232">
        <f t="shared" si="720"/>
        <v>25</v>
      </c>
      <c r="BT765" s="230">
        <f t="shared" si="735"/>
        <v>38</v>
      </c>
      <c r="BU765" s="235">
        <f t="shared" si="736"/>
        <v>3.792954545454545</v>
      </c>
      <c r="BV765" s="235" cm="1">
        <f t="array" ref="BV765">$BI765 * IF($AH765&lt;=2,
SUMPRODUCT(INDEX($AR$67:$AT$71,,$AI765), INDEX($AU$67:$BA$71,,$AH765), 1 / ($BB$67:$BB$71*BU765 + (1-$BB$67:$BB$71)*BQ765), N($AQ$67:$AQ$71&gt;$AO765)),
SUMPRODUCT(INDEX($AR$57:$AT$66,,$AI765), INDEX($AU$57:$BA$66,,$AH765), 1 / ($BC$57:$BC$66*BU765 + (1-$BC$57:$BC$66)*BQ765), N($AQ$57:$AQ$66&gt;$AO765))
) / 1000</f>
        <v>0</v>
      </c>
      <c r="BW765" s="232">
        <f t="shared" si="721"/>
        <v>20</v>
      </c>
      <c r="BX765" s="230">
        <f t="shared" si="737"/>
        <v>33</v>
      </c>
      <c r="BY765" s="235">
        <f t="shared" si="738"/>
        <v>4.4702678571428569</v>
      </c>
      <c r="BZ765" s="235" cm="1">
        <f t="array" ref="BZ765">$BI765 * IF($AH765&lt;=2,
SUMPRODUCT(INDEX($AR$62:$AT$66,,$AI765), INDEX($AU$62:$BA$66,,$AH765), 1 / ($BB$62:$BB$66*BY765 + (1-$BB$62:$BB$66)*BU765), N($AQ$62:$AQ$66&gt;$AO765)),
SUMPRODUCT(INDEX($AR$47:$AT$56,,$AI765), INDEX($AU$47:$BA$56,,$AH765), 1 / ($BC$47:$BC$56*BY765 + (1-$BC$47:$BC$56)*BU765), N($AQ$47:$AQ$56&gt;$AO765))
) / 1000</f>
        <v>0</v>
      </c>
      <c r="CA765" s="235" cm="1">
        <f t="array" ref="CA765">$BI765 * IF($AH765&lt;=2,
SUMPRODUCT(INDEX($AR$23:$AT$61,,$AI765), INDEX($AU$23:$BA$61,,$AH765), 1 / ($BB$23:$BB$61*BY765), N($AQ$23:$AQ$61&gt;$AO765)),
SUMPRODUCT(INDEX($AR$23:$AT$46,,$AI765), INDEX($AU$23:$BA$46,,$AH765), 1 / ($BC$23:$BC$46*BY765), N($AQ$23:$AQ$46&gt;$AO765))
) / 1000</f>
        <v>0</v>
      </c>
      <c r="CB765" s="230">
        <f t="shared" si="739"/>
        <v>0</v>
      </c>
      <c r="CC765" s="238"/>
      <c r="CD765" s="229" cm="1">
        <f t="array" ref="CD765">IF(ISBLANK(Y765), INDEX(Use, $AH765, 4) - AN765*INDEX(Use, $AH765, 6) - (Q765-X765), Y765)</f>
        <v>7</v>
      </c>
      <c r="CE765" s="229">
        <f t="shared" si="740"/>
        <v>32</v>
      </c>
      <c r="CF765" s="230">
        <f t="shared" si="741"/>
        <v>0</v>
      </c>
      <c r="CG765" s="229">
        <v>35</v>
      </c>
      <c r="CH765" s="230">
        <f t="shared" si="742"/>
        <v>48</v>
      </c>
      <c r="CI765" s="235">
        <f t="shared" si="743"/>
        <v>3.0748170731707316</v>
      </c>
      <c r="CJ765" s="235" cm="1">
        <f t="array" ref="CJ765">$BI765 * SUMPRODUCT(INDEX($AR$77:$AT$82,,$AI765),INDEX($AU$77:$BA$82,,$AH765), N($AQ$77:$AQ$82&gt;$AO765)) / CI765 / 1000</f>
        <v>0</v>
      </c>
      <c r="CK765" s="232">
        <f t="shared" si="722"/>
        <v>30</v>
      </c>
      <c r="CL765" s="230">
        <f t="shared" si="744"/>
        <v>43</v>
      </c>
      <c r="CM765" s="235">
        <f t="shared" si="745"/>
        <v>3.5018750000000001</v>
      </c>
      <c r="CN765" s="235" cm="1">
        <f t="array" ref="CN765">$BI765 * IF($AH765&lt;=2,
SUMPRODUCT(INDEX($AR$72:$AT$76,,$AI765), INDEX($AU$72:$BA$76,,$AH765), 1 / ($BB$72:$BB$76*CM765 + (1-$BB$72:$BB$76)*CI765), N($AQ$72:$AQ$76&gt;$AO765)),
SUMPRODUCT(INDEX($AR$67:$AT$76,,$AI765), INDEX($AU$67:$BA$76,,$AH765), 1 / ($BC$67:$BC$76*CM765 + (1-$BC$67:$BC$76)*CI765), N($AQ$67:$AQ$76&gt;$AO765))
) / 1000</f>
        <v>0</v>
      </c>
      <c r="CO765" s="232">
        <f t="shared" si="723"/>
        <v>25</v>
      </c>
      <c r="CP765" s="230">
        <f t="shared" si="746"/>
        <v>38</v>
      </c>
      <c r="CQ765" s="235">
        <f t="shared" si="747"/>
        <v>4.0666935483870965</v>
      </c>
      <c r="CR765" s="235" cm="1">
        <f t="array" ref="CR765">$BI765 * IF($AH765&lt;=2,
SUMPRODUCT(INDEX($AR$67:$AT$71,,$AI765), INDEX($AU$67:$BA$71,,$AH765), 1 / ($BB$67:$BB$71*CQ765 + (1-$BB$67:$BB$71)*CM765), N($AQ$67:$AQ$71&gt;$AO765)),
SUMPRODUCT(INDEX($AR$57:$AT$66,,$AI765), INDEX($AU$57:$BA$66,,$AH765), 1 / ($BC$57:$BC$66*CQ765 + (1-$BC$57:$BC$66)*CM765), N($AQ$57:$AQ$66&gt;$AO765))
) / 1000</f>
        <v>0</v>
      </c>
      <c r="CS765" s="232">
        <f t="shared" si="724"/>
        <v>20</v>
      </c>
      <c r="CT765" s="230">
        <f t="shared" si="748"/>
        <v>33</v>
      </c>
      <c r="CU765" s="235">
        <f t="shared" si="749"/>
        <v>4.8487499999999999</v>
      </c>
      <c r="CV765" s="235" cm="1">
        <f t="array" ref="CV765">$BI765 * IF($AH765&lt;=2,
SUMPRODUCT(INDEX($AR$62:$AT$66,,$AI765), INDEX($AU$62:$BA$66,,$AH765), 1 / ($BB$62:$BB$66*CU765 + (1-$BB$62:$BB$66)*CQ765), N($AQ$62:$AQ$66&gt;$AO765)),
SUMPRODUCT(INDEX($AR$47:$AT$56,,$AI765), INDEX($AU$47:$BA$56,,$AH765), 1 / ($BC$47:$BC$56*CU765 + (1-$BC$47:$BC$56)*CQ765), N($AQ$47:$AQ$56&gt;$AO765))
) / 1000</f>
        <v>0</v>
      </c>
      <c r="CW765" s="235" cm="1">
        <f t="array" ref="CW765">$BI765 * IF($AH765&lt;=2,
SUMPRODUCT(INDEX($AR$23:$AT$61,,$AI765), INDEX($AU$23:$BA$61,,$AH765), 1 / ($BB$23:$BB$61*CU765), N($AQ$23:$AQ$61&gt;$AO765)),
SUMPRODUCT(INDEX($AR$23:$AT$46,,$AI765), INDEX($AU$23:$BA$46,,$AH765), 1 / ($BC$23:$BC$46*CU765), N($AQ$23:$AQ$46&gt;$AO765))
) / 1000</f>
        <v>0</v>
      </c>
      <c r="CX765" s="230">
        <f t="shared" si="750"/>
        <v>0</v>
      </c>
      <c r="CY765" s="238"/>
    </row>
    <row r="766" spans="1:103" s="76" customFormat="1" ht="14.25" customHeight="1" x14ac:dyDescent="0.2">
      <c r="A766" s="231" t="b">
        <f t="shared" si="716"/>
        <v>0</v>
      </c>
      <c r="B766" s="245">
        <v>744</v>
      </c>
      <c r="C766" s="258"/>
      <c r="D766" s="258"/>
      <c r="E766" s="246"/>
      <c r="F766" s="247" t="str">
        <f>IF(ISBLANK(E766), "", VLOOKUP(E766, Z!$A$2:$C$4127, 3, FALSE))</f>
        <v/>
      </c>
      <c r="G766" s="248"/>
      <c r="H766" s="248"/>
      <c r="I766" s="249"/>
      <c r="J766" s="250"/>
      <c r="K766" s="259"/>
      <c r="L766" s="260"/>
      <c r="M766" s="252" t="str" cm="1">
        <f t="array" ref="M766">INDEX(Trad, 53, $A$20)</f>
        <v>Verschmutzt</v>
      </c>
      <c r="N766" s="253"/>
      <c r="O766" s="253"/>
      <c r="P766" s="254"/>
      <c r="Q766" s="251"/>
      <c r="R766" s="251"/>
      <c r="S766" s="264">
        <f t="shared" si="725"/>
        <v>0</v>
      </c>
      <c r="T766" s="252" t="str" cm="1">
        <f t="array" ref="T766">INDEX(Trad, 52, $A$20)</f>
        <v>Sauber</v>
      </c>
      <c r="U766" s="253"/>
      <c r="V766" s="253"/>
      <c r="W766" s="254"/>
      <c r="X766" s="251"/>
      <c r="Y766" s="251"/>
      <c r="Z766" s="264">
        <f t="shared" si="726"/>
        <v>0</v>
      </c>
      <c r="AA766" s="261"/>
      <c r="AB766" s="258"/>
      <c r="AC766" s="246"/>
      <c r="AD766" s="247" t="str">
        <f>IF(ISBLANK(AC766), "", VLOOKUP(AC766, Z!$A$2:$C$4127, 3, FALSE))</f>
        <v/>
      </c>
      <c r="AE766" s="262"/>
      <c r="AF766" s="263">
        <f t="shared" si="727"/>
        <v>0</v>
      </c>
      <c r="AG766" s="238"/>
      <c r="AH766" s="229">
        <f t="shared" si="751"/>
        <v>1</v>
      </c>
      <c r="AI766" s="229">
        <f t="shared" si="752"/>
        <v>1</v>
      </c>
      <c r="AJ766" s="229">
        <f t="shared" si="753"/>
        <v>0</v>
      </c>
      <c r="AK766" s="229">
        <v>0</v>
      </c>
      <c r="AL766" s="229">
        <v>0</v>
      </c>
      <c r="AM766" s="229">
        <v>1</v>
      </c>
      <c r="AN766" s="229">
        <v>0</v>
      </c>
      <c r="AO766" s="229">
        <f t="shared" si="728"/>
        <v>-100</v>
      </c>
      <c r="AP766" s="238"/>
      <c r="AQ766" s="255"/>
      <c r="AR766" s="255"/>
      <c r="AS766" s="256"/>
      <c r="AT766" s="256"/>
      <c r="AU766" s="256"/>
      <c r="AV766" s="256"/>
      <c r="AW766" s="256"/>
      <c r="AX766" s="256"/>
      <c r="AY766" s="256"/>
      <c r="AZ766" s="256"/>
      <c r="BA766" s="256"/>
      <c r="BB766" s="256"/>
      <c r="BC766" s="256"/>
      <c r="BD766" s="238"/>
      <c r="BE766" s="229" cm="1">
        <f t="array" ref="BE766">IF(ISBLANK(R766), INDEX(Use, $AH766, 4) - AM766*INDEX(Use, $AH766, 6), R766)</f>
        <v>5</v>
      </c>
      <c r="BF766" s="229">
        <f t="shared" si="729"/>
        <v>30</v>
      </c>
      <c r="BG766" s="229">
        <f t="shared" si="717"/>
        <v>13</v>
      </c>
      <c r="BH766" s="229">
        <f t="shared" si="718"/>
        <v>0</v>
      </c>
      <c r="BI766" s="234" cm="1">
        <f t="array" ref="BI766">K766/IF($L766&gt;0, INDEX($AU$23:$BA$77, $L766+20, $AH766), 1)</f>
        <v>0</v>
      </c>
      <c r="BJ766" s="230">
        <f t="shared" si="730"/>
        <v>0</v>
      </c>
      <c r="BK766" s="229">
        <v>35</v>
      </c>
      <c r="BL766" s="230">
        <f t="shared" si="731"/>
        <v>48</v>
      </c>
      <c r="BM766" s="235">
        <f t="shared" si="732"/>
        <v>2.9108720930232557</v>
      </c>
      <c r="BN766" s="235" cm="1">
        <f t="array" ref="BN766">$BI766 * SUMPRODUCT(INDEX($AR$77:$AT$82,,$AI766),INDEX($AU$77:$BA$82,,$AH766), N($AQ$77:$AQ$82&gt;$AO766)) / BM766 / 1000</f>
        <v>0</v>
      </c>
      <c r="BO766" s="232">
        <f t="shared" si="719"/>
        <v>30</v>
      </c>
      <c r="BP766" s="230">
        <f t="shared" si="733"/>
        <v>43</v>
      </c>
      <c r="BQ766" s="235">
        <f t="shared" si="734"/>
        <v>3.2938815789473681</v>
      </c>
      <c r="BR766" s="235" cm="1">
        <f t="array" ref="BR766">$BI766 * IF($AH766&lt;=2,
SUMPRODUCT(INDEX($AR$72:$AT$76,,$AI766), INDEX($AU$72:$BA$76,,$AH766), 1 / ($BB$72:$BB$76*BQ766 + (1-$BB$72:$BB$76)*BM766), N($AQ$72:$AQ$76&gt;$AO766)),
SUMPRODUCT(INDEX($AR$67:$AT$76,,$AI766), INDEX($AU$67:$BA$76,,$AH766), 1 / ($BC$67:$BC$76*BQ766 + (1-$BC$67:$BC$76)*BM766), N($AQ$67:$AQ$76&gt;$AO766))
) / 1000</f>
        <v>0</v>
      </c>
      <c r="BS766" s="232">
        <f t="shared" si="720"/>
        <v>25</v>
      </c>
      <c r="BT766" s="230">
        <f t="shared" si="735"/>
        <v>38</v>
      </c>
      <c r="BU766" s="235">
        <f t="shared" si="736"/>
        <v>3.792954545454545</v>
      </c>
      <c r="BV766" s="235" cm="1">
        <f t="array" ref="BV766">$BI766 * IF($AH766&lt;=2,
SUMPRODUCT(INDEX($AR$67:$AT$71,,$AI766), INDEX($AU$67:$BA$71,,$AH766), 1 / ($BB$67:$BB$71*BU766 + (1-$BB$67:$BB$71)*BQ766), N($AQ$67:$AQ$71&gt;$AO766)),
SUMPRODUCT(INDEX($AR$57:$AT$66,,$AI766), INDEX($AU$57:$BA$66,,$AH766), 1 / ($BC$57:$BC$66*BU766 + (1-$BC$57:$BC$66)*BQ766), N($AQ$57:$AQ$66&gt;$AO766))
) / 1000</f>
        <v>0</v>
      </c>
      <c r="BW766" s="232">
        <f t="shared" si="721"/>
        <v>20</v>
      </c>
      <c r="BX766" s="230">
        <f t="shared" si="737"/>
        <v>33</v>
      </c>
      <c r="BY766" s="235">
        <f t="shared" si="738"/>
        <v>4.4702678571428569</v>
      </c>
      <c r="BZ766" s="235" cm="1">
        <f t="array" ref="BZ766">$BI766 * IF($AH766&lt;=2,
SUMPRODUCT(INDEX($AR$62:$AT$66,,$AI766), INDEX($AU$62:$BA$66,,$AH766), 1 / ($BB$62:$BB$66*BY766 + (1-$BB$62:$BB$66)*BU766), N($AQ$62:$AQ$66&gt;$AO766)),
SUMPRODUCT(INDEX($AR$47:$AT$56,,$AI766), INDEX($AU$47:$BA$56,,$AH766), 1 / ($BC$47:$BC$56*BY766 + (1-$BC$47:$BC$56)*BU766), N($AQ$47:$AQ$56&gt;$AO766))
) / 1000</f>
        <v>0</v>
      </c>
      <c r="CA766" s="235" cm="1">
        <f t="array" ref="CA766">$BI766 * IF($AH766&lt;=2,
SUMPRODUCT(INDEX($AR$23:$AT$61,,$AI766), INDEX($AU$23:$BA$61,,$AH766), 1 / ($BB$23:$BB$61*BY766), N($AQ$23:$AQ$61&gt;$AO766)),
SUMPRODUCT(INDEX($AR$23:$AT$46,,$AI766), INDEX($AU$23:$BA$46,,$AH766), 1 / ($BC$23:$BC$46*BY766), N($AQ$23:$AQ$46&gt;$AO766))
) / 1000</f>
        <v>0</v>
      </c>
      <c r="CB766" s="230">
        <f t="shared" si="739"/>
        <v>0</v>
      </c>
      <c r="CC766" s="238"/>
      <c r="CD766" s="229" cm="1">
        <f t="array" ref="CD766">IF(ISBLANK(Y766), INDEX(Use, $AH766, 4) - AN766*INDEX(Use, $AH766, 6) - (Q766-X766), Y766)</f>
        <v>7</v>
      </c>
      <c r="CE766" s="229">
        <f t="shared" si="740"/>
        <v>32</v>
      </c>
      <c r="CF766" s="230">
        <f t="shared" si="741"/>
        <v>0</v>
      </c>
      <c r="CG766" s="229">
        <v>35</v>
      </c>
      <c r="CH766" s="230">
        <f t="shared" si="742"/>
        <v>48</v>
      </c>
      <c r="CI766" s="235">
        <f t="shared" si="743"/>
        <v>3.0748170731707316</v>
      </c>
      <c r="CJ766" s="235" cm="1">
        <f t="array" ref="CJ766">$BI766 * SUMPRODUCT(INDEX($AR$77:$AT$82,,$AI766),INDEX($AU$77:$BA$82,,$AH766), N($AQ$77:$AQ$82&gt;$AO766)) / CI766 / 1000</f>
        <v>0</v>
      </c>
      <c r="CK766" s="232">
        <f t="shared" si="722"/>
        <v>30</v>
      </c>
      <c r="CL766" s="230">
        <f t="shared" si="744"/>
        <v>43</v>
      </c>
      <c r="CM766" s="235">
        <f t="shared" si="745"/>
        <v>3.5018750000000001</v>
      </c>
      <c r="CN766" s="235" cm="1">
        <f t="array" ref="CN766">$BI766 * IF($AH766&lt;=2,
SUMPRODUCT(INDEX($AR$72:$AT$76,,$AI766), INDEX($AU$72:$BA$76,,$AH766), 1 / ($BB$72:$BB$76*CM766 + (1-$BB$72:$BB$76)*CI766), N($AQ$72:$AQ$76&gt;$AO766)),
SUMPRODUCT(INDEX($AR$67:$AT$76,,$AI766), INDEX($AU$67:$BA$76,,$AH766), 1 / ($BC$67:$BC$76*CM766 + (1-$BC$67:$BC$76)*CI766), N($AQ$67:$AQ$76&gt;$AO766))
) / 1000</f>
        <v>0</v>
      </c>
      <c r="CO766" s="232">
        <f t="shared" si="723"/>
        <v>25</v>
      </c>
      <c r="CP766" s="230">
        <f t="shared" si="746"/>
        <v>38</v>
      </c>
      <c r="CQ766" s="235">
        <f t="shared" si="747"/>
        <v>4.0666935483870965</v>
      </c>
      <c r="CR766" s="235" cm="1">
        <f t="array" ref="CR766">$BI766 * IF($AH766&lt;=2,
SUMPRODUCT(INDEX($AR$67:$AT$71,,$AI766), INDEX($AU$67:$BA$71,,$AH766), 1 / ($BB$67:$BB$71*CQ766 + (1-$BB$67:$BB$71)*CM766), N($AQ$67:$AQ$71&gt;$AO766)),
SUMPRODUCT(INDEX($AR$57:$AT$66,,$AI766), INDEX($AU$57:$BA$66,,$AH766), 1 / ($BC$57:$BC$66*CQ766 + (1-$BC$57:$BC$66)*CM766), N($AQ$57:$AQ$66&gt;$AO766))
) / 1000</f>
        <v>0</v>
      </c>
      <c r="CS766" s="232">
        <f t="shared" si="724"/>
        <v>20</v>
      </c>
      <c r="CT766" s="230">
        <f t="shared" si="748"/>
        <v>33</v>
      </c>
      <c r="CU766" s="235">
        <f t="shared" si="749"/>
        <v>4.8487499999999999</v>
      </c>
      <c r="CV766" s="235" cm="1">
        <f t="array" ref="CV766">$BI766 * IF($AH766&lt;=2,
SUMPRODUCT(INDEX($AR$62:$AT$66,,$AI766), INDEX($AU$62:$BA$66,,$AH766), 1 / ($BB$62:$BB$66*CU766 + (1-$BB$62:$BB$66)*CQ766), N($AQ$62:$AQ$66&gt;$AO766)),
SUMPRODUCT(INDEX($AR$47:$AT$56,,$AI766), INDEX($AU$47:$BA$56,,$AH766), 1 / ($BC$47:$BC$56*CU766 + (1-$BC$47:$BC$56)*CQ766), N($AQ$47:$AQ$56&gt;$AO766))
) / 1000</f>
        <v>0</v>
      </c>
      <c r="CW766" s="235" cm="1">
        <f t="array" ref="CW766">$BI766 * IF($AH766&lt;=2,
SUMPRODUCT(INDEX($AR$23:$AT$61,,$AI766), INDEX($AU$23:$BA$61,,$AH766), 1 / ($BB$23:$BB$61*CU766), N($AQ$23:$AQ$61&gt;$AO766)),
SUMPRODUCT(INDEX($AR$23:$AT$46,,$AI766), INDEX($AU$23:$BA$46,,$AH766), 1 / ($BC$23:$BC$46*CU766), N($AQ$23:$AQ$46&gt;$AO766))
) / 1000</f>
        <v>0</v>
      </c>
      <c r="CX766" s="230">
        <f t="shared" si="750"/>
        <v>0</v>
      </c>
      <c r="CY766" s="238"/>
    </row>
    <row r="767" spans="1:103" s="76" customFormat="1" ht="14.25" customHeight="1" x14ac:dyDescent="0.2">
      <c r="A767" s="231" t="b">
        <f t="shared" si="716"/>
        <v>0</v>
      </c>
      <c r="B767" s="245">
        <v>745</v>
      </c>
      <c r="C767" s="258"/>
      <c r="D767" s="258"/>
      <c r="E767" s="246"/>
      <c r="F767" s="247" t="str">
        <f>IF(ISBLANK(E767), "", VLOOKUP(E767, Z!$A$2:$C$4127, 3, FALSE))</f>
        <v/>
      </c>
      <c r="G767" s="248"/>
      <c r="H767" s="248"/>
      <c r="I767" s="249"/>
      <c r="J767" s="250"/>
      <c r="K767" s="259"/>
      <c r="L767" s="260"/>
      <c r="M767" s="252" t="str" cm="1">
        <f t="array" ref="M767">INDEX(Trad, 53, $A$20)</f>
        <v>Verschmutzt</v>
      </c>
      <c r="N767" s="253"/>
      <c r="O767" s="253"/>
      <c r="P767" s="254"/>
      <c r="Q767" s="251"/>
      <c r="R767" s="251"/>
      <c r="S767" s="264">
        <f t="shared" si="725"/>
        <v>0</v>
      </c>
      <c r="T767" s="252" t="str" cm="1">
        <f t="array" ref="T767">INDEX(Trad, 52, $A$20)</f>
        <v>Sauber</v>
      </c>
      <c r="U767" s="253"/>
      <c r="V767" s="253"/>
      <c r="W767" s="254"/>
      <c r="X767" s="251"/>
      <c r="Y767" s="251"/>
      <c r="Z767" s="264">
        <f t="shared" si="726"/>
        <v>0</v>
      </c>
      <c r="AA767" s="261"/>
      <c r="AB767" s="258"/>
      <c r="AC767" s="246"/>
      <c r="AD767" s="247" t="str">
        <f>IF(ISBLANK(AC767), "", VLOOKUP(AC767, Z!$A$2:$C$4127, 3, FALSE))</f>
        <v/>
      </c>
      <c r="AE767" s="262"/>
      <c r="AF767" s="263">
        <f t="shared" si="727"/>
        <v>0</v>
      </c>
      <c r="AG767" s="238"/>
      <c r="AH767" s="229">
        <f t="shared" si="751"/>
        <v>1</v>
      </c>
      <c r="AI767" s="229">
        <f t="shared" si="752"/>
        <v>1</v>
      </c>
      <c r="AJ767" s="229">
        <f t="shared" si="753"/>
        <v>0</v>
      </c>
      <c r="AK767" s="229">
        <v>0</v>
      </c>
      <c r="AL767" s="229">
        <v>0</v>
      </c>
      <c r="AM767" s="229">
        <v>1</v>
      </c>
      <c r="AN767" s="229">
        <v>0</v>
      </c>
      <c r="AO767" s="229">
        <f t="shared" si="728"/>
        <v>-100</v>
      </c>
      <c r="AP767" s="238"/>
      <c r="AQ767" s="255"/>
      <c r="AR767" s="255"/>
      <c r="AS767" s="256"/>
      <c r="AT767" s="256"/>
      <c r="AU767" s="256"/>
      <c r="AV767" s="256"/>
      <c r="AW767" s="256"/>
      <c r="AX767" s="256"/>
      <c r="AY767" s="256"/>
      <c r="AZ767" s="256"/>
      <c r="BA767" s="256"/>
      <c r="BB767" s="256"/>
      <c r="BC767" s="256"/>
      <c r="BD767" s="238"/>
      <c r="BE767" s="229" cm="1">
        <f t="array" ref="BE767">IF(ISBLANK(R767), INDEX(Use, $AH767, 4) - AM767*INDEX(Use, $AH767, 6), R767)</f>
        <v>5</v>
      </c>
      <c r="BF767" s="229">
        <f t="shared" si="729"/>
        <v>30</v>
      </c>
      <c r="BG767" s="229">
        <f t="shared" si="717"/>
        <v>13</v>
      </c>
      <c r="BH767" s="229">
        <f t="shared" si="718"/>
        <v>0</v>
      </c>
      <c r="BI767" s="234" cm="1">
        <f t="array" ref="BI767">K767/IF($L767&gt;0, INDEX($AU$23:$BA$77, $L767+20, $AH767), 1)</f>
        <v>0</v>
      </c>
      <c r="BJ767" s="230">
        <f t="shared" si="730"/>
        <v>0</v>
      </c>
      <c r="BK767" s="229">
        <v>35</v>
      </c>
      <c r="BL767" s="230">
        <f t="shared" si="731"/>
        <v>48</v>
      </c>
      <c r="BM767" s="235">
        <f t="shared" si="732"/>
        <v>2.9108720930232557</v>
      </c>
      <c r="BN767" s="235" cm="1">
        <f t="array" ref="BN767">$BI767 * SUMPRODUCT(INDEX($AR$77:$AT$82,,$AI767),INDEX($AU$77:$BA$82,,$AH767), N($AQ$77:$AQ$82&gt;$AO767)) / BM767 / 1000</f>
        <v>0</v>
      </c>
      <c r="BO767" s="232">
        <f t="shared" si="719"/>
        <v>30</v>
      </c>
      <c r="BP767" s="230">
        <f t="shared" si="733"/>
        <v>43</v>
      </c>
      <c r="BQ767" s="235">
        <f t="shared" si="734"/>
        <v>3.2938815789473681</v>
      </c>
      <c r="BR767" s="235" cm="1">
        <f t="array" ref="BR767">$BI767 * IF($AH767&lt;=2,
SUMPRODUCT(INDEX($AR$72:$AT$76,,$AI767), INDEX($AU$72:$BA$76,,$AH767), 1 / ($BB$72:$BB$76*BQ767 + (1-$BB$72:$BB$76)*BM767), N($AQ$72:$AQ$76&gt;$AO767)),
SUMPRODUCT(INDEX($AR$67:$AT$76,,$AI767), INDEX($AU$67:$BA$76,,$AH767), 1 / ($BC$67:$BC$76*BQ767 + (1-$BC$67:$BC$76)*BM767), N($AQ$67:$AQ$76&gt;$AO767))
) / 1000</f>
        <v>0</v>
      </c>
      <c r="BS767" s="232">
        <f t="shared" si="720"/>
        <v>25</v>
      </c>
      <c r="BT767" s="230">
        <f t="shared" si="735"/>
        <v>38</v>
      </c>
      <c r="BU767" s="235">
        <f t="shared" si="736"/>
        <v>3.792954545454545</v>
      </c>
      <c r="BV767" s="235" cm="1">
        <f t="array" ref="BV767">$BI767 * IF($AH767&lt;=2,
SUMPRODUCT(INDEX($AR$67:$AT$71,,$AI767), INDEX($AU$67:$BA$71,,$AH767), 1 / ($BB$67:$BB$71*BU767 + (1-$BB$67:$BB$71)*BQ767), N($AQ$67:$AQ$71&gt;$AO767)),
SUMPRODUCT(INDEX($AR$57:$AT$66,,$AI767), INDEX($AU$57:$BA$66,,$AH767), 1 / ($BC$57:$BC$66*BU767 + (1-$BC$57:$BC$66)*BQ767), N($AQ$57:$AQ$66&gt;$AO767))
) / 1000</f>
        <v>0</v>
      </c>
      <c r="BW767" s="232">
        <f t="shared" si="721"/>
        <v>20</v>
      </c>
      <c r="BX767" s="230">
        <f t="shared" si="737"/>
        <v>33</v>
      </c>
      <c r="BY767" s="235">
        <f t="shared" si="738"/>
        <v>4.4702678571428569</v>
      </c>
      <c r="BZ767" s="235" cm="1">
        <f t="array" ref="BZ767">$BI767 * IF($AH767&lt;=2,
SUMPRODUCT(INDEX($AR$62:$AT$66,,$AI767), INDEX($AU$62:$BA$66,,$AH767), 1 / ($BB$62:$BB$66*BY767 + (1-$BB$62:$BB$66)*BU767), N($AQ$62:$AQ$66&gt;$AO767)),
SUMPRODUCT(INDEX($AR$47:$AT$56,,$AI767), INDEX($AU$47:$BA$56,,$AH767), 1 / ($BC$47:$BC$56*BY767 + (1-$BC$47:$BC$56)*BU767), N($AQ$47:$AQ$56&gt;$AO767))
) / 1000</f>
        <v>0</v>
      </c>
      <c r="CA767" s="235" cm="1">
        <f t="array" ref="CA767">$BI767 * IF($AH767&lt;=2,
SUMPRODUCT(INDEX($AR$23:$AT$61,,$AI767), INDEX($AU$23:$BA$61,,$AH767), 1 / ($BB$23:$BB$61*BY767), N($AQ$23:$AQ$61&gt;$AO767)),
SUMPRODUCT(INDEX($AR$23:$AT$46,,$AI767), INDEX($AU$23:$BA$46,,$AH767), 1 / ($BC$23:$BC$46*BY767), N($AQ$23:$AQ$46&gt;$AO767))
) / 1000</f>
        <v>0</v>
      </c>
      <c r="CB767" s="230">
        <f t="shared" si="739"/>
        <v>0</v>
      </c>
      <c r="CC767" s="238"/>
      <c r="CD767" s="229" cm="1">
        <f t="array" ref="CD767">IF(ISBLANK(Y767), INDEX(Use, $AH767, 4) - AN767*INDEX(Use, $AH767, 6) - (Q767-X767), Y767)</f>
        <v>7</v>
      </c>
      <c r="CE767" s="229">
        <f t="shared" si="740"/>
        <v>32</v>
      </c>
      <c r="CF767" s="230">
        <f t="shared" si="741"/>
        <v>0</v>
      </c>
      <c r="CG767" s="229">
        <v>35</v>
      </c>
      <c r="CH767" s="230">
        <f t="shared" si="742"/>
        <v>48</v>
      </c>
      <c r="CI767" s="235">
        <f t="shared" si="743"/>
        <v>3.0748170731707316</v>
      </c>
      <c r="CJ767" s="235" cm="1">
        <f t="array" ref="CJ767">$BI767 * SUMPRODUCT(INDEX($AR$77:$AT$82,,$AI767),INDEX($AU$77:$BA$82,,$AH767), N($AQ$77:$AQ$82&gt;$AO767)) / CI767 / 1000</f>
        <v>0</v>
      </c>
      <c r="CK767" s="232">
        <f t="shared" si="722"/>
        <v>30</v>
      </c>
      <c r="CL767" s="230">
        <f t="shared" si="744"/>
        <v>43</v>
      </c>
      <c r="CM767" s="235">
        <f t="shared" si="745"/>
        <v>3.5018750000000001</v>
      </c>
      <c r="CN767" s="235" cm="1">
        <f t="array" ref="CN767">$BI767 * IF($AH767&lt;=2,
SUMPRODUCT(INDEX($AR$72:$AT$76,,$AI767), INDEX($AU$72:$BA$76,,$AH767), 1 / ($BB$72:$BB$76*CM767 + (1-$BB$72:$BB$76)*CI767), N($AQ$72:$AQ$76&gt;$AO767)),
SUMPRODUCT(INDEX($AR$67:$AT$76,,$AI767), INDEX($AU$67:$BA$76,,$AH767), 1 / ($BC$67:$BC$76*CM767 + (1-$BC$67:$BC$76)*CI767), N($AQ$67:$AQ$76&gt;$AO767))
) / 1000</f>
        <v>0</v>
      </c>
      <c r="CO767" s="232">
        <f t="shared" si="723"/>
        <v>25</v>
      </c>
      <c r="CP767" s="230">
        <f t="shared" si="746"/>
        <v>38</v>
      </c>
      <c r="CQ767" s="235">
        <f t="shared" si="747"/>
        <v>4.0666935483870965</v>
      </c>
      <c r="CR767" s="235" cm="1">
        <f t="array" ref="CR767">$BI767 * IF($AH767&lt;=2,
SUMPRODUCT(INDEX($AR$67:$AT$71,,$AI767), INDEX($AU$67:$BA$71,,$AH767), 1 / ($BB$67:$BB$71*CQ767 + (1-$BB$67:$BB$71)*CM767), N($AQ$67:$AQ$71&gt;$AO767)),
SUMPRODUCT(INDEX($AR$57:$AT$66,,$AI767), INDEX($AU$57:$BA$66,,$AH767), 1 / ($BC$57:$BC$66*CQ767 + (1-$BC$57:$BC$66)*CM767), N($AQ$57:$AQ$66&gt;$AO767))
) / 1000</f>
        <v>0</v>
      </c>
      <c r="CS767" s="232">
        <f t="shared" si="724"/>
        <v>20</v>
      </c>
      <c r="CT767" s="230">
        <f t="shared" si="748"/>
        <v>33</v>
      </c>
      <c r="CU767" s="235">
        <f t="shared" si="749"/>
        <v>4.8487499999999999</v>
      </c>
      <c r="CV767" s="235" cm="1">
        <f t="array" ref="CV767">$BI767 * IF($AH767&lt;=2,
SUMPRODUCT(INDEX($AR$62:$AT$66,,$AI767), INDEX($AU$62:$BA$66,,$AH767), 1 / ($BB$62:$BB$66*CU767 + (1-$BB$62:$BB$66)*CQ767), N($AQ$62:$AQ$66&gt;$AO767)),
SUMPRODUCT(INDEX($AR$47:$AT$56,,$AI767), INDEX($AU$47:$BA$56,,$AH767), 1 / ($BC$47:$BC$56*CU767 + (1-$BC$47:$BC$56)*CQ767), N($AQ$47:$AQ$56&gt;$AO767))
) / 1000</f>
        <v>0</v>
      </c>
      <c r="CW767" s="235" cm="1">
        <f t="array" ref="CW767">$BI767 * IF($AH767&lt;=2,
SUMPRODUCT(INDEX($AR$23:$AT$61,,$AI767), INDEX($AU$23:$BA$61,,$AH767), 1 / ($BB$23:$BB$61*CU767), N($AQ$23:$AQ$61&gt;$AO767)),
SUMPRODUCT(INDEX($AR$23:$AT$46,,$AI767), INDEX($AU$23:$BA$46,,$AH767), 1 / ($BC$23:$BC$46*CU767), N($AQ$23:$AQ$46&gt;$AO767))
) / 1000</f>
        <v>0</v>
      </c>
      <c r="CX767" s="230">
        <f t="shared" si="750"/>
        <v>0</v>
      </c>
      <c r="CY767" s="238"/>
    </row>
    <row r="768" spans="1:103" s="76" customFormat="1" ht="14.25" customHeight="1" x14ac:dyDescent="0.2">
      <c r="A768" s="231" t="b">
        <f t="shared" si="716"/>
        <v>0</v>
      </c>
      <c r="B768" s="245">
        <v>746</v>
      </c>
      <c r="C768" s="258"/>
      <c r="D768" s="258"/>
      <c r="E768" s="246"/>
      <c r="F768" s="247" t="str">
        <f>IF(ISBLANK(E768), "", VLOOKUP(E768, Z!$A$2:$C$4127, 3, FALSE))</f>
        <v/>
      </c>
      <c r="G768" s="248"/>
      <c r="H768" s="248"/>
      <c r="I768" s="249"/>
      <c r="J768" s="250"/>
      <c r="K768" s="259"/>
      <c r="L768" s="260"/>
      <c r="M768" s="252" t="str" cm="1">
        <f t="array" ref="M768">INDEX(Trad, 53, $A$20)</f>
        <v>Verschmutzt</v>
      </c>
      <c r="N768" s="253"/>
      <c r="O768" s="253"/>
      <c r="P768" s="254"/>
      <c r="Q768" s="251"/>
      <c r="R768" s="251"/>
      <c r="S768" s="264">
        <f t="shared" si="725"/>
        <v>0</v>
      </c>
      <c r="T768" s="252" t="str" cm="1">
        <f t="array" ref="T768">INDEX(Trad, 52, $A$20)</f>
        <v>Sauber</v>
      </c>
      <c r="U768" s="253"/>
      <c r="V768" s="253"/>
      <c r="W768" s="254"/>
      <c r="X768" s="251"/>
      <c r="Y768" s="251"/>
      <c r="Z768" s="264">
        <f t="shared" si="726"/>
        <v>0</v>
      </c>
      <c r="AA768" s="261"/>
      <c r="AB768" s="258"/>
      <c r="AC768" s="246"/>
      <c r="AD768" s="247" t="str">
        <f>IF(ISBLANK(AC768), "", VLOOKUP(AC768, Z!$A$2:$C$4127, 3, FALSE))</f>
        <v/>
      </c>
      <c r="AE768" s="262"/>
      <c r="AF768" s="263">
        <f t="shared" si="727"/>
        <v>0</v>
      </c>
      <c r="AG768" s="238"/>
      <c r="AH768" s="229">
        <f t="shared" si="751"/>
        <v>1</v>
      </c>
      <c r="AI768" s="229">
        <f t="shared" si="752"/>
        <v>1</v>
      </c>
      <c r="AJ768" s="229">
        <f t="shared" si="753"/>
        <v>0</v>
      </c>
      <c r="AK768" s="229">
        <v>0</v>
      </c>
      <c r="AL768" s="229">
        <v>0</v>
      </c>
      <c r="AM768" s="229">
        <v>1</v>
      </c>
      <c r="AN768" s="229">
        <v>0</v>
      </c>
      <c r="AO768" s="229">
        <f t="shared" si="728"/>
        <v>-100</v>
      </c>
      <c r="AP768" s="238"/>
      <c r="AQ768" s="255"/>
      <c r="AR768" s="255"/>
      <c r="AS768" s="256"/>
      <c r="AT768" s="256"/>
      <c r="AU768" s="256"/>
      <c r="AV768" s="256"/>
      <c r="AW768" s="256"/>
      <c r="AX768" s="256"/>
      <c r="AY768" s="256"/>
      <c r="AZ768" s="256"/>
      <c r="BA768" s="256"/>
      <c r="BB768" s="256"/>
      <c r="BC768" s="256"/>
      <c r="BD768" s="238"/>
      <c r="BE768" s="229" cm="1">
        <f t="array" ref="BE768">IF(ISBLANK(R768), INDEX(Use, $AH768, 4) - AM768*INDEX(Use, $AH768, 6), R768)</f>
        <v>5</v>
      </c>
      <c r="BF768" s="229">
        <f t="shared" si="729"/>
        <v>30</v>
      </c>
      <c r="BG768" s="229">
        <f t="shared" si="717"/>
        <v>13</v>
      </c>
      <c r="BH768" s="229">
        <f t="shared" si="718"/>
        <v>0</v>
      </c>
      <c r="BI768" s="234" cm="1">
        <f t="array" ref="BI768">K768/IF($L768&gt;0, INDEX($AU$23:$BA$77, $L768+20, $AH768), 1)</f>
        <v>0</v>
      </c>
      <c r="BJ768" s="230">
        <f t="shared" si="730"/>
        <v>0</v>
      </c>
      <c r="BK768" s="229">
        <v>35</v>
      </c>
      <c r="BL768" s="230">
        <f t="shared" si="731"/>
        <v>48</v>
      </c>
      <c r="BM768" s="235">
        <f t="shared" si="732"/>
        <v>2.9108720930232557</v>
      </c>
      <c r="BN768" s="235" cm="1">
        <f t="array" ref="BN768">$BI768 * SUMPRODUCT(INDEX($AR$77:$AT$82,,$AI768),INDEX($AU$77:$BA$82,,$AH768), N($AQ$77:$AQ$82&gt;$AO768)) / BM768 / 1000</f>
        <v>0</v>
      </c>
      <c r="BO768" s="232">
        <f t="shared" si="719"/>
        <v>30</v>
      </c>
      <c r="BP768" s="230">
        <f t="shared" si="733"/>
        <v>43</v>
      </c>
      <c r="BQ768" s="235">
        <f t="shared" si="734"/>
        <v>3.2938815789473681</v>
      </c>
      <c r="BR768" s="235" cm="1">
        <f t="array" ref="BR768">$BI768 * IF($AH768&lt;=2,
SUMPRODUCT(INDEX($AR$72:$AT$76,,$AI768), INDEX($AU$72:$BA$76,,$AH768), 1 / ($BB$72:$BB$76*BQ768 + (1-$BB$72:$BB$76)*BM768), N($AQ$72:$AQ$76&gt;$AO768)),
SUMPRODUCT(INDEX($AR$67:$AT$76,,$AI768), INDEX($AU$67:$BA$76,,$AH768), 1 / ($BC$67:$BC$76*BQ768 + (1-$BC$67:$BC$76)*BM768), N($AQ$67:$AQ$76&gt;$AO768))
) / 1000</f>
        <v>0</v>
      </c>
      <c r="BS768" s="232">
        <f t="shared" si="720"/>
        <v>25</v>
      </c>
      <c r="BT768" s="230">
        <f t="shared" si="735"/>
        <v>38</v>
      </c>
      <c r="BU768" s="235">
        <f t="shared" si="736"/>
        <v>3.792954545454545</v>
      </c>
      <c r="BV768" s="235" cm="1">
        <f t="array" ref="BV768">$BI768 * IF($AH768&lt;=2,
SUMPRODUCT(INDEX($AR$67:$AT$71,,$AI768), INDEX($AU$67:$BA$71,,$AH768), 1 / ($BB$67:$BB$71*BU768 + (1-$BB$67:$BB$71)*BQ768), N($AQ$67:$AQ$71&gt;$AO768)),
SUMPRODUCT(INDEX($AR$57:$AT$66,,$AI768), INDEX($AU$57:$BA$66,,$AH768), 1 / ($BC$57:$BC$66*BU768 + (1-$BC$57:$BC$66)*BQ768), N($AQ$57:$AQ$66&gt;$AO768))
) / 1000</f>
        <v>0</v>
      </c>
      <c r="BW768" s="232">
        <f t="shared" si="721"/>
        <v>20</v>
      </c>
      <c r="BX768" s="230">
        <f t="shared" si="737"/>
        <v>33</v>
      </c>
      <c r="BY768" s="235">
        <f t="shared" si="738"/>
        <v>4.4702678571428569</v>
      </c>
      <c r="BZ768" s="235" cm="1">
        <f t="array" ref="BZ768">$BI768 * IF($AH768&lt;=2,
SUMPRODUCT(INDEX($AR$62:$AT$66,,$AI768), INDEX($AU$62:$BA$66,,$AH768), 1 / ($BB$62:$BB$66*BY768 + (1-$BB$62:$BB$66)*BU768), N($AQ$62:$AQ$66&gt;$AO768)),
SUMPRODUCT(INDEX($AR$47:$AT$56,,$AI768), INDEX($AU$47:$BA$56,,$AH768), 1 / ($BC$47:$BC$56*BY768 + (1-$BC$47:$BC$56)*BU768), N($AQ$47:$AQ$56&gt;$AO768))
) / 1000</f>
        <v>0</v>
      </c>
      <c r="CA768" s="235" cm="1">
        <f t="array" ref="CA768">$BI768 * IF($AH768&lt;=2,
SUMPRODUCT(INDEX($AR$23:$AT$61,,$AI768), INDEX($AU$23:$BA$61,,$AH768), 1 / ($BB$23:$BB$61*BY768), N($AQ$23:$AQ$61&gt;$AO768)),
SUMPRODUCT(INDEX($AR$23:$AT$46,,$AI768), INDEX($AU$23:$BA$46,,$AH768), 1 / ($BC$23:$BC$46*BY768), N($AQ$23:$AQ$46&gt;$AO768))
) / 1000</f>
        <v>0</v>
      </c>
      <c r="CB768" s="230">
        <f t="shared" si="739"/>
        <v>0</v>
      </c>
      <c r="CC768" s="238"/>
      <c r="CD768" s="229" cm="1">
        <f t="array" ref="CD768">IF(ISBLANK(Y768), INDEX(Use, $AH768, 4) - AN768*INDEX(Use, $AH768, 6) - (Q768-X768), Y768)</f>
        <v>7</v>
      </c>
      <c r="CE768" s="229">
        <f t="shared" si="740"/>
        <v>32</v>
      </c>
      <c r="CF768" s="230">
        <f t="shared" si="741"/>
        <v>0</v>
      </c>
      <c r="CG768" s="229">
        <v>35</v>
      </c>
      <c r="CH768" s="230">
        <f t="shared" si="742"/>
        <v>48</v>
      </c>
      <c r="CI768" s="235">
        <f t="shared" si="743"/>
        <v>3.0748170731707316</v>
      </c>
      <c r="CJ768" s="235" cm="1">
        <f t="array" ref="CJ768">$BI768 * SUMPRODUCT(INDEX($AR$77:$AT$82,,$AI768),INDEX($AU$77:$BA$82,,$AH768), N($AQ$77:$AQ$82&gt;$AO768)) / CI768 / 1000</f>
        <v>0</v>
      </c>
      <c r="CK768" s="232">
        <f t="shared" si="722"/>
        <v>30</v>
      </c>
      <c r="CL768" s="230">
        <f t="shared" si="744"/>
        <v>43</v>
      </c>
      <c r="CM768" s="235">
        <f t="shared" si="745"/>
        <v>3.5018750000000001</v>
      </c>
      <c r="CN768" s="235" cm="1">
        <f t="array" ref="CN768">$BI768 * IF($AH768&lt;=2,
SUMPRODUCT(INDEX($AR$72:$AT$76,,$AI768), INDEX($AU$72:$BA$76,,$AH768), 1 / ($BB$72:$BB$76*CM768 + (1-$BB$72:$BB$76)*CI768), N($AQ$72:$AQ$76&gt;$AO768)),
SUMPRODUCT(INDEX($AR$67:$AT$76,,$AI768), INDEX($AU$67:$BA$76,,$AH768), 1 / ($BC$67:$BC$76*CM768 + (1-$BC$67:$BC$76)*CI768), N($AQ$67:$AQ$76&gt;$AO768))
) / 1000</f>
        <v>0</v>
      </c>
      <c r="CO768" s="232">
        <f t="shared" si="723"/>
        <v>25</v>
      </c>
      <c r="CP768" s="230">
        <f t="shared" si="746"/>
        <v>38</v>
      </c>
      <c r="CQ768" s="235">
        <f t="shared" si="747"/>
        <v>4.0666935483870965</v>
      </c>
      <c r="CR768" s="235" cm="1">
        <f t="array" ref="CR768">$BI768 * IF($AH768&lt;=2,
SUMPRODUCT(INDEX($AR$67:$AT$71,,$AI768), INDEX($AU$67:$BA$71,,$AH768), 1 / ($BB$67:$BB$71*CQ768 + (1-$BB$67:$BB$71)*CM768), N($AQ$67:$AQ$71&gt;$AO768)),
SUMPRODUCT(INDEX($AR$57:$AT$66,,$AI768), INDEX($AU$57:$BA$66,,$AH768), 1 / ($BC$57:$BC$66*CQ768 + (1-$BC$57:$BC$66)*CM768), N($AQ$57:$AQ$66&gt;$AO768))
) / 1000</f>
        <v>0</v>
      </c>
      <c r="CS768" s="232">
        <f t="shared" si="724"/>
        <v>20</v>
      </c>
      <c r="CT768" s="230">
        <f t="shared" si="748"/>
        <v>33</v>
      </c>
      <c r="CU768" s="235">
        <f t="shared" si="749"/>
        <v>4.8487499999999999</v>
      </c>
      <c r="CV768" s="235" cm="1">
        <f t="array" ref="CV768">$BI768 * IF($AH768&lt;=2,
SUMPRODUCT(INDEX($AR$62:$AT$66,,$AI768), INDEX($AU$62:$BA$66,,$AH768), 1 / ($BB$62:$BB$66*CU768 + (1-$BB$62:$BB$66)*CQ768), N($AQ$62:$AQ$66&gt;$AO768)),
SUMPRODUCT(INDEX($AR$47:$AT$56,,$AI768), INDEX($AU$47:$BA$56,,$AH768), 1 / ($BC$47:$BC$56*CU768 + (1-$BC$47:$BC$56)*CQ768), N($AQ$47:$AQ$56&gt;$AO768))
) / 1000</f>
        <v>0</v>
      </c>
      <c r="CW768" s="235" cm="1">
        <f t="array" ref="CW768">$BI768 * IF($AH768&lt;=2,
SUMPRODUCT(INDEX($AR$23:$AT$61,,$AI768), INDEX($AU$23:$BA$61,,$AH768), 1 / ($BB$23:$BB$61*CU768), N($AQ$23:$AQ$61&gt;$AO768)),
SUMPRODUCT(INDEX($AR$23:$AT$46,,$AI768), INDEX($AU$23:$BA$46,,$AH768), 1 / ($BC$23:$BC$46*CU768), N($AQ$23:$AQ$46&gt;$AO768))
) / 1000</f>
        <v>0</v>
      </c>
      <c r="CX768" s="230">
        <f t="shared" si="750"/>
        <v>0</v>
      </c>
      <c r="CY768" s="238"/>
    </row>
    <row r="769" spans="1:103" s="76" customFormat="1" ht="14.25" customHeight="1" x14ac:dyDescent="0.2">
      <c r="A769" s="231" t="b">
        <f t="shared" si="716"/>
        <v>0</v>
      </c>
      <c r="B769" s="245">
        <v>747</v>
      </c>
      <c r="C769" s="258"/>
      <c r="D769" s="258"/>
      <c r="E769" s="246"/>
      <c r="F769" s="247" t="str">
        <f>IF(ISBLANK(E769), "", VLOOKUP(E769, Z!$A$2:$C$4127, 3, FALSE))</f>
        <v/>
      </c>
      <c r="G769" s="248"/>
      <c r="H769" s="248"/>
      <c r="I769" s="249"/>
      <c r="J769" s="250"/>
      <c r="K769" s="259"/>
      <c r="L769" s="260"/>
      <c r="M769" s="252" t="str" cm="1">
        <f t="array" ref="M769">INDEX(Trad, 53, $A$20)</f>
        <v>Verschmutzt</v>
      </c>
      <c r="N769" s="253"/>
      <c r="O769" s="253"/>
      <c r="P769" s="254"/>
      <c r="Q769" s="251"/>
      <c r="R769" s="251"/>
      <c r="S769" s="264">
        <f t="shared" si="725"/>
        <v>0</v>
      </c>
      <c r="T769" s="252" t="str" cm="1">
        <f t="array" ref="T769">INDEX(Trad, 52, $A$20)</f>
        <v>Sauber</v>
      </c>
      <c r="U769" s="253"/>
      <c r="V769" s="253"/>
      <c r="W769" s="254"/>
      <c r="X769" s="251"/>
      <c r="Y769" s="251"/>
      <c r="Z769" s="264">
        <f t="shared" si="726"/>
        <v>0</v>
      </c>
      <c r="AA769" s="261"/>
      <c r="AB769" s="258"/>
      <c r="AC769" s="246"/>
      <c r="AD769" s="247" t="str">
        <f>IF(ISBLANK(AC769), "", VLOOKUP(AC769, Z!$A$2:$C$4127, 3, FALSE))</f>
        <v/>
      </c>
      <c r="AE769" s="262"/>
      <c r="AF769" s="263">
        <f t="shared" si="727"/>
        <v>0</v>
      </c>
      <c r="AG769" s="238"/>
      <c r="AH769" s="229">
        <f t="shared" si="751"/>
        <v>1</v>
      </c>
      <c r="AI769" s="229">
        <f t="shared" si="752"/>
        <v>1</v>
      </c>
      <c r="AJ769" s="229">
        <f t="shared" si="753"/>
        <v>0</v>
      </c>
      <c r="AK769" s="229">
        <v>0</v>
      </c>
      <c r="AL769" s="229">
        <v>0</v>
      </c>
      <c r="AM769" s="229">
        <v>1</v>
      </c>
      <c r="AN769" s="229">
        <v>0</v>
      </c>
      <c r="AO769" s="229">
        <f t="shared" si="728"/>
        <v>-100</v>
      </c>
      <c r="AP769" s="238"/>
      <c r="AQ769" s="255"/>
      <c r="AR769" s="255"/>
      <c r="AS769" s="256"/>
      <c r="AT769" s="256"/>
      <c r="AU769" s="256"/>
      <c r="AV769" s="256"/>
      <c r="AW769" s="256"/>
      <c r="AX769" s="256"/>
      <c r="AY769" s="256"/>
      <c r="AZ769" s="256"/>
      <c r="BA769" s="256"/>
      <c r="BB769" s="256"/>
      <c r="BC769" s="256"/>
      <c r="BD769" s="238"/>
      <c r="BE769" s="229" cm="1">
        <f t="array" ref="BE769">IF(ISBLANK(R769), INDEX(Use, $AH769, 4) - AM769*INDEX(Use, $AH769, 6), R769)</f>
        <v>5</v>
      </c>
      <c r="BF769" s="229">
        <f t="shared" si="729"/>
        <v>30</v>
      </c>
      <c r="BG769" s="229">
        <f t="shared" si="717"/>
        <v>13</v>
      </c>
      <c r="BH769" s="229">
        <f t="shared" si="718"/>
        <v>0</v>
      </c>
      <c r="BI769" s="234" cm="1">
        <f t="array" ref="BI769">K769/IF($L769&gt;0, INDEX($AU$23:$BA$77, $L769+20, $AH769), 1)</f>
        <v>0</v>
      </c>
      <c r="BJ769" s="230">
        <f t="shared" si="730"/>
        <v>0</v>
      </c>
      <c r="BK769" s="229">
        <v>35</v>
      </c>
      <c r="BL769" s="230">
        <f t="shared" si="731"/>
        <v>48</v>
      </c>
      <c r="BM769" s="235">
        <f t="shared" si="732"/>
        <v>2.9108720930232557</v>
      </c>
      <c r="BN769" s="235" cm="1">
        <f t="array" ref="BN769">$BI769 * SUMPRODUCT(INDEX($AR$77:$AT$82,,$AI769),INDEX($AU$77:$BA$82,,$AH769), N($AQ$77:$AQ$82&gt;$AO769)) / BM769 / 1000</f>
        <v>0</v>
      </c>
      <c r="BO769" s="232">
        <f t="shared" si="719"/>
        <v>30</v>
      </c>
      <c r="BP769" s="230">
        <f t="shared" si="733"/>
        <v>43</v>
      </c>
      <c r="BQ769" s="235">
        <f t="shared" si="734"/>
        <v>3.2938815789473681</v>
      </c>
      <c r="BR769" s="235" cm="1">
        <f t="array" ref="BR769">$BI769 * IF($AH769&lt;=2,
SUMPRODUCT(INDEX($AR$72:$AT$76,,$AI769), INDEX($AU$72:$BA$76,,$AH769), 1 / ($BB$72:$BB$76*BQ769 + (1-$BB$72:$BB$76)*BM769), N($AQ$72:$AQ$76&gt;$AO769)),
SUMPRODUCT(INDEX($AR$67:$AT$76,,$AI769), INDEX($AU$67:$BA$76,,$AH769), 1 / ($BC$67:$BC$76*BQ769 + (1-$BC$67:$BC$76)*BM769), N($AQ$67:$AQ$76&gt;$AO769))
) / 1000</f>
        <v>0</v>
      </c>
      <c r="BS769" s="232">
        <f t="shared" si="720"/>
        <v>25</v>
      </c>
      <c r="BT769" s="230">
        <f t="shared" si="735"/>
        <v>38</v>
      </c>
      <c r="BU769" s="235">
        <f t="shared" si="736"/>
        <v>3.792954545454545</v>
      </c>
      <c r="BV769" s="235" cm="1">
        <f t="array" ref="BV769">$BI769 * IF($AH769&lt;=2,
SUMPRODUCT(INDEX($AR$67:$AT$71,,$AI769), INDEX($AU$67:$BA$71,,$AH769), 1 / ($BB$67:$BB$71*BU769 + (1-$BB$67:$BB$71)*BQ769), N($AQ$67:$AQ$71&gt;$AO769)),
SUMPRODUCT(INDEX($AR$57:$AT$66,,$AI769), INDEX($AU$57:$BA$66,,$AH769), 1 / ($BC$57:$BC$66*BU769 + (1-$BC$57:$BC$66)*BQ769), N($AQ$57:$AQ$66&gt;$AO769))
) / 1000</f>
        <v>0</v>
      </c>
      <c r="BW769" s="232">
        <f t="shared" si="721"/>
        <v>20</v>
      </c>
      <c r="BX769" s="230">
        <f t="shared" si="737"/>
        <v>33</v>
      </c>
      <c r="BY769" s="235">
        <f t="shared" si="738"/>
        <v>4.4702678571428569</v>
      </c>
      <c r="BZ769" s="235" cm="1">
        <f t="array" ref="BZ769">$BI769 * IF($AH769&lt;=2,
SUMPRODUCT(INDEX($AR$62:$AT$66,,$AI769), INDEX($AU$62:$BA$66,,$AH769), 1 / ($BB$62:$BB$66*BY769 + (1-$BB$62:$BB$66)*BU769), N($AQ$62:$AQ$66&gt;$AO769)),
SUMPRODUCT(INDEX($AR$47:$AT$56,,$AI769), INDEX($AU$47:$BA$56,,$AH769), 1 / ($BC$47:$BC$56*BY769 + (1-$BC$47:$BC$56)*BU769), N($AQ$47:$AQ$56&gt;$AO769))
) / 1000</f>
        <v>0</v>
      </c>
      <c r="CA769" s="235" cm="1">
        <f t="array" ref="CA769">$BI769 * IF($AH769&lt;=2,
SUMPRODUCT(INDEX($AR$23:$AT$61,,$AI769), INDEX($AU$23:$BA$61,,$AH769), 1 / ($BB$23:$BB$61*BY769), N($AQ$23:$AQ$61&gt;$AO769)),
SUMPRODUCT(INDEX($AR$23:$AT$46,,$AI769), INDEX($AU$23:$BA$46,,$AH769), 1 / ($BC$23:$BC$46*BY769), N($AQ$23:$AQ$46&gt;$AO769))
) / 1000</f>
        <v>0</v>
      </c>
      <c r="CB769" s="230">
        <f t="shared" si="739"/>
        <v>0</v>
      </c>
      <c r="CC769" s="238"/>
      <c r="CD769" s="229" cm="1">
        <f t="array" ref="CD769">IF(ISBLANK(Y769), INDEX(Use, $AH769, 4) - AN769*INDEX(Use, $AH769, 6) - (Q769-X769), Y769)</f>
        <v>7</v>
      </c>
      <c r="CE769" s="229">
        <f t="shared" si="740"/>
        <v>32</v>
      </c>
      <c r="CF769" s="230">
        <f t="shared" si="741"/>
        <v>0</v>
      </c>
      <c r="CG769" s="229">
        <v>35</v>
      </c>
      <c r="CH769" s="230">
        <f t="shared" si="742"/>
        <v>48</v>
      </c>
      <c r="CI769" s="235">
        <f t="shared" si="743"/>
        <v>3.0748170731707316</v>
      </c>
      <c r="CJ769" s="235" cm="1">
        <f t="array" ref="CJ769">$BI769 * SUMPRODUCT(INDEX($AR$77:$AT$82,,$AI769),INDEX($AU$77:$BA$82,,$AH769), N($AQ$77:$AQ$82&gt;$AO769)) / CI769 / 1000</f>
        <v>0</v>
      </c>
      <c r="CK769" s="232">
        <f t="shared" si="722"/>
        <v>30</v>
      </c>
      <c r="CL769" s="230">
        <f t="shared" si="744"/>
        <v>43</v>
      </c>
      <c r="CM769" s="235">
        <f t="shared" si="745"/>
        <v>3.5018750000000001</v>
      </c>
      <c r="CN769" s="235" cm="1">
        <f t="array" ref="CN769">$BI769 * IF($AH769&lt;=2,
SUMPRODUCT(INDEX($AR$72:$AT$76,,$AI769), INDEX($AU$72:$BA$76,,$AH769), 1 / ($BB$72:$BB$76*CM769 + (1-$BB$72:$BB$76)*CI769), N($AQ$72:$AQ$76&gt;$AO769)),
SUMPRODUCT(INDEX($AR$67:$AT$76,,$AI769), INDEX($AU$67:$BA$76,,$AH769), 1 / ($BC$67:$BC$76*CM769 + (1-$BC$67:$BC$76)*CI769), N($AQ$67:$AQ$76&gt;$AO769))
) / 1000</f>
        <v>0</v>
      </c>
      <c r="CO769" s="232">
        <f t="shared" si="723"/>
        <v>25</v>
      </c>
      <c r="CP769" s="230">
        <f t="shared" si="746"/>
        <v>38</v>
      </c>
      <c r="CQ769" s="235">
        <f t="shared" si="747"/>
        <v>4.0666935483870965</v>
      </c>
      <c r="CR769" s="235" cm="1">
        <f t="array" ref="CR769">$BI769 * IF($AH769&lt;=2,
SUMPRODUCT(INDEX($AR$67:$AT$71,,$AI769), INDEX($AU$67:$BA$71,,$AH769), 1 / ($BB$67:$BB$71*CQ769 + (1-$BB$67:$BB$71)*CM769), N($AQ$67:$AQ$71&gt;$AO769)),
SUMPRODUCT(INDEX($AR$57:$AT$66,,$AI769), INDEX($AU$57:$BA$66,,$AH769), 1 / ($BC$57:$BC$66*CQ769 + (1-$BC$57:$BC$66)*CM769), N($AQ$57:$AQ$66&gt;$AO769))
) / 1000</f>
        <v>0</v>
      </c>
      <c r="CS769" s="232">
        <f t="shared" si="724"/>
        <v>20</v>
      </c>
      <c r="CT769" s="230">
        <f t="shared" si="748"/>
        <v>33</v>
      </c>
      <c r="CU769" s="235">
        <f t="shared" si="749"/>
        <v>4.8487499999999999</v>
      </c>
      <c r="CV769" s="235" cm="1">
        <f t="array" ref="CV769">$BI769 * IF($AH769&lt;=2,
SUMPRODUCT(INDEX($AR$62:$AT$66,,$AI769), INDEX($AU$62:$BA$66,,$AH769), 1 / ($BB$62:$BB$66*CU769 + (1-$BB$62:$BB$66)*CQ769), N($AQ$62:$AQ$66&gt;$AO769)),
SUMPRODUCT(INDEX($AR$47:$AT$56,,$AI769), INDEX($AU$47:$BA$56,,$AH769), 1 / ($BC$47:$BC$56*CU769 + (1-$BC$47:$BC$56)*CQ769), N($AQ$47:$AQ$56&gt;$AO769))
) / 1000</f>
        <v>0</v>
      </c>
      <c r="CW769" s="235" cm="1">
        <f t="array" ref="CW769">$BI769 * IF($AH769&lt;=2,
SUMPRODUCT(INDEX($AR$23:$AT$61,,$AI769), INDEX($AU$23:$BA$61,,$AH769), 1 / ($BB$23:$BB$61*CU769), N($AQ$23:$AQ$61&gt;$AO769)),
SUMPRODUCT(INDEX($AR$23:$AT$46,,$AI769), INDEX($AU$23:$BA$46,,$AH769), 1 / ($BC$23:$BC$46*CU769), N($AQ$23:$AQ$46&gt;$AO769))
) / 1000</f>
        <v>0</v>
      </c>
      <c r="CX769" s="230">
        <f t="shared" si="750"/>
        <v>0</v>
      </c>
      <c r="CY769" s="238"/>
    </row>
    <row r="770" spans="1:103" s="76" customFormat="1" ht="14.25" customHeight="1" x14ac:dyDescent="0.2">
      <c r="A770" s="231" t="b">
        <f t="shared" si="716"/>
        <v>0</v>
      </c>
      <c r="B770" s="245">
        <v>748</v>
      </c>
      <c r="C770" s="258"/>
      <c r="D770" s="258"/>
      <c r="E770" s="246"/>
      <c r="F770" s="247" t="str">
        <f>IF(ISBLANK(E770), "", VLOOKUP(E770, Z!$A$2:$C$4127, 3, FALSE))</f>
        <v/>
      </c>
      <c r="G770" s="248"/>
      <c r="H770" s="248"/>
      <c r="I770" s="249"/>
      <c r="J770" s="250"/>
      <c r="K770" s="259"/>
      <c r="L770" s="260"/>
      <c r="M770" s="252" t="str" cm="1">
        <f t="array" ref="M770">INDEX(Trad, 53, $A$20)</f>
        <v>Verschmutzt</v>
      </c>
      <c r="N770" s="253"/>
      <c r="O770" s="253"/>
      <c r="P770" s="254"/>
      <c r="Q770" s="251"/>
      <c r="R770" s="251"/>
      <c r="S770" s="264">
        <f t="shared" si="725"/>
        <v>0</v>
      </c>
      <c r="T770" s="252" t="str" cm="1">
        <f t="array" ref="T770">INDEX(Trad, 52, $A$20)</f>
        <v>Sauber</v>
      </c>
      <c r="U770" s="253"/>
      <c r="V770" s="253"/>
      <c r="W770" s="254"/>
      <c r="X770" s="251"/>
      <c r="Y770" s="251"/>
      <c r="Z770" s="264">
        <f t="shared" si="726"/>
        <v>0</v>
      </c>
      <c r="AA770" s="261"/>
      <c r="AB770" s="258"/>
      <c r="AC770" s="246"/>
      <c r="AD770" s="247" t="str">
        <f>IF(ISBLANK(AC770), "", VLOOKUP(AC770, Z!$A$2:$C$4127, 3, FALSE))</f>
        <v/>
      </c>
      <c r="AE770" s="262"/>
      <c r="AF770" s="263">
        <f t="shared" si="727"/>
        <v>0</v>
      </c>
      <c r="AG770" s="238"/>
      <c r="AH770" s="229">
        <f t="shared" si="751"/>
        <v>1</v>
      </c>
      <c r="AI770" s="229">
        <f t="shared" si="752"/>
        <v>1</v>
      </c>
      <c r="AJ770" s="229">
        <f t="shared" si="753"/>
        <v>0</v>
      </c>
      <c r="AK770" s="229">
        <v>0</v>
      </c>
      <c r="AL770" s="229">
        <v>0</v>
      </c>
      <c r="AM770" s="229">
        <v>1</v>
      </c>
      <c r="AN770" s="229">
        <v>0</v>
      </c>
      <c r="AO770" s="229">
        <f t="shared" si="728"/>
        <v>-100</v>
      </c>
      <c r="AP770" s="238"/>
      <c r="AQ770" s="255"/>
      <c r="AR770" s="255"/>
      <c r="AS770" s="256"/>
      <c r="AT770" s="256"/>
      <c r="AU770" s="256"/>
      <c r="AV770" s="256"/>
      <c r="AW770" s="256"/>
      <c r="AX770" s="256"/>
      <c r="AY770" s="256"/>
      <c r="AZ770" s="256"/>
      <c r="BA770" s="256"/>
      <c r="BB770" s="256"/>
      <c r="BC770" s="256"/>
      <c r="BD770" s="238"/>
      <c r="BE770" s="229" cm="1">
        <f t="array" ref="BE770">IF(ISBLANK(R770), INDEX(Use, $AH770, 4) - AM770*INDEX(Use, $AH770, 6), R770)</f>
        <v>5</v>
      </c>
      <c r="BF770" s="229">
        <f t="shared" si="729"/>
        <v>30</v>
      </c>
      <c r="BG770" s="229">
        <f t="shared" si="717"/>
        <v>13</v>
      </c>
      <c r="BH770" s="229">
        <f t="shared" si="718"/>
        <v>0</v>
      </c>
      <c r="BI770" s="234" cm="1">
        <f t="array" ref="BI770">K770/IF($L770&gt;0, INDEX($AU$23:$BA$77, $L770+20, $AH770), 1)</f>
        <v>0</v>
      </c>
      <c r="BJ770" s="230">
        <f t="shared" si="730"/>
        <v>0</v>
      </c>
      <c r="BK770" s="229">
        <v>35</v>
      </c>
      <c r="BL770" s="230">
        <f t="shared" si="731"/>
        <v>48</v>
      </c>
      <c r="BM770" s="235">
        <f t="shared" si="732"/>
        <v>2.9108720930232557</v>
      </c>
      <c r="BN770" s="235" cm="1">
        <f t="array" ref="BN770">$BI770 * SUMPRODUCT(INDEX($AR$77:$AT$82,,$AI770),INDEX($AU$77:$BA$82,,$AH770), N($AQ$77:$AQ$82&gt;$AO770)) / BM770 / 1000</f>
        <v>0</v>
      </c>
      <c r="BO770" s="232">
        <f t="shared" si="719"/>
        <v>30</v>
      </c>
      <c r="BP770" s="230">
        <f t="shared" si="733"/>
        <v>43</v>
      </c>
      <c r="BQ770" s="235">
        <f t="shared" si="734"/>
        <v>3.2938815789473681</v>
      </c>
      <c r="BR770" s="235" cm="1">
        <f t="array" ref="BR770">$BI770 * IF($AH770&lt;=2,
SUMPRODUCT(INDEX($AR$72:$AT$76,,$AI770), INDEX($AU$72:$BA$76,,$AH770), 1 / ($BB$72:$BB$76*BQ770 + (1-$BB$72:$BB$76)*BM770), N($AQ$72:$AQ$76&gt;$AO770)),
SUMPRODUCT(INDEX($AR$67:$AT$76,,$AI770), INDEX($AU$67:$BA$76,,$AH770), 1 / ($BC$67:$BC$76*BQ770 + (1-$BC$67:$BC$76)*BM770), N($AQ$67:$AQ$76&gt;$AO770))
) / 1000</f>
        <v>0</v>
      </c>
      <c r="BS770" s="232">
        <f t="shared" si="720"/>
        <v>25</v>
      </c>
      <c r="BT770" s="230">
        <f t="shared" si="735"/>
        <v>38</v>
      </c>
      <c r="BU770" s="235">
        <f t="shared" si="736"/>
        <v>3.792954545454545</v>
      </c>
      <c r="BV770" s="235" cm="1">
        <f t="array" ref="BV770">$BI770 * IF($AH770&lt;=2,
SUMPRODUCT(INDEX($AR$67:$AT$71,,$AI770), INDEX($AU$67:$BA$71,,$AH770), 1 / ($BB$67:$BB$71*BU770 + (1-$BB$67:$BB$71)*BQ770), N($AQ$67:$AQ$71&gt;$AO770)),
SUMPRODUCT(INDEX($AR$57:$AT$66,,$AI770), INDEX($AU$57:$BA$66,,$AH770), 1 / ($BC$57:$BC$66*BU770 + (1-$BC$57:$BC$66)*BQ770), N($AQ$57:$AQ$66&gt;$AO770))
) / 1000</f>
        <v>0</v>
      </c>
      <c r="BW770" s="232">
        <f t="shared" si="721"/>
        <v>20</v>
      </c>
      <c r="BX770" s="230">
        <f t="shared" si="737"/>
        <v>33</v>
      </c>
      <c r="BY770" s="235">
        <f t="shared" si="738"/>
        <v>4.4702678571428569</v>
      </c>
      <c r="BZ770" s="235" cm="1">
        <f t="array" ref="BZ770">$BI770 * IF($AH770&lt;=2,
SUMPRODUCT(INDEX($AR$62:$AT$66,,$AI770), INDEX($AU$62:$BA$66,,$AH770), 1 / ($BB$62:$BB$66*BY770 + (1-$BB$62:$BB$66)*BU770), N($AQ$62:$AQ$66&gt;$AO770)),
SUMPRODUCT(INDEX($AR$47:$AT$56,,$AI770), INDEX($AU$47:$BA$56,,$AH770), 1 / ($BC$47:$BC$56*BY770 + (1-$BC$47:$BC$56)*BU770), N($AQ$47:$AQ$56&gt;$AO770))
) / 1000</f>
        <v>0</v>
      </c>
      <c r="CA770" s="235" cm="1">
        <f t="array" ref="CA770">$BI770 * IF($AH770&lt;=2,
SUMPRODUCT(INDEX($AR$23:$AT$61,,$AI770), INDEX($AU$23:$BA$61,,$AH770), 1 / ($BB$23:$BB$61*BY770), N($AQ$23:$AQ$61&gt;$AO770)),
SUMPRODUCT(INDEX($AR$23:$AT$46,,$AI770), INDEX($AU$23:$BA$46,,$AH770), 1 / ($BC$23:$BC$46*BY770), N($AQ$23:$AQ$46&gt;$AO770))
) / 1000</f>
        <v>0</v>
      </c>
      <c r="CB770" s="230">
        <f t="shared" si="739"/>
        <v>0</v>
      </c>
      <c r="CC770" s="238"/>
      <c r="CD770" s="229" cm="1">
        <f t="array" ref="CD770">IF(ISBLANK(Y770), INDEX(Use, $AH770, 4) - AN770*INDEX(Use, $AH770, 6) - (Q770-X770), Y770)</f>
        <v>7</v>
      </c>
      <c r="CE770" s="229">
        <f t="shared" si="740"/>
        <v>32</v>
      </c>
      <c r="CF770" s="230">
        <f t="shared" si="741"/>
        <v>0</v>
      </c>
      <c r="CG770" s="229">
        <v>35</v>
      </c>
      <c r="CH770" s="230">
        <f t="shared" si="742"/>
        <v>48</v>
      </c>
      <c r="CI770" s="235">
        <f t="shared" si="743"/>
        <v>3.0748170731707316</v>
      </c>
      <c r="CJ770" s="235" cm="1">
        <f t="array" ref="CJ770">$BI770 * SUMPRODUCT(INDEX($AR$77:$AT$82,,$AI770),INDEX($AU$77:$BA$82,,$AH770), N($AQ$77:$AQ$82&gt;$AO770)) / CI770 / 1000</f>
        <v>0</v>
      </c>
      <c r="CK770" s="232">
        <f t="shared" si="722"/>
        <v>30</v>
      </c>
      <c r="CL770" s="230">
        <f t="shared" si="744"/>
        <v>43</v>
      </c>
      <c r="CM770" s="235">
        <f t="shared" si="745"/>
        <v>3.5018750000000001</v>
      </c>
      <c r="CN770" s="235" cm="1">
        <f t="array" ref="CN770">$BI770 * IF($AH770&lt;=2,
SUMPRODUCT(INDEX($AR$72:$AT$76,,$AI770), INDEX($AU$72:$BA$76,,$AH770), 1 / ($BB$72:$BB$76*CM770 + (1-$BB$72:$BB$76)*CI770), N($AQ$72:$AQ$76&gt;$AO770)),
SUMPRODUCT(INDEX($AR$67:$AT$76,,$AI770), INDEX($AU$67:$BA$76,,$AH770), 1 / ($BC$67:$BC$76*CM770 + (1-$BC$67:$BC$76)*CI770), N($AQ$67:$AQ$76&gt;$AO770))
) / 1000</f>
        <v>0</v>
      </c>
      <c r="CO770" s="232">
        <f t="shared" si="723"/>
        <v>25</v>
      </c>
      <c r="CP770" s="230">
        <f t="shared" si="746"/>
        <v>38</v>
      </c>
      <c r="CQ770" s="235">
        <f t="shared" si="747"/>
        <v>4.0666935483870965</v>
      </c>
      <c r="CR770" s="235" cm="1">
        <f t="array" ref="CR770">$BI770 * IF($AH770&lt;=2,
SUMPRODUCT(INDEX($AR$67:$AT$71,,$AI770), INDEX($AU$67:$BA$71,,$AH770), 1 / ($BB$67:$BB$71*CQ770 + (1-$BB$67:$BB$71)*CM770), N($AQ$67:$AQ$71&gt;$AO770)),
SUMPRODUCT(INDEX($AR$57:$AT$66,,$AI770), INDEX($AU$57:$BA$66,,$AH770), 1 / ($BC$57:$BC$66*CQ770 + (1-$BC$57:$BC$66)*CM770), N($AQ$57:$AQ$66&gt;$AO770))
) / 1000</f>
        <v>0</v>
      </c>
      <c r="CS770" s="232">
        <f t="shared" si="724"/>
        <v>20</v>
      </c>
      <c r="CT770" s="230">
        <f t="shared" si="748"/>
        <v>33</v>
      </c>
      <c r="CU770" s="235">
        <f t="shared" si="749"/>
        <v>4.8487499999999999</v>
      </c>
      <c r="CV770" s="235" cm="1">
        <f t="array" ref="CV770">$BI770 * IF($AH770&lt;=2,
SUMPRODUCT(INDEX($AR$62:$AT$66,,$AI770), INDEX($AU$62:$BA$66,,$AH770), 1 / ($BB$62:$BB$66*CU770 + (1-$BB$62:$BB$66)*CQ770), N($AQ$62:$AQ$66&gt;$AO770)),
SUMPRODUCT(INDEX($AR$47:$AT$56,,$AI770), INDEX($AU$47:$BA$56,,$AH770), 1 / ($BC$47:$BC$56*CU770 + (1-$BC$47:$BC$56)*CQ770), N($AQ$47:$AQ$56&gt;$AO770))
) / 1000</f>
        <v>0</v>
      </c>
      <c r="CW770" s="235" cm="1">
        <f t="array" ref="CW770">$BI770 * IF($AH770&lt;=2,
SUMPRODUCT(INDEX($AR$23:$AT$61,,$AI770), INDEX($AU$23:$BA$61,,$AH770), 1 / ($BB$23:$BB$61*CU770), N($AQ$23:$AQ$61&gt;$AO770)),
SUMPRODUCT(INDEX($AR$23:$AT$46,,$AI770), INDEX($AU$23:$BA$46,,$AH770), 1 / ($BC$23:$BC$46*CU770), N($AQ$23:$AQ$46&gt;$AO770))
) / 1000</f>
        <v>0</v>
      </c>
      <c r="CX770" s="230">
        <f t="shared" si="750"/>
        <v>0</v>
      </c>
      <c r="CY770" s="238"/>
    </row>
    <row r="771" spans="1:103" s="76" customFormat="1" ht="14.25" customHeight="1" x14ac:dyDescent="0.2">
      <c r="A771" s="231" t="b">
        <f t="shared" si="716"/>
        <v>0</v>
      </c>
      <c r="B771" s="245">
        <v>749</v>
      </c>
      <c r="C771" s="258"/>
      <c r="D771" s="258"/>
      <c r="E771" s="246"/>
      <c r="F771" s="247" t="str">
        <f>IF(ISBLANK(E771), "", VLOOKUP(E771, Z!$A$2:$C$4127, 3, FALSE))</f>
        <v/>
      </c>
      <c r="G771" s="248"/>
      <c r="H771" s="248"/>
      <c r="I771" s="249"/>
      <c r="J771" s="250"/>
      <c r="K771" s="259"/>
      <c r="L771" s="260"/>
      <c r="M771" s="252" t="str" cm="1">
        <f t="array" ref="M771">INDEX(Trad, 53, $A$20)</f>
        <v>Verschmutzt</v>
      </c>
      <c r="N771" s="253"/>
      <c r="O771" s="253"/>
      <c r="P771" s="254"/>
      <c r="Q771" s="251"/>
      <c r="R771" s="251"/>
      <c r="S771" s="264">
        <f t="shared" si="725"/>
        <v>0</v>
      </c>
      <c r="T771" s="252" t="str" cm="1">
        <f t="array" ref="T771">INDEX(Trad, 52, $A$20)</f>
        <v>Sauber</v>
      </c>
      <c r="U771" s="253"/>
      <c r="V771" s="253"/>
      <c r="W771" s="254"/>
      <c r="X771" s="251"/>
      <c r="Y771" s="251"/>
      <c r="Z771" s="264">
        <f t="shared" si="726"/>
        <v>0</v>
      </c>
      <c r="AA771" s="261"/>
      <c r="AB771" s="258"/>
      <c r="AC771" s="246"/>
      <c r="AD771" s="247" t="str">
        <f>IF(ISBLANK(AC771), "", VLOOKUP(AC771, Z!$A$2:$C$4127, 3, FALSE))</f>
        <v/>
      </c>
      <c r="AE771" s="262"/>
      <c r="AF771" s="263">
        <f t="shared" si="727"/>
        <v>0</v>
      </c>
      <c r="AG771" s="238"/>
      <c r="AH771" s="229">
        <f t="shared" si="751"/>
        <v>1</v>
      </c>
      <c r="AI771" s="229">
        <f t="shared" si="752"/>
        <v>1</v>
      </c>
      <c r="AJ771" s="229">
        <f t="shared" si="753"/>
        <v>0</v>
      </c>
      <c r="AK771" s="229">
        <v>0</v>
      </c>
      <c r="AL771" s="229">
        <v>0</v>
      </c>
      <c r="AM771" s="229">
        <v>1</v>
      </c>
      <c r="AN771" s="229">
        <v>0</v>
      </c>
      <c r="AO771" s="229">
        <f t="shared" si="728"/>
        <v>-100</v>
      </c>
      <c r="AP771" s="238"/>
      <c r="AQ771" s="255"/>
      <c r="AR771" s="255"/>
      <c r="AS771" s="256"/>
      <c r="AT771" s="256"/>
      <c r="AU771" s="256"/>
      <c r="AV771" s="256"/>
      <c r="AW771" s="256"/>
      <c r="AX771" s="256"/>
      <c r="AY771" s="256"/>
      <c r="AZ771" s="256"/>
      <c r="BA771" s="256"/>
      <c r="BB771" s="256"/>
      <c r="BC771" s="256"/>
      <c r="BD771" s="238"/>
      <c r="BE771" s="229" cm="1">
        <f t="array" ref="BE771">IF(ISBLANK(R771), INDEX(Use, $AH771, 4) - AM771*INDEX(Use, $AH771, 6), R771)</f>
        <v>5</v>
      </c>
      <c r="BF771" s="229">
        <f t="shared" si="729"/>
        <v>30</v>
      </c>
      <c r="BG771" s="229">
        <f t="shared" si="717"/>
        <v>13</v>
      </c>
      <c r="BH771" s="229">
        <f t="shared" si="718"/>
        <v>0</v>
      </c>
      <c r="BI771" s="234" cm="1">
        <f t="array" ref="BI771">K771/IF($L771&gt;0, INDEX($AU$23:$BA$77, $L771+20, $AH771), 1)</f>
        <v>0</v>
      </c>
      <c r="BJ771" s="230">
        <f t="shared" si="730"/>
        <v>0</v>
      </c>
      <c r="BK771" s="229">
        <v>35</v>
      </c>
      <c r="BL771" s="230">
        <f t="shared" si="731"/>
        <v>48</v>
      </c>
      <c r="BM771" s="235">
        <f t="shared" si="732"/>
        <v>2.9108720930232557</v>
      </c>
      <c r="BN771" s="235" cm="1">
        <f t="array" ref="BN771">$BI771 * SUMPRODUCT(INDEX($AR$77:$AT$82,,$AI771),INDEX($AU$77:$BA$82,,$AH771), N($AQ$77:$AQ$82&gt;$AO771)) / BM771 / 1000</f>
        <v>0</v>
      </c>
      <c r="BO771" s="232">
        <f t="shared" si="719"/>
        <v>30</v>
      </c>
      <c r="BP771" s="230">
        <f t="shared" si="733"/>
        <v>43</v>
      </c>
      <c r="BQ771" s="235">
        <f t="shared" si="734"/>
        <v>3.2938815789473681</v>
      </c>
      <c r="BR771" s="235" cm="1">
        <f t="array" ref="BR771">$BI771 * IF($AH771&lt;=2,
SUMPRODUCT(INDEX($AR$72:$AT$76,,$AI771), INDEX($AU$72:$BA$76,,$AH771), 1 / ($BB$72:$BB$76*BQ771 + (1-$BB$72:$BB$76)*BM771), N($AQ$72:$AQ$76&gt;$AO771)),
SUMPRODUCT(INDEX($AR$67:$AT$76,,$AI771), INDEX($AU$67:$BA$76,,$AH771), 1 / ($BC$67:$BC$76*BQ771 + (1-$BC$67:$BC$76)*BM771), N($AQ$67:$AQ$76&gt;$AO771))
) / 1000</f>
        <v>0</v>
      </c>
      <c r="BS771" s="232">
        <f t="shared" si="720"/>
        <v>25</v>
      </c>
      <c r="BT771" s="230">
        <f t="shared" si="735"/>
        <v>38</v>
      </c>
      <c r="BU771" s="235">
        <f t="shared" si="736"/>
        <v>3.792954545454545</v>
      </c>
      <c r="BV771" s="235" cm="1">
        <f t="array" ref="BV771">$BI771 * IF($AH771&lt;=2,
SUMPRODUCT(INDEX($AR$67:$AT$71,,$AI771), INDEX($AU$67:$BA$71,,$AH771), 1 / ($BB$67:$BB$71*BU771 + (1-$BB$67:$BB$71)*BQ771), N($AQ$67:$AQ$71&gt;$AO771)),
SUMPRODUCT(INDEX($AR$57:$AT$66,,$AI771), INDEX($AU$57:$BA$66,,$AH771), 1 / ($BC$57:$BC$66*BU771 + (1-$BC$57:$BC$66)*BQ771), N($AQ$57:$AQ$66&gt;$AO771))
) / 1000</f>
        <v>0</v>
      </c>
      <c r="BW771" s="232">
        <f t="shared" si="721"/>
        <v>20</v>
      </c>
      <c r="BX771" s="230">
        <f t="shared" si="737"/>
        <v>33</v>
      </c>
      <c r="BY771" s="235">
        <f t="shared" si="738"/>
        <v>4.4702678571428569</v>
      </c>
      <c r="BZ771" s="235" cm="1">
        <f t="array" ref="BZ771">$BI771 * IF($AH771&lt;=2,
SUMPRODUCT(INDEX($AR$62:$AT$66,,$AI771), INDEX($AU$62:$BA$66,,$AH771), 1 / ($BB$62:$BB$66*BY771 + (1-$BB$62:$BB$66)*BU771), N($AQ$62:$AQ$66&gt;$AO771)),
SUMPRODUCT(INDEX($AR$47:$AT$56,,$AI771), INDEX($AU$47:$BA$56,,$AH771), 1 / ($BC$47:$BC$56*BY771 + (1-$BC$47:$BC$56)*BU771), N($AQ$47:$AQ$56&gt;$AO771))
) / 1000</f>
        <v>0</v>
      </c>
      <c r="CA771" s="235" cm="1">
        <f t="array" ref="CA771">$BI771 * IF($AH771&lt;=2,
SUMPRODUCT(INDEX($AR$23:$AT$61,,$AI771), INDEX($AU$23:$BA$61,,$AH771), 1 / ($BB$23:$BB$61*BY771), N($AQ$23:$AQ$61&gt;$AO771)),
SUMPRODUCT(INDEX($AR$23:$AT$46,,$AI771), INDEX($AU$23:$BA$46,,$AH771), 1 / ($BC$23:$BC$46*BY771), N($AQ$23:$AQ$46&gt;$AO771))
) / 1000</f>
        <v>0</v>
      </c>
      <c r="CB771" s="230">
        <f t="shared" si="739"/>
        <v>0</v>
      </c>
      <c r="CC771" s="238"/>
      <c r="CD771" s="229" cm="1">
        <f t="array" ref="CD771">IF(ISBLANK(Y771), INDEX(Use, $AH771, 4) - AN771*INDEX(Use, $AH771, 6) - (Q771-X771), Y771)</f>
        <v>7</v>
      </c>
      <c r="CE771" s="229">
        <f t="shared" si="740"/>
        <v>32</v>
      </c>
      <c r="CF771" s="230">
        <f t="shared" si="741"/>
        <v>0</v>
      </c>
      <c r="CG771" s="229">
        <v>35</v>
      </c>
      <c r="CH771" s="230">
        <f t="shared" si="742"/>
        <v>48</v>
      </c>
      <c r="CI771" s="235">
        <f t="shared" si="743"/>
        <v>3.0748170731707316</v>
      </c>
      <c r="CJ771" s="235" cm="1">
        <f t="array" ref="CJ771">$BI771 * SUMPRODUCT(INDEX($AR$77:$AT$82,,$AI771),INDEX($AU$77:$BA$82,,$AH771), N($AQ$77:$AQ$82&gt;$AO771)) / CI771 / 1000</f>
        <v>0</v>
      </c>
      <c r="CK771" s="232">
        <f t="shared" si="722"/>
        <v>30</v>
      </c>
      <c r="CL771" s="230">
        <f t="shared" si="744"/>
        <v>43</v>
      </c>
      <c r="CM771" s="235">
        <f t="shared" si="745"/>
        <v>3.5018750000000001</v>
      </c>
      <c r="CN771" s="235" cm="1">
        <f t="array" ref="CN771">$BI771 * IF($AH771&lt;=2,
SUMPRODUCT(INDEX($AR$72:$AT$76,,$AI771), INDEX($AU$72:$BA$76,,$AH771), 1 / ($BB$72:$BB$76*CM771 + (1-$BB$72:$BB$76)*CI771), N($AQ$72:$AQ$76&gt;$AO771)),
SUMPRODUCT(INDEX($AR$67:$AT$76,,$AI771), INDEX($AU$67:$BA$76,,$AH771), 1 / ($BC$67:$BC$76*CM771 + (1-$BC$67:$BC$76)*CI771), N($AQ$67:$AQ$76&gt;$AO771))
) / 1000</f>
        <v>0</v>
      </c>
      <c r="CO771" s="232">
        <f t="shared" si="723"/>
        <v>25</v>
      </c>
      <c r="CP771" s="230">
        <f t="shared" si="746"/>
        <v>38</v>
      </c>
      <c r="CQ771" s="235">
        <f t="shared" si="747"/>
        <v>4.0666935483870965</v>
      </c>
      <c r="CR771" s="235" cm="1">
        <f t="array" ref="CR771">$BI771 * IF($AH771&lt;=2,
SUMPRODUCT(INDEX($AR$67:$AT$71,,$AI771), INDEX($AU$67:$BA$71,,$AH771), 1 / ($BB$67:$BB$71*CQ771 + (1-$BB$67:$BB$71)*CM771), N($AQ$67:$AQ$71&gt;$AO771)),
SUMPRODUCT(INDEX($AR$57:$AT$66,,$AI771), INDEX($AU$57:$BA$66,,$AH771), 1 / ($BC$57:$BC$66*CQ771 + (1-$BC$57:$BC$66)*CM771), N($AQ$57:$AQ$66&gt;$AO771))
) / 1000</f>
        <v>0</v>
      </c>
      <c r="CS771" s="232">
        <f t="shared" si="724"/>
        <v>20</v>
      </c>
      <c r="CT771" s="230">
        <f t="shared" si="748"/>
        <v>33</v>
      </c>
      <c r="CU771" s="235">
        <f t="shared" si="749"/>
        <v>4.8487499999999999</v>
      </c>
      <c r="CV771" s="235" cm="1">
        <f t="array" ref="CV771">$BI771 * IF($AH771&lt;=2,
SUMPRODUCT(INDEX($AR$62:$AT$66,,$AI771), INDEX($AU$62:$BA$66,,$AH771), 1 / ($BB$62:$BB$66*CU771 + (1-$BB$62:$BB$66)*CQ771), N($AQ$62:$AQ$66&gt;$AO771)),
SUMPRODUCT(INDEX($AR$47:$AT$56,,$AI771), INDEX($AU$47:$BA$56,,$AH771), 1 / ($BC$47:$BC$56*CU771 + (1-$BC$47:$BC$56)*CQ771), N($AQ$47:$AQ$56&gt;$AO771))
) / 1000</f>
        <v>0</v>
      </c>
      <c r="CW771" s="235" cm="1">
        <f t="array" ref="CW771">$BI771 * IF($AH771&lt;=2,
SUMPRODUCT(INDEX($AR$23:$AT$61,,$AI771), INDEX($AU$23:$BA$61,,$AH771), 1 / ($BB$23:$BB$61*CU771), N($AQ$23:$AQ$61&gt;$AO771)),
SUMPRODUCT(INDEX($AR$23:$AT$46,,$AI771), INDEX($AU$23:$BA$46,,$AH771), 1 / ($BC$23:$BC$46*CU771), N($AQ$23:$AQ$46&gt;$AO771))
) / 1000</f>
        <v>0</v>
      </c>
      <c r="CX771" s="230">
        <f t="shared" si="750"/>
        <v>0</v>
      </c>
      <c r="CY771" s="238"/>
    </row>
    <row r="772" spans="1:103" s="76" customFormat="1" ht="14.25" customHeight="1" x14ac:dyDescent="0.2">
      <c r="A772" s="231" t="b">
        <f t="shared" si="716"/>
        <v>0</v>
      </c>
      <c r="B772" s="245">
        <v>750</v>
      </c>
      <c r="C772" s="258"/>
      <c r="D772" s="258"/>
      <c r="E772" s="246"/>
      <c r="F772" s="247" t="str">
        <f>IF(ISBLANK(E772), "", VLOOKUP(E772, Z!$A$2:$C$4127, 3, FALSE))</f>
        <v/>
      </c>
      <c r="G772" s="248"/>
      <c r="H772" s="248"/>
      <c r="I772" s="249"/>
      <c r="J772" s="250"/>
      <c r="K772" s="259"/>
      <c r="L772" s="260"/>
      <c r="M772" s="252" t="str" cm="1">
        <f t="array" ref="M772">INDEX(Trad, 53, $A$20)</f>
        <v>Verschmutzt</v>
      </c>
      <c r="N772" s="253"/>
      <c r="O772" s="253"/>
      <c r="P772" s="254"/>
      <c r="Q772" s="251"/>
      <c r="R772" s="251"/>
      <c r="S772" s="264">
        <f t="shared" si="725"/>
        <v>0</v>
      </c>
      <c r="T772" s="252" t="str" cm="1">
        <f t="array" ref="T772">INDEX(Trad, 52, $A$20)</f>
        <v>Sauber</v>
      </c>
      <c r="U772" s="253"/>
      <c r="V772" s="253"/>
      <c r="W772" s="254"/>
      <c r="X772" s="251"/>
      <c r="Y772" s="251"/>
      <c r="Z772" s="264">
        <f t="shared" si="726"/>
        <v>0</v>
      </c>
      <c r="AA772" s="261"/>
      <c r="AB772" s="258"/>
      <c r="AC772" s="246"/>
      <c r="AD772" s="247" t="str">
        <f>IF(ISBLANK(AC772), "", VLOOKUP(AC772, Z!$A$2:$C$4127, 3, FALSE))</f>
        <v/>
      </c>
      <c r="AE772" s="262"/>
      <c r="AF772" s="263">
        <f t="shared" si="727"/>
        <v>0</v>
      </c>
      <c r="AG772" s="238"/>
      <c r="AH772" s="229">
        <f t="shared" si="751"/>
        <v>1</v>
      </c>
      <c r="AI772" s="229">
        <f t="shared" si="752"/>
        <v>1</v>
      </c>
      <c r="AJ772" s="229">
        <f t="shared" si="753"/>
        <v>0</v>
      </c>
      <c r="AK772" s="229">
        <v>0</v>
      </c>
      <c r="AL772" s="229">
        <v>0</v>
      </c>
      <c r="AM772" s="229">
        <v>1</v>
      </c>
      <c r="AN772" s="229">
        <v>0</v>
      </c>
      <c r="AO772" s="229">
        <f t="shared" si="728"/>
        <v>-100</v>
      </c>
      <c r="AP772" s="238"/>
      <c r="AQ772" s="255"/>
      <c r="AR772" s="255"/>
      <c r="AS772" s="256"/>
      <c r="AT772" s="256"/>
      <c r="AU772" s="256"/>
      <c r="AV772" s="256"/>
      <c r="AW772" s="256"/>
      <c r="AX772" s="256"/>
      <c r="AY772" s="256"/>
      <c r="AZ772" s="256"/>
      <c r="BA772" s="256"/>
      <c r="BB772" s="256"/>
      <c r="BC772" s="256"/>
      <c r="BD772" s="238"/>
      <c r="BE772" s="229" cm="1">
        <f t="array" ref="BE772">IF(ISBLANK(R772), INDEX(Use, $AH772, 4) - AM772*INDEX(Use, $AH772, 6), R772)</f>
        <v>5</v>
      </c>
      <c r="BF772" s="229">
        <f t="shared" si="729"/>
        <v>30</v>
      </c>
      <c r="BG772" s="229">
        <f t="shared" si="717"/>
        <v>13</v>
      </c>
      <c r="BH772" s="229">
        <f t="shared" si="718"/>
        <v>0</v>
      </c>
      <c r="BI772" s="234" cm="1">
        <f t="array" ref="BI772">K772/IF($L772&gt;0, INDEX($AU$23:$BA$77, $L772+20, $AH772), 1)</f>
        <v>0</v>
      </c>
      <c r="BJ772" s="230">
        <f t="shared" si="730"/>
        <v>0</v>
      </c>
      <c r="BK772" s="229">
        <v>35</v>
      </c>
      <c r="BL772" s="230">
        <f t="shared" si="731"/>
        <v>48</v>
      </c>
      <c r="BM772" s="235">
        <f t="shared" si="732"/>
        <v>2.9108720930232557</v>
      </c>
      <c r="BN772" s="235" cm="1">
        <f t="array" ref="BN772">$BI772 * SUMPRODUCT(INDEX($AR$77:$AT$82,,$AI772),INDEX($AU$77:$BA$82,,$AH772), N($AQ$77:$AQ$82&gt;$AO772)) / BM772 / 1000</f>
        <v>0</v>
      </c>
      <c r="BO772" s="232">
        <f t="shared" si="719"/>
        <v>30</v>
      </c>
      <c r="BP772" s="230">
        <f t="shared" si="733"/>
        <v>43</v>
      </c>
      <c r="BQ772" s="235">
        <f t="shared" si="734"/>
        <v>3.2938815789473681</v>
      </c>
      <c r="BR772" s="235" cm="1">
        <f t="array" ref="BR772">$BI772 * IF($AH772&lt;=2,
SUMPRODUCT(INDEX($AR$72:$AT$76,,$AI772), INDEX($AU$72:$BA$76,,$AH772), 1 / ($BB$72:$BB$76*BQ772 + (1-$BB$72:$BB$76)*BM772), N($AQ$72:$AQ$76&gt;$AO772)),
SUMPRODUCT(INDEX($AR$67:$AT$76,,$AI772), INDEX($AU$67:$BA$76,,$AH772), 1 / ($BC$67:$BC$76*BQ772 + (1-$BC$67:$BC$76)*BM772), N($AQ$67:$AQ$76&gt;$AO772))
) / 1000</f>
        <v>0</v>
      </c>
      <c r="BS772" s="232">
        <f t="shared" si="720"/>
        <v>25</v>
      </c>
      <c r="BT772" s="230">
        <f t="shared" si="735"/>
        <v>38</v>
      </c>
      <c r="BU772" s="235">
        <f t="shared" si="736"/>
        <v>3.792954545454545</v>
      </c>
      <c r="BV772" s="235" cm="1">
        <f t="array" ref="BV772">$BI772 * IF($AH772&lt;=2,
SUMPRODUCT(INDEX($AR$67:$AT$71,,$AI772), INDEX($AU$67:$BA$71,,$AH772), 1 / ($BB$67:$BB$71*BU772 + (1-$BB$67:$BB$71)*BQ772), N($AQ$67:$AQ$71&gt;$AO772)),
SUMPRODUCT(INDEX($AR$57:$AT$66,,$AI772), INDEX($AU$57:$BA$66,,$AH772), 1 / ($BC$57:$BC$66*BU772 + (1-$BC$57:$BC$66)*BQ772), N($AQ$57:$AQ$66&gt;$AO772))
) / 1000</f>
        <v>0</v>
      </c>
      <c r="BW772" s="232">
        <f t="shared" si="721"/>
        <v>20</v>
      </c>
      <c r="BX772" s="230">
        <f t="shared" si="737"/>
        <v>33</v>
      </c>
      <c r="BY772" s="235">
        <f t="shared" si="738"/>
        <v>4.4702678571428569</v>
      </c>
      <c r="BZ772" s="235" cm="1">
        <f t="array" ref="BZ772">$BI772 * IF($AH772&lt;=2,
SUMPRODUCT(INDEX($AR$62:$AT$66,,$AI772), INDEX($AU$62:$BA$66,,$AH772), 1 / ($BB$62:$BB$66*BY772 + (1-$BB$62:$BB$66)*BU772), N($AQ$62:$AQ$66&gt;$AO772)),
SUMPRODUCT(INDEX($AR$47:$AT$56,,$AI772), INDEX($AU$47:$BA$56,,$AH772), 1 / ($BC$47:$BC$56*BY772 + (1-$BC$47:$BC$56)*BU772), N($AQ$47:$AQ$56&gt;$AO772))
) / 1000</f>
        <v>0</v>
      </c>
      <c r="CA772" s="235" cm="1">
        <f t="array" ref="CA772">$BI772 * IF($AH772&lt;=2,
SUMPRODUCT(INDEX($AR$23:$AT$61,,$AI772), INDEX($AU$23:$BA$61,,$AH772), 1 / ($BB$23:$BB$61*BY772), N($AQ$23:$AQ$61&gt;$AO772)),
SUMPRODUCT(INDEX($AR$23:$AT$46,,$AI772), INDEX($AU$23:$BA$46,,$AH772), 1 / ($BC$23:$BC$46*BY772), N($AQ$23:$AQ$46&gt;$AO772))
) / 1000</f>
        <v>0</v>
      </c>
      <c r="CB772" s="230">
        <f t="shared" si="739"/>
        <v>0</v>
      </c>
      <c r="CC772" s="238"/>
      <c r="CD772" s="229" cm="1">
        <f t="array" ref="CD772">IF(ISBLANK(Y772), INDEX(Use, $AH772, 4) - AN772*INDEX(Use, $AH772, 6) - (Q772-X772), Y772)</f>
        <v>7</v>
      </c>
      <c r="CE772" s="229">
        <f t="shared" si="740"/>
        <v>32</v>
      </c>
      <c r="CF772" s="230">
        <f t="shared" si="741"/>
        <v>0</v>
      </c>
      <c r="CG772" s="229">
        <v>35</v>
      </c>
      <c r="CH772" s="230">
        <f t="shared" si="742"/>
        <v>48</v>
      </c>
      <c r="CI772" s="235">
        <f t="shared" si="743"/>
        <v>3.0748170731707316</v>
      </c>
      <c r="CJ772" s="235" cm="1">
        <f t="array" ref="CJ772">$BI772 * SUMPRODUCT(INDEX($AR$77:$AT$82,,$AI772),INDEX($AU$77:$BA$82,,$AH772), N($AQ$77:$AQ$82&gt;$AO772)) / CI772 / 1000</f>
        <v>0</v>
      </c>
      <c r="CK772" s="232">
        <f t="shared" si="722"/>
        <v>30</v>
      </c>
      <c r="CL772" s="230">
        <f t="shared" si="744"/>
        <v>43</v>
      </c>
      <c r="CM772" s="235">
        <f t="shared" si="745"/>
        <v>3.5018750000000001</v>
      </c>
      <c r="CN772" s="235" cm="1">
        <f t="array" ref="CN772">$BI772 * IF($AH772&lt;=2,
SUMPRODUCT(INDEX($AR$72:$AT$76,,$AI772), INDEX($AU$72:$BA$76,,$AH772), 1 / ($BB$72:$BB$76*CM772 + (1-$BB$72:$BB$76)*CI772), N($AQ$72:$AQ$76&gt;$AO772)),
SUMPRODUCT(INDEX($AR$67:$AT$76,,$AI772), INDEX($AU$67:$BA$76,,$AH772), 1 / ($BC$67:$BC$76*CM772 + (1-$BC$67:$BC$76)*CI772), N($AQ$67:$AQ$76&gt;$AO772))
) / 1000</f>
        <v>0</v>
      </c>
      <c r="CO772" s="232">
        <f t="shared" si="723"/>
        <v>25</v>
      </c>
      <c r="CP772" s="230">
        <f t="shared" si="746"/>
        <v>38</v>
      </c>
      <c r="CQ772" s="235">
        <f t="shared" si="747"/>
        <v>4.0666935483870965</v>
      </c>
      <c r="CR772" s="235" cm="1">
        <f t="array" ref="CR772">$BI772 * IF($AH772&lt;=2,
SUMPRODUCT(INDEX($AR$67:$AT$71,,$AI772), INDEX($AU$67:$BA$71,,$AH772), 1 / ($BB$67:$BB$71*CQ772 + (1-$BB$67:$BB$71)*CM772), N($AQ$67:$AQ$71&gt;$AO772)),
SUMPRODUCT(INDEX($AR$57:$AT$66,,$AI772), INDEX($AU$57:$BA$66,,$AH772), 1 / ($BC$57:$BC$66*CQ772 + (1-$BC$57:$BC$66)*CM772), N($AQ$57:$AQ$66&gt;$AO772))
) / 1000</f>
        <v>0</v>
      </c>
      <c r="CS772" s="232">
        <f t="shared" si="724"/>
        <v>20</v>
      </c>
      <c r="CT772" s="230">
        <f t="shared" si="748"/>
        <v>33</v>
      </c>
      <c r="CU772" s="235">
        <f t="shared" si="749"/>
        <v>4.8487499999999999</v>
      </c>
      <c r="CV772" s="235" cm="1">
        <f t="array" ref="CV772">$BI772 * IF($AH772&lt;=2,
SUMPRODUCT(INDEX($AR$62:$AT$66,,$AI772), INDEX($AU$62:$BA$66,,$AH772), 1 / ($BB$62:$BB$66*CU772 + (1-$BB$62:$BB$66)*CQ772), N($AQ$62:$AQ$66&gt;$AO772)),
SUMPRODUCT(INDEX($AR$47:$AT$56,,$AI772), INDEX($AU$47:$BA$56,,$AH772), 1 / ($BC$47:$BC$56*CU772 + (1-$BC$47:$BC$56)*CQ772), N($AQ$47:$AQ$56&gt;$AO772))
) / 1000</f>
        <v>0</v>
      </c>
      <c r="CW772" s="235" cm="1">
        <f t="array" ref="CW772">$BI772 * IF($AH772&lt;=2,
SUMPRODUCT(INDEX($AR$23:$AT$61,,$AI772), INDEX($AU$23:$BA$61,,$AH772), 1 / ($BB$23:$BB$61*CU772), N($AQ$23:$AQ$61&gt;$AO772)),
SUMPRODUCT(INDEX($AR$23:$AT$46,,$AI772), INDEX($AU$23:$BA$46,,$AH772), 1 / ($BC$23:$BC$46*CU772), N($AQ$23:$AQ$46&gt;$AO772))
) / 1000</f>
        <v>0</v>
      </c>
      <c r="CX772" s="230">
        <f t="shared" si="750"/>
        <v>0</v>
      </c>
      <c r="CY772" s="238"/>
    </row>
    <row r="773" spans="1:103" s="76" customFormat="1" ht="14.25" customHeight="1" x14ac:dyDescent="0.2">
      <c r="A773" s="231" t="b">
        <f t="shared" si="716"/>
        <v>0</v>
      </c>
      <c r="B773" s="245">
        <v>751</v>
      </c>
      <c r="C773" s="258"/>
      <c r="D773" s="258"/>
      <c r="E773" s="246"/>
      <c r="F773" s="247" t="str">
        <f>IF(ISBLANK(E773), "", VLOOKUP(E773, Z!$A$2:$C$4127, 3, FALSE))</f>
        <v/>
      </c>
      <c r="G773" s="248"/>
      <c r="H773" s="248"/>
      <c r="I773" s="249"/>
      <c r="J773" s="250"/>
      <c r="K773" s="259"/>
      <c r="L773" s="260"/>
      <c r="M773" s="252" t="str" cm="1">
        <f t="array" ref="M773">INDEX(Trad, 53, $A$20)</f>
        <v>Verschmutzt</v>
      </c>
      <c r="N773" s="253"/>
      <c r="O773" s="253"/>
      <c r="P773" s="254"/>
      <c r="Q773" s="251"/>
      <c r="R773" s="251"/>
      <c r="S773" s="264">
        <f t="shared" si="725"/>
        <v>0</v>
      </c>
      <c r="T773" s="252" t="str" cm="1">
        <f t="array" ref="T773">INDEX(Trad, 52, $A$20)</f>
        <v>Sauber</v>
      </c>
      <c r="U773" s="253"/>
      <c r="V773" s="253"/>
      <c r="W773" s="254"/>
      <c r="X773" s="251"/>
      <c r="Y773" s="251"/>
      <c r="Z773" s="264">
        <f t="shared" si="726"/>
        <v>0</v>
      </c>
      <c r="AA773" s="261"/>
      <c r="AB773" s="258"/>
      <c r="AC773" s="246"/>
      <c r="AD773" s="247" t="str">
        <f>IF(ISBLANK(AC773), "", VLOOKUP(AC773, Z!$A$2:$C$4127, 3, FALSE))</f>
        <v/>
      </c>
      <c r="AE773" s="262"/>
      <c r="AF773" s="263">
        <f t="shared" si="727"/>
        <v>0</v>
      </c>
      <c r="AG773" s="238"/>
      <c r="AH773" s="229">
        <f t="shared" si="751"/>
        <v>1</v>
      </c>
      <c r="AI773" s="229">
        <f t="shared" si="752"/>
        <v>1</v>
      </c>
      <c r="AJ773" s="229">
        <f t="shared" si="753"/>
        <v>0</v>
      </c>
      <c r="AK773" s="229">
        <v>0</v>
      </c>
      <c r="AL773" s="229">
        <v>0</v>
      </c>
      <c r="AM773" s="229">
        <v>1</v>
      </c>
      <c r="AN773" s="229">
        <v>0</v>
      </c>
      <c r="AO773" s="229">
        <f t="shared" si="728"/>
        <v>-100</v>
      </c>
      <c r="AP773" s="238"/>
      <c r="AQ773" s="255"/>
      <c r="AR773" s="255"/>
      <c r="AS773" s="256"/>
      <c r="AT773" s="256"/>
      <c r="AU773" s="256"/>
      <c r="AV773" s="256"/>
      <c r="AW773" s="256"/>
      <c r="AX773" s="256"/>
      <c r="AY773" s="256"/>
      <c r="AZ773" s="256"/>
      <c r="BA773" s="256"/>
      <c r="BB773" s="256"/>
      <c r="BC773" s="256"/>
      <c r="BD773" s="238"/>
      <c r="BE773" s="229" cm="1">
        <f t="array" ref="BE773">IF(ISBLANK(R773), INDEX(Use, $AH773, 4) - AM773*INDEX(Use, $AH773, 6), R773)</f>
        <v>5</v>
      </c>
      <c r="BF773" s="229">
        <f t="shared" si="729"/>
        <v>30</v>
      </c>
      <c r="BG773" s="229">
        <f t="shared" si="717"/>
        <v>13</v>
      </c>
      <c r="BH773" s="229">
        <f t="shared" si="718"/>
        <v>0</v>
      </c>
      <c r="BI773" s="234" cm="1">
        <f t="array" ref="BI773">K773/IF($L773&gt;0, INDEX($AU$23:$BA$77, $L773+20, $AH773), 1)</f>
        <v>0</v>
      </c>
      <c r="BJ773" s="230">
        <f t="shared" si="730"/>
        <v>0</v>
      </c>
      <c r="BK773" s="229">
        <v>35</v>
      </c>
      <c r="BL773" s="230">
        <f t="shared" si="731"/>
        <v>48</v>
      </c>
      <c r="BM773" s="235">
        <f t="shared" si="732"/>
        <v>2.9108720930232557</v>
      </c>
      <c r="BN773" s="235" cm="1">
        <f t="array" ref="BN773">$BI773 * SUMPRODUCT(INDEX($AR$77:$AT$82,,$AI773),INDEX($AU$77:$BA$82,,$AH773), N($AQ$77:$AQ$82&gt;$AO773)) / BM773 / 1000</f>
        <v>0</v>
      </c>
      <c r="BO773" s="232">
        <f t="shared" si="719"/>
        <v>30</v>
      </c>
      <c r="BP773" s="230">
        <f t="shared" si="733"/>
        <v>43</v>
      </c>
      <c r="BQ773" s="235">
        <f t="shared" si="734"/>
        <v>3.2938815789473681</v>
      </c>
      <c r="BR773" s="235" cm="1">
        <f t="array" ref="BR773">$BI773 * IF($AH773&lt;=2,
SUMPRODUCT(INDEX($AR$72:$AT$76,,$AI773), INDEX($AU$72:$BA$76,,$AH773), 1 / ($BB$72:$BB$76*BQ773 + (1-$BB$72:$BB$76)*BM773), N($AQ$72:$AQ$76&gt;$AO773)),
SUMPRODUCT(INDEX($AR$67:$AT$76,,$AI773), INDEX($AU$67:$BA$76,,$AH773), 1 / ($BC$67:$BC$76*BQ773 + (1-$BC$67:$BC$76)*BM773), N($AQ$67:$AQ$76&gt;$AO773))
) / 1000</f>
        <v>0</v>
      </c>
      <c r="BS773" s="232">
        <f t="shared" si="720"/>
        <v>25</v>
      </c>
      <c r="BT773" s="230">
        <f t="shared" si="735"/>
        <v>38</v>
      </c>
      <c r="BU773" s="235">
        <f t="shared" si="736"/>
        <v>3.792954545454545</v>
      </c>
      <c r="BV773" s="235" cm="1">
        <f t="array" ref="BV773">$BI773 * IF($AH773&lt;=2,
SUMPRODUCT(INDEX($AR$67:$AT$71,,$AI773), INDEX($AU$67:$BA$71,,$AH773), 1 / ($BB$67:$BB$71*BU773 + (1-$BB$67:$BB$71)*BQ773), N($AQ$67:$AQ$71&gt;$AO773)),
SUMPRODUCT(INDEX($AR$57:$AT$66,,$AI773), INDEX($AU$57:$BA$66,,$AH773), 1 / ($BC$57:$BC$66*BU773 + (1-$BC$57:$BC$66)*BQ773), N($AQ$57:$AQ$66&gt;$AO773))
) / 1000</f>
        <v>0</v>
      </c>
      <c r="BW773" s="232">
        <f t="shared" si="721"/>
        <v>20</v>
      </c>
      <c r="BX773" s="230">
        <f t="shared" si="737"/>
        <v>33</v>
      </c>
      <c r="BY773" s="235">
        <f t="shared" si="738"/>
        <v>4.4702678571428569</v>
      </c>
      <c r="BZ773" s="235" cm="1">
        <f t="array" ref="BZ773">$BI773 * IF($AH773&lt;=2,
SUMPRODUCT(INDEX($AR$62:$AT$66,,$AI773), INDEX($AU$62:$BA$66,,$AH773), 1 / ($BB$62:$BB$66*BY773 + (1-$BB$62:$BB$66)*BU773), N($AQ$62:$AQ$66&gt;$AO773)),
SUMPRODUCT(INDEX($AR$47:$AT$56,,$AI773), INDEX($AU$47:$BA$56,,$AH773), 1 / ($BC$47:$BC$56*BY773 + (1-$BC$47:$BC$56)*BU773), N($AQ$47:$AQ$56&gt;$AO773))
) / 1000</f>
        <v>0</v>
      </c>
      <c r="CA773" s="235" cm="1">
        <f t="array" ref="CA773">$BI773 * IF($AH773&lt;=2,
SUMPRODUCT(INDEX($AR$23:$AT$61,,$AI773), INDEX($AU$23:$BA$61,,$AH773), 1 / ($BB$23:$BB$61*BY773), N($AQ$23:$AQ$61&gt;$AO773)),
SUMPRODUCT(INDEX($AR$23:$AT$46,,$AI773), INDEX($AU$23:$BA$46,,$AH773), 1 / ($BC$23:$BC$46*BY773), N($AQ$23:$AQ$46&gt;$AO773))
) / 1000</f>
        <v>0</v>
      </c>
      <c r="CB773" s="230">
        <f t="shared" si="739"/>
        <v>0</v>
      </c>
      <c r="CC773" s="238"/>
      <c r="CD773" s="229" cm="1">
        <f t="array" ref="CD773">IF(ISBLANK(Y773), INDEX(Use, $AH773, 4) - AN773*INDEX(Use, $AH773, 6) - (Q773-X773), Y773)</f>
        <v>7</v>
      </c>
      <c r="CE773" s="229">
        <f t="shared" si="740"/>
        <v>32</v>
      </c>
      <c r="CF773" s="230">
        <f t="shared" si="741"/>
        <v>0</v>
      </c>
      <c r="CG773" s="229">
        <v>35</v>
      </c>
      <c r="CH773" s="230">
        <f t="shared" si="742"/>
        <v>48</v>
      </c>
      <c r="CI773" s="235">
        <f t="shared" si="743"/>
        <v>3.0748170731707316</v>
      </c>
      <c r="CJ773" s="235" cm="1">
        <f t="array" ref="CJ773">$BI773 * SUMPRODUCT(INDEX($AR$77:$AT$82,,$AI773),INDEX($AU$77:$BA$82,,$AH773), N($AQ$77:$AQ$82&gt;$AO773)) / CI773 / 1000</f>
        <v>0</v>
      </c>
      <c r="CK773" s="232">
        <f t="shared" si="722"/>
        <v>30</v>
      </c>
      <c r="CL773" s="230">
        <f t="shared" si="744"/>
        <v>43</v>
      </c>
      <c r="CM773" s="235">
        <f t="shared" si="745"/>
        <v>3.5018750000000001</v>
      </c>
      <c r="CN773" s="235" cm="1">
        <f t="array" ref="CN773">$BI773 * IF($AH773&lt;=2,
SUMPRODUCT(INDEX($AR$72:$AT$76,,$AI773), INDEX($AU$72:$BA$76,,$AH773), 1 / ($BB$72:$BB$76*CM773 + (1-$BB$72:$BB$76)*CI773), N($AQ$72:$AQ$76&gt;$AO773)),
SUMPRODUCT(INDEX($AR$67:$AT$76,,$AI773), INDEX($AU$67:$BA$76,,$AH773), 1 / ($BC$67:$BC$76*CM773 + (1-$BC$67:$BC$76)*CI773), N($AQ$67:$AQ$76&gt;$AO773))
) / 1000</f>
        <v>0</v>
      </c>
      <c r="CO773" s="232">
        <f t="shared" si="723"/>
        <v>25</v>
      </c>
      <c r="CP773" s="230">
        <f t="shared" si="746"/>
        <v>38</v>
      </c>
      <c r="CQ773" s="235">
        <f t="shared" si="747"/>
        <v>4.0666935483870965</v>
      </c>
      <c r="CR773" s="235" cm="1">
        <f t="array" ref="CR773">$BI773 * IF($AH773&lt;=2,
SUMPRODUCT(INDEX($AR$67:$AT$71,,$AI773), INDEX($AU$67:$BA$71,,$AH773), 1 / ($BB$67:$BB$71*CQ773 + (1-$BB$67:$BB$71)*CM773), N($AQ$67:$AQ$71&gt;$AO773)),
SUMPRODUCT(INDEX($AR$57:$AT$66,,$AI773), INDEX($AU$57:$BA$66,,$AH773), 1 / ($BC$57:$BC$66*CQ773 + (1-$BC$57:$BC$66)*CM773), N($AQ$57:$AQ$66&gt;$AO773))
) / 1000</f>
        <v>0</v>
      </c>
      <c r="CS773" s="232">
        <f t="shared" si="724"/>
        <v>20</v>
      </c>
      <c r="CT773" s="230">
        <f t="shared" si="748"/>
        <v>33</v>
      </c>
      <c r="CU773" s="235">
        <f t="shared" si="749"/>
        <v>4.8487499999999999</v>
      </c>
      <c r="CV773" s="235" cm="1">
        <f t="array" ref="CV773">$BI773 * IF($AH773&lt;=2,
SUMPRODUCT(INDEX($AR$62:$AT$66,,$AI773), INDEX($AU$62:$BA$66,,$AH773), 1 / ($BB$62:$BB$66*CU773 + (1-$BB$62:$BB$66)*CQ773), N($AQ$62:$AQ$66&gt;$AO773)),
SUMPRODUCT(INDEX($AR$47:$AT$56,,$AI773), INDEX($AU$47:$BA$56,,$AH773), 1 / ($BC$47:$BC$56*CU773 + (1-$BC$47:$BC$56)*CQ773), N($AQ$47:$AQ$56&gt;$AO773))
) / 1000</f>
        <v>0</v>
      </c>
      <c r="CW773" s="235" cm="1">
        <f t="array" ref="CW773">$BI773 * IF($AH773&lt;=2,
SUMPRODUCT(INDEX($AR$23:$AT$61,,$AI773), INDEX($AU$23:$BA$61,,$AH773), 1 / ($BB$23:$BB$61*CU773), N($AQ$23:$AQ$61&gt;$AO773)),
SUMPRODUCT(INDEX($AR$23:$AT$46,,$AI773), INDEX($AU$23:$BA$46,,$AH773), 1 / ($BC$23:$BC$46*CU773), N($AQ$23:$AQ$46&gt;$AO773))
) / 1000</f>
        <v>0</v>
      </c>
      <c r="CX773" s="230">
        <f t="shared" si="750"/>
        <v>0</v>
      </c>
      <c r="CY773" s="238"/>
    </row>
    <row r="774" spans="1:103" s="76" customFormat="1" ht="14.25" customHeight="1" x14ac:dyDescent="0.2">
      <c r="A774" s="231" t="b">
        <f t="shared" si="716"/>
        <v>0</v>
      </c>
      <c r="B774" s="245">
        <v>752</v>
      </c>
      <c r="C774" s="258"/>
      <c r="D774" s="258"/>
      <c r="E774" s="246"/>
      <c r="F774" s="247" t="str">
        <f>IF(ISBLANK(E774), "", VLOOKUP(E774, Z!$A$2:$C$4127, 3, FALSE))</f>
        <v/>
      </c>
      <c r="G774" s="248"/>
      <c r="H774" s="248"/>
      <c r="I774" s="249"/>
      <c r="J774" s="250"/>
      <c r="K774" s="259"/>
      <c r="L774" s="260"/>
      <c r="M774" s="252" t="str" cm="1">
        <f t="array" ref="M774">INDEX(Trad, 53, $A$20)</f>
        <v>Verschmutzt</v>
      </c>
      <c r="N774" s="253"/>
      <c r="O774" s="253"/>
      <c r="P774" s="254"/>
      <c r="Q774" s="251"/>
      <c r="R774" s="251"/>
      <c r="S774" s="264">
        <f t="shared" si="725"/>
        <v>0</v>
      </c>
      <c r="T774" s="252" t="str" cm="1">
        <f t="array" ref="T774">INDEX(Trad, 52, $A$20)</f>
        <v>Sauber</v>
      </c>
      <c r="U774" s="253"/>
      <c r="V774" s="253"/>
      <c r="W774" s="254"/>
      <c r="X774" s="251"/>
      <c r="Y774" s="251"/>
      <c r="Z774" s="264">
        <f t="shared" si="726"/>
        <v>0</v>
      </c>
      <c r="AA774" s="261"/>
      <c r="AB774" s="258"/>
      <c r="AC774" s="246"/>
      <c r="AD774" s="247" t="str">
        <f>IF(ISBLANK(AC774), "", VLOOKUP(AC774, Z!$A$2:$C$4127, 3, FALSE))</f>
        <v/>
      </c>
      <c r="AE774" s="262"/>
      <c r="AF774" s="263">
        <f t="shared" si="727"/>
        <v>0</v>
      </c>
      <c r="AG774" s="238"/>
      <c r="AH774" s="229">
        <f t="shared" si="751"/>
        <v>1</v>
      </c>
      <c r="AI774" s="229">
        <f t="shared" si="752"/>
        <v>1</v>
      </c>
      <c r="AJ774" s="229">
        <f t="shared" si="753"/>
        <v>0</v>
      </c>
      <c r="AK774" s="229">
        <v>0</v>
      </c>
      <c r="AL774" s="229">
        <v>0</v>
      </c>
      <c r="AM774" s="229">
        <v>1</v>
      </c>
      <c r="AN774" s="229">
        <v>0</v>
      </c>
      <c r="AO774" s="229">
        <f t="shared" si="728"/>
        <v>-100</v>
      </c>
      <c r="AP774" s="238"/>
      <c r="AQ774" s="255"/>
      <c r="AR774" s="255"/>
      <c r="AS774" s="256"/>
      <c r="AT774" s="256"/>
      <c r="AU774" s="256"/>
      <c r="AV774" s="256"/>
      <c r="AW774" s="256"/>
      <c r="AX774" s="256"/>
      <c r="AY774" s="256"/>
      <c r="AZ774" s="256"/>
      <c r="BA774" s="256"/>
      <c r="BB774" s="256"/>
      <c r="BC774" s="256"/>
      <c r="BD774" s="238"/>
      <c r="BE774" s="229" cm="1">
        <f t="array" ref="BE774">IF(ISBLANK(R774), INDEX(Use, $AH774, 4) - AM774*INDEX(Use, $AH774, 6), R774)</f>
        <v>5</v>
      </c>
      <c r="BF774" s="229">
        <f t="shared" si="729"/>
        <v>30</v>
      </c>
      <c r="BG774" s="229">
        <f t="shared" si="717"/>
        <v>13</v>
      </c>
      <c r="BH774" s="229">
        <f t="shared" si="718"/>
        <v>0</v>
      </c>
      <c r="BI774" s="234" cm="1">
        <f t="array" ref="BI774">K774/IF($L774&gt;0, INDEX($AU$23:$BA$77, $L774+20, $AH774), 1)</f>
        <v>0</v>
      </c>
      <c r="BJ774" s="230">
        <f t="shared" si="730"/>
        <v>0</v>
      </c>
      <c r="BK774" s="229">
        <v>35</v>
      </c>
      <c r="BL774" s="230">
        <f t="shared" si="731"/>
        <v>48</v>
      </c>
      <c r="BM774" s="235">
        <f t="shared" si="732"/>
        <v>2.9108720930232557</v>
      </c>
      <c r="BN774" s="235" cm="1">
        <f t="array" ref="BN774">$BI774 * SUMPRODUCT(INDEX($AR$77:$AT$82,,$AI774),INDEX($AU$77:$BA$82,,$AH774), N($AQ$77:$AQ$82&gt;$AO774)) / BM774 / 1000</f>
        <v>0</v>
      </c>
      <c r="BO774" s="232">
        <f t="shared" si="719"/>
        <v>30</v>
      </c>
      <c r="BP774" s="230">
        <f t="shared" si="733"/>
        <v>43</v>
      </c>
      <c r="BQ774" s="235">
        <f t="shared" si="734"/>
        <v>3.2938815789473681</v>
      </c>
      <c r="BR774" s="235" cm="1">
        <f t="array" ref="BR774">$BI774 * IF($AH774&lt;=2,
SUMPRODUCT(INDEX($AR$72:$AT$76,,$AI774), INDEX($AU$72:$BA$76,,$AH774), 1 / ($BB$72:$BB$76*BQ774 + (1-$BB$72:$BB$76)*BM774), N($AQ$72:$AQ$76&gt;$AO774)),
SUMPRODUCT(INDEX($AR$67:$AT$76,,$AI774), INDEX($AU$67:$BA$76,,$AH774), 1 / ($BC$67:$BC$76*BQ774 + (1-$BC$67:$BC$76)*BM774), N($AQ$67:$AQ$76&gt;$AO774))
) / 1000</f>
        <v>0</v>
      </c>
      <c r="BS774" s="232">
        <f t="shared" si="720"/>
        <v>25</v>
      </c>
      <c r="BT774" s="230">
        <f t="shared" si="735"/>
        <v>38</v>
      </c>
      <c r="BU774" s="235">
        <f t="shared" si="736"/>
        <v>3.792954545454545</v>
      </c>
      <c r="BV774" s="235" cm="1">
        <f t="array" ref="BV774">$BI774 * IF($AH774&lt;=2,
SUMPRODUCT(INDEX($AR$67:$AT$71,,$AI774), INDEX($AU$67:$BA$71,,$AH774), 1 / ($BB$67:$BB$71*BU774 + (1-$BB$67:$BB$71)*BQ774), N($AQ$67:$AQ$71&gt;$AO774)),
SUMPRODUCT(INDEX($AR$57:$AT$66,,$AI774), INDEX($AU$57:$BA$66,,$AH774), 1 / ($BC$57:$BC$66*BU774 + (1-$BC$57:$BC$66)*BQ774), N($AQ$57:$AQ$66&gt;$AO774))
) / 1000</f>
        <v>0</v>
      </c>
      <c r="BW774" s="232">
        <f t="shared" si="721"/>
        <v>20</v>
      </c>
      <c r="BX774" s="230">
        <f t="shared" si="737"/>
        <v>33</v>
      </c>
      <c r="BY774" s="235">
        <f t="shared" si="738"/>
        <v>4.4702678571428569</v>
      </c>
      <c r="BZ774" s="235" cm="1">
        <f t="array" ref="BZ774">$BI774 * IF($AH774&lt;=2,
SUMPRODUCT(INDEX($AR$62:$AT$66,,$AI774), INDEX($AU$62:$BA$66,,$AH774), 1 / ($BB$62:$BB$66*BY774 + (1-$BB$62:$BB$66)*BU774), N($AQ$62:$AQ$66&gt;$AO774)),
SUMPRODUCT(INDEX($AR$47:$AT$56,,$AI774), INDEX($AU$47:$BA$56,,$AH774), 1 / ($BC$47:$BC$56*BY774 + (1-$BC$47:$BC$56)*BU774), N($AQ$47:$AQ$56&gt;$AO774))
) / 1000</f>
        <v>0</v>
      </c>
      <c r="CA774" s="235" cm="1">
        <f t="array" ref="CA774">$BI774 * IF($AH774&lt;=2,
SUMPRODUCT(INDEX($AR$23:$AT$61,,$AI774), INDEX($AU$23:$BA$61,,$AH774), 1 / ($BB$23:$BB$61*BY774), N($AQ$23:$AQ$61&gt;$AO774)),
SUMPRODUCT(INDEX($AR$23:$AT$46,,$AI774), INDEX($AU$23:$BA$46,,$AH774), 1 / ($BC$23:$BC$46*BY774), N($AQ$23:$AQ$46&gt;$AO774))
) / 1000</f>
        <v>0</v>
      </c>
      <c r="CB774" s="230">
        <f t="shared" si="739"/>
        <v>0</v>
      </c>
      <c r="CC774" s="238"/>
      <c r="CD774" s="229" cm="1">
        <f t="array" ref="CD774">IF(ISBLANK(Y774), INDEX(Use, $AH774, 4) - AN774*INDEX(Use, $AH774, 6) - (Q774-X774), Y774)</f>
        <v>7</v>
      </c>
      <c r="CE774" s="229">
        <f t="shared" si="740"/>
        <v>32</v>
      </c>
      <c r="CF774" s="230">
        <f t="shared" si="741"/>
        <v>0</v>
      </c>
      <c r="CG774" s="229">
        <v>35</v>
      </c>
      <c r="CH774" s="230">
        <f t="shared" si="742"/>
        <v>48</v>
      </c>
      <c r="CI774" s="235">
        <f t="shared" si="743"/>
        <v>3.0748170731707316</v>
      </c>
      <c r="CJ774" s="235" cm="1">
        <f t="array" ref="CJ774">$BI774 * SUMPRODUCT(INDEX($AR$77:$AT$82,,$AI774),INDEX($AU$77:$BA$82,,$AH774), N($AQ$77:$AQ$82&gt;$AO774)) / CI774 / 1000</f>
        <v>0</v>
      </c>
      <c r="CK774" s="232">
        <f t="shared" si="722"/>
        <v>30</v>
      </c>
      <c r="CL774" s="230">
        <f t="shared" si="744"/>
        <v>43</v>
      </c>
      <c r="CM774" s="235">
        <f t="shared" si="745"/>
        <v>3.5018750000000001</v>
      </c>
      <c r="CN774" s="235" cm="1">
        <f t="array" ref="CN774">$BI774 * IF($AH774&lt;=2,
SUMPRODUCT(INDEX($AR$72:$AT$76,,$AI774), INDEX($AU$72:$BA$76,,$AH774), 1 / ($BB$72:$BB$76*CM774 + (1-$BB$72:$BB$76)*CI774), N($AQ$72:$AQ$76&gt;$AO774)),
SUMPRODUCT(INDEX($AR$67:$AT$76,,$AI774), INDEX($AU$67:$BA$76,,$AH774), 1 / ($BC$67:$BC$76*CM774 + (1-$BC$67:$BC$76)*CI774), N($AQ$67:$AQ$76&gt;$AO774))
) / 1000</f>
        <v>0</v>
      </c>
      <c r="CO774" s="232">
        <f t="shared" si="723"/>
        <v>25</v>
      </c>
      <c r="CP774" s="230">
        <f t="shared" si="746"/>
        <v>38</v>
      </c>
      <c r="CQ774" s="235">
        <f t="shared" si="747"/>
        <v>4.0666935483870965</v>
      </c>
      <c r="CR774" s="235" cm="1">
        <f t="array" ref="CR774">$BI774 * IF($AH774&lt;=2,
SUMPRODUCT(INDEX($AR$67:$AT$71,,$AI774), INDEX($AU$67:$BA$71,,$AH774), 1 / ($BB$67:$BB$71*CQ774 + (1-$BB$67:$BB$71)*CM774), N($AQ$67:$AQ$71&gt;$AO774)),
SUMPRODUCT(INDEX($AR$57:$AT$66,,$AI774), INDEX($AU$57:$BA$66,,$AH774), 1 / ($BC$57:$BC$66*CQ774 + (1-$BC$57:$BC$66)*CM774), N($AQ$57:$AQ$66&gt;$AO774))
) / 1000</f>
        <v>0</v>
      </c>
      <c r="CS774" s="232">
        <f t="shared" si="724"/>
        <v>20</v>
      </c>
      <c r="CT774" s="230">
        <f t="shared" si="748"/>
        <v>33</v>
      </c>
      <c r="CU774" s="235">
        <f t="shared" si="749"/>
        <v>4.8487499999999999</v>
      </c>
      <c r="CV774" s="235" cm="1">
        <f t="array" ref="CV774">$BI774 * IF($AH774&lt;=2,
SUMPRODUCT(INDEX($AR$62:$AT$66,,$AI774), INDEX($AU$62:$BA$66,,$AH774), 1 / ($BB$62:$BB$66*CU774 + (1-$BB$62:$BB$66)*CQ774), N($AQ$62:$AQ$66&gt;$AO774)),
SUMPRODUCT(INDEX($AR$47:$AT$56,,$AI774), INDEX($AU$47:$BA$56,,$AH774), 1 / ($BC$47:$BC$56*CU774 + (1-$BC$47:$BC$56)*CQ774), N($AQ$47:$AQ$56&gt;$AO774))
) / 1000</f>
        <v>0</v>
      </c>
      <c r="CW774" s="235" cm="1">
        <f t="array" ref="CW774">$BI774 * IF($AH774&lt;=2,
SUMPRODUCT(INDEX($AR$23:$AT$61,,$AI774), INDEX($AU$23:$BA$61,,$AH774), 1 / ($BB$23:$BB$61*CU774), N($AQ$23:$AQ$61&gt;$AO774)),
SUMPRODUCT(INDEX($AR$23:$AT$46,,$AI774), INDEX($AU$23:$BA$46,,$AH774), 1 / ($BC$23:$BC$46*CU774), N($AQ$23:$AQ$46&gt;$AO774))
) / 1000</f>
        <v>0</v>
      </c>
      <c r="CX774" s="230">
        <f t="shared" si="750"/>
        <v>0</v>
      </c>
      <c r="CY774" s="238"/>
    </row>
    <row r="775" spans="1:103" s="76" customFormat="1" ht="14.25" customHeight="1" x14ac:dyDescent="0.2">
      <c r="A775" s="231" t="b">
        <f t="shared" si="716"/>
        <v>0</v>
      </c>
      <c r="B775" s="245">
        <v>753</v>
      </c>
      <c r="C775" s="258"/>
      <c r="D775" s="258"/>
      <c r="E775" s="246"/>
      <c r="F775" s="247" t="str">
        <f>IF(ISBLANK(E775), "", VLOOKUP(E775, Z!$A$2:$C$4127, 3, FALSE))</f>
        <v/>
      </c>
      <c r="G775" s="248"/>
      <c r="H775" s="248"/>
      <c r="I775" s="249"/>
      <c r="J775" s="250"/>
      <c r="K775" s="259"/>
      <c r="L775" s="260"/>
      <c r="M775" s="252" t="str" cm="1">
        <f t="array" ref="M775">INDEX(Trad, 53, $A$20)</f>
        <v>Verschmutzt</v>
      </c>
      <c r="N775" s="253"/>
      <c r="O775" s="253"/>
      <c r="P775" s="254"/>
      <c r="Q775" s="251"/>
      <c r="R775" s="251"/>
      <c r="S775" s="264">
        <f t="shared" si="725"/>
        <v>0</v>
      </c>
      <c r="T775" s="252" t="str" cm="1">
        <f t="array" ref="T775">INDEX(Trad, 52, $A$20)</f>
        <v>Sauber</v>
      </c>
      <c r="U775" s="253"/>
      <c r="V775" s="253"/>
      <c r="W775" s="254"/>
      <c r="X775" s="251"/>
      <c r="Y775" s="251"/>
      <c r="Z775" s="264">
        <f t="shared" si="726"/>
        <v>0</v>
      </c>
      <c r="AA775" s="261"/>
      <c r="AB775" s="258"/>
      <c r="AC775" s="246"/>
      <c r="AD775" s="247" t="str">
        <f>IF(ISBLANK(AC775), "", VLOOKUP(AC775, Z!$A$2:$C$4127, 3, FALSE))</f>
        <v/>
      </c>
      <c r="AE775" s="262"/>
      <c r="AF775" s="263">
        <f t="shared" si="727"/>
        <v>0</v>
      </c>
      <c r="AG775" s="238"/>
      <c r="AH775" s="229">
        <f t="shared" si="751"/>
        <v>1</v>
      </c>
      <c r="AI775" s="229">
        <f t="shared" si="752"/>
        <v>1</v>
      </c>
      <c r="AJ775" s="229">
        <f t="shared" si="753"/>
        <v>0</v>
      </c>
      <c r="AK775" s="229">
        <v>0</v>
      </c>
      <c r="AL775" s="229">
        <v>0</v>
      </c>
      <c r="AM775" s="229">
        <v>1</v>
      </c>
      <c r="AN775" s="229">
        <v>0</v>
      </c>
      <c r="AO775" s="229">
        <f t="shared" si="728"/>
        <v>-100</v>
      </c>
      <c r="AP775" s="238"/>
      <c r="AQ775" s="255"/>
      <c r="AR775" s="255"/>
      <c r="AS775" s="256"/>
      <c r="AT775" s="256"/>
      <c r="AU775" s="256"/>
      <c r="AV775" s="256"/>
      <c r="AW775" s="256"/>
      <c r="AX775" s="256"/>
      <c r="AY775" s="256"/>
      <c r="AZ775" s="256"/>
      <c r="BA775" s="256"/>
      <c r="BB775" s="256"/>
      <c r="BC775" s="256"/>
      <c r="BD775" s="238"/>
      <c r="BE775" s="229" cm="1">
        <f t="array" ref="BE775">IF(ISBLANK(R775), INDEX(Use, $AH775, 4) - AM775*INDEX(Use, $AH775, 6), R775)</f>
        <v>5</v>
      </c>
      <c r="BF775" s="229">
        <f t="shared" si="729"/>
        <v>30</v>
      </c>
      <c r="BG775" s="229">
        <f t="shared" si="717"/>
        <v>13</v>
      </c>
      <c r="BH775" s="229">
        <f t="shared" si="718"/>
        <v>0</v>
      </c>
      <c r="BI775" s="234" cm="1">
        <f t="array" ref="BI775">K775/IF($L775&gt;0, INDEX($AU$23:$BA$77, $L775+20, $AH775), 1)</f>
        <v>0</v>
      </c>
      <c r="BJ775" s="230">
        <f t="shared" si="730"/>
        <v>0</v>
      </c>
      <c r="BK775" s="229">
        <v>35</v>
      </c>
      <c r="BL775" s="230">
        <f t="shared" si="731"/>
        <v>48</v>
      </c>
      <c r="BM775" s="235">
        <f t="shared" si="732"/>
        <v>2.9108720930232557</v>
      </c>
      <c r="BN775" s="235" cm="1">
        <f t="array" ref="BN775">$BI775 * SUMPRODUCT(INDEX($AR$77:$AT$82,,$AI775),INDEX($AU$77:$BA$82,,$AH775), N($AQ$77:$AQ$82&gt;$AO775)) / BM775 / 1000</f>
        <v>0</v>
      </c>
      <c r="BO775" s="232">
        <f t="shared" si="719"/>
        <v>30</v>
      </c>
      <c r="BP775" s="230">
        <f t="shared" si="733"/>
        <v>43</v>
      </c>
      <c r="BQ775" s="235">
        <f t="shared" si="734"/>
        <v>3.2938815789473681</v>
      </c>
      <c r="BR775" s="235" cm="1">
        <f t="array" ref="BR775">$BI775 * IF($AH775&lt;=2,
SUMPRODUCT(INDEX($AR$72:$AT$76,,$AI775), INDEX($AU$72:$BA$76,,$AH775), 1 / ($BB$72:$BB$76*BQ775 + (1-$BB$72:$BB$76)*BM775), N($AQ$72:$AQ$76&gt;$AO775)),
SUMPRODUCT(INDEX($AR$67:$AT$76,,$AI775), INDEX($AU$67:$BA$76,,$AH775), 1 / ($BC$67:$BC$76*BQ775 + (1-$BC$67:$BC$76)*BM775), N($AQ$67:$AQ$76&gt;$AO775))
) / 1000</f>
        <v>0</v>
      </c>
      <c r="BS775" s="232">
        <f t="shared" si="720"/>
        <v>25</v>
      </c>
      <c r="BT775" s="230">
        <f t="shared" si="735"/>
        <v>38</v>
      </c>
      <c r="BU775" s="235">
        <f t="shared" si="736"/>
        <v>3.792954545454545</v>
      </c>
      <c r="BV775" s="235" cm="1">
        <f t="array" ref="BV775">$BI775 * IF($AH775&lt;=2,
SUMPRODUCT(INDEX($AR$67:$AT$71,,$AI775), INDEX($AU$67:$BA$71,,$AH775), 1 / ($BB$67:$BB$71*BU775 + (1-$BB$67:$BB$71)*BQ775), N($AQ$67:$AQ$71&gt;$AO775)),
SUMPRODUCT(INDEX($AR$57:$AT$66,,$AI775), INDEX($AU$57:$BA$66,,$AH775), 1 / ($BC$57:$BC$66*BU775 + (1-$BC$57:$BC$66)*BQ775), N($AQ$57:$AQ$66&gt;$AO775))
) / 1000</f>
        <v>0</v>
      </c>
      <c r="BW775" s="232">
        <f t="shared" si="721"/>
        <v>20</v>
      </c>
      <c r="BX775" s="230">
        <f t="shared" si="737"/>
        <v>33</v>
      </c>
      <c r="BY775" s="235">
        <f t="shared" si="738"/>
        <v>4.4702678571428569</v>
      </c>
      <c r="BZ775" s="235" cm="1">
        <f t="array" ref="BZ775">$BI775 * IF($AH775&lt;=2,
SUMPRODUCT(INDEX($AR$62:$AT$66,,$AI775), INDEX($AU$62:$BA$66,,$AH775), 1 / ($BB$62:$BB$66*BY775 + (1-$BB$62:$BB$66)*BU775), N($AQ$62:$AQ$66&gt;$AO775)),
SUMPRODUCT(INDEX($AR$47:$AT$56,,$AI775), INDEX($AU$47:$BA$56,,$AH775), 1 / ($BC$47:$BC$56*BY775 + (1-$BC$47:$BC$56)*BU775), N($AQ$47:$AQ$56&gt;$AO775))
) / 1000</f>
        <v>0</v>
      </c>
      <c r="CA775" s="235" cm="1">
        <f t="array" ref="CA775">$BI775 * IF($AH775&lt;=2,
SUMPRODUCT(INDEX($AR$23:$AT$61,,$AI775), INDEX($AU$23:$BA$61,,$AH775), 1 / ($BB$23:$BB$61*BY775), N($AQ$23:$AQ$61&gt;$AO775)),
SUMPRODUCT(INDEX($AR$23:$AT$46,,$AI775), INDEX($AU$23:$BA$46,,$AH775), 1 / ($BC$23:$BC$46*BY775), N($AQ$23:$AQ$46&gt;$AO775))
) / 1000</f>
        <v>0</v>
      </c>
      <c r="CB775" s="230">
        <f t="shared" si="739"/>
        <v>0</v>
      </c>
      <c r="CC775" s="238"/>
      <c r="CD775" s="229" cm="1">
        <f t="array" ref="CD775">IF(ISBLANK(Y775), INDEX(Use, $AH775, 4) - AN775*INDEX(Use, $AH775, 6) - (Q775-X775), Y775)</f>
        <v>7</v>
      </c>
      <c r="CE775" s="229">
        <f t="shared" si="740"/>
        <v>32</v>
      </c>
      <c r="CF775" s="230">
        <f t="shared" si="741"/>
        <v>0</v>
      </c>
      <c r="CG775" s="229">
        <v>35</v>
      </c>
      <c r="CH775" s="230">
        <f t="shared" si="742"/>
        <v>48</v>
      </c>
      <c r="CI775" s="235">
        <f t="shared" si="743"/>
        <v>3.0748170731707316</v>
      </c>
      <c r="CJ775" s="235" cm="1">
        <f t="array" ref="CJ775">$BI775 * SUMPRODUCT(INDEX($AR$77:$AT$82,,$AI775),INDEX($AU$77:$BA$82,,$AH775), N($AQ$77:$AQ$82&gt;$AO775)) / CI775 / 1000</f>
        <v>0</v>
      </c>
      <c r="CK775" s="232">
        <f t="shared" si="722"/>
        <v>30</v>
      </c>
      <c r="CL775" s="230">
        <f t="shared" si="744"/>
        <v>43</v>
      </c>
      <c r="CM775" s="235">
        <f t="shared" si="745"/>
        <v>3.5018750000000001</v>
      </c>
      <c r="CN775" s="235" cm="1">
        <f t="array" ref="CN775">$BI775 * IF($AH775&lt;=2,
SUMPRODUCT(INDEX($AR$72:$AT$76,,$AI775), INDEX($AU$72:$BA$76,,$AH775), 1 / ($BB$72:$BB$76*CM775 + (1-$BB$72:$BB$76)*CI775), N($AQ$72:$AQ$76&gt;$AO775)),
SUMPRODUCT(INDEX($AR$67:$AT$76,,$AI775), INDEX($AU$67:$BA$76,,$AH775), 1 / ($BC$67:$BC$76*CM775 + (1-$BC$67:$BC$76)*CI775), N($AQ$67:$AQ$76&gt;$AO775))
) / 1000</f>
        <v>0</v>
      </c>
      <c r="CO775" s="232">
        <f t="shared" si="723"/>
        <v>25</v>
      </c>
      <c r="CP775" s="230">
        <f t="shared" si="746"/>
        <v>38</v>
      </c>
      <c r="CQ775" s="235">
        <f t="shared" si="747"/>
        <v>4.0666935483870965</v>
      </c>
      <c r="CR775" s="235" cm="1">
        <f t="array" ref="CR775">$BI775 * IF($AH775&lt;=2,
SUMPRODUCT(INDEX($AR$67:$AT$71,,$AI775), INDEX($AU$67:$BA$71,,$AH775), 1 / ($BB$67:$BB$71*CQ775 + (1-$BB$67:$BB$71)*CM775), N($AQ$67:$AQ$71&gt;$AO775)),
SUMPRODUCT(INDEX($AR$57:$AT$66,,$AI775), INDEX($AU$57:$BA$66,,$AH775), 1 / ($BC$57:$BC$66*CQ775 + (1-$BC$57:$BC$66)*CM775), N($AQ$57:$AQ$66&gt;$AO775))
) / 1000</f>
        <v>0</v>
      </c>
      <c r="CS775" s="232">
        <f t="shared" si="724"/>
        <v>20</v>
      </c>
      <c r="CT775" s="230">
        <f t="shared" si="748"/>
        <v>33</v>
      </c>
      <c r="CU775" s="235">
        <f t="shared" si="749"/>
        <v>4.8487499999999999</v>
      </c>
      <c r="CV775" s="235" cm="1">
        <f t="array" ref="CV775">$BI775 * IF($AH775&lt;=2,
SUMPRODUCT(INDEX($AR$62:$AT$66,,$AI775), INDEX($AU$62:$BA$66,,$AH775), 1 / ($BB$62:$BB$66*CU775 + (1-$BB$62:$BB$66)*CQ775), N($AQ$62:$AQ$66&gt;$AO775)),
SUMPRODUCT(INDEX($AR$47:$AT$56,,$AI775), INDEX($AU$47:$BA$56,,$AH775), 1 / ($BC$47:$BC$56*CU775 + (1-$BC$47:$BC$56)*CQ775), N($AQ$47:$AQ$56&gt;$AO775))
) / 1000</f>
        <v>0</v>
      </c>
      <c r="CW775" s="235" cm="1">
        <f t="array" ref="CW775">$BI775 * IF($AH775&lt;=2,
SUMPRODUCT(INDEX($AR$23:$AT$61,,$AI775), INDEX($AU$23:$BA$61,,$AH775), 1 / ($BB$23:$BB$61*CU775), N($AQ$23:$AQ$61&gt;$AO775)),
SUMPRODUCT(INDEX($AR$23:$AT$46,,$AI775), INDEX($AU$23:$BA$46,,$AH775), 1 / ($BC$23:$BC$46*CU775), N($AQ$23:$AQ$46&gt;$AO775))
) / 1000</f>
        <v>0</v>
      </c>
      <c r="CX775" s="230">
        <f t="shared" si="750"/>
        <v>0</v>
      </c>
      <c r="CY775" s="238"/>
    </row>
    <row r="776" spans="1:103" s="76" customFormat="1" ht="14.25" customHeight="1" x14ac:dyDescent="0.2">
      <c r="A776" s="231" t="b">
        <f t="shared" si="716"/>
        <v>0</v>
      </c>
      <c r="B776" s="245">
        <v>754</v>
      </c>
      <c r="C776" s="258"/>
      <c r="D776" s="258"/>
      <c r="E776" s="246"/>
      <c r="F776" s="247" t="str">
        <f>IF(ISBLANK(E776), "", VLOOKUP(E776, Z!$A$2:$C$4127, 3, FALSE))</f>
        <v/>
      </c>
      <c r="G776" s="248"/>
      <c r="H776" s="248"/>
      <c r="I776" s="249"/>
      <c r="J776" s="250"/>
      <c r="K776" s="259"/>
      <c r="L776" s="260"/>
      <c r="M776" s="252" t="str" cm="1">
        <f t="array" ref="M776">INDEX(Trad, 53, $A$20)</f>
        <v>Verschmutzt</v>
      </c>
      <c r="N776" s="253"/>
      <c r="O776" s="253"/>
      <c r="P776" s="254"/>
      <c r="Q776" s="251"/>
      <c r="R776" s="251"/>
      <c r="S776" s="264">
        <f t="shared" si="725"/>
        <v>0</v>
      </c>
      <c r="T776" s="252" t="str" cm="1">
        <f t="array" ref="T776">INDEX(Trad, 52, $A$20)</f>
        <v>Sauber</v>
      </c>
      <c r="U776" s="253"/>
      <c r="V776" s="253"/>
      <c r="W776" s="254"/>
      <c r="X776" s="251"/>
      <c r="Y776" s="251"/>
      <c r="Z776" s="264">
        <f t="shared" si="726"/>
        <v>0</v>
      </c>
      <c r="AA776" s="261"/>
      <c r="AB776" s="258"/>
      <c r="AC776" s="246"/>
      <c r="AD776" s="247" t="str">
        <f>IF(ISBLANK(AC776), "", VLOOKUP(AC776, Z!$A$2:$C$4127, 3, FALSE))</f>
        <v/>
      </c>
      <c r="AE776" s="262"/>
      <c r="AF776" s="263">
        <f t="shared" si="727"/>
        <v>0</v>
      </c>
      <c r="AG776" s="238"/>
      <c r="AH776" s="229">
        <f t="shared" si="751"/>
        <v>1</v>
      </c>
      <c r="AI776" s="229">
        <f t="shared" si="752"/>
        <v>1</v>
      </c>
      <c r="AJ776" s="229">
        <f t="shared" si="753"/>
        <v>0</v>
      </c>
      <c r="AK776" s="229">
        <v>0</v>
      </c>
      <c r="AL776" s="229">
        <v>0</v>
      </c>
      <c r="AM776" s="229">
        <v>1</v>
      </c>
      <c r="AN776" s="229">
        <v>0</v>
      </c>
      <c r="AO776" s="229">
        <f t="shared" si="728"/>
        <v>-100</v>
      </c>
      <c r="AP776" s="238"/>
      <c r="AQ776" s="255"/>
      <c r="AR776" s="255"/>
      <c r="AS776" s="256"/>
      <c r="AT776" s="256"/>
      <c r="AU776" s="256"/>
      <c r="AV776" s="256"/>
      <c r="AW776" s="256"/>
      <c r="AX776" s="256"/>
      <c r="AY776" s="256"/>
      <c r="AZ776" s="256"/>
      <c r="BA776" s="256"/>
      <c r="BB776" s="256"/>
      <c r="BC776" s="256"/>
      <c r="BD776" s="238"/>
      <c r="BE776" s="229" cm="1">
        <f t="array" ref="BE776">IF(ISBLANK(R776), INDEX(Use, $AH776, 4) - AM776*INDEX(Use, $AH776, 6), R776)</f>
        <v>5</v>
      </c>
      <c r="BF776" s="229">
        <f t="shared" si="729"/>
        <v>30</v>
      </c>
      <c r="BG776" s="229">
        <f t="shared" si="717"/>
        <v>13</v>
      </c>
      <c r="BH776" s="229">
        <f t="shared" si="718"/>
        <v>0</v>
      </c>
      <c r="BI776" s="234" cm="1">
        <f t="array" ref="BI776">K776/IF($L776&gt;0, INDEX($AU$23:$BA$77, $L776+20, $AH776), 1)</f>
        <v>0</v>
      </c>
      <c r="BJ776" s="230">
        <f t="shared" si="730"/>
        <v>0</v>
      </c>
      <c r="BK776" s="229">
        <v>35</v>
      </c>
      <c r="BL776" s="230">
        <f t="shared" si="731"/>
        <v>48</v>
      </c>
      <c r="BM776" s="235">
        <f t="shared" si="732"/>
        <v>2.9108720930232557</v>
      </c>
      <c r="BN776" s="235" cm="1">
        <f t="array" ref="BN776">$BI776 * SUMPRODUCT(INDEX($AR$77:$AT$82,,$AI776),INDEX($AU$77:$BA$82,,$AH776), N($AQ$77:$AQ$82&gt;$AO776)) / BM776 / 1000</f>
        <v>0</v>
      </c>
      <c r="BO776" s="232">
        <f t="shared" si="719"/>
        <v>30</v>
      </c>
      <c r="BP776" s="230">
        <f t="shared" si="733"/>
        <v>43</v>
      </c>
      <c r="BQ776" s="235">
        <f t="shared" si="734"/>
        <v>3.2938815789473681</v>
      </c>
      <c r="BR776" s="235" cm="1">
        <f t="array" ref="BR776">$BI776 * IF($AH776&lt;=2,
SUMPRODUCT(INDEX($AR$72:$AT$76,,$AI776), INDEX($AU$72:$BA$76,,$AH776), 1 / ($BB$72:$BB$76*BQ776 + (1-$BB$72:$BB$76)*BM776), N($AQ$72:$AQ$76&gt;$AO776)),
SUMPRODUCT(INDEX($AR$67:$AT$76,,$AI776), INDEX($AU$67:$BA$76,,$AH776), 1 / ($BC$67:$BC$76*BQ776 + (1-$BC$67:$BC$76)*BM776), N($AQ$67:$AQ$76&gt;$AO776))
) / 1000</f>
        <v>0</v>
      </c>
      <c r="BS776" s="232">
        <f t="shared" si="720"/>
        <v>25</v>
      </c>
      <c r="BT776" s="230">
        <f t="shared" si="735"/>
        <v>38</v>
      </c>
      <c r="BU776" s="235">
        <f t="shared" si="736"/>
        <v>3.792954545454545</v>
      </c>
      <c r="BV776" s="235" cm="1">
        <f t="array" ref="BV776">$BI776 * IF($AH776&lt;=2,
SUMPRODUCT(INDEX($AR$67:$AT$71,,$AI776), INDEX($AU$67:$BA$71,,$AH776), 1 / ($BB$67:$BB$71*BU776 + (1-$BB$67:$BB$71)*BQ776), N($AQ$67:$AQ$71&gt;$AO776)),
SUMPRODUCT(INDEX($AR$57:$AT$66,,$AI776), INDEX($AU$57:$BA$66,,$AH776), 1 / ($BC$57:$BC$66*BU776 + (1-$BC$57:$BC$66)*BQ776), N($AQ$57:$AQ$66&gt;$AO776))
) / 1000</f>
        <v>0</v>
      </c>
      <c r="BW776" s="232">
        <f t="shared" si="721"/>
        <v>20</v>
      </c>
      <c r="BX776" s="230">
        <f t="shared" si="737"/>
        <v>33</v>
      </c>
      <c r="BY776" s="235">
        <f t="shared" si="738"/>
        <v>4.4702678571428569</v>
      </c>
      <c r="BZ776" s="235" cm="1">
        <f t="array" ref="BZ776">$BI776 * IF($AH776&lt;=2,
SUMPRODUCT(INDEX($AR$62:$AT$66,,$AI776), INDEX($AU$62:$BA$66,,$AH776), 1 / ($BB$62:$BB$66*BY776 + (1-$BB$62:$BB$66)*BU776), N($AQ$62:$AQ$66&gt;$AO776)),
SUMPRODUCT(INDEX($AR$47:$AT$56,,$AI776), INDEX($AU$47:$BA$56,,$AH776), 1 / ($BC$47:$BC$56*BY776 + (1-$BC$47:$BC$56)*BU776), N($AQ$47:$AQ$56&gt;$AO776))
) / 1000</f>
        <v>0</v>
      </c>
      <c r="CA776" s="235" cm="1">
        <f t="array" ref="CA776">$BI776 * IF($AH776&lt;=2,
SUMPRODUCT(INDEX($AR$23:$AT$61,,$AI776), INDEX($AU$23:$BA$61,,$AH776), 1 / ($BB$23:$BB$61*BY776), N($AQ$23:$AQ$61&gt;$AO776)),
SUMPRODUCT(INDEX($AR$23:$AT$46,,$AI776), INDEX($AU$23:$BA$46,,$AH776), 1 / ($BC$23:$BC$46*BY776), N($AQ$23:$AQ$46&gt;$AO776))
) / 1000</f>
        <v>0</v>
      </c>
      <c r="CB776" s="230">
        <f t="shared" si="739"/>
        <v>0</v>
      </c>
      <c r="CC776" s="238"/>
      <c r="CD776" s="229" cm="1">
        <f t="array" ref="CD776">IF(ISBLANK(Y776), INDEX(Use, $AH776, 4) - AN776*INDEX(Use, $AH776, 6) - (Q776-X776), Y776)</f>
        <v>7</v>
      </c>
      <c r="CE776" s="229">
        <f t="shared" si="740"/>
        <v>32</v>
      </c>
      <c r="CF776" s="230">
        <f t="shared" si="741"/>
        <v>0</v>
      </c>
      <c r="CG776" s="229">
        <v>35</v>
      </c>
      <c r="CH776" s="230">
        <f t="shared" si="742"/>
        <v>48</v>
      </c>
      <c r="CI776" s="235">
        <f t="shared" si="743"/>
        <v>3.0748170731707316</v>
      </c>
      <c r="CJ776" s="235" cm="1">
        <f t="array" ref="CJ776">$BI776 * SUMPRODUCT(INDEX($AR$77:$AT$82,,$AI776),INDEX($AU$77:$BA$82,,$AH776), N($AQ$77:$AQ$82&gt;$AO776)) / CI776 / 1000</f>
        <v>0</v>
      </c>
      <c r="CK776" s="232">
        <f t="shared" si="722"/>
        <v>30</v>
      </c>
      <c r="CL776" s="230">
        <f t="shared" si="744"/>
        <v>43</v>
      </c>
      <c r="CM776" s="235">
        <f t="shared" si="745"/>
        <v>3.5018750000000001</v>
      </c>
      <c r="CN776" s="235" cm="1">
        <f t="array" ref="CN776">$BI776 * IF($AH776&lt;=2,
SUMPRODUCT(INDEX($AR$72:$AT$76,,$AI776), INDEX($AU$72:$BA$76,,$AH776), 1 / ($BB$72:$BB$76*CM776 + (1-$BB$72:$BB$76)*CI776), N($AQ$72:$AQ$76&gt;$AO776)),
SUMPRODUCT(INDEX($AR$67:$AT$76,,$AI776), INDEX($AU$67:$BA$76,,$AH776), 1 / ($BC$67:$BC$76*CM776 + (1-$BC$67:$BC$76)*CI776), N($AQ$67:$AQ$76&gt;$AO776))
) / 1000</f>
        <v>0</v>
      </c>
      <c r="CO776" s="232">
        <f t="shared" si="723"/>
        <v>25</v>
      </c>
      <c r="CP776" s="230">
        <f t="shared" si="746"/>
        <v>38</v>
      </c>
      <c r="CQ776" s="235">
        <f t="shared" si="747"/>
        <v>4.0666935483870965</v>
      </c>
      <c r="CR776" s="235" cm="1">
        <f t="array" ref="CR776">$BI776 * IF($AH776&lt;=2,
SUMPRODUCT(INDEX($AR$67:$AT$71,,$AI776), INDEX($AU$67:$BA$71,,$AH776), 1 / ($BB$67:$BB$71*CQ776 + (1-$BB$67:$BB$71)*CM776), N($AQ$67:$AQ$71&gt;$AO776)),
SUMPRODUCT(INDEX($AR$57:$AT$66,,$AI776), INDEX($AU$57:$BA$66,,$AH776), 1 / ($BC$57:$BC$66*CQ776 + (1-$BC$57:$BC$66)*CM776), N($AQ$57:$AQ$66&gt;$AO776))
) / 1000</f>
        <v>0</v>
      </c>
      <c r="CS776" s="232">
        <f t="shared" si="724"/>
        <v>20</v>
      </c>
      <c r="CT776" s="230">
        <f t="shared" si="748"/>
        <v>33</v>
      </c>
      <c r="CU776" s="235">
        <f t="shared" si="749"/>
        <v>4.8487499999999999</v>
      </c>
      <c r="CV776" s="235" cm="1">
        <f t="array" ref="CV776">$BI776 * IF($AH776&lt;=2,
SUMPRODUCT(INDEX($AR$62:$AT$66,,$AI776), INDEX($AU$62:$BA$66,,$AH776), 1 / ($BB$62:$BB$66*CU776 + (1-$BB$62:$BB$66)*CQ776), N($AQ$62:$AQ$66&gt;$AO776)),
SUMPRODUCT(INDEX($AR$47:$AT$56,,$AI776), INDEX($AU$47:$BA$56,,$AH776), 1 / ($BC$47:$BC$56*CU776 + (1-$BC$47:$BC$56)*CQ776), N($AQ$47:$AQ$56&gt;$AO776))
) / 1000</f>
        <v>0</v>
      </c>
      <c r="CW776" s="235" cm="1">
        <f t="array" ref="CW776">$BI776 * IF($AH776&lt;=2,
SUMPRODUCT(INDEX($AR$23:$AT$61,,$AI776), INDEX($AU$23:$BA$61,,$AH776), 1 / ($BB$23:$BB$61*CU776), N($AQ$23:$AQ$61&gt;$AO776)),
SUMPRODUCT(INDEX($AR$23:$AT$46,,$AI776), INDEX($AU$23:$BA$46,,$AH776), 1 / ($BC$23:$BC$46*CU776), N($AQ$23:$AQ$46&gt;$AO776))
) / 1000</f>
        <v>0</v>
      </c>
      <c r="CX776" s="230">
        <f t="shared" si="750"/>
        <v>0</v>
      </c>
      <c r="CY776" s="238"/>
    </row>
    <row r="777" spans="1:103" s="76" customFormat="1" ht="14.25" customHeight="1" x14ac:dyDescent="0.2">
      <c r="A777" s="231" t="b">
        <f t="shared" si="716"/>
        <v>0</v>
      </c>
      <c r="B777" s="245">
        <v>755</v>
      </c>
      <c r="C777" s="258"/>
      <c r="D777" s="258"/>
      <c r="E777" s="246"/>
      <c r="F777" s="247" t="str">
        <f>IF(ISBLANK(E777), "", VLOOKUP(E777, Z!$A$2:$C$4127, 3, FALSE))</f>
        <v/>
      </c>
      <c r="G777" s="248"/>
      <c r="H777" s="248"/>
      <c r="I777" s="249"/>
      <c r="J777" s="250"/>
      <c r="K777" s="259"/>
      <c r="L777" s="260"/>
      <c r="M777" s="252" t="str" cm="1">
        <f t="array" ref="M777">INDEX(Trad, 53, $A$20)</f>
        <v>Verschmutzt</v>
      </c>
      <c r="N777" s="253"/>
      <c r="O777" s="253"/>
      <c r="P777" s="254"/>
      <c r="Q777" s="251"/>
      <c r="R777" s="251"/>
      <c r="S777" s="264">
        <f t="shared" si="725"/>
        <v>0</v>
      </c>
      <c r="T777" s="252" t="str" cm="1">
        <f t="array" ref="T777">INDEX(Trad, 52, $A$20)</f>
        <v>Sauber</v>
      </c>
      <c r="U777" s="253"/>
      <c r="V777" s="253"/>
      <c r="W777" s="254"/>
      <c r="X777" s="251"/>
      <c r="Y777" s="251"/>
      <c r="Z777" s="264">
        <f t="shared" si="726"/>
        <v>0</v>
      </c>
      <c r="AA777" s="261"/>
      <c r="AB777" s="258"/>
      <c r="AC777" s="246"/>
      <c r="AD777" s="247" t="str">
        <f>IF(ISBLANK(AC777), "", VLOOKUP(AC777, Z!$A$2:$C$4127, 3, FALSE))</f>
        <v/>
      </c>
      <c r="AE777" s="262"/>
      <c r="AF777" s="263">
        <f t="shared" si="727"/>
        <v>0</v>
      </c>
      <c r="AG777" s="238"/>
      <c r="AH777" s="229">
        <f t="shared" si="751"/>
        <v>1</v>
      </c>
      <c r="AI777" s="229">
        <f t="shared" si="752"/>
        <v>1</v>
      </c>
      <c r="AJ777" s="229">
        <f t="shared" si="753"/>
        <v>0</v>
      </c>
      <c r="AK777" s="229">
        <v>0</v>
      </c>
      <c r="AL777" s="229">
        <v>0</v>
      </c>
      <c r="AM777" s="229">
        <v>1</v>
      </c>
      <c r="AN777" s="229">
        <v>0</v>
      </c>
      <c r="AO777" s="229">
        <f t="shared" si="728"/>
        <v>-100</v>
      </c>
      <c r="AP777" s="238"/>
      <c r="AQ777" s="255"/>
      <c r="AR777" s="255"/>
      <c r="AS777" s="256"/>
      <c r="AT777" s="256"/>
      <c r="AU777" s="256"/>
      <c r="AV777" s="256"/>
      <c r="AW777" s="256"/>
      <c r="AX777" s="256"/>
      <c r="AY777" s="256"/>
      <c r="AZ777" s="256"/>
      <c r="BA777" s="256"/>
      <c r="BB777" s="256"/>
      <c r="BC777" s="256"/>
      <c r="BD777" s="238"/>
      <c r="BE777" s="229" cm="1">
        <f t="array" ref="BE777">IF(ISBLANK(R777), INDEX(Use, $AH777, 4) - AM777*INDEX(Use, $AH777, 6), R777)</f>
        <v>5</v>
      </c>
      <c r="BF777" s="229">
        <f t="shared" si="729"/>
        <v>30</v>
      </c>
      <c r="BG777" s="229">
        <f t="shared" si="717"/>
        <v>13</v>
      </c>
      <c r="BH777" s="229">
        <f t="shared" si="718"/>
        <v>0</v>
      </c>
      <c r="BI777" s="234" cm="1">
        <f t="array" ref="BI777">K777/IF($L777&gt;0, INDEX($AU$23:$BA$77, $L777+20, $AH777), 1)</f>
        <v>0</v>
      </c>
      <c r="BJ777" s="230">
        <f t="shared" si="730"/>
        <v>0</v>
      </c>
      <c r="BK777" s="229">
        <v>35</v>
      </c>
      <c r="BL777" s="230">
        <f t="shared" si="731"/>
        <v>48</v>
      </c>
      <c r="BM777" s="235">
        <f t="shared" si="732"/>
        <v>2.9108720930232557</v>
      </c>
      <c r="BN777" s="235" cm="1">
        <f t="array" ref="BN777">$BI777 * SUMPRODUCT(INDEX($AR$77:$AT$82,,$AI777),INDEX($AU$77:$BA$82,,$AH777), N($AQ$77:$AQ$82&gt;$AO777)) / BM777 / 1000</f>
        <v>0</v>
      </c>
      <c r="BO777" s="232">
        <f t="shared" si="719"/>
        <v>30</v>
      </c>
      <c r="BP777" s="230">
        <f t="shared" si="733"/>
        <v>43</v>
      </c>
      <c r="BQ777" s="235">
        <f t="shared" si="734"/>
        <v>3.2938815789473681</v>
      </c>
      <c r="BR777" s="235" cm="1">
        <f t="array" ref="BR777">$BI777 * IF($AH777&lt;=2,
SUMPRODUCT(INDEX($AR$72:$AT$76,,$AI777), INDEX($AU$72:$BA$76,,$AH777), 1 / ($BB$72:$BB$76*BQ777 + (1-$BB$72:$BB$76)*BM777), N($AQ$72:$AQ$76&gt;$AO777)),
SUMPRODUCT(INDEX($AR$67:$AT$76,,$AI777), INDEX($AU$67:$BA$76,,$AH777), 1 / ($BC$67:$BC$76*BQ777 + (1-$BC$67:$BC$76)*BM777), N($AQ$67:$AQ$76&gt;$AO777))
) / 1000</f>
        <v>0</v>
      </c>
      <c r="BS777" s="232">
        <f t="shared" si="720"/>
        <v>25</v>
      </c>
      <c r="BT777" s="230">
        <f t="shared" si="735"/>
        <v>38</v>
      </c>
      <c r="BU777" s="235">
        <f t="shared" si="736"/>
        <v>3.792954545454545</v>
      </c>
      <c r="BV777" s="235" cm="1">
        <f t="array" ref="BV777">$BI777 * IF($AH777&lt;=2,
SUMPRODUCT(INDEX($AR$67:$AT$71,,$AI777), INDEX($AU$67:$BA$71,,$AH777), 1 / ($BB$67:$BB$71*BU777 + (1-$BB$67:$BB$71)*BQ777), N($AQ$67:$AQ$71&gt;$AO777)),
SUMPRODUCT(INDEX($AR$57:$AT$66,,$AI777), INDEX($AU$57:$BA$66,,$AH777), 1 / ($BC$57:$BC$66*BU777 + (1-$BC$57:$BC$66)*BQ777), N($AQ$57:$AQ$66&gt;$AO777))
) / 1000</f>
        <v>0</v>
      </c>
      <c r="BW777" s="232">
        <f t="shared" si="721"/>
        <v>20</v>
      </c>
      <c r="BX777" s="230">
        <f t="shared" si="737"/>
        <v>33</v>
      </c>
      <c r="BY777" s="235">
        <f t="shared" si="738"/>
        <v>4.4702678571428569</v>
      </c>
      <c r="BZ777" s="235" cm="1">
        <f t="array" ref="BZ777">$BI777 * IF($AH777&lt;=2,
SUMPRODUCT(INDEX($AR$62:$AT$66,,$AI777), INDEX($AU$62:$BA$66,,$AH777), 1 / ($BB$62:$BB$66*BY777 + (1-$BB$62:$BB$66)*BU777), N($AQ$62:$AQ$66&gt;$AO777)),
SUMPRODUCT(INDEX($AR$47:$AT$56,,$AI777), INDEX($AU$47:$BA$56,,$AH777), 1 / ($BC$47:$BC$56*BY777 + (1-$BC$47:$BC$56)*BU777), N($AQ$47:$AQ$56&gt;$AO777))
) / 1000</f>
        <v>0</v>
      </c>
      <c r="CA777" s="235" cm="1">
        <f t="array" ref="CA777">$BI777 * IF($AH777&lt;=2,
SUMPRODUCT(INDEX($AR$23:$AT$61,,$AI777), INDEX($AU$23:$BA$61,,$AH777), 1 / ($BB$23:$BB$61*BY777), N($AQ$23:$AQ$61&gt;$AO777)),
SUMPRODUCT(INDEX($AR$23:$AT$46,,$AI777), INDEX($AU$23:$BA$46,,$AH777), 1 / ($BC$23:$BC$46*BY777), N($AQ$23:$AQ$46&gt;$AO777))
) / 1000</f>
        <v>0</v>
      </c>
      <c r="CB777" s="230">
        <f t="shared" si="739"/>
        <v>0</v>
      </c>
      <c r="CC777" s="238"/>
      <c r="CD777" s="229" cm="1">
        <f t="array" ref="CD777">IF(ISBLANK(Y777), INDEX(Use, $AH777, 4) - AN777*INDEX(Use, $AH777, 6) - (Q777-X777), Y777)</f>
        <v>7</v>
      </c>
      <c r="CE777" s="229">
        <f t="shared" si="740"/>
        <v>32</v>
      </c>
      <c r="CF777" s="230">
        <f t="shared" si="741"/>
        <v>0</v>
      </c>
      <c r="CG777" s="229">
        <v>35</v>
      </c>
      <c r="CH777" s="230">
        <f t="shared" si="742"/>
        <v>48</v>
      </c>
      <c r="CI777" s="235">
        <f t="shared" si="743"/>
        <v>3.0748170731707316</v>
      </c>
      <c r="CJ777" s="235" cm="1">
        <f t="array" ref="CJ777">$BI777 * SUMPRODUCT(INDEX($AR$77:$AT$82,,$AI777),INDEX($AU$77:$BA$82,,$AH777), N($AQ$77:$AQ$82&gt;$AO777)) / CI777 / 1000</f>
        <v>0</v>
      </c>
      <c r="CK777" s="232">
        <f t="shared" si="722"/>
        <v>30</v>
      </c>
      <c r="CL777" s="230">
        <f t="shared" si="744"/>
        <v>43</v>
      </c>
      <c r="CM777" s="235">
        <f t="shared" si="745"/>
        <v>3.5018750000000001</v>
      </c>
      <c r="CN777" s="235" cm="1">
        <f t="array" ref="CN777">$BI777 * IF($AH777&lt;=2,
SUMPRODUCT(INDEX($AR$72:$AT$76,,$AI777), INDEX($AU$72:$BA$76,,$AH777), 1 / ($BB$72:$BB$76*CM777 + (1-$BB$72:$BB$76)*CI777), N($AQ$72:$AQ$76&gt;$AO777)),
SUMPRODUCT(INDEX($AR$67:$AT$76,,$AI777), INDEX($AU$67:$BA$76,,$AH777), 1 / ($BC$67:$BC$76*CM777 + (1-$BC$67:$BC$76)*CI777), N($AQ$67:$AQ$76&gt;$AO777))
) / 1000</f>
        <v>0</v>
      </c>
      <c r="CO777" s="232">
        <f t="shared" si="723"/>
        <v>25</v>
      </c>
      <c r="CP777" s="230">
        <f t="shared" si="746"/>
        <v>38</v>
      </c>
      <c r="CQ777" s="235">
        <f t="shared" si="747"/>
        <v>4.0666935483870965</v>
      </c>
      <c r="CR777" s="235" cm="1">
        <f t="array" ref="CR777">$BI777 * IF($AH777&lt;=2,
SUMPRODUCT(INDEX($AR$67:$AT$71,,$AI777), INDEX($AU$67:$BA$71,,$AH777), 1 / ($BB$67:$BB$71*CQ777 + (1-$BB$67:$BB$71)*CM777), N($AQ$67:$AQ$71&gt;$AO777)),
SUMPRODUCT(INDEX($AR$57:$AT$66,,$AI777), INDEX($AU$57:$BA$66,,$AH777), 1 / ($BC$57:$BC$66*CQ777 + (1-$BC$57:$BC$66)*CM777), N($AQ$57:$AQ$66&gt;$AO777))
) / 1000</f>
        <v>0</v>
      </c>
      <c r="CS777" s="232">
        <f t="shared" si="724"/>
        <v>20</v>
      </c>
      <c r="CT777" s="230">
        <f t="shared" si="748"/>
        <v>33</v>
      </c>
      <c r="CU777" s="235">
        <f t="shared" si="749"/>
        <v>4.8487499999999999</v>
      </c>
      <c r="CV777" s="235" cm="1">
        <f t="array" ref="CV777">$BI777 * IF($AH777&lt;=2,
SUMPRODUCT(INDEX($AR$62:$AT$66,,$AI777), INDEX($AU$62:$BA$66,,$AH777), 1 / ($BB$62:$BB$66*CU777 + (1-$BB$62:$BB$66)*CQ777), N($AQ$62:$AQ$66&gt;$AO777)),
SUMPRODUCT(INDEX($AR$47:$AT$56,,$AI777), INDEX($AU$47:$BA$56,,$AH777), 1 / ($BC$47:$BC$56*CU777 + (1-$BC$47:$BC$56)*CQ777), N($AQ$47:$AQ$56&gt;$AO777))
) / 1000</f>
        <v>0</v>
      </c>
      <c r="CW777" s="235" cm="1">
        <f t="array" ref="CW777">$BI777 * IF($AH777&lt;=2,
SUMPRODUCT(INDEX($AR$23:$AT$61,,$AI777), INDEX($AU$23:$BA$61,,$AH777), 1 / ($BB$23:$BB$61*CU777), N($AQ$23:$AQ$61&gt;$AO777)),
SUMPRODUCT(INDEX($AR$23:$AT$46,,$AI777), INDEX($AU$23:$BA$46,,$AH777), 1 / ($BC$23:$BC$46*CU777), N($AQ$23:$AQ$46&gt;$AO777))
) / 1000</f>
        <v>0</v>
      </c>
      <c r="CX777" s="230">
        <f t="shared" si="750"/>
        <v>0</v>
      </c>
      <c r="CY777" s="238"/>
    </row>
    <row r="778" spans="1:103" s="76" customFormat="1" ht="14.25" customHeight="1" x14ac:dyDescent="0.2">
      <c r="A778" s="231" t="b">
        <f t="shared" si="716"/>
        <v>0</v>
      </c>
      <c r="B778" s="245">
        <v>756</v>
      </c>
      <c r="C778" s="258"/>
      <c r="D778" s="258"/>
      <c r="E778" s="246"/>
      <c r="F778" s="247" t="str">
        <f>IF(ISBLANK(E778), "", VLOOKUP(E778, Z!$A$2:$C$4127, 3, FALSE))</f>
        <v/>
      </c>
      <c r="G778" s="248"/>
      <c r="H778" s="248"/>
      <c r="I778" s="249"/>
      <c r="J778" s="250"/>
      <c r="K778" s="259"/>
      <c r="L778" s="260"/>
      <c r="M778" s="252" t="str" cm="1">
        <f t="array" ref="M778">INDEX(Trad, 53, $A$20)</f>
        <v>Verschmutzt</v>
      </c>
      <c r="N778" s="253"/>
      <c r="O778" s="253"/>
      <c r="P778" s="254"/>
      <c r="Q778" s="251"/>
      <c r="R778" s="251"/>
      <c r="S778" s="264">
        <f t="shared" si="725"/>
        <v>0</v>
      </c>
      <c r="T778" s="252" t="str" cm="1">
        <f t="array" ref="T778">INDEX(Trad, 52, $A$20)</f>
        <v>Sauber</v>
      </c>
      <c r="U778" s="253"/>
      <c r="V778" s="253"/>
      <c r="W778" s="254"/>
      <c r="X778" s="251"/>
      <c r="Y778" s="251"/>
      <c r="Z778" s="264">
        <f t="shared" si="726"/>
        <v>0</v>
      </c>
      <c r="AA778" s="261"/>
      <c r="AB778" s="258"/>
      <c r="AC778" s="246"/>
      <c r="AD778" s="247" t="str">
        <f>IF(ISBLANK(AC778), "", VLOOKUP(AC778, Z!$A$2:$C$4127, 3, FALSE))</f>
        <v/>
      </c>
      <c r="AE778" s="262"/>
      <c r="AF778" s="263">
        <f t="shared" si="727"/>
        <v>0</v>
      </c>
      <c r="AG778" s="238"/>
      <c r="AH778" s="229">
        <f t="shared" si="751"/>
        <v>1</v>
      </c>
      <c r="AI778" s="229">
        <f t="shared" si="752"/>
        <v>1</v>
      </c>
      <c r="AJ778" s="229">
        <f t="shared" si="753"/>
        <v>0</v>
      </c>
      <c r="AK778" s="229">
        <v>0</v>
      </c>
      <c r="AL778" s="229">
        <v>0</v>
      </c>
      <c r="AM778" s="229">
        <v>1</v>
      </c>
      <c r="AN778" s="229">
        <v>0</v>
      </c>
      <c r="AO778" s="229">
        <f t="shared" si="728"/>
        <v>-100</v>
      </c>
      <c r="AP778" s="238"/>
      <c r="AQ778" s="255"/>
      <c r="AR778" s="255"/>
      <c r="AS778" s="256"/>
      <c r="AT778" s="256"/>
      <c r="AU778" s="256"/>
      <c r="AV778" s="256"/>
      <c r="AW778" s="256"/>
      <c r="AX778" s="256"/>
      <c r="AY778" s="256"/>
      <c r="AZ778" s="256"/>
      <c r="BA778" s="256"/>
      <c r="BB778" s="256"/>
      <c r="BC778" s="256"/>
      <c r="BD778" s="238"/>
      <c r="BE778" s="229" cm="1">
        <f t="array" ref="BE778">IF(ISBLANK(R778), INDEX(Use, $AH778, 4) - AM778*INDEX(Use, $AH778, 6), R778)</f>
        <v>5</v>
      </c>
      <c r="BF778" s="229">
        <f t="shared" si="729"/>
        <v>30</v>
      </c>
      <c r="BG778" s="229">
        <f t="shared" si="717"/>
        <v>13</v>
      </c>
      <c r="BH778" s="229">
        <f t="shared" si="718"/>
        <v>0</v>
      </c>
      <c r="BI778" s="234" cm="1">
        <f t="array" ref="BI778">K778/IF($L778&gt;0, INDEX($AU$23:$BA$77, $L778+20, $AH778), 1)</f>
        <v>0</v>
      </c>
      <c r="BJ778" s="230">
        <f t="shared" si="730"/>
        <v>0</v>
      </c>
      <c r="BK778" s="229">
        <v>35</v>
      </c>
      <c r="BL778" s="230">
        <f t="shared" si="731"/>
        <v>48</v>
      </c>
      <c r="BM778" s="235">
        <f t="shared" si="732"/>
        <v>2.9108720930232557</v>
      </c>
      <c r="BN778" s="235" cm="1">
        <f t="array" ref="BN778">$BI778 * SUMPRODUCT(INDEX($AR$77:$AT$82,,$AI778),INDEX($AU$77:$BA$82,,$AH778), N($AQ$77:$AQ$82&gt;$AO778)) / BM778 / 1000</f>
        <v>0</v>
      </c>
      <c r="BO778" s="232">
        <f t="shared" si="719"/>
        <v>30</v>
      </c>
      <c r="BP778" s="230">
        <f t="shared" si="733"/>
        <v>43</v>
      </c>
      <c r="BQ778" s="235">
        <f t="shared" si="734"/>
        <v>3.2938815789473681</v>
      </c>
      <c r="BR778" s="235" cm="1">
        <f t="array" ref="BR778">$BI778 * IF($AH778&lt;=2,
SUMPRODUCT(INDEX($AR$72:$AT$76,,$AI778), INDEX($AU$72:$BA$76,,$AH778), 1 / ($BB$72:$BB$76*BQ778 + (1-$BB$72:$BB$76)*BM778), N($AQ$72:$AQ$76&gt;$AO778)),
SUMPRODUCT(INDEX($AR$67:$AT$76,,$AI778), INDEX($AU$67:$BA$76,,$AH778), 1 / ($BC$67:$BC$76*BQ778 + (1-$BC$67:$BC$76)*BM778), N($AQ$67:$AQ$76&gt;$AO778))
) / 1000</f>
        <v>0</v>
      </c>
      <c r="BS778" s="232">
        <f t="shared" si="720"/>
        <v>25</v>
      </c>
      <c r="BT778" s="230">
        <f t="shared" si="735"/>
        <v>38</v>
      </c>
      <c r="BU778" s="235">
        <f t="shared" si="736"/>
        <v>3.792954545454545</v>
      </c>
      <c r="BV778" s="235" cm="1">
        <f t="array" ref="BV778">$BI778 * IF($AH778&lt;=2,
SUMPRODUCT(INDEX($AR$67:$AT$71,,$AI778), INDEX($AU$67:$BA$71,,$AH778), 1 / ($BB$67:$BB$71*BU778 + (1-$BB$67:$BB$71)*BQ778), N($AQ$67:$AQ$71&gt;$AO778)),
SUMPRODUCT(INDEX($AR$57:$AT$66,,$AI778), INDEX($AU$57:$BA$66,,$AH778), 1 / ($BC$57:$BC$66*BU778 + (1-$BC$57:$BC$66)*BQ778), N($AQ$57:$AQ$66&gt;$AO778))
) / 1000</f>
        <v>0</v>
      </c>
      <c r="BW778" s="232">
        <f t="shared" si="721"/>
        <v>20</v>
      </c>
      <c r="BX778" s="230">
        <f t="shared" si="737"/>
        <v>33</v>
      </c>
      <c r="BY778" s="235">
        <f t="shared" si="738"/>
        <v>4.4702678571428569</v>
      </c>
      <c r="BZ778" s="235" cm="1">
        <f t="array" ref="BZ778">$BI778 * IF($AH778&lt;=2,
SUMPRODUCT(INDEX($AR$62:$AT$66,,$AI778), INDEX($AU$62:$BA$66,,$AH778), 1 / ($BB$62:$BB$66*BY778 + (1-$BB$62:$BB$66)*BU778), N($AQ$62:$AQ$66&gt;$AO778)),
SUMPRODUCT(INDEX($AR$47:$AT$56,,$AI778), INDEX($AU$47:$BA$56,,$AH778), 1 / ($BC$47:$BC$56*BY778 + (1-$BC$47:$BC$56)*BU778), N($AQ$47:$AQ$56&gt;$AO778))
) / 1000</f>
        <v>0</v>
      </c>
      <c r="CA778" s="235" cm="1">
        <f t="array" ref="CA778">$BI778 * IF($AH778&lt;=2,
SUMPRODUCT(INDEX($AR$23:$AT$61,,$AI778), INDEX($AU$23:$BA$61,,$AH778), 1 / ($BB$23:$BB$61*BY778), N($AQ$23:$AQ$61&gt;$AO778)),
SUMPRODUCT(INDEX($AR$23:$AT$46,,$AI778), INDEX($AU$23:$BA$46,,$AH778), 1 / ($BC$23:$BC$46*BY778), N($AQ$23:$AQ$46&gt;$AO778))
) / 1000</f>
        <v>0</v>
      </c>
      <c r="CB778" s="230">
        <f t="shared" si="739"/>
        <v>0</v>
      </c>
      <c r="CC778" s="238"/>
      <c r="CD778" s="229" cm="1">
        <f t="array" ref="CD778">IF(ISBLANK(Y778), INDEX(Use, $AH778, 4) - AN778*INDEX(Use, $AH778, 6) - (Q778-X778), Y778)</f>
        <v>7</v>
      </c>
      <c r="CE778" s="229">
        <f t="shared" si="740"/>
        <v>32</v>
      </c>
      <c r="CF778" s="230">
        <f t="shared" si="741"/>
        <v>0</v>
      </c>
      <c r="CG778" s="229">
        <v>35</v>
      </c>
      <c r="CH778" s="230">
        <f t="shared" si="742"/>
        <v>48</v>
      </c>
      <c r="CI778" s="235">
        <f t="shared" si="743"/>
        <v>3.0748170731707316</v>
      </c>
      <c r="CJ778" s="235" cm="1">
        <f t="array" ref="CJ778">$BI778 * SUMPRODUCT(INDEX($AR$77:$AT$82,,$AI778),INDEX($AU$77:$BA$82,,$AH778), N($AQ$77:$AQ$82&gt;$AO778)) / CI778 / 1000</f>
        <v>0</v>
      </c>
      <c r="CK778" s="232">
        <f t="shared" si="722"/>
        <v>30</v>
      </c>
      <c r="CL778" s="230">
        <f t="shared" si="744"/>
        <v>43</v>
      </c>
      <c r="CM778" s="235">
        <f t="shared" si="745"/>
        <v>3.5018750000000001</v>
      </c>
      <c r="CN778" s="235" cm="1">
        <f t="array" ref="CN778">$BI778 * IF($AH778&lt;=2,
SUMPRODUCT(INDEX($AR$72:$AT$76,,$AI778), INDEX($AU$72:$BA$76,,$AH778), 1 / ($BB$72:$BB$76*CM778 + (1-$BB$72:$BB$76)*CI778), N($AQ$72:$AQ$76&gt;$AO778)),
SUMPRODUCT(INDEX($AR$67:$AT$76,,$AI778), INDEX($AU$67:$BA$76,,$AH778), 1 / ($BC$67:$BC$76*CM778 + (1-$BC$67:$BC$76)*CI778), N($AQ$67:$AQ$76&gt;$AO778))
) / 1000</f>
        <v>0</v>
      </c>
      <c r="CO778" s="232">
        <f t="shared" si="723"/>
        <v>25</v>
      </c>
      <c r="CP778" s="230">
        <f t="shared" si="746"/>
        <v>38</v>
      </c>
      <c r="CQ778" s="235">
        <f t="shared" si="747"/>
        <v>4.0666935483870965</v>
      </c>
      <c r="CR778" s="235" cm="1">
        <f t="array" ref="CR778">$BI778 * IF($AH778&lt;=2,
SUMPRODUCT(INDEX($AR$67:$AT$71,,$AI778), INDEX($AU$67:$BA$71,,$AH778), 1 / ($BB$67:$BB$71*CQ778 + (1-$BB$67:$BB$71)*CM778), N($AQ$67:$AQ$71&gt;$AO778)),
SUMPRODUCT(INDEX($AR$57:$AT$66,,$AI778), INDEX($AU$57:$BA$66,,$AH778), 1 / ($BC$57:$BC$66*CQ778 + (1-$BC$57:$BC$66)*CM778), N($AQ$57:$AQ$66&gt;$AO778))
) / 1000</f>
        <v>0</v>
      </c>
      <c r="CS778" s="232">
        <f t="shared" si="724"/>
        <v>20</v>
      </c>
      <c r="CT778" s="230">
        <f t="shared" si="748"/>
        <v>33</v>
      </c>
      <c r="CU778" s="235">
        <f t="shared" si="749"/>
        <v>4.8487499999999999</v>
      </c>
      <c r="CV778" s="235" cm="1">
        <f t="array" ref="CV778">$BI778 * IF($AH778&lt;=2,
SUMPRODUCT(INDEX($AR$62:$AT$66,,$AI778), INDEX($AU$62:$BA$66,,$AH778), 1 / ($BB$62:$BB$66*CU778 + (1-$BB$62:$BB$66)*CQ778), N($AQ$62:$AQ$66&gt;$AO778)),
SUMPRODUCT(INDEX($AR$47:$AT$56,,$AI778), INDEX($AU$47:$BA$56,,$AH778), 1 / ($BC$47:$BC$56*CU778 + (1-$BC$47:$BC$56)*CQ778), N($AQ$47:$AQ$56&gt;$AO778))
) / 1000</f>
        <v>0</v>
      </c>
      <c r="CW778" s="235" cm="1">
        <f t="array" ref="CW778">$BI778 * IF($AH778&lt;=2,
SUMPRODUCT(INDEX($AR$23:$AT$61,,$AI778), INDEX($AU$23:$BA$61,,$AH778), 1 / ($BB$23:$BB$61*CU778), N($AQ$23:$AQ$61&gt;$AO778)),
SUMPRODUCT(INDEX($AR$23:$AT$46,,$AI778), INDEX($AU$23:$BA$46,,$AH778), 1 / ($BC$23:$BC$46*CU778), N($AQ$23:$AQ$46&gt;$AO778))
) / 1000</f>
        <v>0</v>
      </c>
      <c r="CX778" s="230">
        <f t="shared" si="750"/>
        <v>0</v>
      </c>
      <c r="CY778" s="238"/>
    </row>
    <row r="779" spans="1:103" s="76" customFormat="1" ht="14.25" customHeight="1" x14ac:dyDescent="0.2">
      <c r="A779" s="231" t="b">
        <f t="shared" si="716"/>
        <v>0</v>
      </c>
      <c r="B779" s="245">
        <v>757</v>
      </c>
      <c r="C779" s="258"/>
      <c r="D779" s="258"/>
      <c r="E779" s="246"/>
      <c r="F779" s="247" t="str">
        <f>IF(ISBLANK(E779), "", VLOOKUP(E779, Z!$A$2:$C$4127, 3, FALSE))</f>
        <v/>
      </c>
      <c r="G779" s="248"/>
      <c r="H779" s="248"/>
      <c r="I779" s="249"/>
      <c r="J779" s="250"/>
      <c r="K779" s="259"/>
      <c r="L779" s="260"/>
      <c r="M779" s="252" t="str" cm="1">
        <f t="array" ref="M779">INDEX(Trad, 53, $A$20)</f>
        <v>Verschmutzt</v>
      </c>
      <c r="N779" s="253"/>
      <c r="O779" s="253"/>
      <c r="P779" s="254"/>
      <c r="Q779" s="251"/>
      <c r="R779" s="251"/>
      <c r="S779" s="264">
        <f t="shared" si="725"/>
        <v>0</v>
      </c>
      <c r="T779" s="252" t="str" cm="1">
        <f t="array" ref="T779">INDEX(Trad, 52, $A$20)</f>
        <v>Sauber</v>
      </c>
      <c r="U779" s="253"/>
      <c r="V779" s="253"/>
      <c r="W779" s="254"/>
      <c r="X779" s="251"/>
      <c r="Y779" s="251"/>
      <c r="Z779" s="264">
        <f t="shared" si="726"/>
        <v>0</v>
      </c>
      <c r="AA779" s="261"/>
      <c r="AB779" s="258"/>
      <c r="AC779" s="246"/>
      <c r="AD779" s="247" t="str">
        <f>IF(ISBLANK(AC779), "", VLOOKUP(AC779, Z!$A$2:$C$4127, 3, FALSE))</f>
        <v/>
      </c>
      <c r="AE779" s="262"/>
      <c r="AF779" s="263">
        <f t="shared" si="727"/>
        <v>0</v>
      </c>
      <c r="AG779" s="238"/>
      <c r="AH779" s="229">
        <f t="shared" si="751"/>
        <v>1</v>
      </c>
      <c r="AI779" s="229">
        <f t="shared" si="752"/>
        <v>1</v>
      </c>
      <c r="AJ779" s="229">
        <f t="shared" si="753"/>
        <v>0</v>
      </c>
      <c r="AK779" s="229">
        <v>0</v>
      </c>
      <c r="AL779" s="229">
        <v>0</v>
      </c>
      <c r="AM779" s="229">
        <v>1</v>
      </c>
      <c r="AN779" s="229">
        <v>0</v>
      </c>
      <c r="AO779" s="229">
        <f t="shared" si="728"/>
        <v>-100</v>
      </c>
      <c r="AP779" s="238"/>
      <c r="AQ779" s="255"/>
      <c r="AR779" s="255"/>
      <c r="AS779" s="256"/>
      <c r="AT779" s="256"/>
      <c r="AU779" s="256"/>
      <c r="AV779" s="256"/>
      <c r="AW779" s="256"/>
      <c r="AX779" s="256"/>
      <c r="AY779" s="256"/>
      <c r="AZ779" s="256"/>
      <c r="BA779" s="256"/>
      <c r="BB779" s="256"/>
      <c r="BC779" s="256"/>
      <c r="BD779" s="238"/>
      <c r="BE779" s="229" cm="1">
        <f t="array" ref="BE779">IF(ISBLANK(R779), INDEX(Use, $AH779, 4) - AM779*INDEX(Use, $AH779, 6), R779)</f>
        <v>5</v>
      </c>
      <c r="BF779" s="229">
        <f t="shared" si="729"/>
        <v>30</v>
      </c>
      <c r="BG779" s="229">
        <f t="shared" si="717"/>
        <v>13</v>
      </c>
      <c r="BH779" s="229">
        <f t="shared" si="718"/>
        <v>0</v>
      </c>
      <c r="BI779" s="234" cm="1">
        <f t="array" ref="BI779">K779/IF($L779&gt;0, INDEX($AU$23:$BA$77, $L779+20, $AH779), 1)</f>
        <v>0</v>
      </c>
      <c r="BJ779" s="230">
        <f t="shared" si="730"/>
        <v>0</v>
      </c>
      <c r="BK779" s="229">
        <v>35</v>
      </c>
      <c r="BL779" s="230">
        <f t="shared" si="731"/>
        <v>48</v>
      </c>
      <c r="BM779" s="235">
        <f t="shared" si="732"/>
        <v>2.9108720930232557</v>
      </c>
      <c r="BN779" s="235" cm="1">
        <f t="array" ref="BN779">$BI779 * SUMPRODUCT(INDEX($AR$77:$AT$82,,$AI779),INDEX($AU$77:$BA$82,,$AH779), N($AQ$77:$AQ$82&gt;$AO779)) / BM779 / 1000</f>
        <v>0</v>
      </c>
      <c r="BO779" s="232">
        <f t="shared" si="719"/>
        <v>30</v>
      </c>
      <c r="BP779" s="230">
        <f t="shared" si="733"/>
        <v>43</v>
      </c>
      <c r="BQ779" s="235">
        <f t="shared" si="734"/>
        <v>3.2938815789473681</v>
      </c>
      <c r="BR779" s="235" cm="1">
        <f t="array" ref="BR779">$BI779 * IF($AH779&lt;=2,
SUMPRODUCT(INDEX($AR$72:$AT$76,,$AI779), INDEX($AU$72:$BA$76,,$AH779), 1 / ($BB$72:$BB$76*BQ779 + (1-$BB$72:$BB$76)*BM779), N($AQ$72:$AQ$76&gt;$AO779)),
SUMPRODUCT(INDEX($AR$67:$AT$76,,$AI779), INDEX($AU$67:$BA$76,,$AH779), 1 / ($BC$67:$BC$76*BQ779 + (1-$BC$67:$BC$76)*BM779), N($AQ$67:$AQ$76&gt;$AO779))
) / 1000</f>
        <v>0</v>
      </c>
      <c r="BS779" s="232">
        <f t="shared" si="720"/>
        <v>25</v>
      </c>
      <c r="BT779" s="230">
        <f t="shared" si="735"/>
        <v>38</v>
      </c>
      <c r="BU779" s="235">
        <f t="shared" si="736"/>
        <v>3.792954545454545</v>
      </c>
      <c r="BV779" s="235" cm="1">
        <f t="array" ref="BV779">$BI779 * IF($AH779&lt;=2,
SUMPRODUCT(INDEX($AR$67:$AT$71,,$AI779), INDEX($AU$67:$BA$71,,$AH779), 1 / ($BB$67:$BB$71*BU779 + (1-$BB$67:$BB$71)*BQ779), N($AQ$67:$AQ$71&gt;$AO779)),
SUMPRODUCT(INDEX($AR$57:$AT$66,,$AI779), INDEX($AU$57:$BA$66,,$AH779), 1 / ($BC$57:$BC$66*BU779 + (1-$BC$57:$BC$66)*BQ779), N($AQ$57:$AQ$66&gt;$AO779))
) / 1000</f>
        <v>0</v>
      </c>
      <c r="BW779" s="232">
        <f t="shared" si="721"/>
        <v>20</v>
      </c>
      <c r="BX779" s="230">
        <f t="shared" si="737"/>
        <v>33</v>
      </c>
      <c r="BY779" s="235">
        <f t="shared" si="738"/>
        <v>4.4702678571428569</v>
      </c>
      <c r="BZ779" s="235" cm="1">
        <f t="array" ref="BZ779">$BI779 * IF($AH779&lt;=2,
SUMPRODUCT(INDEX($AR$62:$AT$66,,$AI779), INDEX($AU$62:$BA$66,,$AH779), 1 / ($BB$62:$BB$66*BY779 + (1-$BB$62:$BB$66)*BU779), N($AQ$62:$AQ$66&gt;$AO779)),
SUMPRODUCT(INDEX($AR$47:$AT$56,,$AI779), INDEX($AU$47:$BA$56,,$AH779), 1 / ($BC$47:$BC$56*BY779 + (1-$BC$47:$BC$56)*BU779), N($AQ$47:$AQ$56&gt;$AO779))
) / 1000</f>
        <v>0</v>
      </c>
      <c r="CA779" s="235" cm="1">
        <f t="array" ref="CA779">$BI779 * IF($AH779&lt;=2,
SUMPRODUCT(INDEX($AR$23:$AT$61,,$AI779), INDEX($AU$23:$BA$61,,$AH779), 1 / ($BB$23:$BB$61*BY779), N($AQ$23:$AQ$61&gt;$AO779)),
SUMPRODUCT(INDEX($AR$23:$AT$46,,$AI779), INDEX($AU$23:$BA$46,,$AH779), 1 / ($BC$23:$BC$46*BY779), N($AQ$23:$AQ$46&gt;$AO779))
) / 1000</f>
        <v>0</v>
      </c>
      <c r="CB779" s="230">
        <f t="shared" si="739"/>
        <v>0</v>
      </c>
      <c r="CC779" s="238"/>
      <c r="CD779" s="229" cm="1">
        <f t="array" ref="CD779">IF(ISBLANK(Y779), INDEX(Use, $AH779, 4) - AN779*INDEX(Use, $AH779, 6) - (Q779-X779), Y779)</f>
        <v>7</v>
      </c>
      <c r="CE779" s="229">
        <f t="shared" si="740"/>
        <v>32</v>
      </c>
      <c r="CF779" s="230">
        <f t="shared" si="741"/>
        <v>0</v>
      </c>
      <c r="CG779" s="229">
        <v>35</v>
      </c>
      <c r="CH779" s="230">
        <f t="shared" si="742"/>
        <v>48</v>
      </c>
      <c r="CI779" s="235">
        <f t="shared" si="743"/>
        <v>3.0748170731707316</v>
      </c>
      <c r="CJ779" s="235" cm="1">
        <f t="array" ref="CJ779">$BI779 * SUMPRODUCT(INDEX($AR$77:$AT$82,,$AI779),INDEX($AU$77:$BA$82,,$AH779), N($AQ$77:$AQ$82&gt;$AO779)) / CI779 / 1000</f>
        <v>0</v>
      </c>
      <c r="CK779" s="232">
        <f t="shared" si="722"/>
        <v>30</v>
      </c>
      <c r="CL779" s="230">
        <f t="shared" si="744"/>
        <v>43</v>
      </c>
      <c r="CM779" s="235">
        <f t="shared" si="745"/>
        <v>3.5018750000000001</v>
      </c>
      <c r="CN779" s="235" cm="1">
        <f t="array" ref="CN779">$BI779 * IF($AH779&lt;=2,
SUMPRODUCT(INDEX($AR$72:$AT$76,,$AI779), INDEX($AU$72:$BA$76,,$AH779), 1 / ($BB$72:$BB$76*CM779 + (1-$BB$72:$BB$76)*CI779), N($AQ$72:$AQ$76&gt;$AO779)),
SUMPRODUCT(INDEX($AR$67:$AT$76,,$AI779), INDEX($AU$67:$BA$76,,$AH779), 1 / ($BC$67:$BC$76*CM779 + (1-$BC$67:$BC$76)*CI779), N($AQ$67:$AQ$76&gt;$AO779))
) / 1000</f>
        <v>0</v>
      </c>
      <c r="CO779" s="232">
        <f t="shared" si="723"/>
        <v>25</v>
      </c>
      <c r="CP779" s="230">
        <f t="shared" si="746"/>
        <v>38</v>
      </c>
      <c r="CQ779" s="235">
        <f t="shared" si="747"/>
        <v>4.0666935483870965</v>
      </c>
      <c r="CR779" s="235" cm="1">
        <f t="array" ref="CR779">$BI779 * IF($AH779&lt;=2,
SUMPRODUCT(INDEX($AR$67:$AT$71,,$AI779), INDEX($AU$67:$BA$71,,$AH779), 1 / ($BB$67:$BB$71*CQ779 + (1-$BB$67:$BB$71)*CM779), N($AQ$67:$AQ$71&gt;$AO779)),
SUMPRODUCT(INDEX($AR$57:$AT$66,,$AI779), INDEX($AU$57:$BA$66,,$AH779), 1 / ($BC$57:$BC$66*CQ779 + (1-$BC$57:$BC$66)*CM779), N($AQ$57:$AQ$66&gt;$AO779))
) / 1000</f>
        <v>0</v>
      </c>
      <c r="CS779" s="232">
        <f t="shared" si="724"/>
        <v>20</v>
      </c>
      <c r="CT779" s="230">
        <f t="shared" si="748"/>
        <v>33</v>
      </c>
      <c r="CU779" s="235">
        <f t="shared" si="749"/>
        <v>4.8487499999999999</v>
      </c>
      <c r="CV779" s="235" cm="1">
        <f t="array" ref="CV779">$BI779 * IF($AH779&lt;=2,
SUMPRODUCT(INDEX($AR$62:$AT$66,,$AI779), INDEX($AU$62:$BA$66,,$AH779), 1 / ($BB$62:$BB$66*CU779 + (1-$BB$62:$BB$66)*CQ779), N($AQ$62:$AQ$66&gt;$AO779)),
SUMPRODUCT(INDEX($AR$47:$AT$56,,$AI779), INDEX($AU$47:$BA$56,,$AH779), 1 / ($BC$47:$BC$56*CU779 + (1-$BC$47:$BC$56)*CQ779), N($AQ$47:$AQ$56&gt;$AO779))
) / 1000</f>
        <v>0</v>
      </c>
      <c r="CW779" s="235" cm="1">
        <f t="array" ref="CW779">$BI779 * IF($AH779&lt;=2,
SUMPRODUCT(INDEX($AR$23:$AT$61,,$AI779), INDEX($AU$23:$BA$61,,$AH779), 1 / ($BB$23:$BB$61*CU779), N($AQ$23:$AQ$61&gt;$AO779)),
SUMPRODUCT(INDEX($AR$23:$AT$46,,$AI779), INDEX($AU$23:$BA$46,,$AH779), 1 / ($BC$23:$BC$46*CU779), N($AQ$23:$AQ$46&gt;$AO779))
) / 1000</f>
        <v>0</v>
      </c>
      <c r="CX779" s="230">
        <f t="shared" si="750"/>
        <v>0</v>
      </c>
      <c r="CY779" s="238"/>
    </row>
    <row r="780" spans="1:103" s="76" customFormat="1" ht="14.25" customHeight="1" x14ac:dyDescent="0.2">
      <c r="A780" s="231" t="b">
        <f t="shared" si="716"/>
        <v>0</v>
      </c>
      <c r="B780" s="245">
        <v>758</v>
      </c>
      <c r="C780" s="258"/>
      <c r="D780" s="258"/>
      <c r="E780" s="246"/>
      <c r="F780" s="247" t="str">
        <f>IF(ISBLANK(E780), "", VLOOKUP(E780, Z!$A$2:$C$4127, 3, FALSE))</f>
        <v/>
      </c>
      <c r="G780" s="248"/>
      <c r="H780" s="248"/>
      <c r="I780" s="249"/>
      <c r="J780" s="250"/>
      <c r="K780" s="259"/>
      <c r="L780" s="260"/>
      <c r="M780" s="252" t="str" cm="1">
        <f t="array" ref="M780">INDEX(Trad, 53, $A$20)</f>
        <v>Verschmutzt</v>
      </c>
      <c r="N780" s="253"/>
      <c r="O780" s="253"/>
      <c r="P780" s="254"/>
      <c r="Q780" s="251"/>
      <c r="R780" s="251"/>
      <c r="S780" s="264">
        <f t="shared" si="725"/>
        <v>0</v>
      </c>
      <c r="T780" s="252" t="str" cm="1">
        <f t="array" ref="T780">INDEX(Trad, 52, $A$20)</f>
        <v>Sauber</v>
      </c>
      <c r="U780" s="253"/>
      <c r="V780" s="253"/>
      <c r="W780" s="254"/>
      <c r="X780" s="251"/>
      <c r="Y780" s="251"/>
      <c r="Z780" s="264">
        <f t="shared" si="726"/>
        <v>0</v>
      </c>
      <c r="AA780" s="261"/>
      <c r="AB780" s="258"/>
      <c r="AC780" s="246"/>
      <c r="AD780" s="247" t="str">
        <f>IF(ISBLANK(AC780), "", VLOOKUP(AC780, Z!$A$2:$C$4127, 3, FALSE))</f>
        <v/>
      </c>
      <c r="AE780" s="262"/>
      <c r="AF780" s="263">
        <f t="shared" si="727"/>
        <v>0</v>
      </c>
      <c r="AG780" s="238"/>
      <c r="AH780" s="229">
        <f t="shared" si="751"/>
        <v>1</v>
      </c>
      <c r="AI780" s="229">
        <f t="shared" si="752"/>
        <v>1</v>
      </c>
      <c r="AJ780" s="229">
        <f t="shared" si="753"/>
        <v>0</v>
      </c>
      <c r="AK780" s="229">
        <v>0</v>
      </c>
      <c r="AL780" s="229">
        <v>0</v>
      </c>
      <c r="AM780" s="229">
        <v>1</v>
      </c>
      <c r="AN780" s="229">
        <v>0</v>
      </c>
      <c r="AO780" s="229">
        <f t="shared" si="728"/>
        <v>-100</v>
      </c>
      <c r="AP780" s="238"/>
      <c r="AQ780" s="255"/>
      <c r="AR780" s="255"/>
      <c r="AS780" s="256"/>
      <c r="AT780" s="256"/>
      <c r="AU780" s="256"/>
      <c r="AV780" s="256"/>
      <c r="AW780" s="256"/>
      <c r="AX780" s="256"/>
      <c r="AY780" s="256"/>
      <c r="AZ780" s="256"/>
      <c r="BA780" s="256"/>
      <c r="BB780" s="256"/>
      <c r="BC780" s="256"/>
      <c r="BD780" s="238"/>
      <c r="BE780" s="229" cm="1">
        <f t="array" ref="BE780">IF(ISBLANK(R780), INDEX(Use, $AH780, 4) - AM780*INDEX(Use, $AH780, 6), R780)</f>
        <v>5</v>
      </c>
      <c r="BF780" s="229">
        <f t="shared" si="729"/>
        <v>30</v>
      </c>
      <c r="BG780" s="229">
        <f t="shared" si="717"/>
        <v>13</v>
      </c>
      <c r="BH780" s="229">
        <f t="shared" si="718"/>
        <v>0</v>
      </c>
      <c r="BI780" s="234" cm="1">
        <f t="array" ref="BI780">K780/IF($L780&gt;0, INDEX($AU$23:$BA$77, $L780+20, $AH780), 1)</f>
        <v>0</v>
      </c>
      <c r="BJ780" s="230">
        <f t="shared" si="730"/>
        <v>0</v>
      </c>
      <c r="BK780" s="229">
        <v>35</v>
      </c>
      <c r="BL780" s="230">
        <f t="shared" si="731"/>
        <v>48</v>
      </c>
      <c r="BM780" s="235">
        <f t="shared" si="732"/>
        <v>2.9108720930232557</v>
      </c>
      <c r="BN780" s="235" cm="1">
        <f t="array" ref="BN780">$BI780 * SUMPRODUCT(INDEX($AR$77:$AT$82,,$AI780),INDEX($AU$77:$BA$82,,$AH780), N($AQ$77:$AQ$82&gt;$AO780)) / BM780 / 1000</f>
        <v>0</v>
      </c>
      <c r="BO780" s="232">
        <f t="shared" si="719"/>
        <v>30</v>
      </c>
      <c r="BP780" s="230">
        <f t="shared" si="733"/>
        <v>43</v>
      </c>
      <c r="BQ780" s="235">
        <f t="shared" si="734"/>
        <v>3.2938815789473681</v>
      </c>
      <c r="BR780" s="235" cm="1">
        <f t="array" ref="BR780">$BI780 * IF($AH780&lt;=2,
SUMPRODUCT(INDEX($AR$72:$AT$76,,$AI780), INDEX($AU$72:$BA$76,,$AH780), 1 / ($BB$72:$BB$76*BQ780 + (1-$BB$72:$BB$76)*BM780), N($AQ$72:$AQ$76&gt;$AO780)),
SUMPRODUCT(INDEX($AR$67:$AT$76,,$AI780), INDEX($AU$67:$BA$76,,$AH780), 1 / ($BC$67:$BC$76*BQ780 + (1-$BC$67:$BC$76)*BM780), N($AQ$67:$AQ$76&gt;$AO780))
) / 1000</f>
        <v>0</v>
      </c>
      <c r="BS780" s="232">
        <f t="shared" si="720"/>
        <v>25</v>
      </c>
      <c r="BT780" s="230">
        <f t="shared" si="735"/>
        <v>38</v>
      </c>
      <c r="BU780" s="235">
        <f t="shared" si="736"/>
        <v>3.792954545454545</v>
      </c>
      <c r="BV780" s="235" cm="1">
        <f t="array" ref="BV780">$BI780 * IF($AH780&lt;=2,
SUMPRODUCT(INDEX($AR$67:$AT$71,,$AI780), INDEX($AU$67:$BA$71,,$AH780), 1 / ($BB$67:$BB$71*BU780 + (1-$BB$67:$BB$71)*BQ780), N($AQ$67:$AQ$71&gt;$AO780)),
SUMPRODUCT(INDEX($AR$57:$AT$66,,$AI780), INDEX($AU$57:$BA$66,,$AH780), 1 / ($BC$57:$BC$66*BU780 + (1-$BC$57:$BC$66)*BQ780), N($AQ$57:$AQ$66&gt;$AO780))
) / 1000</f>
        <v>0</v>
      </c>
      <c r="BW780" s="232">
        <f t="shared" si="721"/>
        <v>20</v>
      </c>
      <c r="BX780" s="230">
        <f t="shared" si="737"/>
        <v>33</v>
      </c>
      <c r="BY780" s="235">
        <f t="shared" si="738"/>
        <v>4.4702678571428569</v>
      </c>
      <c r="BZ780" s="235" cm="1">
        <f t="array" ref="BZ780">$BI780 * IF($AH780&lt;=2,
SUMPRODUCT(INDEX($AR$62:$AT$66,,$AI780), INDEX($AU$62:$BA$66,,$AH780), 1 / ($BB$62:$BB$66*BY780 + (1-$BB$62:$BB$66)*BU780), N($AQ$62:$AQ$66&gt;$AO780)),
SUMPRODUCT(INDEX($AR$47:$AT$56,,$AI780), INDEX($AU$47:$BA$56,,$AH780), 1 / ($BC$47:$BC$56*BY780 + (1-$BC$47:$BC$56)*BU780), N($AQ$47:$AQ$56&gt;$AO780))
) / 1000</f>
        <v>0</v>
      </c>
      <c r="CA780" s="235" cm="1">
        <f t="array" ref="CA780">$BI780 * IF($AH780&lt;=2,
SUMPRODUCT(INDEX($AR$23:$AT$61,,$AI780), INDEX($AU$23:$BA$61,,$AH780), 1 / ($BB$23:$BB$61*BY780), N($AQ$23:$AQ$61&gt;$AO780)),
SUMPRODUCT(INDEX($AR$23:$AT$46,,$AI780), INDEX($AU$23:$BA$46,,$AH780), 1 / ($BC$23:$BC$46*BY780), N($AQ$23:$AQ$46&gt;$AO780))
) / 1000</f>
        <v>0</v>
      </c>
      <c r="CB780" s="230">
        <f t="shared" si="739"/>
        <v>0</v>
      </c>
      <c r="CC780" s="238"/>
      <c r="CD780" s="229" cm="1">
        <f t="array" ref="CD780">IF(ISBLANK(Y780), INDEX(Use, $AH780, 4) - AN780*INDEX(Use, $AH780, 6) - (Q780-X780), Y780)</f>
        <v>7</v>
      </c>
      <c r="CE780" s="229">
        <f t="shared" si="740"/>
        <v>32</v>
      </c>
      <c r="CF780" s="230">
        <f t="shared" si="741"/>
        <v>0</v>
      </c>
      <c r="CG780" s="229">
        <v>35</v>
      </c>
      <c r="CH780" s="230">
        <f t="shared" si="742"/>
        <v>48</v>
      </c>
      <c r="CI780" s="235">
        <f t="shared" si="743"/>
        <v>3.0748170731707316</v>
      </c>
      <c r="CJ780" s="235" cm="1">
        <f t="array" ref="CJ780">$BI780 * SUMPRODUCT(INDEX($AR$77:$AT$82,,$AI780),INDEX($AU$77:$BA$82,,$AH780), N($AQ$77:$AQ$82&gt;$AO780)) / CI780 / 1000</f>
        <v>0</v>
      </c>
      <c r="CK780" s="232">
        <f t="shared" si="722"/>
        <v>30</v>
      </c>
      <c r="CL780" s="230">
        <f t="shared" si="744"/>
        <v>43</v>
      </c>
      <c r="CM780" s="235">
        <f t="shared" si="745"/>
        <v>3.5018750000000001</v>
      </c>
      <c r="CN780" s="235" cm="1">
        <f t="array" ref="CN780">$BI780 * IF($AH780&lt;=2,
SUMPRODUCT(INDEX($AR$72:$AT$76,,$AI780), INDEX($AU$72:$BA$76,,$AH780), 1 / ($BB$72:$BB$76*CM780 + (1-$BB$72:$BB$76)*CI780), N($AQ$72:$AQ$76&gt;$AO780)),
SUMPRODUCT(INDEX($AR$67:$AT$76,,$AI780), INDEX($AU$67:$BA$76,,$AH780), 1 / ($BC$67:$BC$76*CM780 + (1-$BC$67:$BC$76)*CI780), N($AQ$67:$AQ$76&gt;$AO780))
) / 1000</f>
        <v>0</v>
      </c>
      <c r="CO780" s="232">
        <f t="shared" si="723"/>
        <v>25</v>
      </c>
      <c r="CP780" s="230">
        <f t="shared" si="746"/>
        <v>38</v>
      </c>
      <c r="CQ780" s="235">
        <f t="shared" si="747"/>
        <v>4.0666935483870965</v>
      </c>
      <c r="CR780" s="235" cm="1">
        <f t="array" ref="CR780">$BI780 * IF($AH780&lt;=2,
SUMPRODUCT(INDEX($AR$67:$AT$71,,$AI780), INDEX($AU$67:$BA$71,,$AH780), 1 / ($BB$67:$BB$71*CQ780 + (1-$BB$67:$BB$71)*CM780), N($AQ$67:$AQ$71&gt;$AO780)),
SUMPRODUCT(INDEX($AR$57:$AT$66,,$AI780), INDEX($AU$57:$BA$66,,$AH780), 1 / ($BC$57:$BC$66*CQ780 + (1-$BC$57:$BC$66)*CM780), N($AQ$57:$AQ$66&gt;$AO780))
) / 1000</f>
        <v>0</v>
      </c>
      <c r="CS780" s="232">
        <f t="shared" si="724"/>
        <v>20</v>
      </c>
      <c r="CT780" s="230">
        <f t="shared" si="748"/>
        <v>33</v>
      </c>
      <c r="CU780" s="235">
        <f t="shared" si="749"/>
        <v>4.8487499999999999</v>
      </c>
      <c r="CV780" s="235" cm="1">
        <f t="array" ref="CV780">$BI780 * IF($AH780&lt;=2,
SUMPRODUCT(INDEX($AR$62:$AT$66,,$AI780), INDEX($AU$62:$BA$66,,$AH780), 1 / ($BB$62:$BB$66*CU780 + (1-$BB$62:$BB$66)*CQ780), N($AQ$62:$AQ$66&gt;$AO780)),
SUMPRODUCT(INDEX($AR$47:$AT$56,,$AI780), INDEX($AU$47:$BA$56,,$AH780), 1 / ($BC$47:$BC$56*CU780 + (1-$BC$47:$BC$56)*CQ780), N($AQ$47:$AQ$56&gt;$AO780))
) / 1000</f>
        <v>0</v>
      </c>
      <c r="CW780" s="235" cm="1">
        <f t="array" ref="CW780">$BI780 * IF($AH780&lt;=2,
SUMPRODUCT(INDEX($AR$23:$AT$61,,$AI780), INDEX($AU$23:$BA$61,,$AH780), 1 / ($BB$23:$BB$61*CU780), N($AQ$23:$AQ$61&gt;$AO780)),
SUMPRODUCT(INDEX($AR$23:$AT$46,,$AI780), INDEX($AU$23:$BA$46,,$AH780), 1 / ($BC$23:$BC$46*CU780), N($AQ$23:$AQ$46&gt;$AO780))
) / 1000</f>
        <v>0</v>
      </c>
      <c r="CX780" s="230">
        <f t="shared" si="750"/>
        <v>0</v>
      </c>
      <c r="CY780" s="238"/>
    </row>
    <row r="781" spans="1:103" s="76" customFormat="1" ht="14.25" customHeight="1" x14ac:dyDescent="0.2">
      <c r="A781" s="231" t="b">
        <f t="shared" si="716"/>
        <v>0</v>
      </c>
      <c r="B781" s="245">
        <v>759</v>
      </c>
      <c r="C781" s="258"/>
      <c r="D781" s="258"/>
      <c r="E781" s="246"/>
      <c r="F781" s="247" t="str">
        <f>IF(ISBLANK(E781), "", VLOOKUP(E781, Z!$A$2:$C$4127, 3, FALSE))</f>
        <v/>
      </c>
      <c r="G781" s="248"/>
      <c r="H781" s="248"/>
      <c r="I781" s="249"/>
      <c r="J781" s="250"/>
      <c r="K781" s="259"/>
      <c r="L781" s="260"/>
      <c r="M781" s="252" t="str" cm="1">
        <f t="array" ref="M781">INDEX(Trad, 53, $A$20)</f>
        <v>Verschmutzt</v>
      </c>
      <c r="N781" s="253"/>
      <c r="O781" s="253"/>
      <c r="P781" s="254"/>
      <c r="Q781" s="251"/>
      <c r="R781" s="251"/>
      <c r="S781" s="264">
        <f t="shared" si="725"/>
        <v>0</v>
      </c>
      <c r="T781" s="252" t="str" cm="1">
        <f t="array" ref="T781">INDEX(Trad, 52, $A$20)</f>
        <v>Sauber</v>
      </c>
      <c r="U781" s="253"/>
      <c r="V781" s="253"/>
      <c r="W781" s="254"/>
      <c r="X781" s="251"/>
      <c r="Y781" s="251"/>
      <c r="Z781" s="264">
        <f t="shared" si="726"/>
        <v>0</v>
      </c>
      <c r="AA781" s="261"/>
      <c r="AB781" s="258"/>
      <c r="AC781" s="246"/>
      <c r="AD781" s="247" t="str">
        <f>IF(ISBLANK(AC781), "", VLOOKUP(AC781, Z!$A$2:$C$4127, 3, FALSE))</f>
        <v/>
      </c>
      <c r="AE781" s="262"/>
      <c r="AF781" s="263">
        <f t="shared" si="727"/>
        <v>0</v>
      </c>
      <c r="AG781" s="238"/>
      <c r="AH781" s="229">
        <f t="shared" si="751"/>
        <v>1</v>
      </c>
      <c r="AI781" s="229">
        <f t="shared" si="752"/>
        <v>1</v>
      </c>
      <c r="AJ781" s="229">
        <f t="shared" si="753"/>
        <v>0</v>
      </c>
      <c r="AK781" s="229">
        <v>0</v>
      </c>
      <c r="AL781" s="229">
        <v>0</v>
      </c>
      <c r="AM781" s="229">
        <v>1</v>
      </c>
      <c r="AN781" s="229">
        <v>0</v>
      </c>
      <c r="AO781" s="229">
        <f t="shared" si="728"/>
        <v>-100</v>
      </c>
      <c r="AP781" s="238"/>
      <c r="AQ781" s="255"/>
      <c r="AR781" s="255"/>
      <c r="AS781" s="256"/>
      <c r="AT781" s="256"/>
      <c r="AU781" s="256"/>
      <c r="AV781" s="256"/>
      <c r="AW781" s="256"/>
      <c r="AX781" s="256"/>
      <c r="AY781" s="256"/>
      <c r="AZ781" s="256"/>
      <c r="BA781" s="256"/>
      <c r="BB781" s="256"/>
      <c r="BC781" s="256"/>
      <c r="BD781" s="238"/>
      <c r="BE781" s="229" cm="1">
        <f t="array" ref="BE781">IF(ISBLANK(R781), INDEX(Use, $AH781, 4) - AM781*INDEX(Use, $AH781, 6), R781)</f>
        <v>5</v>
      </c>
      <c r="BF781" s="229">
        <f t="shared" si="729"/>
        <v>30</v>
      </c>
      <c r="BG781" s="229">
        <f t="shared" si="717"/>
        <v>13</v>
      </c>
      <c r="BH781" s="229">
        <f t="shared" si="718"/>
        <v>0</v>
      </c>
      <c r="BI781" s="234" cm="1">
        <f t="array" ref="BI781">K781/IF($L781&gt;0, INDEX($AU$23:$BA$77, $L781+20, $AH781), 1)</f>
        <v>0</v>
      </c>
      <c r="BJ781" s="230">
        <f t="shared" si="730"/>
        <v>0</v>
      </c>
      <c r="BK781" s="229">
        <v>35</v>
      </c>
      <c r="BL781" s="230">
        <f t="shared" si="731"/>
        <v>48</v>
      </c>
      <c r="BM781" s="235">
        <f t="shared" si="732"/>
        <v>2.9108720930232557</v>
      </c>
      <c r="BN781" s="235" cm="1">
        <f t="array" ref="BN781">$BI781 * SUMPRODUCT(INDEX($AR$77:$AT$82,,$AI781),INDEX($AU$77:$BA$82,,$AH781), N($AQ$77:$AQ$82&gt;$AO781)) / BM781 / 1000</f>
        <v>0</v>
      </c>
      <c r="BO781" s="232">
        <f t="shared" si="719"/>
        <v>30</v>
      </c>
      <c r="BP781" s="230">
        <f t="shared" si="733"/>
        <v>43</v>
      </c>
      <c r="BQ781" s="235">
        <f t="shared" si="734"/>
        <v>3.2938815789473681</v>
      </c>
      <c r="BR781" s="235" cm="1">
        <f t="array" ref="BR781">$BI781 * IF($AH781&lt;=2,
SUMPRODUCT(INDEX($AR$72:$AT$76,,$AI781), INDEX($AU$72:$BA$76,,$AH781), 1 / ($BB$72:$BB$76*BQ781 + (1-$BB$72:$BB$76)*BM781), N($AQ$72:$AQ$76&gt;$AO781)),
SUMPRODUCT(INDEX($AR$67:$AT$76,,$AI781), INDEX($AU$67:$BA$76,,$AH781), 1 / ($BC$67:$BC$76*BQ781 + (1-$BC$67:$BC$76)*BM781), N($AQ$67:$AQ$76&gt;$AO781))
) / 1000</f>
        <v>0</v>
      </c>
      <c r="BS781" s="232">
        <f t="shared" si="720"/>
        <v>25</v>
      </c>
      <c r="BT781" s="230">
        <f t="shared" si="735"/>
        <v>38</v>
      </c>
      <c r="BU781" s="235">
        <f t="shared" si="736"/>
        <v>3.792954545454545</v>
      </c>
      <c r="BV781" s="235" cm="1">
        <f t="array" ref="BV781">$BI781 * IF($AH781&lt;=2,
SUMPRODUCT(INDEX($AR$67:$AT$71,,$AI781), INDEX($AU$67:$BA$71,,$AH781), 1 / ($BB$67:$BB$71*BU781 + (1-$BB$67:$BB$71)*BQ781), N($AQ$67:$AQ$71&gt;$AO781)),
SUMPRODUCT(INDEX($AR$57:$AT$66,,$AI781), INDEX($AU$57:$BA$66,,$AH781), 1 / ($BC$57:$BC$66*BU781 + (1-$BC$57:$BC$66)*BQ781), N($AQ$57:$AQ$66&gt;$AO781))
) / 1000</f>
        <v>0</v>
      </c>
      <c r="BW781" s="232">
        <f t="shared" si="721"/>
        <v>20</v>
      </c>
      <c r="BX781" s="230">
        <f t="shared" si="737"/>
        <v>33</v>
      </c>
      <c r="BY781" s="235">
        <f t="shared" si="738"/>
        <v>4.4702678571428569</v>
      </c>
      <c r="BZ781" s="235" cm="1">
        <f t="array" ref="BZ781">$BI781 * IF($AH781&lt;=2,
SUMPRODUCT(INDEX($AR$62:$AT$66,,$AI781), INDEX($AU$62:$BA$66,,$AH781), 1 / ($BB$62:$BB$66*BY781 + (1-$BB$62:$BB$66)*BU781), N($AQ$62:$AQ$66&gt;$AO781)),
SUMPRODUCT(INDEX($AR$47:$AT$56,,$AI781), INDEX($AU$47:$BA$56,,$AH781), 1 / ($BC$47:$BC$56*BY781 + (1-$BC$47:$BC$56)*BU781), N($AQ$47:$AQ$56&gt;$AO781))
) / 1000</f>
        <v>0</v>
      </c>
      <c r="CA781" s="235" cm="1">
        <f t="array" ref="CA781">$BI781 * IF($AH781&lt;=2,
SUMPRODUCT(INDEX($AR$23:$AT$61,,$AI781), INDEX($AU$23:$BA$61,,$AH781), 1 / ($BB$23:$BB$61*BY781), N($AQ$23:$AQ$61&gt;$AO781)),
SUMPRODUCT(INDEX($AR$23:$AT$46,,$AI781), INDEX($AU$23:$BA$46,,$AH781), 1 / ($BC$23:$BC$46*BY781), N($AQ$23:$AQ$46&gt;$AO781))
) / 1000</f>
        <v>0</v>
      </c>
      <c r="CB781" s="230">
        <f t="shared" si="739"/>
        <v>0</v>
      </c>
      <c r="CC781" s="238"/>
      <c r="CD781" s="229" cm="1">
        <f t="array" ref="CD781">IF(ISBLANK(Y781), INDEX(Use, $AH781, 4) - AN781*INDEX(Use, $AH781, 6) - (Q781-X781), Y781)</f>
        <v>7</v>
      </c>
      <c r="CE781" s="229">
        <f t="shared" si="740"/>
        <v>32</v>
      </c>
      <c r="CF781" s="230">
        <f t="shared" si="741"/>
        <v>0</v>
      </c>
      <c r="CG781" s="229">
        <v>35</v>
      </c>
      <c r="CH781" s="230">
        <f t="shared" si="742"/>
        <v>48</v>
      </c>
      <c r="CI781" s="235">
        <f t="shared" si="743"/>
        <v>3.0748170731707316</v>
      </c>
      <c r="CJ781" s="235" cm="1">
        <f t="array" ref="CJ781">$BI781 * SUMPRODUCT(INDEX($AR$77:$AT$82,,$AI781),INDEX($AU$77:$BA$82,,$AH781), N($AQ$77:$AQ$82&gt;$AO781)) / CI781 / 1000</f>
        <v>0</v>
      </c>
      <c r="CK781" s="232">
        <f t="shared" si="722"/>
        <v>30</v>
      </c>
      <c r="CL781" s="230">
        <f t="shared" si="744"/>
        <v>43</v>
      </c>
      <c r="CM781" s="235">
        <f t="shared" si="745"/>
        <v>3.5018750000000001</v>
      </c>
      <c r="CN781" s="235" cm="1">
        <f t="array" ref="CN781">$BI781 * IF($AH781&lt;=2,
SUMPRODUCT(INDEX($AR$72:$AT$76,,$AI781), INDEX($AU$72:$BA$76,,$AH781), 1 / ($BB$72:$BB$76*CM781 + (1-$BB$72:$BB$76)*CI781), N($AQ$72:$AQ$76&gt;$AO781)),
SUMPRODUCT(INDEX($AR$67:$AT$76,,$AI781), INDEX($AU$67:$BA$76,,$AH781), 1 / ($BC$67:$BC$76*CM781 + (1-$BC$67:$BC$76)*CI781), N($AQ$67:$AQ$76&gt;$AO781))
) / 1000</f>
        <v>0</v>
      </c>
      <c r="CO781" s="232">
        <f t="shared" si="723"/>
        <v>25</v>
      </c>
      <c r="CP781" s="230">
        <f t="shared" si="746"/>
        <v>38</v>
      </c>
      <c r="CQ781" s="235">
        <f t="shared" si="747"/>
        <v>4.0666935483870965</v>
      </c>
      <c r="CR781" s="235" cm="1">
        <f t="array" ref="CR781">$BI781 * IF($AH781&lt;=2,
SUMPRODUCT(INDEX($AR$67:$AT$71,,$AI781), INDEX($AU$67:$BA$71,,$AH781), 1 / ($BB$67:$BB$71*CQ781 + (1-$BB$67:$BB$71)*CM781), N($AQ$67:$AQ$71&gt;$AO781)),
SUMPRODUCT(INDEX($AR$57:$AT$66,,$AI781), INDEX($AU$57:$BA$66,,$AH781), 1 / ($BC$57:$BC$66*CQ781 + (1-$BC$57:$BC$66)*CM781), N($AQ$57:$AQ$66&gt;$AO781))
) / 1000</f>
        <v>0</v>
      </c>
      <c r="CS781" s="232">
        <f t="shared" si="724"/>
        <v>20</v>
      </c>
      <c r="CT781" s="230">
        <f t="shared" si="748"/>
        <v>33</v>
      </c>
      <c r="CU781" s="235">
        <f t="shared" si="749"/>
        <v>4.8487499999999999</v>
      </c>
      <c r="CV781" s="235" cm="1">
        <f t="array" ref="CV781">$BI781 * IF($AH781&lt;=2,
SUMPRODUCT(INDEX($AR$62:$AT$66,,$AI781), INDEX($AU$62:$BA$66,,$AH781), 1 / ($BB$62:$BB$66*CU781 + (1-$BB$62:$BB$66)*CQ781), N($AQ$62:$AQ$66&gt;$AO781)),
SUMPRODUCT(INDEX($AR$47:$AT$56,,$AI781), INDEX($AU$47:$BA$56,,$AH781), 1 / ($BC$47:$BC$56*CU781 + (1-$BC$47:$BC$56)*CQ781), N($AQ$47:$AQ$56&gt;$AO781))
) / 1000</f>
        <v>0</v>
      </c>
      <c r="CW781" s="235" cm="1">
        <f t="array" ref="CW781">$BI781 * IF($AH781&lt;=2,
SUMPRODUCT(INDEX($AR$23:$AT$61,,$AI781), INDEX($AU$23:$BA$61,,$AH781), 1 / ($BB$23:$BB$61*CU781), N($AQ$23:$AQ$61&gt;$AO781)),
SUMPRODUCT(INDEX($AR$23:$AT$46,,$AI781), INDEX($AU$23:$BA$46,,$AH781), 1 / ($BC$23:$BC$46*CU781), N($AQ$23:$AQ$46&gt;$AO781))
) / 1000</f>
        <v>0</v>
      </c>
      <c r="CX781" s="230">
        <f t="shared" si="750"/>
        <v>0</v>
      </c>
      <c r="CY781" s="238"/>
    </row>
    <row r="782" spans="1:103" s="76" customFormat="1" ht="14.25" customHeight="1" x14ac:dyDescent="0.2">
      <c r="A782" s="231" t="b">
        <f t="shared" si="716"/>
        <v>0</v>
      </c>
      <c r="B782" s="245">
        <v>760</v>
      </c>
      <c r="C782" s="258"/>
      <c r="D782" s="258"/>
      <c r="E782" s="246"/>
      <c r="F782" s="247" t="str">
        <f>IF(ISBLANK(E782), "", VLOOKUP(E782, Z!$A$2:$C$4127, 3, FALSE))</f>
        <v/>
      </c>
      <c r="G782" s="248"/>
      <c r="H782" s="248"/>
      <c r="I782" s="249"/>
      <c r="J782" s="250"/>
      <c r="K782" s="259"/>
      <c r="L782" s="260"/>
      <c r="M782" s="252" t="str" cm="1">
        <f t="array" ref="M782">INDEX(Trad, 53, $A$20)</f>
        <v>Verschmutzt</v>
      </c>
      <c r="N782" s="253"/>
      <c r="O782" s="253"/>
      <c r="P782" s="254"/>
      <c r="Q782" s="251"/>
      <c r="R782" s="251"/>
      <c r="S782" s="264">
        <f t="shared" si="725"/>
        <v>0</v>
      </c>
      <c r="T782" s="252" t="str" cm="1">
        <f t="array" ref="T782">INDEX(Trad, 52, $A$20)</f>
        <v>Sauber</v>
      </c>
      <c r="U782" s="253"/>
      <c r="V782" s="253"/>
      <c r="W782" s="254"/>
      <c r="X782" s="251"/>
      <c r="Y782" s="251"/>
      <c r="Z782" s="264">
        <f t="shared" si="726"/>
        <v>0</v>
      </c>
      <c r="AA782" s="261"/>
      <c r="AB782" s="258"/>
      <c r="AC782" s="246"/>
      <c r="AD782" s="247" t="str">
        <f>IF(ISBLANK(AC782), "", VLOOKUP(AC782, Z!$A$2:$C$4127, 3, FALSE))</f>
        <v/>
      </c>
      <c r="AE782" s="262"/>
      <c r="AF782" s="263">
        <f t="shared" si="727"/>
        <v>0</v>
      </c>
      <c r="AG782" s="238"/>
      <c r="AH782" s="229">
        <f t="shared" si="751"/>
        <v>1</v>
      </c>
      <c r="AI782" s="229">
        <f t="shared" si="752"/>
        <v>1</v>
      </c>
      <c r="AJ782" s="229">
        <f t="shared" si="753"/>
        <v>0</v>
      </c>
      <c r="AK782" s="229">
        <v>0</v>
      </c>
      <c r="AL782" s="229">
        <v>0</v>
      </c>
      <c r="AM782" s="229">
        <v>1</v>
      </c>
      <c r="AN782" s="229">
        <v>0</v>
      </c>
      <c r="AO782" s="229">
        <f t="shared" si="728"/>
        <v>-100</v>
      </c>
      <c r="AP782" s="238"/>
      <c r="AQ782" s="255"/>
      <c r="AR782" s="255"/>
      <c r="AS782" s="256"/>
      <c r="AT782" s="256"/>
      <c r="AU782" s="256"/>
      <c r="AV782" s="256"/>
      <c r="AW782" s="256"/>
      <c r="AX782" s="256"/>
      <c r="AY782" s="256"/>
      <c r="AZ782" s="256"/>
      <c r="BA782" s="256"/>
      <c r="BB782" s="256"/>
      <c r="BC782" s="256"/>
      <c r="BD782" s="238"/>
      <c r="BE782" s="229" cm="1">
        <f t="array" ref="BE782">IF(ISBLANK(R782), INDEX(Use, $AH782, 4) - AM782*INDEX(Use, $AH782, 6), R782)</f>
        <v>5</v>
      </c>
      <c r="BF782" s="229">
        <f t="shared" si="729"/>
        <v>30</v>
      </c>
      <c r="BG782" s="229">
        <f t="shared" si="717"/>
        <v>13</v>
      </c>
      <c r="BH782" s="229">
        <f t="shared" si="718"/>
        <v>0</v>
      </c>
      <c r="BI782" s="234" cm="1">
        <f t="array" ref="BI782">K782/IF($L782&gt;0, INDEX($AU$23:$BA$77, $L782+20, $AH782), 1)</f>
        <v>0</v>
      </c>
      <c r="BJ782" s="230">
        <f t="shared" si="730"/>
        <v>0</v>
      </c>
      <c r="BK782" s="229">
        <v>35</v>
      </c>
      <c r="BL782" s="230">
        <f t="shared" si="731"/>
        <v>48</v>
      </c>
      <c r="BM782" s="235">
        <f t="shared" si="732"/>
        <v>2.9108720930232557</v>
      </c>
      <c r="BN782" s="235" cm="1">
        <f t="array" ref="BN782">$BI782 * SUMPRODUCT(INDEX($AR$77:$AT$82,,$AI782),INDEX($AU$77:$BA$82,,$AH782), N($AQ$77:$AQ$82&gt;$AO782)) / BM782 / 1000</f>
        <v>0</v>
      </c>
      <c r="BO782" s="232">
        <f t="shared" si="719"/>
        <v>30</v>
      </c>
      <c r="BP782" s="230">
        <f t="shared" si="733"/>
        <v>43</v>
      </c>
      <c r="BQ782" s="235">
        <f t="shared" si="734"/>
        <v>3.2938815789473681</v>
      </c>
      <c r="BR782" s="235" cm="1">
        <f t="array" ref="BR782">$BI782 * IF($AH782&lt;=2,
SUMPRODUCT(INDEX($AR$72:$AT$76,,$AI782), INDEX($AU$72:$BA$76,,$AH782), 1 / ($BB$72:$BB$76*BQ782 + (1-$BB$72:$BB$76)*BM782), N($AQ$72:$AQ$76&gt;$AO782)),
SUMPRODUCT(INDEX($AR$67:$AT$76,,$AI782), INDEX($AU$67:$BA$76,,$AH782), 1 / ($BC$67:$BC$76*BQ782 + (1-$BC$67:$BC$76)*BM782), N($AQ$67:$AQ$76&gt;$AO782))
) / 1000</f>
        <v>0</v>
      </c>
      <c r="BS782" s="232">
        <f t="shared" si="720"/>
        <v>25</v>
      </c>
      <c r="BT782" s="230">
        <f t="shared" si="735"/>
        <v>38</v>
      </c>
      <c r="BU782" s="235">
        <f t="shared" si="736"/>
        <v>3.792954545454545</v>
      </c>
      <c r="BV782" s="235" cm="1">
        <f t="array" ref="BV782">$BI782 * IF($AH782&lt;=2,
SUMPRODUCT(INDEX($AR$67:$AT$71,,$AI782), INDEX($AU$67:$BA$71,,$AH782), 1 / ($BB$67:$BB$71*BU782 + (1-$BB$67:$BB$71)*BQ782), N($AQ$67:$AQ$71&gt;$AO782)),
SUMPRODUCT(INDEX($AR$57:$AT$66,,$AI782), INDEX($AU$57:$BA$66,,$AH782), 1 / ($BC$57:$BC$66*BU782 + (1-$BC$57:$BC$66)*BQ782), N($AQ$57:$AQ$66&gt;$AO782))
) / 1000</f>
        <v>0</v>
      </c>
      <c r="BW782" s="232">
        <f t="shared" si="721"/>
        <v>20</v>
      </c>
      <c r="BX782" s="230">
        <f t="shared" si="737"/>
        <v>33</v>
      </c>
      <c r="BY782" s="235">
        <f t="shared" si="738"/>
        <v>4.4702678571428569</v>
      </c>
      <c r="BZ782" s="235" cm="1">
        <f t="array" ref="BZ782">$BI782 * IF($AH782&lt;=2,
SUMPRODUCT(INDEX($AR$62:$AT$66,,$AI782), INDEX($AU$62:$BA$66,,$AH782), 1 / ($BB$62:$BB$66*BY782 + (1-$BB$62:$BB$66)*BU782), N($AQ$62:$AQ$66&gt;$AO782)),
SUMPRODUCT(INDEX($AR$47:$AT$56,,$AI782), INDEX($AU$47:$BA$56,,$AH782), 1 / ($BC$47:$BC$56*BY782 + (1-$BC$47:$BC$56)*BU782), N($AQ$47:$AQ$56&gt;$AO782))
) / 1000</f>
        <v>0</v>
      </c>
      <c r="CA782" s="235" cm="1">
        <f t="array" ref="CA782">$BI782 * IF($AH782&lt;=2,
SUMPRODUCT(INDEX($AR$23:$AT$61,,$AI782), INDEX($AU$23:$BA$61,,$AH782), 1 / ($BB$23:$BB$61*BY782), N($AQ$23:$AQ$61&gt;$AO782)),
SUMPRODUCT(INDEX($AR$23:$AT$46,,$AI782), INDEX($AU$23:$BA$46,,$AH782), 1 / ($BC$23:$BC$46*BY782), N($AQ$23:$AQ$46&gt;$AO782))
) / 1000</f>
        <v>0</v>
      </c>
      <c r="CB782" s="230">
        <f t="shared" si="739"/>
        <v>0</v>
      </c>
      <c r="CC782" s="238"/>
      <c r="CD782" s="229" cm="1">
        <f t="array" ref="CD782">IF(ISBLANK(Y782), INDEX(Use, $AH782, 4) - AN782*INDEX(Use, $AH782, 6) - (Q782-X782), Y782)</f>
        <v>7</v>
      </c>
      <c r="CE782" s="229">
        <f t="shared" si="740"/>
        <v>32</v>
      </c>
      <c r="CF782" s="230">
        <f t="shared" si="741"/>
        <v>0</v>
      </c>
      <c r="CG782" s="229">
        <v>35</v>
      </c>
      <c r="CH782" s="230">
        <f t="shared" si="742"/>
        <v>48</v>
      </c>
      <c r="CI782" s="235">
        <f t="shared" si="743"/>
        <v>3.0748170731707316</v>
      </c>
      <c r="CJ782" s="235" cm="1">
        <f t="array" ref="CJ782">$BI782 * SUMPRODUCT(INDEX($AR$77:$AT$82,,$AI782),INDEX($AU$77:$BA$82,,$AH782), N($AQ$77:$AQ$82&gt;$AO782)) / CI782 / 1000</f>
        <v>0</v>
      </c>
      <c r="CK782" s="232">
        <f t="shared" si="722"/>
        <v>30</v>
      </c>
      <c r="CL782" s="230">
        <f t="shared" si="744"/>
        <v>43</v>
      </c>
      <c r="CM782" s="235">
        <f t="shared" si="745"/>
        <v>3.5018750000000001</v>
      </c>
      <c r="CN782" s="235" cm="1">
        <f t="array" ref="CN782">$BI782 * IF($AH782&lt;=2,
SUMPRODUCT(INDEX($AR$72:$AT$76,,$AI782), INDEX($AU$72:$BA$76,,$AH782), 1 / ($BB$72:$BB$76*CM782 + (1-$BB$72:$BB$76)*CI782), N($AQ$72:$AQ$76&gt;$AO782)),
SUMPRODUCT(INDEX($AR$67:$AT$76,,$AI782), INDEX($AU$67:$BA$76,,$AH782), 1 / ($BC$67:$BC$76*CM782 + (1-$BC$67:$BC$76)*CI782), N($AQ$67:$AQ$76&gt;$AO782))
) / 1000</f>
        <v>0</v>
      </c>
      <c r="CO782" s="232">
        <f t="shared" si="723"/>
        <v>25</v>
      </c>
      <c r="CP782" s="230">
        <f t="shared" si="746"/>
        <v>38</v>
      </c>
      <c r="CQ782" s="235">
        <f t="shared" si="747"/>
        <v>4.0666935483870965</v>
      </c>
      <c r="CR782" s="235" cm="1">
        <f t="array" ref="CR782">$BI782 * IF($AH782&lt;=2,
SUMPRODUCT(INDEX($AR$67:$AT$71,,$AI782), INDEX($AU$67:$BA$71,,$AH782), 1 / ($BB$67:$BB$71*CQ782 + (1-$BB$67:$BB$71)*CM782), N($AQ$67:$AQ$71&gt;$AO782)),
SUMPRODUCT(INDEX($AR$57:$AT$66,,$AI782), INDEX($AU$57:$BA$66,,$AH782), 1 / ($BC$57:$BC$66*CQ782 + (1-$BC$57:$BC$66)*CM782), N($AQ$57:$AQ$66&gt;$AO782))
) / 1000</f>
        <v>0</v>
      </c>
      <c r="CS782" s="232">
        <f t="shared" si="724"/>
        <v>20</v>
      </c>
      <c r="CT782" s="230">
        <f t="shared" si="748"/>
        <v>33</v>
      </c>
      <c r="CU782" s="235">
        <f t="shared" si="749"/>
        <v>4.8487499999999999</v>
      </c>
      <c r="CV782" s="235" cm="1">
        <f t="array" ref="CV782">$BI782 * IF($AH782&lt;=2,
SUMPRODUCT(INDEX($AR$62:$AT$66,,$AI782), INDEX($AU$62:$BA$66,,$AH782), 1 / ($BB$62:$BB$66*CU782 + (1-$BB$62:$BB$66)*CQ782), N($AQ$62:$AQ$66&gt;$AO782)),
SUMPRODUCT(INDEX($AR$47:$AT$56,,$AI782), INDEX($AU$47:$BA$56,,$AH782), 1 / ($BC$47:$BC$56*CU782 + (1-$BC$47:$BC$56)*CQ782), N($AQ$47:$AQ$56&gt;$AO782))
) / 1000</f>
        <v>0</v>
      </c>
      <c r="CW782" s="235" cm="1">
        <f t="array" ref="CW782">$BI782 * IF($AH782&lt;=2,
SUMPRODUCT(INDEX($AR$23:$AT$61,,$AI782), INDEX($AU$23:$BA$61,,$AH782), 1 / ($BB$23:$BB$61*CU782), N($AQ$23:$AQ$61&gt;$AO782)),
SUMPRODUCT(INDEX($AR$23:$AT$46,,$AI782), INDEX($AU$23:$BA$46,,$AH782), 1 / ($BC$23:$BC$46*CU782), N($AQ$23:$AQ$46&gt;$AO782))
) / 1000</f>
        <v>0</v>
      </c>
      <c r="CX782" s="230">
        <f t="shared" si="750"/>
        <v>0</v>
      </c>
      <c r="CY782" s="238"/>
    </row>
    <row r="783" spans="1:103" s="76" customFormat="1" ht="14.25" customHeight="1" x14ac:dyDescent="0.2">
      <c r="A783" s="231" t="b">
        <f t="shared" si="716"/>
        <v>0</v>
      </c>
      <c r="B783" s="245">
        <v>761</v>
      </c>
      <c r="C783" s="258"/>
      <c r="D783" s="258"/>
      <c r="E783" s="246"/>
      <c r="F783" s="247" t="str">
        <f>IF(ISBLANK(E783), "", VLOOKUP(E783, Z!$A$2:$C$4127, 3, FALSE))</f>
        <v/>
      </c>
      <c r="G783" s="248"/>
      <c r="H783" s="248"/>
      <c r="I783" s="249"/>
      <c r="J783" s="250"/>
      <c r="K783" s="259"/>
      <c r="L783" s="260"/>
      <c r="M783" s="252" t="str" cm="1">
        <f t="array" ref="M783">INDEX(Trad, 53, $A$20)</f>
        <v>Verschmutzt</v>
      </c>
      <c r="N783" s="253"/>
      <c r="O783" s="253"/>
      <c r="P783" s="254"/>
      <c r="Q783" s="251"/>
      <c r="R783" s="251"/>
      <c r="S783" s="264">
        <f t="shared" si="725"/>
        <v>0</v>
      </c>
      <c r="T783" s="252" t="str" cm="1">
        <f t="array" ref="T783">INDEX(Trad, 52, $A$20)</f>
        <v>Sauber</v>
      </c>
      <c r="U783" s="253"/>
      <c r="V783" s="253"/>
      <c r="W783" s="254"/>
      <c r="X783" s="251"/>
      <c r="Y783" s="251"/>
      <c r="Z783" s="264">
        <f t="shared" si="726"/>
        <v>0</v>
      </c>
      <c r="AA783" s="261"/>
      <c r="AB783" s="258"/>
      <c r="AC783" s="246"/>
      <c r="AD783" s="247" t="str">
        <f>IF(ISBLANK(AC783), "", VLOOKUP(AC783, Z!$A$2:$C$4127, 3, FALSE))</f>
        <v/>
      </c>
      <c r="AE783" s="262"/>
      <c r="AF783" s="263">
        <f t="shared" si="727"/>
        <v>0</v>
      </c>
      <c r="AG783" s="238"/>
      <c r="AH783" s="229">
        <f t="shared" si="751"/>
        <v>1</v>
      </c>
      <c r="AI783" s="229">
        <f t="shared" si="752"/>
        <v>1</v>
      </c>
      <c r="AJ783" s="229">
        <f t="shared" si="753"/>
        <v>0</v>
      </c>
      <c r="AK783" s="229">
        <v>0</v>
      </c>
      <c r="AL783" s="229">
        <v>0</v>
      </c>
      <c r="AM783" s="229">
        <v>1</v>
      </c>
      <c r="AN783" s="229">
        <v>0</v>
      </c>
      <c r="AO783" s="229">
        <f t="shared" si="728"/>
        <v>-100</v>
      </c>
      <c r="AP783" s="238"/>
      <c r="AQ783" s="255"/>
      <c r="AR783" s="255"/>
      <c r="AS783" s="256"/>
      <c r="AT783" s="256"/>
      <c r="AU783" s="256"/>
      <c r="AV783" s="256"/>
      <c r="AW783" s="256"/>
      <c r="AX783" s="256"/>
      <c r="AY783" s="256"/>
      <c r="AZ783" s="256"/>
      <c r="BA783" s="256"/>
      <c r="BB783" s="256"/>
      <c r="BC783" s="256"/>
      <c r="BD783" s="238"/>
      <c r="BE783" s="229" cm="1">
        <f t="array" ref="BE783">IF(ISBLANK(R783), INDEX(Use, $AH783, 4) - AM783*INDEX(Use, $AH783, 6), R783)</f>
        <v>5</v>
      </c>
      <c r="BF783" s="229">
        <f t="shared" si="729"/>
        <v>30</v>
      </c>
      <c r="BG783" s="229">
        <f t="shared" si="717"/>
        <v>13</v>
      </c>
      <c r="BH783" s="229">
        <f t="shared" si="718"/>
        <v>0</v>
      </c>
      <c r="BI783" s="234" cm="1">
        <f t="array" ref="BI783">K783/IF($L783&gt;0, INDEX($AU$23:$BA$77, $L783+20, $AH783), 1)</f>
        <v>0</v>
      </c>
      <c r="BJ783" s="230">
        <f t="shared" si="730"/>
        <v>0</v>
      </c>
      <c r="BK783" s="229">
        <v>35</v>
      </c>
      <c r="BL783" s="230">
        <f t="shared" si="731"/>
        <v>48</v>
      </c>
      <c r="BM783" s="235">
        <f t="shared" si="732"/>
        <v>2.9108720930232557</v>
      </c>
      <c r="BN783" s="235" cm="1">
        <f t="array" ref="BN783">$BI783 * SUMPRODUCT(INDEX($AR$77:$AT$82,,$AI783),INDEX($AU$77:$BA$82,,$AH783), N($AQ$77:$AQ$82&gt;$AO783)) / BM783 / 1000</f>
        <v>0</v>
      </c>
      <c r="BO783" s="232">
        <f t="shared" si="719"/>
        <v>30</v>
      </c>
      <c r="BP783" s="230">
        <f t="shared" si="733"/>
        <v>43</v>
      </c>
      <c r="BQ783" s="235">
        <f t="shared" si="734"/>
        <v>3.2938815789473681</v>
      </c>
      <c r="BR783" s="235" cm="1">
        <f t="array" ref="BR783">$BI783 * IF($AH783&lt;=2,
SUMPRODUCT(INDEX($AR$72:$AT$76,,$AI783), INDEX($AU$72:$BA$76,,$AH783), 1 / ($BB$72:$BB$76*BQ783 + (1-$BB$72:$BB$76)*BM783), N($AQ$72:$AQ$76&gt;$AO783)),
SUMPRODUCT(INDEX($AR$67:$AT$76,,$AI783), INDEX($AU$67:$BA$76,,$AH783), 1 / ($BC$67:$BC$76*BQ783 + (1-$BC$67:$BC$76)*BM783), N($AQ$67:$AQ$76&gt;$AO783))
) / 1000</f>
        <v>0</v>
      </c>
      <c r="BS783" s="232">
        <f t="shared" si="720"/>
        <v>25</v>
      </c>
      <c r="BT783" s="230">
        <f t="shared" si="735"/>
        <v>38</v>
      </c>
      <c r="BU783" s="235">
        <f t="shared" si="736"/>
        <v>3.792954545454545</v>
      </c>
      <c r="BV783" s="235" cm="1">
        <f t="array" ref="BV783">$BI783 * IF($AH783&lt;=2,
SUMPRODUCT(INDEX($AR$67:$AT$71,,$AI783), INDEX($AU$67:$BA$71,,$AH783), 1 / ($BB$67:$BB$71*BU783 + (1-$BB$67:$BB$71)*BQ783), N($AQ$67:$AQ$71&gt;$AO783)),
SUMPRODUCT(INDEX($AR$57:$AT$66,,$AI783), INDEX($AU$57:$BA$66,,$AH783), 1 / ($BC$57:$BC$66*BU783 + (1-$BC$57:$BC$66)*BQ783), N($AQ$57:$AQ$66&gt;$AO783))
) / 1000</f>
        <v>0</v>
      </c>
      <c r="BW783" s="232">
        <f t="shared" si="721"/>
        <v>20</v>
      </c>
      <c r="BX783" s="230">
        <f t="shared" si="737"/>
        <v>33</v>
      </c>
      <c r="BY783" s="235">
        <f t="shared" si="738"/>
        <v>4.4702678571428569</v>
      </c>
      <c r="BZ783" s="235" cm="1">
        <f t="array" ref="BZ783">$BI783 * IF($AH783&lt;=2,
SUMPRODUCT(INDEX($AR$62:$AT$66,,$AI783), INDEX($AU$62:$BA$66,,$AH783), 1 / ($BB$62:$BB$66*BY783 + (1-$BB$62:$BB$66)*BU783), N($AQ$62:$AQ$66&gt;$AO783)),
SUMPRODUCT(INDEX($AR$47:$AT$56,,$AI783), INDEX($AU$47:$BA$56,,$AH783), 1 / ($BC$47:$BC$56*BY783 + (1-$BC$47:$BC$56)*BU783), N($AQ$47:$AQ$56&gt;$AO783))
) / 1000</f>
        <v>0</v>
      </c>
      <c r="CA783" s="235" cm="1">
        <f t="array" ref="CA783">$BI783 * IF($AH783&lt;=2,
SUMPRODUCT(INDEX($AR$23:$AT$61,,$AI783), INDEX($AU$23:$BA$61,,$AH783), 1 / ($BB$23:$BB$61*BY783), N($AQ$23:$AQ$61&gt;$AO783)),
SUMPRODUCT(INDEX($AR$23:$AT$46,,$AI783), INDEX($AU$23:$BA$46,,$AH783), 1 / ($BC$23:$BC$46*BY783), N($AQ$23:$AQ$46&gt;$AO783))
) / 1000</f>
        <v>0</v>
      </c>
      <c r="CB783" s="230">
        <f t="shared" si="739"/>
        <v>0</v>
      </c>
      <c r="CC783" s="238"/>
      <c r="CD783" s="229" cm="1">
        <f t="array" ref="CD783">IF(ISBLANK(Y783), INDEX(Use, $AH783, 4) - AN783*INDEX(Use, $AH783, 6) - (Q783-X783), Y783)</f>
        <v>7</v>
      </c>
      <c r="CE783" s="229">
        <f t="shared" si="740"/>
        <v>32</v>
      </c>
      <c r="CF783" s="230">
        <f t="shared" si="741"/>
        <v>0</v>
      </c>
      <c r="CG783" s="229">
        <v>35</v>
      </c>
      <c r="CH783" s="230">
        <f t="shared" si="742"/>
        <v>48</v>
      </c>
      <c r="CI783" s="235">
        <f t="shared" si="743"/>
        <v>3.0748170731707316</v>
      </c>
      <c r="CJ783" s="235" cm="1">
        <f t="array" ref="CJ783">$BI783 * SUMPRODUCT(INDEX($AR$77:$AT$82,,$AI783),INDEX($AU$77:$BA$82,,$AH783), N($AQ$77:$AQ$82&gt;$AO783)) / CI783 / 1000</f>
        <v>0</v>
      </c>
      <c r="CK783" s="232">
        <f t="shared" si="722"/>
        <v>30</v>
      </c>
      <c r="CL783" s="230">
        <f t="shared" si="744"/>
        <v>43</v>
      </c>
      <c r="CM783" s="235">
        <f t="shared" si="745"/>
        <v>3.5018750000000001</v>
      </c>
      <c r="CN783" s="235" cm="1">
        <f t="array" ref="CN783">$BI783 * IF($AH783&lt;=2,
SUMPRODUCT(INDEX($AR$72:$AT$76,,$AI783), INDEX($AU$72:$BA$76,,$AH783), 1 / ($BB$72:$BB$76*CM783 + (1-$BB$72:$BB$76)*CI783), N($AQ$72:$AQ$76&gt;$AO783)),
SUMPRODUCT(INDEX($AR$67:$AT$76,,$AI783), INDEX($AU$67:$BA$76,,$AH783), 1 / ($BC$67:$BC$76*CM783 + (1-$BC$67:$BC$76)*CI783), N($AQ$67:$AQ$76&gt;$AO783))
) / 1000</f>
        <v>0</v>
      </c>
      <c r="CO783" s="232">
        <f t="shared" si="723"/>
        <v>25</v>
      </c>
      <c r="CP783" s="230">
        <f t="shared" si="746"/>
        <v>38</v>
      </c>
      <c r="CQ783" s="235">
        <f t="shared" si="747"/>
        <v>4.0666935483870965</v>
      </c>
      <c r="CR783" s="235" cm="1">
        <f t="array" ref="CR783">$BI783 * IF($AH783&lt;=2,
SUMPRODUCT(INDEX($AR$67:$AT$71,,$AI783), INDEX($AU$67:$BA$71,,$AH783), 1 / ($BB$67:$BB$71*CQ783 + (1-$BB$67:$BB$71)*CM783), N($AQ$67:$AQ$71&gt;$AO783)),
SUMPRODUCT(INDEX($AR$57:$AT$66,,$AI783), INDEX($AU$57:$BA$66,,$AH783), 1 / ($BC$57:$BC$66*CQ783 + (1-$BC$57:$BC$66)*CM783), N($AQ$57:$AQ$66&gt;$AO783))
) / 1000</f>
        <v>0</v>
      </c>
      <c r="CS783" s="232">
        <f t="shared" si="724"/>
        <v>20</v>
      </c>
      <c r="CT783" s="230">
        <f t="shared" si="748"/>
        <v>33</v>
      </c>
      <c r="CU783" s="235">
        <f t="shared" si="749"/>
        <v>4.8487499999999999</v>
      </c>
      <c r="CV783" s="235" cm="1">
        <f t="array" ref="CV783">$BI783 * IF($AH783&lt;=2,
SUMPRODUCT(INDEX($AR$62:$AT$66,,$AI783), INDEX($AU$62:$BA$66,,$AH783), 1 / ($BB$62:$BB$66*CU783 + (1-$BB$62:$BB$66)*CQ783), N($AQ$62:$AQ$66&gt;$AO783)),
SUMPRODUCT(INDEX($AR$47:$AT$56,,$AI783), INDEX($AU$47:$BA$56,,$AH783), 1 / ($BC$47:$BC$56*CU783 + (1-$BC$47:$BC$56)*CQ783), N($AQ$47:$AQ$56&gt;$AO783))
) / 1000</f>
        <v>0</v>
      </c>
      <c r="CW783" s="235" cm="1">
        <f t="array" ref="CW783">$BI783 * IF($AH783&lt;=2,
SUMPRODUCT(INDEX($AR$23:$AT$61,,$AI783), INDEX($AU$23:$BA$61,,$AH783), 1 / ($BB$23:$BB$61*CU783), N($AQ$23:$AQ$61&gt;$AO783)),
SUMPRODUCT(INDEX($AR$23:$AT$46,,$AI783), INDEX($AU$23:$BA$46,,$AH783), 1 / ($BC$23:$BC$46*CU783), N($AQ$23:$AQ$46&gt;$AO783))
) / 1000</f>
        <v>0</v>
      </c>
      <c r="CX783" s="230">
        <f t="shared" si="750"/>
        <v>0</v>
      </c>
      <c r="CY783" s="238"/>
    </row>
    <row r="784" spans="1:103" s="76" customFormat="1" ht="14.25" customHeight="1" x14ac:dyDescent="0.2">
      <c r="A784" s="231" t="b">
        <f t="shared" si="716"/>
        <v>0</v>
      </c>
      <c r="B784" s="245">
        <v>762</v>
      </c>
      <c r="C784" s="258"/>
      <c r="D784" s="258"/>
      <c r="E784" s="246"/>
      <c r="F784" s="247" t="str">
        <f>IF(ISBLANK(E784), "", VLOOKUP(E784, Z!$A$2:$C$4127, 3, FALSE))</f>
        <v/>
      </c>
      <c r="G784" s="248"/>
      <c r="H784" s="248"/>
      <c r="I784" s="249"/>
      <c r="J784" s="250"/>
      <c r="K784" s="259"/>
      <c r="L784" s="260"/>
      <c r="M784" s="252" t="str" cm="1">
        <f t="array" ref="M784">INDEX(Trad, 53, $A$20)</f>
        <v>Verschmutzt</v>
      </c>
      <c r="N784" s="253"/>
      <c r="O784" s="253"/>
      <c r="P784" s="254"/>
      <c r="Q784" s="251"/>
      <c r="R784" s="251"/>
      <c r="S784" s="264">
        <f t="shared" si="725"/>
        <v>0</v>
      </c>
      <c r="T784" s="252" t="str" cm="1">
        <f t="array" ref="T784">INDEX(Trad, 52, $A$20)</f>
        <v>Sauber</v>
      </c>
      <c r="U784" s="253"/>
      <c r="V784" s="253"/>
      <c r="W784" s="254"/>
      <c r="X784" s="251"/>
      <c r="Y784" s="251"/>
      <c r="Z784" s="264">
        <f t="shared" si="726"/>
        <v>0</v>
      </c>
      <c r="AA784" s="261"/>
      <c r="AB784" s="258"/>
      <c r="AC784" s="246"/>
      <c r="AD784" s="247" t="str">
        <f>IF(ISBLANK(AC784), "", VLOOKUP(AC784, Z!$A$2:$C$4127, 3, FALSE))</f>
        <v/>
      </c>
      <c r="AE784" s="262"/>
      <c r="AF784" s="263">
        <f t="shared" si="727"/>
        <v>0</v>
      </c>
      <c r="AG784" s="238"/>
      <c r="AH784" s="229">
        <f t="shared" si="751"/>
        <v>1</v>
      </c>
      <c r="AI784" s="229">
        <f t="shared" si="752"/>
        <v>1</v>
      </c>
      <c r="AJ784" s="229">
        <f t="shared" si="753"/>
        <v>0</v>
      </c>
      <c r="AK784" s="229">
        <v>0</v>
      </c>
      <c r="AL784" s="229">
        <v>0</v>
      </c>
      <c r="AM784" s="229">
        <v>1</v>
      </c>
      <c r="AN784" s="229">
        <v>0</v>
      </c>
      <c r="AO784" s="229">
        <f t="shared" si="728"/>
        <v>-100</v>
      </c>
      <c r="AP784" s="238"/>
      <c r="AQ784" s="255"/>
      <c r="AR784" s="255"/>
      <c r="AS784" s="256"/>
      <c r="AT784" s="256"/>
      <c r="AU784" s="256"/>
      <c r="AV784" s="256"/>
      <c r="AW784" s="256"/>
      <c r="AX784" s="256"/>
      <c r="AY784" s="256"/>
      <c r="AZ784" s="256"/>
      <c r="BA784" s="256"/>
      <c r="BB784" s="256"/>
      <c r="BC784" s="256"/>
      <c r="BD784" s="238"/>
      <c r="BE784" s="229" cm="1">
        <f t="array" ref="BE784">IF(ISBLANK(R784), INDEX(Use, $AH784, 4) - AM784*INDEX(Use, $AH784, 6), R784)</f>
        <v>5</v>
      </c>
      <c r="BF784" s="229">
        <f t="shared" si="729"/>
        <v>30</v>
      </c>
      <c r="BG784" s="229">
        <f t="shared" si="717"/>
        <v>13</v>
      </c>
      <c r="BH784" s="229">
        <f t="shared" si="718"/>
        <v>0</v>
      </c>
      <c r="BI784" s="234" cm="1">
        <f t="array" ref="BI784">K784/IF($L784&gt;0, INDEX($AU$23:$BA$77, $L784+20, $AH784), 1)</f>
        <v>0</v>
      </c>
      <c r="BJ784" s="230">
        <f t="shared" si="730"/>
        <v>0</v>
      </c>
      <c r="BK784" s="229">
        <v>35</v>
      </c>
      <c r="BL784" s="230">
        <f t="shared" si="731"/>
        <v>48</v>
      </c>
      <c r="BM784" s="235">
        <f t="shared" si="732"/>
        <v>2.9108720930232557</v>
      </c>
      <c r="BN784" s="235" cm="1">
        <f t="array" ref="BN784">$BI784 * SUMPRODUCT(INDEX($AR$77:$AT$82,,$AI784),INDEX($AU$77:$BA$82,,$AH784), N($AQ$77:$AQ$82&gt;$AO784)) / BM784 / 1000</f>
        <v>0</v>
      </c>
      <c r="BO784" s="232">
        <f t="shared" si="719"/>
        <v>30</v>
      </c>
      <c r="BP784" s="230">
        <f t="shared" si="733"/>
        <v>43</v>
      </c>
      <c r="BQ784" s="235">
        <f t="shared" si="734"/>
        <v>3.2938815789473681</v>
      </c>
      <c r="BR784" s="235" cm="1">
        <f t="array" ref="BR784">$BI784 * IF($AH784&lt;=2,
SUMPRODUCT(INDEX($AR$72:$AT$76,,$AI784), INDEX($AU$72:$BA$76,,$AH784), 1 / ($BB$72:$BB$76*BQ784 + (1-$BB$72:$BB$76)*BM784), N($AQ$72:$AQ$76&gt;$AO784)),
SUMPRODUCT(INDEX($AR$67:$AT$76,,$AI784), INDEX($AU$67:$BA$76,,$AH784), 1 / ($BC$67:$BC$76*BQ784 + (1-$BC$67:$BC$76)*BM784), N($AQ$67:$AQ$76&gt;$AO784))
) / 1000</f>
        <v>0</v>
      </c>
      <c r="BS784" s="232">
        <f t="shared" si="720"/>
        <v>25</v>
      </c>
      <c r="BT784" s="230">
        <f t="shared" si="735"/>
        <v>38</v>
      </c>
      <c r="BU784" s="235">
        <f t="shared" si="736"/>
        <v>3.792954545454545</v>
      </c>
      <c r="BV784" s="235" cm="1">
        <f t="array" ref="BV784">$BI784 * IF($AH784&lt;=2,
SUMPRODUCT(INDEX($AR$67:$AT$71,,$AI784), INDEX($AU$67:$BA$71,,$AH784), 1 / ($BB$67:$BB$71*BU784 + (1-$BB$67:$BB$71)*BQ784), N($AQ$67:$AQ$71&gt;$AO784)),
SUMPRODUCT(INDEX($AR$57:$AT$66,,$AI784), INDEX($AU$57:$BA$66,,$AH784), 1 / ($BC$57:$BC$66*BU784 + (1-$BC$57:$BC$66)*BQ784), N($AQ$57:$AQ$66&gt;$AO784))
) / 1000</f>
        <v>0</v>
      </c>
      <c r="BW784" s="232">
        <f t="shared" si="721"/>
        <v>20</v>
      </c>
      <c r="BX784" s="230">
        <f t="shared" si="737"/>
        <v>33</v>
      </c>
      <c r="BY784" s="235">
        <f t="shared" si="738"/>
        <v>4.4702678571428569</v>
      </c>
      <c r="BZ784" s="235" cm="1">
        <f t="array" ref="BZ784">$BI784 * IF($AH784&lt;=2,
SUMPRODUCT(INDEX($AR$62:$AT$66,,$AI784), INDEX($AU$62:$BA$66,,$AH784), 1 / ($BB$62:$BB$66*BY784 + (1-$BB$62:$BB$66)*BU784), N($AQ$62:$AQ$66&gt;$AO784)),
SUMPRODUCT(INDEX($AR$47:$AT$56,,$AI784), INDEX($AU$47:$BA$56,,$AH784), 1 / ($BC$47:$BC$56*BY784 + (1-$BC$47:$BC$56)*BU784), N($AQ$47:$AQ$56&gt;$AO784))
) / 1000</f>
        <v>0</v>
      </c>
      <c r="CA784" s="235" cm="1">
        <f t="array" ref="CA784">$BI784 * IF($AH784&lt;=2,
SUMPRODUCT(INDEX($AR$23:$AT$61,,$AI784), INDEX($AU$23:$BA$61,,$AH784), 1 / ($BB$23:$BB$61*BY784), N($AQ$23:$AQ$61&gt;$AO784)),
SUMPRODUCT(INDEX($AR$23:$AT$46,,$AI784), INDEX($AU$23:$BA$46,,$AH784), 1 / ($BC$23:$BC$46*BY784), N($AQ$23:$AQ$46&gt;$AO784))
) / 1000</f>
        <v>0</v>
      </c>
      <c r="CB784" s="230">
        <f t="shared" si="739"/>
        <v>0</v>
      </c>
      <c r="CC784" s="238"/>
      <c r="CD784" s="229" cm="1">
        <f t="array" ref="CD784">IF(ISBLANK(Y784), INDEX(Use, $AH784, 4) - AN784*INDEX(Use, $AH784, 6) - (Q784-X784), Y784)</f>
        <v>7</v>
      </c>
      <c r="CE784" s="229">
        <f t="shared" si="740"/>
        <v>32</v>
      </c>
      <c r="CF784" s="230">
        <f t="shared" si="741"/>
        <v>0</v>
      </c>
      <c r="CG784" s="229">
        <v>35</v>
      </c>
      <c r="CH784" s="230">
        <f t="shared" si="742"/>
        <v>48</v>
      </c>
      <c r="CI784" s="235">
        <f t="shared" si="743"/>
        <v>3.0748170731707316</v>
      </c>
      <c r="CJ784" s="235" cm="1">
        <f t="array" ref="CJ784">$BI784 * SUMPRODUCT(INDEX($AR$77:$AT$82,,$AI784),INDEX($AU$77:$BA$82,,$AH784), N($AQ$77:$AQ$82&gt;$AO784)) / CI784 / 1000</f>
        <v>0</v>
      </c>
      <c r="CK784" s="232">
        <f t="shared" si="722"/>
        <v>30</v>
      </c>
      <c r="CL784" s="230">
        <f t="shared" si="744"/>
        <v>43</v>
      </c>
      <c r="CM784" s="235">
        <f t="shared" si="745"/>
        <v>3.5018750000000001</v>
      </c>
      <c r="CN784" s="235" cm="1">
        <f t="array" ref="CN784">$BI784 * IF($AH784&lt;=2,
SUMPRODUCT(INDEX($AR$72:$AT$76,,$AI784), INDEX($AU$72:$BA$76,,$AH784), 1 / ($BB$72:$BB$76*CM784 + (1-$BB$72:$BB$76)*CI784), N($AQ$72:$AQ$76&gt;$AO784)),
SUMPRODUCT(INDEX($AR$67:$AT$76,,$AI784), INDEX($AU$67:$BA$76,,$AH784), 1 / ($BC$67:$BC$76*CM784 + (1-$BC$67:$BC$76)*CI784), N($AQ$67:$AQ$76&gt;$AO784))
) / 1000</f>
        <v>0</v>
      </c>
      <c r="CO784" s="232">
        <f t="shared" si="723"/>
        <v>25</v>
      </c>
      <c r="CP784" s="230">
        <f t="shared" si="746"/>
        <v>38</v>
      </c>
      <c r="CQ784" s="235">
        <f t="shared" si="747"/>
        <v>4.0666935483870965</v>
      </c>
      <c r="CR784" s="235" cm="1">
        <f t="array" ref="CR784">$BI784 * IF($AH784&lt;=2,
SUMPRODUCT(INDEX($AR$67:$AT$71,,$AI784), INDEX($AU$67:$BA$71,,$AH784), 1 / ($BB$67:$BB$71*CQ784 + (1-$BB$67:$BB$71)*CM784), N($AQ$67:$AQ$71&gt;$AO784)),
SUMPRODUCT(INDEX($AR$57:$AT$66,,$AI784), INDEX($AU$57:$BA$66,,$AH784), 1 / ($BC$57:$BC$66*CQ784 + (1-$BC$57:$BC$66)*CM784), N($AQ$57:$AQ$66&gt;$AO784))
) / 1000</f>
        <v>0</v>
      </c>
      <c r="CS784" s="232">
        <f t="shared" si="724"/>
        <v>20</v>
      </c>
      <c r="CT784" s="230">
        <f t="shared" si="748"/>
        <v>33</v>
      </c>
      <c r="CU784" s="235">
        <f t="shared" si="749"/>
        <v>4.8487499999999999</v>
      </c>
      <c r="CV784" s="235" cm="1">
        <f t="array" ref="CV784">$BI784 * IF($AH784&lt;=2,
SUMPRODUCT(INDEX($AR$62:$AT$66,,$AI784), INDEX($AU$62:$BA$66,,$AH784), 1 / ($BB$62:$BB$66*CU784 + (1-$BB$62:$BB$66)*CQ784), N($AQ$62:$AQ$66&gt;$AO784)),
SUMPRODUCT(INDEX($AR$47:$AT$56,,$AI784), INDEX($AU$47:$BA$56,,$AH784), 1 / ($BC$47:$BC$56*CU784 + (1-$BC$47:$BC$56)*CQ784), N($AQ$47:$AQ$56&gt;$AO784))
) / 1000</f>
        <v>0</v>
      </c>
      <c r="CW784" s="235" cm="1">
        <f t="array" ref="CW784">$BI784 * IF($AH784&lt;=2,
SUMPRODUCT(INDEX($AR$23:$AT$61,,$AI784), INDEX($AU$23:$BA$61,,$AH784), 1 / ($BB$23:$BB$61*CU784), N($AQ$23:$AQ$61&gt;$AO784)),
SUMPRODUCT(INDEX($AR$23:$AT$46,,$AI784), INDEX($AU$23:$BA$46,,$AH784), 1 / ($BC$23:$BC$46*CU784), N($AQ$23:$AQ$46&gt;$AO784))
) / 1000</f>
        <v>0</v>
      </c>
      <c r="CX784" s="230">
        <f t="shared" si="750"/>
        <v>0</v>
      </c>
      <c r="CY784" s="238"/>
    </row>
    <row r="785" spans="1:103" s="76" customFormat="1" ht="14.25" customHeight="1" x14ac:dyDescent="0.2">
      <c r="A785" s="231" t="b">
        <f t="shared" si="716"/>
        <v>0</v>
      </c>
      <c r="B785" s="245">
        <v>763</v>
      </c>
      <c r="C785" s="258"/>
      <c r="D785" s="258"/>
      <c r="E785" s="246"/>
      <c r="F785" s="247" t="str">
        <f>IF(ISBLANK(E785), "", VLOOKUP(E785, Z!$A$2:$C$4127, 3, FALSE))</f>
        <v/>
      </c>
      <c r="G785" s="248"/>
      <c r="H785" s="248"/>
      <c r="I785" s="249"/>
      <c r="J785" s="250"/>
      <c r="K785" s="259"/>
      <c r="L785" s="260"/>
      <c r="M785" s="252" t="str" cm="1">
        <f t="array" ref="M785">INDEX(Trad, 53, $A$20)</f>
        <v>Verschmutzt</v>
      </c>
      <c r="N785" s="253"/>
      <c r="O785" s="253"/>
      <c r="P785" s="254"/>
      <c r="Q785" s="251"/>
      <c r="R785" s="251"/>
      <c r="S785" s="264">
        <f t="shared" si="725"/>
        <v>0</v>
      </c>
      <c r="T785" s="252" t="str" cm="1">
        <f t="array" ref="T785">INDEX(Trad, 52, $A$20)</f>
        <v>Sauber</v>
      </c>
      <c r="U785" s="253"/>
      <c r="V785" s="253"/>
      <c r="W785" s="254"/>
      <c r="X785" s="251"/>
      <c r="Y785" s="251"/>
      <c r="Z785" s="264">
        <f t="shared" si="726"/>
        <v>0</v>
      </c>
      <c r="AA785" s="261"/>
      <c r="AB785" s="258"/>
      <c r="AC785" s="246"/>
      <c r="AD785" s="247" t="str">
        <f>IF(ISBLANK(AC785), "", VLOOKUP(AC785, Z!$A$2:$C$4127, 3, FALSE))</f>
        <v/>
      </c>
      <c r="AE785" s="262"/>
      <c r="AF785" s="263">
        <f t="shared" si="727"/>
        <v>0</v>
      </c>
      <c r="AG785" s="238"/>
      <c r="AH785" s="229">
        <f t="shared" si="751"/>
        <v>1</v>
      </c>
      <c r="AI785" s="229">
        <f t="shared" si="752"/>
        <v>1</v>
      </c>
      <c r="AJ785" s="229">
        <f t="shared" si="753"/>
        <v>0</v>
      </c>
      <c r="AK785" s="229">
        <v>0</v>
      </c>
      <c r="AL785" s="229">
        <v>0</v>
      </c>
      <c r="AM785" s="229">
        <v>1</v>
      </c>
      <c r="AN785" s="229">
        <v>0</v>
      </c>
      <c r="AO785" s="229">
        <f t="shared" si="728"/>
        <v>-100</v>
      </c>
      <c r="AP785" s="238"/>
      <c r="AQ785" s="255"/>
      <c r="AR785" s="255"/>
      <c r="AS785" s="256"/>
      <c r="AT785" s="256"/>
      <c r="AU785" s="256"/>
      <c r="AV785" s="256"/>
      <c r="AW785" s="256"/>
      <c r="AX785" s="256"/>
      <c r="AY785" s="256"/>
      <c r="AZ785" s="256"/>
      <c r="BA785" s="256"/>
      <c r="BB785" s="256"/>
      <c r="BC785" s="256"/>
      <c r="BD785" s="238"/>
      <c r="BE785" s="229" cm="1">
        <f t="array" ref="BE785">IF(ISBLANK(R785), INDEX(Use, $AH785, 4) - AM785*INDEX(Use, $AH785, 6), R785)</f>
        <v>5</v>
      </c>
      <c r="BF785" s="229">
        <f t="shared" si="729"/>
        <v>30</v>
      </c>
      <c r="BG785" s="229">
        <f t="shared" si="717"/>
        <v>13</v>
      </c>
      <c r="BH785" s="229">
        <f t="shared" si="718"/>
        <v>0</v>
      </c>
      <c r="BI785" s="234" cm="1">
        <f t="array" ref="BI785">K785/IF($L785&gt;0, INDEX($AU$23:$BA$77, $L785+20, $AH785), 1)</f>
        <v>0</v>
      </c>
      <c r="BJ785" s="230">
        <f t="shared" si="730"/>
        <v>0</v>
      </c>
      <c r="BK785" s="229">
        <v>35</v>
      </c>
      <c r="BL785" s="230">
        <f t="shared" si="731"/>
        <v>48</v>
      </c>
      <c r="BM785" s="235">
        <f t="shared" si="732"/>
        <v>2.9108720930232557</v>
      </c>
      <c r="BN785" s="235" cm="1">
        <f t="array" ref="BN785">$BI785 * SUMPRODUCT(INDEX($AR$77:$AT$82,,$AI785),INDEX($AU$77:$BA$82,,$AH785), N($AQ$77:$AQ$82&gt;$AO785)) / BM785 / 1000</f>
        <v>0</v>
      </c>
      <c r="BO785" s="232">
        <f t="shared" si="719"/>
        <v>30</v>
      </c>
      <c r="BP785" s="230">
        <f t="shared" si="733"/>
        <v>43</v>
      </c>
      <c r="BQ785" s="235">
        <f t="shared" si="734"/>
        <v>3.2938815789473681</v>
      </c>
      <c r="BR785" s="235" cm="1">
        <f t="array" ref="BR785">$BI785 * IF($AH785&lt;=2,
SUMPRODUCT(INDEX($AR$72:$AT$76,,$AI785), INDEX($AU$72:$BA$76,,$AH785), 1 / ($BB$72:$BB$76*BQ785 + (1-$BB$72:$BB$76)*BM785), N($AQ$72:$AQ$76&gt;$AO785)),
SUMPRODUCT(INDEX($AR$67:$AT$76,,$AI785), INDEX($AU$67:$BA$76,,$AH785), 1 / ($BC$67:$BC$76*BQ785 + (1-$BC$67:$BC$76)*BM785), N($AQ$67:$AQ$76&gt;$AO785))
) / 1000</f>
        <v>0</v>
      </c>
      <c r="BS785" s="232">
        <f t="shared" si="720"/>
        <v>25</v>
      </c>
      <c r="BT785" s="230">
        <f t="shared" si="735"/>
        <v>38</v>
      </c>
      <c r="BU785" s="235">
        <f t="shared" si="736"/>
        <v>3.792954545454545</v>
      </c>
      <c r="BV785" s="235" cm="1">
        <f t="array" ref="BV785">$BI785 * IF($AH785&lt;=2,
SUMPRODUCT(INDEX($AR$67:$AT$71,,$AI785), INDEX($AU$67:$BA$71,,$AH785), 1 / ($BB$67:$BB$71*BU785 + (1-$BB$67:$BB$71)*BQ785), N($AQ$67:$AQ$71&gt;$AO785)),
SUMPRODUCT(INDEX($AR$57:$AT$66,,$AI785), INDEX($AU$57:$BA$66,,$AH785), 1 / ($BC$57:$BC$66*BU785 + (1-$BC$57:$BC$66)*BQ785), N($AQ$57:$AQ$66&gt;$AO785))
) / 1000</f>
        <v>0</v>
      </c>
      <c r="BW785" s="232">
        <f t="shared" si="721"/>
        <v>20</v>
      </c>
      <c r="BX785" s="230">
        <f t="shared" si="737"/>
        <v>33</v>
      </c>
      <c r="BY785" s="235">
        <f t="shared" si="738"/>
        <v>4.4702678571428569</v>
      </c>
      <c r="BZ785" s="235" cm="1">
        <f t="array" ref="BZ785">$BI785 * IF($AH785&lt;=2,
SUMPRODUCT(INDEX($AR$62:$AT$66,,$AI785), INDEX($AU$62:$BA$66,,$AH785), 1 / ($BB$62:$BB$66*BY785 + (1-$BB$62:$BB$66)*BU785), N($AQ$62:$AQ$66&gt;$AO785)),
SUMPRODUCT(INDEX($AR$47:$AT$56,,$AI785), INDEX($AU$47:$BA$56,,$AH785), 1 / ($BC$47:$BC$56*BY785 + (1-$BC$47:$BC$56)*BU785), N($AQ$47:$AQ$56&gt;$AO785))
) / 1000</f>
        <v>0</v>
      </c>
      <c r="CA785" s="235" cm="1">
        <f t="array" ref="CA785">$BI785 * IF($AH785&lt;=2,
SUMPRODUCT(INDEX($AR$23:$AT$61,,$AI785), INDEX($AU$23:$BA$61,,$AH785), 1 / ($BB$23:$BB$61*BY785), N($AQ$23:$AQ$61&gt;$AO785)),
SUMPRODUCT(INDEX($AR$23:$AT$46,,$AI785), INDEX($AU$23:$BA$46,,$AH785), 1 / ($BC$23:$BC$46*BY785), N($AQ$23:$AQ$46&gt;$AO785))
) / 1000</f>
        <v>0</v>
      </c>
      <c r="CB785" s="230">
        <f t="shared" si="739"/>
        <v>0</v>
      </c>
      <c r="CC785" s="238"/>
      <c r="CD785" s="229" cm="1">
        <f t="array" ref="CD785">IF(ISBLANK(Y785), INDEX(Use, $AH785, 4) - AN785*INDEX(Use, $AH785, 6) - (Q785-X785), Y785)</f>
        <v>7</v>
      </c>
      <c r="CE785" s="229">
        <f t="shared" si="740"/>
        <v>32</v>
      </c>
      <c r="CF785" s="230">
        <f t="shared" si="741"/>
        <v>0</v>
      </c>
      <c r="CG785" s="229">
        <v>35</v>
      </c>
      <c r="CH785" s="230">
        <f t="shared" si="742"/>
        <v>48</v>
      </c>
      <c r="CI785" s="235">
        <f t="shared" si="743"/>
        <v>3.0748170731707316</v>
      </c>
      <c r="CJ785" s="235" cm="1">
        <f t="array" ref="CJ785">$BI785 * SUMPRODUCT(INDEX($AR$77:$AT$82,,$AI785),INDEX($AU$77:$BA$82,,$AH785), N($AQ$77:$AQ$82&gt;$AO785)) / CI785 / 1000</f>
        <v>0</v>
      </c>
      <c r="CK785" s="232">
        <f t="shared" si="722"/>
        <v>30</v>
      </c>
      <c r="CL785" s="230">
        <f t="shared" si="744"/>
        <v>43</v>
      </c>
      <c r="CM785" s="235">
        <f t="shared" si="745"/>
        <v>3.5018750000000001</v>
      </c>
      <c r="CN785" s="235" cm="1">
        <f t="array" ref="CN785">$BI785 * IF($AH785&lt;=2,
SUMPRODUCT(INDEX($AR$72:$AT$76,,$AI785), INDEX($AU$72:$BA$76,,$AH785), 1 / ($BB$72:$BB$76*CM785 + (1-$BB$72:$BB$76)*CI785), N($AQ$72:$AQ$76&gt;$AO785)),
SUMPRODUCT(INDEX($AR$67:$AT$76,,$AI785), INDEX($AU$67:$BA$76,,$AH785), 1 / ($BC$67:$BC$76*CM785 + (1-$BC$67:$BC$76)*CI785), N($AQ$67:$AQ$76&gt;$AO785))
) / 1000</f>
        <v>0</v>
      </c>
      <c r="CO785" s="232">
        <f t="shared" si="723"/>
        <v>25</v>
      </c>
      <c r="CP785" s="230">
        <f t="shared" si="746"/>
        <v>38</v>
      </c>
      <c r="CQ785" s="235">
        <f t="shared" si="747"/>
        <v>4.0666935483870965</v>
      </c>
      <c r="CR785" s="235" cm="1">
        <f t="array" ref="CR785">$BI785 * IF($AH785&lt;=2,
SUMPRODUCT(INDEX($AR$67:$AT$71,,$AI785), INDEX($AU$67:$BA$71,,$AH785), 1 / ($BB$67:$BB$71*CQ785 + (1-$BB$67:$BB$71)*CM785), N($AQ$67:$AQ$71&gt;$AO785)),
SUMPRODUCT(INDEX($AR$57:$AT$66,,$AI785), INDEX($AU$57:$BA$66,,$AH785), 1 / ($BC$57:$BC$66*CQ785 + (1-$BC$57:$BC$66)*CM785), N($AQ$57:$AQ$66&gt;$AO785))
) / 1000</f>
        <v>0</v>
      </c>
      <c r="CS785" s="232">
        <f t="shared" si="724"/>
        <v>20</v>
      </c>
      <c r="CT785" s="230">
        <f t="shared" si="748"/>
        <v>33</v>
      </c>
      <c r="CU785" s="235">
        <f t="shared" si="749"/>
        <v>4.8487499999999999</v>
      </c>
      <c r="CV785" s="235" cm="1">
        <f t="array" ref="CV785">$BI785 * IF($AH785&lt;=2,
SUMPRODUCT(INDEX($AR$62:$AT$66,,$AI785), INDEX($AU$62:$BA$66,,$AH785), 1 / ($BB$62:$BB$66*CU785 + (1-$BB$62:$BB$66)*CQ785), N($AQ$62:$AQ$66&gt;$AO785)),
SUMPRODUCT(INDEX($AR$47:$AT$56,,$AI785), INDEX($AU$47:$BA$56,,$AH785), 1 / ($BC$47:$BC$56*CU785 + (1-$BC$47:$BC$56)*CQ785), N($AQ$47:$AQ$56&gt;$AO785))
) / 1000</f>
        <v>0</v>
      </c>
      <c r="CW785" s="235" cm="1">
        <f t="array" ref="CW785">$BI785 * IF($AH785&lt;=2,
SUMPRODUCT(INDEX($AR$23:$AT$61,,$AI785), INDEX($AU$23:$BA$61,,$AH785), 1 / ($BB$23:$BB$61*CU785), N($AQ$23:$AQ$61&gt;$AO785)),
SUMPRODUCT(INDEX($AR$23:$AT$46,,$AI785), INDEX($AU$23:$BA$46,,$AH785), 1 / ($BC$23:$BC$46*CU785), N($AQ$23:$AQ$46&gt;$AO785))
) / 1000</f>
        <v>0</v>
      </c>
      <c r="CX785" s="230">
        <f t="shared" si="750"/>
        <v>0</v>
      </c>
      <c r="CY785" s="238"/>
    </row>
    <row r="786" spans="1:103" s="76" customFormat="1" ht="14.25" customHeight="1" x14ac:dyDescent="0.2">
      <c r="A786" s="231" t="b">
        <f t="shared" si="716"/>
        <v>0</v>
      </c>
      <c r="B786" s="245">
        <v>764</v>
      </c>
      <c r="C786" s="258"/>
      <c r="D786" s="258"/>
      <c r="E786" s="246"/>
      <c r="F786" s="247" t="str">
        <f>IF(ISBLANK(E786), "", VLOOKUP(E786, Z!$A$2:$C$4127, 3, FALSE))</f>
        <v/>
      </c>
      <c r="G786" s="248"/>
      <c r="H786" s="248"/>
      <c r="I786" s="249"/>
      <c r="J786" s="250"/>
      <c r="K786" s="259"/>
      <c r="L786" s="260"/>
      <c r="M786" s="252" t="str" cm="1">
        <f t="array" ref="M786">INDEX(Trad, 53, $A$20)</f>
        <v>Verschmutzt</v>
      </c>
      <c r="N786" s="253"/>
      <c r="O786" s="253"/>
      <c r="P786" s="254"/>
      <c r="Q786" s="251"/>
      <c r="R786" s="251"/>
      <c r="S786" s="264">
        <f t="shared" si="725"/>
        <v>0</v>
      </c>
      <c r="T786" s="252" t="str" cm="1">
        <f t="array" ref="T786">INDEX(Trad, 52, $A$20)</f>
        <v>Sauber</v>
      </c>
      <c r="U786" s="253"/>
      <c r="V786" s="253"/>
      <c r="W786" s="254"/>
      <c r="X786" s="251"/>
      <c r="Y786" s="251"/>
      <c r="Z786" s="264">
        <f t="shared" si="726"/>
        <v>0</v>
      </c>
      <c r="AA786" s="261"/>
      <c r="AB786" s="258"/>
      <c r="AC786" s="246"/>
      <c r="AD786" s="247" t="str">
        <f>IF(ISBLANK(AC786), "", VLOOKUP(AC786, Z!$A$2:$C$4127, 3, FALSE))</f>
        <v/>
      </c>
      <c r="AE786" s="262"/>
      <c r="AF786" s="263">
        <f t="shared" si="727"/>
        <v>0</v>
      </c>
      <c r="AG786" s="238"/>
      <c r="AH786" s="229">
        <f t="shared" si="751"/>
        <v>1</v>
      </c>
      <c r="AI786" s="229">
        <f t="shared" si="752"/>
        <v>1</v>
      </c>
      <c r="AJ786" s="229">
        <f t="shared" si="753"/>
        <v>0</v>
      </c>
      <c r="AK786" s="229">
        <v>0</v>
      </c>
      <c r="AL786" s="229">
        <v>0</v>
      </c>
      <c r="AM786" s="229">
        <v>1</v>
      </c>
      <c r="AN786" s="229">
        <v>0</v>
      </c>
      <c r="AO786" s="229">
        <f t="shared" si="728"/>
        <v>-100</v>
      </c>
      <c r="AP786" s="238"/>
      <c r="AQ786" s="255"/>
      <c r="AR786" s="255"/>
      <c r="AS786" s="256"/>
      <c r="AT786" s="256"/>
      <c r="AU786" s="256"/>
      <c r="AV786" s="256"/>
      <c r="AW786" s="256"/>
      <c r="AX786" s="256"/>
      <c r="AY786" s="256"/>
      <c r="AZ786" s="256"/>
      <c r="BA786" s="256"/>
      <c r="BB786" s="256"/>
      <c r="BC786" s="256"/>
      <c r="BD786" s="238"/>
      <c r="BE786" s="229" cm="1">
        <f t="array" ref="BE786">IF(ISBLANK(R786), INDEX(Use, $AH786, 4) - AM786*INDEX(Use, $AH786, 6), R786)</f>
        <v>5</v>
      </c>
      <c r="BF786" s="229">
        <f t="shared" si="729"/>
        <v>30</v>
      </c>
      <c r="BG786" s="229">
        <f t="shared" si="717"/>
        <v>13</v>
      </c>
      <c r="BH786" s="229">
        <f t="shared" si="718"/>
        <v>0</v>
      </c>
      <c r="BI786" s="234" cm="1">
        <f t="array" ref="BI786">K786/IF($L786&gt;0, INDEX($AU$23:$BA$77, $L786+20, $AH786), 1)</f>
        <v>0</v>
      </c>
      <c r="BJ786" s="230">
        <f t="shared" si="730"/>
        <v>0</v>
      </c>
      <c r="BK786" s="229">
        <v>35</v>
      </c>
      <c r="BL786" s="230">
        <f t="shared" si="731"/>
        <v>48</v>
      </c>
      <c r="BM786" s="235">
        <f t="shared" si="732"/>
        <v>2.9108720930232557</v>
      </c>
      <c r="BN786" s="235" cm="1">
        <f t="array" ref="BN786">$BI786 * SUMPRODUCT(INDEX($AR$77:$AT$82,,$AI786),INDEX($AU$77:$BA$82,,$AH786), N($AQ$77:$AQ$82&gt;$AO786)) / BM786 / 1000</f>
        <v>0</v>
      </c>
      <c r="BO786" s="232">
        <f t="shared" si="719"/>
        <v>30</v>
      </c>
      <c r="BP786" s="230">
        <f t="shared" si="733"/>
        <v>43</v>
      </c>
      <c r="BQ786" s="235">
        <f t="shared" si="734"/>
        <v>3.2938815789473681</v>
      </c>
      <c r="BR786" s="235" cm="1">
        <f t="array" ref="BR786">$BI786 * IF($AH786&lt;=2,
SUMPRODUCT(INDEX($AR$72:$AT$76,,$AI786), INDEX($AU$72:$BA$76,,$AH786), 1 / ($BB$72:$BB$76*BQ786 + (1-$BB$72:$BB$76)*BM786), N($AQ$72:$AQ$76&gt;$AO786)),
SUMPRODUCT(INDEX($AR$67:$AT$76,,$AI786), INDEX($AU$67:$BA$76,,$AH786), 1 / ($BC$67:$BC$76*BQ786 + (1-$BC$67:$BC$76)*BM786), N($AQ$67:$AQ$76&gt;$AO786))
) / 1000</f>
        <v>0</v>
      </c>
      <c r="BS786" s="232">
        <f t="shared" si="720"/>
        <v>25</v>
      </c>
      <c r="BT786" s="230">
        <f t="shared" si="735"/>
        <v>38</v>
      </c>
      <c r="BU786" s="235">
        <f t="shared" si="736"/>
        <v>3.792954545454545</v>
      </c>
      <c r="BV786" s="235" cm="1">
        <f t="array" ref="BV786">$BI786 * IF($AH786&lt;=2,
SUMPRODUCT(INDEX($AR$67:$AT$71,,$AI786), INDEX($AU$67:$BA$71,,$AH786), 1 / ($BB$67:$BB$71*BU786 + (1-$BB$67:$BB$71)*BQ786), N($AQ$67:$AQ$71&gt;$AO786)),
SUMPRODUCT(INDEX($AR$57:$AT$66,,$AI786), INDEX($AU$57:$BA$66,,$AH786), 1 / ($BC$57:$BC$66*BU786 + (1-$BC$57:$BC$66)*BQ786), N($AQ$57:$AQ$66&gt;$AO786))
) / 1000</f>
        <v>0</v>
      </c>
      <c r="BW786" s="232">
        <f t="shared" si="721"/>
        <v>20</v>
      </c>
      <c r="BX786" s="230">
        <f t="shared" si="737"/>
        <v>33</v>
      </c>
      <c r="BY786" s="235">
        <f t="shared" si="738"/>
        <v>4.4702678571428569</v>
      </c>
      <c r="BZ786" s="235" cm="1">
        <f t="array" ref="BZ786">$BI786 * IF($AH786&lt;=2,
SUMPRODUCT(INDEX($AR$62:$AT$66,,$AI786), INDEX($AU$62:$BA$66,,$AH786), 1 / ($BB$62:$BB$66*BY786 + (1-$BB$62:$BB$66)*BU786), N($AQ$62:$AQ$66&gt;$AO786)),
SUMPRODUCT(INDEX($AR$47:$AT$56,,$AI786), INDEX($AU$47:$BA$56,,$AH786), 1 / ($BC$47:$BC$56*BY786 + (1-$BC$47:$BC$56)*BU786), N($AQ$47:$AQ$56&gt;$AO786))
) / 1000</f>
        <v>0</v>
      </c>
      <c r="CA786" s="235" cm="1">
        <f t="array" ref="CA786">$BI786 * IF($AH786&lt;=2,
SUMPRODUCT(INDEX($AR$23:$AT$61,,$AI786), INDEX($AU$23:$BA$61,,$AH786), 1 / ($BB$23:$BB$61*BY786), N($AQ$23:$AQ$61&gt;$AO786)),
SUMPRODUCT(INDEX($AR$23:$AT$46,,$AI786), INDEX($AU$23:$BA$46,,$AH786), 1 / ($BC$23:$BC$46*BY786), N($AQ$23:$AQ$46&gt;$AO786))
) / 1000</f>
        <v>0</v>
      </c>
      <c r="CB786" s="230">
        <f t="shared" si="739"/>
        <v>0</v>
      </c>
      <c r="CC786" s="238"/>
      <c r="CD786" s="229" cm="1">
        <f t="array" ref="CD786">IF(ISBLANK(Y786), INDEX(Use, $AH786, 4) - AN786*INDEX(Use, $AH786, 6) - (Q786-X786), Y786)</f>
        <v>7</v>
      </c>
      <c r="CE786" s="229">
        <f t="shared" si="740"/>
        <v>32</v>
      </c>
      <c r="CF786" s="230">
        <f t="shared" si="741"/>
        <v>0</v>
      </c>
      <c r="CG786" s="229">
        <v>35</v>
      </c>
      <c r="CH786" s="230">
        <f t="shared" si="742"/>
        <v>48</v>
      </c>
      <c r="CI786" s="235">
        <f t="shared" si="743"/>
        <v>3.0748170731707316</v>
      </c>
      <c r="CJ786" s="235" cm="1">
        <f t="array" ref="CJ786">$BI786 * SUMPRODUCT(INDEX($AR$77:$AT$82,,$AI786),INDEX($AU$77:$BA$82,,$AH786), N($AQ$77:$AQ$82&gt;$AO786)) / CI786 / 1000</f>
        <v>0</v>
      </c>
      <c r="CK786" s="232">
        <f t="shared" si="722"/>
        <v>30</v>
      </c>
      <c r="CL786" s="230">
        <f t="shared" si="744"/>
        <v>43</v>
      </c>
      <c r="CM786" s="235">
        <f t="shared" si="745"/>
        <v>3.5018750000000001</v>
      </c>
      <c r="CN786" s="235" cm="1">
        <f t="array" ref="CN786">$BI786 * IF($AH786&lt;=2,
SUMPRODUCT(INDEX($AR$72:$AT$76,,$AI786), INDEX($AU$72:$BA$76,,$AH786), 1 / ($BB$72:$BB$76*CM786 + (1-$BB$72:$BB$76)*CI786), N($AQ$72:$AQ$76&gt;$AO786)),
SUMPRODUCT(INDEX($AR$67:$AT$76,,$AI786), INDEX($AU$67:$BA$76,,$AH786), 1 / ($BC$67:$BC$76*CM786 + (1-$BC$67:$BC$76)*CI786), N($AQ$67:$AQ$76&gt;$AO786))
) / 1000</f>
        <v>0</v>
      </c>
      <c r="CO786" s="232">
        <f t="shared" si="723"/>
        <v>25</v>
      </c>
      <c r="CP786" s="230">
        <f t="shared" si="746"/>
        <v>38</v>
      </c>
      <c r="CQ786" s="235">
        <f t="shared" si="747"/>
        <v>4.0666935483870965</v>
      </c>
      <c r="CR786" s="235" cm="1">
        <f t="array" ref="CR786">$BI786 * IF($AH786&lt;=2,
SUMPRODUCT(INDEX($AR$67:$AT$71,,$AI786), INDEX($AU$67:$BA$71,,$AH786), 1 / ($BB$67:$BB$71*CQ786 + (1-$BB$67:$BB$71)*CM786), N($AQ$67:$AQ$71&gt;$AO786)),
SUMPRODUCT(INDEX($AR$57:$AT$66,,$AI786), INDEX($AU$57:$BA$66,,$AH786), 1 / ($BC$57:$BC$66*CQ786 + (1-$BC$57:$BC$66)*CM786), N($AQ$57:$AQ$66&gt;$AO786))
) / 1000</f>
        <v>0</v>
      </c>
      <c r="CS786" s="232">
        <f t="shared" si="724"/>
        <v>20</v>
      </c>
      <c r="CT786" s="230">
        <f t="shared" si="748"/>
        <v>33</v>
      </c>
      <c r="CU786" s="235">
        <f t="shared" si="749"/>
        <v>4.8487499999999999</v>
      </c>
      <c r="CV786" s="235" cm="1">
        <f t="array" ref="CV786">$BI786 * IF($AH786&lt;=2,
SUMPRODUCT(INDEX($AR$62:$AT$66,,$AI786), INDEX($AU$62:$BA$66,,$AH786), 1 / ($BB$62:$BB$66*CU786 + (1-$BB$62:$BB$66)*CQ786), N($AQ$62:$AQ$66&gt;$AO786)),
SUMPRODUCT(INDEX($AR$47:$AT$56,,$AI786), INDEX($AU$47:$BA$56,,$AH786), 1 / ($BC$47:$BC$56*CU786 + (1-$BC$47:$BC$56)*CQ786), N($AQ$47:$AQ$56&gt;$AO786))
) / 1000</f>
        <v>0</v>
      </c>
      <c r="CW786" s="235" cm="1">
        <f t="array" ref="CW786">$BI786 * IF($AH786&lt;=2,
SUMPRODUCT(INDEX($AR$23:$AT$61,,$AI786), INDEX($AU$23:$BA$61,,$AH786), 1 / ($BB$23:$BB$61*CU786), N($AQ$23:$AQ$61&gt;$AO786)),
SUMPRODUCT(INDEX($AR$23:$AT$46,,$AI786), INDEX($AU$23:$BA$46,,$AH786), 1 / ($BC$23:$BC$46*CU786), N($AQ$23:$AQ$46&gt;$AO786))
) / 1000</f>
        <v>0</v>
      </c>
      <c r="CX786" s="230">
        <f t="shared" si="750"/>
        <v>0</v>
      </c>
      <c r="CY786" s="238"/>
    </row>
    <row r="787" spans="1:103" s="76" customFormat="1" ht="14.25" customHeight="1" x14ac:dyDescent="0.2">
      <c r="A787" s="231" t="b">
        <f t="shared" si="716"/>
        <v>0</v>
      </c>
      <c r="B787" s="245">
        <v>765</v>
      </c>
      <c r="C787" s="258"/>
      <c r="D787" s="258"/>
      <c r="E787" s="246"/>
      <c r="F787" s="247" t="str">
        <f>IF(ISBLANK(E787), "", VLOOKUP(E787, Z!$A$2:$C$4127, 3, FALSE))</f>
        <v/>
      </c>
      <c r="G787" s="248"/>
      <c r="H787" s="248"/>
      <c r="I787" s="249"/>
      <c r="J787" s="250"/>
      <c r="K787" s="259"/>
      <c r="L787" s="260"/>
      <c r="M787" s="252" t="str" cm="1">
        <f t="array" ref="M787">INDEX(Trad, 53, $A$20)</f>
        <v>Verschmutzt</v>
      </c>
      <c r="N787" s="253"/>
      <c r="O787" s="253"/>
      <c r="P787" s="254"/>
      <c r="Q787" s="251"/>
      <c r="R787" s="251"/>
      <c r="S787" s="264">
        <f t="shared" si="725"/>
        <v>0</v>
      </c>
      <c r="T787" s="252" t="str" cm="1">
        <f t="array" ref="T787">INDEX(Trad, 52, $A$20)</f>
        <v>Sauber</v>
      </c>
      <c r="U787" s="253"/>
      <c r="V787" s="253"/>
      <c r="W787" s="254"/>
      <c r="X787" s="251"/>
      <c r="Y787" s="251"/>
      <c r="Z787" s="264">
        <f t="shared" si="726"/>
        <v>0</v>
      </c>
      <c r="AA787" s="261"/>
      <c r="AB787" s="258"/>
      <c r="AC787" s="246"/>
      <c r="AD787" s="247" t="str">
        <f>IF(ISBLANK(AC787), "", VLOOKUP(AC787, Z!$A$2:$C$4127, 3, FALSE))</f>
        <v/>
      </c>
      <c r="AE787" s="262"/>
      <c r="AF787" s="263">
        <f t="shared" si="727"/>
        <v>0</v>
      </c>
      <c r="AG787" s="238"/>
      <c r="AH787" s="229">
        <f t="shared" si="751"/>
        <v>1</v>
      </c>
      <c r="AI787" s="229">
        <f t="shared" si="752"/>
        <v>1</v>
      </c>
      <c r="AJ787" s="229">
        <f t="shared" si="753"/>
        <v>0</v>
      </c>
      <c r="AK787" s="229">
        <v>0</v>
      </c>
      <c r="AL787" s="229">
        <v>0</v>
      </c>
      <c r="AM787" s="229">
        <v>1</v>
      </c>
      <c r="AN787" s="229">
        <v>0</v>
      </c>
      <c r="AO787" s="229">
        <f t="shared" si="728"/>
        <v>-100</v>
      </c>
      <c r="AP787" s="238"/>
      <c r="AQ787" s="255"/>
      <c r="AR787" s="255"/>
      <c r="AS787" s="256"/>
      <c r="AT787" s="256"/>
      <c r="AU787" s="256"/>
      <c r="AV787" s="256"/>
      <c r="AW787" s="256"/>
      <c r="AX787" s="256"/>
      <c r="AY787" s="256"/>
      <c r="AZ787" s="256"/>
      <c r="BA787" s="256"/>
      <c r="BB787" s="256"/>
      <c r="BC787" s="256"/>
      <c r="BD787" s="238"/>
      <c r="BE787" s="229" cm="1">
        <f t="array" ref="BE787">IF(ISBLANK(R787), INDEX(Use, $AH787, 4) - AM787*INDEX(Use, $AH787, 6), R787)</f>
        <v>5</v>
      </c>
      <c r="BF787" s="229">
        <f t="shared" si="729"/>
        <v>30</v>
      </c>
      <c r="BG787" s="229">
        <f t="shared" si="717"/>
        <v>13</v>
      </c>
      <c r="BH787" s="229">
        <f t="shared" si="718"/>
        <v>0</v>
      </c>
      <c r="BI787" s="234" cm="1">
        <f t="array" ref="BI787">K787/IF($L787&gt;0, INDEX($AU$23:$BA$77, $L787+20, $AH787), 1)</f>
        <v>0</v>
      </c>
      <c r="BJ787" s="230">
        <f t="shared" si="730"/>
        <v>0</v>
      </c>
      <c r="BK787" s="229">
        <v>35</v>
      </c>
      <c r="BL787" s="230">
        <f t="shared" si="731"/>
        <v>48</v>
      </c>
      <c r="BM787" s="235">
        <f t="shared" si="732"/>
        <v>2.9108720930232557</v>
      </c>
      <c r="BN787" s="235" cm="1">
        <f t="array" ref="BN787">$BI787 * SUMPRODUCT(INDEX($AR$77:$AT$82,,$AI787),INDEX($AU$77:$BA$82,,$AH787), N($AQ$77:$AQ$82&gt;$AO787)) / BM787 / 1000</f>
        <v>0</v>
      </c>
      <c r="BO787" s="232">
        <f t="shared" si="719"/>
        <v>30</v>
      </c>
      <c r="BP787" s="230">
        <f t="shared" si="733"/>
        <v>43</v>
      </c>
      <c r="BQ787" s="235">
        <f t="shared" si="734"/>
        <v>3.2938815789473681</v>
      </c>
      <c r="BR787" s="235" cm="1">
        <f t="array" ref="BR787">$BI787 * IF($AH787&lt;=2,
SUMPRODUCT(INDEX($AR$72:$AT$76,,$AI787), INDEX($AU$72:$BA$76,,$AH787), 1 / ($BB$72:$BB$76*BQ787 + (1-$BB$72:$BB$76)*BM787), N($AQ$72:$AQ$76&gt;$AO787)),
SUMPRODUCT(INDEX($AR$67:$AT$76,,$AI787), INDEX($AU$67:$BA$76,,$AH787), 1 / ($BC$67:$BC$76*BQ787 + (1-$BC$67:$BC$76)*BM787), N($AQ$67:$AQ$76&gt;$AO787))
) / 1000</f>
        <v>0</v>
      </c>
      <c r="BS787" s="232">
        <f t="shared" si="720"/>
        <v>25</v>
      </c>
      <c r="BT787" s="230">
        <f t="shared" si="735"/>
        <v>38</v>
      </c>
      <c r="BU787" s="235">
        <f t="shared" si="736"/>
        <v>3.792954545454545</v>
      </c>
      <c r="BV787" s="235" cm="1">
        <f t="array" ref="BV787">$BI787 * IF($AH787&lt;=2,
SUMPRODUCT(INDEX($AR$67:$AT$71,,$AI787), INDEX($AU$67:$BA$71,,$AH787), 1 / ($BB$67:$BB$71*BU787 + (1-$BB$67:$BB$71)*BQ787), N($AQ$67:$AQ$71&gt;$AO787)),
SUMPRODUCT(INDEX($AR$57:$AT$66,,$AI787), INDEX($AU$57:$BA$66,,$AH787), 1 / ($BC$57:$BC$66*BU787 + (1-$BC$57:$BC$66)*BQ787), N($AQ$57:$AQ$66&gt;$AO787))
) / 1000</f>
        <v>0</v>
      </c>
      <c r="BW787" s="232">
        <f t="shared" si="721"/>
        <v>20</v>
      </c>
      <c r="BX787" s="230">
        <f t="shared" si="737"/>
        <v>33</v>
      </c>
      <c r="BY787" s="235">
        <f t="shared" si="738"/>
        <v>4.4702678571428569</v>
      </c>
      <c r="BZ787" s="235" cm="1">
        <f t="array" ref="BZ787">$BI787 * IF($AH787&lt;=2,
SUMPRODUCT(INDEX($AR$62:$AT$66,,$AI787), INDEX($AU$62:$BA$66,,$AH787), 1 / ($BB$62:$BB$66*BY787 + (1-$BB$62:$BB$66)*BU787), N($AQ$62:$AQ$66&gt;$AO787)),
SUMPRODUCT(INDEX($AR$47:$AT$56,,$AI787), INDEX($AU$47:$BA$56,,$AH787), 1 / ($BC$47:$BC$56*BY787 + (1-$BC$47:$BC$56)*BU787), N($AQ$47:$AQ$56&gt;$AO787))
) / 1000</f>
        <v>0</v>
      </c>
      <c r="CA787" s="235" cm="1">
        <f t="array" ref="CA787">$BI787 * IF($AH787&lt;=2,
SUMPRODUCT(INDEX($AR$23:$AT$61,,$AI787), INDEX($AU$23:$BA$61,,$AH787), 1 / ($BB$23:$BB$61*BY787), N($AQ$23:$AQ$61&gt;$AO787)),
SUMPRODUCT(INDEX($AR$23:$AT$46,,$AI787), INDEX($AU$23:$BA$46,,$AH787), 1 / ($BC$23:$BC$46*BY787), N($AQ$23:$AQ$46&gt;$AO787))
) / 1000</f>
        <v>0</v>
      </c>
      <c r="CB787" s="230">
        <f t="shared" si="739"/>
        <v>0</v>
      </c>
      <c r="CC787" s="238"/>
      <c r="CD787" s="229" cm="1">
        <f t="array" ref="CD787">IF(ISBLANK(Y787), INDEX(Use, $AH787, 4) - AN787*INDEX(Use, $AH787, 6) - (Q787-X787), Y787)</f>
        <v>7</v>
      </c>
      <c r="CE787" s="229">
        <f t="shared" si="740"/>
        <v>32</v>
      </c>
      <c r="CF787" s="230">
        <f t="shared" si="741"/>
        <v>0</v>
      </c>
      <c r="CG787" s="229">
        <v>35</v>
      </c>
      <c r="CH787" s="230">
        <f t="shared" si="742"/>
        <v>48</v>
      </c>
      <c r="CI787" s="235">
        <f t="shared" si="743"/>
        <v>3.0748170731707316</v>
      </c>
      <c r="CJ787" s="235" cm="1">
        <f t="array" ref="CJ787">$BI787 * SUMPRODUCT(INDEX($AR$77:$AT$82,,$AI787),INDEX($AU$77:$BA$82,,$AH787), N($AQ$77:$AQ$82&gt;$AO787)) / CI787 / 1000</f>
        <v>0</v>
      </c>
      <c r="CK787" s="232">
        <f t="shared" si="722"/>
        <v>30</v>
      </c>
      <c r="CL787" s="230">
        <f t="shared" si="744"/>
        <v>43</v>
      </c>
      <c r="CM787" s="235">
        <f t="shared" si="745"/>
        <v>3.5018750000000001</v>
      </c>
      <c r="CN787" s="235" cm="1">
        <f t="array" ref="CN787">$BI787 * IF($AH787&lt;=2,
SUMPRODUCT(INDEX($AR$72:$AT$76,,$AI787), INDEX($AU$72:$BA$76,,$AH787), 1 / ($BB$72:$BB$76*CM787 + (1-$BB$72:$BB$76)*CI787), N($AQ$72:$AQ$76&gt;$AO787)),
SUMPRODUCT(INDEX($AR$67:$AT$76,,$AI787), INDEX($AU$67:$BA$76,,$AH787), 1 / ($BC$67:$BC$76*CM787 + (1-$BC$67:$BC$76)*CI787), N($AQ$67:$AQ$76&gt;$AO787))
) / 1000</f>
        <v>0</v>
      </c>
      <c r="CO787" s="232">
        <f t="shared" si="723"/>
        <v>25</v>
      </c>
      <c r="CP787" s="230">
        <f t="shared" si="746"/>
        <v>38</v>
      </c>
      <c r="CQ787" s="235">
        <f t="shared" si="747"/>
        <v>4.0666935483870965</v>
      </c>
      <c r="CR787" s="235" cm="1">
        <f t="array" ref="CR787">$BI787 * IF($AH787&lt;=2,
SUMPRODUCT(INDEX($AR$67:$AT$71,,$AI787), INDEX($AU$67:$BA$71,,$AH787), 1 / ($BB$67:$BB$71*CQ787 + (1-$BB$67:$BB$71)*CM787), N($AQ$67:$AQ$71&gt;$AO787)),
SUMPRODUCT(INDEX($AR$57:$AT$66,,$AI787), INDEX($AU$57:$BA$66,,$AH787), 1 / ($BC$57:$BC$66*CQ787 + (1-$BC$57:$BC$66)*CM787), N($AQ$57:$AQ$66&gt;$AO787))
) / 1000</f>
        <v>0</v>
      </c>
      <c r="CS787" s="232">
        <f t="shared" si="724"/>
        <v>20</v>
      </c>
      <c r="CT787" s="230">
        <f t="shared" si="748"/>
        <v>33</v>
      </c>
      <c r="CU787" s="235">
        <f t="shared" si="749"/>
        <v>4.8487499999999999</v>
      </c>
      <c r="CV787" s="235" cm="1">
        <f t="array" ref="CV787">$BI787 * IF($AH787&lt;=2,
SUMPRODUCT(INDEX($AR$62:$AT$66,,$AI787), INDEX($AU$62:$BA$66,,$AH787), 1 / ($BB$62:$BB$66*CU787 + (1-$BB$62:$BB$66)*CQ787), N($AQ$62:$AQ$66&gt;$AO787)),
SUMPRODUCT(INDEX($AR$47:$AT$56,,$AI787), INDEX($AU$47:$BA$56,,$AH787), 1 / ($BC$47:$BC$56*CU787 + (1-$BC$47:$BC$56)*CQ787), N($AQ$47:$AQ$56&gt;$AO787))
) / 1000</f>
        <v>0</v>
      </c>
      <c r="CW787" s="235" cm="1">
        <f t="array" ref="CW787">$BI787 * IF($AH787&lt;=2,
SUMPRODUCT(INDEX($AR$23:$AT$61,,$AI787), INDEX($AU$23:$BA$61,,$AH787), 1 / ($BB$23:$BB$61*CU787), N($AQ$23:$AQ$61&gt;$AO787)),
SUMPRODUCT(INDEX($AR$23:$AT$46,,$AI787), INDEX($AU$23:$BA$46,,$AH787), 1 / ($BC$23:$BC$46*CU787), N($AQ$23:$AQ$46&gt;$AO787))
) / 1000</f>
        <v>0</v>
      </c>
      <c r="CX787" s="230">
        <f t="shared" si="750"/>
        <v>0</v>
      </c>
      <c r="CY787" s="238"/>
    </row>
    <row r="788" spans="1:103" s="76" customFormat="1" ht="14.25" customHeight="1" x14ac:dyDescent="0.2">
      <c r="A788" s="231" t="b">
        <f t="shared" si="716"/>
        <v>0</v>
      </c>
      <c r="B788" s="245">
        <v>766</v>
      </c>
      <c r="C788" s="258"/>
      <c r="D788" s="258"/>
      <c r="E788" s="246"/>
      <c r="F788" s="247" t="str">
        <f>IF(ISBLANK(E788), "", VLOOKUP(E788, Z!$A$2:$C$4127, 3, FALSE))</f>
        <v/>
      </c>
      <c r="G788" s="248"/>
      <c r="H788" s="248"/>
      <c r="I788" s="249"/>
      <c r="J788" s="250"/>
      <c r="K788" s="259"/>
      <c r="L788" s="260"/>
      <c r="M788" s="252" t="str" cm="1">
        <f t="array" ref="M788">INDEX(Trad, 53, $A$20)</f>
        <v>Verschmutzt</v>
      </c>
      <c r="N788" s="253"/>
      <c r="O788" s="253"/>
      <c r="P788" s="254"/>
      <c r="Q788" s="251"/>
      <c r="R788" s="251"/>
      <c r="S788" s="264">
        <f t="shared" si="725"/>
        <v>0</v>
      </c>
      <c r="T788" s="252" t="str" cm="1">
        <f t="array" ref="T788">INDEX(Trad, 52, $A$20)</f>
        <v>Sauber</v>
      </c>
      <c r="U788" s="253"/>
      <c r="V788" s="253"/>
      <c r="W788" s="254"/>
      <c r="X788" s="251"/>
      <c r="Y788" s="251"/>
      <c r="Z788" s="264">
        <f t="shared" si="726"/>
        <v>0</v>
      </c>
      <c r="AA788" s="261"/>
      <c r="AB788" s="258"/>
      <c r="AC788" s="246"/>
      <c r="AD788" s="247" t="str">
        <f>IF(ISBLANK(AC788), "", VLOOKUP(AC788, Z!$A$2:$C$4127, 3, FALSE))</f>
        <v/>
      </c>
      <c r="AE788" s="262"/>
      <c r="AF788" s="263">
        <f t="shared" si="727"/>
        <v>0</v>
      </c>
      <c r="AG788" s="238"/>
      <c r="AH788" s="229">
        <f t="shared" si="751"/>
        <v>1</v>
      </c>
      <c r="AI788" s="229">
        <f t="shared" si="752"/>
        <v>1</v>
      </c>
      <c r="AJ788" s="229">
        <f t="shared" si="753"/>
        <v>0</v>
      </c>
      <c r="AK788" s="229">
        <v>0</v>
      </c>
      <c r="AL788" s="229">
        <v>0</v>
      </c>
      <c r="AM788" s="229">
        <v>1</v>
      </c>
      <c r="AN788" s="229">
        <v>0</v>
      </c>
      <c r="AO788" s="229">
        <f t="shared" si="728"/>
        <v>-100</v>
      </c>
      <c r="AP788" s="238"/>
      <c r="AQ788" s="255"/>
      <c r="AR788" s="255"/>
      <c r="AS788" s="256"/>
      <c r="AT788" s="256"/>
      <c r="AU788" s="256"/>
      <c r="AV788" s="256"/>
      <c r="AW788" s="256"/>
      <c r="AX788" s="256"/>
      <c r="AY788" s="256"/>
      <c r="AZ788" s="256"/>
      <c r="BA788" s="256"/>
      <c r="BB788" s="256"/>
      <c r="BC788" s="256"/>
      <c r="BD788" s="238"/>
      <c r="BE788" s="229" cm="1">
        <f t="array" ref="BE788">IF(ISBLANK(R788), INDEX(Use, $AH788, 4) - AM788*INDEX(Use, $AH788, 6), R788)</f>
        <v>5</v>
      </c>
      <c r="BF788" s="229">
        <f t="shared" si="729"/>
        <v>30</v>
      </c>
      <c r="BG788" s="229">
        <f t="shared" si="717"/>
        <v>13</v>
      </c>
      <c r="BH788" s="229">
        <f t="shared" si="718"/>
        <v>0</v>
      </c>
      <c r="BI788" s="234" cm="1">
        <f t="array" ref="BI788">K788/IF($L788&gt;0, INDEX($AU$23:$BA$77, $L788+20, $AH788), 1)</f>
        <v>0</v>
      </c>
      <c r="BJ788" s="230">
        <f t="shared" si="730"/>
        <v>0</v>
      </c>
      <c r="BK788" s="229">
        <v>35</v>
      </c>
      <c r="BL788" s="230">
        <f t="shared" si="731"/>
        <v>48</v>
      </c>
      <c r="BM788" s="235">
        <f t="shared" si="732"/>
        <v>2.9108720930232557</v>
      </c>
      <c r="BN788" s="235" cm="1">
        <f t="array" ref="BN788">$BI788 * SUMPRODUCT(INDEX($AR$77:$AT$82,,$AI788),INDEX($AU$77:$BA$82,,$AH788), N($AQ$77:$AQ$82&gt;$AO788)) / BM788 / 1000</f>
        <v>0</v>
      </c>
      <c r="BO788" s="232">
        <f t="shared" si="719"/>
        <v>30</v>
      </c>
      <c r="BP788" s="230">
        <f t="shared" si="733"/>
        <v>43</v>
      </c>
      <c r="BQ788" s="235">
        <f t="shared" si="734"/>
        <v>3.2938815789473681</v>
      </c>
      <c r="BR788" s="235" cm="1">
        <f t="array" ref="BR788">$BI788 * IF($AH788&lt;=2,
SUMPRODUCT(INDEX($AR$72:$AT$76,,$AI788), INDEX($AU$72:$BA$76,,$AH788), 1 / ($BB$72:$BB$76*BQ788 + (1-$BB$72:$BB$76)*BM788), N($AQ$72:$AQ$76&gt;$AO788)),
SUMPRODUCT(INDEX($AR$67:$AT$76,,$AI788), INDEX($AU$67:$BA$76,,$AH788), 1 / ($BC$67:$BC$76*BQ788 + (1-$BC$67:$BC$76)*BM788), N($AQ$67:$AQ$76&gt;$AO788))
) / 1000</f>
        <v>0</v>
      </c>
      <c r="BS788" s="232">
        <f t="shared" si="720"/>
        <v>25</v>
      </c>
      <c r="BT788" s="230">
        <f t="shared" si="735"/>
        <v>38</v>
      </c>
      <c r="BU788" s="235">
        <f t="shared" si="736"/>
        <v>3.792954545454545</v>
      </c>
      <c r="BV788" s="235" cm="1">
        <f t="array" ref="BV788">$BI788 * IF($AH788&lt;=2,
SUMPRODUCT(INDEX($AR$67:$AT$71,,$AI788), INDEX($AU$67:$BA$71,,$AH788), 1 / ($BB$67:$BB$71*BU788 + (1-$BB$67:$BB$71)*BQ788), N($AQ$67:$AQ$71&gt;$AO788)),
SUMPRODUCT(INDEX($AR$57:$AT$66,,$AI788), INDEX($AU$57:$BA$66,,$AH788), 1 / ($BC$57:$BC$66*BU788 + (1-$BC$57:$BC$66)*BQ788), N($AQ$57:$AQ$66&gt;$AO788))
) / 1000</f>
        <v>0</v>
      </c>
      <c r="BW788" s="232">
        <f t="shared" si="721"/>
        <v>20</v>
      </c>
      <c r="BX788" s="230">
        <f t="shared" si="737"/>
        <v>33</v>
      </c>
      <c r="BY788" s="235">
        <f t="shared" si="738"/>
        <v>4.4702678571428569</v>
      </c>
      <c r="BZ788" s="235" cm="1">
        <f t="array" ref="BZ788">$BI788 * IF($AH788&lt;=2,
SUMPRODUCT(INDEX($AR$62:$AT$66,,$AI788), INDEX($AU$62:$BA$66,,$AH788), 1 / ($BB$62:$BB$66*BY788 + (1-$BB$62:$BB$66)*BU788), N($AQ$62:$AQ$66&gt;$AO788)),
SUMPRODUCT(INDEX($AR$47:$AT$56,,$AI788), INDEX($AU$47:$BA$56,,$AH788), 1 / ($BC$47:$BC$56*BY788 + (1-$BC$47:$BC$56)*BU788), N($AQ$47:$AQ$56&gt;$AO788))
) / 1000</f>
        <v>0</v>
      </c>
      <c r="CA788" s="235" cm="1">
        <f t="array" ref="CA788">$BI788 * IF($AH788&lt;=2,
SUMPRODUCT(INDEX($AR$23:$AT$61,,$AI788), INDEX($AU$23:$BA$61,,$AH788), 1 / ($BB$23:$BB$61*BY788), N($AQ$23:$AQ$61&gt;$AO788)),
SUMPRODUCT(INDEX($AR$23:$AT$46,,$AI788), INDEX($AU$23:$BA$46,,$AH788), 1 / ($BC$23:$BC$46*BY788), N($AQ$23:$AQ$46&gt;$AO788))
) / 1000</f>
        <v>0</v>
      </c>
      <c r="CB788" s="230">
        <f t="shared" si="739"/>
        <v>0</v>
      </c>
      <c r="CC788" s="238"/>
      <c r="CD788" s="229" cm="1">
        <f t="array" ref="CD788">IF(ISBLANK(Y788), INDEX(Use, $AH788, 4) - AN788*INDEX(Use, $AH788, 6) - (Q788-X788), Y788)</f>
        <v>7</v>
      </c>
      <c r="CE788" s="229">
        <f t="shared" si="740"/>
        <v>32</v>
      </c>
      <c r="CF788" s="230">
        <f t="shared" si="741"/>
        <v>0</v>
      </c>
      <c r="CG788" s="229">
        <v>35</v>
      </c>
      <c r="CH788" s="230">
        <f t="shared" si="742"/>
        <v>48</v>
      </c>
      <c r="CI788" s="235">
        <f t="shared" si="743"/>
        <v>3.0748170731707316</v>
      </c>
      <c r="CJ788" s="235" cm="1">
        <f t="array" ref="CJ788">$BI788 * SUMPRODUCT(INDEX($AR$77:$AT$82,,$AI788),INDEX($AU$77:$BA$82,,$AH788), N($AQ$77:$AQ$82&gt;$AO788)) / CI788 / 1000</f>
        <v>0</v>
      </c>
      <c r="CK788" s="232">
        <f t="shared" si="722"/>
        <v>30</v>
      </c>
      <c r="CL788" s="230">
        <f t="shared" si="744"/>
        <v>43</v>
      </c>
      <c r="CM788" s="235">
        <f t="shared" si="745"/>
        <v>3.5018750000000001</v>
      </c>
      <c r="CN788" s="235" cm="1">
        <f t="array" ref="CN788">$BI788 * IF($AH788&lt;=2,
SUMPRODUCT(INDEX($AR$72:$AT$76,,$AI788), INDEX($AU$72:$BA$76,,$AH788), 1 / ($BB$72:$BB$76*CM788 + (1-$BB$72:$BB$76)*CI788), N($AQ$72:$AQ$76&gt;$AO788)),
SUMPRODUCT(INDEX($AR$67:$AT$76,,$AI788), INDEX($AU$67:$BA$76,,$AH788), 1 / ($BC$67:$BC$76*CM788 + (1-$BC$67:$BC$76)*CI788), N($AQ$67:$AQ$76&gt;$AO788))
) / 1000</f>
        <v>0</v>
      </c>
      <c r="CO788" s="232">
        <f t="shared" si="723"/>
        <v>25</v>
      </c>
      <c r="CP788" s="230">
        <f t="shared" si="746"/>
        <v>38</v>
      </c>
      <c r="CQ788" s="235">
        <f t="shared" si="747"/>
        <v>4.0666935483870965</v>
      </c>
      <c r="CR788" s="235" cm="1">
        <f t="array" ref="CR788">$BI788 * IF($AH788&lt;=2,
SUMPRODUCT(INDEX($AR$67:$AT$71,,$AI788), INDEX($AU$67:$BA$71,,$AH788), 1 / ($BB$67:$BB$71*CQ788 + (1-$BB$67:$BB$71)*CM788), N($AQ$67:$AQ$71&gt;$AO788)),
SUMPRODUCT(INDEX($AR$57:$AT$66,,$AI788), INDEX($AU$57:$BA$66,,$AH788), 1 / ($BC$57:$BC$66*CQ788 + (1-$BC$57:$BC$66)*CM788), N($AQ$57:$AQ$66&gt;$AO788))
) / 1000</f>
        <v>0</v>
      </c>
      <c r="CS788" s="232">
        <f t="shared" si="724"/>
        <v>20</v>
      </c>
      <c r="CT788" s="230">
        <f t="shared" si="748"/>
        <v>33</v>
      </c>
      <c r="CU788" s="235">
        <f t="shared" si="749"/>
        <v>4.8487499999999999</v>
      </c>
      <c r="CV788" s="235" cm="1">
        <f t="array" ref="CV788">$BI788 * IF($AH788&lt;=2,
SUMPRODUCT(INDEX($AR$62:$AT$66,,$AI788), INDEX($AU$62:$BA$66,,$AH788), 1 / ($BB$62:$BB$66*CU788 + (1-$BB$62:$BB$66)*CQ788), N($AQ$62:$AQ$66&gt;$AO788)),
SUMPRODUCT(INDEX($AR$47:$AT$56,,$AI788), INDEX($AU$47:$BA$56,,$AH788), 1 / ($BC$47:$BC$56*CU788 + (1-$BC$47:$BC$56)*CQ788), N($AQ$47:$AQ$56&gt;$AO788))
) / 1000</f>
        <v>0</v>
      </c>
      <c r="CW788" s="235" cm="1">
        <f t="array" ref="CW788">$BI788 * IF($AH788&lt;=2,
SUMPRODUCT(INDEX($AR$23:$AT$61,,$AI788), INDEX($AU$23:$BA$61,,$AH788), 1 / ($BB$23:$BB$61*CU788), N($AQ$23:$AQ$61&gt;$AO788)),
SUMPRODUCT(INDEX($AR$23:$AT$46,,$AI788), INDEX($AU$23:$BA$46,,$AH788), 1 / ($BC$23:$BC$46*CU788), N($AQ$23:$AQ$46&gt;$AO788))
) / 1000</f>
        <v>0</v>
      </c>
      <c r="CX788" s="230">
        <f t="shared" si="750"/>
        <v>0</v>
      </c>
      <c r="CY788" s="238"/>
    </row>
    <row r="789" spans="1:103" s="76" customFormat="1" ht="14.25" customHeight="1" x14ac:dyDescent="0.2">
      <c r="A789" s="231" t="b">
        <f t="shared" si="716"/>
        <v>0</v>
      </c>
      <c r="B789" s="245">
        <v>767</v>
      </c>
      <c r="C789" s="258"/>
      <c r="D789" s="258"/>
      <c r="E789" s="246"/>
      <c r="F789" s="247" t="str">
        <f>IF(ISBLANK(E789), "", VLOOKUP(E789, Z!$A$2:$C$4127, 3, FALSE))</f>
        <v/>
      </c>
      <c r="G789" s="248"/>
      <c r="H789" s="248"/>
      <c r="I789" s="249"/>
      <c r="J789" s="250"/>
      <c r="K789" s="259"/>
      <c r="L789" s="260"/>
      <c r="M789" s="252" t="str" cm="1">
        <f t="array" ref="M789">INDEX(Trad, 53, $A$20)</f>
        <v>Verschmutzt</v>
      </c>
      <c r="N789" s="253"/>
      <c r="O789" s="253"/>
      <c r="P789" s="254"/>
      <c r="Q789" s="251"/>
      <c r="R789" s="251"/>
      <c r="S789" s="264">
        <f t="shared" si="725"/>
        <v>0</v>
      </c>
      <c r="T789" s="252" t="str" cm="1">
        <f t="array" ref="T789">INDEX(Trad, 52, $A$20)</f>
        <v>Sauber</v>
      </c>
      <c r="U789" s="253"/>
      <c r="V789" s="253"/>
      <c r="W789" s="254"/>
      <c r="X789" s="251"/>
      <c r="Y789" s="251"/>
      <c r="Z789" s="264">
        <f t="shared" si="726"/>
        <v>0</v>
      </c>
      <c r="AA789" s="261"/>
      <c r="AB789" s="258"/>
      <c r="AC789" s="246"/>
      <c r="AD789" s="247" t="str">
        <f>IF(ISBLANK(AC789), "", VLOOKUP(AC789, Z!$A$2:$C$4127, 3, FALSE))</f>
        <v/>
      </c>
      <c r="AE789" s="262"/>
      <c r="AF789" s="263">
        <f t="shared" si="727"/>
        <v>0</v>
      </c>
      <c r="AG789" s="238"/>
      <c r="AH789" s="229">
        <f t="shared" si="751"/>
        <v>1</v>
      </c>
      <c r="AI789" s="229">
        <f t="shared" si="752"/>
        <v>1</v>
      </c>
      <c r="AJ789" s="229">
        <f t="shared" si="753"/>
        <v>0</v>
      </c>
      <c r="AK789" s="229">
        <v>0</v>
      </c>
      <c r="AL789" s="229">
        <v>0</v>
      </c>
      <c r="AM789" s="229">
        <v>1</v>
      </c>
      <c r="AN789" s="229">
        <v>0</v>
      </c>
      <c r="AO789" s="229">
        <f t="shared" si="728"/>
        <v>-100</v>
      </c>
      <c r="AP789" s="238"/>
      <c r="AQ789" s="255"/>
      <c r="AR789" s="255"/>
      <c r="AS789" s="256"/>
      <c r="AT789" s="256"/>
      <c r="AU789" s="256"/>
      <c r="AV789" s="256"/>
      <c r="AW789" s="256"/>
      <c r="AX789" s="256"/>
      <c r="AY789" s="256"/>
      <c r="AZ789" s="256"/>
      <c r="BA789" s="256"/>
      <c r="BB789" s="256"/>
      <c r="BC789" s="256"/>
      <c r="BD789" s="238"/>
      <c r="BE789" s="229" cm="1">
        <f t="array" ref="BE789">IF(ISBLANK(R789), INDEX(Use, $AH789, 4) - AM789*INDEX(Use, $AH789, 6), R789)</f>
        <v>5</v>
      </c>
      <c r="BF789" s="229">
        <f t="shared" si="729"/>
        <v>30</v>
      </c>
      <c r="BG789" s="229">
        <f t="shared" si="717"/>
        <v>13</v>
      </c>
      <c r="BH789" s="229">
        <f t="shared" si="718"/>
        <v>0</v>
      </c>
      <c r="BI789" s="234" cm="1">
        <f t="array" ref="BI789">K789/IF($L789&gt;0, INDEX($AU$23:$BA$77, $L789+20, $AH789), 1)</f>
        <v>0</v>
      </c>
      <c r="BJ789" s="230">
        <f t="shared" si="730"/>
        <v>0</v>
      </c>
      <c r="BK789" s="229">
        <v>35</v>
      </c>
      <c r="BL789" s="230">
        <f t="shared" si="731"/>
        <v>48</v>
      </c>
      <c r="BM789" s="235">
        <f t="shared" si="732"/>
        <v>2.9108720930232557</v>
      </c>
      <c r="BN789" s="235" cm="1">
        <f t="array" ref="BN789">$BI789 * SUMPRODUCT(INDEX($AR$77:$AT$82,,$AI789),INDEX($AU$77:$BA$82,,$AH789), N($AQ$77:$AQ$82&gt;$AO789)) / BM789 / 1000</f>
        <v>0</v>
      </c>
      <c r="BO789" s="232">
        <f t="shared" si="719"/>
        <v>30</v>
      </c>
      <c r="BP789" s="230">
        <f t="shared" si="733"/>
        <v>43</v>
      </c>
      <c r="BQ789" s="235">
        <f t="shared" si="734"/>
        <v>3.2938815789473681</v>
      </c>
      <c r="BR789" s="235" cm="1">
        <f t="array" ref="BR789">$BI789 * IF($AH789&lt;=2,
SUMPRODUCT(INDEX($AR$72:$AT$76,,$AI789), INDEX($AU$72:$BA$76,,$AH789), 1 / ($BB$72:$BB$76*BQ789 + (1-$BB$72:$BB$76)*BM789), N($AQ$72:$AQ$76&gt;$AO789)),
SUMPRODUCT(INDEX($AR$67:$AT$76,,$AI789), INDEX($AU$67:$BA$76,,$AH789), 1 / ($BC$67:$BC$76*BQ789 + (1-$BC$67:$BC$76)*BM789), N($AQ$67:$AQ$76&gt;$AO789))
) / 1000</f>
        <v>0</v>
      </c>
      <c r="BS789" s="232">
        <f t="shared" si="720"/>
        <v>25</v>
      </c>
      <c r="BT789" s="230">
        <f t="shared" si="735"/>
        <v>38</v>
      </c>
      <c r="BU789" s="235">
        <f t="shared" si="736"/>
        <v>3.792954545454545</v>
      </c>
      <c r="BV789" s="235" cm="1">
        <f t="array" ref="BV789">$BI789 * IF($AH789&lt;=2,
SUMPRODUCT(INDEX($AR$67:$AT$71,,$AI789), INDEX($AU$67:$BA$71,,$AH789), 1 / ($BB$67:$BB$71*BU789 + (1-$BB$67:$BB$71)*BQ789), N($AQ$67:$AQ$71&gt;$AO789)),
SUMPRODUCT(INDEX($AR$57:$AT$66,,$AI789), INDEX($AU$57:$BA$66,,$AH789), 1 / ($BC$57:$BC$66*BU789 + (1-$BC$57:$BC$66)*BQ789), N($AQ$57:$AQ$66&gt;$AO789))
) / 1000</f>
        <v>0</v>
      </c>
      <c r="BW789" s="232">
        <f t="shared" si="721"/>
        <v>20</v>
      </c>
      <c r="BX789" s="230">
        <f t="shared" si="737"/>
        <v>33</v>
      </c>
      <c r="BY789" s="235">
        <f t="shared" si="738"/>
        <v>4.4702678571428569</v>
      </c>
      <c r="BZ789" s="235" cm="1">
        <f t="array" ref="BZ789">$BI789 * IF($AH789&lt;=2,
SUMPRODUCT(INDEX($AR$62:$AT$66,,$AI789), INDEX($AU$62:$BA$66,,$AH789), 1 / ($BB$62:$BB$66*BY789 + (1-$BB$62:$BB$66)*BU789), N($AQ$62:$AQ$66&gt;$AO789)),
SUMPRODUCT(INDEX($AR$47:$AT$56,,$AI789), INDEX($AU$47:$BA$56,,$AH789), 1 / ($BC$47:$BC$56*BY789 + (1-$BC$47:$BC$56)*BU789), N($AQ$47:$AQ$56&gt;$AO789))
) / 1000</f>
        <v>0</v>
      </c>
      <c r="CA789" s="235" cm="1">
        <f t="array" ref="CA789">$BI789 * IF($AH789&lt;=2,
SUMPRODUCT(INDEX($AR$23:$AT$61,,$AI789), INDEX($AU$23:$BA$61,,$AH789), 1 / ($BB$23:$BB$61*BY789), N($AQ$23:$AQ$61&gt;$AO789)),
SUMPRODUCT(INDEX($AR$23:$AT$46,,$AI789), INDEX($AU$23:$BA$46,,$AH789), 1 / ($BC$23:$BC$46*BY789), N($AQ$23:$AQ$46&gt;$AO789))
) / 1000</f>
        <v>0</v>
      </c>
      <c r="CB789" s="230">
        <f t="shared" si="739"/>
        <v>0</v>
      </c>
      <c r="CC789" s="238"/>
      <c r="CD789" s="229" cm="1">
        <f t="array" ref="CD789">IF(ISBLANK(Y789), INDEX(Use, $AH789, 4) - AN789*INDEX(Use, $AH789, 6) - (Q789-X789), Y789)</f>
        <v>7</v>
      </c>
      <c r="CE789" s="229">
        <f t="shared" si="740"/>
        <v>32</v>
      </c>
      <c r="CF789" s="230">
        <f t="shared" si="741"/>
        <v>0</v>
      </c>
      <c r="CG789" s="229">
        <v>35</v>
      </c>
      <c r="CH789" s="230">
        <f t="shared" si="742"/>
        <v>48</v>
      </c>
      <c r="CI789" s="235">
        <f t="shared" si="743"/>
        <v>3.0748170731707316</v>
      </c>
      <c r="CJ789" s="235" cm="1">
        <f t="array" ref="CJ789">$BI789 * SUMPRODUCT(INDEX($AR$77:$AT$82,,$AI789),INDEX($AU$77:$BA$82,,$AH789), N($AQ$77:$AQ$82&gt;$AO789)) / CI789 / 1000</f>
        <v>0</v>
      </c>
      <c r="CK789" s="232">
        <f t="shared" si="722"/>
        <v>30</v>
      </c>
      <c r="CL789" s="230">
        <f t="shared" si="744"/>
        <v>43</v>
      </c>
      <c r="CM789" s="235">
        <f t="shared" si="745"/>
        <v>3.5018750000000001</v>
      </c>
      <c r="CN789" s="235" cm="1">
        <f t="array" ref="CN789">$BI789 * IF($AH789&lt;=2,
SUMPRODUCT(INDEX($AR$72:$AT$76,,$AI789), INDEX($AU$72:$BA$76,,$AH789), 1 / ($BB$72:$BB$76*CM789 + (1-$BB$72:$BB$76)*CI789), N($AQ$72:$AQ$76&gt;$AO789)),
SUMPRODUCT(INDEX($AR$67:$AT$76,,$AI789), INDEX($AU$67:$BA$76,,$AH789), 1 / ($BC$67:$BC$76*CM789 + (1-$BC$67:$BC$76)*CI789), N($AQ$67:$AQ$76&gt;$AO789))
) / 1000</f>
        <v>0</v>
      </c>
      <c r="CO789" s="232">
        <f t="shared" si="723"/>
        <v>25</v>
      </c>
      <c r="CP789" s="230">
        <f t="shared" si="746"/>
        <v>38</v>
      </c>
      <c r="CQ789" s="235">
        <f t="shared" si="747"/>
        <v>4.0666935483870965</v>
      </c>
      <c r="CR789" s="235" cm="1">
        <f t="array" ref="CR789">$BI789 * IF($AH789&lt;=2,
SUMPRODUCT(INDEX($AR$67:$AT$71,,$AI789), INDEX($AU$67:$BA$71,,$AH789), 1 / ($BB$67:$BB$71*CQ789 + (1-$BB$67:$BB$71)*CM789), N($AQ$67:$AQ$71&gt;$AO789)),
SUMPRODUCT(INDEX($AR$57:$AT$66,,$AI789), INDEX($AU$57:$BA$66,,$AH789), 1 / ($BC$57:$BC$66*CQ789 + (1-$BC$57:$BC$66)*CM789), N($AQ$57:$AQ$66&gt;$AO789))
) / 1000</f>
        <v>0</v>
      </c>
      <c r="CS789" s="232">
        <f t="shared" si="724"/>
        <v>20</v>
      </c>
      <c r="CT789" s="230">
        <f t="shared" si="748"/>
        <v>33</v>
      </c>
      <c r="CU789" s="235">
        <f t="shared" si="749"/>
        <v>4.8487499999999999</v>
      </c>
      <c r="CV789" s="235" cm="1">
        <f t="array" ref="CV789">$BI789 * IF($AH789&lt;=2,
SUMPRODUCT(INDEX($AR$62:$AT$66,,$AI789), INDEX($AU$62:$BA$66,,$AH789), 1 / ($BB$62:$BB$66*CU789 + (1-$BB$62:$BB$66)*CQ789), N($AQ$62:$AQ$66&gt;$AO789)),
SUMPRODUCT(INDEX($AR$47:$AT$56,,$AI789), INDEX($AU$47:$BA$56,,$AH789), 1 / ($BC$47:$BC$56*CU789 + (1-$BC$47:$BC$56)*CQ789), N($AQ$47:$AQ$56&gt;$AO789))
) / 1000</f>
        <v>0</v>
      </c>
      <c r="CW789" s="235" cm="1">
        <f t="array" ref="CW789">$BI789 * IF($AH789&lt;=2,
SUMPRODUCT(INDEX($AR$23:$AT$61,,$AI789), INDEX($AU$23:$BA$61,,$AH789), 1 / ($BB$23:$BB$61*CU789), N($AQ$23:$AQ$61&gt;$AO789)),
SUMPRODUCT(INDEX($AR$23:$AT$46,,$AI789), INDEX($AU$23:$BA$46,,$AH789), 1 / ($BC$23:$BC$46*CU789), N($AQ$23:$AQ$46&gt;$AO789))
) / 1000</f>
        <v>0</v>
      </c>
      <c r="CX789" s="230">
        <f t="shared" si="750"/>
        <v>0</v>
      </c>
      <c r="CY789" s="238"/>
    </row>
    <row r="790" spans="1:103" s="76" customFormat="1" ht="14.25" customHeight="1" x14ac:dyDescent="0.2">
      <c r="A790" s="231" t="b">
        <f t="shared" ref="A790:A853" si="754">IF(OR(AND($K790&gt;80, $AH790=1), AND($K790&gt;40, $AH790=3), AND($K790&gt;30, $AH790=4),), TRUE, FALSE)</f>
        <v>0</v>
      </c>
      <c r="B790" s="245">
        <v>768</v>
      </c>
      <c r="C790" s="258"/>
      <c r="D790" s="258"/>
      <c r="E790" s="246"/>
      <c r="F790" s="247" t="str">
        <f>IF(ISBLANK(E790), "", VLOOKUP(E790, Z!$A$2:$C$4127, 3, FALSE))</f>
        <v/>
      </c>
      <c r="G790" s="248"/>
      <c r="H790" s="248"/>
      <c r="I790" s="249"/>
      <c r="J790" s="250"/>
      <c r="K790" s="259"/>
      <c r="L790" s="260"/>
      <c r="M790" s="252" t="str" cm="1">
        <f t="array" ref="M790">INDEX(Trad, 53, $A$20)</f>
        <v>Verschmutzt</v>
      </c>
      <c r="N790" s="253"/>
      <c r="O790" s="253"/>
      <c r="P790" s="254"/>
      <c r="Q790" s="251"/>
      <c r="R790" s="251"/>
      <c r="S790" s="264">
        <f t="shared" si="725"/>
        <v>0</v>
      </c>
      <c r="T790" s="252" t="str" cm="1">
        <f t="array" ref="T790">INDEX(Trad, 52, $A$20)</f>
        <v>Sauber</v>
      </c>
      <c r="U790" s="253"/>
      <c r="V790" s="253"/>
      <c r="W790" s="254"/>
      <c r="X790" s="251"/>
      <c r="Y790" s="251"/>
      <c r="Z790" s="264">
        <f t="shared" si="726"/>
        <v>0</v>
      </c>
      <c r="AA790" s="261"/>
      <c r="AB790" s="258"/>
      <c r="AC790" s="246"/>
      <c r="AD790" s="247" t="str">
        <f>IF(ISBLANK(AC790), "", VLOOKUP(AC790, Z!$A$2:$C$4127, 3, FALSE))</f>
        <v/>
      </c>
      <c r="AE790" s="262"/>
      <c r="AF790" s="263">
        <f t="shared" si="727"/>
        <v>0</v>
      </c>
      <c r="AG790" s="238"/>
      <c r="AH790" s="229">
        <f t="shared" si="751"/>
        <v>1</v>
      </c>
      <c r="AI790" s="229">
        <f t="shared" si="752"/>
        <v>1</v>
      </c>
      <c r="AJ790" s="229">
        <f t="shared" si="753"/>
        <v>0</v>
      </c>
      <c r="AK790" s="229">
        <v>0</v>
      </c>
      <c r="AL790" s="229">
        <v>0</v>
      </c>
      <c r="AM790" s="229">
        <v>1</v>
      </c>
      <c r="AN790" s="229">
        <v>0</v>
      </c>
      <c r="AO790" s="229">
        <f t="shared" si="728"/>
        <v>-100</v>
      </c>
      <c r="AP790" s="238"/>
      <c r="AQ790" s="255"/>
      <c r="AR790" s="255"/>
      <c r="AS790" s="256"/>
      <c r="AT790" s="256"/>
      <c r="AU790" s="256"/>
      <c r="AV790" s="256"/>
      <c r="AW790" s="256"/>
      <c r="AX790" s="256"/>
      <c r="AY790" s="256"/>
      <c r="AZ790" s="256"/>
      <c r="BA790" s="256"/>
      <c r="BB790" s="256"/>
      <c r="BC790" s="256"/>
      <c r="BD790" s="238"/>
      <c r="BE790" s="229" cm="1">
        <f t="array" ref="BE790">IF(ISBLANK(R790), INDEX(Use, $AH790, 4) - AM790*INDEX(Use, $AH790, 6), R790)</f>
        <v>5</v>
      </c>
      <c r="BF790" s="229">
        <f t="shared" si="729"/>
        <v>30</v>
      </c>
      <c r="BG790" s="229">
        <f t="shared" si="717"/>
        <v>13</v>
      </c>
      <c r="BH790" s="229">
        <f t="shared" si="718"/>
        <v>0</v>
      </c>
      <c r="BI790" s="234" cm="1">
        <f t="array" ref="BI790">K790/IF($L790&gt;0, INDEX($AU$23:$BA$77, $L790+20, $AH790), 1)</f>
        <v>0</v>
      </c>
      <c r="BJ790" s="230">
        <f t="shared" si="730"/>
        <v>0</v>
      </c>
      <c r="BK790" s="229">
        <v>35</v>
      </c>
      <c r="BL790" s="230">
        <f t="shared" si="731"/>
        <v>48</v>
      </c>
      <c r="BM790" s="235">
        <f t="shared" si="732"/>
        <v>2.9108720930232557</v>
      </c>
      <c r="BN790" s="235" cm="1">
        <f t="array" ref="BN790">$BI790 * SUMPRODUCT(INDEX($AR$77:$AT$82,,$AI790),INDEX($AU$77:$BA$82,,$AH790), N($AQ$77:$AQ$82&gt;$AO790)) / BM790 / 1000</f>
        <v>0</v>
      </c>
      <c r="BO790" s="232">
        <f t="shared" si="719"/>
        <v>30</v>
      </c>
      <c r="BP790" s="230">
        <f t="shared" si="733"/>
        <v>43</v>
      </c>
      <c r="BQ790" s="235">
        <f t="shared" si="734"/>
        <v>3.2938815789473681</v>
      </c>
      <c r="BR790" s="235" cm="1">
        <f t="array" ref="BR790">$BI790 * IF($AH790&lt;=2,
SUMPRODUCT(INDEX($AR$72:$AT$76,,$AI790), INDEX($AU$72:$BA$76,,$AH790), 1 / ($BB$72:$BB$76*BQ790 + (1-$BB$72:$BB$76)*BM790), N($AQ$72:$AQ$76&gt;$AO790)),
SUMPRODUCT(INDEX($AR$67:$AT$76,,$AI790), INDEX($AU$67:$BA$76,,$AH790), 1 / ($BC$67:$BC$76*BQ790 + (1-$BC$67:$BC$76)*BM790), N($AQ$67:$AQ$76&gt;$AO790))
) / 1000</f>
        <v>0</v>
      </c>
      <c r="BS790" s="232">
        <f t="shared" si="720"/>
        <v>25</v>
      </c>
      <c r="BT790" s="230">
        <f t="shared" si="735"/>
        <v>38</v>
      </c>
      <c r="BU790" s="235">
        <f t="shared" si="736"/>
        <v>3.792954545454545</v>
      </c>
      <c r="BV790" s="235" cm="1">
        <f t="array" ref="BV790">$BI790 * IF($AH790&lt;=2,
SUMPRODUCT(INDEX($AR$67:$AT$71,,$AI790), INDEX($AU$67:$BA$71,,$AH790), 1 / ($BB$67:$BB$71*BU790 + (1-$BB$67:$BB$71)*BQ790), N($AQ$67:$AQ$71&gt;$AO790)),
SUMPRODUCT(INDEX($AR$57:$AT$66,,$AI790), INDEX($AU$57:$BA$66,,$AH790), 1 / ($BC$57:$BC$66*BU790 + (1-$BC$57:$BC$66)*BQ790), N($AQ$57:$AQ$66&gt;$AO790))
) / 1000</f>
        <v>0</v>
      </c>
      <c r="BW790" s="232">
        <f t="shared" si="721"/>
        <v>20</v>
      </c>
      <c r="BX790" s="230">
        <f t="shared" si="737"/>
        <v>33</v>
      </c>
      <c r="BY790" s="235">
        <f t="shared" si="738"/>
        <v>4.4702678571428569</v>
      </c>
      <c r="BZ790" s="235" cm="1">
        <f t="array" ref="BZ790">$BI790 * IF($AH790&lt;=2,
SUMPRODUCT(INDEX($AR$62:$AT$66,,$AI790), INDEX($AU$62:$BA$66,,$AH790), 1 / ($BB$62:$BB$66*BY790 + (1-$BB$62:$BB$66)*BU790), N($AQ$62:$AQ$66&gt;$AO790)),
SUMPRODUCT(INDEX($AR$47:$AT$56,,$AI790), INDEX($AU$47:$BA$56,,$AH790), 1 / ($BC$47:$BC$56*BY790 + (1-$BC$47:$BC$56)*BU790), N($AQ$47:$AQ$56&gt;$AO790))
) / 1000</f>
        <v>0</v>
      </c>
      <c r="CA790" s="235" cm="1">
        <f t="array" ref="CA790">$BI790 * IF($AH790&lt;=2,
SUMPRODUCT(INDEX($AR$23:$AT$61,,$AI790), INDEX($AU$23:$BA$61,,$AH790), 1 / ($BB$23:$BB$61*BY790), N($AQ$23:$AQ$61&gt;$AO790)),
SUMPRODUCT(INDEX($AR$23:$AT$46,,$AI790), INDEX($AU$23:$BA$46,,$AH790), 1 / ($BC$23:$BC$46*BY790), N($AQ$23:$AQ$46&gt;$AO790))
) / 1000</f>
        <v>0</v>
      </c>
      <c r="CB790" s="230">
        <f t="shared" si="739"/>
        <v>0</v>
      </c>
      <c r="CC790" s="238"/>
      <c r="CD790" s="229" cm="1">
        <f t="array" ref="CD790">IF(ISBLANK(Y790), INDEX(Use, $AH790, 4) - AN790*INDEX(Use, $AH790, 6) - (Q790-X790), Y790)</f>
        <v>7</v>
      </c>
      <c r="CE790" s="229">
        <f t="shared" si="740"/>
        <v>32</v>
      </c>
      <c r="CF790" s="230">
        <f t="shared" si="741"/>
        <v>0</v>
      </c>
      <c r="CG790" s="229">
        <v>35</v>
      </c>
      <c r="CH790" s="230">
        <f t="shared" si="742"/>
        <v>48</v>
      </c>
      <c r="CI790" s="235">
        <f t="shared" si="743"/>
        <v>3.0748170731707316</v>
      </c>
      <c r="CJ790" s="235" cm="1">
        <f t="array" ref="CJ790">$BI790 * SUMPRODUCT(INDEX($AR$77:$AT$82,,$AI790),INDEX($AU$77:$BA$82,,$AH790), N($AQ$77:$AQ$82&gt;$AO790)) / CI790 / 1000</f>
        <v>0</v>
      </c>
      <c r="CK790" s="232">
        <f t="shared" si="722"/>
        <v>30</v>
      </c>
      <c r="CL790" s="230">
        <f t="shared" si="744"/>
        <v>43</v>
      </c>
      <c r="CM790" s="235">
        <f t="shared" si="745"/>
        <v>3.5018750000000001</v>
      </c>
      <c r="CN790" s="235" cm="1">
        <f t="array" ref="CN790">$BI790 * IF($AH790&lt;=2,
SUMPRODUCT(INDEX($AR$72:$AT$76,,$AI790), INDEX($AU$72:$BA$76,,$AH790), 1 / ($BB$72:$BB$76*CM790 + (1-$BB$72:$BB$76)*CI790), N($AQ$72:$AQ$76&gt;$AO790)),
SUMPRODUCT(INDEX($AR$67:$AT$76,,$AI790), INDEX($AU$67:$BA$76,,$AH790), 1 / ($BC$67:$BC$76*CM790 + (1-$BC$67:$BC$76)*CI790), N($AQ$67:$AQ$76&gt;$AO790))
) / 1000</f>
        <v>0</v>
      </c>
      <c r="CO790" s="232">
        <f t="shared" si="723"/>
        <v>25</v>
      </c>
      <c r="CP790" s="230">
        <f t="shared" si="746"/>
        <v>38</v>
      </c>
      <c r="CQ790" s="235">
        <f t="shared" si="747"/>
        <v>4.0666935483870965</v>
      </c>
      <c r="CR790" s="235" cm="1">
        <f t="array" ref="CR790">$BI790 * IF($AH790&lt;=2,
SUMPRODUCT(INDEX($AR$67:$AT$71,,$AI790), INDEX($AU$67:$BA$71,,$AH790), 1 / ($BB$67:$BB$71*CQ790 + (1-$BB$67:$BB$71)*CM790), N($AQ$67:$AQ$71&gt;$AO790)),
SUMPRODUCT(INDEX($AR$57:$AT$66,,$AI790), INDEX($AU$57:$BA$66,,$AH790), 1 / ($BC$57:$BC$66*CQ790 + (1-$BC$57:$BC$66)*CM790), N($AQ$57:$AQ$66&gt;$AO790))
) / 1000</f>
        <v>0</v>
      </c>
      <c r="CS790" s="232">
        <f t="shared" si="724"/>
        <v>20</v>
      </c>
      <c r="CT790" s="230">
        <f t="shared" si="748"/>
        <v>33</v>
      </c>
      <c r="CU790" s="235">
        <f t="shared" si="749"/>
        <v>4.8487499999999999</v>
      </c>
      <c r="CV790" s="235" cm="1">
        <f t="array" ref="CV790">$BI790 * IF($AH790&lt;=2,
SUMPRODUCT(INDEX($AR$62:$AT$66,,$AI790), INDEX($AU$62:$BA$66,,$AH790), 1 / ($BB$62:$BB$66*CU790 + (1-$BB$62:$BB$66)*CQ790), N($AQ$62:$AQ$66&gt;$AO790)),
SUMPRODUCT(INDEX($AR$47:$AT$56,,$AI790), INDEX($AU$47:$BA$56,,$AH790), 1 / ($BC$47:$BC$56*CU790 + (1-$BC$47:$BC$56)*CQ790), N($AQ$47:$AQ$56&gt;$AO790))
) / 1000</f>
        <v>0</v>
      </c>
      <c r="CW790" s="235" cm="1">
        <f t="array" ref="CW790">$BI790 * IF($AH790&lt;=2,
SUMPRODUCT(INDEX($AR$23:$AT$61,,$AI790), INDEX($AU$23:$BA$61,,$AH790), 1 / ($BB$23:$BB$61*CU790), N($AQ$23:$AQ$61&gt;$AO790)),
SUMPRODUCT(INDEX($AR$23:$AT$46,,$AI790), INDEX($AU$23:$BA$46,,$AH790), 1 / ($BC$23:$BC$46*CU790), N($AQ$23:$AQ$46&gt;$AO790))
) / 1000</f>
        <v>0</v>
      </c>
      <c r="CX790" s="230">
        <f t="shared" si="750"/>
        <v>0</v>
      </c>
      <c r="CY790" s="238"/>
    </row>
    <row r="791" spans="1:103" s="76" customFormat="1" ht="14.25" customHeight="1" x14ac:dyDescent="0.2">
      <c r="A791" s="231" t="b">
        <f t="shared" si="754"/>
        <v>0</v>
      </c>
      <c r="B791" s="245">
        <v>769</v>
      </c>
      <c r="C791" s="258"/>
      <c r="D791" s="258"/>
      <c r="E791" s="246"/>
      <c r="F791" s="247" t="str">
        <f>IF(ISBLANK(E791), "", VLOOKUP(E791, Z!$A$2:$C$4127, 3, FALSE))</f>
        <v/>
      </c>
      <c r="G791" s="248"/>
      <c r="H791" s="248"/>
      <c r="I791" s="249"/>
      <c r="J791" s="250"/>
      <c r="K791" s="259"/>
      <c r="L791" s="260"/>
      <c r="M791" s="252" t="str" cm="1">
        <f t="array" ref="M791">INDEX(Trad, 53, $A$20)</f>
        <v>Verschmutzt</v>
      </c>
      <c r="N791" s="253"/>
      <c r="O791" s="253"/>
      <c r="P791" s="254"/>
      <c r="Q791" s="251"/>
      <c r="R791" s="251"/>
      <c r="S791" s="264">
        <f t="shared" si="725"/>
        <v>0</v>
      </c>
      <c r="T791" s="252" t="str" cm="1">
        <f t="array" ref="T791">INDEX(Trad, 52, $A$20)</f>
        <v>Sauber</v>
      </c>
      <c r="U791" s="253"/>
      <c r="V791" s="253"/>
      <c r="W791" s="254"/>
      <c r="X791" s="251"/>
      <c r="Y791" s="251"/>
      <c r="Z791" s="264">
        <f t="shared" si="726"/>
        <v>0</v>
      </c>
      <c r="AA791" s="261"/>
      <c r="AB791" s="258"/>
      <c r="AC791" s="246"/>
      <c r="AD791" s="247" t="str">
        <f>IF(ISBLANK(AC791), "", VLOOKUP(AC791, Z!$A$2:$C$4127, 3, FALSE))</f>
        <v/>
      </c>
      <c r="AE791" s="262"/>
      <c r="AF791" s="263">
        <f t="shared" si="727"/>
        <v>0</v>
      </c>
      <c r="AG791" s="238"/>
      <c r="AH791" s="229">
        <f t="shared" si="751"/>
        <v>1</v>
      </c>
      <c r="AI791" s="229">
        <f t="shared" si="752"/>
        <v>1</v>
      </c>
      <c r="AJ791" s="229">
        <f t="shared" si="753"/>
        <v>0</v>
      </c>
      <c r="AK791" s="229">
        <v>0</v>
      </c>
      <c r="AL791" s="229">
        <v>0</v>
      </c>
      <c r="AM791" s="229">
        <v>1</v>
      </c>
      <c r="AN791" s="229">
        <v>0</v>
      </c>
      <c r="AO791" s="229">
        <f t="shared" si="728"/>
        <v>-100</v>
      </c>
      <c r="AP791" s="238"/>
      <c r="AQ791" s="255"/>
      <c r="AR791" s="255"/>
      <c r="AS791" s="256"/>
      <c r="AT791" s="256"/>
      <c r="AU791" s="256"/>
      <c r="AV791" s="256"/>
      <c r="AW791" s="256"/>
      <c r="AX791" s="256"/>
      <c r="AY791" s="256"/>
      <c r="AZ791" s="256"/>
      <c r="BA791" s="256"/>
      <c r="BB791" s="256"/>
      <c r="BC791" s="256"/>
      <c r="BD791" s="238"/>
      <c r="BE791" s="229" cm="1">
        <f t="array" ref="BE791">IF(ISBLANK(R791), INDEX(Use, $AH791, 4) - AM791*INDEX(Use, $AH791, 6), R791)</f>
        <v>5</v>
      </c>
      <c r="BF791" s="229">
        <f t="shared" si="729"/>
        <v>30</v>
      </c>
      <c r="BG791" s="229">
        <f t="shared" ref="BG791:BG854" si="755">IF($AJ791=1, 6, IF($AH791=4, 10, 13))</f>
        <v>13</v>
      </c>
      <c r="BH791" s="229">
        <f t="shared" ref="BH791:BH854" si="756">IF($AJ791=1, 9, 0)</f>
        <v>0</v>
      </c>
      <c r="BI791" s="234" cm="1">
        <f t="array" ref="BI791">K791/IF($L791&gt;0, INDEX($AU$23:$BA$77, $L791+20, $AH791), 1)</f>
        <v>0</v>
      </c>
      <c r="BJ791" s="230">
        <f t="shared" si="730"/>
        <v>0</v>
      </c>
      <c r="BK791" s="229">
        <v>35</v>
      </c>
      <c r="BL791" s="230">
        <f t="shared" si="731"/>
        <v>48</v>
      </c>
      <c r="BM791" s="235">
        <f t="shared" si="732"/>
        <v>2.9108720930232557</v>
      </c>
      <c r="BN791" s="235" cm="1">
        <f t="array" ref="BN791">$BI791 * SUMPRODUCT(INDEX($AR$77:$AT$82,,$AI791),INDEX($AU$77:$BA$82,,$AH791), N($AQ$77:$AQ$82&gt;$AO791)) / BM791 / 1000</f>
        <v>0</v>
      </c>
      <c r="BO791" s="232">
        <f t="shared" ref="BO791:BO854" si="757">IF($AH791&lt;=2, 30, 25)</f>
        <v>30</v>
      </c>
      <c r="BP791" s="230">
        <f t="shared" si="733"/>
        <v>43</v>
      </c>
      <c r="BQ791" s="235">
        <f t="shared" si="734"/>
        <v>3.2938815789473681</v>
      </c>
      <c r="BR791" s="235" cm="1">
        <f t="array" ref="BR791">$BI791 * IF($AH791&lt;=2,
SUMPRODUCT(INDEX($AR$72:$AT$76,,$AI791), INDEX($AU$72:$BA$76,,$AH791), 1 / ($BB$72:$BB$76*BQ791 + (1-$BB$72:$BB$76)*BM791), N($AQ$72:$AQ$76&gt;$AO791)),
SUMPRODUCT(INDEX($AR$67:$AT$76,,$AI791), INDEX($AU$67:$BA$76,,$AH791), 1 / ($BC$67:$BC$76*BQ791 + (1-$BC$67:$BC$76)*BM791), N($AQ$67:$AQ$76&gt;$AO791))
) / 1000</f>
        <v>0</v>
      </c>
      <c r="BS791" s="232">
        <f t="shared" ref="BS791:BS854" si="758">IF($AH791&lt;=2, 25, 15)</f>
        <v>25</v>
      </c>
      <c r="BT791" s="230">
        <f t="shared" si="735"/>
        <v>38</v>
      </c>
      <c r="BU791" s="235">
        <f t="shared" si="736"/>
        <v>3.792954545454545</v>
      </c>
      <c r="BV791" s="235" cm="1">
        <f t="array" ref="BV791">$BI791 * IF($AH791&lt;=2,
SUMPRODUCT(INDEX($AR$67:$AT$71,,$AI791), INDEX($AU$67:$BA$71,,$AH791), 1 / ($BB$67:$BB$71*BU791 + (1-$BB$67:$BB$71)*BQ791), N($AQ$67:$AQ$71&gt;$AO791)),
SUMPRODUCT(INDEX($AR$57:$AT$66,,$AI791), INDEX($AU$57:$BA$66,,$AH791), 1 / ($BC$57:$BC$66*BU791 + (1-$BC$57:$BC$66)*BQ791), N($AQ$57:$AQ$66&gt;$AO791))
) / 1000</f>
        <v>0</v>
      </c>
      <c r="BW791" s="232">
        <f t="shared" ref="BW791:BW854" si="759">IF($AH791&lt;=2, 20, 5)</f>
        <v>20</v>
      </c>
      <c r="BX791" s="230">
        <f t="shared" si="737"/>
        <v>33</v>
      </c>
      <c r="BY791" s="235">
        <f t="shared" si="738"/>
        <v>4.4702678571428569</v>
      </c>
      <c r="BZ791" s="235" cm="1">
        <f t="array" ref="BZ791">$BI791 * IF($AH791&lt;=2,
SUMPRODUCT(INDEX($AR$62:$AT$66,,$AI791), INDEX($AU$62:$BA$66,,$AH791), 1 / ($BB$62:$BB$66*BY791 + (1-$BB$62:$BB$66)*BU791), N($AQ$62:$AQ$66&gt;$AO791)),
SUMPRODUCT(INDEX($AR$47:$AT$56,,$AI791), INDEX($AU$47:$BA$56,,$AH791), 1 / ($BC$47:$BC$56*BY791 + (1-$BC$47:$BC$56)*BU791), N($AQ$47:$AQ$56&gt;$AO791))
) / 1000</f>
        <v>0</v>
      </c>
      <c r="CA791" s="235" cm="1">
        <f t="array" ref="CA791">$BI791 * IF($AH791&lt;=2,
SUMPRODUCT(INDEX($AR$23:$AT$61,,$AI791), INDEX($AU$23:$BA$61,,$AH791), 1 / ($BB$23:$BB$61*BY791), N($AQ$23:$AQ$61&gt;$AO791)),
SUMPRODUCT(INDEX($AR$23:$AT$46,,$AI791), INDEX($AU$23:$BA$46,,$AH791), 1 / ($BC$23:$BC$46*BY791), N($AQ$23:$AQ$46&gt;$AO791))
) / 1000</f>
        <v>0</v>
      </c>
      <c r="CB791" s="230">
        <f t="shared" si="739"/>
        <v>0</v>
      </c>
      <c r="CC791" s="238"/>
      <c r="CD791" s="229" cm="1">
        <f t="array" ref="CD791">IF(ISBLANK(Y791), INDEX(Use, $AH791, 4) - AN791*INDEX(Use, $AH791, 6) - (Q791-X791), Y791)</f>
        <v>7</v>
      </c>
      <c r="CE791" s="229">
        <f t="shared" si="740"/>
        <v>32</v>
      </c>
      <c r="CF791" s="230">
        <f t="shared" si="741"/>
        <v>0</v>
      </c>
      <c r="CG791" s="229">
        <v>35</v>
      </c>
      <c r="CH791" s="230">
        <f t="shared" si="742"/>
        <v>48</v>
      </c>
      <c r="CI791" s="235">
        <f t="shared" si="743"/>
        <v>3.0748170731707316</v>
      </c>
      <c r="CJ791" s="235" cm="1">
        <f t="array" ref="CJ791">$BI791 * SUMPRODUCT(INDEX($AR$77:$AT$82,,$AI791),INDEX($AU$77:$BA$82,,$AH791), N($AQ$77:$AQ$82&gt;$AO791)) / CI791 / 1000</f>
        <v>0</v>
      </c>
      <c r="CK791" s="232">
        <f t="shared" ref="CK791:CK854" si="760">IF($AH791&lt;=2, 30, 25)</f>
        <v>30</v>
      </c>
      <c r="CL791" s="230">
        <f t="shared" si="744"/>
        <v>43</v>
      </c>
      <c r="CM791" s="235">
        <f t="shared" si="745"/>
        <v>3.5018750000000001</v>
      </c>
      <c r="CN791" s="235" cm="1">
        <f t="array" ref="CN791">$BI791 * IF($AH791&lt;=2,
SUMPRODUCT(INDEX($AR$72:$AT$76,,$AI791), INDEX($AU$72:$BA$76,,$AH791), 1 / ($BB$72:$BB$76*CM791 + (1-$BB$72:$BB$76)*CI791), N($AQ$72:$AQ$76&gt;$AO791)),
SUMPRODUCT(INDEX($AR$67:$AT$76,,$AI791), INDEX($AU$67:$BA$76,,$AH791), 1 / ($BC$67:$BC$76*CM791 + (1-$BC$67:$BC$76)*CI791), N($AQ$67:$AQ$76&gt;$AO791))
) / 1000</f>
        <v>0</v>
      </c>
      <c r="CO791" s="232">
        <f t="shared" ref="CO791:CO854" si="761">IF($AH791&lt;=2, 25, 15)</f>
        <v>25</v>
      </c>
      <c r="CP791" s="230">
        <f t="shared" si="746"/>
        <v>38</v>
      </c>
      <c r="CQ791" s="235">
        <f t="shared" si="747"/>
        <v>4.0666935483870965</v>
      </c>
      <c r="CR791" s="235" cm="1">
        <f t="array" ref="CR791">$BI791 * IF($AH791&lt;=2,
SUMPRODUCT(INDEX($AR$67:$AT$71,,$AI791), INDEX($AU$67:$BA$71,,$AH791), 1 / ($BB$67:$BB$71*CQ791 + (1-$BB$67:$BB$71)*CM791), N($AQ$67:$AQ$71&gt;$AO791)),
SUMPRODUCT(INDEX($AR$57:$AT$66,,$AI791), INDEX($AU$57:$BA$66,,$AH791), 1 / ($BC$57:$BC$66*CQ791 + (1-$BC$57:$BC$66)*CM791), N($AQ$57:$AQ$66&gt;$AO791))
) / 1000</f>
        <v>0</v>
      </c>
      <c r="CS791" s="232">
        <f t="shared" ref="CS791:CS854" si="762">IF($AH791&lt;=2, 20, 5)</f>
        <v>20</v>
      </c>
      <c r="CT791" s="230">
        <f t="shared" si="748"/>
        <v>33</v>
      </c>
      <c r="CU791" s="235">
        <f t="shared" si="749"/>
        <v>4.8487499999999999</v>
      </c>
      <c r="CV791" s="235" cm="1">
        <f t="array" ref="CV791">$BI791 * IF($AH791&lt;=2,
SUMPRODUCT(INDEX($AR$62:$AT$66,,$AI791), INDEX($AU$62:$BA$66,,$AH791), 1 / ($BB$62:$BB$66*CU791 + (1-$BB$62:$BB$66)*CQ791), N($AQ$62:$AQ$66&gt;$AO791)),
SUMPRODUCT(INDEX($AR$47:$AT$56,,$AI791), INDEX($AU$47:$BA$56,,$AH791), 1 / ($BC$47:$BC$56*CU791 + (1-$BC$47:$BC$56)*CQ791), N($AQ$47:$AQ$56&gt;$AO791))
) / 1000</f>
        <v>0</v>
      </c>
      <c r="CW791" s="235" cm="1">
        <f t="array" ref="CW791">$BI791 * IF($AH791&lt;=2,
SUMPRODUCT(INDEX($AR$23:$AT$61,,$AI791), INDEX($AU$23:$BA$61,,$AH791), 1 / ($BB$23:$BB$61*CU791), N($AQ$23:$AQ$61&gt;$AO791)),
SUMPRODUCT(INDEX($AR$23:$AT$46,,$AI791), INDEX($AU$23:$BA$46,,$AH791), 1 / ($BC$23:$BC$46*CU791), N($AQ$23:$AQ$46&gt;$AO791))
) / 1000</f>
        <v>0</v>
      </c>
      <c r="CX791" s="230">
        <f t="shared" si="750"/>
        <v>0</v>
      </c>
      <c r="CY791" s="238"/>
    </row>
    <row r="792" spans="1:103" s="76" customFormat="1" ht="14.25" customHeight="1" x14ac:dyDescent="0.2">
      <c r="A792" s="231" t="b">
        <f t="shared" si="754"/>
        <v>0</v>
      </c>
      <c r="B792" s="245">
        <v>770</v>
      </c>
      <c r="C792" s="258"/>
      <c r="D792" s="258"/>
      <c r="E792" s="246"/>
      <c r="F792" s="247" t="str">
        <f>IF(ISBLANK(E792), "", VLOOKUP(E792, Z!$A$2:$C$4127, 3, FALSE))</f>
        <v/>
      </c>
      <c r="G792" s="248"/>
      <c r="H792" s="248"/>
      <c r="I792" s="249"/>
      <c r="J792" s="250"/>
      <c r="K792" s="259"/>
      <c r="L792" s="260"/>
      <c r="M792" s="252" t="str" cm="1">
        <f t="array" ref="M792">INDEX(Trad, 53, $A$20)</f>
        <v>Verschmutzt</v>
      </c>
      <c r="N792" s="253"/>
      <c r="O792" s="253"/>
      <c r="P792" s="254"/>
      <c r="Q792" s="251"/>
      <c r="R792" s="251"/>
      <c r="S792" s="264">
        <f t="shared" si="725"/>
        <v>0</v>
      </c>
      <c r="T792" s="252" t="str" cm="1">
        <f t="array" ref="T792">INDEX(Trad, 52, $A$20)</f>
        <v>Sauber</v>
      </c>
      <c r="U792" s="253"/>
      <c r="V792" s="253"/>
      <c r="W792" s="254"/>
      <c r="X792" s="251"/>
      <c r="Y792" s="251"/>
      <c r="Z792" s="264">
        <f t="shared" si="726"/>
        <v>0</v>
      </c>
      <c r="AA792" s="261"/>
      <c r="AB792" s="258"/>
      <c r="AC792" s="246"/>
      <c r="AD792" s="247" t="str">
        <f>IF(ISBLANK(AC792), "", VLOOKUP(AC792, Z!$A$2:$C$4127, 3, FALSE))</f>
        <v/>
      </c>
      <c r="AE792" s="262"/>
      <c r="AF792" s="263">
        <f t="shared" si="727"/>
        <v>0</v>
      </c>
      <c r="AG792" s="238"/>
      <c r="AH792" s="229">
        <f t="shared" si="751"/>
        <v>1</v>
      </c>
      <c r="AI792" s="229">
        <f t="shared" si="752"/>
        <v>1</v>
      </c>
      <c r="AJ792" s="229">
        <f t="shared" si="753"/>
        <v>0</v>
      </c>
      <c r="AK792" s="229">
        <v>0</v>
      </c>
      <c r="AL792" s="229">
        <v>0</v>
      </c>
      <c r="AM792" s="229">
        <v>1</v>
      </c>
      <c r="AN792" s="229">
        <v>0</v>
      </c>
      <c r="AO792" s="229">
        <f t="shared" si="728"/>
        <v>-100</v>
      </c>
      <c r="AP792" s="238"/>
      <c r="AQ792" s="255"/>
      <c r="AR792" s="255"/>
      <c r="AS792" s="256"/>
      <c r="AT792" s="256"/>
      <c r="AU792" s="256"/>
      <c r="AV792" s="256"/>
      <c r="AW792" s="256"/>
      <c r="AX792" s="256"/>
      <c r="AY792" s="256"/>
      <c r="AZ792" s="256"/>
      <c r="BA792" s="256"/>
      <c r="BB792" s="256"/>
      <c r="BC792" s="256"/>
      <c r="BD792" s="238"/>
      <c r="BE792" s="229" cm="1">
        <f t="array" ref="BE792">IF(ISBLANK(R792), INDEX(Use, $AH792, 4) - AM792*INDEX(Use, $AH792, 6), R792)</f>
        <v>5</v>
      </c>
      <c r="BF792" s="229">
        <f t="shared" si="729"/>
        <v>30</v>
      </c>
      <c r="BG792" s="229">
        <f t="shared" si="755"/>
        <v>13</v>
      </c>
      <c r="BH792" s="229">
        <f t="shared" si="756"/>
        <v>0</v>
      </c>
      <c r="BI792" s="234" cm="1">
        <f t="array" ref="BI792">K792/IF($L792&gt;0, INDEX($AU$23:$BA$77, $L792+20, $AH792), 1)</f>
        <v>0</v>
      </c>
      <c r="BJ792" s="230">
        <f t="shared" si="730"/>
        <v>0</v>
      </c>
      <c r="BK792" s="229">
        <v>35</v>
      </c>
      <c r="BL792" s="230">
        <f t="shared" si="731"/>
        <v>48</v>
      </c>
      <c r="BM792" s="235">
        <f t="shared" si="732"/>
        <v>2.9108720930232557</v>
      </c>
      <c r="BN792" s="235" cm="1">
        <f t="array" ref="BN792">$BI792 * SUMPRODUCT(INDEX($AR$77:$AT$82,,$AI792),INDEX($AU$77:$BA$82,,$AH792), N($AQ$77:$AQ$82&gt;$AO792)) / BM792 / 1000</f>
        <v>0</v>
      </c>
      <c r="BO792" s="232">
        <f t="shared" si="757"/>
        <v>30</v>
      </c>
      <c r="BP792" s="230">
        <f t="shared" si="733"/>
        <v>43</v>
      </c>
      <c r="BQ792" s="235">
        <f t="shared" si="734"/>
        <v>3.2938815789473681</v>
      </c>
      <c r="BR792" s="235" cm="1">
        <f t="array" ref="BR792">$BI792 * IF($AH792&lt;=2,
SUMPRODUCT(INDEX($AR$72:$AT$76,,$AI792), INDEX($AU$72:$BA$76,,$AH792), 1 / ($BB$72:$BB$76*BQ792 + (1-$BB$72:$BB$76)*BM792), N($AQ$72:$AQ$76&gt;$AO792)),
SUMPRODUCT(INDEX($AR$67:$AT$76,,$AI792), INDEX($AU$67:$BA$76,,$AH792), 1 / ($BC$67:$BC$76*BQ792 + (1-$BC$67:$BC$76)*BM792), N($AQ$67:$AQ$76&gt;$AO792))
) / 1000</f>
        <v>0</v>
      </c>
      <c r="BS792" s="232">
        <f t="shared" si="758"/>
        <v>25</v>
      </c>
      <c r="BT792" s="230">
        <f t="shared" si="735"/>
        <v>38</v>
      </c>
      <c r="BU792" s="235">
        <f t="shared" si="736"/>
        <v>3.792954545454545</v>
      </c>
      <c r="BV792" s="235" cm="1">
        <f t="array" ref="BV792">$BI792 * IF($AH792&lt;=2,
SUMPRODUCT(INDEX($AR$67:$AT$71,,$AI792), INDEX($AU$67:$BA$71,,$AH792), 1 / ($BB$67:$BB$71*BU792 + (1-$BB$67:$BB$71)*BQ792), N($AQ$67:$AQ$71&gt;$AO792)),
SUMPRODUCT(INDEX($AR$57:$AT$66,,$AI792), INDEX($AU$57:$BA$66,,$AH792), 1 / ($BC$57:$BC$66*BU792 + (1-$BC$57:$BC$66)*BQ792), N($AQ$57:$AQ$66&gt;$AO792))
) / 1000</f>
        <v>0</v>
      </c>
      <c r="BW792" s="232">
        <f t="shared" si="759"/>
        <v>20</v>
      </c>
      <c r="BX792" s="230">
        <f t="shared" si="737"/>
        <v>33</v>
      </c>
      <c r="BY792" s="235">
        <f t="shared" si="738"/>
        <v>4.4702678571428569</v>
      </c>
      <c r="BZ792" s="235" cm="1">
        <f t="array" ref="BZ792">$BI792 * IF($AH792&lt;=2,
SUMPRODUCT(INDEX($AR$62:$AT$66,,$AI792), INDEX($AU$62:$BA$66,,$AH792), 1 / ($BB$62:$BB$66*BY792 + (1-$BB$62:$BB$66)*BU792), N($AQ$62:$AQ$66&gt;$AO792)),
SUMPRODUCT(INDEX($AR$47:$AT$56,,$AI792), INDEX($AU$47:$BA$56,,$AH792), 1 / ($BC$47:$BC$56*BY792 + (1-$BC$47:$BC$56)*BU792), N($AQ$47:$AQ$56&gt;$AO792))
) / 1000</f>
        <v>0</v>
      </c>
      <c r="CA792" s="235" cm="1">
        <f t="array" ref="CA792">$BI792 * IF($AH792&lt;=2,
SUMPRODUCT(INDEX($AR$23:$AT$61,,$AI792), INDEX($AU$23:$BA$61,,$AH792), 1 / ($BB$23:$BB$61*BY792), N($AQ$23:$AQ$61&gt;$AO792)),
SUMPRODUCT(INDEX($AR$23:$AT$46,,$AI792), INDEX($AU$23:$BA$46,,$AH792), 1 / ($BC$23:$BC$46*BY792), N($AQ$23:$AQ$46&gt;$AO792))
) / 1000</f>
        <v>0</v>
      </c>
      <c r="CB792" s="230">
        <f t="shared" si="739"/>
        <v>0</v>
      </c>
      <c r="CC792" s="238"/>
      <c r="CD792" s="229" cm="1">
        <f t="array" ref="CD792">IF(ISBLANK(Y792), INDEX(Use, $AH792, 4) - AN792*INDEX(Use, $AH792, 6) - (Q792-X792), Y792)</f>
        <v>7</v>
      </c>
      <c r="CE792" s="229">
        <f t="shared" si="740"/>
        <v>32</v>
      </c>
      <c r="CF792" s="230">
        <f t="shared" si="741"/>
        <v>0</v>
      </c>
      <c r="CG792" s="229">
        <v>35</v>
      </c>
      <c r="CH792" s="230">
        <f t="shared" si="742"/>
        <v>48</v>
      </c>
      <c r="CI792" s="235">
        <f t="shared" si="743"/>
        <v>3.0748170731707316</v>
      </c>
      <c r="CJ792" s="235" cm="1">
        <f t="array" ref="CJ792">$BI792 * SUMPRODUCT(INDEX($AR$77:$AT$82,,$AI792),INDEX($AU$77:$BA$82,,$AH792), N($AQ$77:$AQ$82&gt;$AO792)) / CI792 / 1000</f>
        <v>0</v>
      </c>
      <c r="CK792" s="232">
        <f t="shared" si="760"/>
        <v>30</v>
      </c>
      <c r="CL792" s="230">
        <f t="shared" si="744"/>
        <v>43</v>
      </c>
      <c r="CM792" s="235">
        <f t="shared" si="745"/>
        <v>3.5018750000000001</v>
      </c>
      <c r="CN792" s="235" cm="1">
        <f t="array" ref="CN792">$BI792 * IF($AH792&lt;=2,
SUMPRODUCT(INDEX($AR$72:$AT$76,,$AI792), INDEX($AU$72:$BA$76,,$AH792), 1 / ($BB$72:$BB$76*CM792 + (1-$BB$72:$BB$76)*CI792), N($AQ$72:$AQ$76&gt;$AO792)),
SUMPRODUCT(INDEX($AR$67:$AT$76,,$AI792), INDEX($AU$67:$BA$76,,$AH792), 1 / ($BC$67:$BC$76*CM792 + (1-$BC$67:$BC$76)*CI792), N($AQ$67:$AQ$76&gt;$AO792))
) / 1000</f>
        <v>0</v>
      </c>
      <c r="CO792" s="232">
        <f t="shared" si="761"/>
        <v>25</v>
      </c>
      <c r="CP792" s="230">
        <f t="shared" si="746"/>
        <v>38</v>
      </c>
      <c r="CQ792" s="235">
        <f t="shared" si="747"/>
        <v>4.0666935483870965</v>
      </c>
      <c r="CR792" s="235" cm="1">
        <f t="array" ref="CR792">$BI792 * IF($AH792&lt;=2,
SUMPRODUCT(INDEX($AR$67:$AT$71,,$AI792), INDEX($AU$67:$BA$71,,$AH792), 1 / ($BB$67:$BB$71*CQ792 + (1-$BB$67:$BB$71)*CM792), N($AQ$67:$AQ$71&gt;$AO792)),
SUMPRODUCT(INDEX($AR$57:$AT$66,,$AI792), INDEX($AU$57:$BA$66,,$AH792), 1 / ($BC$57:$BC$66*CQ792 + (1-$BC$57:$BC$66)*CM792), N($AQ$57:$AQ$66&gt;$AO792))
) / 1000</f>
        <v>0</v>
      </c>
      <c r="CS792" s="232">
        <f t="shared" si="762"/>
        <v>20</v>
      </c>
      <c r="CT792" s="230">
        <f t="shared" si="748"/>
        <v>33</v>
      </c>
      <c r="CU792" s="235">
        <f t="shared" si="749"/>
        <v>4.8487499999999999</v>
      </c>
      <c r="CV792" s="235" cm="1">
        <f t="array" ref="CV792">$BI792 * IF($AH792&lt;=2,
SUMPRODUCT(INDEX($AR$62:$AT$66,,$AI792), INDEX($AU$62:$BA$66,,$AH792), 1 / ($BB$62:$BB$66*CU792 + (1-$BB$62:$BB$66)*CQ792), N($AQ$62:$AQ$66&gt;$AO792)),
SUMPRODUCT(INDEX($AR$47:$AT$56,,$AI792), INDEX($AU$47:$BA$56,,$AH792), 1 / ($BC$47:$BC$56*CU792 + (1-$BC$47:$BC$56)*CQ792), N($AQ$47:$AQ$56&gt;$AO792))
) / 1000</f>
        <v>0</v>
      </c>
      <c r="CW792" s="235" cm="1">
        <f t="array" ref="CW792">$BI792 * IF($AH792&lt;=2,
SUMPRODUCT(INDEX($AR$23:$AT$61,,$AI792), INDEX($AU$23:$BA$61,,$AH792), 1 / ($BB$23:$BB$61*CU792), N($AQ$23:$AQ$61&gt;$AO792)),
SUMPRODUCT(INDEX($AR$23:$AT$46,,$AI792), INDEX($AU$23:$BA$46,,$AH792), 1 / ($BC$23:$BC$46*CU792), N($AQ$23:$AQ$46&gt;$AO792))
) / 1000</f>
        <v>0</v>
      </c>
      <c r="CX792" s="230">
        <f t="shared" si="750"/>
        <v>0</v>
      </c>
      <c r="CY792" s="238"/>
    </row>
    <row r="793" spans="1:103" s="76" customFormat="1" ht="14.25" customHeight="1" x14ac:dyDescent="0.2">
      <c r="A793" s="231" t="b">
        <f t="shared" si="754"/>
        <v>0</v>
      </c>
      <c r="B793" s="245">
        <v>771</v>
      </c>
      <c r="C793" s="258"/>
      <c r="D793" s="258"/>
      <c r="E793" s="246"/>
      <c r="F793" s="247" t="str">
        <f>IF(ISBLANK(E793), "", VLOOKUP(E793, Z!$A$2:$C$4127, 3, FALSE))</f>
        <v/>
      </c>
      <c r="G793" s="248"/>
      <c r="H793" s="248"/>
      <c r="I793" s="249"/>
      <c r="J793" s="250"/>
      <c r="K793" s="259"/>
      <c r="L793" s="260"/>
      <c r="M793" s="252" t="str" cm="1">
        <f t="array" ref="M793">INDEX(Trad, 53, $A$20)</f>
        <v>Verschmutzt</v>
      </c>
      <c r="N793" s="253"/>
      <c r="O793" s="253"/>
      <c r="P793" s="254"/>
      <c r="Q793" s="251"/>
      <c r="R793" s="251"/>
      <c r="S793" s="264">
        <f t="shared" si="725"/>
        <v>0</v>
      </c>
      <c r="T793" s="252" t="str" cm="1">
        <f t="array" ref="T793">INDEX(Trad, 52, $A$20)</f>
        <v>Sauber</v>
      </c>
      <c r="U793" s="253"/>
      <c r="V793" s="253"/>
      <c r="W793" s="254"/>
      <c r="X793" s="251"/>
      <c r="Y793" s="251"/>
      <c r="Z793" s="264">
        <f t="shared" si="726"/>
        <v>0</v>
      </c>
      <c r="AA793" s="261"/>
      <c r="AB793" s="258"/>
      <c r="AC793" s="246"/>
      <c r="AD793" s="247" t="str">
        <f>IF(ISBLANK(AC793), "", VLOOKUP(AC793, Z!$A$2:$C$4127, 3, FALSE))</f>
        <v/>
      </c>
      <c r="AE793" s="262"/>
      <c r="AF793" s="263">
        <f t="shared" si="727"/>
        <v>0</v>
      </c>
      <c r="AG793" s="238"/>
      <c r="AH793" s="229">
        <f t="shared" si="751"/>
        <v>1</v>
      </c>
      <c r="AI793" s="229">
        <f t="shared" si="752"/>
        <v>1</v>
      </c>
      <c r="AJ793" s="229">
        <f t="shared" si="753"/>
        <v>0</v>
      </c>
      <c r="AK793" s="229">
        <v>0</v>
      </c>
      <c r="AL793" s="229">
        <v>0</v>
      </c>
      <c r="AM793" s="229">
        <v>1</v>
      </c>
      <c r="AN793" s="229">
        <v>0</v>
      </c>
      <c r="AO793" s="229">
        <f t="shared" si="728"/>
        <v>-100</v>
      </c>
      <c r="AP793" s="238"/>
      <c r="AQ793" s="255"/>
      <c r="AR793" s="255"/>
      <c r="AS793" s="256"/>
      <c r="AT793" s="256"/>
      <c r="AU793" s="256"/>
      <c r="AV793" s="256"/>
      <c r="AW793" s="256"/>
      <c r="AX793" s="256"/>
      <c r="AY793" s="256"/>
      <c r="AZ793" s="256"/>
      <c r="BA793" s="256"/>
      <c r="BB793" s="256"/>
      <c r="BC793" s="256"/>
      <c r="BD793" s="238"/>
      <c r="BE793" s="229" cm="1">
        <f t="array" ref="BE793">IF(ISBLANK(R793), INDEX(Use, $AH793, 4) - AM793*INDEX(Use, $AH793, 6), R793)</f>
        <v>5</v>
      </c>
      <c r="BF793" s="229">
        <f t="shared" si="729"/>
        <v>30</v>
      </c>
      <c r="BG793" s="229">
        <f t="shared" si="755"/>
        <v>13</v>
      </c>
      <c r="BH793" s="229">
        <f t="shared" si="756"/>
        <v>0</v>
      </c>
      <c r="BI793" s="234" cm="1">
        <f t="array" ref="BI793">K793/IF($L793&gt;0, INDEX($AU$23:$BA$77, $L793+20, $AH793), 1)</f>
        <v>0</v>
      </c>
      <c r="BJ793" s="230">
        <f t="shared" si="730"/>
        <v>0</v>
      </c>
      <c r="BK793" s="229">
        <v>35</v>
      </c>
      <c r="BL793" s="230">
        <f t="shared" si="731"/>
        <v>48</v>
      </c>
      <c r="BM793" s="235">
        <f t="shared" si="732"/>
        <v>2.9108720930232557</v>
      </c>
      <c r="BN793" s="235" cm="1">
        <f t="array" ref="BN793">$BI793 * SUMPRODUCT(INDEX($AR$77:$AT$82,,$AI793),INDEX($AU$77:$BA$82,,$AH793), N($AQ$77:$AQ$82&gt;$AO793)) / BM793 / 1000</f>
        <v>0</v>
      </c>
      <c r="BO793" s="232">
        <f t="shared" si="757"/>
        <v>30</v>
      </c>
      <c r="BP793" s="230">
        <f t="shared" si="733"/>
        <v>43</v>
      </c>
      <c r="BQ793" s="235">
        <f t="shared" si="734"/>
        <v>3.2938815789473681</v>
      </c>
      <c r="BR793" s="235" cm="1">
        <f t="array" ref="BR793">$BI793 * IF($AH793&lt;=2,
SUMPRODUCT(INDEX($AR$72:$AT$76,,$AI793), INDEX($AU$72:$BA$76,,$AH793), 1 / ($BB$72:$BB$76*BQ793 + (1-$BB$72:$BB$76)*BM793), N($AQ$72:$AQ$76&gt;$AO793)),
SUMPRODUCT(INDEX($AR$67:$AT$76,,$AI793), INDEX($AU$67:$BA$76,,$AH793), 1 / ($BC$67:$BC$76*BQ793 + (1-$BC$67:$BC$76)*BM793), N($AQ$67:$AQ$76&gt;$AO793))
) / 1000</f>
        <v>0</v>
      </c>
      <c r="BS793" s="232">
        <f t="shared" si="758"/>
        <v>25</v>
      </c>
      <c r="BT793" s="230">
        <f t="shared" si="735"/>
        <v>38</v>
      </c>
      <c r="BU793" s="235">
        <f t="shared" si="736"/>
        <v>3.792954545454545</v>
      </c>
      <c r="BV793" s="235" cm="1">
        <f t="array" ref="BV793">$BI793 * IF($AH793&lt;=2,
SUMPRODUCT(INDEX($AR$67:$AT$71,,$AI793), INDEX($AU$67:$BA$71,,$AH793), 1 / ($BB$67:$BB$71*BU793 + (1-$BB$67:$BB$71)*BQ793), N($AQ$67:$AQ$71&gt;$AO793)),
SUMPRODUCT(INDEX($AR$57:$AT$66,,$AI793), INDEX($AU$57:$BA$66,,$AH793), 1 / ($BC$57:$BC$66*BU793 + (1-$BC$57:$BC$66)*BQ793), N($AQ$57:$AQ$66&gt;$AO793))
) / 1000</f>
        <v>0</v>
      </c>
      <c r="BW793" s="232">
        <f t="shared" si="759"/>
        <v>20</v>
      </c>
      <c r="BX793" s="230">
        <f t="shared" si="737"/>
        <v>33</v>
      </c>
      <c r="BY793" s="235">
        <f t="shared" si="738"/>
        <v>4.4702678571428569</v>
      </c>
      <c r="BZ793" s="235" cm="1">
        <f t="array" ref="BZ793">$BI793 * IF($AH793&lt;=2,
SUMPRODUCT(INDEX($AR$62:$AT$66,,$AI793), INDEX($AU$62:$BA$66,,$AH793), 1 / ($BB$62:$BB$66*BY793 + (1-$BB$62:$BB$66)*BU793), N($AQ$62:$AQ$66&gt;$AO793)),
SUMPRODUCT(INDEX($AR$47:$AT$56,,$AI793), INDEX($AU$47:$BA$56,,$AH793), 1 / ($BC$47:$BC$56*BY793 + (1-$BC$47:$BC$56)*BU793), N($AQ$47:$AQ$56&gt;$AO793))
) / 1000</f>
        <v>0</v>
      </c>
      <c r="CA793" s="235" cm="1">
        <f t="array" ref="CA793">$BI793 * IF($AH793&lt;=2,
SUMPRODUCT(INDEX($AR$23:$AT$61,,$AI793), INDEX($AU$23:$BA$61,,$AH793), 1 / ($BB$23:$BB$61*BY793), N($AQ$23:$AQ$61&gt;$AO793)),
SUMPRODUCT(INDEX($AR$23:$AT$46,,$AI793), INDEX($AU$23:$BA$46,,$AH793), 1 / ($BC$23:$BC$46*BY793), N($AQ$23:$AQ$46&gt;$AO793))
) / 1000</f>
        <v>0</v>
      </c>
      <c r="CB793" s="230">
        <f t="shared" si="739"/>
        <v>0</v>
      </c>
      <c r="CC793" s="238"/>
      <c r="CD793" s="229" cm="1">
        <f t="array" ref="CD793">IF(ISBLANK(Y793), INDEX(Use, $AH793, 4) - AN793*INDEX(Use, $AH793, 6) - (Q793-X793), Y793)</f>
        <v>7</v>
      </c>
      <c r="CE793" s="229">
        <f t="shared" si="740"/>
        <v>32</v>
      </c>
      <c r="CF793" s="230">
        <f t="shared" si="741"/>
        <v>0</v>
      </c>
      <c r="CG793" s="229">
        <v>35</v>
      </c>
      <c r="CH793" s="230">
        <f t="shared" si="742"/>
        <v>48</v>
      </c>
      <c r="CI793" s="235">
        <f t="shared" si="743"/>
        <v>3.0748170731707316</v>
      </c>
      <c r="CJ793" s="235" cm="1">
        <f t="array" ref="CJ793">$BI793 * SUMPRODUCT(INDEX($AR$77:$AT$82,,$AI793),INDEX($AU$77:$BA$82,,$AH793), N($AQ$77:$AQ$82&gt;$AO793)) / CI793 / 1000</f>
        <v>0</v>
      </c>
      <c r="CK793" s="232">
        <f t="shared" si="760"/>
        <v>30</v>
      </c>
      <c r="CL793" s="230">
        <f t="shared" si="744"/>
        <v>43</v>
      </c>
      <c r="CM793" s="235">
        <f t="shared" si="745"/>
        <v>3.5018750000000001</v>
      </c>
      <c r="CN793" s="235" cm="1">
        <f t="array" ref="CN793">$BI793 * IF($AH793&lt;=2,
SUMPRODUCT(INDEX($AR$72:$AT$76,,$AI793), INDEX($AU$72:$BA$76,,$AH793), 1 / ($BB$72:$BB$76*CM793 + (1-$BB$72:$BB$76)*CI793), N($AQ$72:$AQ$76&gt;$AO793)),
SUMPRODUCT(INDEX($AR$67:$AT$76,,$AI793), INDEX($AU$67:$BA$76,,$AH793), 1 / ($BC$67:$BC$76*CM793 + (1-$BC$67:$BC$76)*CI793), N($AQ$67:$AQ$76&gt;$AO793))
) / 1000</f>
        <v>0</v>
      </c>
      <c r="CO793" s="232">
        <f t="shared" si="761"/>
        <v>25</v>
      </c>
      <c r="CP793" s="230">
        <f t="shared" si="746"/>
        <v>38</v>
      </c>
      <c r="CQ793" s="235">
        <f t="shared" si="747"/>
        <v>4.0666935483870965</v>
      </c>
      <c r="CR793" s="235" cm="1">
        <f t="array" ref="CR793">$BI793 * IF($AH793&lt;=2,
SUMPRODUCT(INDEX($AR$67:$AT$71,,$AI793), INDEX($AU$67:$BA$71,,$AH793), 1 / ($BB$67:$BB$71*CQ793 + (1-$BB$67:$BB$71)*CM793), N($AQ$67:$AQ$71&gt;$AO793)),
SUMPRODUCT(INDEX($AR$57:$AT$66,,$AI793), INDEX($AU$57:$BA$66,,$AH793), 1 / ($BC$57:$BC$66*CQ793 + (1-$BC$57:$BC$66)*CM793), N($AQ$57:$AQ$66&gt;$AO793))
) / 1000</f>
        <v>0</v>
      </c>
      <c r="CS793" s="232">
        <f t="shared" si="762"/>
        <v>20</v>
      </c>
      <c r="CT793" s="230">
        <f t="shared" si="748"/>
        <v>33</v>
      </c>
      <c r="CU793" s="235">
        <f t="shared" si="749"/>
        <v>4.8487499999999999</v>
      </c>
      <c r="CV793" s="235" cm="1">
        <f t="array" ref="CV793">$BI793 * IF($AH793&lt;=2,
SUMPRODUCT(INDEX($AR$62:$AT$66,,$AI793), INDEX($AU$62:$BA$66,,$AH793), 1 / ($BB$62:$BB$66*CU793 + (1-$BB$62:$BB$66)*CQ793), N($AQ$62:$AQ$66&gt;$AO793)),
SUMPRODUCT(INDEX($AR$47:$AT$56,,$AI793), INDEX($AU$47:$BA$56,,$AH793), 1 / ($BC$47:$BC$56*CU793 + (1-$BC$47:$BC$56)*CQ793), N($AQ$47:$AQ$56&gt;$AO793))
) / 1000</f>
        <v>0</v>
      </c>
      <c r="CW793" s="235" cm="1">
        <f t="array" ref="CW793">$BI793 * IF($AH793&lt;=2,
SUMPRODUCT(INDEX($AR$23:$AT$61,,$AI793), INDEX($AU$23:$BA$61,,$AH793), 1 / ($BB$23:$BB$61*CU793), N($AQ$23:$AQ$61&gt;$AO793)),
SUMPRODUCT(INDEX($AR$23:$AT$46,,$AI793), INDEX($AU$23:$BA$46,,$AH793), 1 / ($BC$23:$BC$46*CU793), N($AQ$23:$AQ$46&gt;$AO793))
) / 1000</f>
        <v>0</v>
      </c>
      <c r="CX793" s="230">
        <f t="shared" si="750"/>
        <v>0</v>
      </c>
      <c r="CY793" s="238"/>
    </row>
    <row r="794" spans="1:103" s="76" customFormat="1" ht="14.25" customHeight="1" x14ac:dyDescent="0.2">
      <c r="A794" s="231" t="b">
        <f t="shared" si="754"/>
        <v>0</v>
      </c>
      <c r="B794" s="245">
        <v>772</v>
      </c>
      <c r="C794" s="258"/>
      <c r="D794" s="258"/>
      <c r="E794" s="246"/>
      <c r="F794" s="247" t="str">
        <f>IF(ISBLANK(E794), "", VLOOKUP(E794, Z!$A$2:$C$4127, 3, FALSE))</f>
        <v/>
      </c>
      <c r="G794" s="248"/>
      <c r="H794" s="248"/>
      <c r="I794" s="249"/>
      <c r="J794" s="250"/>
      <c r="K794" s="259"/>
      <c r="L794" s="260"/>
      <c r="M794" s="252" t="str" cm="1">
        <f t="array" ref="M794">INDEX(Trad, 53, $A$20)</f>
        <v>Verschmutzt</v>
      </c>
      <c r="N794" s="253"/>
      <c r="O794" s="253"/>
      <c r="P794" s="254"/>
      <c r="Q794" s="251"/>
      <c r="R794" s="251"/>
      <c r="S794" s="264">
        <f t="shared" si="725"/>
        <v>0</v>
      </c>
      <c r="T794" s="252" t="str" cm="1">
        <f t="array" ref="T794">INDEX(Trad, 52, $A$20)</f>
        <v>Sauber</v>
      </c>
      <c r="U794" s="253"/>
      <c r="V794" s="253"/>
      <c r="W794" s="254"/>
      <c r="X794" s="251"/>
      <c r="Y794" s="251"/>
      <c r="Z794" s="264">
        <f t="shared" si="726"/>
        <v>0</v>
      </c>
      <c r="AA794" s="261"/>
      <c r="AB794" s="258"/>
      <c r="AC794" s="246"/>
      <c r="AD794" s="247" t="str">
        <f>IF(ISBLANK(AC794), "", VLOOKUP(AC794, Z!$A$2:$C$4127, 3, FALSE))</f>
        <v/>
      </c>
      <c r="AE794" s="262"/>
      <c r="AF794" s="263">
        <f t="shared" si="727"/>
        <v>0</v>
      </c>
      <c r="AG794" s="238"/>
      <c r="AH794" s="229">
        <f t="shared" si="751"/>
        <v>1</v>
      </c>
      <c r="AI794" s="229">
        <f t="shared" si="752"/>
        <v>1</v>
      </c>
      <c r="AJ794" s="229">
        <f t="shared" si="753"/>
        <v>0</v>
      </c>
      <c r="AK794" s="229">
        <v>0</v>
      </c>
      <c r="AL794" s="229">
        <v>0</v>
      </c>
      <c r="AM794" s="229">
        <v>1</v>
      </c>
      <c r="AN794" s="229">
        <v>0</v>
      </c>
      <c r="AO794" s="229">
        <f t="shared" si="728"/>
        <v>-100</v>
      </c>
      <c r="AP794" s="238"/>
      <c r="AQ794" s="255"/>
      <c r="AR794" s="255"/>
      <c r="AS794" s="256"/>
      <c r="AT794" s="256"/>
      <c r="AU794" s="256"/>
      <c r="AV794" s="256"/>
      <c r="AW794" s="256"/>
      <c r="AX794" s="256"/>
      <c r="AY794" s="256"/>
      <c r="AZ794" s="256"/>
      <c r="BA794" s="256"/>
      <c r="BB794" s="256"/>
      <c r="BC794" s="256"/>
      <c r="BD794" s="238"/>
      <c r="BE794" s="229" cm="1">
        <f t="array" ref="BE794">IF(ISBLANK(R794), INDEX(Use, $AH794, 4) - AM794*INDEX(Use, $AH794, 6), R794)</f>
        <v>5</v>
      </c>
      <c r="BF794" s="229">
        <f t="shared" si="729"/>
        <v>30</v>
      </c>
      <c r="BG794" s="229">
        <f t="shared" si="755"/>
        <v>13</v>
      </c>
      <c r="BH794" s="229">
        <f t="shared" si="756"/>
        <v>0</v>
      </c>
      <c r="BI794" s="234" cm="1">
        <f t="array" ref="BI794">K794/IF($L794&gt;0, INDEX($AU$23:$BA$77, $L794+20, $AH794), 1)</f>
        <v>0</v>
      </c>
      <c r="BJ794" s="230">
        <f t="shared" si="730"/>
        <v>0</v>
      </c>
      <c r="BK794" s="229">
        <v>35</v>
      </c>
      <c r="BL794" s="230">
        <f t="shared" si="731"/>
        <v>48</v>
      </c>
      <c r="BM794" s="235">
        <f t="shared" si="732"/>
        <v>2.9108720930232557</v>
      </c>
      <c r="BN794" s="235" cm="1">
        <f t="array" ref="BN794">$BI794 * SUMPRODUCT(INDEX($AR$77:$AT$82,,$AI794),INDEX($AU$77:$BA$82,,$AH794), N($AQ$77:$AQ$82&gt;$AO794)) / BM794 / 1000</f>
        <v>0</v>
      </c>
      <c r="BO794" s="232">
        <f t="shared" si="757"/>
        <v>30</v>
      </c>
      <c r="BP794" s="230">
        <f t="shared" si="733"/>
        <v>43</v>
      </c>
      <c r="BQ794" s="235">
        <f t="shared" si="734"/>
        <v>3.2938815789473681</v>
      </c>
      <c r="BR794" s="235" cm="1">
        <f t="array" ref="BR794">$BI794 * IF($AH794&lt;=2,
SUMPRODUCT(INDEX($AR$72:$AT$76,,$AI794), INDEX($AU$72:$BA$76,,$AH794), 1 / ($BB$72:$BB$76*BQ794 + (1-$BB$72:$BB$76)*BM794), N($AQ$72:$AQ$76&gt;$AO794)),
SUMPRODUCT(INDEX($AR$67:$AT$76,,$AI794), INDEX($AU$67:$BA$76,,$AH794), 1 / ($BC$67:$BC$76*BQ794 + (1-$BC$67:$BC$76)*BM794), N($AQ$67:$AQ$76&gt;$AO794))
) / 1000</f>
        <v>0</v>
      </c>
      <c r="BS794" s="232">
        <f t="shared" si="758"/>
        <v>25</v>
      </c>
      <c r="BT794" s="230">
        <f t="shared" si="735"/>
        <v>38</v>
      </c>
      <c r="BU794" s="235">
        <f t="shared" si="736"/>
        <v>3.792954545454545</v>
      </c>
      <c r="BV794" s="235" cm="1">
        <f t="array" ref="BV794">$BI794 * IF($AH794&lt;=2,
SUMPRODUCT(INDEX($AR$67:$AT$71,,$AI794), INDEX($AU$67:$BA$71,,$AH794), 1 / ($BB$67:$BB$71*BU794 + (1-$BB$67:$BB$71)*BQ794), N($AQ$67:$AQ$71&gt;$AO794)),
SUMPRODUCT(INDEX($AR$57:$AT$66,,$AI794), INDEX($AU$57:$BA$66,,$AH794), 1 / ($BC$57:$BC$66*BU794 + (1-$BC$57:$BC$66)*BQ794), N($AQ$57:$AQ$66&gt;$AO794))
) / 1000</f>
        <v>0</v>
      </c>
      <c r="BW794" s="232">
        <f t="shared" si="759"/>
        <v>20</v>
      </c>
      <c r="BX794" s="230">
        <f t="shared" si="737"/>
        <v>33</v>
      </c>
      <c r="BY794" s="235">
        <f t="shared" si="738"/>
        <v>4.4702678571428569</v>
      </c>
      <c r="BZ794" s="235" cm="1">
        <f t="array" ref="BZ794">$BI794 * IF($AH794&lt;=2,
SUMPRODUCT(INDEX($AR$62:$AT$66,,$AI794), INDEX($AU$62:$BA$66,,$AH794), 1 / ($BB$62:$BB$66*BY794 + (1-$BB$62:$BB$66)*BU794), N($AQ$62:$AQ$66&gt;$AO794)),
SUMPRODUCT(INDEX($AR$47:$AT$56,,$AI794), INDEX($AU$47:$BA$56,,$AH794), 1 / ($BC$47:$BC$56*BY794 + (1-$BC$47:$BC$56)*BU794), N($AQ$47:$AQ$56&gt;$AO794))
) / 1000</f>
        <v>0</v>
      </c>
      <c r="CA794" s="235" cm="1">
        <f t="array" ref="CA794">$BI794 * IF($AH794&lt;=2,
SUMPRODUCT(INDEX($AR$23:$AT$61,,$AI794), INDEX($AU$23:$BA$61,,$AH794), 1 / ($BB$23:$BB$61*BY794), N($AQ$23:$AQ$61&gt;$AO794)),
SUMPRODUCT(INDEX($AR$23:$AT$46,,$AI794), INDEX($AU$23:$BA$46,,$AH794), 1 / ($BC$23:$BC$46*BY794), N($AQ$23:$AQ$46&gt;$AO794))
) / 1000</f>
        <v>0</v>
      </c>
      <c r="CB794" s="230">
        <f t="shared" si="739"/>
        <v>0</v>
      </c>
      <c r="CC794" s="238"/>
      <c r="CD794" s="229" cm="1">
        <f t="array" ref="CD794">IF(ISBLANK(Y794), INDEX(Use, $AH794, 4) - AN794*INDEX(Use, $AH794, 6) - (Q794-X794), Y794)</f>
        <v>7</v>
      </c>
      <c r="CE794" s="229">
        <f t="shared" si="740"/>
        <v>32</v>
      </c>
      <c r="CF794" s="230">
        <f t="shared" si="741"/>
        <v>0</v>
      </c>
      <c r="CG794" s="229">
        <v>35</v>
      </c>
      <c r="CH794" s="230">
        <f t="shared" si="742"/>
        <v>48</v>
      </c>
      <c r="CI794" s="235">
        <f t="shared" si="743"/>
        <v>3.0748170731707316</v>
      </c>
      <c r="CJ794" s="235" cm="1">
        <f t="array" ref="CJ794">$BI794 * SUMPRODUCT(INDEX($AR$77:$AT$82,,$AI794),INDEX($AU$77:$BA$82,,$AH794), N($AQ$77:$AQ$82&gt;$AO794)) / CI794 / 1000</f>
        <v>0</v>
      </c>
      <c r="CK794" s="232">
        <f t="shared" si="760"/>
        <v>30</v>
      </c>
      <c r="CL794" s="230">
        <f t="shared" si="744"/>
        <v>43</v>
      </c>
      <c r="CM794" s="235">
        <f t="shared" si="745"/>
        <v>3.5018750000000001</v>
      </c>
      <c r="CN794" s="235" cm="1">
        <f t="array" ref="CN794">$BI794 * IF($AH794&lt;=2,
SUMPRODUCT(INDEX($AR$72:$AT$76,,$AI794), INDEX($AU$72:$BA$76,,$AH794), 1 / ($BB$72:$BB$76*CM794 + (1-$BB$72:$BB$76)*CI794), N($AQ$72:$AQ$76&gt;$AO794)),
SUMPRODUCT(INDEX($AR$67:$AT$76,,$AI794), INDEX($AU$67:$BA$76,,$AH794), 1 / ($BC$67:$BC$76*CM794 + (1-$BC$67:$BC$76)*CI794), N($AQ$67:$AQ$76&gt;$AO794))
) / 1000</f>
        <v>0</v>
      </c>
      <c r="CO794" s="232">
        <f t="shared" si="761"/>
        <v>25</v>
      </c>
      <c r="CP794" s="230">
        <f t="shared" si="746"/>
        <v>38</v>
      </c>
      <c r="CQ794" s="235">
        <f t="shared" si="747"/>
        <v>4.0666935483870965</v>
      </c>
      <c r="CR794" s="235" cm="1">
        <f t="array" ref="CR794">$BI794 * IF($AH794&lt;=2,
SUMPRODUCT(INDEX($AR$67:$AT$71,,$AI794), INDEX($AU$67:$BA$71,,$AH794), 1 / ($BB$67:$BB$71*CQ794 + (1-$BB$67:$BB$71)*CM794), N($AQ$67:$AQ$71&gt;$AO794)),
SUMPRODUCT(INDEX($AR$57:$AT$66,,$AI794), INDEX($AU$57:$BA$66,,$AH794), 1 / ($BC$57:$BC$66*CQ794 + (1-$BC$57:$BC$66)*CM794), N($AQ$57:$AQ$66&gt;$AO794))
) / 1000</f>
        <v>0</v>
      </c>
      <c r="CS794" s="232">
        <f t="shared" si="762"/>
        <v>20</v>
      </c>
      <c r="CT794" s="230">
        <f t="shared" si="748"/>
        <v>33</v>
      </c>
      <c r="CU794" s="235">
        <f t="shared" si="749"/>
        <v>4.8487499999999999</v>
      </c>
      <c r="CV794" s="235" cm="1">
        <f t="array" ref="CV794">$BI794 * IF($AH794&lt;=2,
SUMPRODUCT(INDEX($AR$62:$AT$66,,$AI794), INDEX($AU$62:$BA$66,,$AH794), 1 / ($BB$62:$BB$66*CU794 + (1-$BB$62:$BB$66)*CQ794), N($AQ$62:$AQ$66&gt;$AO794)),
SUMPRODUCT(INDEX($AR$47:$AT$56,,$AI794), INDEX($AU$47:$BA$56,,$AH794), 1 / ($BC$47:$BC$56*CU794 + (1-$BC$47:$BC$56)*CQ794), N($AQ$47:$AQ$56&gt;$AO794))
) / 1000</f>
        <v>0</v>
      </c>
      <c r="CW794" s="235" cm="1">
        <f t="array" ref="CW794">$BI794 * IF($AH794&lt;=2,
SUMPRODUCT(INDEX($AR$23:$AT$61,,$AI794), INDEX($AU$23:$BA$61,,$AH794), 1 / ($BB$23:$BB$61*CU794), N($AQ$23:$AQ$61&gt;$AO794)),
SUMPRODUCT(INDEX($AR$23:$AT$46,,$AI794), INDEX($AU$23:$BA$46,,$AH794), 1 / ($BC$23:$BC$46*CU794), N($AQ$23:$AQ$46&gt;$AO794))
) / 1000</f>
        <v>0</v>
      </c>
      <c r="CX794" s="230">
        <f t="shared" si="750"/>
        <v>0</v>
      </c>
      <c r="CY794" s="238"/>
    </row>
    <row r="795" spans="1:103" s="76" customFormat="1" ht="14.25" customHeight="1" x14ac:dyDescent="0.2">
      <c r="A795" s="231" t="b">
        <f t="shared" si="754"/>
        <v>0</v>
      </c>
      <c r="B795" s="245">
        <v>773</v>
      </c>
      <c r="C795" s="258"/>
      <c r="D795" s="258"/>
      <c r="E795" s="246"/>
      <c r="F795" s="247" t="str">
        <f>IF(ISBLANK(E795), "", VLOOKUP(E795, Z!$A$2:$C$4127, 3, FALSE))</f>
        <v/>
      </c>
      <c r="G795" s="248"/>
      <c r="H795" s="248"/>
      <c r="I795" s="249"/>
      <c r="J795" s="250"/>
      <c r="K795" s="259"/>
      <c r="L795" s="260"/>
      <c r="M795" s="252" t="str" cm="1">
        <f t="array" ref="M795">INDEX(Trad, 53, $A$20)</f>
        <v>Verschmutzt</v>
      </c>
      <c r="N795" s="253"/>
      <c r="O795" s="253"/>
      <c r="P795" s="254"/>
      <c r="Q795" s="251"/>
      <c r="R795" s="251"/>
      <c r="S795" s="264">
        <f t="shared" si="725"/>
        <v>0</v>
      </c>
      <c r="T795" s="252" t="str" cm="1">
        <f t="array" ref="T795">INDEX(Trad, 52, $A$20)</f>
        <v>Sauber</v>
      </c>
      <c r="U795" s="253"/>
      <c r="V795" s="253"/>
      <c r="W795" s="254"/>
      <c r="X795" s="251"/>
      <c r="Y795" s="251"/>
      <c r="Z795" s="264">
        <f t="shared" si="726"/>
        <v>0</v>
      </c>
      <c r="AA795" s="261"/>
      <c r="AB795" s="258"/>
      <c r="AC795" s="246"/>
      <c r="AD795" s="247" t="str">
        <f>IF(ISBLANK(AC795), "", VLOOKUP(AC795, Z!$A$2:$C$4127, 3, FALSE))</f>
        <v/>
      </c>
      <c r="AE795" s="262"/>
      <c r="AF795" s="263">
        <f t="shared" si="727"/>
        <v>0</v>
      </c>
      <c r="AG795" s="238"/>
      <c r="AH795" s="229">
        <f t="shared" si="751"/>
        <v>1</v>
      </c>
      <c r="AI795" s="229">
        <f t="shared" si="752"/>
        <v>1</v>
      </c>
      <c r="AJ795" s="229">
        <f t="shared" si="753"/>
        <v>0</v>
      </c>
      <c r="AK795" s="229">
        <v>0</v>
      </c>
      <c r="AL795" s="229">
        <v>0</v>
      </c>
      <c r="AM795" s="229">
        <v>1</v>
      </c>
      <c r="AN795" s="229">
        <v>0</v>
      </c>
      <c r="AO795" s="229">
        <f t="shared" si="728"/>
        <v>-100</v>
      </c>
      <c r="AP795" s="238"/>
      <c r="AQ795" s="255"/>
      <c r="AR795" s="255"/>
      <c r="AS795" s="256"/>
      <c r="AT795" s="256"/>
      <c r="AU795" s="256"/>
      <c r="AV795" s="256"/>
      <c r="AW795" s="256"/>
      <c r="AX795" s="256"/>
      <c r="AY795" s="256"/>
      <c r="AZ795" s="256"/>
      <c r="BA795" s="256"/>
      <c r="BB795" s="256"/>
      <c r="BC795" s="256"/>
      <c r="BD795" s="238"/>
      <c r="BE795" s="229" cm="1">
        <f t="array" ref="BE795">IF(ISBLANK(R795), INDEX(Use, $AH795, 4) - AM795*INDEX(Use, $AH795, 6), R795)</f>
        <v>5</v>
      </c>
      <c r="BF795" s="229">
        <f t="shared" si="729"/>
        <v>30</v>
      </c>
      <c r="BG795" s="229">
        <f t="shared" si="755"/>
        <v>13</v>
      </c>
      <c r="BH795" s="229">
        <f t="shared" si="756"/>
        <v>0</v>
      </c>
      <c r="BI795" s="234" cm="1">
        <f t="array" ref="BI795">K795/IF($L795&gt;0, INDEX($AU$23:$BA$77, $L795+20, $AH795), 1)</f>
        <v>0</v>
      </c>
      <c r="BJ795" s="230">
        <f t="shared" si="730"/>
        <v>0</v>
      </c>
      <c r="BK795" s="229">
        <v>35</v>
      </c>
      <c r="BL795" s="230">
        <f t="shared" si="731"/>
        <v>48</v>
      </c>
      <c r="BM795" s="235">
        <f t="shared" si="732"/>
        <v>2.9108720930232557</v>
      </c>
      <c r="BN795" s="235" cm="1">
        <f t="array" ref="BN795">$BI795 * SUMPRODUCT(INDEX($AR$77:$AT$82,,$AI795),INDEX($AU$77:$BA$82,,$AH795), N($AQ$77:$AQ$82&gt;$AO795)) / BM795 / 1000</f>
        <v>0</v>
      </c>
      <c r="BO795" s="232">
        <f t="shared" si="757"/>
        <v>30</v>
      </c>
      <c r="BP795" s="230">
        <f t="shared" si="733"/>
        <v>43</v>
      </c>
      <c r="BQ795" s="235">
        <f t="shared" si="734"/>
        <v>3.2938815789473681</v>
      </c>
      <c r="BR795" s="235" cm="1">
        <f t="array" ref="BR795">$BI795 * IF($AH795&lt;=2,
SUMPRODUCT(INDEX($AR$72:$AT$76,,$AI795), INDEX($AU$72:$BA$76,,$AH795), 1 / ($BB$72:$BB$76*BQ795 + (1-$BB$72:$BB$76)*BM795), N($AQ$72:$AQ$76&gt;$AO795)),
SUMPRODUCT(INDEX($AR$67:$AT$76,,$AI795), INDEX($AU$67:$BA$76,,$AH795), 1 / ($BC$67:$BC$76*BQ795 + (1-$BC$67:$BC$76)*BM795), N($AQ$67:$AQ$76&gt;$AO795))
) / 1000</f>
        <v>0</v>
      </c>
      <c r="BS795" s="232">
        <f t="shared" si="758"/>
        <v>25</v>
      </c>
      <c r="BT795" s="230">
        <f t="shared" si="735"/>
        <v>38</v>
      </c>
      <c r="BU795" s="235">
        <f t="shared" si="736"/>
        <v>3.792954545454545</v>
      </c>
      <c r="BV795" s="235" cm="1">
        <f t="array" ref="BV795">$BI795 * IF($AH795&lt;=2,
SUMPRODUCT(INDEX($AR$67:$AT$71,,$AI795), INDEX($AU$67:$BA$71,,$AH795), 1 / ($BB$67:$BB$71*BU795 + (1-$BB$67:$BB$71)*BQ795), N($AQ$67:$AQ$71&gt;$AO795)),
SUMPRODUCT(INDEX($AR$57:$AT$66,,$AI795), INDEX($AU$57:$BA$66,,$AH795), 1 / ($BC$57:$BC$66*BU795 + (1-$BC$57:$BC$66)*BQ795), N($AQ$57:$AQ$66&gt;$AO795))
) / 1000</f>
        <v>0</v>
      </c>
      <c r="BW795" s="232">
        <f t="shared" si="759"/>
        <v>20</v>
      </c>
      <c r="BX795" s="230">
        <f t="shared" si="737"/>
        <v>33</v>
      </c>
      <c r="BY795" s="235">
        <f t="shared" si="738"/>
        <v>4.4702678571428569</v>
      </c>
      <c r="BZ795" s="235" cm="1">
        <f t="array" ref="BZ795">$BI795 * IF($AH795&lt;=2,
SUMPRODUCT(INDEX($AR$62:$AT$66,,$AI795), INDEX($AU$62:$BA$66,,$AH795), 1 / ($BB$62:$BB$66*BY795 + (1-$BB$62:$BB$66)*BU795), N($AQ$62:$AQ$66&gt;$AO795)),
SUMPRODUCT(INDEX($AR$47:$AT$56,,$AI795), INDEX($AU$47:$BA$56,,$AH795), 1 / ($BC$47:$BC$56*BY795 + (1-$BC$47:$BC$56)*BU795), N($AQ$47:$AQ$56&gt;$AO795))
) / 1000</f>
        <v>0</v>
      </c>
      <c r="CA795" s="235" cm="1">
        <f t="array" ref="CA795">$BI795 * IF($AH795&lt;=2,
SUMPRODUCT(INDEX($AR$23:$AT$61,,$AI795), INDEX($AU$23:$BA$61,,$AH795), 1 / ($BB$23:$BB$61*BY795), N($AQ$23:$AQ$61&gt;$AO795)),
SUMPRODUCT(INDEX($AR$23:$AT$46,,$AI795), INDEX($AU$23:$BA$46,,$AH795), 1 / ($BC$23:$BC$46*BY795), N($AQ$23:$AQ$46&gt;$AO795))
) / 1000</f>
        <v>0</v>
      </c>
      <c r="CB795" s="230">
        <f t="shared" si="739"/>
        <v>0</v>
      </c>
      <c r="CC795" s="238"/>
      <c r="CD795" s="229" cm="1">
        <f t="array" ref="CD795">IF(ISBLANK(Y795), INDEX(Use, $AH795, 4) - AN795*INDEX(Use, $AH795, 6) - (Q795-X795), Y795)</f>
        <v>7</v>
      </c>
      <c r="CE795" s="229">
        <f t="shared" si="740"/>
        <v>32</v>
      </c>
      <c r="CF795" s="230">
        <f t="shared" si="741"/>
        <v>0</v>
      </c>
      <c r="CG795" s="229">
        <v>35</v>
      </c>
      <c r="CH795" s="230">
        <f t="shared" si="742"/>
        <v>48</v>
      </c>
      <c r="CI795" s="235">
        <f t="shared" si="743"/>
        <v>3.0748170731707316</v>
      </c>
      <c r="CJ795" s="235" cm="1">
        <f t="array" ref="CJ795">$BI795 * SUMPRODUCT(INDEX($AR$77:$AT$82,,$AI795),INDEX($AU$77:$BA$82,,$AH795), N($AQ$77:$AQ$82&gt;$AO795)) / CI795 / 1000</f>
        <v>0</v>
      </c>
      <c r="CK795" s="232">
        <f t="shared" si="760"/>
        <v>30</v>
      </c>
      <c r="CL795" s="230">
        <f t="shared" si="744"/>
        <v>43</v>
      </c>
      <c r="CM795" s="235">
        <f t="shared" si="745"/>
        <v>3.5018750000000001</v>
      </c>
      <c r="CN795" s="235" cm="1">
        <f t="array" ref="CN795">$BI795 * IF($AH795&lt;=2,
SUMPRODUCT(INDEX($AR$72:$AT$76,,$AI795), INDEX($AU$72:$BA$76,,$AH795), 1 / ($BB$72:$BB$76*CM795 + (1-$BB$72:$BB$76)*CI795), N($AQ$72:$AQ$76&gt;$AO795)),
SUMPRODUCT(INDEX($AR$67:$AT$76,,$AI795), INDEX($AU$67:$BA$76,,$AH795), 1 / ($BC$67:$BC$76*CM795 + (1-$BC$67:$BC$76)*CI795), N($AQ$67:$AQ$76&gt;$AO795))
) / 1000</f>
        <v>0</v>
      </c>
      <c r="CO795" s="232">
        <f t="shared" si="761"/>
        <v>25</v>
      </c>
      <c r="CP795" s="230">
        <f t="shared" si="746"/>
        <v>38</v>
      </c>
      <c r="CQ795" s="235">
        <f t="shared" si="747"/>
        <v>4.0666935483870965</v>
      </c>
      <c r="CR795" s="235" cm="1">
        <f t="array" ref="CR795">$BI795 * IF($AH795&lt;=2,
SUMPRODUCT(INDEX($AR$67:$AT$71,,$AI795), INDEX($AU$67:$BA$71,,$AH795), 1 / ($BB$67:$BB$71*CQ795 + (1-$BB$67:$BB$71)*CM795), N($AQ$67:$AQ$71&gt;$AO795)),
SUMPRODUCT(INDEX($AR$57:$AT$66,,$AI795), INDEX($AU$57:$BA$66,,$AH795), 1 / ($BC$57:$BC$66*CQ795 + (1-$BC$57:$BC$66)*CM795), N($AQ$57:$AQ$66&gt;$AO795))
) / 1000</f>
        <v>0</v>
      </c>
      <c r="CS795" s="232">
        <f t="shared" si="762"/>
        <v>20</v>
      </c>
      <c r="CT795" s="230">
        <f t="shared" si="748"/>
        <v>33</v>
      </c>
      <c r="CU795" s="235">
        <f t="shared" si="749"/>
        <v>4.8487499999999999</v>
      </c>
      <c r="CV795" s="235" cm="1">
        <f t="array" ref="CV795">$BI795 * IF($AH795&lt;=2,
SUMPRODUCT(INDEX($AR$62:$AT$66,,$AI795), INDEX($AU$62:$BA$66,,$AH795), 1 / ($BB$62:$BB$66*CU795 + (1-$BB$62:$BB$66)*CQ795), N($AQ$62:$AQ$66&gt;$AO795)),
SUMPRODUCT(INDEX($AR$47:$AT$56,,$AI795), INDEX($AU$47:$BA$56,,$AH795), 1 / ($BC$47:$BC$56*CU795 + (1-$BC$47:$BC$56)*CQ795), N($AQ$47:$AQ$56&gt;$AO795))
) / 1000</f>
        <v>0</v>
      </c>
      <c r="CW795" s="235" cm="1">
        <f t="array" ref="CW795">$BI795 * IF($AH795&lt;=2,
SUMPRODUCT(INDEX($AR$23:$AT$61,,$AI795), INDEX($AU$23:$BA$61,,$AH795), 1 / ($BB$23:$BB$61*CU795), N($AQ$23:$AQ$61&gt;$AO795)),
SUMPRODUCT(INDEX($AR$23:$AT$46,,$AI795), INDEX($AU$23:$BA$46,,$AH795), 1 / ($BC$23:$BC$46*CU795), N($AQ$23:$AQ$46&gt;$AO795))
) / 1000</f>
        <v>0</v>
      </c>
      <c r="CX795" s="230">
        <f t="shared" si="750"/>
        <v>0</v>
      </c>
      <c r="CY795" s="238"/>
    </row>
    <row r="796" spans="1:103" s="76" customFormat="1" ht="14.25" customHeight="1" x14ac:dyDescent="0.2">
      <c r="A796" s="231" t="b">
        <f t="shared" si="754"/>
        <v>0</v>
      </c>
      <c r="B796" s="245">
        <v>774</v>
      </c>
      <c r="C796" s="258"/>
      <c r="D796" s="258"/>
      <c r="E796" s="246"/>
      <c r="F796" s="247" t="str">
        <f>IF(ISBLANK(E796), "", VLOOKUP(E796, Z!$A$2:$C$4127, 3, FALSE))</f>
        <v/>
      </c>
      <c r="G796" s="248"/>
      <c r="H796" s="248"/>
      <c r="I796" s="249"/>
      <c r="J796" s="250"/>
      <c r="K796" s="259"/>
      <c r="L796" s="260"/>
      <c r="M796" s="252" t="str" cm="1">
        <f t="array" ref="M796">INDEX(Trad, 53, $A$20)</f>
        <v>Verschmutzt</v>
      </c>
      <c r="N796" s="253"/>
      <c r="O796" s="253"/>
      <c r="P796" s="254"/>
      <c r="Q796" s="251"/>
      <c r="R796" s="251"/>
      <c r="S796" s="264">
        <f t="shared" si="725"/>
        <v>0</v>
      </c>
      <c r="T796" s="252" t="str" cm="1">
        <f t="array" ref="T796">INDEX(Trad, 52, $A$20)</f>
        <v>Sauber</v>
      </c>
      <c r="U796" s="253"/>
      <c r="V796" s="253"/>
      <c r="W796" s="254"/>
      <c r="X796" s="251"/>
      <c r="Y796" s="251"/>
      <c r="Z796" s="264">
        <f t="shared" si="726"/>
        <v>0</v>
      </c>
      <c r="AA796" s="261"/>
      <c r="AB796" s="258"/>
      <c r="AC796" s="246"/>
      <c r="AD796" s="247" t="str">
        <f>IF(ISBLANK(AC796), "", VLOOKUP(AC796, Z!$A$2:$C$4127, 3, FALSE))</f>
        <v/>
      </c>
      <c r="AE796" s="262"/>
      <c r="AF796" s="263">
        <f t="shared" si="727"/>
        <v>0</v>
      </c>
      <c r="AG796" s="238"/>
      <c r="AH796" s="229">
        <f t="shared" si="751"/>
        <v>1</v>
      </c>
      <c r="AI796" s="229">
        <f t="shared" si="752"/>
        <v>1</v>
      </c>
      <c r="AJ796" s="229">
        <f t="shared" si="753"/>
        <v>0</v>
      </c>
      <c r="AK796" s="229">
        <v>0</v>
      </c>
      <c r="AL796" s="229">
        <v>0</v>
      </c>
      <c r="AM796" s="229">
        <v>1</v>
      </c>
      <c r="AN796" s="229">
        <v>0</v>
      </c>
      <c r="AO796" s="229">
        <f t="shared" si="728"/>
        <v>-100</v>
      </c>
      <c r="AP796" s="238"/>
      <c r="AQ796" s="255"/>
      <c r="AR796" s="255"/>
      <c r="AS796" s="256"/>
      <c r="AT796" s="256"/>
      <c r="AU796" s="256"/>
      <c r="AV796" s="256"/>
      <c r="AW796" s="256"/>
      <c r="AX796" s="256"/>
      <c r="AY796" s="256"/>
      <c r="AZ796" s="256"/>
      <c r="BA796" s="256"/>
      <c r="BB796" s="256"/>
      <c r="BC796" s="256"/>
      <c r="BD796" s="238"/>
      <c r="BE796" s="229" cm="1">
        <f t="array" ref="BE796">IF(ISBLANK(R796), INDEX(Use, $AH796, 4) - AM796*INDEX(Use, $AH796, 6), R796)</f>
        <v>5</v>
      </c>
      <c r="BF796" s="229">
        <f t="shared" si="729"/>
        <v>30</v>
      </c>
      <c r="BG796" s="229">
        <f t="shared" si="755"/>
        <v>13</v>
      </c>
      <c r="BH796" s="229">
        <f t="shared" si="756"/>
        <v>0</v>
      </c>
      <c r="BI796" s="234" cm="1">
        <f t="array" ref="BI796">K796/IF($L796&gt;0, INDEX($AU$23:$BA$77, $L796+20, $AH796), 1)</f>
        <v>0</v>
      </c>
      <c r="BJ796" s="230">
        <f t="shared" si="730"/>
        <v>0</v>
      </c>
      <c r="BK796" s="229">
        <v>35</v>
      </c>
      <c r="BL796" s="230">
        <f t="shared" si="731"/>
        <v>48</v>
      </c>
      <c r="BM796" s="235">
        <f t="shared" si="732"/>
        <v>2.9108720930232557</v>
      </c>
      <c r="BN796" s="235" cm="1">
        <f t="array" ref="BN796">$BI796 * SUMPRODUCT(INDEX($AR$77:$AT$82,,$AI796),INDEX($AU$77:$BA$82,,$AH796), N($AQ$77:$AQ$82&gt;$AO796)) / BM796 / 1000</f>
        <v>0</v>
      </c>
      <c r="BO796" s="232">
        <f t="shared" si="757"/>
        <v>30</v>
      </c>
      <c r="BP796" s="230">
        <f t="shared" si="733"/>
        <v>43</v>
      </c>
      <c r="BQ796" s="235">
        <f t="shared" si="734"/>
        <v>3.2938815789473681</v>
      </c>
      <c r="BR796" s="235" cm="1">
        <f t="array" ref="BR796">$BI796 * IF($AH796&lt;=2,
SUMPRODUCT(INDEX($AR$72:$AT$76,,$AI796), INDEX($AU$72:$BA$76,,$AH796), 1 / ($BB$72:$BB$76*BQ796 + (1-$BB$72:$BB$76)*BM796), N($AQ$72:$AQ$76&gt;$AO796)),
SUMPRODUCT(INDEX($AR$67:$AT$76,,$AI796), INDEX($AU$67:$BA$76,,$AH796), 1 / ($BC$67:$BC$76*BQ796 + (1-$BC$67:$BC$76)*BM796), N($AQ$67:$AQ$76&gt;$AO796))
) / 1000</f>
        <v>0</v>
      </c>
      <c r="BS796" s="232">
        <f t="shared" si="758"/>
        <v>25</v>
      </c>
      <c r="BT796" s="230">
        <f t="shared" si="735"/>
        <v>38</v>
      </c>
      <c r="BU796" s="235">
        <f t="shared" si="736"/>
        <v>3.792954545454545</v>
      </c>
      <c r="BV796" s="235" cm="1">
        <f t="array" ref="BV796">$BI796 * IF($AH796&lt;=2,
SUMPRODUCT(INDEX($AR$67:$AT$71,,$AI796), INDEX($AU$67:$BA$71,,$AH796), 1 / ($BB$67:$BB$71*BU796 + (1-$BB$67:$BB$71)*BQ796), N($AQ$67:$AQ$71&gt;$AO796)),
SUMPRODUCT(INDEX($AR$57:$AT$66,,$AI796), INDEX($AU$57:$BA$66,,$AH796), 1 / ($BC$57:$BC$66*BU796 + (1-$BC$57:$BC$66)*BQ796), N($AQ$57:$AQ$66&gt;$AO796))
) / 1000</f>
        <v>0</v>
      </c>
      <c r="BW796" s="232">
        <f t="shared" si="759"/>
        <v>20</v>
      </c>
      <c r="BX796" s="230">
        <f t="shared" si="737"/>
        <v>33</v>
      </c>
      <c r="BY796" s="235">
        <f t="shared" si="738"/>
        <v>4.4702678571428569</v>
      </c>
      <c r="BZ796" s="235" cm="1">
        <f t="array" ref="BZ796">$BI796 * IF($AH796&lt;=2,
SUMPRODUCT(INDEX($AR$62:$AT$66,,$AI796), INDEX($AU$62:$BA$66,,$AH796), 1 / ($BB$62:$BB$66*BY796 + (1-$BB$62:$BB$66)*BU796), N($AQ$62:$AQ$66&gt;$AO796)),
SUMPRODUCT(INDEX($AR$47:$AT$56,,$AI796), INDEX($AU$47:$BA$56,,$AH796), 1 / ($BC$47:$BC$56*BY796 + (1-$BC$47:$BC$56)*BU796), N($AQ$47:$AQ$56&gt;$AO796))
) / 1000</f>
        <v>0</v>
      </c>
      <c r="CA796" s="235" cm="1">
        <f t="array" ref="CA796">$BI796 * IF($AH796&lt;=2,
SUMPRODUCT(INDEX($AR$23:$AT$61,,$AI796), INDEX($AU$23:$BA$61,,$AH796), 1 / ($BB$23:$BB$61*BY796), N($AQ$23:$AQ$61&gt;$AO796)),
SUMPRODUCT(INDEX($AR$23:$AT$46,,$AI796), INDEX($AU$23:$BA$46,,$AH796), 1 / ($BC$23:$BC$46*BY796), N($AQ$23:$AQ$46&gt;$AO796))
) / 1000</f>
        <v>0</v>
      </c>
      <c r="CB796" s="230">
        <f t="shared" si="739"/>
        <v>0</v>
      </c>
      <c r="CC796" s="238"/>
      <c r="CD796" s="229" cm="1">
        <f t="array" ref="CD796">IF(ISBLANK(Y796), INDEX(Use, $AH796, 4) - AN796*INDEX(Use, $AH796, 6) - (Q796-X796), Y796)</f>
        <v>7</v>
      </c>
      <c r="CE796" s="229">
        <f t="shared" si="740"/>
        <v>32</v>
      </c>
      <c r="CF796" s="230">
        <f t="shared" si="741"/>
        <v>0</v>
      </c>
      <c r="CG796" s="229">
        <v>35</v>
      </c>
      <c r="CH796" s="230">
        <f t="shared" si="742"/>
        <v>48</v>
      </c>
      <c r="CI796" s="235">
        <f t="shared" si="743"/>
        <v>3.0748170731707316</v>
      </c>
      <c r="CJ796" s="235" cm="1">
        <f t="array" ref="CJ796">$BI796 * SUMPRODUCT(INDEX($AR$77:$AT$82,,$AI796),INDEX($AU$77:$BA$82,,$AH796), N($AQ$77:$AQ$82&gt;$AO796)) / CI796 / 1000</f>
        <v>0</v>
      </c>
      <c r="CK796" s="232">
        <f t="shared" si="760"/>
        <v>30</v>
      </c>
      <c r="CL796" s="230">
        <f t="shared" si="744"/>
        <v>43</v>
      </c>
      <c r="CM796" s="235">
        <f t="shared" si="745"/>
        <v>3.5018750000000001</v>
      </c>
      <c r="CN796" s="235" cm="1">
        <f t="array" ref="CN796">$BI796 * IF($AH796&lt;=2,
SUMPRODUCT(INDEX($AR$72:$AT$76,,$AI796), INDEX($AU$72:$BA$76,,$AH796), 1 / ($BB$72:$BB$76*CM796 + (1-$BB$72:$BB$76)*CI796), N($AQ$72:$AQ$76&gt;$AO796)),
SUMPRODUCT(INDEX($AR$67:$AT$76,,$AI796), INDEX($AU$67:$BA$76,,$AH796), 1 / ($BC$67:$BC$76*CM796 + (1-$BC$67:$BC$76)*CI796), N($AQ$67:$AQ$76&gt;$AO796))
) / 1000</f>
        <v>0</v>
      </c>
      <c r="CO796" s="232">
        <f t="shared" si="761"/>
        <v>25</v>
      </c>
      <c r="CP796" s="230">
        <f t="shared" si="746"/>
        <v>38</v>
      </c>
      <c r="CQ796" s="235">
        <f t="shared" si="747"/>
        <v>4.0666935483870965</v>
      </c>
      <c r="CR796" s="235" cm="1">
        <f t="array" ref="CR796">$BI796 * IF($AH796&lt;=2,
SUMPRODUCT(INDEX($AR$67:$AT$71,,$AI796), INDEX($AU$67:$BA$71,,$AH796), 1 / ($BB$67:$BB$71*CQ796 + (1-$BB$67:$BB$71)*CM796), N($AQ$67:$AQ$71&gt;$AO796)),
SUMPRODUCT(INDEX($AR$57:$AT$66,,$AI796), INDEX($AU$57:$BA$66,,$AH796), 1 / ($BC$57:$BC$66*CQ796 + (1-$BC$57:$BC$66)*CM796), N($AQ$57:$AQ$66&gt;$AO796))
) / 1000</f>
        <v>0</v>
      </c>
      <c r="CS796" s="232">
        <f t="shared" si="762"/>
        <v>20</v>
      </c>
      <c r="CT796" s="230">
        <f t="shared" si="748"/>
        <v>33</v>
      </c>
      <c r="CU796" s="235">
        <f t="shared" si="749"/>
        <v>4.8487499999999999</v>
      </c>
      <c r="CV796" s="235" cm="1">
        <f t="array" ref="CV796">$BI796 * IF($AH796&lt;=2,
SUMPRODUCT(INDEX($AR$62:$AT$66,,$AI796), INDEX($AU$62:$BA$66,,$AH796), 1 / ($BB$62:$BB$66*CU796 + (1-$BB$62:$BB$66)*CQ796), N($AQ$62:$AQ$66&gt;$AO796)),
SUMPRODUCT(INDEX($AR$47:$AT$56,,$AI796), INDEX($AU$47:$BA$56,,$AH796), 1 / ($BC$47:$BC$56*CU796 + (1-$BC$47:$BC$56)*CQ796), N($AQ$47:$AQ$56&gt;$AO796))
) / 1000</f>
        <v>0</v>
      </c>
      <c r="CW796" s="235" cm="1">
        <f t="array" ref="CW796">$BI796 * IF($AH796&lt;=2,
SUMPRODUCT(INDEX($AR$23:$AT$61,,$AI796), INDEX($AU$23:$BA$61,,$AH796), 1 / ($BB$23:$BB$61*CU796), N($AQ$23:$AQ$61&gt;$AO796)),
SUMPRODUCT(INDEX($AR$23:$AT$46,,$AI796), INDEX($AU$23:$BA$46,,$AH796), 1 / ($BC$23:$BC$46*CU796), N($AQ$23:$AQ$46&gt;$AO796))
) / 1000</f>
        <v>0</v>
      </c>
      <c r="CX796" s="230">
        <f t="shared" si="750"/>
        <v>0</v>
      </c>
      <c r="CY796" s="238"/>
    </row>
    <row r="797" spans="1:103" s="76" customFormat="1" ht="14.25" customHeight="1" x14ac:dyDescent="0.2">
      <c r="A797" s="231" t="b">
        <f t="shared" si="754"/>
        <v>0</v>
      </c>
      <c r="B797" s="245">
        <v>775</v>
      </c>
      <c r="C797" s="258"/>
      <c r="D797" s="258"/>
      <c r="E797" s="246"/>
      <c r="F797" s="247" t="str">
        <f>IF(ISBLANK(E797), "", VLOOKUP(E797, Z!$A$2:$C$4127, 3, FALSE))</f>
        <v/>
      </c>
      <c r="G797" s="248"/>
      <c r="H797" s="248"/>
      <c r="I797" s="249"/>
      <c r="J797" s="250"/>
      <c r="K797" s="259"/>
      <c r="L797" s="260"/>
      <c r="M797" s="252" t="str" cm="1">
        <f t="array" ref="M797">INDEX(Trad, 53, $A$20)</f>
        <v>Verschmutzt</v>
      </c>
      <c r="N797" s="253"/>
      <c r="O797" s="253"/>
      <c r="P797" s="254"/>
      <c r="Q797" s="251"/>
      <c r="R797" s="251"/>
      <c r="S797" s="264">
        <f t="shared" si="725"/>
        <v>0</v>
      </c>
      <c r="T797" s="252" t="str" cm="1">
        <f t="array" ref="T797">INDEX(Trad, 52, $A$20)</f>
        <v>Sauber</v>
      </c>
      <c r="U797" s="253"/>
      <c r="V797" s="253"/>
      <c r="W797" s="254"/>
      <c r="X797" s="251"/>
      <c r="Y797" s="251"/>
      <c r="Z797" s="264">
        <f t="shared" si="726"/>
        <v>0</v>
      </c>
      <c r="AA797" s="261"/>
      <c r="AB797" s="258"/>
      <c r="AC797" s="246"/>
      <c r="AD797" s="247" t="str">
        <f>IF(ISBLANK(AC797), "", VLOOKUP(AC797, Z!$A$2:$C$4127, 3, FALSE))</f>
        <v/>
      </c>
      <c r="AE797" s="262"/>
      <c r="AF797" s="263">
        <f t="shared" si="727"/>
        <v>0</v>
      </c>
      <c r="AG797" s="238"/>
      <c r="AH797" s="229">
        <f t="shared" si="751"/>
        <v>1</v>
      </c>
      <c r="AI797" s="229">
        <f t="shared" si="752"/>
        <v>1</v>
      </c>
      <c r="AJ797" s="229">
        <f t="shared" si="753"/>
        <v>0</v>
      </c>
      <c r="AK797" s="229">
        <v>0</v>
      </c>
      <c r="AL797" s="229">
        <v>0</v>
      </c>
      <c r="AM797" s="229">
        <v>1</v>
      </c>
      <c r="AN797" s="229">
        <v>0</v>
      </c>
      <c r="AO797" s="229">
        <f t="shared" si="728"/>
        <v>-100</v>
      </c>
      <c r="AP797" s="238"/>
      <c r="AQ797" s="255"/>
      <c r="AR797" s="255"/>
      <c r="AS797" s="256"/>
      <c r="AT797" s="256"/>
      <c r="AU797" s="256"/>
      <c r="AV797" s="256"/>
      <c r="AW797" s="256"/>
      <c r="AX797" s="256"/>
      <c r="AY797" s="256"/>
      <c r="AZ797" s="256"/>
      <c r="BA797" s="256"/>
      <c r="BB797" s="256"/>
      <c r="BC797" s="256"/>
      <c r="BD797" s="238"/>
      <c r="BE797" s="229" cm="1">
        <f t="array" ref="BE797">IF(ISBLANK(R797), INDEX(Use, $AH797, 4) - AM797*INDEX(Use, $AH797, 6), R797)</f>
        <v>5</v>
      </c>
      <c r="BF797" s="229">
        <f t="shared" si="729"/>
        <v>30</v>
      </c>
      <c r="BG797" s="229">
        <f t="shared" si="755"/>
        <v>13</v>
      </c>
      <c r="BH797" s="229">
        <f t="shared" si="756"/>
        <v>0</v>
      </c>
      <c r="BI797" s="234" cm="1">
        <f t="array" ref="BI797">K797/IF($L797&gt;0, INDEX($AU$23:$BA$77, $L797+20, $AH797), 1)</f>
        <v>0</v>
      </c>
      <c r="BJ797" s="230">
        <f t="shared" si="730"/>
        <v>0</v>
      </c>
      <c r="BK797" s="229">
        <v>35</v>
      </c>
      <c r="BL797" s="230">
        <f t="shared" si="731"/>
        <v>48</v>
      </c>
      <c r="BM797" s="235">
        <f t="shared" si="732"/>
        <v>2.9108720930232557</v>
      </c>
      <c r="BN797" s="235" cm="1">
        <f t="array" ref="BN797">$BI797 * SUMPRODUCT(INDEX($AR$77:$AT$82,,$AI797),INDEX($AU$77:$BA$82,,$AH797), N($AQ$77:$AQ$82&gt;$AO797)) / BM797 / 1000</f>
        <v>0</v>
      </c>
      <c r="BO797" s="232">
        <f t="shared" si="757"/>
        <v>30</v>
      </c>
      <c r="BP797" s="230">
        <f t="shared" si="733"/>
        <v>43</v>
      </c>
      <c r="BQ797" s="235">
        <f t="shared" si="734"/>
        <v>3.2938815789473681</v>
      </c>
      <c r="BR797" s="235" cm="1">
        <f t="array" ref="BR797">$BI797 * IF($AH797&lt;=2,
SUMPRODUCT(INDEX($AR$72:$AT$76,,$AI797), INDEX($AU$72:$BA$76,,$AH797), 1 / ($BB$72:$BB$76*BQ797 + (1-$BB$72:$BB$76)*BM797), N($AQ$72:$AQ$76&gt;$AO797)),
SUMPRODUCT(INDEX($AR$67:$AT$76,,$AI797), INDEX($AU$67:$BA$76,,$AH797), 1 / ($BC$67:$BC$76*BQ797 + (1-$BC$67:$BC$76)*BM797), N($AQ$67:$AQ$76&gt;$AO797))
) / 1000</f>
        <v>0</v>
      </c>
      <c r="BS797" s="232">
        <f t="shared" si="758"/>
        <v>25</v>
      </c>
      <c r="BT797" s="230">
        <f t="shared" si="735"/>
        <v>38</v>
      </c>
      <c r="BU797" s="235">
        <f t="shared" si="736"/>
        <v>3.792954545454545</v>
      </c>
      <c r="BV797" s="235" cm="1">
        <f t="array" ref="BV797">$BI797 * IF($AH797&lt;=2,
SUMPRODUCT(INDEX($AR$67:$AT$71,,$AI797), INDEX($AU$67:$BA$71,,$AH797), 1 / ($BB$67:$BB$71*BU797 + (1-$BB$67:$BB$71)*BQ797), N($AQ$67:$AQ$71&gt;$AO797)),
SUMPRODUCT(INDEX($AR$57:$AT$66,,$AI797), INDEX($AU$57:$BA$66,,$AH797), 1 / ($BC$57:$BC$66*BU797 + (1-$BC$57:$BC$66)*BQ797), N($AQ$57:$AQ$66&gt;$AO797))
) / 1000</f>
        <v>0</v>
      </c>
      <c r="BW797" s="232">
        <f t="shared" si="759"/>
        <v>20</v>
      </c>
      <c r="BX797" s="230">
        <f t="shared" si="737"/>
        <v>33</v>
      </c>
      <c r="BY797" s="235">
        <f t="shared" si="738"/>
        <v>4.4702678571428569</v>
      </c>
      <c r="BZ797" s="235" cm="1">
        <f t="array" ref="BZ797">$BI797 * IF($AH797&lt;=2,
SUMPRODUCT(INDEX($AR$62:$AT$66,,$AI797), INDEX($AU$62:$BA$66,,$AH797), 1 / ($BB$62:$BB$66*BY797 + (1-$BB$62:$BB$66)*BU797), N($AQ$62:$AQ$66&gt;$AO797)),
SUMPRODUCT(INDEX($AR$47:$AT$56,,$AI797), INDEX($AU$47:$BA$56,,$AH797), 1 / ($BC$47:$BC$56*BY797 + (1-$BC$47:$BC$56)*BU797), N($AQ$47:$AQ$56&gt;$AO797))
) / 1000</f>
        <v>0</v>
      </c>
      <c r="CA797" s="235" cm="1">
        <f t="array" ref="CA797">$BI797 * IF($AH797&lt;=2,
SUMPRODUCT(INDEX($AR$23:$AT$61,,$AI797), INDEX($AU$23:$BA$61,,$AH797), 1 / ($BB$23:$BB$61*BY797), N($AQ$23:$AQ$61&gt;$AO797)),
SUMPRODUCT(INDEX($AR$23:$AT$46,,$AI797), INDEX($AU$23:$BA$46,,$AH797), 1 / ($BC$23:$BC$46*BY797), N($AQ$23:$AQ$46&gt;$AO797))
) / 1000</f>
        <v>0</v>
      </c>
      <c r="CB797" s="230">
        <f t="shared" si="739"/>
        <v>0</v>
      </c>
      <c r="CC797" s="238"/>
      <c r="CD797" s="229" cm="1">
        <f t="array" ref="CD797">IF(ISBLANK(Y797), INDEX(Use, $AH797, 4) - AN797*INDEX(Use, $AH797, 6) - (Q797-X797), Y797)</f>
        <v>7</v>
      </c>
      <c r="CE797" s="229">
        <f t="shared" si="740"/>
        <v>32</v>
      </c>
      <c r="CF797" s="230">
        <f t="shared" si="741"/>
        <v>0</v>
      </c>
      <c r="CG797" s="229">
        <v>35</v>
      </c>
      <c r="CH797" s="230">
        <f t="shared" si="742"/>
        <v>48</v>
      </c>
      <c r="CI797" s="235">
        <f t="shared" si="743"/>
        <v>3.0748170731707316</v>
      </c>
      <c r="CJ797" s="235" cm="1">
        <f t="array" ref="CJ797">$BI797 * SUMPRODUCT(INDEX($AR$77:$AT$82,,$AI797),INDEX($AU$77:$BA$82,,$AH797), N($AQ$77:$AQ$82&gt;$AO797)) / CI797 / 1000</f>
        <v>0</v>
      </c>
      <c r="CK797" s="232">
        <f t="shared" si="760"/>
        <v>30</v>
      </c>
      <c r="CL797" s="230">
        <f t="shared" si="744"/>
        <v>43</v>
      </c>
      <c r="CM797" s="235">
        <f t="shared" si="745"/>
        <v>3.5018750000000001</v>
      </c>
      <c r="CN797" s="235" cm="1">
        <f t="array" ref="CN797">$BI797 * IF($AH797&lt;=2,
SUMPRODUCT(INDEX($AR$72:$AT$76,,$AI797), INDEX($AU$72:$BA$76,,$AH797), 1 / ($BB$72:$BB$76*CM797 + (1-$BB$72:$BB$76)*CI797), N($AQ$72:$AQ$76&gt;$AO797)),
SUMPRODUCT(INDEX($AR$67:$AT$76,,$AI797), INDEX($AU$67:$BA$76,,$AH797), 1 / ($BC$67:$BC$76*CM797 + (1-$BC$67:$BC$76)*CI797), N($AQ$67:$AQ$76&gt;$AO797))
) / 1000</f>
        <v>0</v>
      </c>
      <c r="CO797" s="232">
        <f t="shared" si="761"/>
        <v>25</v>
      </c>
      <c r="CP797" s="230">
        <f t="shared" si="746"/>
        <v>38</v>
      </c>
      <c r="CQ797" s="235">
        <f t="shared" si="747"/>
        <v>4.0666935483870965</v>
      </c>
      <c r="CR797" s="235" cm="1">
        <f t="array" ref="CR797">$BI797 * IF($AH797&lt;=2,
SUMPRODUCT(INDEX($AR$67:$AT$71,,$AI797), INDEX($AU$67:$BA$71,,$AH797), 1 / ($BB$67:$BB$71*CQ797 + (1-$BB$67:$BB$71)*CM797), N($AQ$67:$AQ$71&gt;$AO797)),
SUMPRODUCT(INDEX($AR$57:$AT$66,,$AI797), INDEX($AU$57:$BA$66,,$AH797), 1 / ($BC$57:$BC$66*CQ797 + (1-$BC$57:$BC$66)*CM797), N($AQ$57:$AQ$66&gt;$AO797))
) / 1000</f>
        <v>0</v>
      </c>
      <c r="CS797" s="232">
        <f t="shared" si="762"/>
        <v>20</v>
      </c>
      <c r="CT797" s="230">
        <f t="shared" si="748"/>
        <v>33</v>
      </c>
      <c r="CU797" s="235">
        <f t="shared" si="749"/>
        <v>4.8487499999999999</v>
      </c>
      <c r="CV797" s="235" cm="1">
        <f t="array" ref="CV797">$BI797 * IF($AH797&lt;=2,
SUMPRODUCT(INDEX($AR$62:$AT$66,,$AI797), INDEX($AU$62:$BA$66,,$AH797), 1 / ($BB$62:$BB$66*CU797 + (1-$BB$62:$BB$66)*CQ797), N($AQ$62:$AQ$66&gt;$AO797)),
SUMPRODUCT(INDEX($AR$47:$AT$56,,$AI797), INDEX($AU$47:$BA$56,,$AH797), 1 / ($BC$47:$BC$56*CU797 + (1-$BC$47:$BC$56)*CQ797), N($AQ$47:$AQ$56&gt;$AO797))
) / 1000</f>
        <v>0</v>
      </c>
      <c r="CW797" s="235" cm="1">
        <f t="array" ref="CW797">$BI797 * IF($AH797&lt;=2,
SUMPRODUCT(INDEX($AR$23:$AT$61,,$AI797), INDEX($AU$23:$BA$61,,$AH797), 1 / ($BB$23:$BB$61*CU797), N($AQ$23:$AQ$61&gt;$AO797)),
SUMPRODUCT(INDEX($AR$23:$AT$46,,$AI797), INDEX($AU$23:$BA$46,,$AH797), 1 / ($BC$23:$BC$46*CU797), N($AQ$23:$AQ$46&gt;$AO797))
) / 1000</f>
        <v>0</v>
      </c>
      <c r="CX797" s="230">
        <f t="shared" si="750"/>
        <v>0</v>
      </c>
      <c r="CY797" s="238"/>
    </row>
    <row r="798" spans="1:103" s="76" customFormat="1" ht="14.25" customHeight="1" x14ac:dyDescent="0.2">
      <c r="A798" s="231" t="b">
        <f t="shared" si="754"/>
        <v>0</v>
      </c>
      <c r="B798" s="245">
        <v>776</v>
      </c>
      <c r="C798" s="258"/>
      <c r="D798" s="258"/>
      <c r="E798" s="246"/>
      <c r="F798" s="247" t="str">
        <f>IF(ISBLANK(E798), "", VLOOKUP(E798, Z!$A$2:$C$4127, 3, FALSE))</f>
        <v/>
      </c>
      <c r="G798" s="248"/>
      <c r="H798" s="248"/>
      <c r="I798" s="249"/>
      <c r="J798" s="250"/>
      <c r="K798" s="259"/>
      <c r="L798" s="260"/>
      <c r="M798" s="252" t="str" cm="1">
        <f t="array" ref="M798">INDEX(Trad, 53, $A$20)</f>
        <v>Verschmutzt</v>
      </c>
      <c r="N798" s="253"/>
      <c r="O798" s="253"/>
      <c r="P798" s="254"/>
      <c r="Q798" s="251"/>
      <c r="R798" s="251"/>
      <c r="S798" s="264">
        <f t="shared" si="725"/>
        <v>0</v>
      </c>
      <c r="T798" s="252" t="str" cm="1">
        <f t="array" ref="T798">INDEX(Trad, 52, $A$20)</f>
        <v>Sauber</v>
      </c>
      <c r="U798" s="253"/>
      <c r="V798" s="253"/>
      <c r="W798" s="254"/>
      <c r="X798" s="251"/>
      <c r="Y798" s="251"/>
      <c r="Z798" s="264">
        <f t="shared" si="726"/>
        <v>0</v>
      </c>
      <c r="AA798" s="261"/>
      <c r="AB798" s="258"/>
      <c r="AC798" s="246"/>
      <c r="AD798" s="247" t="str">
        <f>IF(ISBLANK(AC798), "", VLOOKUP(AC798, Z!$A$2:$C$4127, 3, FALSE))</f>
        <v/>
      </c>
      <c r="AE798" s="262"/>
      <c r="AF798" s="263">
        <f t="shared" si="727"/>
        <v>0</v>
      </c>
      <c r="AG798" s="238"/>
      <c r="AH798" s="229">
        <f t="shared" si="751"/>
        <v>1</v>
      </c>
      <c r="AI798" s="229">
        <f t="shared" si="752"/>
        <v>1</v>
      </c>
      <c r="AJ798" s="229">
        <f t="shared" si="753"/>
        <v>0</v>
      </c>
      <c r="AK798" s="229">
        <v>0</v>
      </c>
      <c r="AL798" s="229">
        <v>0</v>
      </c>
      <c r="AM798" s="229">
        <v>1</v>
      </c>
      <c r="AN798" s="229">
        <v>0</v>
      </c>
      <c r="AO798" s="229">
        <f t="shared" si="728"/>
        <v>-100</v>
      </c>
      <c r="AP798" s="238"/>
      <c r="AQ798" s="255"/>
      <c r="AR798" s="255"/>
      <c r="AS798" s="256"/>
      <c r="AT798" s="256"/>
      <c r="AU798" s="256"/>
      <c r="AV798" s="256"/>
      <c r="AW798" s="256"/>
      <c r="AX798" s="256"/>
      <c r="AY798" s="256"/>
      <c r="AZ798" s="256"/>
      <c r="BA798" s="256"/>
      <c r="BB798" s="256"/>
      <c r="BC798" s="256"/>
      <c r="BD798" s="238"/>
      <c r="BE798" s="229" cm="1">
        <f t="array" ref="BE798">IF(ISBLANK(R798), INDEX(Use, $AH798, 4) - AM798*INDEX(Use, $AH798, 6), R798)</f>
        <v>5</v>
      </c>
      <c r="BF798" s="229">
        <f t="shared" si="729"/>
        <v>30</v>
      </c>
      <c r="BG798" s="229">
        <f t="shared" si="755"/>
        <v>13</v>
      </c>
      <c r="BH798" s="229">
        <f t="shared" si="756"/>
        <v>0</v>
      </c>
      <c r="BI798" s="234" cm="1">
        <f t="array" ref="BI798">K798/IF($L798&gt;0, INDEX($AU$23:$BA$77, $L798+20, $AH798), 1)</f>
        <v>0</v>
      </c>
      <c r="BJ798" s="230">
        <f t="shared" si="730"/>
        <v>0</v>
      </c>
      <c r="BK798" s="229">
        <v>35</v>
      </c>
      <c r="BL798" s="230">
        <f t="shared" si="731"/>
        <v>48</v>
      </c>
      <c r="BM798" s="235">
        <f t="shared" si="732"/>
        <v>2.9108720930232557</v>
      </c>
      <c r="BN798" s="235" cm="1">
        <f t="array" ref="BN798">$BI798 * SUMPRODUCT(INDEX($AR$77:$AT$82,,$AI798),INDEX($AU$77:$BA$82,,$AH798), N($AQ$77:$AQ$82&gt;$AO798)) / BM798 / 1000</f>
        <v>0</v>
      </c>
      <c r="BO798" s="232">
        <f t="shared" si="757"/>
        <v>30</v>
      </c>
      <c r="BP798" s="230">
        <f t="shared" si="733"/>
        <v>43</v>
      </c>
      <c r="BQ798" s="235">
        <f t="shared" si="734"/>
        <v>3.2938815789473681</v>
      </c>
      <c r="BR798" s="235" cm="1">
        <f t="array" ref="BR798">$BI798 * IF($AH798&lt;=2,
SUMPRODUCT(INDEX($AR$72:$AT$76,,$AI798), INDEX($AU$72:$BA$76,,$AH798), 1 / ($BB$72:$BB$76*BQ798 + (1-$BB$72:$BB$76)*BM798), N($AQ$72:$AQ$76&gt;$AO798)),
SUMPRODUCT(INDEX($AR$67:$AT$76,,$AI798), INDEX($AU$67:$BA$76,,$AH798), 1 / ($BC$67:$BC$76*BQ798 + (1-$BC$67:$BC$76)*BM798), N($AQ$67:$AQ$76&gt;$AO798))
) / 1000</f>
        <v>0</v>
      </c>
      <c r="BS798" s="232">
        <f t="shared" si="758"/>
        <v>25</v>
      </c>
      <c r="BT798" s="230">
        <f t="shared" si="735"/>
        <v>38</v>
      </c>
      <c r="BU798" s="235">
        <f t="shared" si="736"/>
        <v>3.792954545454545</v>
      </c>
      <c r="BV798" s="235" cm="1">
        <f t="array" ref="BV798">$BI798 * IF($AH798&lt;=2,
SUMPRODUCT(INDEX($AR$67:$AT$71,,$AI798), INDEX($AU$67:$BA$71,,$AH798), 1 / ($BB$67:$BB$71*BU798 + (1-$BB$67:$BB$71)*BQ798), N($AQ$67:$AQ$71&gt;$AO798)),
SUMPRODUCT(INDEX($AR$57:$AT$66,,$AI798), INDEX($AU$57:$BA$66,,$AH798), 1 / ($BC$57:$BC$66*BU798 + (1-$BC$57:$BC$66)*BQ798), N($AQ$57:$AQ$66&gt;$AO798))
) / 1000</f>
        <v>0</v>
      </c>
      <c r="BW798" s="232">
        <f t="shared" si="759"/>
        <v>20</v>
      </c>
      <c r="BX798" s="230">
        <f t="shared" si="737"/>
        <v>33</v>
      </c>
      <c r="BY798" s="235">
        <f t="shared" si="738"/>
        <v>4.4702678571428569</v>
      </c>
      <c r="BZ798" s="235" cm="1">
        <f t="array" ref="BZ798">$BI798 * IF($AH798&lt;=2,
SUMPRODUCT(INDEX($AR$62:$AT$66,,$AI798), INDEX($AU$62:$BA$66,,$AH798), 1 / ($BB$62:$BB$66*BY798 + (1-$BB$62:$BB$66)*BU798), N($AQ$62:$AQ$66&gt;$AO798)),
SUMPRODUCT(INDEX($AR$47:$AT$56,,$AI798), INDEX($AU$47:$BA$56,,$AH798), 1 / ($BC$47:$BC$56*BY798 + (1-$BC$47:$BC$56)*BU798), N($AQ$47:$AQ$56&gt;$AO798))
) / 1000</f>
        <v>0</v>
      </c>
      <c r="CA798" s="235" cm="1">
        <f t="array" ref="CA798">$BI798 * IF($AH798&lt;=2,
SUMPRODUCT(INDEX($AR$23:$AT$61,,$AI798), INDEX($AU$23:$BA$61,,$AH798), 1 / ($BB$23:$BB$61*BY798), N($AQ$23:$AQ$61&gt;$AO798)),
SUMPRODUCT(INDEX($AR$23:$AT$46,,$AI798), INDEX($AU$23:$BA$46,,$AH798), 1 / ($BC$23:$BC$46*BY798), N($AQ$23:$AQ$46&gt;$AO798))
) / 1000</f>
        <v>0</v>
      </c>
      <c r="CB798" s="230">
        <f t="shared" si="739"/>
        <v>0</v>
      </c>
      <c r="CC798" s="238"/>
      <c r="CD798" s="229" cm="1">
        <f t="array" ref="CD798">IF(ISBLANK(Y798), INDEX(Use, $AH798, 4) - AN798*INDEX(Use, $AH798, 6) - (Q798-X798), Y798)</f>
        <v>7</v>
      </c>
      <c r="CE798" s="229">
        <f t="shared" si="740"/>
        <v>32</v>
      </c>
      <c r="CF798" s="230">
        <f t="shared" si="741"/>
        <v>0</v>
      </c>
      <c r="CG798" s="229">
        <v>35</v>
      </c>
      <c r="CH798" s="230">
        <f t="shared" si="742"/>
        <v>48</v>
      </c>
      <c r="CI798" s="235">
        <f t="shared" si="743"/>
        <v>3.0748170731707316</v>
      </c>
      <c r="CJ798" s="235" cm="1">
        <f t="array" ref="CJ798">$BI798 * SUMPRODUCT(INDEX($AR$77:$AT$82,,$AI798),INDEX($AU$77:$BA$82,,$AH798), N($AQ$77:$AQ$82&gt;$AO798)) / CI798 / 1000</f>
        <v>0</v>
      </c>
      <c r="CK798" s="232">
        <f t="shared" si="760"/>
        <v>30</v>
      </c>
      <c r="CL798" s="230">
        <f t="shared" si="744"/>
        <v>43</v>
      </c>
      <c r="CM798" s="235">
        <f t="shared" si="745"/>
        <v>3.5018750000000001</v>
      </c>
      <c r="CN798" s="235" cm="1">
        <f t="array" ref="CN798">$BI798 * IF($AH798&lt;=2,
SUMPRODUCT(INDEX($AR$72:$AT$76,,$AI798), INDEX($AU$72:$BA$76,,$AH798), 1 / ($BB$72:$BB$76*CM798 + (1-$BB$72:$BB$76)*CI798), N($AQ$72:$AQ$76&gt;$AO798)),
SUMPRODUCT(INDEX($AR$67:$AT$76,,$AI798), INDEX($AU$67:$BA$76,,$AH798), 1 / ($BC$67:$BC$76*CM798 + (1-$BC$67:$BC$76)*CI798), N($AQ$67:$AQ$76&gt;$AO798))
) / 1000</f>
        <v>0</v>
      </c>
      <c r="CO798" s="232">
        <f t="shared" si="761"/>
        <v>25</v>
      </c>
      <c r="CP798" s="230">
        <f t="shared" si="746"/>
        <v>38</v>
      </c>
      <c r="CQ798" s="235">
        <f t="shared" si="747"/>
        <v>4.0666935483870965</v>
      </c>
      <c r="CR798" s="235" cm="1">
        <f t="array" ref="CR798">$BI798 * IF($AH798&lt;=2,
SUMPRODUCT(INDEX($AR$67:$AT$71,,$AI798), INDEX($AU$67:$BA$71,,$AH798), 1 / ($BB$67:$BB$71*CQ798 + (1-$BB$67:$BB$71)*CM798), N($AQ$67:$AQ$71&gt;$AO798)),
SUMPRODUCT(INDEX($AR$57:$AT$66,,$AI798), INDEX($AU$57:$BA$66,,$AH798), 1 / ($BC$57:$BC$66*CQ798 + (1-$BC$57:$BC$66)*CM798), N($AQ$57:$AQ$66&gt;$AO798))
) / 1000</f>
        <v>0</v>
      </c>
      <c r="CS798" s="232">
        <f t="shared" si="762"/>
        <v>20</v>
      </c>
      <c r="CT798" s="230">
        <f t="shared" si="748"/>
        <v>33</v>
      </c>
      <c r="CU798" s="235">
        <f t="shared" si="749"/>
        <v>4.8487499999999999</v>
      </c>
      <c r="CV798" s="235" cm="1">
        <f t="array" ref="CV798">$BI798 * IF($AH798&lt;=2,
SUMPRODUCT(INDEX($AR$62:$AT$66,,$AI798), INDEX($AU$62:$BA$66,,$AH798), 1 / ($BB$62:$BB$66*CU798 + (1-$BB$62:$BB$66)*CQ798), N($AQ$62:$AQ$66&gt;$AO798)),
SUMPRODUCT(INDEX($AR$47:$AT$56,,$AI798), INDEX($AU$47:$BA$56,,$AH798), 1 / ($BC$47:$BC$56*CU798 + (1-$BC$47:$BC$56)*CQ798), N($AQ$47:$AQ$56&gt;$AO798))
) / 1000</f>
        <v>0</v>
      </c>
      <c r="CW798" s="235" cm="1">
        <f t="array" ref="CW798">$BI798 * IF($AH798&lt;=2,
SUMPRODUCT(INDEX($AR$23:$AT$61,,$AI798), INDEX($AU$23:$BA$61,,$AH798), 1 / ($BB$23:$BB$61*CU798), N($AQ$23:$AQ$61&gt;$AO798)),
SUMPRODUCT(INDEX($AR$23:$AT$46,,$AI798), INDEX($AU$23:$BA$46,,$AH798), 1 / ($BC$23:$BC$46*CU798), N($AQ$23:$AQ$46&gt;$AO798))
) / 1000</f>
        <v>0</v>
      </c>
      <c r="CX798" s="230">
        <f t="shared" si="750"/>
        <v>0</v>
      </c>
      <c r="CY798" s="238"/>
    </row>
    <row r="799" spans="1:103" s="76" customFormat="1" ht="14.25" customHeight="1" x14ac:dyDescent="0.2">
      <c r="A799" s="231" t="b">
        <f t="shared" si="754"/>
        <v>0</v>
      </c>
      <c r="B799" s="245">
        <v>777</v>
      </c>
      <c r="C799" s="258"/>
      <c r="D799" s="258"/>
      <c r="E799" s="246"/>
      <c r="F799" s="247" t="str">
        <f>IF(ISBLANK(E799), "", VLOOKUP(E799, Z!$A$2:$C$4127, 3, FALSE))</f>
        <v/>
      </c>
      <c r="G799" s="248"/>
      <c r="H799" s="248"/>
      <c r="I799" s="249"/>
      <c r="J799" s="250"/>
      <c r="K799" s="259"/>
      <c r="L799" s="260"/>
      <c r="M799" s="252" t="str" cm="1">
        <f t="array" ref="M799">INDEX(Trad, 53, $A$20)</f>
        <v>Verschmutzt</v>
      </c>
      <c r="N799" s="253"/>
      <c r="O799" s="253"/>
      <c r="P799" s="254"/>
      <c r="Q799" s="251"/>
      <c r="R799" s="251"/>
      <c r="S799" s="264">
        <f t="shared" si="725"/>
        <v>0</v>
      </c>
      <c r="T799" s="252" t="str" cm="1">
        <f t="array" ref="T799">INDEX(Trad, 52, $A$20)</f>
        <v>Sauber</v>
      </c>
      <c r="U799" s="253"/>
      <c r="V799" s="253"/>
      <c r="W799" s="254"/>
      <c r="X799" s="251"/>
      <c r="Y799" s="251"/>
      <c r="Z799" s="264">
        <f t="shared" si="726"/>
        <v>0</v>
      </c>
      <c r="AA799" s="261"/>
      <c r="AB799" s="258"/>
      <c r="AC799" s="246"/>
      <c r="AD799" s="247" t="str">
        <f>IF(ISBLANK(AC799), "", VLOOKUP(AC799, Z!$A$2:$C$4127, 3, FALSE))</f>
        <v/>
      </c>
      <c r="AE799" s="262"/>
      <c r="AF799" s="263">
        <f t="shared" si="727"/>
        <v>0</v>
      </c>
      <c r="AG799" s="238"/>
      <c r="AH799" s="229">
        <f t="shared" si="751"/>
        <v>1</v>
      </c>
      <c r="AI799" s="229">
        <f t="shared" si="752"/>
        <v>1</v>
      </c>
      <c r="AJ799" s="229">
        <f t="shared" si="753"/>
        <v>0</v>
      </c>
      <c r="AK799" s="229">
        <v>0</v>
      </c>
      <c r="AL799" s="229">
        <v>0</v>
      </c>
      <c r="AM799" s="229">
        <v>1</v>
      </c>
      <c r="AN799" s="229">
        <v>0</v>
      </c>
      <c r="AO799" s="229">
        <f t="shared" si="728"/>
        <v>-100</v>
      </c>
      <c r="AP799" s="238"/>
      <c r="AQ799" s="255"/>
      <c r="AR799" s="255"/>
      <c r="AS799" s="256"/>
      <c r="AT799" s="256"/>
      <c r="AU799" s="256"/>
      <c r="AV799" s="256"/>
      <c r="AW799" s="256"/>
      <c r="AX799" s="256"/>
      <c r="AY799" s="256"/>
      <c r="AZ799" s="256"/>
      <c r="BA799" s="256"/>
      <c r="BB799" s="256"/>
      <c r="BC799" s="256"/>
      <c r="BD799" s="238"/>
      <c r="BE799" s="229" cm="1">
        <f t="array" ref="BE799">IF(ISBLANK(R799), INDEX(Use, $AH799, 4) - AM799*INDEX(Use, $AH799, 6), R799)</f>
        <v>5</v>
      </c>
      <c r="BF799" s="229">
        <f t="shared" si="729"/>
        <v>30</v>
      </c>
      <c r="BG799" s="229">
        <f t="shared" si="755"/>
        <v>13</v>
      </c>
      <c r="BH799" s="229">
        <f t="shared" si="756"/>
        <v>0</v>
      </c>
      <c r="BI799" s="234" cm="1">
        <f t="array" ref="BI799">K799/IF($L799&gt;0, INDEX($AU$23:$BA$77, $L799+20, $AH799), 1)</f>
        <v>0</v>
      </c>
      <c r="BJ799" s="230">
        <f t="shared" si="730"/>
        <v>0</v>
      </c>
      <c r="BK799" s="229">
        <v>35</v>
      </c>
      <c r="BL799" s="230">
        <f t="shared" si="731"/>
        <v>48</v>
      </c>
      <c r="BM799" s="235">
        <f t="shared" si="732"/>
        <v>2.9108720930232557</v>
      </c>
      <c r="BN799" s="235" cm="1">
        <f t="array" ref="BN799">$BI799 * SUMPRODUCT(INDEX($AR$77:$AT$82,,$AI799),INDEX($AU$77:$BA$82,,$AH799), N($AQ$77:$AQ$82&gt;$AO799)) / BM799 / 1000</f>
        <v>0</v>
      </c>
      <c r="BO799" s="232">
        <f t="shared" si="757"/>
        <v>30</v>
      </c>
      <c r="BP799" s="230">
        <f t="shared" si="733"/>
        <v>43</v>
      </c>
      <c r="BQ799" s="235">
        <f t="shared" si="734"/>
        <v>3.2938815789473681</v>
      </c>
      <c r="BR799" s="235" cm="1">
        <f t="array" ref="BR799">$BI799 * IF($AH799&lt;=2,
SUMPRODUCT(INDEX($AR$72:$AT$76,,$AI799), INDEX($AU$72:$BA$76,,$AH799), 1 / ($BB$72:$BB$76*BQ799 + (1-$BB$72:$BB$76)*BM799), N($AQ$72:$AQ$76&gt;$AO799)),
SUMPRODUCT(INDEX($AR$67:$AT$76,,$AI799), INDEX($AU$67:$BA$76,,$AH799), 1 / ($BC$67:$BC$76*BQ799 + (1-$BC$67:$BC$76)*BM799), N($AQ$67:$AQ$76&gt;$AO799))
) / 1000</f>
        <v>0</v>
      </c>
      <c r="BS799" s="232">
        <f t="shared" si="758"/>
        <v>25</v>
      </c>
      <c r="BT799" s="230">
        <f t="shared" si="735"/>
        <v>38</v>
      </c>
      <c r="BU799" s="235">
        <f t="shared" si="736"/>
        <v>3.792954545454545</v>
      </c>
      <c r="BV799" s="235" cm="1">
        <f t="array" ref="BV799">$BI799 * IF($AH799&lt;=2,
SUMPRODUCT(INDEX($AR$67:$AT$71,,$AI799), INDEX($AU$67:$BA$71,,$AH799), 1 / ($BB$67:$BB$71*BU799 + (1-$BB$67:$BB$71)*BQ799), N($AQ$67:$AQ$71&gt;$AO799)),
SUMPRODUCT(INDEX($AR$57:$AT$66,,$AI799), INDEX($AU$57:$BA$66,,$AH799), 1 / ($BC$57:$BC$66*BU799 + (1-$BC$57:$BC$66)*BQ799), N($AQ$57:$AQ$66&gt;$AO799))
) / 1000</f>
        <v>0</v>
      </c>
      <c r="BW799" s="232">
        <f t="shared" si="759"/>
        <v>20</v>
      </c>
      <c r="BX799" s="230">
        <f t="shared" si="737"/>
        <v>33</v>
      </c>
      <c r="BY799" s="235">
        <f t="shared" si="738"/>
        <v>4.4702678571428569</v>
      </c>
      <c r="BZ799" s="235" cm="1">
        <f t="array" ref="BZ799">$BI799 * IF($AH799&lt;=2,
SUMPRODUCT(INDEX($AR$62:$AT$66,,$AI799), INDEX($AU$62:$BA$66,,$AH799), 1 / ($BB$62:$BB$66*BY799 + (1-$BB$62:$BB$66)*BU799), N($AQ$62:$AQ$66&gt;$AO799)),
SUMPRODUCT(INDEX($AR$47:$AT$56,,$AI799), INDEX($AU$47:$BA$56,,$AH799), 1 / ($BC$47:$BC$56*BY799 + (1-$BC$47:$BC$56)*BU799), N($AQ$47:$AQ$56&gt;$AO799))
) / 1000</f>
        <v>0</v>
      </c>
      <c r="CA799" s="235" cm="1">
        <f t="array" ref="CA799">$BI799 * IF($AH799&lt;=2,
SUMPRODUCT(INDEX($AR$23:$AT$61,,$AI799), INDEX($AU$23:$BA$61,,$AH799), 1 / ($BB$23:$BB$61*BY799), N($AQ$23:$AQ$61&gt;$AO799)),
SUMPRODUCT(INDEX($AR$23:$AT$46,,$AI799), INDEX($AU$23:$BA$46,,$AH799), 1 / ($BC$23:$BC$46*BY799), N($AQ$23:$AQ$46&gt;$AO799))
) / 1000</f>
        <v>0</v>
      </c>
      <c r="CB799" s="230">
        <f t="shared" si="739"/>
        <v>0</v>
      </c>
      <c r="CC799" s="238"/>
      <c r="CD799" s="229" cm="1">
        <f t="array" ref="CD799">IF(ISBLANK(Y799), INDEX(Use, $AH799, 4) - AN799*INDEX(Use, $AH799, 6) - (Q799-X799), Y799)</f>
        <v>7</v>
      </c>
      <c r="CE799" s="229">
        <f t="shared" si="740"/>
        <v>32</v>
      </c>
      <c r="CF799" s="230">
        <f t="shared" si="741"/>
        <v>0</v>
      </c>
      <c r="CG799" s="229">
        <v>35</v>
      </c>
      <c r="CH799" s="230">
        <f t="shared" si="742"/>
        <v>48</v>
      </c>
      <c r="CI799" s="235">
        <f t="shared" si="743"/>
        <v>3.0748170731707316</v>
      </c>
      <c r="CJ799" s="235" cm="1">
        <f t="array" ref="CJ799">$BI799 * SUMPRODUCT(INDEX($AR$77:$AT$82,,$AI799),INDEX($AU$77:$BA$82,,$AH799), N($AQ$77:$AQ$82&gt;$AO799)) / CI799 / 1000</f>
        <v>0</v>
      </c>
      <c r="CK799" s="232">
        <f t="shared" si="760"/>
        <v>30</v>
      </c>
      <c r="CL799" s="230">
        <f t="shared" si="744"/>
        <v>43</v>
      </c>
      <c r="CM799" s="235">
        <f t="shared" si="745"/>
        <v>3.5018750000000001</v>
      </c>
      <c r="CN799" s="235" cm="1">
        <f t="array" ref="CN799">$BI799 * IF($AH799&lt;=2,
SUMPRODUCT(INDEX($AR$72:$AT$76,,$AI799), INDEX($AU$72:$BA$76,,$AH799), 1 / ($BB$72:$BB$76*CM799 + (1-$BB$72:$BB$76)*CI799), N($AQ$72:$AQ$76&gt;$AO799)),
SUMPRODUCT(INDEX($AR$67:$AT$76,,$AI799), INDEX($AU$67:$BA$76,,$AH799), 1 / ($BC$67:$BC$76*CM799 + (1-$BC$67:$BC$76)*CI799), N($AQ$67:$AQ$76&gt;$AO799))
) / 1000</f>
        <v>0</v>
      </c>
      <c r="CO799" s="232">
        <f t="shared" si="761"/>
        <v>25</v>
      </c>
      <c r="CP799" s="230">
        <f t="shared" si="746"/>
        <v>38</v>
      </c>
      <c r="CQ799" s="235">
        <f t="shared" si="747"/>
        <v>4.0666935483870965</v>
      </c>
      <c r="CR799" s="235" cm="1">
        <f t="array" ref="CR799">$BI799 * IF($AH799&lt;=2,
SUMPRODUCT(INDEX($AR$67:$AT$71,,$AI799), INDEX($AU$67:$BA$71,,$AH799), 1 / ($BB$67:$BB$71*CQ799 + (1-$BB$67:$BB$71)*CM799), N($AQ$67:$AQ$71&gt;$AO799)),
SUMPRODUCT(INDEX($AR$57:$AT$66,,$AI799), INDEX($AU$57:$BA$66,,$AH799), 1 / ($BC$57:$BC$66*CQ799 + (1-$BC$57:$BC$66)*CM799), N($AQ$57:$AQ$66&gt;$AO799))
) / 1000</f>
        <v>0</v>
      </c>
      <c r="CS799" s="232">
        <f t="shared" si="762"/>
        <v>20</v>
      </c>
      <c r="CT799" s="230">
        <f t="shared" si="748"/>
        <v>33</v>
      </c>
      <c r="CU799" s="235">
        <f t="shared" si="749"/>
        <v>4.8487499999999999</v>
      </c>
      <c r="CV799" s="235" cm="1">
        <f t="array" ref="CV799">$BI799 * IF($AH799&lt;=2,
SUMPRODUCT(INDEX($AR$62:$AT$66,,$AI799), INDEX($AU$62:$BA$66,,$AH799), 1 / ($BB$62:$BB$66*CU799 + (1-$BB$62:$BB$66)*CQ799), N($AQ$62:$AQ$66&gt;$AO799)),
SUMPRODUCT(INDEX($AR$47:$AT$56,,$AI799), INDEX($AU$47:$BA$56,,$AH799), 1 / ($BC$47:$BC$56*CU799 + (1-$BC$47:$BC$56)*CQ799), N($AQ$47:$AQ$56&gt;$AO799))
) / 1000</f>
        <v>0</v>
      </c>
      <c r="CW799" s="235" cm="1">
        <f t="array" ref="CW799">$BI799 * IF($AH799&lt;=2,
SUMPRODUCT(INDEX($AR$23:$AT$61,,$AI799), INDEX($AU$23:$BA$61,,$AH799), 1 / ($BB$23:$BB$61*CU799), N($AQ$23:$AQ$61&gt;$AO799)),
SUMPRODUCT(INDEX($AR$23:$AT$46,,$AI799), INDEX($AU$23:$BA$46,,$AH799), 1 / ($BC$23:$BC$46*CU799), N($AQ$23:$AQ$46&gt;$AO799))
) / 1000</f>
        <v>0</v>
      </c>
      <c r="CX799" s="230">
        <f t="shared" si="750"/>
        <v>0</v>
      </c>
      <c r="CY799" s="238"/>
    </row>
    <row r="800" spans="1:103" s="76" customFormat="1" ht="14.25" customHeight="1" x14ac:dyDescent="0.2">
      <c r="A800" s="231" t="b">
        <f t="shared" si="754"/>
        <v>0</v>
      </c>
      <c r="B800" s="245">
        <v>778</v>
      </c>
      <c r="C800" s="258"/>
      <c r="D800" s="258"/>
      <c r="E800" s="246"/>
      <c r="F800" s="247" t="str">
        <f>IF(ISBLANK(E800), "", VLOOKUP(E800, Z!$A$2:$C$4127, 3, FALSE))</f>
        <v/>
      </c>
      <c r="G800" s="248"/>
      <c r="H800" s="248"/>
      <c r="I800" s="249"/>
      <c r="J800" s="250"/>
      <c r="K800" s="259"/>
      <c r="L800" s="260"/>
      <c r="M800" s="252" t="str" cm="1">
        <f t="array" ref="M800">INDEX(Trad, 53, $A$20)</f>
        <v>Verschmutzt</v>
      </c>
      <c r="N800" s="253"/>
      <c r="O800" s="253"/>
      <c r="P800" s="254"/>
      <c r="Q800" s="251"/>
      <c r="R800" s="251"/>
      <c r="S800" s="264">
        <f t="shared" si="725"/>
        <v>0</v>
      </c>
      <c r="T800" s="252" t="str" cm="1">
        <f t="array" ref="T800">INDEX(Trad, 52, $A$20)</f>
        <v>Sauber</v>
      </c>
      <c r="U800" s="253"/>
      <c r="V800" s="253"/>
      <c r="W800" s="254"/>
      <c r="X800" s="251"/>
      <c r="Y800" s="251"/>
      <c r="Z800" s="264">
        <f t="shared" si="726"/>
        <v>0</v>
      </c>
      <c r="AA800" s="261"/>
      <c r="AB800" s="258"/>
      <c r="AC800" s="246"/>
      <c r="AD800" s="247" t="str">
        <f>IF(ISBLANK(AC800), "", VLOOKUP(AC800, Z!$A$2:$C$4127, 3, FALSE))</f>
        <v/>
      </c>
      <c r="AE800" s="262"/>
      <c r="AF800" s="263">
        <f t="shared" si="727"/>
        <v>0</v>
      </c>
      <c r="AG800" s="238"/>
      <c r="AH800" s="229">
        <f t="shared" si="751"/>
        <v>1</v>
      </c>
      <c r="AI800" s="229">
        <f t="shared" si="752"/>
        <v>1</v>
      </c>
      <c r="AJ800" s="229">
        <f t="shared" si="753"/>
        <v>0</v>
      </c>
      <c r="AK800" s="229">
        <v>0</v>
      </c>
      <c r="AL800" s="229">
        <v>0</v>
      </c>
      <c r="AM800" s="229">
        <v>1</v>
      </c>
      <c r="AN800" s="229">
        <v>0</v>
      </c>
      <c r="AO800" s="229">
        <f t="shared" si="728"/>
        <v>-100</v>
      </c>
      <c r="AP800" s="238"/>
      <c r="AQ800" s="255"/>
      <c r="AR800" s="255"/>
      <c r="AS800" s="256"/>
      <c r="AT800" s="256"/>
      <c r="AU800" s="256"/>
      <c r="AV800" s="256"/>
      <c r="AW800" s="256"/>
      <c r="AX800" s="256"/>
      <c r="AY800" s="256"/>
      <c r="AZ800" s="256"/>
      <c r="BA800" s="256"/>
      <c r="BB800" s="256"/>
      <c r="BC800" s="256"/>
      <c r="BD800" s="238"/>
      <c r="BE800" s="229" cm="1">
        <f t="array" ref="BE800">IF(ISBLANK(R800), INDEX(Use, $AH800, 4) - AM800*INDEX(Use, $AH800, 6), R800)</f>
        <v>5</v>
      </c>
      <c r="BF800" s="229">
        <f t="shared" si="729"/>
        <v>30</v>
      </c>
      <c r="BG800" s="229">
        <f t="shared" si="755"/>
        <v>13</v>
      </c>
      <c r="BH800" s="229">
        <f t="shared" si="756"/>
        <v>0</v>
      </c>
      <c r="BI800" s="234" cm="1">
        <f t="array" ref="BI800">K800/IF($L800&gt;0, INDEX($AU$23:$BA$77, $L800+20, $AH800), 1)</f>
        <v>0</v>
      </c>
      <c r="BJ800" s="230">
        <f t="shared" si="730"/>
        <v>0</v>
      </c>
      <c r="BK800" s="229">
        <v>35</v>
      </c>
      <c r="BL800" s="230">
        <f t="shared" si="731"/>
        <v>48</v>
      </c>
      <c r="BM800" s="235">
        <f t="shared" si="732"/>
        <v>2.9108720930232557</v>
      </c>
      <c r="BN800" s="235" cm="1">
        <f t="array" ref="BN800">$BI800 * SUMPRODUCT(INDEX($AR$77:$AT$82,,$AI800),INDEX($AU$77:$BA$82,,$AH800), N($AQ$77:$AQ$82&gt;$AO800)) / BM800 / 1000</f>
        <v>0</v>
      </c>
      <c r="BO800" s="232">
        <f t="shared" si="757"/>
        <v>30</v>
      </c>
      <c r="BP800" s="230">
        <f t="shared" si="733"/>
        <v>43</v>
      </c>
      <c r="BQ800" s="235">
        <f t="shared" si="734"/>
        <v>3.2938815789473681</v>
      </c>
      <c r="BR800" s="235" cm="1">
        <f t="array" ref="BR800">$BI800 * IF($AH800&lt;=2,
SUMPRODUCT(INDEX($AR$72:$AT$76,,$AI800), INDEX($AU$72:$BA$76,,$AH800), 1 / ($BB$72:$BB$76*BQ800 + (1-$BB$72:$BB$76)*BM800), N($AQ$72:$AQ$76&gt;$AO800)),
SUMPRODUCT(INDEX($AR$67:$AT$76,,$AI800), INDEX($AU$67:$BA$76,,$AH800), 1 / ($BC$67:$BC$76*BQ800 + (1-$BC$67:$BC$76)*BM800), N($AQ$67:$AQ$76&gt;$AO800))
) / 1000</f>
        <v>0</v>
      </c>
      <c r="BS800" s="232">
        <f t="shared" si="758"/>
        <v>25</v>
      </c>
      <c r="BT800" s="230">
        <f t="shared" si="735"/>
        <v>38</v>
      </c>
      <c r="BU800" s="235">
        <f t="shared" si="736"/>
        <v>3.792954545454545</v>
      </c>
      <c r="BV800" s="235" cm="1">
        <f t="array" ref="BV800">$BI800 * IF($AH800&lt;=2,
SUMPRODUCT(INDEX($AR$67:$AT$71,,$AI800), INDEX($AU$67:$BA$71,,$AH800), 1 / ($BB$67:$BB$71*BU800 + (1-$BB$67:$BB$71)*BQ800), N($AQ$67:$AQ$71&gt;$AO800)),
SUMPRODUCT(INDEX($AR$57:$AT$66,,$AI800), INDEX($AU$57:$BA$66,,$AH800), 1 / ($BC$57:$BC$66*BU800 + (1-$BC$57:$BC$66)*BQ800), N($AQ$57:$AQ$66&gt;$AO800))
) / 1000</f>
        <v>0</v>
      </c>
      <c r="BW800" s="232">
        <f t="shared" si="759"/>
        <v>20</v>
      </c>
      <c r="BX800" s="230">
        <f t="shared" si="737"/>
        <v>33</v>
      </c>
      <c r="BY800" s="235">
        <f t="shared" si="738"/>
        <v>4.4702678571428569</v>
      </c>
      <c r="BZ800" s="235" cm="1">
        <f t="array" ref="BZ800">$BI800 * IF($AH800&lt;=2,
SUMPRODUCT(INDEX($AR$62:$AT$66,,$AI800), INDEX($AU$62:$BA$66,,$AH800), 1 / ($BB$62:$BB$66*BY800 + (1-$BB$62:$BB$66)*BU800), N($AQ$62:$AQ$66&gt;$AO800)),
SUMPRODUCT(INDEX($AR$47:$AT$56,,$AI800), INDEX($AU$47:$BA$56,,$AH800), 1 / ($BC$47:$BC$56*BY800 + (1-$BC$47:$BC$56)*BU800), N($AQ$47:$AQ$56&gt;$AO800))
) / 1000</f>
        <v>0</v>
      </c>
      <c r="CA800" s="235" cm="1">
        <f t="array" ref="CA800">$BI800 * IF($AH800&lt;=2,
SUMPRODUCT(INDEX($AR$23:$AT$61,,$AI800), INDEX($AU$23:$BA$61,,$AH800), 1 / ($BB$23:$BB$61*BY800), N($AQ$23:$AQ$61&gt;$AO800)),
SUMPRODUCT(INDEX($AR$23:$AT$46,,$AI800), INDEX($AU$23:$BA$46,,$AH800), 1 / ($BC$23:$BC$46*BY800), N($AQ$23:$AQ$46&gt;$AO800))
) / 1000</f>
        <v>0</v>
      </c>
      <c r="CB800" s="230">
        <f t="shared" si="739"/>
        <v>0</v>
      </c>
      <c r="CC800" s="238"/>
      <c r="CD800" s="229" cm="1">
        <f t="array" ref="CD800">IF(ISBLANK(Y800), INDEX(Use, $AH800, 4) - AN800*INDEX(Use, $AH800, 6) - (Q800-X800), Y800)</f>
        <v>7</v>
      </c>
      <c r="CE800" s="229">
        <f t="shared" si="740"/>
        <v>32</v>
      </c>
      <c r="CF800" s="230">
        <f t="shared" si="741"/>
        <v>0</v>
      </c>
      <c r="CG800" s="229">
        <v>35</v>
      </c>
      <c r="CH800" s="230">
        <f t="shared" si="742"/>
        <v>48</v>
      </c>
      <c r="CI800" s="235">
        <f t="shared" si="743"/>
        <v>3.0748170731707316</v>
      </c>
      <c r="CJ800" s="235" cm="1">
        <f t="array" ref="CJ800">$BI800 * SUMPRODUCT(INDEX($AR$77:$AT$82,,$AI800),INDEX($AU$77:$BA$82,,$AH800), N($AQ$77:$AQ$82&gt;$AO800)) / CI800 / 1000</f>
        <v>0</v>
      </c>
      <c r="CK800" s="232">
        <f t="shared" si="760"/>
        <v>30</v>
      </c>
      <c r="CL800" s="230">
        <f t="shared" si="744"/>
        <v>43</v>
      </c>
      <c r="CM800" s="235">
        <f t="shared" si="745"/>
        <v>3.5018750000000001</v>
      </c>
      <c r="CN800" s="235" cm="1">
        <f t="array" ref="CN800">$BI800 * IF($AH800&lt;=2,
SUMPRODUCT(INDEX($AR$72:$AT$76,,$AI800), INDEX($AU$72:$BA$76,,$AH800), 1 / ($BB$72:$BB$76*CM800 + (1-$BB$72:$BB$76)*CI800), N($AQ$72:$AQ$76&gt;$AO800)),
SUMPRODUCT(INDEX($AR$67:$AT$76,,$AI800), INDEX($AU$67:$BA$76,,$AH800), 1 / ($BC$67:$BC$76*CM800 + (1-$BC$67:$BC$76)*CI800), N($AQ$67:$AQ$76&gt;$AO800))
) / 1000</f>
        <v>0</v>
      </c>
      <c r="CO800" s="232">
        <f t="shared" si="761"/>
        <v>25</v>
      </c>
      <c r="CP800" s="230">
        <f t="shared" si="746"/>
        <v>38</v>
      </c>
      <c r="CQ800" s="235">
        <f t="shared" si="747"/>
        <v>4.0666935483870965</v>
      </c>
      <c r="CR800" s="235" cm="1">
        <f t="array" ref="CR800">$BI800 * IF($AH800&lt;=2,
SUMPRODUCT(INDEX($AR$67:$AT$71,,$AI800), INDEX($AU$67:$BA$71,,$AH800), 1 / ($BB$67:$BB$71*CQ800 + (1-$BB$67:$BB$71)*CM800), N($AQ$67:$AQ$71&gt;$AO800)),
SUMPRODUCT(INDEX($AR$57:$AT$66,,$AI800), INDEX($AU$57:$BA$66,,$AH800), 1 / ($BC$57:$BC$66*CQ800 + (1-$BC$57:$BC$66)*CM800), N($AQ$57:$AQ$66&gt;$AO800))
) / 1000</f>
        <v>0</v>
      </c>
      <c r="CS800" s="232">
        <f t="shared" si="762"/>
        <v>20</v>
      </c>
      <c r="CT800" s="230">
        <f t="shared" si="748"/>
        <v>33</v>
      </c>
      <c r="CU800" s="235">
        <f t="shared" si="749"/>
        <v>4.8487499999999999</v>
      </c>
      <c r="CV800" s="235" cm="1">
        <f t="array" ref="CV800">$BI800 * IF($AH800&lt;=2,
SUMPRODUCT(INDEX($AR$62:$AT$66,,$AI800), INDEX($AU$62:$BA$66,,$AH800), 1 / ($BB$62:$BB$66*CU800 + (1-$BB$62:$BB$66)*CQ800), N($AQ$62:$AQ$66&gt;$AO800)),
SUMPRODUCT(INDEX($AR$47:$AT$56,,$AI800), INDEX($AU$47:$BA$56,,$AH800), 1 / ($BC$47:$BC$56*CU800 + (1-$BC$47:$BC$56)*CQ800), N($AQ$47:$AQ$56&gt;$AO800))
) / 1000</f>
        <v>0</v>
      </c>
      <c r="CW800" s="235" cm="1">
        <f t="array" ref="CW800">$BI800 * IF($AH800&lt;=2,
SUMPRODUCT(INDEX($AR$23:$AT$61,,$AI800), INDEX($AU$23:$BA$61,,$AH800), 1 / ($BB$23:$BB$61*CU800), N($AQ$23:$AQ$61&gt;$AO800)),
SUMPRODUCT(INDEX($AR$23:$AT$46,,$AI800), INDEX($AU$23:$BA$46,,$AH800), 1 / ($BC$23:$BC$46*CU800), N($AQ$23:$AQ$46&gt;$AO800))
) / 1000</f>
        <v>0</v>
      </c>
      <c r="CX800" s="230">
        <f t="shared" si="750"/>
        <v>0</v>
      </c>
      <c r="CY800" s="238"/>
    </row>
    <row r="801" spans="1:103" s="76" customFormat="1" ht="14.25" customHeight="1" x14ac:dyDescent="0.2">
      <c r="A801" s="231" t="b">
        <f t="shared" si="754"/>
        <v>0</v>
      </c>
      <c r="B801" s="245">
        <v>779</v>
      </c>
      <c r="C801" s="258"/>
      <c r="D801" s="258"/>
      <c r="E801" s="246"/>
      <c r="F801" s="247" t="str">
        <f>IF(ISBLANK(E801), "", VLOOKUP(E801, Z!$A$2:$C$4127, 3, FALSE))</f>
        <v/>
      </c>
      <c r="G801" s="248"/>
      <c r="H801" s="248"/>
      <c r="I801" s="249"/>
      <c r="J801" s="250"/>
      <c r="K801" s="259"/>
      <c r="L801" s="260"/>
      <c r="M801" s="252" t="str" cm="1">
        <f t="array" ref="M801">INDEX(Trad, 53, $A$20)</f>
        <v>Verschmutzt</v>
      </c>
      <c r="N801" s="253"/>
      <c r="O801" s="253"/>
      <c r="P801" s="254"/>
      <c r="Q801" s="251"/>
      <c r="R801" s="251"/>
      <c r="S801" s="264">
        <f t="shared" si="725"/>
        <v>0</v>
      </c>
      <c r="T801" s="252" t="str" cm="1">
        <f t="array" ref="T801">INDEX(Trad, 52, $A$20)</f>
        <v>Sauber</v>
      </c>
      <c r="U801" s="253"/>
      <c r="V801" s="253"/>
      <c r="W801" s="254"/>
      <c r="X801" s="251"/>
      <c r="Y801" s="251"/>
      <c r="Z801" s="264">
        <f t="shared" si="726"/>
        <v>0</v>
      </c>
      <c r="AA801" s="261"/>
      <c r="AB801" s="258"/>
      <c r="AC801" s="246"/>
      <c r="AD801" s="247" t="str">
        <f>IF(ISBLANK(AC801), "", VLOOKUP(AC801, Z!$A$2:$C$4127, 3, FALSE))</f>
        <v/>
      </c>
      <c r="AE801" s="262"/>
      <c r="AF801" s="263">
        <f t="shared" si="727"/>
        <v>0</v>
      </c>
      <c r="AG801" s="238"/>
      <c r="AH801" s="229">
        <f t="shared" si="751"/>
        <v>1</v>
      </c>
      <c r="AI801" s="229">
        <f t="shared" si="752"/>
        <v>1</v>
      </c>
      <c r="AJ801" s="229">
        <f t="shared" si="753"/>
        <v>0</v>
      </c>
      <c r="AK801" s="229">
        <v>0</v>
      </c>
      <c r="AL801" s="229">
        <v>0</v>
      </c>
      <c r="AM801" s="229">
        <v>1</v>
      </c>
      <c r="AN801" s="229">
        <v>0</v>
      </c>
      <c r="AO801" s="229">
        <f t="shared" si="728"/>
        <v>-100</v>
      </c>
      <c r="AP801" s="238"/>
      <c r="AQ801" s="255"/>
      <c r="AR801" s="255"/>
      <c r="AS801" s="256"/>
      <c r="AT801" s="256"/>
      <c r="AU801" s="256"/>
      <c r="AV801" s="256"/>
      <c r="AW801" s="256"/>
      <c r="AX801" s="256"/>
      <c r="AY801" s="256"/>
      <c r="AZ801" s="256"/>
      <c r="BA801" s="256"/>
      <c r="BB801" s="256"/>
      <c r="BC801" s="256"/>
      <c r="BD801" s="238"/>
      <c r="BE801" s="229" cm="1">
        <f t="array" ref="BE801">IF(ISBLANK(R801), INDEX(Use, $AH801, 4) - AM801*INDEX(Use, $AH801, 6), R801)</f>
        <v>5</v>
      </c>
      <c r="BF801" s="229">
        <f t="shared" si="729"/>
        <v>30</v>
      </c>
      <c r="BG801" s="229">
        <f t="shared" si="755"/>
        <v>13</v>
      </c>
      <c r="BH801" s="229">
        <f t="shared" si="756"/>
        <v>0</v>
      </c>
      <c r="BI801" s="234" cm="1">
        <f t="array" ref="BI801">K801/IF($L801&gt;0, INDEX($AU$23:$BA$77, $L801+20, $AH801), 1)</f>
        <v>0</v>
      </c>
      <c r="BJ801" s="230">
        <f t="shared" si="730"/>
        <v>0</v>
      </c>
      <c r="BK801" s="229">
        <v>35</v>
      </c>
      <c r="BL801" s="230">
        <f t="shared" si="731"/>
        <v>48</v>
      </c>
      <c r="BM801" s="235">
        <f t="shared" si="732"/>
        <v>2.9108720930232557</v>
      </c>
      <c r="BN801" s="235" cm="1">
        <f t="array" ref="BN801">$BI801 * SUMPRODUCT(INDEX($AR$77:$AT$82,,$AI801),INDEX($AU$77:$BA$82,,$AH801), N($AQ$77:$AQ$82&gt;$AO801)) / BM801 / 1000</f>
        <v>0</v>
      </c>
      <c r="BO801" s="232">
        <f t="shared" si="757"/>
        <v>30</v>
      </c>
      <c r="BP801" s="230">
        <f t="shared" si="733"/>
        <v>43</v>
      </c>
      <c r="BQ801" s="235">
        <f t="shared" si="734"/>
        <v>3.2938815789473681</v>
      </c>
      <c r="BR801" s="235" cm="1">
        <f t="array" ref="BR801">$BI801 * IF($AH801&lt;=2,
SUMPRODUCT(INDEX($AR$72:$AT$76,,$AI801), INDEX($AU$72:$BA$76,,$AH801), 1 / ($BB$72:$BB$76*BQ801 + (1-$BB$72:$BB$76)*BM801), N($AQ$72:$AQ$76&gt;$AO801)),
SUMPRODUCT(INDEX($AR$67:$AT$76,,$AI801), INDEX($AU$67:$BA$76,,$AH801), 1 / ($BC$67:$BC$76*BQ801 + (1-$BC$67:$BC$76)*BM801), N($AQ$67:$AQ$76&gt;$AO801))
) / 1000</f>
        <v>0</v>
      </c>
      <c r="BS801" s="232">
        <f t="shared" si="758"/>
        <v>25</v>
      </c>
      <c r="BT801" s="230">
        <f t="shared" si="735"/>
        <v>38</v>
      </c>
      <c r="BU801" s="235">
        <f t="shared" si="736"/>
        <v>3.792954545454545</v>
      </c>
      <c r="BV801" s="235" cm="1">
        <f t="array" ref="BV801">$BI801 * IF($AH801&lt;=2,
SUMPRODUCT(INDEX($AR$67:$AT$71,,$AI801), INDEX($AU$67:$BA$71,,$AH801), 1 / ($BB$67:$BB$71*BU801 + (1-$BB$67:$BB$71)*BQ801), N($AQ$67:$AQ$71&gt;$AO801)),
SUMPRODUCT(INDEX($AR$57:$AT$66,,$AI801), INDEX($AU$57:$BA$66,,$AH801), 1 / ($BC$57:$BC$66*BU801 + (1-$BC$57:$BC$66)*BQ801), N($AQ$57:$AQ$66&gt;$AO801))
) / 1000</f>
        <v>0</v>
      </c>
      <c r="BW801" s="232">
        <f t="shared" si="759"/>
        <v>20</v>
      </c>
      <c r="BX801" s="230">
        <f t="shared" si="737"/>
        <v>33</v>
      </c>
      <c r="BY801" s="235">
        <f t="shared" si="738"/>
        <v>4.4702678571428569</v>
      </c>
      <c r="BZ801" s="235" cm="1">
        <f t="array" ref="BZ801">$BI801 * IF($AH801&lt;=2,
SUMPRODUCT(INDEX($AR$62:$AT$66,,$AI801), INDEX($AU$62:$BA$66,,$AH801), 1 / ($BB$62:$BB$66*BY801 + (1-$BB$62:$BB$66)*BU801), N($AQ$62:$AQ$66&gt;$AO801)),
SUMPRODUCT(INDEX($AR$47:$AT$56,,$AI801), INDEX($AU$47:$BA$56,,$AH801), 1 / ($BC$47:$BC$56*BY801 + (1-$BC$47:$BC$56)*BU801), N($AQ$47:$AQ$56&gt;$AO801))
) / 1000</f>
        <v>0</v>
      </c>
      <c r="CA801" s="235" cm="1">
        <f t="array" ref="CA801">$BI801 * IF($AH801&lt;=2,
SUMPRODUCT(INDEX($AR$23:$AT$61,,$AI801), INDEX($AU$23:$BA$61,,$AH801), 1 / ($BB$23:$BB$61*BY801), N($AQ$23:$AQ$61&gt;$AO801)),
SUMPRODUCT(INDEX($AR$23:$AT$46,,$AI801), INDEX($AU$23:$BA$46,,$AH801), 1 / ($BC$23:$BC$46*BY801), N($AQ$23:$AQ$46&gt;$AO801))
) / 1000</f>
        <v>0</v>
      </c>
      <c r="CB801" s="230">
        <f t="shared" si="739"/>
        <v>0</v>
      </c>
      <c r="CC801" s="238"/>
      <c r="CD801" s="229" cm="1">
        <f t="array" ref="CD801">IF(ISBLANK(Y801), INDEX(Use, $AH801, 4) - AN801*INDEX(Use, $AH801, 6) - (Q801-X801), Y801)</f>
        <v>7</v>
      </c>
      <c r="CE801" s="229">
        <f t="shared" si="740"/>
        <v>32</v>
      </c>
      <c r="CF801" s="230">
        <f t="shared" si="741"/>
        <v>0</v>
      </c>
      <c r="CG801" s="229">
        <v>35</v>
      </c>
      <c r="CH801" s="230">
        <f t="shared" si="742"/>
        <v>48</v>
      </c>
      <c r="CI801" s="235">
        <f t="shared" si="743"/>
        <v>3.0748170731707316</v>
      </c>
      <c r="CJ801" s="235" cm="1">
        <f t="array" ref="CJ801">$BI801 * SUMPRODUCT(INDEX($AR$77:$AT$82,,$AI801),INDEX($AU$77:$BA$82,,$AH801), N($AQ$77:$AQ$82&gt;$AO801)) / CI801 / 1000</f>
        <v>0</v>
      </c>
      <c r="CK801" s="232">
        <f t="shared" si="760"/>
        <v>30</v>
      </c>
      <c r="CL801" s="230">
        <f t="shared" si="744"/>
        <v>43</v>
      </c>
      <c r="CM801" s="235">
        <f t="shared" si="745"/>
        <v>3.5018750000000001</v>
      </c>
      <c r="CN801" s="235" cm="1">
        <f t="array" ref="CN801">$BI801 * IF($AH801&lt;=2,
SUMPRODUCT(INDEX($AR$72:$AT$76,,$AI801), INDEX($AU$72:$BA$76,,$AH801), 1 / ($BB$72:$BB$76*CM801 + (1-$BB$72:$BB$76)*CI801), N($AQ$72:$AQ$76&gt;$AO801)),
SUMPRODUCT(INDEX($AR$67:$AT$76,,$AI801), INDEX($AU$67:$BA$76,,$AH801), 1 / ($BC$67:$BC$76*CM801 + (1-$BC$67:$BC$76)*CI801), N($AQ$67:$AQ$76&gt;$AO801))
) / 1000</f>
        <v>0</v>
      </c>
      <c r="CO801" s="232">
        <f t="shared" si="761"/>
        <v>25</v>
      </c>
      <c r="CP801" s="230">
        <f t="shared" si="746"/>
        <v>38</v>
      </c>
      <c r="CQ801" s="235">
        <f t="shared" si="747"/>
        <v>4.0666935483870965</v>
      </c>
      <c r="CR801" s="235" cm="1">
        <f t="array" ref="CR801">$BI801 * IF($AH801&lt;=2,
SUMPRODUCT(INDEX($AR$67:$AT$71,,$AI801), INDEX($AU$67:$BA$71,,$AH801), 1 / ($BB$67:$BB$71*CQ801 + (1-$BB$67:$BB$71)*CM801), N($AQ$67:$AQ$71&gt;$AO801)),
SUMPRODUCT(INDEX($AR$57:$AT$66,,$AI801), INDEX($AU$57:$BA$66,,$AH801), 1 / ($BC$57:$BC$66*CQ801 + (1-$BC$57:$BC$66)*CM801), N($AQ$57:$AQ$66&gt;$AO801))
) / 1000</f>
        <v>0</v>
      </c>
      <c r="CS801" s="232">
        <f t="shared" si="762"/>
        <v>20</v>
      </c>
      <c r="CT801" s="230">
        <f t="shared" si="748"/>
        <v>33</v>
      </c>
      <c r="CU801" s="235">
        <f t="shared" si="749"/>
        <v>4.8487499999999999</v>
      </c>
      <c r="CV801" s="235" cm="1">
        <f t="array" ref="CV801">$BI801 * IF($AH801&lt;=2,
SUMPRODUCT(INDEX($AR$62:$AT$66,,$AI801), INDEX($AU$62:$BA$66,,$AH801), 1 / ($BB$62:$BB$66*CU801 + (1-$BB$62:$BB$66)*CQ801), N($AQ$62:$AQ$66&gt;$AO801)),
SUMPRODUCT(INDEX($AR$47:$AT$56,,$AI801), INDEX($AU$47:$BA$56,,$AH801), 1 / ($BC$47:$BC$56*CU801 + (1-$BC$47:$BC$56)*CQ801), N($AQ$47:$AQ$56&gt;$AO801))
) / 1000</f>
        <v>0</v>
      </c>
      <c r="CW801" s="235" cm="1">
        <f t="array" ref="CW801">$BI801 * IF($AH801&lt;=2,
SUMPRODUCT(INDEX($AR$23:$AT$61,,$AI801), INDEX($AU$23:$BA$61,,$AH801), 1 / ($BB$23:$BB$61*CU801), N($AQ$23:$AQ$61&gt;$AO801)),
SUMPRODUCT(INDEX($AR$23:$AT$46,,$AI801), INDEX($AU$23:$BA$46,,$AH801), 1 / ($BC$23:$BC$46*CU801), N($AQ$23:$AQ$46&gt;$AO801))
) / 1000</f>
        <v>0</v>
      </c>
      <c r="CX801" s="230">
        <f t="shared" si="750"/>
        <v>0</v>
      </c>
      <c r="CY801" s="238"/>
    </row>
    <row r="802" spans="1:103" s="76" customFormat="1" ht="14.25" customHeight="1" x14ac:dyDescent="0.2">
      <c r="A802" s="231" t="b">
        <f t="shared" si="754"/>
        <v>0</v>
      </c>
      <c r="B802" s="245">
        <v>780</v>
      </c>
      <c r="C802" s="258"/>
      <c r="D802" s="258"/>
      <c r="E802" s="246"/>
      <c r="F802" s="247" t="str">
        <f>IF(ISBLANK(E802), "", VLOOKUP(E802, Z!$A$2:$C$4127, 3, FALSE))</f>
        <v/>
      </c>
      <c r="G802" s="248"/>
      <c r="H802" s="248"/>
      <c r="I802" s="249"/>
      <c r="J802" s="250"/>
      <c r="K802" s="259"/>
      <c r="L802" s="260"/>
      <c r="M802" s="252" t="str" cm="1">
        <f t="array" ref="M802">INDEX(Trad, 53, $A$20)</f>
        <v>Verschmutzt</v>
      </c>
      <c r="N802" s="253"/>
      <c r="O802" s="253"/>
      <c r="P802" s="254"/>
      <c r="Q802" s="251"/>
      <c r="R802" s="251"/>
      <c r="S802" s="264">
        <f t="shared" si="725"/>
        <v>0</v>
      </c>
      <c r="T802" s="252" t="str" cm="1">
        <f t="array" ref="T802">INDEX(Trad, 52, $A$20)</f>
        <v>Sauber</v>
      </c>
      <c r="U802" s="253"/>
      <c r="V802" s="253"/>
      <c r="W802" s="254"/>
      <c r="X802" s="251"/>
      <c r="Y802" s="251"/>
      <c r="Z802" s="264">
        <f t="shared" si="726"/>
        <v>0</v>
      </c>
      <c r="AA802" s="261"/>
      <c r="AB802" s="258"/>
      <c r="AC802" s="246"/>
      <c r="AD802" s="247" t="str">
        <f>IF(ISBLANK(AC802), "", VLOOKUP(AC802, Z!$A$2:$C$4127, 3, FALSE))</f>
        <v/>
      </c>
      <c r="AE802" s="262"/>
      <c r="AF802" s="263">
        <f t="shared" si="727"/>
        <v>0</v>
      </c>
      <c r="AG802" s="238"/>
      <c r="AH802" s="229">
        <f t="shared" si="751"/>
        <v>1</v>
      </c>
      <c r="AI802" s="229">
        <f t="shared" si="752"/>
        <v>1</v>
      </c>
      <c r="AJ802" s="229">
        <f t="shared" si="753"/>
        <v>0</v>
      </c>
      <c r="AK802" s="229">
        <v>0</v>
      </c>
      <c r="AL802" s="229">
        <v>0</v>
      </c>
      <c r="AM802" s="229">
        <v>1</v>
      </c>
      <c r="AN802" s="229">
        <v>0</v>
      </c>
      <c r="AO802" s="229">
        <f t="shared" si="728"/>
        <v>-100</v>
      </c>
      <c r="AP802" s="238"/>
      <c r="AQ802" s="255"/>
      <c r="AR802" s="255"/>
      <c r="AS802" s="256"/>
      <c r="AT802" s="256"/>
      <c r="AU802" s="256"/>
      <c r="AV802" s="256"/>
      <c r="AW802" s="256"/>
      <c r="AX802" s="256"/>
      <c r="AY802" s="256"/>
      <c r="AZ802" s="256"/>
      <c r="BA802" s="256"/>
      <c r="BB802" s="256"/>
      <c r="BC802" s="256"/>
      <c r="BD802" s="238"/>
      <c r="BE802" s="229" cm="1">
        <f t="array" ref="BE802">IF(ISBLANK(R802), INDEX(Use, $AH802, 4) - AM802*INDEX(Use, $AH802, 6), R802)</f>
        <v>5</v>
      </c>
      <c r="BF802" s="229">
        <f t="shared" si="729"/>
        <v>30</v>
      </c>
      <c r="BG802" s="229">
        <f t="shared" si="755"/>
        <v>13</v>
      </c>
      <c r="BH802" s="229">
        <f t="shared" si="756"/>
        <v>0</v>
      </c>
      <c r="BI802" s="234" cm="1">
        <f t="array" ref="BI802">K802/IF($L802&gt;0, INDEX($AU$23:$BA$77, $L802+20, $AH802), 1)</f>
        <v>0</v>
      </c>
      <c r="BJ802" s="230">
        <f t="shared" si="730"/>
        <v>0</v>
      </c>
      <c r="BK802" s="229">
        <v>35</v>
      </c>
      <c r="BL802" s="230">
        <f t="shared" si="731"/>
        <v>48</v>
      </c>
      <c r="BM802" s="235">
        <f t="shared" si="732"/>
        <v>2.9108720930232557</v>
      </c>
      <c r="BN802" s="235" cm="1">
        <f t="array" ref="BN802">$BI802 * SUMPRODUCT(INDEX($AR$77:$AT$82,,$AI802),INDEX($AU$77:$BA$82,,$AH802), N($AQ$77:$AQ$82&gt;$AO802)) / BM802 / 1000</f>
        <v>0</v>
      </c>
      <c r="BO802" s="232">
        <f t="shared" si="757"/>
        <v>30</v>
      </c>
      <c r="BP802" s="230">
        <f t="shared" si="733"/>
        <v>43</v>
      </c>
      <c r="BQ802" s="235">
        <f t="shared" si="734"/>
        <v>3.2938815789473681</v>
      </c>
      <c r="BR802" s="235" cm="1">
        <f t="array" ref="BR802">$BI802 * IF($AH802&lt;=2,
SUMPRODUCT(INDEX($AR$72:$AT$76,,$AI802), INDEX($AU$72:$BA$76,,$AH802), 1 / ($BB$72:$BB$76*BQ802 + (1-$BB$72:$BB$76)*BM802), N($AQ$72:$AQ$76&gt;$AO802)),
SUMPRODUCT(INDEX($AR$67:$AT$76,,$AI802), INDEX($AU$67:$BA$76,,$AH802), 1 / ($BC$67:$BC$76*BQ802 + (1-$BC$67:$BC$76)*BM802), N($AQ$67:$AQ$76&gt;$AO802))
) / 1000</f>
        <v>0</v>
      </c>
      <c r="BS802" s="232">
        <f t="shared" si="758"/>
        <v>25</v>
      </c>
      <c r="BT802" s="230">
        <f t="shared" si="735"/>
        <v>38</v>
      </c>
      <c r="BU802" s="235">
        <f t="shared" si="736"/>
        <v>3.792954545454545</v>
      </c>
      <c r="BV802" s="235" cm="1">
        <f t="array" ref="BV802">$BI802 * IF($AH802&lt;=2,
SUMPRODUCT(INDEX($AR$67:$AT$71,,$AI802), INDEX($AU$67:$BA$71,,$AH802), 1 / ($BB$67:$BB$71*BU802 + (1-$BB$67:$BB$71)*BQ802), N($AQ$67:$AQ$71&gt;$AO802)),
SUMPRODUCT(INDEX($AR$57:$AT$66,,$AI802), INDEX($AU$57:$BA$66,,$AH802), 1 / ($BC$57:$BC$66*BU802 + (1-$BC$57:$BC$66)*BQ802), N($AQ$57:$AQ$66&gt;$AO802))
) / 1000</f>
        <v>0</v>
      </c>
      <c r="BW802" s="232">
        <f t="shared" si="759"/>
        <v>20</v>
      </c>
      <c r="BX802" s="230">
        <f t="shared" si="737"/>
        <v>33</v>
      </c>
      <c r="BY802" s="235">
        <f t="shared" si="738"/>
        <v>4.4702678571428569</v>
      </c>
      <c r="BZ802" s="235" cm="1">
        <f t="array" ref="BZ802">$BI802 * IF($AH802&lt;=2,
SUMPRODUCT(INDEX($AR$62:$AT$66,,$AI802), INDEX($AU$62:$BA$66,,$AH802), 1 / ($BB$62:$BB$66*BY802 + (1-$BB$62:$BB$66)*BU802), N($AQ$62:$AQ$66&gt;$AO802)),
SUMPRODUCT(INDEX($AR$47:$AT$56,,$AI802), INDEX($AU$47:$BA$56,,$AH802), 1 / ($BC$47:$BC$56*BY802 + (1-$BC$47:$BC$56)*BU802), N($AQ$47:$AQ$56&gt;$AO802))
) / 1000</f>
        <v>0</v>
      </c>
      <c r="CA802" s="235" cm="1">
        <f t="array" ref="CA802">$BI802 * IF($AH802&lt;=2,
SUMPRODUCT(INDEX($AR$23:$AT$61,,$AI802), INDEX($AU$23:$BA$61,,$AH802), 1 / ($BB$23:$BB$61*BY802), N($AQ$23:$AQ$61&gt;$AO802)),
SUMPRODUCT(INDEX($AR$23:$AT$46,,$AI802), INDEX($AU$23:$BA$46,,$AH802), 1 / ($BC$23:$BC$46*BY802), N($AQ$23:$AQ$46&gt;$AO802))
) / 1000</f>
        <v>0</v>
      </c>
      <c r="CB802" s="230">
        <f t="shared" si="739"/>
        <v>0</v>
      </c>
      <c r="CC802" s="238"/>
      <c r="CD802" s="229" cm="1">
        <f t="array" ref="CD802">IF(ISBLANK(Y802), INDEX(Use, $AH802, 4) - AN802*INDEX(Use, $AH802, 6) - (Q802-X802), Y802)</f>
        <v>7</v>
      </c>
      <c r="CE802" s="229">
        <f t="shared" si="740"/>
        <v>32</v>
      </c>
      <c r="CF802" s="230">
        <f t="shared" si="741"/>
        <v>0</v>
      </c>
      <c r="CG802" s="229">
        <v>35</v>
      </c>
      <c r="CH802" s="230">
        <f t="shared" si="742"/>
        <v>48</v>
      </c>
      <c r="CI802" s="235">
        <f t="shared" si="743"/>
        <v>3.0748170731707316</v>
      </c>
      <c r="CJ802" s="235" cm="1">
        <f t="array" ref="CJ802">$BI802 * SUMPRODUCT(INDEX($AR$77:$AT$82,,$AI802),INDEX($AU$77:$BA$82,,$AH802), N($AQ$77:$AQ$82&gt;$AO802)) / CI802 / 1000</f>
        <v>0</v>
      </c>
      <c r="CK802" s="232">
        <f t="shared" si="760"/>
        <v>30</v>
      </c>
      <c r="CL802" s="230">
        <f t="shared" si="744"/>
        <v>43</v>
      </c>
      <c r="CM802" s="235">
        <f t="shared" si="745"/>
        <v>3.5018750000000001</v>
      </c>
      <c r="CN802" s="235" cm="1">
        <f t="array" ref="CN802">$BI802 * IF($AH802&lt;=2,
SUMPRODUCT(INDEX($AR$72:$AT$76,,$AI802), INDEX($AU$72:$BA$76,,$AH802), 1 / ($BB$72:$BB$76*CM802 + (1-$BB$72:$BB$76)*CI802), N($AQ$72:$AQ$76&gt;$AO802)),
SUMPRODUCT(INDEX($AR$67:$AT$76,,$AI802), INDEX($AU$67:$BA$76,,$AH802), 1 / ($BC$67:$BC$76*CM802 + (1-$BC$67:$BC$76)*CI802), N($AQ$67:$AQ$76&gt;$AO802))
) / 1000</f>
        <v>0</v>
      </c>
      <c r="CO802" s="232">
        <f t="shared" si="761"/>
        <v>25</v>
      </c>
      <c r="CP802" s="230">
        <f t="shared" si="746"/>
        <v>38</v>
      </c>
      <c r="CQ802" s="235">
        <f t="shared" si="747"/>
        <v>4.0666935483870965</v>
      </c>
      <c r="CR802" s="235" cm="1">
        <f t="array" ref="CR802">$BI802 * IF($AH802&lt;=2,
SUMPRODUCT(INDEX($AR$67:$AT$71,,$AI802), INDEX($AU$67:$BA$71,,$AH802), 1 / ($BB$67:$BB$71*CQ802 + (1-$BB$67:$BB$71)*CM802), N($AQ$67:$AQ$71&gt;$AO802)),
SUMPRODUCT(INDEX($AR$57:$AT$66,,$AI802), INDEX($AU$57:$BA$66,,$AH802), 1 / ($BC$57:$BC$66*CQ802 + (1-$BC$57:$BC$66)*CM802), N($AQ$57:$AQ$66&gt;$AO802))
) / 1000</f>
        <v>0</v>
      </c>
      <c r="CS802" s="232">
        <f t="shared" si="762"/>
        <v>20</v>
      </c>
      <c r="CT802" s="230">
        <f t="shared" si="748"/>
        <v>33</v>
      </c>
      <c r="CU802" s="235">
        <f t="shared" si="749"/>
        <v>4.8487499999999999</v>
      </c>
      <c r="CV802" s="235" cm="1">
        <f t="array" ref="CV802">$BI802 * IF($AH802&lt;=2,
SUMPRODUCT(INDEX($AR$62:$AT$66,,$AI802), INDEX($AU$62:$BA$66,,$AH802), 1 / ($BB$62:$BB$66*CU802 + (1-$BB$62:$BB$66)*CQ802), N($AQ$62:$AQ$66&gt;$AO802)),
SUMPRODUCT(INDEX($AR$47:$AT$56,,$AI802), INDEX($AU$47:$BA$56,,$AH802), 1 / ($BC$47:$BC$56*CU802 + (1-$BC$47:$BC$56)*CQ802), N($AQ$47:$AQ$56&gt;$AO802))
) / 1000</f>
        <v>0</v>
      </c>
      <c r="CW802" s="235" cm="1">
        <f t="array" ref="CW802">$BI802 * IF($AH802&lt;=2,
SUMPRODUCT(INDEX($AR$23:$AT$61,,$AI802), INDEX($AU$23:$BA$61,,$AH802), 1 / ($BB$23:$BB$61*CU802), N($AQ$23:$AQ$61&gt;$AO802)),
SUMPRODUCT(INDEX($AR$23:$AT$46,,$AI802), INDEX($AU$23:$BA$46,,$AH802), 1 / ($BC$23:$BC$46*CU802), N($AQ$23:$AQ$46&gt;$AO802))
) / 1000</f>
        <v>0</v>
      </c>
      <c r="CX802" s="230">
        <f t="shared" si="750"/>
        <v>0</v>
      </c>
      <c r="CY802" s="238"/>
    </row>
    <row r="803" spans="1:103" s="76" customFormat="1" ht="14.25" customHeight="1" x14ac:dyDescent="0.2">
      <c r="A803" s="231" t="b">
        <f t="shared" si="754"/>
        <v>0</v>
      </c>
      <c r="B803" s="245">
        <v>781</v>
      </c>
      <c r="C803" s="258"/>
      <c r="D803" s="258"/>
      <c r="E803" s="246"/>
      <c r="F803" s="247" t="str">
        <f>IF(ISBLANK(E803), "", VLOOKUP(E803, Z!$A$2:$C$4127, 3, FALSE))</f>
        <v/>
      </c>
      <c r="G803" s="248"/>
      <c r="H803" s="248"/>
      <c r="I803" s="249"/>
      <c r="J803" s="250"/>
      <c r="K803" s="259"/>
      <c r="L803" s="260"/>
      <c r="M803" s="252" t="str" cm="1">
        <f t="array" ref="M803">INDEX(Trad, 53, $A$20)</f>
        <v>Verschmutzt</v>
      </c>
      <c r="N803" s="253"/>
      <c r="O803" s="253"/>
      <c r="P803" s="254"/>
      <c r="Q803" s="251"/>
      <c r="R803" s="251"/>
      <c r="S803" s="264">
        <f t="shared" si="725"/>
        <v>0</v>
      </c>
      <c r="T803" s="252" t="str" cm="1">
        <f t="array" ref="T803">INDEX(Trad, 52, $A$20)</f>
        <v>Sauber</v>
      </c>
      <c r="U803" s="253"/>
      <c r="V803" s="253"/>
      <c r="W803" s="254"/>
      <c r="X803" s="251"/>
      <c r="Y803" s="251"/>
      <c r="Z803" s="264">
        <f t="shared" si="726"/>
        <v>0</v>
      </c>
      <c r="AA803" s="261"/>
      <c r="AB803" s="258"/>
      <c r="AC803" s="246"/>
      <c r="AD803" s="247" t="str">
        <f>IF(ISBLANK(AC803), "", VLOOKUP(AC803, Z!$A$2:$C$4127, 3, FALSE))</f>
        <v/>
      </c>
      <c r="AE803" s="262"/>
      <c r="AF803" s="263">
        <f t="shared" si="727"/>
        <v>0</v>
      </c>
      <c r="AG803" s="238"/>
      <c r="AH803" s="229">
        <f t="shared" si="751"/>
        <v>1</v>
      </c>
      <c r="AI803" s="229">
        <f t="shared" si="752"/>
        <v>1</v>
      </c>
      <c r="AJ803" s="229">
        <f t="shared" si="753"/>
        <v>0</v>
      </c>
      <c r="AK803" s="229">
        <v>0</v>
      </c>
      <c r="AL803" s="229">
        <v>0</v>
      </c>
      <c r="AM803" s="229">
        <v>1</v>
      </c>
      <c r="AN803" s="229">
        <v>0</v>
      </c>
      <c r="AO803" s="229">
        <f t="shared" si="728"/>
        <v>-100</v>
      </c>
      <c r="AP803" s="238"/>
      <c r="AQ803" s="255"/>
      <c r="AR803" s="255"/>
      <c r="AS803" s="256"/>
      <c r="AT803" s="256"/>
      <c r="AU803" s="256"/>
      <c r="AV803" s="256"/>
      <c r="AW803" s="256"/>
      <c r="AX803" s="256"/>
      <c r="AY803" s="256"/>
      <c r="AZ803" s="256"/>
      <c r="BA803" s="256"/>
      <c r="BB803" s="256"/>
      <c r="BC803" s="256"/>
      <c r="BD803" s="238"/>
      <c r="BE803" s="229" cm="1">
        <f t="array" ref="BE803">IF(ISBLANK(R803), INDEX(Use, $AH803, 4) - AM803*INDEX(Use, $AH803, 6), R803)</f>
        <v>5</v>
      </c>
      <c r="BF803" s="229">
        <f t="shared" si="729"/>
        <v>30</v>
      </c>
      <c r="BG803" s="229">
        <f t="shared" si="755"/>
        <v>13</v>
      </c>
      <c r="BH803" s="229">
        <f t="shared" si="756"/>
        <v>0</v>
      </c>
      <c r="BI803" s="234" cm="1">
        <f t="array" ref="BI803">K803/IF($L803&gt;0, INDEX($AU$23:$BA$77, $L803+20, $AH803), 1)</f>
        <v>0</v>
      </c>
      <c r="BJ803" s="230">
        <f t="shared" si="730"/>
        <v>0</v>
      </c>
      <c r="BK803" s="229">
        <v>35</v>
      </c>
      <c r="BL803" s="230">
        <f t="shared" si="731"/>
        <v>48</v>
      </c>
      <c r="BM803" s="235">
        <f t="shared" si="732"/>
        <v>2.9108720930232557</v>
      </c>
      <c r="BN803" s="235" cm="1">
        <f t="array" ref="BN803">$BI803 * SUMPRODUCT(INDEX($AR$77:$AT$82,,$AI803),INDEX($AU$77:$BA$82,,$AH803), N($AQ$77:$AQ$82&gt;$AO803)) / BM803 / 1000</f>
        <v>0</v>
      </c>
      <c r="BO803" s="232">
        <f t="shared" si="757"/>
        <v>30</v>
      </c>
      <c r="BP803" s="230">
        <f t="shared" si="733"/>
        <v>43</v>
      </c>
      <c r="BQ803" s="235">
        <f t="shared" si="734"/>
        <v>3.2938815789473681</v>
      </c>
      <c r="BR803" s="235" cm="1">
        <f t="array" ref="BR803">$BI803 * IF($AH803&lt;=2,
SUMPRODUCT(INDEX($AR$72:$AT$76,,$AI803), INDEX($AU$72:$BA$76,,$AH803), 1 / ($BB$72:$BB$76*BQ803 + (1-$BB$72:$BB$76)*BM803), N($AQ$72:$AQ$76&gt;$AO803)),
SUMPRODUCT(INDEX($AR$67:$AT$76,,$AI803), INDEX($AU$67:$BA$76,,$AH803), 1 / ($BC$67:$BC$76*BQ803 + (1-$BC$67:$BC$76)*BM803), N($AQ$67:$AQ$76&gt;$AO803))
) / 1000</f>
        <v>0</v>
      </c>
      <c r="BS803" s="232">
        <f t="shared" si="758"/>
        <v>25</v>
      </c>
      <c r="BT803" s="230">
        <f t="shared" si="735"/>
        <v>38</v>
      </c>
      <c r="BU803" s="235">
        <f t="shared" si="736"/>
        <v>3.792954545454545</v>
      </c>
      <c r="BV803" s="235" cm="1">
        <f t="array" ref="BV803">$BI803 * IF($AH803&lt;=2,
SUMPRODUCT(INDEX($AR$67:$AT$71,,$AI803), INDEX($AU$67:$BA$71,,$AH803), 1 / ($BB$67:$BB$71*BU803 + (1-$BB$67:$BB$71)*BQ803), N($AQ$67:$AQ$71&gt;$AO803)),
SUMPRODUCT(INDEX($AR$57:$AT$66,,$AI803), INDEX($AU$57:$BA$66,,$AH803), 1 / ($BC$57:$BC$66*BU803 + (1-$BC$57:$BC$66)*BQ803), N($AQ$57:$AQ$66&gt;$AO803))
) / 1000</f>
        <v>0</v>
      </c>
      <c r="BW803" s="232">
        <f t="shared" si="759"/>
        <v>20</v>
      </c>
      <c r="BX803" s="230">
        <f t="shared" si="737"/>
        <v>33</v>
      </c>
      <c r="BY803" s="235">
        <f t="shared" si="738"/>
        <v>4.4702678571428569</v>
      </c>
      <c r="BZ803" s="235" cm="1">
        <f t="array" ref="BZ803">$BI803 * IF($AH803&lt;=2,
SUMPRODUCT(INDEX($AR$62:$AT$66,,$AI803), INDEX($AU$62:$BA$66,,$AH803), 1 / ($BB$62:$BB$66*BY803 + (1-$BB$62:$BB$66)*BU803), N($AQ$62:$AQ$66&gt;$AO803)),
SUMPRODUCT(INDEX($AR$47:$AT$56,,$AI803), INDEX($AU$47:$BA$56,,$AH803), 1 / ($BC$47:$BC$56*BY803 + (1-$BC$47:$BC$56)*BU803), N($AQ$47:$AQ$56&gt;$AO803))
) / 1000</f>
        <v>0</v>
      </c>
      <c r="CA803" s="235" cm="1">
        <f t="array" ref="CA803">$BI803 * IF($AH803&lt;=2,
SUMPRODUCT(INDEX($AR$23:$AT$61,,$AI803), INDEX($AU$23:$BA$61,,$AH803), 1 / ($BB$23:$BB$61*BY803), N($AQ$23:$AQ$61&gt;$AO803)),
SUMPRODUCT(INDEX($AR$23:$AT$46,,$AI803), INDEX($AU$23:$BA$46,,$AH803), 1 / ($BC$23:$BC$46*BY803), N($AQ$23:$AQ$46&gt;$AO803))
) / 1000</f>
        <v>0</v>
      </c>
      <c r="CB803" s="230">
        <f t="shared" si="739"/>
        <v>0</v>
      </c>
      <c r="CC803" s="238"/>
      <c r="CD803" s="229" cm="1">
        <f t="array" ref="CD803">IF(ISBLANK(Y803), INDEX(Use, $AH803, 4) - AN803*INDEX(Use, $AH803, 6) - (Q803-X803), Y803)</f>
        <v>7</v>
      </c>
      <c r="CE803" s="229">
        <f t="shared" si="740"/>
        <v>32</v>
      </c>
      <c r="CF803" s="230">
        <f t="shared" si="741"/>
        <v>0</v>
      </c>
      <c r="CG803" s="229">
        <v>35</v>
      </c>
      <c r="CH803" s="230">
        <f t="shared" si="742"/>
        <v>48</v>
      </c>
      <c r="CI803" s="235">
        <f t="shared" si="743"/>
        <v>3.0748170731707316</v>
      </c>
      <c r="CJ803" s="235" cm="1">
        <f t="array" ref="CJ803">$BI803 * SUMPRODUCT(INDEX($AR$77:$AT$82,,$AI803),INDEX($AU$77:$BA$82,,$AH803), N($AQ$77:$AQ$82&gt;$AO803)) / CI803 / 1000</f>
        <v>0</v>
      </c>
      <c r="CK803" s="232">
        <f t="shared" si="760"/>
        <v>30</v>
      </c>
      <c r="CL803" s="230">
        <f t="shared" si="744"/>
        <v>43</v>
      </c>
      <c r="CM803" s="235">
        <f t="shared" si="745"/>
        <v>3.5018750000000001</v>
      </c>
      <c r="CN803" s="235" cm="1">
        <f t="array" ref="CN803">$BI803 * IF($AH803&lt;=2,
SUMPRODUCT(INDEX($AR$72:$AT$76,,$AI803), INDEX($AU$72:$BA$76,,$AH803), 1 / ($BB$72:$BB$76*CM803 + (1-$BB$72:$BB$76)*CI803), N($AQ$72:$AQ$76&gt;$AO803)),
SUMPRODUCT(INDEX($AR$67:$AT$76,,$AI803), INDEX($AU$67:$BA$76,,$AH803), 1 / ($BC$67:$BC$76*CM803 + (1-$BC$67:$BC$76)*CI803), N($AQ$67:$AQ$76&gt;$AO803))
) / 1000</f>
        <v>0</v>
      </c>
      <c r="CO803" s="232">
        <f t="shared" si="761"/>
        <v>25</v>
      </c>
      <c r="CP803" s="230">
        <f t="shared" si="746"/>
        <v>38</v>
      </c>
      <c r="CQ803" s="235">
        <f t="shared" si="747"/>
        <v>4.0666935483870965</v>
      </c>
      <c r="CR803" s="235" cm="1">
        <f t="array" ref="CR803">$BI803 * IF($AH803&lt;=2,
SUMPRODUCT(INDEX($AR$67:$AT$71,,$AI803), INDEX($AU$67:$BA$71,,$AH803), 1 / ($BB$67:$BB$71*CQ803 + (1-$BB$67:$BB$71)*CM803), N($AQ$67:$AQ$71&gt;$AO803)),
SUMPRODUCT(INDEX($AR$57:$AT$66,,$AI803), INDEX($AU$57:$BA$66,,$AH803), 1 / ($BC$57:$BC$66*CQ803 + (1-$BC$57:$BC$66)*CM803), N($AQ$57:$AQ$66&gt;$AO803))
) / 1000</f>
        <v>0</v>
      </c>
      <c r="CS803" s="232">
        <f t="shared" si="762"/>
        <v>20</v>
      </c>
      <c r="CT803" s="230">
        <f t="shared" si="748"/>
        <v>33</v>
      </c>
      <c r="CU803" s="235">
        <f t="shared" si="749"/>
        <v>4.8487499999999999</v>
      </c>
      <c r="CV803" s="235" cm="1">
        <f t="array" ref="CV803">$BI803 * IF($AH803&lt;=2,
SUMPRODUCT(INDEX($AR$62:$AT$66,,$AI803), INDEX($AU$62:$BA$66,,$AH803), 1 / ($BB$62:$BB$66*CU803 + (1-$BB$62:$BB$66)*CQ803), N($AQ$62:$AQ$66&gt;$AO803)),
SUMPRODUCT(INDEX($AR$47:$AT$56,,$AI803), INDEX($AU$47:$BA$56,,$AH803), 1 / ($BC$47:$BC$56*CU803 + (1-$BC$47:$BC$56)*CQ803), N($AQ$47:$AQ$56&gt;$AO803))
) / 1000</f>
        <v>0</v>
      </c>
      <c r="CW803" s="235" cm="1">
        <f t="array" ref="CW803">$BI803 * IF($AH803&lt;=2,
SUMPRODUCT(INDEX($AR$23:$AT$61,,$AI803), INDEX($AU$23:$BA$61,,$AH803), 1 / ($BB$23:$BB$61*CU803), N($AQ$23:$AQ$61&gt;$AO803)),
SUMPRODUCT(INDEX($AR$23:$AT$46,,$AI803), INDEX($AU$23:$BA$46,,$AH803), 1 / ($BC$23:$BC$46*CU803), N($AQ$23:$AQ$46&gt;$AO803))
) / 1000</f>
        <v>0</v>
      </c>
      <c r="CX803" s="230">
        <f t="shared" si="750"/>
        <v>0</v>
      </c>
      <c r="CY803" s="238"/>
    </row>
    <row r="804" spans="1:103" s="76" customFormat="1" ht="14.25" customHeight="1" x14ac:dyDescent="0.2">
      <c r="A804" s="231" t="b">
        <f t="shared" si="754"/>
        <v>0</v>
      </c>
      <c r="B804" s="245">
        <v>782</v>
      </c>
      <c r="C804" s="258"/>
      <c r="D804" s="258"/>
      <c r="E804" s="246"/>
      <c r="F804" s="247" t="str">
        <f>IF(ISBLANK(E804), "", VLOOKUP(E804, Z!$A$2:$C$4127, 3, FALSE))</f>
        <v/>
      </c>
      <c r="G804" s="248"/>
      <c r="H804" s="248"/>
      <c r="I804" s="249"/>
      <c r="J804" s="250"/>
      <c r="K804" s="259"/>
      <c r="L804" s="260"/>
      <c r="M804" s="252" t="str" cm="1">
        <f t="array" ref="M804">INDEX(Trad, 53, $A$20)</f>
        <v>Verschmutzt</v>
      </c>
      <c r="N804" s="253"/>
      <c r="O804" s="253"/>
      <c r="P804" s="254"/>
      <c r="Q804" s="251"/>
      <c r="R804" s="251"/>
      <c r="S804" s="264">
        <f t="shared" si="725"/>
        <v>0</v>
      </c>
      <c r="T804" s="252" t="str" cm="1">
        <f t="array" ref="T804">INDEX(Trad, 52, $A$20)</f>
        <v>Sauber</v>
      </c>
      <c r="U804" s="253"/>
      <c r="V804" s="253"/>
      <c r="W804" s="254"/>
      <c r="X804" s="251"/>
      <c r="Y804" s="251"/>
      <c r="Z804" s="264">
        <f t="shared" si="726"/>
        <v>0</v>
      </c>
      <c r="AA804" s="261"/>
      <c r="AB804" s="258"/>
      <c r="AC804" s="246"/>
      <c r="AD804" s="247" t="str">
        <f>IF(ISBLANK(AC804), "", VLOOKUP(AC804, Z!$A$2:$C$4127, 3, FALSE))</f>
        <v/>
      </c>
      <c r="AE804" s="262"/>
      <c r="AF804" s="263">
        <f t="shared" si="727"/>
        <v>0</v>
      </c>
      <c r="AG804" s="238"/>
      <c r="AH804" s="229">
        <f t="shared" si="751"/>
        <v>1</v>
      </c>
      <c r="AI804" s="229">
        <f t="shared" si="752"/>
        <v>1</v>
      </c>
      <c r="AJ804" s="229">
        <f t="shared" si="753"/>
        <v>0</v>
      </c>
      <c r="AK804" s="229">
        <v>0</v>
      </c>
      <c r="AL804" s="229">
        <v>0</v>
      </c>
      <c r="AM804" s="229">
        <v>1</v>
      </c>
      <c r="AN804" s="229">
        <v>0</v>
      </c>
      <c r="AO804" s="229">
        <f t="shared" si="728"/>
        <v>-100</v>
      </c>
      <c r="AP804" s="238"/>
      <c r="AQ804" s="255"/>
      <c r="AR804" s="255"/>
      <c r="AS804" s="256"/>
      <c r="AT804" s="256"/>
      <c r="AU804" s="256"/>
      <c r="AV804" s="256"/>
      <c r="AW804" s="256"/>
      <c r="AX804" s="256"/>
      <c r="AY804" s="256"/>
      <c r="AZ804" s="256"/>
      <c r="BA804" s="256"/>
      <c r="BB804" s="256"/>
      <c r="BC804" s="256"/>
      <c r="BD804" s="238"/>
      <c r="BE804" s="229" cm="1">
        <f t="array" ref="BE804">IF(ISBLANK(R804), INDEX(Use, $AH804, 4) - AM804*INDEX(Use, $AH804, 6), R804)</f>
        <v>5</v>
      </c>
      <c r="BF804" s="229">
        <f t="shared" si="729"/>
        <v>30</v>
      </c>
      <c r="BG804" s="229">
        <f t="shared" si="755"/>
        <v>13</v>
      </c>
      <c r="BH804" s="229">
        <f t="shared" si="756"/>
        <v>0</v>
      </c>
      <c r="BI804" s="234" cm="1">
        <f t="array" ref="BI804">K804/IF($L804&gt;0, INDEX($AU$23:$BA$77, $L804+20, $AH804), 1)</f>
        <v>0</v>
      </c>
      <c r="BJ804" s="230">
        <f t="shared" si="730"/>
        <v>0</v>
      </c>
      <c r="BK804" s="229">
        <v>35</v>
      </c>
      <c r="BL804" s="230">
        <f t="shared" si="731"/>
        <v>48</v>
      </c>
      <c r="BM804" s="235">
        <f t="shared" si="732"/>
        <v>2.9108720930232557</v>
      </c>
      <c r="BN804" s="235" cm="1">
        <f t="array" ref="BN804">$BI804 * SUMPRODUCT(INDEX($AR$77:$AT$82,,$AI804),INDEX($AU$77:$BA$82,,$AH804), N($AQ$77:$AQ$82&gt;$AO804)) / BM804 / 1000</f>
        <v>0</v>
      </c>
      <c r="BO804" s="232">
        <f t="shared" si="757"/>
        <v>30</v>
      </c>
      <c r="BP804" s="230">
        <f t="shared" si="733"/>
        <v>43</v>
      </c>
      <c r="BQ804" s="235">
        <f t="shared" si="734"/>
        <v>3.2938815789473681</v>
      </c>
      <c r="BR804" s="235" cm="1">
        <f t="array" ref="BR804">$BI804 * IF($AH804&lt;=2,
SUMPRODUCT(INDEX($AR$72:$AT$76,,$AI804), INDEX($AU$72:$BA$76,,$AH804), 1 / ($BB$72:$BB$76*BQ804 + (1-$BB$72:$BB$76)*BM804), N($AQ$72:$AQ$76&gt;$AO804)),
SUMPRODUCT(INDEX($AR$67:$AT$76,,$AI804), INDEX($AU$67:$BA$76,,$AH804), 1 / ($BC$67:$BC$76*BQ804 + (1-$BC$67:$BC$76)*BM804), N($AQ$67:$AQ$76&gt;$AO804))
) / 1000</f>
        <v>0</v>
      </c>
      <c r="BS804" s="232">
        <f t="shared" si="758"/>
        <v>25</v>
      </c>
      <c r="BT804" s="230">
        <f t="shared" si="735"/>
        <v>38</v>
      </c>
      <c r="BU804" s="235">
        <f t="shared" si="736"/>
        <v>3.792954545454545</v>
      </c>
      <c r="BV804" s="235" cm="1">
        <f t="array" ref="BV804">$BI804 * IF($AH804&lt;=2,
SUMPRODUCT(INDEX($AR$67:$AT$71,,$AI804), INDEX($AU$67:$BA$71,,$AH804), 1 / ($BB$67:$BB$71*BU804 + (1-$BB$67:$BB$71)*BQ804), N($AQ$67:$AQ$71&gt;$AO804)),
SUMPRODUCT(INDEX($AR$57:$AT$66,,$AI804), INDEX($AU$57:$BA$66,,$AH804), 1 / ($BC$57:$BC$66*BU804 + (1-$BC$57:$BC$66)*BQ804), N($AQ$57:$AQ$66&gt;$AO804))
) / 1000</f>
        <v>0</v>
      </c>
      <c r="BW804" s="232">
        <f t="shared" si="759"/>
        <v>20</v>
      </c>
      <c r="BX804" s="230">
        <f t="shared" si="737"/>
        <v>33</v>
      </c>
      <c r="BY804" s="235">
        <f t="shared" si="738"/>
        <v>4.4702678571428569</v>
      </c>
      <c r="BZ804" s="235" cm="1">
        <f t="array" ref="BZ804">$BI804 * IF($AH804&lt;=2,
SUMPRODUCT(INDEX($AR$62:$AT$66,,$AI804), INDEX($AU$62:$BA$66,,$AH804), 1 / ($BB$62:$BB$66*BY804 + (1-$BB$62:$BB$66)*BU804), N($AQ$62:$AQ$66&gt;$AO804)),
SUMPRODUCT(INDEX($AR$47:$AT$56,,$AI804), INDEX($AU$47:$BA$56,,$AH804), 1 / ($BC$47:$BC$56*BY804 + (1-$BC$47:$BC$56)*BU804), N($AQ$47:$AQ$56&gt;$AO804))
) / 1000</f>
        <v>0</v>
      </c>
      <c r="CA804" s="235" cm="1">
        <f t="array" ref="CA804">$BI804 * IF($AH804&lt;=2,
SUMPRODUCT(INDEX($AR$23:$AT$61,,$AI804), INDEX($AU$23:$BA$61,,$AH804), 1 / ($BB$23:$BB$61*BY804), N($AQ$23:$AQ$61&gt;$AO804)),
SUMPRODUCT(INDEX($AR$23:$AT$46,,$AI804), INDEX($AU$23:$BA$46,,$AH804), 1 / ($BC$23:$BC$46*BY804), N($AQ$23:$AQ$46&gt;$AO804))
) / 1000</f>
        <v>0</v>
      </c>
      <c r="CB804" s="230">
        <f t="shared" si="739"/>
        <v>0</v>
      </c>
      <c r="CC804" s="238"/>
      <c r="CD804" s="229" cm="1">
        <f t="array" ref="CD804">IF(ISBLANK(Y804), INDEX(Use, $AH804, 4) - AN804*INDEX(Use, $AH804, 6) - (Q804-X804), Y804)</f>
        <v>7</v>
      </c>
      <c r="CE804" s="229">
        <f t="shared" si="740"/>
        <v>32</v>
      </c>
      <c r="CF804" s="230">
        <f t="shared" si="741"/>
        <v>0</v>
      </c>
      <c r="CG804" s="229">
        <v>35</v>
      </c>
      <c r="CH804" s="230">
        <f t="shared" si="742"/>
        <v>48</v>
      </c>
      <c r="CI804" s="235">
        <f t="shared" si="743"/>
        <v>3.0748170731707316</v>
      </c>
      <c r="CJ804" s="235" cm="1">
        <f t="array" ref="CJ804">$BI804 * SUMPRODUCT(INDEX($AR$77:$AT$82,,$AI804),INDEX($AU$77:$BA$82,,$AH804), N($AQ$77:$AQ$82&gt;$AO804)) / CI804 / 1000</f>
        <v>0</v>
      </c>
      <c r="CK804" s="232">
        <f t="shared" si="760"/>
        <v>30</v>
      </c>
      <c r="CL804" s="230">
        <f t="shared" si="744"/>
        <v>43</v>
      </c>
      <c r="CM804" s="235">
        <f t="shared" si="745"/>
        <v>3.5018750000000001</v>
      </c>
      <c r="CN804" s="235" cm="1">
        <f t="array" ref="CN804">$BI804 * IF($AH804&lt;=2,
SUMPRODUCT(INDEX($AR$72:$AT$76,,$AI804), INDEX($AU$72:$BA$76,,$AH804), 1 / ($BB$72:$BB$76*CM804 + (1-$BB$72:$BB$76)*CI804), N($AQ$72:$AQ$76&gt;$AO804)),
SUMPRODUCT(INDEX($AR$67:$AT$76,,$AI804), INDEX($AU$67:$BA$76,,$AH804), 1 / ($BC$67:$BC$76*CM804 + (1-$BC$67:$BC$76)*CI804), N($AQ$67:$AQ$76&gt;$AO804))
) / 1000</f>
        <v>0</v>
      </c>
      <c r="CO804" s="232">
        <f t="shared" si="761"/>
        <v>25</v>
      </c>
      <c r="CP804" s="230">
        <f t="shared" si="746"/>
        <v>38</v>
      </c>
      <c r="CQ804" s="235">
        <f t="shared" si="747"/>
        <v>4.0666935483870965</v>
      </c>
      <c r="CR804" s="235" cm="1">
        <f t="array" ref="CR804">$BI804 * IF($AH804&lt;=2,
SUMPRODUCT(INDEX($AR$67:$AT$71,,$AI804), INDEX($AU$67:$BA$71,,$AH804), 1 / ($BB$67:$BB$71*CQ804 + (1-$BB$67:$BB$71)*CM804), N($AQ$67:$AQ$71&gt;$AO804)),
SUMPRODUCT(INDEX($AR$57:$AT$66,,$AI804), INDEX($AU$57:$BA$66,,$AH804), 1 / ($BC$57:$BC$66*CQ804 + (1-$BC$57:$BC$66)*CM804), N($AQ$57:$AQ$66&gt;$AO804))
) / 1000</f>
        <v>0</v>
      </c>
      <c r="CS804" s="232">
        <f t="shared" si="762"/>
        <v>20</v>
      </c>
      <c r="CT804" s="230">
        <f t="shared" si="748"/>
        <v>33</v>
      </c>
      <c r="CU804" s="235">
        <f t="shared" si="749"/>
        <v>4.8487499999999999</v>
      </c>
      <c r="CV804" s="235" cm="1">
        <f t="array" ref="CV804">$BI804 * IF($AH804&lt;=2,
SUMPRODUCT(INDEX($AR$62:$AT$66,,$AI804), INDEX($AU$62:$BA$66,,$AH804), 1 / ($BB$62:$BB$66*CU804 + (1-$BB$62:$BB$66)*CQ804), N($AQ$62:$AQ$66&gt;$AO804)),
SUMPRODUCT(INDEX($AR$47:$AT$56,,$AI804), INDEX($AU$47:$BA$56,,$AH804), 1 / ($BC$47:$BC$56*CU804 + (1-$BC$47:$BC$56)*CQ804), N($AQ$47:$AQ$56&gt;$AO804))
) / 1000</f>
        <v>0</v>
      </c>
      <c r="CW804" s="235" cm="1">
        <f t="array" ref="CW804">$BI804 * IF($AH804&lt;=2,
SUMPRODUCT(INDEX($AR$23:$AT$61,,$AI804), INDEX($AU$23:$BA$61,,$AH804), 1 / ($BB$23:$BB$61*CU804), N($AQ$23:$AQ$61&gt;$AO804)),
SUMPRODUCT(INDEX($AR$23:$AT$46,,$AI804), INDEX($AU$23:$BA$46,,$AH804), 1 / ($BC$23:$BC$46*CU804), N($AQ$23:$AQ$46&gt;$AO804))
) / 1000</f>
        <v>0</v>
      </c>
      <c r="CX804" s="230">
        <f t="shared" si="750"/>
        <v>0</v>
      </c>
      <c r="CY804" s="238"/>
    </row>
    <row r="805" spans="1:103" s="76" customFormat="1" ht="14.25" customHeight="1" x14ac:dyDescent="0.2">
      <c r="A805" s="231" t="b">
        <f t="shared" si="754"/>
        <v>0</v>
      </c>
      <c r="B805" s="245">
        <v>783</v>
      </c>
      <c r="C805" s="258"/>
      <c r="D805" s="258"/>
      <c r="E805" s="246"/>
      <c r="F805" s="247" t="str">
        <f>IF(ISBLANK(E805), "", VLOOKUP(E805, Z!$A$2:$C$4127, 3, FALSE))</f>
        <v/>
      </c>
      <c r="G805" s="248"/>
      <c r="H805" s="248"/>
      <c r="I805" s="249"/>
      <c r="J805" s="250"/>
      <c r="K805" s="259"/>
      <c r="L805" s="260"/>
      <c r="M805" s="252" t="str" cm="1">
        <f t="array" ref="M805">INDEX(Trad, 53, $A$20)</f>
        <v>Verschmutzt</v>
      </c>
      <c r="N805" s="253"/>
      <c r="O805" s="253"/>
      <c r="P805" s="254"/>
      <c r="Q805" s="251"/>
      <c r="R805" s="251"/>
      <c r="S805" s="264">
        <f t="shared" si="725"/>
        <v>0</v>
      </c>
      <c r="T805" s="252" t="str" cm="1">
        <f t="array" ref="T805">INDEX(Trad, 52, $A$20)</f>
        <v>Sauber</v>
      </c>
      <c r="U805" s="253"/>
      <c r="V805" s="253"/>
      <c r="W805" s="254"/>
      <c r="X805" s="251"/>
      <c r="Y805" s="251"/>
      <c r="Z805" s="264">
        <f t="shared" si="726"/>
        <v>0</v>
      </c>
      <c r="AA805" s="261"/>
      <c r="AB805" s="258"/>
      <c r="AC805" s="246"/>
      <c r="AD805" s="247" t="str">
        <f>IF(ISBLANK(AC805), "", VLOOKUP(AC805, Z!$A$2:$C$4127, 3, FALSE))</f>
        <v/>
      </c>
      <c r="AE805" s="262"/>
      <c r="AF805" s="263">
        <f t="shared" si="727"/>
        <v>0</v>
      </c>
      <c r="AG805" s="238"/>
      <c r="AH805" s="229">
        <f t="shared" si="751"/>
        <v>1</v>
      </c>
      <c r="AI805" s="229">
        <f t="shared" si="752"/>
        <v>1</v>
      </c>
      <c r="AJ805" s="229">
        <f t="shared" si="753"/>
        <v>0</v>
      </c>
      <c r="AK805" s="229">
        <v>0</v>
      </c>
      <c r="AL805" s="229">
        <v>0</v>
      </c>
      <c r="AM805" s="229">
        <v>1</v>
      </c>
      <c r="AN805" s="229">
        <v>0</v>
      </c>
      <c r="AO805" s="229">
        <f t="shared" si="728"/>
        <v>-100</v>
      </c>
      <c r="AP805" s="238"/>
      <c r="AQ805" s="255"/>
      <c r="AR805" s="255"/>
      <c r="AS805" s="256"/>
      <c r="AT805" s="256"/>
      <c r="AU805" s="256"/>
      <c r="AV805" s="256"/>
      <c r="AW805" s="256"/>
      <c r="AX805" s="256"/>
      <c r="AY805" s="256"/>
      <c r="AZ805" s="256"/>
      <c r="BA805" s="256"/>
      <c r="BB805" s="256"/>
      <c r="BC805" s="256"/>
      <c r="BD805" s="238"/>
      <c r="BE805" s="229" cm="1">
        <f t="array" ref="BE805">IF(ISBLANK(R805), INDEX(Use, $AH805, 4) - AM805*INDEX(Use, $AH805, 6), R805)</f>
        <v>5</v>
      </c>
      <c r="BF805" s="229">
        <f t="shared" si="729"/>
        <v>30</v>
      </c>
      <c r="BG805" s="229">
        <f t="shared" si="755"/>
        <v>13</v>
      </c>
      <c r="BH805" s="229">
        <f t="shared" si="756"/>
        <v>0</v>
      </c>
      <c r="BI805" s="234" cm="1">
        <f t="array" ref="BI805">K805/IF($L805&gt;0, INDEX($AU$23:$BA$77, $L805+20, $AH805), 1)</f>
        <v>0</v>
      </c>
      <c r="BJ805" s="230">
        <f t="shared" si="730"/>
        <v>0</v>
      </c>
      <c r="BK805" s="229">
        <v>35</v>
      </c>
      <c r="BL805" s="230">
        <f t="shared" si="731"/>
        <v>48</v>
      </c>
      <c r="BM805" s="235">
        <f t="shared" si="732"/>
        <v>2.9108720930232557</v>
      </c>
      <c r="BN805" s="235" cm="1">
        <f t="array" ref="BN805">$BI805 * SUMPRODUCT(INDEX($AR$77:$AT$82,,$AI805),INDEX($AU$77:$BA$82,,$AH805), N($AQ$77:$AQ$82&gt;$AO805)) / BM805 / 1000</f>
        <v>0</v>
      </c>
      <c r="BO805" s="232">
        <f t="shared" si="757"/>
        <v>30</v>
      </c>
      <c r="BP805" s="230">
        <f t="shared" si="733"/>
        <v>43</v>
      </c>
      <c r="BQ805" s="235">
        <f t="shared" si="734"/>
        <v>3.2938815789473681</v>
      </c>
      <c r="BR805" s="235" cm="1">
        <f t="array" ref="BR805">$BI805 * IF($AH805&lt;=2,
SUMPRODUCT(INDEX($AR$72:$AT$76,,$AI805), INDEX($AU$72:$BA$76,,$AH805), 1 / ($BB$72:$BB$76*BQ805 + (1-$BB$72:$BB$76)*BM805), N($AQ$72:$AQ$76&gt;$AO805)),
SUMPRODUCT(INDEX($AR$67:$AT$76,,$AI805), INDEX($AU$67:$BA$76,,$AH805), 1 / ($BC$67:$BC$76*BQ805 + (1-$BC$67:$BC$76)*BM805), N($AQ$67:$AQ$76&gt;$AO805))
) / 1000</f>
        <v>0</v>
      </c>
      <c r="BS805" s="232">
        <f t="shared" si="758"/>
        <v>25</v>
      </c>
      <c r="BT805" s="230">
        <f t="shared" si="735"/>
        <v>38</v>
      </c>
      <c r="BU805" s="235">
        <f t="shared" si="736"/>
        <v>3.792954545454545</v>
      </c>
      <c r="BV805" s="235" cm="1">
        <f t="array" ref="BV805">$BI805 * IF($AH805&lt;=2,
SUMPRODUCT(INDEX($AR$67:$AT$71,,$AI805), INDEX($AU$67:$BA$71,,$AH805), 1 / ($BB$67:$BB$71*BU805 + (1-$BB$67:$BB$71)*BQ805), N($AQ$67:$AQ$71&gt;$AO805)),
SUMPRODUCT(INDEX($AR$57:$AT$66,,$AI805), INDEX($AU$57:$BA$66,,$AH805), 1 / ($BC$57:$BC$66*BU805 + (1-$BC$57:$BC$66)*BQ805), N($AQ$57:$AQ$66&gt;$AO805))
) / 1000</f>
        <v>0</v>
      </c>
      <c r="BW805" s="232">
        <f t="shared" si="759"/>
        <v>20</v>
      </c>
      <c r="BX805" s="230">
        <f t="shared" si="737"/>
        <v>33</v>
      </c>
      <c r="BY805" s="235">
        <f t="shared" si="738"/>
        <v>4.4702678571428569</v>
      </c>
      <c r="BZ805" s="235" cm="1">
        <f t="array" ref="BZ805">$BI805 * IF($AH805&lt;=2,
SUMPRODUCT(INDEX($AR$62:$AT$66,,$AI805), INDEX($AU$62:$BA$66,,$AH805), 1 / ($BB$62:$BB$66*BY805 + (1-$BB$62:$BB$66)*BU805), N($AQ$62:$AQ$66&gt;$AO805)),
SUMPRODUCT(INDEX($AR$47:$AT$56,,$AI805), INDEX($AU$47:$BA$56,,$AH805), 1 / ($BC$47:$BC$56*BY805 + (1-$BC$47:$BC$56)*BU805), N($AQ$47:$AQ$56&gt;$AO805))
) / 1000</f>
        <v>0</v>
      </c>
      <c r="CA805" s="235" cm="1">
        <f t="array" ref="CA805">$BI805 * IF($AH805&lt;=2,
SUMPRODUCT(INDEX($AR$23:$AT$61,,$AI805), INDEX($AU$23:$BA$61,,$AH805), 1 / ($BB$23:$BB$61*BY805), N($AQ$23:$AQ$61&gt;$AO805)),
SUMPRODUCT(INDEX($AR$23:$AT$46,,$AI805), INDEX($AU$23:$BA$46,,$AH805), 1 / ($BC$23:$BC$46*BY805), N($AQ$23:$AQ$46&gt;$AO805))
) / 1000</f>
        <v>0</v>
      </c>
      <c r="CB805" s="230">
        <f t="shared" si="739"/>
        <v>0</v>
      </c>
      <c r="CC805" s="238"/>
      <c r="CD805" s="229" cm="1">
        <f t="array" ref="CD805">IF(ISBLANK(Y805), INDEX(Use, $AH805, 4) - AN805*INDEX(Use, $AH805, 6) - (Q805-X805), Y805)</f>
        <v>7</v>
      </c>
      <c r="CE805" s="229">
        <f t="shared" si="740"/>
        <v>32</v>
      </c>
      <c r="CF805" s="230">
        <f t="shared" si="741"/>
        <v>0</v>
      </c>
      <c r="CG805" s="229">
        <v>35</v>
      </c>
      <c r="CH805" s="230">
        <f t="shared" si="742"/>
        <v>48</v>
      </c>
      <c r="CI805" s="235">
        <f t="shared" si="743"/>
        <v>3.0748170731707316</v>
      </c>
      <c r="CJ805" s="235" cm="1">
        <f t="array" ref="CJ805">$BI805 * SUMPRODUCT(INDEX($AR$77:$AT$82,,$AI805),INDEX($AU$77:$BA$82,,$AH805), N($AQ$77:$AQ$82&gt;$AO805)) / CI805 / 1000</f>
        <v>0</v>
      </c>
      <c r="CK805" s="232">
        <f t="shared" si="760"/>
        <v>30</v>
      </c>
      <c r="CL805" s="230">
        <f t="shared" si="744"/>
        <v>43</v>
      </c>
      <c r="CM805" s="235">
        <f t="shared" si="745"/>
        <v>3.5018750000000001</v>
      </c>
      <c r="CN805" s="235" cm="1">
        <f t="array" ref="CN805">$BI805 * IF($AH805&lt;=2,
SUMPRODUCT(INDEX($AR$72:$AT$76,,$AI805), INDEX($AU$72:$BA$76,,$AH805), 1 / ($BB$72:$BB$76*CM805 + (1-$BB$72:$BB$76)*CI805), N($AQ$72:$AQ$76&gt;$AO805)),
SUMPRODUCT(INDEX($AR$67:$AT$76,,$AI805), INDEX($AU$67:$BA$76,,$AH805), 1 / ($BC$67:$BC$76*CM805 + (1-$BC$67:$BC$76)*CI805), N($AQ$67:$AQ$76&gt;$AO805))
) / 1000</f>
        <v>0</v>
      </c>
      <c r="CO805" s="232">
        <f t="shared" si="761"/>
        <v>25</v>
      </c>
      <c r="CP805" s="230">
        <f t="shared" si="746"/>
        <v>38</v>
      </c>
      <c r="CQ805" s="235">
        <f t="shared" si="747"/>
        <v>4.0666935483870965</v>
      </c>
      <c r="CR805" s="235" cm="1">
        <f t="array" ref="CR805">$BI805 * IF($AH805&lt;=2,
SUMPRODUCT(INDEX($AR$67:$AT$71,,$AI805), INDEX($AU$67:$BA$71,,$AH805), 1 / ($BB$67:$BB$71*CQ805 + (1-$BB$67:$BB$71)*CM805), N($AQ$67:$AQ$71&gt;$AO805)),
SUMPRODUCT(INDEX($AR$57:$AT$66,,$AI805), INDEX($AU$57:$BA$66,,$AH805), 1 / ($BC$57:$BC$66*CQ805 + (1-$BC$57:$BC$66)*CM805), N($AQ$57:$AQ$66&gt;$AO805))
) / 1000</f>
        <v>0</v>
      </c>
      <c r="CS805" s="232">
        <f t="shared" si="762"/>
        <v>20</v>
      </c>
      <c r="CT805" s="230">
        <f t="shared" si="748"/>
        <v>33</v>
      </c>
      <c r="CU805" s="235">
        <f t="shared" si="749"/>
        <v>4.8487499999999999</v>
      </c>
      <c r="CV805" s="235" cm="1">
        <f t="array" ref="CV805">$BI805 * IF($AH805&lt;=2,
SUMPRODUCT(INDEX($AR$62:$AT$66,,$AI805), INDEX($AU$62:$BA$66,,$AH805), 1 / ($BB$62:$BB$66*CU805 + (1-$BB$62:$BB$66)*CQ805), N($AQ$62:$AQ$66&gt;$AO805)),
SUMPRODUCT(INDEX($AR$47:$AT$56,,$AI805), INDEX($AU$47:$BA$56,,$AH805), 1 / ($BC$47:$BC$56*CU805 + (1-$BC$47:$BC$56)*CQ805), N($AQ$47:$AQ$56&gt;$AO805))
) / 1000</f>
        <v>0</v>
      </c>
      <c r="CW805" s="235" cm="1">
        <f t="array" ref="CW805">$BI805 * IF($AH805&lt;=2,
SUMPRODUCT(INDEX($AR$23:$AT$61,,$AI805), INDEX($AU$23:$BA$61,,$AH805), 1 / ($BB$23:$BB$61*CU805), N($AQ$23:$AQ$61&gt;$AO805)),
SUMPRODUCT(INDEX($AR$23:$AT$46,,$AI805), INDEX($AU$23:$BA$46,,$AH805), 1 / ($BC$23:$BC$46*CU805), N($AQ$23:$AQ$46&gt;$AO805))
) / 1000</f>
        <v>0</v>
      </c>
      <c r="CX805" s="230">
        <f t="shared" si="750"/>
        <v>0</v>
      </c>
      <c r="CY805" s="238"/>
    </row>
    <row r="806" spans="1:103" s="76" customFormat="1" ht="14.25" customHeight="1" x14ac:dyDescent="0.2">
      <c r="A806" s="231" t="b">
        <f t="shared" si="754"/>
        <v>0</v>
      </c>
      <c r="B806" s="245">
        <v>784</v>
      </c>
      <c r="C806" s="258"/>
      <c r="D806" s="258"/>
      <c r="E806" s="246"/>
      <c r="F806" s="247" t="str">
        <f>IF(ISBLANK(E806), "", VLOOKUP(E806, Z!$A$2:$C$4127, 3, FALSE))</f>
        <v/>
      </c>
      <c r="G806" s="248"/>
      <c r="H806" s="248"/>
      <c r="I806" s="249"/>
      <c r="J806" s="250"/>
      <c r="K806" s="259"/>
      <c r="L806" s="260"/>
      <c r="M806" s="252" t="str" cm="1">
        <f t="array" ref="M806">INDEX(Trad, 53, $A$20)</f>
        <v>Verschmutzt</v>
      </c>
      <c r="N806" s="253"/>
      <c r="O806" s="253"/>
      <c r="P806" s="254"/>
      <c r="Q806" s="251"/>
      <c r="R806" s="251"/>
      <c r="S806" s="264">
        <f t="shared" si="725"/>
        <v>0</v>
      </c>
      <c r="T806" s="252" t="str" cm="1">
        <f t="array" ref="T806">INDEX(Trad, 52, $A$20)</f>
        <v>Sauber</v>
      </c>
      <c r="U806" s="253"/>
      <c r="V806" s="253"/>
      <c r="W806" s="254"/>
      <c r="X806" s="251"/>
      <c r="Y806" s="251"/>
      <c r="Z806" s="264">
        <f t="shared" si="726"/>
        <v>0</v>
      </c>
      <c r="AA806" s="261"/>
      <c r="AB806" s="258"/>
      <c r="AC806" s="246"/>
      <c r="AD806" s="247" t="str">
        <f>IF(ISBLANK(AC806), "", VLOOKUP(AC806, Z!$A$2:$C$4127, 3, FALSE))</f>
        <v/>
      </c>
      <c r="AE806" s="262"/>
      <c r="AF806" s="263">
        <f t="shared" si="727"/>
        <v>0</v>
      </c>
      <c r="AG806" s="238"/>
      <c r="AH806" s="229">
        <f t="shared" si="751"/>
        <v>1</v>
      </c>
      <c r="AI806" s="229">
        <f t="shared" si="752"/>
        <v>1</v>
      </c>
      <c r="AJ806" s="229">
        <f t="shared" si="753"/>
        <v>0</v>
      </c>
      <c r="AK806" s="229">
        <v>0</v>
      </c>
      <c r="AL806" s="229">
        <v>0</v>
      </c>
      <c r="AM806" s="229">
        <v>1</v>
      </c>
      <c r="AN806" s="229">
        <v>0</v>
      </c>
      <c r="AO806" s="229">
        <f t="shared" si="728"/>
        <v>-100</v>
      </c>
      <c r="AP806" s="238"/>
      <c r="AQ806" s="255"/>
      <c r="AR806" s="255"/>
      <c r="AS806" s="256"/>
      <c r="AT806" s="256"/>
      <c r="AU806" s="256"/>
      <c r="AV806" s="256"/>
      <c r="AW806" s="256"/>
      <c r="AX806" s="256"/>
      <c r="AY806" s="256"/>
      <c r="AZ806" s="256"/>
      <c r="BA806" s="256"/>
      <c r="BB806" s="256"/>
      <c r="BC806" s="256"/>
      <c r="BD806" s="238"/>
      <c r="BE806" s="229" cm="1">
        <f t="array" ref="BE806">IF(ISBLANK(R806), INDEX(Use, $AH806, 4) - AM806*INDEX(Use, $AH806, 6), R806)</f>
        <v>5</v>
      </c>
      <c r="BF806" s="229">
        <f t="shared" si="729"/>
        <v>30</v>
      </c>
      <c r="BG806" s="229">
        <f t="shared" si="755"/>
        <v>13</v>
      </c>
      <c r="BH806" s="229">
        <f t="shared" si="756"/>
        <v>0</v>
      </c>
      <c r="BI806" s="234" cm="1">
        <f t="array" ref="BI806">K806/IF($L806&gt;0, INDEX($AU$23:$BA$77, $L806+20, $AH806), 1)</f>
        <v>0</v>
      </c>
      <c r="BJ806" s="230">
        <f t="shared" si="730"/>
        <v>0</v>
      </c>
      <c r="BK806" s="229">
        <v>35</v>
      </c>
      <c r="BL806" s="230">
        <f t="shared" si="731"/>
        <v>48</v>
      </c>
      <c r="BM806" s="235">
        <f t="shared" si="732"/>
        <v>2.9108720930232557</v>
      </c>
      <c r="BN806" s="235" cm="1">
        <f t="array" ref="BN806">$BI806 * SUMPRODUCT(INDEX($AR$77:$AT$82,,$AI806),INDEX($AU$77:$BA$82,,$AH806), N($AQ$77:$AQ$82&gt;$AO806)) / BM806 / 1000</f>
        <v>0</v>
      </c>
      <c r="BO806" s="232">
        <f t="shared" si="757"/>
        <v>30</v>
      </c>
      <c r="BP806" s="230">
        <f t="shared" si="733"/>
        <v>43</v>
      </c>
      <c r="BQ806" s="235">
        <f t="shared" si="734"/>
        <v>3.2938815789473681</v>
      </c>
      <c r="BR806" s="235" cm="1">
        <f t="array" ref="BR806">$BI806 * IF($AH806&lt;=2,
SUMPRODUCT(INDEX($AR$72:$AT$76,,$AI806), INDEX($AU$72:$BA$76,,$AH806), 1 / ($BB$72:$BB$76*BQ806 + (1-$BB$72:$BB$76)*BM806), N($AQ$72:$AQ$76&gt;$AO806)),
SUMPRODUCT(INDEX($AR$67:$AT$76,,$AI806), INDEX($AU$67:$BA$76,,$AH806), 1 / ($BC$67:$BC$76*BQ806 + (1-$BC$67:$BC$76)*BM806), N($AQ$67:$AQ$76&gt;$AO806))
) / 1000</f>
        <v>0</v>
      </c>
      <c r="BS806" s="232">
        <f t="shared" si="758"/>
        <v>25</v>
      </c>
      <c r="BT806" s="230">
        <f t="shared" si="735"/>
        <v>38</v>
      </c>
      <c r="BU806" s="235">
        <f t="shared" si="736"/>
        <v>3.792954545454545</v>
      </c>
      <c r="BV806" s="235" cm="1">
        <f t="array" ref="BV806">$BI806 * IF($AH806&lt;=2,
SUMPRODUCT(INDEX($AR$67:$AT$71,,$AI806), INDEX($AU$67:$BA$71,,$AH806), 1 / ($BB$67:$BB$71*BU806 + (1-$BB$67:$BB$71)*BQ806), N($AQ$67:$AQ$71&gt;$AO806)),
SUMPRODUCT(INDEX($AR$57:$AT$66,,$AI806), INDEX($AU$57:$BA$66,,$AH806), 1 / ($BC$57:$BC$66*BU806 + (1-$BC$57:$BC$66)*BQ806), N($AQ$57:$AQ$66&gt;$AO806))
) / 1000</f>
        <v>0</v>
      </c>
      <c r="BW806" s="232">
        <f t="shared" si="759"/>
        <v>20</v>
      </c>
      <c r="BX806" s="230">
        <f t="shared" si="737"/>
        <v>33</v>
      </c>
      <c r="BY806" s="235">
        <f t="shared" si="738"/>
        <v>4.4702678571428569</v>
      </c>
      <c r="BZ806" s="235" cm="1">
        <f t="array" ref="BZ806">$BI806 * IF($AH806&lt;=2,
SUMPRODUCT(INDEX($AR$62:$AT$66,,$AI806), INDEX($AU$62:$BA$66,,$AH806), 1 / ($BB$62:$BB$66*BY806 + (1-$BB$62:$BB$66)*BU806), N($AQ$62:$AQ$66&gt;$AO806)),
SUMPRODUCT(INDEX($AR$47:$AT$56,,$AI806), INDEX($AU$47:$BA$56,,$AH806), 1 / ($BC$47:$BC$56*BY806 + (1-$BC$47:$BC$56)*BU806), N($AQ$47:$AQ$56&gt;$AO806))
) / 1000</f>
        <v>0</v>
      </c>
      <c r="CA806" s="235" cm="1">
        <f t="array" ref="CA806">$BI806 * IF($AH806&lt;=2,
SUMPRODUCT(INDEX($AR$23:$AT$61,,$AI806), INDEX($AU$23:$BA$61,,$AH806), 1 / ($BB$23:$BB$61*BY806), N($AQ$23:$AQ$61&gt;$AO806)),
SUMPRODUCT(INDEX($AR$23:$AT$46,,$AI806), INDEX($AU$23:$BA$46,,$AH806), 1 / ($BC$23:$BC$46*BY806), N($AQ$23:$AQ$46&gt;$AO806))
) / 1000</f>
        <v>0</v>
      </c>
      <c r="CB806" s="230">
        <f t="shared" si="739"/>
        <v>0</v>
      </c>
      <c r="CC806" s="238"/>
      <c r="CD806" s="229" cm="1">
        <f t="array" ref="CD806">IF(ISBLANK(Y806), INDEX(Use, $AH806, 4) - AN806*INDEX(Use, $AH806, 6) - (Q806-X806), Y806)</f>
        <v>7</v>
      </c>
      <c r="CE806" s="229">
        <f t="shared" si="740"/>
        <v>32</v>
      </c>
      <c r="CF806" s="230">
        <f t="shared" si="741"/>
        <v>0</v>
      </c>
      <c r="CG806" s="229">
        <v>35</v>
      </c>
      <c r="CH806" s="230">
        <f t="shared" si="742"/>
        <v>48</v>
      </c>
      <c r="CI806" s="235">
        <f t="shared" si="743"/>
        <v>3.0748170731707316</v>
      </c>
      <c r="CJ806" s="235" cm="1">
        <f t="array" ref="CJ806">$BI806 * SUMPRODUCT(INDEX($AR$77:$AT$82,,$AI806),INDEX($AU$77:$BA$82,,$AH806), N($AQ$77:$AQ$82&gt;$AO806)) / CI806 / 1000</f>
        <v>0</v>
      </c>
      <c r="CK806" s="232">
        <f t="shared" si="760"/>
        <v>30</v>
      </c>
      <c r="CL806" s="230">
        <f t="shared" si="744"/>
        <v>43</v>
      </c>
      <c r="CM806" s="235">
        <f t="shared" si="745"/>
        <v>3.5018750000000001</v>
      </c>
      <c r="CN806" s="235" cm="1">
        <f t="array" ref="CN806">$BI806 * IF($AH806&lt;=2,
SUMPRODUCT(INDEX($AR$72:$AT$76,,$AI806), INDEX($AU$72:$BA$76,,$AH806), 1 / ($BB$72:$BB$76*CM806 + (1-$BB$72:$BB$76)*CI806), N($AQ$72:$AQ$76&gt;$AO806)),
SUMPRODUCT(INDEX($AR$67:$AT$76,,$AI806), INDEX($AU$67:$BA$76,,$AH806), 1 / ($BC$67:$BC$76*CM806 + (1-$BC$67:$BC$76)*CI806), N($AQ$67:$AQ$76&gt;$AO806))
) / 1000</f>
        <v>0</v>
      </c>
      <c r="CO806" s="232">
        <f t="shared" si="761"/>
        <v>25</v>
      </c>
      <c r="CP806" s="230">
        <f t="shared" si="746"/>
        <v>38</v>
      </c>
      <c r="CQ806" s="235">
        <f t="shared" si="747"/>
        <v>4.0666935483870965</v>
      </c>
      <c r="CR806" s="235" cm="1">
        <f t="array" ref="CR806">$BI806 * IF($AH806&lt;=2,
SUMPRODUCT(INDEX($AR$67:$AT$71,,$AI806), INDEX($AU$67:$BA$71,,$AH806), 1 / ($BB$67:$BB$71*CQ806 + (1-$BB$67:$BB$71)*CM806), N($AQ$67:$AQ$71&gt;$AO806)),
SUMPRODUCT(INDEX($AR$57:$AT$66,,$AI806), INDEX($AU$57:$BA$66,,$AH806), 1 / ($BC$57:$BC$66*CQ806 + (1-$BC$57:$BC$66)*CM806), N($AQ$57:$AQ$66&gt;$AO806))
) / 1000</f>
        <v>0</v>
      </c>
      <c r="CS806" s="232">
        <f t="shared" si="762"/>
        <v>20</v>
      </c>
      <c r="CT806" s="230">
        <f t="shared" si="748"/>
        <v>33</v>
      </c>
      <c r="CU806" s="235">
        <f t="shared" si="749"/>
        <v>4.8487499999999999</v>
      </c>
      <c r="CV806" s="235" cm="1">
        <f t="array" ref="CV806">$BI806 * IF($AH806&lt;=2,
SUMPRODUCT(INDEX($AR$62:$AT$66,,$AI806), INDEX($AU$62:$BA$66,,$AH806), 1 / ($BB$62:$BB$66*CU806 + (1-$BB$62:$BB$66)*CQ806), N($AQ$62:$AQ$66&gt;$AO806)),
SUMPRODUCT(INDEX($AR$47:$AT$56,,$AI806), INDEX($AU$47:$BA$56,,$AH806), 1 / ($BC$47:$BC$56*CU806 + (1-$BC$47:$BC$56)*CQ806), N($AQ$47:$AQ$56&gt;$AO806))
) / 1000</f>
        <v>0</v>
      </c>
      <c r="CW806" s="235" cm="1">
        <f t="array" ref="CW806">$BI806 * IF($AH806&lt;=2,
SUMPRODUCT(INDEX($AR$23:$AT$61,,$AI806), INDEX($AU$23:$BA$61,,$AH806), 1 / ($BB$23:$BB$61*CU806), N($AQ$23:$AQ$61&gt;$AO806)),
SUMPRODUCT(INDEX($AR$23:$AT$46,,$AI806), INDEX($AU$23:$BA$46,,$AH806), 1 / ($BC$23:$BC$46*CU806), N($AQ$23:$AQ$46&gt;$AO806))
) / 1000</f>
        <v>0</v>
      </c>
      <c r="CX806" s="230">
        <f t="shared" si="750"/>
        <v>0</v>
      </c>
      <c r="CY806" s="238"/>
    </row>
    <row r="807" spans="1:103" s="76" customFormat="1" ht="14.25" customHeight="1" x14ac:dyDescent="0.2">
      <c r="A807" s="231" t="b">
        <f t="shared" si="754"/>
        <v>0</v>
      </c>
      <c r="B807" s="245">
        <v>785</v>
      </c>
      <c r="C807" s="258"/>
      <c r="D807" s="258"/>
      <c r="E807" s="246"/>
      <c r="F807" s="247" t="str">
        <f>IF(ISBLANK(E807), "", VLOOKUP(E807, Z!$A$2:$C$4127, 3, FALSE))</f>
        <v/>
      </c>
      <c r="G807" s="248"/>
      <c r="H807" s="248"/>
      <c r="I807" s="249"/>
      <c r="J807" s="250"/>
      <c r="K807" s="259"/>
      <c r="L807" s="260"/>
      <c r="M807" s="252" t="str" cm="1">
        <f t="array" ref="M807">INDEX(Trad, 53, $A$20)</f>
        <v>Verschmutzt</v>
      </c>
      <c r="N807" s="253"/>
      <c r="O807" s="253"/>
      <c r="P807" s="254"/>
      <c r="Q807" s="251"/>
      <c r="R807" s="251"/>
      <c r="S807" s="264">
        <f t="shared" si="725"/>
        <v>0</v>
      </c>
      <c r="T807" s="252" t="str" cm="1">
        <f t="array" ref="T807">INDEX(Trad, 52, $A$20)</f>
        <v>Sauber</v>
      </c>
      <c r="U807" s="253"/>
      <c r="V807" s="253"/>
      <c r="W807" s="254"/>
      <c r="X807" s="251"/>
      <c r="Y807" s="251"/>
      <c r="Z807" s="264">
        <f t="shared" si="726"/>
        <v>0</v>
      </c>
      <c r="AA807" s="261"/>
      <c r="AB807" s="258"/>
      <c r="AC807" s="246"/>
      <c r="AD807" s="247" t="str">
        <f>IF(ISBLANK(AC807), "", VLOOKUP(AC807, Z!$A$2:$C$4127, 3, FALSE))</f>
        <v/>
      </c>
      <c r="AE807" s="262"/>
      <c r="AF807" s="263">
        <f t="shared" si="727"/>
        <v>0</v>
      </c>
      <c r="AG807" s="238"/>
      <c r="AH807" s="229">
        <f t="shared" si="751"/>
        <v>1</v>
      </c>
      <c r="AI807" s="229">
        <f t="shared" si="752"/>
        <v>1</v>
      </c>
      <c r="AJ807" s="229">
        <f t="shared" si="753"/>
        <v>0</v>
      </c>
      <c r="AK807" s="229">
        <v>0</v>
      </c>
      <c r="AL807" s="229">
        <v>0</v>
      </c>
      <c r="AM807" s="229">
        <v>1</v>
      </c>
      <c r="AN807" s="229">
        <v>0</v>
      </c>
      <c r="AO807" s="229">
        <f t="shared" si="728"/>
        <v>-100</v>
      </c>
      <c r="AP807" s="238"/>
      <c r="AQ807" s="255"/>
      <c r="AR807" s="255"/>
      <c r="AS807" s="256"/>
      <c r="AT807" s="256"/>
      <c r="AU807" s="256"/>
      <c r="AV807" s="256"/>
      <c r="AW807" s="256"/>
      <c r="AX807" s="256"/>
      <c r="AY807" s="256"/>
      <c r="AZ807" s="256"/>
      <c r="BA807" s="256"/>
      <c r="BB807" s="256"/>
      <c r="BC807" s="256"/>
      <c r="BD807" s="238"/>
      <c r="BE807" s="229" cm="1">
        <f t="array" ref="BE807">IF(ISBLANK(R807), INDEX(Use, $AH807, 4) - AM807*INDEX(Use, $AH807, 6), R807)</f>
        <v>5</v>
      </c>
      <c r="BF807" s="229">
        <f t="shared" si="729"/>
        <v>30</v>
      </c>
      <c r="BG807" s="229">
        <f t="shared" si="755"/>
        <v>13</v>
      </c>
      <c r="BH807" s="229">
        <f t="shared" si="756"/>
        <v>0</v>
      </c>
      <c r="BI807" s="234" cm="1">
        <f t="array" ref="BI807">K807/IF($L807&gt;0, INDEX($AU$23:$BA$77, $L807+20, $AH807), 1)</f>
        <v>0</v>
      </c>
      <c r="BJ807" s="230">
        <f t="shared" si="730"/>
        <v>0</v>
      </c>
      <c r="BK807" s="229">
        <v>35</v>
      </c>
      <c r="BL807" s="230">
        <f t="shared" si="731"/>
        <v>48</v>
      </c>
      <c r="BM807" s="235">
        <f t="shared" si="732"/>
        <v>2.9108720930232557</v>
      </c>
      <c r="BN807" s="235" cm="1">
        <f t="array" ref="BN807">$BI807 * SUMPRODUCT(INDEX($AR$77:$AT$82,,$AI807),INDEX($AU$77:$BA$82,,$AH807), N($AQ$77:$AQ$82&gt;$AO807)) / BM807 / 1000</f>
        <v>0</v>
      </c>
      <c r="BO807" s="232">
        <f t="shared" si="757"/>
        <v>30</v>
      </c>
      <c r="BP807" s="230">
        <f t="shared" si="733"/>
        <v>43</v>
      </c>
      <c r="BQ807" s="235">
        <f t="shared" si="734"/>
        <v>3.2938815789473681</v>
      </c>
      <c r="BR807" s="235" cm="1">
        <f t="array" ref="BR807">$BI807 * IF($AH807&lt;=2,
SUMPRODUCT(INDEX($AR$72:$AT$76,,$AI807), INDEX($AU$72:$BA$76,,$AH807), 1 / ($BB$72:$BB$76*BQ807 + (1-$BB$72:$BB$76)*BM807), N($AQ$72:$AQ$76&gt;$AO807)),
SUMPRODUCT(INDEX($AR$67:$AT$76,,$AI807), INDEX($AU$67:$BA$76,,$AH807), 1 / ($BC$67:$BC$76*BQ807 + (1-$BC$67:$BC$76)*BM807), N($AQ$67:$AQ$76&gt;$AO807))
) / 1000</f>
        <v>0</v>
      </c>
      <c r="BS807" s="232">
        <f t="shared" si="758"/>
        <v>25</v>
      </c>
      <c r="BT807" s="230">
        <f t="shared" si="735"/>
        <v>38</v>
      </c>
      <c r="BU807" s="235">
        <f t="shared" si="736"/>
        <v>3.792954545454545</v>
      </c>
      <c r="BV807" s="235" cm="1">
        <f t="array" ref="BV807">$BI807 * IF($AH807&lt;=2,
SUMPRODUCT(INDEX($AR$67:$AT$71,,$AI807), INDEX($AU$67:$BA$71,,$AH807), 1 / ($BB$67:$BB$71*BU807 + (1-$BB$67:$BB$71)*BQ807), N($AQ$67:$AQ$71&gt;$AO807)),
SUMPRODUCT(INDEX($AR$57:$AT$66,,$AI807), INDEX($AU$57:$BA$66,,$AH807), 1 / ($BC$57:$BC$66*BU807 + (1-$BC$57:$BC$66)*BQ807), N($AQ$57:$AQ$66&gt;$AO807))
) / 1000</f>
        <v>0</v>
      </c>
      <c r="BW807" s="232">
        <f t="shared" si="759"/>
        <v>20</v>
      </c>
      <c r="BX807" s="230">
        <f t="shared" si="737"/>
        <v>33</v>
      </c>
      <c r="BY807" s="235">
        <f t="shared" si="738"/>
        <v>4.4702678571428569</v>
      </c>
      <c r="BZ807" s="235" cm="1">
        <f t="array" ref="BZ807">$BI807 * IF($AH807&lt;=2,
SUMPRODUCT(INDEX($AR$62:$AT$66,,$AI807), INDEX($AU$62:$BA$66,,$AH807), 1 / ($BB$62:$BB$66*BY807 + (1-$BB$62:$BB$66)*BU807), N($AQ$62:$AQ$66&gt;$AO807)),
SUMPRODUCT(INDEX($AR$47:$AT$56,,$AI807), INDEX($AU$47:$BA$56,,$AH807), 1 / ($BC$47:$BC$56*BY807 + (1-$BC$47:$BC$56)*BU807), N($AQ$47:$AQ$56&gt;$AO807))
) / 1000</f>
        <v>0</v>
      </c>
      <c r="CA807" s="235" cm="1">
        <f t="array" ref="CA807">$BI807 * IF($AH807&lt;=2,
SUMPRODUCT(INDEX($AR$23:$AT$61,,$AI807), INDEX($AU$23:$BA$61,,$AH807), 1 / ($BB$23:$BB$61*BY807), N($AQ$23:$AQ$61&gt;$AO807)),
SUMPRODUCT(INDEX($AR$23:$AT$46,,$AI807), INDEX($AU$23:$BA$46,,$AH807), 1 / ($BC$23:$BC$46*BY807), N($AQ$23:$AQ$46&gt;$AO807))
) / 1000</f>
        <v>0</v>
      </c>
      <c r="CB807" s="230">
        <f t="shared" si="739"/>
        <v>0</v>
      </c>
      <c r="CC807" s="238"/>
      <c r="CD807" s="229" cm="1">
        <f t="array" ref="CD807">IF(ISBLANK(Y807), INDEX(Use, $AH807, 4) - AN807*INDEX(Use, $AH807, 6) - (Q807-X807), Y807)</f>
        <v>7</v>
      </c>
      <c r="CE807" s="229">
        <f t="shared" si="740"/>
        <v>32</v>
      </c>
      <c r="CF807" s="230">
        <f t="shared" si="741"/>
        <v>0</v>
      </c>
      <c r="CG807" s="229">
        <v>35</v>
      </c>
      <c r="CH807" s="230">
        <f t="shared" si="742"/>
        <v>48</v>
      </c>
      <c r="CI807" s="235">
        <f t="shared" si="743"/>
        <v>3.0748170731707316</v>
      </c>
      <c r="CJ807" s="235" cm="1">
        <f t="array" ref="CJ807">$BI807 * SUMPRODUCT(INDEX($AR$77:$AT$82,,$AI807),INDEX($AU$77:$BA$82,,$AH807), N($AQ$77:$AQ$82&gt;$AO807)) / CI807 / 1000</f>
        <v>0</v>
      </c>
      <c r="CK807" s="232">
        <f t="shared" si="760"/>
        <v>30</v>
      </c>
      <c r="CL807" s="230">
        <f t="shared" si="744"/>
        <v>43</v>
      </c>
      <c r="CM807" s="235">
        <f t="shared" si="745"/>
        <v>3.5018750000000001</v>
      </c>
      <c r="CN807" s="235" cm="1">
        <f t="array" ref="CN807">$BI807 * IF($AH807&lt;=2,
SUMPRODUCT(INDEX($AR$72:$AT$76,,$AI807), INDEX($AU$72:$BA$76,,$AH807), 1 / ($BB$72:$BB$76*CM807 + (1-$BB$72:$BB$76)*CI807), N($AQ$72:$AQ$76&gt;$AO807)),
SUMPRODUCT(INDEX($AR$67:$AT$76,,$AI807), INDEX($AU$67:$BA$76,,$AH807), 1 / ($BC$67:$BC$76*CM807 + (1-$BC$67:$BC$76)*CI807), N($AQ$67:$AQ$76&gt;$AO807))
) / 1000</f>
        <v>0</v>
      </c>
      <c r="CO807" s="232">
        <f t="shared" si="761"/>
        <v>25</v>
      </c>
      <c r="CP807" s="230">
        <f t="shared" si="746"/>
        <v>38</v>
      </c>
      <c r="CQ807" s="235">
        <f t="shared" si="747"/>
        <v>4.0666935483870965</v>
      </c>
      <c r="CR807" s="235" cm="1">
        <f t="array" ref="CR807">$BI807 * IF($AH807&lt;=2,
SUMPRODUCT(INDEX($AR$67:$AT$71,,$AI807), INDEX($AU$67:$BA$71,,$AH807), 1 / ($BB$67:$BB$71*CQ807 + (1-$BB$67:$BB$71)*CM807), N($AQ$67:$AQ$71&gt;$AO807)),
SUMPRODUCT(INDEX($AR$57:$AT$66,,$AI807), INDEX($AU$57:$BA$66,,$AH807), 1 / ($BC$57:$BC$66*CQ807 + (1-$BC$57:$BC$66)*CM807), N($AQ$57:$AQ$66&gt;$AO807))
) / 1000</f>
        <v>0</v>
      </c>
      <c r="CS807" s="232">
        <f t="shared" si="762"/>
        <v>20</v>
      </c>
      <c r="CT807" s="230">
        <f t="shared" si="748"/>
        <v>33</v>
      </c>
      <c r="CU807" s="235">
        <f t="shared" si="749"/>
        <v>4.8487499999999999</v>
      </c>
      <c r="CV807" s="235" cm="1">
        <f t="array" ref="CV807">$BI807 * IF($AH807&lt;=2,
SUMPRODUCT(INDEX($AR$62:$AT$66,,$AI807), INDEX($AU$62:$BA$66,,$AH807), 1 / ($BB$62:$BB$66*CU807 + (1-$BB$62:$BB$66)*CQ807), N($AQ$62:$AQ$66&gt;$AO807)),
SUMPRODUCT(INDEX($AR$47:$AT$56,,$AI807), INDEX($AU$47:$BA$56,,$AH807), 1 / ($BC$47:$BC$56*CU807 + (1-$BC$47:$BC$56)*CQ807), N($AQ$47:$AQ$56&gt;$AO807))
) / 1000</f>
        <v>0</v>
      </c>
      <c r="CW807" s="235" cm="1">
        <f t="array" ref="CW807">$BI807 * IF($AH807&lt;=2,
SUMPRODUCT(INDEX($AR$23:$AT$61,,$AI807), INDEX($AU$23:$BA$61,,$AH807), 1 / ($BB$23:$BB$61*CU807), N($AQ$23:$AQ$61&gt;$AO807)),
SUMPRODUCT(INDEX($AR$23:$AT$46,,$AI807), INDEX($AU$23:$BA$46,,$AH807), 1 / ($BC$23:$BC$46*CU807), N($AQ$23:$AQ$46&gt;$AO807))
) / 1000</f>
        <v>0</v>
      </c>
      <c r="CX807" s="230">
        <f t="shared" si="750"/>
        <v>0</v>
      </c>
      <c r="CY807" s="238"/>
    </row>
    <row r="808" spans="1:103" s="76" customFormat="1" ht="14.25" customHeight="1" x14ac:dyDescent="0.2">
      <c r="A808" s="231" t="b">
        <f t="shared" si="754"/>
        <v>0</v>
      </c>
      <c r="B808" s="245">
        <v>786</v>
      </c>
      <c r="C808" s="258"/>
      <c r="D808" s="258"/>
      <c r="E808" s="246"/>
      <c r="F808" s="247" t="str">
        <f>IF(ISBLANK(E808), "", VLOOKUP(E808, Z!$A$2:$C$4127, 3, FALSE))</f>
        <v/>
      </c>
      <c r="G808" s="248"/>
      <c r="H808" s="248"/>
      <c r="I808" s="249"/>
      <c r="J808" s="250"/>
      <c r="K808" s="259"/>
      <c r="L808" s="260"/>
      <c r="M808" s="252" t="str" cm="1">
        <f t="array" ref="M808">INDEX(Trad, 53, $A$20)</f>
        <v>Verschmutzt</v>
      </c>
      <c r="N808" s="253"/>
      <c r="O808" s="253"/>
      <c r="P808" s="254"/>
      <c r="Q808" s="251"/>
      <c r="R808" s="251"/>
      <c r="S808" s="264">
        <f t="shared" si="725"/>
        <v>0</v>
      </c>
      <c r="T808" s="252" t="str" cm="1">
        <f t="array" ref="T808">INDEX(Trad, 52, $A$20)</f>
        <v>Sauber</v>
      </c>
      <c r="U808" s="253"/>
      <c r="V808" s="253"/>
      <c r="W808" s="254"/>
      <c r="X808" s="251"/>
      <c r="Y808" s="251"/>
      <c r="Z808" s="264">
        <f t="shared" si="726"/>
        <v>0</v>
      </c>
      <c r="AA808" s="261"/>
      <c r="AB808" s="258"/>
      <c r="AC808" s="246"/>
      <c r="AD808" s="247" t="str">
        <f>IF(ISBLANK(AC808), "", VLOOKUP(AC808, Z!$A$2:$C$4127, 3, FALSE))</f>
        <v/>
      </c>
      <c r="AE808" s="262"/>
      <c r="AF808" s="263">
        <f t="shared" si="727"/>
        <v>0</v>
      </c>
      <c r="AG808" s="238"/>
      <c r="AH808" s="229">
        <f t="shared" si="751"/>
        <v>1</v>
      </c>
      <c r="AI808" s="229">
        <f t="shared" si="752"/>
        <v>1</v>
      </c>
      <c r="AJ808" s="229">
        <f t="shared" si="753"/>
        <v>0</v>
      </c>
      <c r="AK808" s="229">
        <v>0</v>
      </c>
      <c r="AL808" s="229">
        <v>0</v>
      </c>
      <c r="AM808" s="229">
        <v>1</v>
      </c>
      <c r="AN808" s="229">
        <v>0</v>
      </c>
      <c r="AO808" s="229">
        <f t="shared" si="728"/>
        <v>-100</v>
      </c>
      <c r="AP808" s="238"/>
      <c r="AQ808" s="255"/>
      <c r="AR808" s="255"/>
      <c r="AS808" s="256"/>
      <c r="AT808" s="256"/>
      <c r="AU808" s="256"/>
      <c r="AV808" s="256"/>
      <c r="AW808" s="256"/>
      <c r="AX808" s="256"/>
      <c r="AY808" s="256"/>
      <c r="AZ808" s="256"/>
      <c r="BA808" s="256"/>
      <c r="BB808" s="256"/>
      <c r="BC808" s="256"/>
      <c r="BD808" s="238"/>
      <c r="BE808" s="229" cm="1">
        <f t="array" ref="BE808">IF(ISBLANK(R808), INDEX(Use, $AH808, 4) - AM808*INDEX(Use, $AH808, 6), R808)</f>
        <v>5</v>
      </c>
      <c r="BF808" s="229">
        <f t="shared" si="729"/>
        <v>30</v>
      </c>
      <c r="BG808" s="229">
        <f t="shared" si="755"/>
        <v>13</v>
      </c>
      <c r="BH808" s="229">
        <f t="shared" si="756"/>
        <v>0</v>
      </c>
      <c r="BI808" s="234" cm="1">
        <f t="array" ref="BI808">K808/IF($L808&gt;0, INDEX($AU$23:$BA$77, $L808+20, $AH808), 1)</f>
        <v>0</v>
      </c>
      <c r="BJ808" s="230">
        <f t="shared" si="730"/>
        <v>0</v>
      </c>
      <c r="BK808" s="229">
        <v>35</v>
      </c>
      <c r="BL808" s="230">
        <f t="shared" si="731"/>
        <v>48</v>
      </c>
      <c r="BM808" s="235">
        <f t="shared" si="732"/>
        <v>2.9108720930232557</v>
      </c>
      <c r="BN808" s="235" cm="1">
        <f t="array" ref="BN808">$BI808 * SUMPRODUCT(INDEX($AR$77:$AT$82,,$AI808),INDEX($AU$77:$BA$82,,$AH808), N($AQ$77:$AQ$82&gt;$AO808)) / BM808 / 1000</f>
        <v>0</v>
      </c>
      <c r="BO808" s="232">
        <f t="shared" si="757"/>
        <v>30</v>
      </c>
      <c r="BP808" s="230">
        <f t="shared" si="733"/>
        <v>43</v>
      </c>
      <c r="BQ808" s="235">
        <f t="shared" si="734"/>
        <v>3.2938815789473681</v>
      </c>
      <c r="BR808" s="235" cm="1">
        <f t="array" ref="BR808">$BI808 * IF($AH808&lt;=2,
SUMPRODUCT(INDEX($AR$72:$AT$76,,$AI808), INDEX($AU$72:$BA$76,,$AH808), 1 / ($BB$72:$BB$76*BQ808 + (1-$BB$72:$BB$76)*BM808), N($AQ$72:$AQ$76&gt;$AO808)),
SUMPRODUCT(INDEX($AR$67:$AT$76,,$AI808), INDEX($AU$67:$BA$76,,$AH808), 1 / ($BC$67:$BC$76*BQ808 + (1-$BC$67:$BC$76)*BM808), N($AQ$67:$AQ$76&gt;$AO808))
) / 1000</f>
        <v>0</v>
      </c>
      <c r="BS808" s="232">
        <f t="shared" si="758"/>
        <v>25</v>
      </c>
      <c r="BT808" s="230">
        <f t="shared" si="735"/>
        <v>38</v>
      </c>
      <c r="BU808" s="235">
        <f t="shared" si="736"/>
        <v>3.792954545454545</v>
      </c>
      <c r="BV808" s="235" cm="1">
        <f t="array" ref="BV808">$BI808 * IF($AH808&lt;=2,
SUMPRODUCT(INDEX($AR$67:$AT$71,,$AI808), INDEX($AU$67:$BA$71,,$AH808), 1 / ($BB$67:$BB$71*BU808 + (1-$BB$67:$BB$71)*BQ808), N($AQ$67:$AQ$71&gt;$AO808)),
SUMPRODUCT(INDEX($AR$57:$AT$66,,$AI808), INDEX($AU$57:$BA$66,,$AH808), 1 / ($BC$57:$BC$66*BU808 + (1-$BC$57:$BC$66)*BQ808), N($AQ$57:$AQ$66&gt;$AO808))
) / 1000</f>
        <v>0</v>
      </c>
      <c r="BW808" s="232">
        <f t="shared" si="759"/>
        <v>20</v>
      </c>
      <c r="BX808" s="230">
        <f t="shared" si="737"/>
        <v>33</v>
      </c>
      <c r="BY808" s="235">
        <f t="shared" si="738"/>
        <v>4.4702678571428569</v>
      </c>
      <c r="BZ808" s="235" cm="1">
        <f t="array" ref="BZ808">$BI808 * IF($AH808&lt;=2,
SUMPRODUCT(INDEX($AR$62:$AT$66,,$AI808), INDEX($AU$62:$BA$66,,$AH808), 1 / ($BB$62:$BB$66*BY808 + (1-$BB$62:$BB$66)*BU808), N($AQ$62:$AQ$66&gt;$AO808)),
SUMPRODUCT(INDEX($AR$47:$AT$56,,$AI808), INDEX($AU$47:$BA$56,,$AH808), 1 / ($BC$47:$BC$56*BY808 + (1-$BC$47:$BC$56)*BU808), N($AQ$47:$AQ$56&gt;$AO808))
) / 1000</f>
        <v>0</v>
      </c>
      <c r="CA808" s="235" cm="1">
        <f t="array" ref="CA808">$BI808 * IF($AH808&lt;=2,
SUMPRODUCT(INDEX($AR$23:$AT$61,,$AI808), INDEX($AU$23:$BA$61,,$AH808), 1 / ($BB$23:$BB$61*BY808), N($AQ$23:$AQ$61&gt;$AO808)),
SUMPRODUCT(INDEX($AR$23:$AT$46,,$AI808), INDEX($AU$23:$BA$46,,$AH808), 1 / ($BC$23:$BC$46*BY808), N($AQ$23:$AQ$46&gt;$AO808))
) / 1000</f>
        <v>0</v>
      </c>
      <c r="CB808" s="230">
        <f t="shared" si="739"/>
        <v>0</v>
      </c>
      <c r="CC808" s="238"/>
      <c r="CD808" s="229" cm="1">
        <f t="array" ref="CD808">IF(ISBLANK(Y808), INDEX(Use, $AH808, 4) - AN808*INDEX(Use, $AH808, 6) - (Q808-X808), Y808)</f>
        <v>7</v>
      </c>
      <c r="CE808" s="229">
        <f t="shared" si="740"/>
        <v>32</v>
      </c>
      <c r="CF808" s="230">
        <f t="shared" si="741"/>
        <v>0</v>
      </c>
      <c r="CG808" s="229">
        <v>35</v>
      </c>
      <c r="CH808" s="230">
        <f t="shared" si="742"/>
        <v>48</v>
      </c>
      <c r="CI808" s="235">
        <f t="shared" si="743"/>
        <v>3.0748170731707316</v>
      </c>
      <c r="CJ808" s="235" cm="1">
        <f t="array" ref="CJ808">$BI808 * SUMPRODUCT(INDEX($AR$77:$AT$82,,$AI808),INDEX($AU$77:$BA$82,,$AH808), N($AQ$77:$AQ$82&gt;$AO808)) / CI808 / 1000</f>
        <v>0</v>
      </c>
      <c r="CK808" s="232">
        <f t="shared" si="760"/>
        <v>30</v>
      </c>
      <c r="CL808" s="230">
        <f t="shared" si="744"/>
        <v>43</v>
      </c>
      <c r="CM808" s="235">
        <f t="shared" si="745"/>
        <v>3.5018750000000001</v>
      </c>
      <c r="CN808" s="235" cm="1">
        <f t="array" ref="CN808">$BI808 * IF($AH808&lt;=2,
SUMPRODUCT(INDEX($AR$72:$AT$76,,$AI808), INDEX($AU$72:$BA$76,,$AH808), 1 / ($BB$72:$BB$76*CM808 + (1-$BB$72:$BB$76)*CI808), N($AQ$72:$AQ$76&gt;$AO808)),
SUMPRODUCT(INDEX($AR$67:$AT$76,,$AI808), INDEX($AU$67:$BA$76,,$AH808), 1 / ($BC$67:$BC$76*CM808 + (1-$BC$67:$BC$76)*CI808), N($AQ$67:$AQ$76&gt;$AO808))
) / 1000</f>
        <v>0</v>
      </c>
      <c r="CO808" s="232">
        <f t="shared" si="761"/>
        <v>25</v>
      </c>
      <c r="CP808" s="230">
        <f t="shared" si="746"/>
        <v>38</v>
      </c>
      <c r="CQ808" s="235">
        <f t="shared" si="747"/>
        <v>4.0666935483870965</v>
      </c>
      <c r="CR808" s="235" cm="1">
        <f t="array" ref="CR808">$BI808 * IF($AH808&lt;=2,
SUMPRODUCT(INDEX($AR$67:$AT$71,,$AI808), INDEX($AU$67:$BA$71,,$AH808), 1 / ($BB$67:$BB$71*CQ808 + (1-$BB$67:$BB$71)*CM808), N($AQ$67:$AQ$71&gt;$AO808)),
SUMPRODUCT(INDEX($AR$57:$AT$66,,$AI808), INDEX($AU$57:$BA$66,,$AH808), 1 / ($BC$57:$BC$66*CQ808 + (1-$BC$57:$BC$66)*CM808), N($AQ$57:$AQ$66&gt;$AO808))
) / 1000</f>
        <v>0</v>
      </c>
      <c r="CS808" s="232">
        <f t="shared" si="762"/>
        <v>20</v>
      </c>
      <c r="CT808" s="230">
        <f t="shared" si="748"/>
        <v>33</v>
      </c>
      <c r="CU808" s="235">
        <f t="shared" si="749"/>
        <v>4.8487499999999999</v>
      </c>
      <c r="CV808" s="235" cm="1">
        <f t="array" ref="CV808">$BI808 * IF($AH808&lt;=2,
SUMPRODUCT(INDEX($AR$62:$AT$66,,$AI808), INDEX($AU$62:$BA$66,,$AH808), 1 / ($BB$62:$BB$66*CU808 + (1-$BB$62:$BB$66)*CQ808), N($AQ$62:$AQ$66&gt;$AO808)),
SUMPRODUCT(INDEX($AR$47:$AT$56,,$AI808), INDEX($AU$47:$BA$56,,$AH808), 1 / ($BC$47:$BC$56*CU808 + (1-$BC$47:$BC$56)*CQ808), N($AQ$47:$AQ$56&gt;$AO808))
) / 1000</f>
        <v>0</v>
      </c>
      <c r="CW808" s="235" cm="1">
        <f t="array" ref="CW808">$BI808 * IF($AH808&lt;=2,
SUMPRODUCT(INDEX($AR$23:$AT$61,,$AI808), INDEX($AU$23:$BA$61,,$AH808), 1 / ($BB$23:$BB$61*CU808), N($AQ$23:$AQ$61&gt;$AO808)),
SUMPRODUCT(INDEX($AR$23:$AT$46,,$AI808), INDEX($AU$23:$BA$46,,$AH808), 1 / ($BC$23:$BC$46*CU808), N($AQ$23:$AQ$46&gt;$AO808))
) / 1000</f>
        <v>0</v>
      </c>
      <c r="CX808" s="230">
        <f t="shared" si="750"/>
        <v>0</v>
      </c>
      <c r="CY808" s="238"/>
    </row>
    <row r="809" spans="1:103" s="76" customFormat="1" ht="14.25" customHeight="1" x14ac:dyDescent="0.2">
      <c r="A809" s="231" t="b">
        <f t="shared" si="754"/>
        <v>0</v>
      </c>
      <c r="B809" s="245">
        <v>787</v>
      </c>
      <c r="C809" s="258"/>
      <c r="D809" s="258"/>
      <c r="E809" s="246"/>
      <c r="F809" s="247" t="str">
        <f>IF(ISBLANK(E809), "", VLOOKUP(E809, Z!$A$2:$C$4127, 3, FALSE))</f>
        <v/>
      </c>
      <c r="G809" s="248"/>
      <c r="H809" s="248"/>
      <c r="I809" s="249"/>
      <c r="J809" s="250"/>
      <c r="K809" s="259"/>
      <c r="L809" s="260"/>
      <c r="M809" s="252" t="str" cm="1">
        <f t="array" ref="M809">INDEX(Trad, 53, $A$20)</f>
        <v>Verschmutzt</v>
      </c>
      <c r="N809" s="253"/>
      <c r="O809" s="253"/>
      <c r="P809" s="254"/>
      <c r="Q809" s="251"/>
      <c r="R809" s="251"/>
      <c r="S809" s="264">
        <f t="shared" si="725"/>
        <v>0</v>
      </c>
      <c r="T809" s="252" t="str" cm="1">
        <f t="array" ref="T809">INDEX(Trad, 52, $A$20)</f>
        <v>Sauber</v>
      </c>
      <c r="U809" s="253"/>
      <c r="V809" s="253"/>
      <c r="W809" s="254"/>
      <c r="X809" s="251"/>
      <c r="Y809" s="251"/>
      <c r="Z809" s="264">
        <f t="shared" si="726"/>
        <v>0</v>
      </c>
      <c r="AA809" s="261"/>
      <c r="AB809" s="258"/>
      <c r="AC809" s="246"/>
      <c r="AD809" s="247" t="str">
        <f>IF(ISBLANK(AC809), "", VLOOKUP(AC809, Z!$A$2:$C$4127, 3, FALSE))</f>
        <v/>
      </c>
      <c r="AE809" s="262"/>
      <c r="AF809" s="263">
        <f t="shared" si="727"/>
        <v>0</v>
      </c>
      <c r="AG809" s="238"/>
      <c r="AH809" s="229">
        <f t="shared" si="751"/>
        <v>1</v>
      </c>
      <c r="AI809" s="229">
        <f t="shared" si="752"/>
        <v>1</v>
      </c>
      <c r="AJ809" s="229">
        <f t="shared" si="753"/>
        <v>0</v>
      </c>
      <c r="AK809" s="229">
        <v>0</v>
      </c>
      <c r="AL809" s="229">
        <v>0</v>
      </c>
      <c r="AM809" s="229">
        <v>1</v>
      </c>
      <c r="AN809" s="229">
        <v>0</v>
      </c>
      <c r="AO809" s="229">
        <f t="shared" si="728"/>
        <v>-100</v>
      </c>
      <c r="AP809" s="238"/>
      <c r="AQ809" s="255"/>
      <c r="AR809" s="255"/>
      <c r="AS809" s="256"/>
      <c r="AT809" s="256"/>
      <c r="AU809" s="256"/>
      <c r="AV809" s="256"/>
      <c r="AW809" s="256"/>
      <c r="AX809" s="256"/>
      <c r="AY809" s="256"/>
      <c r="AZ809" s="256"/>
      <c r="BA809" s="256"/>
      <c r="BB809" s="256"/>
      <c r="BC809" s="256"/>
      <c r="BD809" s="238"/>
      <c r="BE809" s="229" cm="1">
        <f t="array" ref="BE809">IF(ISBLANK(R809), INDEX(Use, $AH809, 4) - AM809*INDEX(Use, $AH809, 6), R809)</f>
        <v>5</v>
      </c>
      <c r="BF809" s="229">
        <f t="shared" si="729"/>
        <v>30</v>
      </c>
      <c r="BG809" s="229">
        <f t="shared" si="755"/>
        <v>13</v>
      </c>
      <c r="BH809" s="229">
        <f t="shared" si="756"/>
        <v>0</v>
      </c>
      <c r="BI809" s="234" cm="1">
        <f t="array" ref="BI809">K809/IF($L809&gt;0, INDEX($AU$23:$BA$77, $L809+20, $AH809), 1)</f>
        <v>0</v>
      </c>
      <c r="BJ809" s="230">
        <f t="shared" si="730"/>
        <v>0</v>
      </c>
      <c r="BK809" s="229">
        <v>35</v>
      </c>
      <c r="BL809" s="230">
        <f t="shared" si="731"/>
        <v>48</v>
      </c>
      <c r="BM809" s="235">
        <f t="shared" si="732"/>
        <v>2.9108720930232557</v>
      </c>
      <c r="BN809" s="235" cm="1">
        <f t="array" ref="BN809">$BI809 * SUMPRODUCT(INDEX($AR$77:$AT$82,,$AI809),INDEX($AU$77:$BA$82,,$AH809), N($AQ$77:$AQ$82&gt;$AO809)) / BM809 / 1000</f>
        <v>0</v>
      </c>
      <c r="BO809" s="232">
        <f t="shared" si="757"/>
        <v>30</v>
      </c>
      <c r="BP809" s="230">
        <f t="shared" si="733"/>
        <v>43</v>
      </c>
      <c r="BQ809" s="235">
        <f t="shared" si="734"/>
        <v>3.2938815789473681</v>
      </c>
      <c r="BR809" s="235" cm="1">
        <f t="array" ref="BR809">$BI809 * IF($AH809&lt;=2,
SUMPRODUCT(INDEX($AR$72:$AT$76,,$AI809), INDEX($AU$72:$BA$76,,$AH809), 1 / ($BB$72:$BB$76*BQ809 + (1-$BB$72:$BB$76)*BM809), N($AQ$72:$AQ$76&gt;$AO809)),
SUMPRODUCT(INDEX($AR$67:$AT$76,,$AI809), INDEX($AU$67:$BA$76,,$AH809), 1 / ($BC$67:$BC$76*BQ809 + (1-$BC$67:$BC$76)*BM809), N($AQ$67:$AQ$76&gt;$AO809))
) / 1000</f>
        <v>0</v>
      </c>
      <c r="BS809" s="232">
        <f t="shared" si="758"/>
        <v>25</v>
      </c>
      <c r="BT809" s="230">
        <f t="shared" si="735"/>
        <v>38</v>
      </c>
      <c r="BU809" s="235">
        <f t="shared" si="736"/>
        <v>3.792954545454545</v>
      </c>
      <c r="BV809" s="235" cm="1">
        <f t="array" ref="BV809">$BI809 * IF($AH809&lt;=2,
SUMPRODUCT(INDEX($AR$67:$AT$71,,$AI809), INDEX($AU$67:$BA$71,,$AH809), 1 / ($BB$67:$BB$71*BU809 + (1-$BB$67:$BB$71)*BQ809), N($AQ$67:$AQ$71&gt;$AO809)),
SUMPRODUCT(INDEX($AR$57:$AT$66,,$AI809), INDEX($AU$57:$BA$66,,$AH809), 1 / ($BC$57:$BC$66*BU809 + (1-$BC$57:$BC$66)*BQ809), N($AQ$57:$AQ$66&gt;$AO809))
) / 1000</f>
        <v>0</v>
      </c>
      <c r="BW809" s="232">
        <f t="shared" si="759"/>
        <v>20</v>
      </c>
      <c r="BX809" s="230">
        <f t="shared" si="737"/>
        <v>33</v>
      </c>
      <c r="BY809" s="235">
        <f t="shared" si="738"/>
        <v>4.4702678571428569</v>
      </c>
      <c r="BZ809" s="235" cm="1">
        <f t="array" ref="BZ809">$BI809 * IF($AH809&lt;=2,
SUMPRODUCT(INDEX($AR$62:$AT$66,,$AI809), INDEX($AU$62:$BA$66,,$AH809), 1 / ($BB$62:$BB$66*BY809 + (1-$BB$62:$BB$66)*BU809), N($AQ$62:$AQ$66&gt;$AO809)),
SUMPRODUCT(INDEX($AR$47:$AT$56,,$AI809), INDEX($AU$47:$BA$56,,$AH809), 1 / ($BC$47:$BC$56*BY809 + (1-$BC$47:$BC$56)*BU809), N($AQ$47:$AQ$56&gt;$AO809))
) / 1000</f>
        <v>0</v>
      </c>
      <c r="CA809" s="235" cm="1">
        <f t="array" ref="CA809">$BI809 * IF($AH809&lt;=2,
SUMPRODUCT(INDEX($AR$23:$AT$61,,$AI809), INDEX($AU$23:$BA$61,,$AH809), 1 / ($BB$23:$BB$61*BY809), N($AQ$23:$AQ$61&gt;$AO809)),
SUMPRODUCT(INDEX($AR$23:$AT$46,,$AI809), INDEX($AU$23:$BA$46,,$AH809), 1 / ($BC$23:$BC$46*BY809), N($AQ$23:$AQ$46&gt;$AO809))
) / 1000</f>
        <v>0</v>
      </c>
      <c r="CB809" s="230">
        <f t="shared" si="739"/>
        <v>0</v>
      </c>
      <c r="CC809" s="238"/>
      <c r="CD809" s="229" cm="1">
        <f t="array" ref="CD809">IF(ISBLANK(Y809), INDEX(Use, $AH809, 4) - AN809*INDEX(Use, $AH809, 6) - (Q809-X809), Y809)</f>
        <v>7</v>
      </c>
      <c r="CE809" s="229">
        <f t="shared" si="740"/>
        <v>32</v>
      </c>
      <c r="CF809" s="230">
        <f t="shared" si="741"/>
        <v>0</v>
      </c>
      <c r="CG809" s="229">
        <v>35</v>
      </c>
      <c r="CH809" s="230">
        <f t="shared" si="742"/>
        <v>48</v>
      </c>
      <c r="CI809" s="235">
        <f t="shared" si="743"/>
        <v>3.0748170731707316</v>
      </c>
      <c r="CJ809" s="235" cm="1">
        <f t="array" ref="CJ809">$BI809 * SUMPRODUCT(INDEX($AR$77:$AT$82,,$AI809),INDEX($AU$77:$BA$82,,$AH809), N($AQ$77:$AQ$82&gt;$AO809)) / CI809 / 1000</f>
        <v>0</v>
      </c>
      <c r="CK809" s="232">
        <f t="shared" si="760"/>
        <v>30</v>
      </c>
      <c r="CL809" s="230">
        <f t="shared" si="744"/>
        <v>43</v>
      </c>
      <c r="CM809" s="235">
        <f t="shared" si="745"/>
        <v>3.5018750000000001</v>
      </c>
      <c r="CN809" s="235" cm="1">
        <f t="array" ref="CN809">$BI809 * IF($AH809&lt;=2,
SUMPRODUCT(INDEX($AR$72:$AT$76,,$AI809), INDEX($AU$72:$BA$76,,$AH809), 1 / ($BB$72:$BB$76*CM809 + (1-$BB$72:$BB$76)*CI809), N($AQ$72:$AQ$76&gt;$AO809)),
SUMPRODUCT(INDEX($AR$67:$AT$76,,$AI809), INDEX($AU$67:$BA$76,,$AH809), 1 / ($BC$67:$BC$76*CM809 + (1-$BC$67:$BC$76)*CI809), N($AQ$67:$AQ$76&gt;$AO809))
) / 1000</f>
        <v>0</v>
      </c>
      <c r="CO809" s="232">
        <f t="shared" si="761"/>
        <v>25</v>
      </c>
      <c r="CP809" s="230">
        <f t="shared" si="746"/>
        <v>38</v>
      </c>
      <c r="CQ809" s="235">
        <f t="shared" si="747"/>
        <v>4.0666935483870965</v>
      </c>
      <c r="CR809" s="235" cm="1">
        <f t="array" ref="CR809">$BI809 * IF($AH809&lt;=2,
SUMPRODUCT(INDEX($AR$67:$AT$71,,$AI809), INDEX($AU$67:$BA$71,,$AH809), 1 / ($BB$67:$BB$71*CQ809 + (1-$BB$67:$BB$71)*CM809), N($AQ$67:$AQ$71&gt;$AO809)),
SUMPRODUCT(INDEX($AR$57:$AT$66,,$AI809), INDEX($AU$57:$BA$66,,$AH809), 1 / ($BC$57:$BC$66*CQ809 + (1-$BC$57:$BC$66)*CM809), N($AQ$57:$AQ$66&gt;$AO809))
) / 1000</f>
        <v>0</v>
      </c>
      <c r="CS809" s="232">
        <f t="shared" si="762"/>
        <v>20</v>
      </c>
      <c r="CT809" s="230">
        <f t="shared" si="748"/>
        <v>33</v>
      </c>
      <c r="CU809" s="235">
        <f t="shared" si="749"/>
        <v>4.8487499999999999</v>
      </c>
      <c r="CV809" s="235" cm="1">
        <f t="array" ref="CV809">$BI809 * IF($AH809&lt;=2,
SUMPRODUCT(INDEX($AR$62:$AT$66,,$AI809), INDEX($AU$62:$BA$66,,$AH809), 1 / ($BB$62:$BB$66*CU809 + (1-$BB$62:$BB$66)*CQ809), N($AQ$62:$AQ$66&gt;$AO809)),
SUMPRODUCT(INDEX($AR$47:$AT$56,,$AI809), INDEX($AU$47:$BA$56,,$AH809), 1 / ($BC$47:$BC$56*CU809 + (1-$BC$47:$BC$56)*CQ809), N($AQ$47:$AQ$56&gt;$AO809))
) / 1000</f>
        <v>0</v>
      </c>
      <c r="CW809" s="235" cm="1">
        <f t="array" ref="CW809">$BI809 * IF($AH809&lt;=2,
SUMPRODUCT(INDEX($AR$23:$AT$61,,$AI809), INDEX($AU$23:$BA$61,,$AH809), 1 / ($BB$23:$BB$61*CU809), N($AQ$23:$AQ$61&gt;$AO809)),
SUMPRODUCT(INDEX($AR$23:$AT$46,,$AI809), INDEX($AU$23:$BA$46,,$AH809), 1 / ($BC$23:$BC$46*CU809), N($AQ$23:$AQ$46&gt;$AO809))
) / 1000</f>
        <v>0</v>
      </c>
      <c r="CX809" s="230">
        <f t="shared" si="750"/>
        <v>0</v>
      </c>
      <c r="CY809" s="238"/>
    </row>
    <row r="810" spans="1:103" s="76" customFormat="1" ht="14.25" customHeight="1" x14ac:dyDescent="0.2">
      <c r="A810" s="231" t="b">
        <f t="shared" si="754"/>
        <v>0</v>
      </c>
      <c r="B810" s="245">
        <v>788</v>
      </c>
      <c r="C810" s="258"/>
      <c r="D810" s="258"/>
      <c r="E810" s="246"/>
      <c r="F810" s="247" t="str">
        <f>IF(ISBLANK(E810), "", VLOOKUP(E810, Z!$A$2:$C$4127, 3, FALSE))</f>
        <v/>
      </c>
      <c r="G810" s="248"/>
      <c r="H810" s="248"/>
      <c r="I810" s="249"/>
      <c r="J810" s="250"/>
      <c r="K810" s="259"/>
      <c r="L810" s="260"/>
      <c r="M810" s="252" t="str" cm="1">
        <f t="array" ref="M810">INDEX(Trad, 53, $A$20)</f>
        <v>Verschmutzt</v>
      </c>
      <c r="N810" s="253"/>
      <c r="O810" s="253"/>
      <c r="P810" s="254"/>
      <c r="Q810" s="251"/>
      <c r="R810" s="251"/>
      <c r="S810" s="264">
        <f t="shared" si="725"/>
        <v>0</v>
      </c>
      <c r="T810" s="252" t="str" cm="1">
        <f t="array" ref="T810">INDEX(Trad, 52, $A$20)</f>
        <v>Sauber</v>
      </c>
      <c r="U810" s="253"/>
      <c r="V810" s="253"/>
      <c r="W810" s="254"/>
      <c r="X810" s="251"/>
      <c r="Y810" s="251"/>
      <c r="Z810" s="264">
        <f t="shared" si="726"/>
        <v>0</v>
      </c>
      <c r="AA810" s="261"/>
      <c r="AB810" s="258"/>
      <c r="AC810" s="246"/>
      <c r="AD810" s="247" t="str">
        <f>IF(ISBLANK(AC810), "", VLOOKUP(AC810, Z!$A$2:$C$4127, 3, FALSE))</f>
        <v/>
      </c>
      <c r="AE810" s="262"/>
      <c r="AF810" s="263">
        <f t="shared" si="727"/>
        <v>0</v>
      </c>
      <c r="AG810" s="238"/>
      <c r="AH810" s="229">
        <f t="shared" si="751"/>
        <v>1</v>
      </c>
      <c r="AI810" s="229">
        <f t="shared" si="752"/>
        <v>1</v>
      </c>
      <c r="AJ810" s="229">
        <f t="shared" si="753"/>
        <v>0</v>
      </c>
      <c r="AK810" s="229">
        <v>0</v>
      </c>
      <c r="AL810" s="229">
        <v>0</v>
      </c>
      <c r="AM810" s="229">
        <v>1</v>
      </c>
      <c r="AN810" s="229">
        <v>0</v>
      </c>
      <c r="AO810" s="229">
        <f t="shared" si="728"/>
        <v>-100</v>
      </c>
      <c r="AP810" s="238"/>
      <c r="AQ810" s="255"/>
      <c r="AR810" s="255"/>
      <c r="AS810" s="256"/>
      <c r="AT810" s="256"/>
      <c r="AU810" s="256"/>
      <c r="AV810" s="256"/>
      <c r="AW810" s="256"/>
      <c r="AX810" s="256"/>
      <c r="AY810" s="256"/>
      <c r="AZ810" s="256"/>
      <c r="BA810" s="256"/>
      <c r="BB810" s="256"/>
      <c r="BC810" s="256"/>
      <c r="BD810" s="238"/>
      <c r="BE810" s="229" cm="1">
        <f t="array" ref="BE810">IF(ISBLANK(R810), INDEX(Use, $AH810, 4) - AM810*INDEX(Use, $AH810, 6), R810)</f>
        <v>5</v>
      </c>
      <c r="BF810" s="229">
        <f t="shared" si="729"/>
        <v>30</v>
      </c>
      <c r="BG810" s="229">
        <f t="shared" si="755"/>
        <v>13</v>
      </c>
      <c r="BH810" s="229">
        <f t="shared" si="756"/>
        <v>0</v>
      </c>
      <c r="BI810" s="234" cm="1">
        <f t="array" ref="BI810">K810/IF($L810&gt;0, INDEX($AU$23:$BA$77, $L810+20, $AH810), 1)</f>
        <v>0</v>
      </c>
      <c r="BJ810" s="230">
        <f t="shared" si="730"/>
        <v>0</v>
      </c>
      <c r="BK810" s="229">
        <v>35</v>
      </c>
      <c r="BL810" s="230">
        <f t="shared" si="731"/>
        <v>48</v>
      </c>
      <c r="BM810" s="235">
        <f t="shared" si="732"/>
        <v>2.9108720930232557</v>
      </c>
      <c r="BN810" s="235" cm="1">
        <f t="array" ref="BN810">$BI810 * SUMPRODUCT(INDEX($AR$77:$AT$82,,$AI810),INDEX($AU$77:$BA$82,,$AH810), N($AQ$77:$AQ$82&gt;$AO810)) / BM810 / 1000</f>
        <v>0</v>
      </c>
      <c r="BO810" s="232">
        <f t="shared" si="757"/>
        <v>30</v>
      </c>
      <c r="BP810" s="230">
        <f t="shared" si="733"/>
        <v>43</v>
      </c>
      <c r="BQ810" s="235">
        <f t="shared" si="734"/>
        <v>3.2938815789473681</v>
      </c>
      <c r="BR810" s="235" cm="1">
        <f t="array" ref="BR810">$BI810 * IF($AH810&lt;=2,
SUMPRODUCT(INDEX($AR$72:$AT$76,,$AI810), INDEX($AU$72:$BA$76,,$AH810), 1 / ($BB$72:$BB$76*BQ810 + (1-$BB$72:$BB$76)*BM810), N($AQ$72:$AQ$76&gt;$AO810)),
SUMPRODUCT(INDEX($AR$67:$AT$76,,$AI810), INDEX($AU$67:$BA$76,,$AH810), 1 / ($BC$67:$BC$76*BQ810 + (1-$BC$67:$BC$76)*BM810), N($AQ$67:$AQ$76&gt;$AO810))
) / 1000</f>
        <v>0</v>
      </c>
      <c r="BS810" s="232">
        <f t="shared" si="758"/>
        <v>25</v>
      </c>
      <c r="BT810" s="230">
        <f t="shared" si="735"/>
        <v>38</v>
      </c>
      <c r="BU810" s="235">
        <f t="shared" si="736"/>
        <v>3.792954545454545</v>
      </c>
      <c r="BV810" s="235" cm="1">
        <f t="array" ref="BV810">$BI810 * IF($AH810&lt;=2,
SUMPRODUCT(INDEX($AR$67:$AT$71,,$AI810), INDEX($AU$67:$BA$71,,$AH810), 1 / ($BB$67:$BB$71*BU810 + (1-$BB$67:$BB$71)*BQ810), N($AQ$67:$AQ$71&gt;$AO810)),
SUMPRODUCT(INDEX($AR$57:$AT$66,,$AI810), INDEX($AU$57:$BA$66,,$AH810), 1 / ($BC$57:$BC$66*BU810 + (1-$BC$57:$BC$66)*BQ810), N($AQ$57:$AQ$66&gt;$AO810))
) / 1000</f>
        <v>0</v>
      </c>
      <c r="BW810" s="232">
        <f t="shared" si="759"/>
        <v>20</v>
      </c>
      <c r="BX810" s="230">
        <f t="shared" si="737"/>
        <v>33</v>
      </c>
      <c r="BY810" s="235">
        <f t="shared" si="738"/>
        <v>4.4702678571428569</v>
      </c>
      <c r="BZ810" s="235" cm="1">
        <f t="array" ref="BZ810">$BI810 * IF($AH810&lt;=2,
SUMPRODUCT(INDEX($AR$62:$AT$66,,$AI810), INDEX($AU$62:$BA$66,,$AH810), 1 / ($BB$62:$BB$66*BY810 + (1-$BB$62:$BB$66)*BU810), N($AQ$62:$AQ$66&gt;$AO810)),
SUMPRODUCT(INDEX($AR$47:$AT$56,,$AI810), INDEX($AU$47:$BA$56,,$AH810), 1 / ($BC$47:$BC$56*BY810 + (1-$BC$47:$BC$56)*BU810), N($AQ$47:$AQ$56&gt;$AO810))
) / 1000</f>
        <v>0</v>
      </c>
      <c r="CA810" s="235" cm="1">
        <f t="array" ref="CA810">$BI810 * IF($AH810&lt;=2,
SUMPRODUCT(INDEX($AR$23:$AT$61,,$AI810), INDEX($AU$23:$BA$61,,$AH810), 1 / ($BB$23:$BB$61*BY810), N($AQ$23:$AQ$61&gt;$AO810)),
SUMPRODUCT(INDEX($AR$23:$AT$46,,$AI810), INDEX($AU$23:$BA$46,,$AH810), 1 / ($BC$23:$BC$46*BY810), N($AQ$23:$AQ$46&gt;$AO810))
) / 1000</f>
        <v>0</v>
      </c>
      <c r="CB810" s="230">
        <f t="shared" si="739"/>
        <v>0</v>
      </c>
      <c r="CC810" s="238"/>
      <c r="CD810" s="229" cm="1">
        <f t="array" ref="CD810">IF(ISBLANK(Y810), INDEX(Use, $AH810, 4) - AN810*INDEX(Use, $AH810, 6) - (Q810-X810), Y810)</f>
        <v>7</v>
      </c>
      <c r="CE810" s="229">
        <f t="shared" si="740"/>
        <v>32</v>
      </c>
      <c r="CF810" s="230">
        <f t="shared" si="741"/>
        <v>0</v>
      </c>
      <c r="CG810" s="229">
        <v>35</v>
      </c>
      <c r="CH810" s="230">
        <f t="shared" si="742"/>
        <v>48</v>
      </c>
      <c r="CI810" s="235">
        <f t="shared" si="743"/>
        <v>3.0748170731707316</v>
      </c>
      <c r="CJ810" s="235" cm="1">
        <f t="array" ref="CJ810">$BI810 * SUMPRODUCT(INDEX($AR$77:$AT$82,,$AI810),INDEX($AU$77:$BA$82,,$AH810), N($AQ$77:$AQ$82&gt;$AO810)) / CI810 / 1000</f>
        <v>0</v>
      </c>
      <c r="CK810" s="232">
        <f t="shared" si="760"/>
        <v>30</v>
      </c>
      <c r="CL810" s="230">
        <f t="shared" si="744"/>
        <v>43</v>
      </c>
      <c r="CM810" s="235">
        <f t="shared" si="745"/>
        <v>3.5018750000000001</v>
      </c>
      <c r="CN810" s="235" cm="1">
        <f t="array" ref="CN810">$BI810 * IF($AH810&lt;=2,
SUMPRODUCT(INDEX($AR$72:$AT$76,,$AI810), INDEX($AU$72:$BA$76,,$AH810), 1 / ($BB$72:$BB$76*CM810 + (1-$BB$72:$BB$76)*CI810), N($AQ$72:$AQ$76&gt;$AO810)),
SUMPRODUCT(INDEX($AR$67:$AT$76,,$AI810), INDEX($AU$67:$BA$76,,$AH810), 1 / ($BC$67:$BC$76*CM810 + (1-$BC$67:$BC$76)*CI810), N($AQ$67:$AQ$76&gt;$AO810))
) / 1000</f>
        <v>0</v>
      </c>
      <c r="CO810" s="232">
        <f t="shared" si="761"/>
        <v>25</v>
      </c>
      <c r="CP810" s="230">
        <f t="shared" si="746"/>
        <v>38</v>
      </c>
      <c r="CQ810" s="235">
        <f t="shared" si="747"/>
        <v>4.0666935483870965</v>
      </c>
      <c r="CR810" s="235" cm="1">
        <f t="array" ref="CR810">$BI810 * IF($AH810&lt;=2,
SUMPRODUCT(INDEX($AR$67:$AT$71,,$AI810), INDEX($AU$67:$BA$71,,$AH810), 1 / ($BB$67:$BB$71*CQ810 + (1-$BB$67:$BB$71)*CM810), N($AQ$67:$AQ$71&gt;$AO810)),
SUMPRODUCT(INDEX($AR$57:$AT$66,,$AI810), INDEX($AU$57:$BA$66,,$AH810), 1 / ($BC$57:$BC$66*CQ810 + (1-$BC$57:$BC$66)*CM810), N($AQ$57:$AQ$66&gt;$AO810))
) / 1000</f>
        <v>0</v>
      </c>
      <c r="CS810" s="232">
        <f t="shared" si="762"/>
        <v>20</v>
      </c>
      <c r="CT810" s="230">
        <f t="shared" si="748"/>
        <v>33</v>
      </c>
      <c r="CU810" s="235">
        <f t="shared" si="749"/>
        <v>4.8487499999999999</v>
      </c>
      <c r="CV810" s="235" cm="1">
        <f t="array" ref="CV810">$BI810 * IF($AH810&lt;=2,
SUMPRODUCT(INDEX($AR$62:$AT$66,,$AI810), INDEX($AU$62:$BA$66,,$AH810), 1 / ($BB$62:$BB$66*CU810 + (1-$BB$62:$BB$66)*CQ810), N($AQ$62:$AQ$66&gt;$AO810)),
SUMPRODUCT(INDEX($AR$47:$AT$56,,$AI810), INDEX($AU$47:$BA$56,,$AH810), 1 / ($BC$47:$BC$56*CU810 + (1-$BC$47:$BC$56)*CQ810), N($AQ$47:$AQ$56&gt;$AO810))
) / 1000</f>
        <v>0</v>
      </c>
      <c r="CW810" s="235" cm="1">
        <f t="array" ref="CW810">$BI810 * IF($AH810&lt;=2,
SUMPRODUCT(INDEX($AR$23:$AT$61,,$AI810), INDEX($AU$23:$BA$61,,$AH810), 1 / ($BB$23:$BB$61*CU810), N($AQ$23:$AQ$61&gt;$AO810)),
SUMPRODUCT(INDEX($AR$23:$AT$46,,$AI810), INDEX($AU$23:$BA$46,,$AH810), 1 / ($BC$23:$BC$46*CU810), N($AQ$23:$AQ$46&gt;$AO810))
) / 1000</f>
        <v>0</v>
      </c>
      <c r="CX810" s="230">
        <f t="shared" si="750"/>
        <v>0</v>
      </c>
      <c r="CY810" s="238"/>
    </row>
    <row r="811" spans="1:103" s="76" customFormat="1" ht="14.25" customHeight="1" x14ac:dyDescent="0.2">
      <c r="A811" s="231" t="b">
        <f t="shared" si="754"/>
        <v>0</v>
      </c>
      <c r="B811" s="245">
        <v>789</v>
      </c>
      <c r="C811" s="258"/>
      <c r="D811" s="258"/>
      <c r="E811" s="246"/>
      <c r="F811" s="247" t="str">
        <f>IF(ISBLANK(E811), "", VLOOKUP(E811, Z!$A$2:$C$4127, 3, FALSE))</f>
        <v/>
      </c>
      <c r="G811" s="248"/>
      <c r="H811" s="248"/>
      <c r="I811" s="249"/>
      <c r="J811" s="250"/>
      <c r="K811" s="259"/>
      <c r="L811" s="260"/>
      <c r="M811" s="252" t="str" cm="1">
        <f t="array" ref="M811">INDEX(Trad, 53, $A$20)</f>
        <v>Verschmutzt</v>
      </c>
      <c r="N811" s="253"/>
      <c r="O811" s="253"/>
      <c r="P811" s="254"/>
      <c r="Q811" s="251"/>
      <c r="R811" s="251"/>
      <c r="S811" s="264">
        <f t="shared" si="725"/>
        <v>0</v>
      </c>
      <c r="T811" s="252" t="str" cm="1">
        <f t="array" ref="T811">INDEX(Trad, 52, $A$20)</f>
        <v>Sauber</v>
      </c>
      <c r="U811" s="253"/>
      <c r="V811" s="253"/>
      <c r="W811" s="254"/>
      <c r="X811" s="251"/>
      <c r="Y811" s="251"/>
      <c r="Z811" s="264">
        <f t="shared" si="726"/>
        <v>0</v>
      </c>
      <c r="AA811" s="261"/>
      <c r="AB811" s="258"/>
      <c r="AC811" s="246"/>
      <c r="AD811" s="247" t="str">
        <f>IF(ISBLANK(AC811), "", VLOOKUP(AC811, Z!$A$2:$C$4127, 3, FALSE))</f>
        <v/>
      </c>
      <c r="AE811" s="262"/>
      <c r="AF811" s="263">
        <f t="shared" si="727"/>
        <v>0</v>
      </c>
      <c r="AG811" s="238"/>
      <c r="AH811" s="229">
        <f t="shared" si="751"/>
        <v>1</v>
      </c>
      <c r="AI811" s="229">
        <f t="shared" si="752"/>
        <v>1</v>
      </c>
      <c r="AJ811" s="229">
        <f t="shared" si="753"/>
        <v>0</v>
      </c>
      <c r="AK811" s="229">
        <v>0</v>
      </c>
      <c r="AL811" s="229">
        <v>0</v>
      </c>
      <c r="AM811" s="229">
        <v>1</v>
      </c>
      <c r="AN811" s="229">
        <v>0</v>
      </c>
      <c r="AO811" s="229">
        <f t="shared" si="728"/>
        <v>-100</v>
      </c>
      <c r="AP811" s="238"/>
      <c r="AQ811" s="255"/>
      <c r="AR811" s="255"/>
      <c r="AS811" s="256"/>
      <c r="AT811" s="256"/>
      <c r="AU811" s="256"/>
      <c r="AV811" s="256"/>
      <c r="AW811" s="256"/>
      <c r="AX811" s="256"/>
      <c r="AY811" s="256"/>
      <c r="AZ811" s="256"/>
      <c r="BA811" s="256"/>
      <c r="BB811" s="256"/>
      <c r="BC811" s="256"/>
      <c r="BD811" s="238"/>
      <c r="BE811" s="229" cm="1">
        <f t="array" ref="BE811">IF(ISBLANK(R811), INDEX(Use, $AH811, 4) - AM811*INDEX(Use, $AH811, 6), R811)</f>
        <v>5</v>
      </c>
      <c r="BF811" s="229">
        <f t="shared" si="729"/>
        <v>30</v>
      </c>
      <c r="BG811" s="229">
        <f t="shared" si="755"/>
        <v>13</v>
      </c>
      <c r="BH811" s="229">
        <f t="shared" si="756"/>
        <v>0</v>
      </c>
      <c r="BI811" s="234" cm="1">
        <f t="array" ref="BI811">K811/IF($L811&gt;0, INDEX($AU$23:$BA$77, $L811+20, $AH811), 1)</f>
        <v>0</v>
      </c>
      <c r="BJ811" s="230">
        <f t="shared" si="730"/>
        <v>0</v>
      </c>
      <c r="BK811" s="229">
        <v>35</v>
      </c>
      <c r="BL811" s="230">
        <f t="shared" si="731"/>
        <v>48</v>
      </c>
      <c r="BM811" s="235">
        <f t="shared" si="732"/>
        <v>2.9108720930232557</v>
      </c>
      <c r="BN811" s="235" cm="1">
        <f t="array" ref="BN811">$BI811 * SUMPRODUCT(INDEX($AR$77:$AT$82,,$AI811),INDEX($AU$77:$BA$82,,$AH811), N($AQ$77:$AQ$82&gt;$AO811)) / BM811 / 1000</f>
        <v>0</v>
      </c>
      <c r="BO811" s="232">
        <f t="shared" si="757"/>
        <v>30</v>
      </c>
      <c r="BP811" s="230">
        <f t="shared" si="733"/>
        <v>43</v>
      </c>
      <c r="BQ811" s="235">
        <f t="shared" si="734"/>
        <v>3.2938815789473681</v>
      </c>
      <c r="BR811" s="235" cm="1">
        <f t="array" ref="BR811">$BI811 * IF($AH811&lt;=2,
SUMPRODUCT(INDEX($AR$72:$AT$76,,$AI811), INDEX($AU$72:$BA$76,,$AH811), 1 / ($BB$72:$BB$76*BQ811 + (1-$BB$72:$BB$76)*BM811), N($AQ$72:$AQ$76&gt;$AO811)),
SUMPRODUCT(INDEX($AR$67:$AT$76,,$AI811), INDEX($AU$67:$BA$76,,$AH811), 1 / ($BC$67:$BC$76*BQ811 + (1-$BC$67:$BC$76)*BM811), N($AQ$67:$AQ$76&gt;$AO811))
) / 1000</f>
        <v>0</v>
      </c>
      <c r="BS811" s="232">
        <f t="shared" si="758"/>
        <v>25</v>
      </c>
      <c r="BT811" s="230">
        <f t="shared" si="735"/>
        <v>38</v>
      </c>
      <c r="BU811" s="235">
        <f t="shared" si="736"/>
        <v>3.792954545454545</v>
      </c>
      <c r="BV811" s="235" cm="1">
        <f t="array" ref="BV811">$BI811 * IF($AH811&lt;=2,
SUMPRODUCT(INDEX($AR$67:$AT$71,,$AI811), INDEX($AU$67:$BA$71,,$AH811), 1 / ($BB$67:$BB$71*BU811 + (1-$BB$67:$BB$71)*BQ811), N($AQ$67:$AQ$71&gt;$AO811)),
SUMPRODUCT(INDEX($AR$57:$AT$66,,$AI811), INDEX($AU$57:$BA$66,,$AH811), 1 / ($BC$57:$BC$66*BU811 + (1-$BC$57:$BC$66)*BQ811), N($AQ$57:$AQ$66&gt;$AO811))
) / 1000</f>
        <v>0</v>
      </c>
      <c r="BW811" s="232">
        <f t="shared" si="759"/>
        <v>20</v>
      </c>
      <c r="BX811" s="230">
        <f t="shared" si="737"/>
        <v>33</v>
      </c>
      <c r="BY811" s="235">
        <f t="shared" si="738"/>
        <v>4.4702678571428569</v>
      </c>
      <c r="BZ811" s="235" cm="1">
        <f t="array" ref="BZ811">$BI811 * IF($AH811&lt;=2,
SUMPRODUCT(INDEX($AR$62:$AT$66,,$AI811), INDEX($AU$62:$BA$66,,$AH811), 1 / ($BB$62:$BB$66*BY811 + (1-$BB$62:$BB$66)*BU811), N($AQ$62:$AQ$66&gt;$AO811)),
SUMPRODUCT(INDEX($AR$47:$AT$56,,$AI811), INDEX($AU$47:$BA$56,,$AH811), 1 / ($BC$47:$BC$56*BY811 + (1-$BC$47:$BC$56)*BU811), N($AQ$47:$AQ$56&gt;$AO811))
) / 1000</f>
        <v>0</v>
      </c>
      <c r="CA811" s="235" cm="1">
        <f t="array" ref="CA811">$BI811 * IF($AH811&lt;=2,
SUMPRODUCT(INDEX($AR$23:$AT$61,,$AI811), INDEX($AU$23:$BA$61,,$AH811), 1 / ($BB$23:$BB$61*BY811), N($AQ$23:$AQ$61&gt;$AO811)),
SUMPRODUCT(INDEX($AR$23:$AT$46,,$AI811), INDEX($AU$23:$BA$46,,$AH811), 1 / ($BC$23:$BC$46*BY811), N($AQ$23:$AQ$46&gt;$AO811))
) / 1000</f>
        <v>0</v>
      </c>
      <c r="CB811" s="230">
        <f t="shared" si="739"/>
        <v>0</v>
      </c>
      <c r="CC811" s="238"/>
      <c r="CD811" s="229" cm="1">
        <f t="array" ref="CD811">IF(ISBLANK(Y811), INDEX(Use, $AH811, 4) - AN811*INDEX(Use, $AH811, 6) - (Q811-X811), Y811)</f>
        <v>7</v>
      </c>
      <c r="CE811" s="229">
        <f t="shared" si="740"/>
        <v>32</v>
      </c>
      <c r="CF811" s="230">
        <f t="shared" si="741"/>
        <v>0</v>
      </c>
      <c r="CG811" s="229">
        <v>35</v>
      </c>
      <c r="CH811" s="230">
        <f t="shared" si="742"/>
        <v>48</v>
      </c>
      <c r="CI811" s="235">
        <f t="shared" si="743"/>
        <v>3.0748170731707316</v>
      </c>
      <c r="CJ811" s="235" cm="1">
        <f t="array" ref="CJ811">$BI811 * SUMPRODUCT(INDEX($AR$77:$AT$82,,$AI811),INDEX($AU$77:$BA$82,,$AH811), N($AQ$77:$AQ$82&gt;$AO811)) / CI811 / 1000</f>
        <v>0</v>
      </c>
      <c r="CK811" s="232">
        <f t="shared" si="760"/>
        <v>30</v>
      </c>
      <c r="CL811" s="230">
        <f t="shared" si="744"/>
        <v>43</v>
      </c>
      <c r="CM811" s="235">
        <f t="shared" si="745"/>
        <v>3.5018750000000001</v>
      </c>
      <c r="CN811" s="235" cm="1">
        <f t="array" ref="CN811">$BI811 * IF($AH811&lt;=2,
SUMPRODUCT(INDEX($AR$72:$AT$76,,$AI811), INDEX($AU$72:$BA$76,,$AH811), 1 / ($BB$72:$BB$76*CM811 + (1-$BB$72:$BB$76)*CI811), N($AQ$72:$AQ$76&gt;$AO811)),
SUMPRODUCT(INDEX($AR$67:$AT$76,,$AI811), INDEX($AU$67:$BA$76,,$AH811), 1 / ($BC$67:$BC$76*CM811 + (1-$BC$67:$BC$76)*CI811), N($AQ$67:$AQ$76&gt;$AO811))
) / 1000</f>
        <v>0</v>
      </c>
      <c r="CO811" s="232">
        <f t="shared" si="761"/>
        <v>25</v>
      </c>
      <c r="CP811" s="230">
        <f t="shared" si="746"/>
        <v>38</v>
      </c>
      <c r="CQ811" s="235">
        <f t="shared" si="747"/>
        <v>4.0666935483870965</v>
      </c>
      <c r="CR811" s="235" cm="1">
        <f t="array" ref="CR811">$BI811 * IF($AH811&lt;=2,
SUMPRODUCT(INDEX($AR$67:$AT$71,,$AI811), INDEX($AU$67:$BA$71,,$AH811), 1 / ($BB$67:$BB$71*CQ811 + (1-$BB$67:$BB$71)*CM811), N($AQ$67:$AQ$71&gt;$AO811)),
SUMPRODUCT(INDEX($AR$57:$AT$66,,$AI811), INDEX($AU$57:$BA$66,,$AH811), 1 / ($BC$57:$BC$66*CQ811 + (1-$BC$57:$BC$66)*CM811), N($AQ$57:$AQ$66&gt;$AO811))
) / 1000</f>
        <v>0</v>
      </c>
      <c r="CS811" s="232">
        <f t="shared" si="762"/>
        <v>20</v>
      </c>
      <c r="CT811" s="230">
        <f t="shared" si="748"/>
        <v>33</v>
      </c>
      <c r="CU811" s="235">
        <f t="shared" si="749"/>
        <v>4.8487499999999999</v>
      </c>
      <c r="CV811" s="235" cm="1">
        <f t="array" ref="CV811">$BI811 * IF($AH811&lt;=2,
SUMPRODUCT(INDEX($AR$62:$AT$66,,$AI811), INDEX($AU$62:$BA$66,,$AH811), 1 / ($BB$62:$BB$66*CU811 + (1-$BB$62:$BB$66)*CQ811), N($AQ$62:$AQ$66&gt;$AO811)),
SUMPRODUCT(INDEX($AR$47:$AT$56,,$AI811), INDEX($AU$47:$BA$56,,$AH811), 1 / ($BC$47:$BC$56*CU811 + (1-$BC$47:$BC$56)*CQ811), N($AQ$47:$AQ$56&gt;$AO811))
) / 1000</f>
        <v>0</v>
      </c>
      <c r="CW811" s="235" cm="1">
        <f t="array" ref="CW811">$BI811 * IF($AH811&lt;=2,
SUMPRODUCT(INDEX($AR$23:$AT$61,,$AI811), INDEX($AU$23:$BA$61,,$AH811), 1 / ($BB$23:$BB$61*CU811), N($AQ$23:$AQ$61&gt;$AO811)),
SUMPRODUCT(INDEX($AR$23:$AT$46,,$AI811), INDEX($AU$23:$BA$46,,$AH811), 1 / ($BC$23:$BC$46*CU811), N($AQ$23:$AQ$46&gt;$AO811))
) / 1000</f>
        <v>0</v>
      </c>
      <c r="CX811" s="230">
        <f t="shared" si="750"/>
        <v>0</v>
      </c>
      <c r="CY811" s="238"/>
    </row>
    <row r="812" spans="1:103" s="76" customFormat="1" ht="14.25" customHeight="1" x14ac:dyDescent="0.2">
      <c r="A812" s="231" t="b">
        <f t="shared" si="754"/>
        <v>0</v>
      </c>
      <c r="B812" s="245">
        <v>790</v>
      </c>
      <c r="C812" s="258"/>
      <c r="D812" s="258"/>
      <c r="E812" s="246"/>
      <c r="F812" s="247" t="str">
        <f>IF(ISBLANK(E812), "", VLOOKUP(E812, Z!$A$2:$C$4127, 3, FALSE))</f>
        <v/>
      </c>
      <c r="G812" s="248"/>
      <c r="H812" s="248"/>
      <c r="I812" s="249"/>
      <c r="J812" s="250"/>
      <c r="K812" s="259"/>
      <c r="L812" s="260"/>
      <c r="M812" s="252" t="str" cm="1">
        <f t="array" ref="M812">INDEX(Trad, 53, $A$20)</f>
        <v>Verschmutzt</v>
      </c>
      <c r="N812" s="253"/>
      <c r="O812" s="253"/>
      <c r="P812" s="254"/>
      <c r="Q812" s="251"/>
      <c r="R812" s="251"/>
      <c r="S812" s="264">
        <f t="shared" si="725"/>
        <v>0</v>
      </c>
      <c r="T812" s="252" t="str" cm="1">
        <f t="array" ref="T812">INDEX(Trad, 52, $A$20)</f>
        <v>Sauber</v>
      </c>
      <c r="U812" s="253"/>
      <c r="V812" s="253"/>
      <c r="W812" s="254"/>
      <c r="X812" s="251"/>
      <c r="Y812" s="251"/>
      <c r="Z812" s="264">
        <f t="shared" si="726"/>
        <v>0</v>
      </c>
      <c r="AA812" s="261"/>
      <c r="AB812" s="258"/>
      <c r="AC812" s="246"/>
      <c r="AD812" s="247" t="str">
        <f>IF(ISBLANK(AC812), "", VLOOKUP(AC812, Z!$A$2:$C$4127, 3, FALSE))</f>
        <v/>
      </c>
      <c r="AE812" s="262"/>
      <c r="AF812" s="263">
        <f t="shared" si="727"/>
        <v>0</v>
      </c>
      <c r="AG812" s="238"/>
      <c r="AH812" s="229">
        <f t="shared" si="751"/>
        <v>1</v>
      </c>
      <c r="AI812" s="229">
        <f t="shared" si="752"/>
        <v>1</v>
      </c>
      <c r="AJ812" s="229">
        <f t="shared" si="753"/>
        <v>0</v>
      </c>
      <c r="AK812" s="229">
        <v>0</v>
      </c>
      <c r="AL812" s="229">
        <v>0</v>
      </c>
      <c r="AM812" s="229">
        <v>1</v>
      </c>
      <c r="AN812" s="229">
        <v>0</v>
      </c>
      <c r="AO812" s="229">
        <f t="shared" si="728"/>
        <v>-100</v>
      </c>
      <c r="AP812" s="238"/>
      <c r="AQ812" s="255"/>
      <c r="AR812" s="255"/>
      <c r="AS812" s="256"/>
      <c r="AT812" s="256"/>
      <c r="AU812" s="256"/>
      <c r="AV812" s="256"/>
      <c r="AW812" s="256"/>
      <c r="AX812" s="256"/>
      <c r="AY812" s="256"/>
      <c r="AZ812" s="256"/>
      <c r="BA812" s="256"/>
      <c r="BB812" s="256"/>
      <c r="BC812" s="256"/>
      <c r="BD812" s="238"/>
      <c r="BE812" s="229" cm="1">
        <f t="array" ref="BE812">IF(ISBLANK(R812), INDEX(Use, $AH812, 4) - AM812*INDEX(Use, $AH812, 6), R812)</f>
        <v>5</v>
      </c>
      <c r="BF812" s="229">
        <f t="shared" si="729"/>
        <v>30</v>
      </c>
      <c r="BG812" s="229">
        <f t="shared" si="755"/>
        <v>13</v>
      </c>
      <c r="BH812" s="229">
        <f t="shared" si="756"/>
        <v>0</v>
      </c>
      <c r="BI812" s="234" cm="1">
        <f t="array" ref="BI812">K812/IF($L812&gt;0, INDEX($AU$23:$BA$77, $L812+20, $AH812), 1)</f>
        <v>0</v>
      </c>
      <c r="BJ812" s="230">
        <f t="shared" si="730"/>
        <v>0</v>
      </c>
      <c r="BK812" s="229">
        <v>35</v>
      </c>
      <c r="BL812" s="230">
        <f t="shared" si="731"/>
        <v>48</v>
      </c>
      <c r="BM812" s="235">
        <f t="shared" si="732"/>
        <v>2.9108720930232557</v>
      </c>
      <c r="BN812" s="235" cm="1">
        <f t="array" ref="BN812">$BI812 * SUMPRODUCT(INDEX($AR$77:$AT$82,,$AI812),INDEX($AU$77:$BA$82,,$AH812), N($AQ$77:$AQ$82&gt;$AO812)) / BM812 / 1000</f>
        <v>0</v>
      </c>
      <c r="BO812" s="232">
        <f t="shared" si="757"/>
        <v>30</v>
      </c>
      <c r="BP812" s="230">
        <f t="shared" si="733"/>
        <v>43</v>
      </c>
      <c r="BQ812" s="235">
        <f t="shared" si="734"/>
        <v>3.2938815789473681</v>
      </c>
      <c r="BR812" s="235" cm="1">
        <f t="array" ref="BR812">$BI812 * IF($AH812&lt;=2,
SUMPRODUCT(INDEX($AR$72:$AT$76,,$AI812), INDEX($AU$72:$BA$76,,$AH812), 1 / ($BB$72:$BB$76*BQ812 + (1-$BB$72:$BB$76)*BM812), N($AQ$72:$AQ$76&gt;$AO812)),
SUMPRODUCT(INDEX($AR$67:$AT$76,,$AI812), INDEX($AU$67:$BA$76,,$AH812), 1 / ($BC$67:$BC$76*BQ812 + (1-$BC$67:$BC$76)*BM812), N($AQ$67:$AQ$76&gt;$AO812))
) / 1000</f>
        <v>0</v>
      </c>
      <c r="BS812" s="232">
        <f t="shared" si="758"/>
        <v>25</v>
      </c>
      <c r="BT812" s="230">
        <f t="shared" si="735"/>
        <v>38</v>
      </c>
      <c r="BU812" s="235">
        <f t="shared" si="736"/>
        <v>3.792954545454545</v>
      </c>
      <c r="BV812" s="235" cm="1">
        <f t="array" ref="BV812">$BI812 * IF($AH812&lt;=2,
SUMPRODUCT(INDEX($AR$67:$AT$71,,$AI812), INDEX($AU$67:$BA$71,,$AH812), 1 / ($BB$67:$BB$71*BU812 + (1-$BB$67:$BB$71)*BQ812), N($AQ$67:$AQ$71&gt;$AO812)),
SUMPRODUCT(INDEX($AR$57:$AT$66,,$AI812), INDEX($AU$57:$BA$66,,$AH812), 1 / ($BC$57:$BC$66*BU812 + (1-$BC$57:$BC$66)*BQ812), N($AQ$57:$AQ$66&gt;$AO812))
) / 1000</f>
        <v>0</v>
      </c>
      <c r="BW812" s="232">
        <f t="shared" si="759"/>
        <v>20</v>
      </c>
      <c r="BX812" s="230">
        <f t="shared" si="737"/>
        <v>33</v>
      </c>
      <c r="BY812" s="235">
        <f t="shared" si="738"/>
        <v>4.4702678571428569</v>
      </c>
      <c r="BZ812" s="235" cm="1">
        <f t="array" ref="BZ812">$BI812 * IF($AH812&lt;=2,
SUMPRODUCT(INDEX($AR$62:$AT$66,,$AI812), INDEX($AU$62:$BA$66,,$AH812), 1 / ($BB$62:$BB$66*BY812 + (1-$BB$62:$BB$66)*BU812), N($AQ$62:$AQ$66&gt;$AO812)),
SUMPRODUCT(INDEX($AR$47:$AT$56,,$AI812), INDEX($AU$47:$BA$56,,$AH812), 1 / ($BC$47:$BC$56*BY812 + (1-$BC$47:$BC$56)*BU812), N($AQ$47:$AQ$56&gt;$AO812))
) / 1000</f>
        <v>0</v>
      </c>
      <c r="CA812" s="235" cm="1">
        <f t="array" ref="CA812">$BI812 * IF($AH812&lt;=2,
SUMPRODUCT(INDEX($AR$23:$AT$61,,$AI812), INDEX($AU$23:$BA$61,,$AH812), 1 / ($BB$23:$BB$61*BY812), N($AQ$23:$AQ$61&gt;$AO812)),
SUMPRODUCT(INDEX($AR$23:$AT$46,,$AI812), INDEX($AU$23:$BA$46,,$AH812), 1 / ($BC$23:$BC$46*BY812), N($AQ$23:$AQ$46&gt;$AO812))
) / 1000</f>
        <v>0</v>
      </c>
      <c r="CB812" s="230">
        <f t="shared" si="739"/>
        <v>0</v>
      </c>
      <c r="CC812" s="238"/>
      <c r="CD812" s="229" cm="1">
        <f t="array" ref="CD812">IF(ISBLANK(Y812), INDEX(Use, $AH812, 4) - AN812*INDEX(Use, $AH812, 6) - (Q812-X812), Y812)</f>
        <v>7</v>
      </c>
      <c r="CE812" s="229">
        <f t="shared" si="740"/>
        <v>32</v>
      </c>
      <c r="CF812" s="230">
        <f t="shared" si="741"/>
        <v>0</v>
      </c>
      <c r="CG812" s="229">
        <v>35</v>
      </c>
      <c r="CH812" s="230">
        <f t="shared" si="742"/>
        <v>48</v>
      </c>
      <c r="CI812" s="235">
        <f t="shared" si="743"/>
        <v>3.0748170731707316</v>
      </c>
      <c r="CJ812" s="235" cm="1">
        <f t="array" ref="CJ812">$BI812 * SUMPRODUCT(INDEX($AR$77:$AT$82,,$AI812),INDEX($AU$77:$BA$82,,$AH812), N($AQ$77:$AQ$82&gt;$AO812)) / CI812 / 1000</f>
        <v>0</v>
      </c>
      <c r="CK812" s="232">
        <f t="shared" si="760"/>
        <v>30</v>
      </c>
      <c r="CL812" s="230">
        <f t="shared" si="744"/>
        <v>43</v>
      </c>
      <c r="CM812" s="235">
        <f t="shared" si="745"/>
        <v>3.5018750000000001</v>
      </c>
      <c r="CN812" s="235" cm="1">
        <f t="array" ref="CN812">$BI812 * IF($AH812&lt;=2,
SUMPRODUCT(INDEX($AR$72:$AT$76,,$AI812), INDEX($AU$72:$BA$76,,$AH812), 1 / ($BB$72:$BB$76*CM812 + (1-$BB$72:$BB$76)*CI812), N($AQ$72:$AQ$76&gt;$AO812)),
SUMPRODUCT(INDEX($AR$67:$AT$76,,$AI812), INDEX($AU$67:$BA$76,,$AH812), 1 / ($BC$67:$BC$76*CM812 + (1-$BC$67:$BC$76)*CI812), N($AQ$67:$AQ$76&gt;$AO812))
) / 1000</f>
        <v>0</v>
      </c>
      <c r="CO812" s="232">
        <f t="shared" si="761"/>
        <v>25</v>
      </c>
      <c r="CP812" s="230">
        <f t="shared" si="746"/>
        <v>38</v>
      </c>
      <c r="CQ812" s="235">
        <f t="shared" si="747"/>
        <v>4.0666935483870965</v>
      </c>
      <c r="CR812" s="235" cm="1">
        <f t="array" ref="CR812">$BI812 * IF($AH812&lt;=2,
SUMPRODUCT(INDEX($AR$67:$AT$71,,$AI812), INDEX($AU$67:$BA$71,,$AH812), 1 / ($BB$67:$BB$71*CQ812 + (1-$BB$67:$BB$71)*CM812), N($AQ$67:$AQ$71&gt;$AO812)),
SUMPRODUCT(INDEX($AR$57:$AT$66,,$AI812), INDEX($AU$57:$BA$66,,$AH812), 1 / ($BC$57:$BC$66*CQ812 + (1-$BC$57:$BC$66)*CM812), N($AQ$57:$AQ$66&gt;$AO812))
) / 1000</f>
        <v>0</v>
      </c>
      <c r="CS812" s="232">
        <f t="shared" si="762"/>
        <v>20</v>
      </c>
      <c r="CT812" s="230">
        <f t="shared" si="748"/>
        <v>33</v>
      </c>
      <c r="CU812" s="235">
        <f t="shared" si="749"/>
        <v>4.8487499999999999</v>
      </c>
      <c r="CV812" s="235" cm="1">
        <f t="array" ref="CV812">$BI812 * IF($AH812&lt;=2,
SUMPRODUCT(INDEX($AR$62:$AT$66,,$AI812), INDEX($AU$62:$BA$66,,$AH812), 1 / ($BB$62:$BB$66*CU812 + (1-$BB$62:$BB$66)*CQ812), N($AQ$62:$AQ$66&gt;$AO812)),
SUMPRODUCT(INDEX($AR$47:$AT$56,,$AI812), INDEX($AU$47:$BA$56,,$AH812), 1 / ($BC$47:$BC$56*CU812 + (1-$BC$47:$BC$56)*CQ812), N($AQ$47:$AQ$56&gt;$AO812))
) / 1000</f>
        <v>0</v>
      </c>
      <c r="CW812" s="235" cm="1">
        <f t="array" ref="CW812">$BI812 * IF($AH812&lt;=2,
SUMPRODUCT(INDEX($AR$23:$AT$61,,$AI812), INDEX($AU$23:$BA$61,,$AH812), 1 / ($BB$23:$BB$61*CU812), N($AQ$23:$AQ$61&gt;$AO812)),
SUMPRODUCT(INDEX($AR$23:$AT$46,,$AI812), INDEX($AU$23:$BA$46,,$AH812), 1 / ($BC$23:$BC$46*CU812), N($AQ$23:$AQ$46&gt;$AO812))
) / 1000</f>
        <v>0</v>
      </c>
      <c r="CX812" s="230">
        <f t="shared" si="750"/>
        <v>0</v>
      </c>
      <c r="CY812" s="238"/>
    </row>
    <row r="813" spans="1:103" s="76" customFormat="1" ht="14.25" customHeight="1" x14ac:dyDescent="0.2">
      <c r="A813" s="231" t="b">
        <f t="shared" si="754"/>
        <v>0</v>
      </c>
      <c r="B813" s="245">
        <v>791</v>
      </c>
      <c r="C813" s="258"/>
      <c r="D813" s="258"/>
      <c r="E813" s="246"/>
      <c r="F813" s="247" t="str">
        <f>IF(ISBLANK(E813), "", VLOOKUP(E813, Z!$A$2:$C$4127, 3, FALSE))</f>
        <v/>
      </c>
      <c r="G813" s="248"/>
      <c r="H813" s="248"/>
      <c r="I813" s="249"/>
      <c r="J813" s="250"/>
      <c r="K813" s="259"/>
      <c r="L813" s="260"/>
      <c r="M813" s="252" t="str" cm="1">
        <f t="array" ref="M813">INDEX(Trad, 53, $A$20)</f>
        <v>Verschmutzt</v>
      </c>
      <c r="N813" s="253"/>
      <c r="O813" s="253"/>
      <c r="P813" s="254"/>
      <c r="Q813" s="251"/>
      <c r="R813" s="251"/>
      <c r="S813" s="264">
        <f t="shared" si="725"/>
        <v>0</v>
      </c>
      <c r="T813" s="252" t="str" cm="1">
        <f t="array" ref="T813">INDEX(Trad, 52, $A$20)</f>
        <v>Sauber</v>
      </c>
      <c r="U813" s="253"/>
      <c r="V813" s="253"/>
      <c r="W813" s="254"/>
      <c r="X813" s="251"/>
      <c r="Y813" s="251"/>
      <c r="Z813" s="264">
        <f t="shared" si="726"/>
        <v>0</v>
      </c>
      <c r="AA813" s="261"/>
      <c r="AB813" s="258"/>
      <c r="AC813" s="246"/>
      <c r="AD813" s="247" t="str">
        <f>IF(ISBLANK(AC813), "", VLOOKUP(AC813, Z!$A$2:$C$4127, 3, FALSE))</f>
        <v/>
      </c>
      <c r="AE813" s="262"/>
      <c r="AF813" s="263">
        <f t="shared" si="727"/>
        <v>0</v>
      </c>
      <c r="AG813" s="238"/>
      <c r="AH813" s="229">
        <f t="shared" si="751"/>
        <v>1</v>
      </c>
      <c r="AI813" s="229">
        <f t="shared" si="752"/>
        <v>1</v>
      </c>
      <c r="AJ813" s="229">
        <f t="shared" si="753"/>
        <v>0</v>
      </c>
      <c r="AK813" s="229">
        <v>0</v>
      </c>
      <c r="AL813" s="229">
        <v>0</v>
      </c>
      <c r="AM813" s="229">
        <v>1</v>
      </c>
      <c r="AN813" s="229">
        <v>0</v>
      </c>
      <c r="AO813" s="229">
        <f t="shared" si="728"/>
        <v>-100</v>
      </c>
      <c r="AP813" s="238"/>
      <c r="AQ813" s="255"/>
      <c r="AR813" s="255"/>
      <c r="AS813" s="256"/>
      <c r="AT813" s="256"/>
      <c r="AU813" s="256"/>
      <c r="AV813" s="256"/>
      <c r="AW813" s="256"/>
      <c r="AX813" s="256"/>
      <c r="AY813" s="256"/>
      <c r="AZ813" s="256"/>
      <c r="BA813" s="256"/>
      <c r="BB813" s="256"/>
      <c r="BC813" s="256"/>
      <c r="BD813" s="238"/>
      <c r="BE813" s="229" cm="1">
        <f t="array" ref="BE813">IF(ISBLANK(R813), INDEX(Use, $AH813, 4) - AM813*INDEX(Use, $AH813, 6), R813)</f>
        <v>5</v>
      </c>
      <c r="BF813" s="229">
        <f t="shared" si="729"/>
        <v>30</v>
      </c>
      <c r="BG813" s="229">
        <f t="shared" si="755"/>
        <v>13</v>
      </c>
      <c r="BH813" s="229">
        <f t="shared" si="756"/>
        <v>0</v>
      </c>
      <c r="BI813" s="234" cm="1">
        <f t="array" ref="BI813">K813/IF($L813&gt;0, INDEX($AU$23:$BA$77, $L813+20, $AH813), 1)</f>
        <v>0</v>
      </c>
      <c r="BJ813" s="230">
        <f t="shared" si="730"/>
        <v>0</v>
      </c>
      <c r="BK813" s="229">
        <v>35</v>
      </c>
      <c r="BL813" s="230">
        <f t="shared" si="731"/>
        <v>48</v>
      </c>
      <c r="BM813" s="235">
        <f t="shared" si="732"/>
        <v>2.9108720930232557</v>
      </c>
      <c r="BN813" s="235" cm="1">
        <f t="array" ref="BN813">$BI813 * SUMPRODUCT(INDEX($AR$77:$AT$82,,$AI813),INDEX($AU$77:$BA$82,,$AH813), N($AQ$77:$AQ$82&gt;$AO813)) / BM813 / 1000</f>
        <v>0</v>
      </c>
      <c r="BO813" s="232">
        <f t="shared" si="757"/>
        <v>30</v>
      </c>
      <c r="BP813" s="230">
        <f t="shared" si="733"/>
        <v>43</v>
      </c>
      <c r="BQ813" s="235">
        <f t="shared" si="734"/>
        <v>3.2938815789473681</v>
      </c>
      <c r="BR813" s="235" cm="1">
        <f t="array" ref="BR813">$BI813 * IF($AH813&lt;=2,
SUMPRODUCT(INDEX($AR$72:$AT$76,,$AI813), INDEX($AU$72:$BA$76,,$AH813), 1 / ($BB$72:$BB$76*BQ813 + (1-$BB$72:$BB$76)*BM813), N($AQ$72:$AQ$76&gt;$AO813)),
SUMPRODUCT(INDEX($AR$67:$AT$76,,$AI813), INDEX($AU$67:$BA$76,,$AH813), 1 / ($BC$67:$BC$76*BQ813 + (1-$BC$67:$BC$76)*BM813), N($AQ$67:$AQ$76&gt;$AO813))
) / 1000</f>
        <v>0</v>
      </c>
      <c r="BS813" s="232">
        <f t="shared" si="758"/>
        <v>25</v>
      </c>
      <c r="BT813" s="230">
        <f t="shared" si="735"/>
        <v>38</v>
      </c>
      <c r="BU813" s="235">
        <f t="shared" si="736"/>
        <v>3.792954545454545</v>
      </c>
      <c r="BV813" s="235" cm="1">
        <f t="array" ref="BV813">$BI813 * IF($AH813&lt;=2,
SUMPRODUCT(INDEX($AR$67:$AT$71,,$AI813), INDEX($AU$67:$BA$71,,$AH813), 1 / ($BB$67:$BB$71*BU813 + (1-$BB$67:$BB$71)*BQ813), N($AQ$67:$AQ$71&gt;$AO813)),
SUMPRODUCT(INDEX($AR$57:$AT$66,,$AI813), INDEX($AU$57:$BA$66,,$AH813), 1 / ($BC$57:$BC$66*BU813 + (1-$BC$57:$BC$66)*BQ813), N($AQ$57:$AQ$66&gt;$AO813))
) / 1000</f>
        <v>0</v>
      </c>
      <c r="BW813" s="232">
        <f t="shared" si="759"/>
        <v>20</v>
      </c>
      <c r="BX813" s="230">
        <f t="shared" si="737"/>
        <v>33</v>
      </c>
      <c r="BY813" s="235">
        <f t="shared" si="738"/>
        <v>4.4702678571428569</v>
      </c>
      <c r="BZ813" s="235" cm="1">
        <f t="array" ref="BZ813">$BI813 * IF($AH813&lt;=2,
SUMPRODUCT(INDEX($AR$62:$AT$66,,$AI813), INDEX($AU$62:$BA$66,,$AH813), 1 / ($BB$62:$BB$66*BY813 + (1-$BB$62:$BB$66)*BU813), N($AQ$62:$AQ$66&gt;$AO813)),
SUMPRODUCT(INDEX($AR$47:$AT$56,,$AI813), INDEX($AU$47:$BA$56,,$AH813), 1 / ($BC$47:$BC$56*BY813 + (1-$BC$47:$BC$56)*BU813), N($AQ$47:$AQ$56&gt;$AO813))
) / 1000</f>
        <v>0</v>
      </c>
      <c r="CA813" s="235" cm="1">
        <f t="array" ref="CA813">$BI813 * IF($AH813&lt;=2,
SUMPRODUCT(INDEX($AR$23:$AT$61,,$AI813), INDEX($AU$23:$BA$61,,$AH813), 1 / ($BB$23:$BB$61*BY813), N($AQ$23:$AQ$61&gt;$AO813)),
SUMPRODUCT(INDEX($AR$23:$AT$46,,$AI813), INDEX($AU$23:$BA$46,,$AH813), 1 / ($BC$23:$BC$46*BY813), N($AQ$23:$AQ$46&gt;$AO813))
) / 1000</f>
        <v>0</v>
      </c>
      <c r="CB813" s="230">
        <f t="shared" si="739"/>
        <v>0</v>
      </c>
      <c r="CC813" s="238"/>
      <c r="CD813" s="229" cm="1">
        <f t="array" ref="CD813">IF(ISBLANK(Y813), INDEX(Use, $AH813, 4) - AN813*INDEX(Use, $AH813, 6) - (Q813-X813), Y813)</f>
        <v>7</v>
      </c>
      <c r="CE813" s="229">
        <f t="shared" si="740"/>
        <v>32</v>
      </c>
      <c r="CF813" s="230">
        <f t="shared" si="741"/>
        <v>0</v>
      </c>
      <c r="CG813" s="229">
        <v>35</v>
      </c>
      <c r="CH813" s="230">
        <f t="shared" si="742"/>
        <v>48</v>
      </c>
      <c r="CI813" s="235">
        <f t="shared" si="743"/>
        <v>3.0748170731707316</v>
      </c>
      <c r="CJ813" s="235" cm="1">
        <f t="array" ref="CJ813">$BI813 * SUMPRODUCT(INDEX($AR$77:$AT$82,,$AI813),INDEX($AU$77:$BA$82,,$AH813), N($AQ$77:$AQ$82&gt;$AO813)) / CI813 / 1000</f>
        <v>0</v>
      </c>
      <c r="CK813" s="232">
        <f t="shared" si="760"/>
        <v>30</v>
      </c>
      <c r="CL813" s="230">
        <f t="shared" si="744"/>
        <v>43</v>
      </c>
      <c r="CM813" s="235">
        <f t="shared" si="745"/>
        <v>3.5018750000000001</v>
      </c>
      <c r="CN813" s="235" cm="1">
        <f t="array" ref="CN813">$BI813 * IF($AH813&lt;=2,
SUMPRODUCT(INDEX($AR$72:$AT$76,,$AI813), INDEX($AU$72:$BA$76,,$AH813), 1 / ($BB$72:$BB$76*CM813 + (1-$BB$72:$BB$76)*CI813), N($AQ$72:$AQ$76&gt;$AO813)),
SUMPRODUCT(INDEX($AR$67:$AT$76,,$AI813), INDEX($AU$67:$BA$76,,$AH813), 1 / ($BC$67:$BC$76*CM813 + (1-$BC$67:$BC$76)*CI813), N($AQ$67:$AQ$76&gt;$AO813))
) / 1000</f>
        <v>0</v>
      </c>
      <c r="CO813" s="232">
        <f t="shared" si="761"/>
        <v>25</v>
      </c>
      <c r="CP813" s="230">
        <f t="shared" si="746"/>
        <v>38</v>
      </c>
      <c r="CQ813" s="235">
        <f t="shared" si="747"/>
        <v>4.0666935483870965</v>
      </c>
      <c r="CR813" s="235" cm="1">
        <f t="array" ref="CR813">$BI813 * IF($AH813&lt;=2,
SUMPRODUCT(INDEX($AR$67:$AT$71,,$AI813), INDEX($AU$67:$BA$71,,$AH813), 1 / ($BB$67:$BB$71*CQ813 + (1-$BB$67:$BB$71)*CM813), N($AQ$67:$AQ$71&gt;$AO813)),
SUMPRODUCT(INDEX($AR$57:$AT$66,,$AI813), INDEX($AU$57:$BA$66,,$AH813), 1 / ($BC$57:$BC$66*CQ813 + (1-$BC$57:$BC$66)*CM813), N($AQ$57:$AQ$66&gt;$AO813))
) / 1000</f>
        <v>0</v>
      </c>
      <c r="CS813" s="232">
        <f t="shared" si="762"/>
        <v>20</v>
      </c>
      <c r="CT813" s="230">
        <f t="shared" si="748"/>
        <v>33</v>
      </c>
      <c r="CU813" s="235">
        <f t="shared" si="749"/>
        <v>4.8487499999999999</v>
      </c>
      <c r="CV813" s="235" cm="1">
        <f t="array" ref="CV813">$BI813 * IF($AH813&lt;=2,
SUMPRODUCT(INDEX($AR$62:$AT$66,,$AI813), INDEX($AU$62:$BA$66,,$AH813), 1 / ($BB$62:$BB$66*CU813 + (1-$BB$62:$BB$66)*CQ813), N($AQ$62:$AQ$66&gt;$AO813)),
SUMPRODUCT(INDEX($AR$47:$AT$56,,$AI813), INDEX($AU$47:$BA$56,,$AH813), 1 / ($BC$47:$BC$56*CU813 + (1-$BC$47:$BC$56)*CQ813), N($AQ$47:$AQ$56&gt;$AO813))
) / 1000</f>
        <v>0</v>
      </c>
      <c r="CW813" s="235" cm="1">
        <f t="array" ref="CW813">$BI813 * IF($AH813&lt;=2,
SUMPRODUCT(INDEX($AR$23:$AT$61,,$AI813), INDEX($AU$23:$BA$61,,$AH813), 1 / ($BB$23:$BB$61*CU813), N($AQ$23:$AQ$61&gt;$AO813)),
SUMPRODUCT(INDEX($AR$23:$AT$46,,$AI813), INDEX($AU$23:$BA$46,,$AH813), 1 / ($BC$23:$BC$46*CU813), N($AQ$23:$AQ$46&gt;$AO813))
) / 1000</f>
        <v>0</v>
      </c>
      <c r="CX813" s="230">
        <f t="shared" si="750"/>
        <v>0</v>
      </c>
      <c r="CY813" s="238"/>
    </row>
    <row r="814" spans="1:103" s="76" customFormat="1" ht="14.25" customHeight="1" x14ac:dyDescent="0.2">
      <c r="A814" s="231" t="b">
        <f t="shared" si="754"/>
        <v>0</v>
      </c>
      <c r="B814" s="245">
        <v>792</v>
      </c>
      <c r="C814" s="258"/>
      <c r="D814" s="258"/>
      <c r="E814" s="246"/>
      <c r="F814" s="247" t="str">
        <f>IF(ISBLANK(E814), "", VLOOKUP(E814, Z!$A$2:$C$4127, 3, FALSE))</f>
        <v/>
      </c>
      <c r="G814" s="248"/>
      <c r="H814" s="248"/>
      <c r="I814" s="249"/>
      <c r="J814" s="250"/>
      <c r="K814" s="259"/>
      <c r="L814" s="260"/>
      <c r="M814" s="252" t="str" cm="1">
        <f t="array" ref="M814">INDEX(Trad, 53, $A$20)</f>
        <v>Verschmutzt</v>
      </c>
      <c r="N814" s="253"/>
      <c r="O814" s="253"/>
      <c r="P814" s="254"/>
      <c r="Q814" s="251"/>
      <c r="R814" s="251"/>
      <c r="S814" s="264">
        <f t="shared" si="725"/>
        <v>0</v>
      </c>
      <c r="T814" s="252" t="str" cm="1">
        <f t="array" ref="T814">INDEX(Trad, 52, $A$20)</f>
        <v>Sauber</v>
      </c>
      <c r="U814" s="253"/>
      <c r="V814" s="253"/>
      <c r="W814" s="254"/>
      <c r="X814" s="251"/>
      <c r="Y814" s="251"/>
      <c r="Z814" s="264">
        <f t="shared" si="726"/>
        <v>0</v>
      </c>
      <c r="AA814" s="261"/>
      <c r="AB814" s="258"/>
      <c r="AC814" s="246"/>
      <c r="AD814" s="247" t="str">
        <f>IF(ISBLANK(AC814), "", VLOOKUP(AC814, Z!$A$2:$C$4127, 3, FALSE))</f>
        <v/>
      </c>
      <c r="AE814" s="262"/>
      <c r="AF814" s="263">
        <f t="shared" si="727"/>
        <v>0</v>
      </c>
      <c r="AG814" s="238"/>
      <c r="AH814" s="229">
        <f t="shared" si="751"/>
        <v>1</v>
      </c>
      <c r="AI814" s="229">
        <f t="shared" si="752"/>
        <v>1</v>
      </c>
      <c r="AJ814" s="229">
        <f t="shared" si="753"/>
        <v>0</v>
      </c>
      <c r="AK814" s="229">
        <v>0</v>
      </c>
      <c r="AL814" s="229">
        <v>0</v>
      </c>
      <c r="AM814" s="229">
        <v>1</v>
      </c>
      <c r="AN814" s="229">
        <v>0</v>
      </c>
      <c r="AO814" s="229">
        <f t="shared" si="728"/>
        <v>-100</v>
      </c>
      <c r="AP814" s="238"/>
      <c r="AQ814" s="255"/>
      <c r="AR814" s="255"/>
      <c r="AS814" s="256"/>
      <c r="AT814" s="256"/>
      <c r="AU814" s="256"/>
      <c r="AV814" s="256"/>
      <c r="AW814" s="256"/>
      <c r="AX814" s="256"/>
      <c r="AY814" s="256"/>
      <c r="AZ814" s="256"/>
      <c r="BA814" s="256"/>
      <c r="BB814" s="256"/>
      <c r="BC814" s="256"/>
      <c r="BD814" s="238"/>
      <c r="BE814" s="229" cm="1">
        <f t="array" ref="BE814">IF(ISBLANK(R814), INDEX(Use, $AH814, 4) - AM814*INDEX(Use, $AH814, 6), R814)</f>
        <v>5</v>
      </c>
      <c r="BF814" s="229">
        <f t="shared" si="729"/>
        <v>30</v>
      </c>
      <c r="BG814" s="229">
        <f t="shared" si="755"/>
        <v>13</v>
      </c>
      <c r="BH814" s="229">
        <f t="shared" si="756"/>
        <v>0</v>
      </c>
      <c r="BI814" s="234" cm="1">
        <f t="array" ref="BI814">K814/IF($L814&gt;0, INDEX($AU$23:$BA$77, $L814+20, $AH814), 1)</f>
        <v>0</v>
      </c>
      <c r="BJ814" s="230">
        <f t="shared" si="730"/>
        <v>0</v>
      </c>
      <c r="BK814" s="229">
        <v>35</v>
      </c>
      <c r="BL814" s="230">
        <f t="shared" si="731"/>
        <v>48</v>
      </c>
      <c r="BM814" s="235">
        <f t="shared" si="732"/>
        <v>2.9108720930232557</v>
      </c>
      <c r="BN814" s="235" cm="1">
        <f t="array" ref="BN814">$BI814 * SUMPRODUCT(INDEX($AR$77:$AT$82,,$AI814),INDEX($AU$77:$BA$82,,$AH814), N($AQ$77:$AQ$82&gt;$AO814)) / BM814 / 1000</f>
        <v>0</v>
      </c>
      <c r="BO814" s="232">
        <f t="shared" si="757"/>
        <v>30</v>
      </c>
      <c r="BP814" s="230">
        <f t="shared" si="733"/>
        <v>43</v>
      </c>
      <c r="BQ814" s="235">
        <f t="shared" si="734"/>
        <v>3.2938815789473681</v>
      </c>
      <c r="BR814" s="235" cm="1">
        <f t="array" ref="BR814">$BI814 * IF($AH814&lt;=2,
SUMPRODUCT(INDEX($AR$72:$AT$76,,$AI814), INDEX($AU$72:$BA$76,,$AH814), 1 / ($BB$72:$BB$76*BQ814 + (1-$BB$72:$BB$76)*BM814), N($AQ$72:$AQ$76&gt;$AO814)),
SUMPRODUCT(INDEX($AR$67:$AT$76,,$AI814), INDEX($AU$67:$BA$76,,$AH814), 1 / ($BC$67:$BC$76*BQ814 + (1-$BC$67:$BC$76)*BM814), N($AQ$67:$AQ$76&gt;$AO814))
) / 1000</f>
        <v>0</v>
      </c>
      <c r="BS814" s="232">
        <f t="shared" si="758"/>
        <v>25</v>
      </c>
      <c r="BT814" s="230">
        <f t="shared" si="735"/>
        <v>38</v>
      </c>
      <c r="BU814" s="235">
        <f t="shared" si="736"/>
        <v>3.792954545454545</v>
      </c>
      <c r="BV814" s="235" cm="1">
        <f t="array" ref="BV814">$BI814 * IF($AH814&lt;=2,
SUMPRODUCT(INDEX($AR$67:$AT$71,,$AI814), INDEX($AU$67:$BA$71,,$AH814), 1 / ($BB$67:$BB$71*BU814 + (1-$BB$67:$BB$71)*BQ814), N($AQ$67:$AQ$71&gt;$AO814)),
SUMPRODUCT(INDEX($AR$57:$AT$66,,$AI814), INDEX($AU$57:$BA$66,,$AH814), 1 / ($BC$57:$BC$66*BU814 + (1-$BC$57:$BC$66)*BQ814), N($AQ$57:$AQ$66&gt;$AO814))
) / 1000</f>
        <v>0</v>
      </c>
      <c r="BW814" s="232">
        <f t="shared" si="759"/>
        <v>20</v>
      </c>
      <c r="BX814" s="230">
        <f t="shared" si="737"/>
        <v>33</v>
      </c>
      <c r="BY814" s="235">
        <f t="shared" si="738"/>
        <v>4.4702678571428569</v>
      </c>
      <c r="BZ814" s="235" cm="1">
        <f t="array" ref="BZ814">$BI814 * IF($AH814&lt;=2,
SUMPRODUCT(INDEX($AR$62:$AT$66,,$AI814), INDEX($AU$62:$BA$66,,$AH814), 1 / ($BB$62:$BB$66*BY814 + (1-$BB$62:$BB$66)*BU814), N($AQ$62:$AQ$66&gt;$AO814)),
SUMPRODUCT(INDEX($AR$47:$AT$56,,$AI814), INDEX($AU$47:$BA$56,,$AH814), 1 / ($BC$47:$BC$56*BY814 + (1-$BC$47:$BC$56)*BU814), N($AQ$47:$AQ$56&gt;$AO814))
) / 1000</f>
        <v>0</v>
      </c>
      <c r="CA814" s="235" cm="1">
        <f t="array" ref="CA814">$BI814 * IF($AH814&lt;=2,
SUMPRODUCT(INDEX($AR$23:$AT$61,,$AI814), INDEX($AU$23:$BA$61,,$AH814), 1 / ($BB$23:$BB$61*BY814), N($AQ$23:$AQ$61&gt;$AO814)),
SUMPRODUCT(INDEX($AR$23:$AT$46,,$AI814), INDEX($AU$23:$BA$46,,$AH814), 1 / ($BC$23:$BC$46*BY814), N($AQ$23:$AQ$46&gt;$AO814))
) / 1000</f>
        <v>0</v>
      </c>
      <c r="CB814" s="230">
        <f t="shared" si="739"/>
        <v>0</v>
      </c>
      <c r="CC814" s="238"/>
      <c r="CD814" s="229" cm="1">
        <f t="array" ref="CD814">IF(ISBLANK(Y814), INDEX(Use, $AH814, 4) - AN814*INDEX(Use, $AH814, 6) - (Q814-X814), Y814)</f>
        <v>7</v>
      </c>
      <c r="CE814" s="229">
        <f t="shared" si="740"/>
        <v>32</v>
      </c>
      <c r="CF814" s="230">
        <f t="shared" si="741"/>
        <v>0</v>
      </c>
      <c r="CG814" s="229">
        <v>35</v>
      </c>
      <c r="CH814" s="230">
        <f t="shared" si="742"/>
        <v>48</v>
      </c>
      <c r="CI814" s="235">
        <f t="shared" si="743"/>
        <v>3.0748170731707316</v>
      </c>
      <c r="CJ814" s="235" cm="1">
        <f t="array" ref="CJ814">$BI814 * SUMPRODUCT(INDEX($AR$77:$AT$82,,$AI814),INDEX($AU$77:$BA$82,,$AH814), N($AQ$77:$AQ$82&gt;$AO814)) / CI814 / 1000</f>
        <v>0</v>
      </c>
      <c r="CK814" s="232">
        <f t="shared" si="760"/>
        <v>30</v>
      </c>
      <c r="CL814" s="230">
        <f t="shared" si="744"/>
        <v>43</v>
      </c>
      <c r="CM814" s="235">
        <f t="shared" si="745"/>
        <v>3.5018750000000001</v>
      </c>
      <c r="CN814" s="235" cm="1">
        <f t="array" ref="CN814">$BI814 * IF($AH814&lt;=2,
SUMPRODUCT(INDEX($AR$72:$AT$76,,$AI814), INDEX($AU$72:$BA$76,,$AH814), 1 / ($BB$72:$BB$76*CM814 + (1-$BB$72:$BB$76)*CI814), N($AQ$72:$AQ$76&gt;$AO814)),
SUMPRODUCT(INDEX($AR$67:$AT$76,,$AI814), INDEX($AU$67:$BA$76,,$AH814), 1 / ($BC$67:$BC$76*CM814 + (1-$BC$67:$BC$76)*CI814), N($AQ$67:$AQ$76&gt;$AO814))
) / 1000</f>
        <v>0</v>
      </c>
      <c r="CO814" s="232">
        <f t="shared" si="761"/>
        <v>25</v>
      </c>
      <c r="CP814" s="230">
        <f t="shared" si="746"/>
        <v>38</v>
      </c>
      <c r="CQ814" s="235">
        <f t="shared" si="747"/>
        <v>4.0666935483870965</v>
      </c>
      <c r="CR814" s="235" cm="1">
        <f t="array" ref="CR814">$BI814 * IF($AH814&lt;=2,
SUMPRODUCT(INDEX($AR$67:$AT$71,,$AI814), INDEX($AU$67:$BA$71,,$AH814), 1 / ($BB$67:$BB$71*CQ814 + (1-$BB$67:$BB$71)*CM814), N($AQ$67:$AQ$71&gt;$AO814)),
SUMPRODUCT(INDEX($AR$57:$AT$66,,$AI814), INDEX($AU$57:$BA$66,,$AH814), 1 / ($BC$57:$BC$66*CQ814 + (1-$BC$57:$BC$66)*CM814), N($AQ$57:$AQ$66&gt;$AO814))
) / 1000</f>
        <v>0</v>
      </c>
      <c r="CS814" s="232">
        <f t="shared" si="762"/>
        <v>20</v>
      </c>
      <c r="CT814" s="230">
        <f t="shared" si="748"/>
        <v>33</v>
      </c>
      <c r="CU814" s="235">
        <f t="shared" si="749"/>
        <v>4.8487499999999999</v>
      </c>
      <c r="CV814" s="235" cm="1">
        <f t="array" ref="CV814">$BI814 * IF($AH814&lt;=2,
SUMPRODUCT(INDEX($AR$62:$AT$66,,$AI814), INDEX($AU$62:$BA$66,,$AH814), 1 / ($BB$62:$BB$66*CU814 + (1-$BB$62:$BB$66)*CQ814), N($AQ$62:$AQ$66&gt;$AO814)),
SUMPRODUCT(INDEX($AR$47:$AT$56,,$AI814), INDEX($AU$47:$BA$56,,$AH814), 1 / ($BC$47:$BC$56*CU814 + (1-$BC$47:$BC$56)*CQ814), N($AQ$47:$AQ$56&gt;$AO814))
) / 1000</f>
        <v>0</v>
      </c>
      <c r="CW814" s="235" cm="1">
        <f t="array" ref="CW814">$BI814 * IF($AH814&lt;=2,
SUMPRODUCT(INDEX($AR$23:$AT$61,,$AI814), INDEX($AU$23:$BA$61,,$AH814), 1 / ($BB$23:$BB$61*CU814), N($AQ$23:$AQ$61&gt;$AO814)),
SUMPRODUCT(INDEX($AR$23:$AT$46,,$AI814), INDEX($AU$23:$BA$46,,$AH814), 1 / ($BC$23:$BC$46*CU814), N($AQ$23:$AQ$46&gt;$AO814))
) / 1000</f>
        <v>0</v>
      </c>
      <c r="CX814" s="230">
        <f t="shared" si="750"/>
        <v>0</v>
      </c>
      <c r="CY814" s="238"/>
    </row>
    <row r="815" spans="1:103" s="76" customFormat="1" ht="14.25" customHeight="1" x14ac:dyDescent="0.2">
      <c r="A815" s="231" t="b">
        <f t="shared" si="754"/>
        <v>0</v>
      </c>
      <c r="B815" s="245">
        <v>793</v>
      </c>
      <c r="C815" s="258"/>
      <c r="D815" s="258"/>
      <c r="E815" s="246"/>
      <c r="F815" s="247" t="str">
        <f>IF(ISBLANK(E815), "", VLOOKUP(E815, Z!$A$2:$C$4127, 3, FALSE))</f>
        <v/>
      </c>
      <c r="G815" s="248"/>
      <c r="H815" s="248"/>
      <c r="I815" s="249"/>
      <c r="J815" s="250"/>
      <c r="K815" s="259"/>
      <c r="L815" s="260"/>
      <c r="M815" s="252" t="str" cm="1">
        <f t="array" ref="M815">INDEX(Trad, 53, $A$20)</f>
        <v>Verschmutzt</v>
      </c>
      <c r="N815" s="253"/>
      <c r="O815" s="253"/>
      <c r="P815" s="254"/>
      <c r="Q815" s="251"/>
      <c r="R815" s="251"/>
      <c r="S815" s="264">
        <f t="shared" si="725"/>
        <v>0</v>
      </c>
      <c r="T815" s="252" t="str" cm="1">
        <f t="array" ref="T815">INDEX(Trad, 52, $A$20)</f>
        <v>Sauber</v>
      </c>
      <c r="U815" s="253"/>
      <c r="V815" s="253"/>
      <c r="W815" s="254"/>
      <c r="X815" s="251"/>
      <c r="Y815" s="251"/>
      <c r="Z815" s="264">
        <f t="shared" si="726"/>
        <v>0</v>
      </c>
      <c r="AA815" s="261"/>
      <c r="AB815" s="258"/>
      <c r="AC815" s="246"/>
      <c r="AD815" s="247" t="str">
        <f>IF(ISBLANK(AC815), "", VLOOKUP(AC815, Z!$A$2:$C$4127, 3, FALSE))</f>
        <v/>
      </c>
      <c r="AE815" s="262"/>
      <c r="AF815" s="263">
        <f t="shared" si="727"/>
        <v>0</v>
      </c>
      <c r="AG815" s="238"/>
      <c r="AH815" s="229">
        <f t="shared" si="751"/>
        <v>1</v>
      </c>
      <c r="AI815" s="229">
        <f t="shared" si="752"/>
        <v>1</v>
      </c>
      <c r="AJ815" s="229">
        <f t="shared" si="753"/>
        <v>0</v>
      </c>
      <c r="AK815" s="229">
        <v>0</v>
      </c>
      <c r="AL815" s="229">
        <v>0</v>
      </c>
      <c r="AM815" s="229">
        <v>1</v>
      </c>
      <c r="AN815" s="229">
        <v>0</v>
      </c>
      <c r="AO815" s="229">
        <f t="shared" si="728"/>
        <v>-100</v>
      </c>
      <c r="AP815" s="238"/>
      <c r="AQ815" s="255"/>
      <c r="AR815" s="255"/>
      <c r="AS815" s="256"/>
      <c r="AT815" s="256"/>
      <c r="AU815" s="256"/>
      <c r="AV815" s="256"/>
      <c r="AW815" s="256"/>
      <c r="AX815" s="256"/>
      <c r="AY815" s="256"/>
      <c r="AZ815" s="256"/>
      <c r="BA815" s="256"/>
      <c r="BB815" s="256"/>
      <c r="BC815" s="256"/>
      <c r="BD815" s="238"/>
      <c r="BE815" s="229" cm="1">
        <f t="array" ref="BE815">IF(ISBLANK(R815), INDEX(Use, $AH815, 4) - AM815*INDEX(Use, $AH815, 6), R815)</f>
        <v>5</v>
      </c>
      <c r="BF815" s="229">
        <f t="shared" si="729"/>
        <v>30</v>
      </c>
      <c r="BG815" s="229">
        <f t="shared" si="755"/>
        <v>13</v>
      </c>
      <c r="BH815" s="229">
        <f t="shared" si="756"/>
        <v>0</v>
      </c>
      <c r="BI815" s="234" cm="1">
        <f t="array" ref="BI815">K815/IF($L815&gt;0, INDEX($AU$23:$BA$77, $L815+20, $AH815), 1)</f>
        <v>0</v>
      </c>
      <c r="BJ815" s="230">
        <f t="shared" si="730"/>
        <v>0</v>
      </c>
      <c r="BK815" s="229">
        <v>35</v>
      </c>
      <c r="BL815" s="230">
        <f t="shared" si="731"/>
        <v>48</v>
      </c>
      <c r="BM815" s="235">
        <f t="shared" si="732"/>
        <v>2.9108720930232557</v>
      </c>
      <c r="BN815" s="235" cm="1">
        <f t="array" ref="BN815">$BI815 * SUMPRODUCT(INDEX($AR$77:$AT$82,,$AI815),INDEX($AU$77:$BA$82,,$AH815), N($AQ$77:$AQ$82&gt;$AO815)) / BM815 / 1000</f>
        <v>0</v>
      </c>
      <c r="BO815" s="232">
        <f t="shared" si="757"/>
        <v>30</v>
      </c>
      <c r="BP815" s="230">
        <f t="shared" si="733"/>
        <v>43</v>
      </c>
      <c r="BQ815" s="235">
        <f t="shared" si="734"/>
        <v>3.2938815789473681</v>
      </c>
      <c r="BR815" s="235" cm="1">
        <f t="array" ref="BR815">$BI815 * IF($AH815&lt;=2,
SUMPRODUCT(INDEX($AR$72:$AT$76,,$AI815), INDEX($AU$72:$BA$76,,$AH815), 1 / ($BB$72:$BB$76*BQ815 + (1-$BB$72:$BB$76)*BM815), N($AQ$72:$AQ$76&gt;$AO815)),
SUMPRODUCT(INDEX($AR$67:$AT$76,,$AI815), INDEX($AU$67:$BA$76,,$AH815), 1 / ($BC$67:$BC$76*BQ815 + (1-$BC$67:$BC$76)*BM815), N($AQ$67:$AQ$76&gt;$AO815))
) / 1000</f>
        <v>0</v>
      </c>
      <c r="BS815" s="232">
        <f t="shared" si="758"/>
        <v>25</v>
      </c>
      <c r="BT815" s="230">
        <f t="shared" si="735"/>
        <v>38</v>
      </c>
      <c r="BU815" s="235">
        <f t="shared" si="736"/>
        <v>3.792954545454545</v>
      </c>
      <c r="BV815" s="235" cm="1">
        <f t="array" ref="BV815">$BI815 * IF($AH815&lt;=2,
SUMPRODUCT(INDEX($AR$67:$AT$71,,$AI815), INDEX($AU$67:$BA$71,,$AH815), 1 / ($BB$67:$BB$71*BU815 + (1-$BB$67:$BB$71)*BQ815), N($AQ$67:$AQ$71&gt;$AO815)),
SUMPRODUCT(INDEX($AR$57:$AT$66,,$AI815), INDEX($AU$57:$BA$66,,$AH815), 1 / ($BC$57:$BC$66*BU815 + (1-$BC$57:$BC$66)*BQ815), N($AQ$57:$AQ$66&gt;$AO815))
) / 1000</f>
        <v>0</v>
      </c>
      <c r="BW815" s="232">
        <f t="shared" si="759"/>
        <v>20</v>
      </c>
      <c r="BX815" s="230">
        <f t="shared" si="737"/>
        <v>33</v>
      </c>
      <c r="BY815" s="235">
        <f t="shared" si="738"/>
        <v>4.4702678571428569</v>
      </c>
      <c r="BZ815" s="235" cm="1">
        <f t="array" ref="BZ815">$BI815 * IF($AH815&lt;=2,
SUMPRODUCT(INDEX($AR$62:$AT$66,,$AI815), INDEX($AU$62:$BA$66,,$AH815), 1 / ($BB$62:$BB$66*BY815 + (1-$BB$62:$BB$66)*BU815), N($AQ$62:$AQ$66&gt;$AO815)),
SUMPRODUCT(INDEX($AR$47:$AT$56,,$AI815), INDEX($AU$47:$BA$56,,$AH815), 1 / ($BC$47:$BC$56*BY815 + (1-$BC$47:$BC$56)*BU815), N($AQ$47:$AQ$56&gt;$AO815))
) / 1000</f>
        <v>0</v>
      </c>
      <c r="CA815" s="235" cm="1">
        <f t="array" ref="CA815">$BI815 * IF($AH815&lt;=2,
SUMPRODUCT(INDEX($AR$23:$AT$61,,$AI815), INDEX($AU$23:$BA$61,,$AH815), 1 / ($BB$23:$BB$61*BY815), N($AQ$23:$AQ$61&gt;$AO815)),
SUMPRODUCT(INDEX($AR$23:$AT$46,,$AI815), INDEX($AU$23:$BA$46,,$AH815), 1 / ($BC$23:$BC$46*BY815), N($AQ$23:$AQ$46&gt;$AO815))
) / 1000</f>
        <v>0</v>
      </c>
      <c r="CB815" s="230">
        <f t="shared" si="739"/>
        <v>0</v>
      </c>
      <c r="CC815" s="238"/>
      <c r="CD815" s="229" cm="1">
        <f t="array" ref="CD815">IF(ISBLANK(Y815), INDEX(Use, $AH815, 4) - AN815*INDEX(Use, $AH815, 6) - (Q815-X815), Y815)</f>
        <v>7</v>
      </c>
      <c r="CE815" s="229">
        <f t="shared" si="740"/>
        <v>32</v>
      </c>
      <c r="CF815" s="230">
        <f t="shared" si="741"/>
        <v>0</v>
      </c>
      <c r="CG815" s="229">
        <v>35</v>
      </c>
      <c r="CH815" s="230">
        <f t="shared" si="742"/>
        <v>48</v>
      </c>
      <c r="CI815" s="235">
        <f t="shared" si="743"/>
        <v>3.0748170731707316</v>
      </c>
      <c r="CJ815" s="235" cm="1">
        <f t="array" ref="CJ815">$BI815 * SUMPRODUCT(INDEX($AR$77:$AT$82,,$AI815),INDEX($AU$77:$BA$82,,$AH815), N($AQ$77:$AQ$82&gt;$AO815)) / CI815 / 1000</f>
        <v>0</v>
      </c>
      <c r="CK815" s="232">
        <f t="shared" si="760"/>
        <v>30</v>
      </c>
      <c r="CL815" s="230">
        <f t="shared" si="744"/>
        <v>43</v>
      </c>
      <c r="CM815" s="235">
        <f t="shared" si="745"/>
        <v>3.5018750000000001</v>
      </c>
      <c r="CN815" s="235" cm="1">
        <f t="array" ref="CN815">$BI815 * IF($AH815&lt;=2,
SUMPRODUCT(INDEX($AR$72:$AT$76,,$AI815), INDEX($AU$72:$BA$76,,$AH815), 1 / ($BB$72:$BB$76*CM815 + (1-$BB$72:$BB$76)*CI815), N($AQ$72:$AQ$76&gt;$AO815)),
SUMPRODUCT(INDEX($AR$67:$AT$76,,$AI815), INDEX($AU$67:$BA$76,,$AH815), 1 / ($BC$67:$BC$76*CM815 + (1-$BC$67:$BC$76)*CI815), N($AQ$67:$AQ$76&gt;$AO815))
) / 1000</f>
        <v>0</v>
      </c>
      <c r="CO815" s="232">
        <f t="shared" si="761"/>
        <v>25</v>
      </c>
      <c r="CP815" s="230">
        <f t="shared" si="746"/>
        <v>38</v>
      </c>
      <c r="CQ815" s="235">
        <f t="shared" si="747"/>
        <v>4.0666935483870965</v>
      </c>
      <c r="CR815" s="235" cm="1">
        <f t="array" ref="CR815">$BI815 * IF($AH815&lt;=2,
SUMPRODUCT(INDEX($AR$67:$AT$71,,$AI815), INDEX($AU$67:$BA$71,,$AH815), 1 / ($BB$67:$BB$71*CQ815 + (1-$BB$67:$BB$71)*CM815), N($AQ$67:$AQ$71&gt;$AO815)),
SUMPRODUCT(INDEX($AR$57:$AT$66,,$AI815), INDEX($AU$57:$BA$66,,$AH815), 1 / ($BC$57:$BC$66*CQ815 + (1-$BC$57:$BC$66)*CM815), N($AQ$57:$AQ$66&gt;$AO815))
) / 1000</f>
        <v>0</v>
      </c>
      <c r="CS815" s="232">
        <f t="shared" si="762"/>
        <v>20</v>
      </c>
      <c r="CT815" s="230">
        <f t="shared" si="748"/>
        <v>33</v>
      </c>
      <c r="CU815" s="235">
        <f t="shared" si="749"/>
        <v>4.8487499999999999</v>
      </c>
      <c r="CV815" s="235" cm="1">
        <f t="array" ref="CV815">$BI815 * IF($AH815&lt;=2,
SUMPRODUCT(INDEX($AR$62:$AT$66,,$AI815), INDEX($AU$62:$BA$66,,$AH815), 1 / ($BB$62:$BB$66*CU815 + (1-$BB$62:$BB$66)*CQ815), N($AQ$62:$AQ$66&gt;$AO815)),
SUMPRODUCT(INDEX($AR$47:$AT$56,,$AI815), INDEX($AU$47:$BA$56,,$AH815), 1 / ($BC$47:$BC$56*CU815 + (1-$BC$47:$BC$56)*CQ815), N($AQ$47:$AQ$56&gt;$AO815))
) / 1000</f>
        <v>0</v>
      </c>
      <c r="CW815" s="235" cm="1">
        <f t="array" ref="CW815">$BI815 * IF($AH815&lt;=2,
SUMPRODUCT(INDEX($AR$23:$AT$61,,$AI815), INDEX($AU$23:$BA$61,,$AH815), 1 / ($BB$23:$BB$61*CU815), N($AQ$23:$AQ$61&gt;$AO815)),
SUMPRODUCT(INDEX($AR$23:$AT$46,,$AI815), INDEX($AU$23:$BA$46,,$AH815), 1 / ($BC$23:$BC$46*CU815), N($AQ$23:$AQ$46&gt;$AO815))
) / 1000</f>
        <v>0</v>
      </c>
      <c r="CX815" s="230">
        <f t="shared" si="750"/>
        <v>0</v>
      </c>
      <c r="CY815" s="238"/>
    </row>
    <row r="816" spans="1:103" s="76" customFormat="1" ht="14.25" customHeight="1" x14ac:dyDescent="0.2">
      <c r="A816" s="231" t="b">
        <f t="shared" si="754"/>
        <v>0</v>
      </c>
      <c r="B816" s="245">
        <v>794</v>
      </c>
      <c r="C816" s="258"/>
      <c r="D816" s="258"/>
      <c r="E816" s="246"/>
      <c r="F816" s="247" t="str">
        <f>IF(ISBLANK(E816), "", VLOOKUP(E816, Z!$A$2:$C$4127, 3, FALSE))</f>
        <v/>
      </c>
      <c r="G816" s="248"/>
      <c r="H816" s="248"/>
      <c r="I816" s="249"/>
      <c r="J816" s="250"/>
      <c r="K816" s="259"/>
      <c r="L816" s="260"/>
      <c r="M816" s="252" t="str" cm="1">
        <f t="array" ref="M816">INDEX(Trad, 53, $A$20)</f>
        <v>Verschmutzt</v>
      </c>
      <c r="N816" s="253"/>
      <c r="O816" s="253"/>
      <c r="P816" s="254"/>
      <c r="Q816" s="251"/>
      <c r="R816" s="251"/>
      <c r="S816" s="264">
        <f t="shared" si="725"/>
        <v>0</v>
      </c>
      <c r="T816" s="252" t="str" cm="1">
        <f t="array" ref="T816">INDEX(Trad, 52, $A$20)</f>
        <v>Sauber</v>
      </c>
      <c r="U816" s="253"/>
      <c r="V816" s="253"/>
      <c r="W816" s="254"/>
      <c r="X816" s="251"/>
      <c r="Y816" s="251"/>
      <c r="Z816" s="264">
        <f t="shared" si="726"/>
        <v>0</v>
      </c>
      <c r="AA816" s="261"/>
      <c r="AB816" s="258"/>
      <c r="AC816" s="246"/>
      <c r="AD816" s="247" t="str">
        <f>IF(ISBLANK(AC816), "", VLOOKUP(AC816, Z!$A$2:$C$4127, 3, FALSE))</f>
        <v/>
      </c>
      <c r="AE816" s="262"/>
      <c r="AF816" s="263">
        <f t="shared" si="727"/>
        <v>0</v>
      </c>
      <c r="AG816" s="238"/>
      <c r="AH816" s="229">
        <f t="shared" si="751"/>
        <v>1</v>
      </c>
      <c r="AI816" s="229">
        <f t="shared" si="752"/>
        <v>1</v>
      </c>
      <c r="AJ816" s="229">
        <f t="shared" si="753"/>
        <v>0</v>
      </c>
      <c r="AK816" s="229">
        <v>0</v>
      </c>
      <c r="AL816" s="229">
        <v>0</v>
      </c>
      <c r="AM816" s="229">
        <v>1</v>
      </c>
      <c r="AN816" s="229">
        <v>0</v>
      </c>
      <c r="AO816" s="229">
        <f t="shared" si="728"/>
        <v>-100</v>
      </c>
      <c r="AP816" s="238"/>
      <c r="AQ816" s="255"/>
      <c r="AR816" s="255"/>
      <c r="AS816" s="256"/>
      <c r="AT816" s="256"/>
      <c r="AU816" s="256"/>
      <c r="AV816" s="256"/>
      <c r="AW816" s="256"/>
      <c r="AX816" s="256"/>
      <c r="AY816" s="256"/>
      <c r="AZ816" s="256"/>
      <c r="BA816" s="256"/>
      <c r="BB816" s="256"/>
      <c r="BC816" s="256"/>
      <c r="BD816" s="238"/>
      <c r="BE816" s="229" cm="1">
        <f t="array" ref="BE816">IF(ISBLANK(R816), INDEX(Use, $AH816, 4) - AM816*INDEX(Use, $AH816, 6), R816)</f>
        <v>5</v>
      </c>
      <c r="BF816" s="229">
        <f t="shared" si="729"/>
        <v>30</v>
      </c>
      <c r="BG816" s="229">
        <f t="shared" si="755"/>
        <v>13</v>
      </c>
      <c r="BH816" s="229">
        <f t="shared" si="756"/>
        <v>0</v>
      </c>
      <c r="BI816" s="234" cm="1">
        <f t="array" ref="BI816">K816/IF($L816&gt;0, INDEX($AU$23:$BA$77, $L816+20, $AH816), 1)</f>
        <v>0</v>
      </c>
      <c r="BJ816" s="230">
        <f t="shared" si="730"/>
        <v>0</v>
      </c>
      <c r="BK816" s="229">
        <v>35</v>
      </c>
      <c r="BL816" s="230">
        <f t="shared" si="731"/>
        <v>48</v>
      </c>
      <c r="BM816" s="235">
        <f t="shared" si="732"/>
        <v>2.9108720930232557</v>
      </c>
      <c r="BN816" s="235" cm="1">
        <f t="array" ref="BN816">$BI816 * SUMPRODUCT(INDEX($AR$77:$AT$82,,$AI816),INDEX($AU$77:$BA$82,,$AH816), N($AQ$77:$AQ$82&gt;$AO816)) / BM816 / 1000</f>
        <v>0</v>
      </c>
      <c r="BO816" s="232">
        <f t="shared" si="757"/>
        <v>30</v>
      </c>
      <c r="BP816" s="230">
        <f t="shared" si="733"/>
        <v>43</v>
      </c>
      <c r="BQ816" s="235">
        <f t="shared" si="734"/>
        <v>3.2938815789473681</v>
      </c>
      <c r="BR816" s="235" cm="1">
        <f t="array" ref="BR816">$BI816 * IF($AH816&lt;=2,
SUMPRODUCT(INDEX($AR$72:$AT$76,,$AI816), INDEX($AU$72:$BA$76,,$AH816), 1 / ($BB$72:$BB$76*BQ816 + (1-$BB$72:$BB$76)*BM816), N($AQ$72:$AQ$76&gt;$AO816)),
SUMPRODUCT(INDEX($AR$67:$AT$76,,$AI816), INDEX($AU$67:$BA$76,,$AH816), 1 / ($BC$67:$BC$76*BQ816 + (1-$BC$67:$BC$76)*BM816), N($AQ$67:$AQ$76&gt;$AO816))
) / 1000</f>
        <v>0</v>
      </c>
      <c r="BS816" s="232">
        <f t="shared" si="758"/>
        <v>25</v>
      </c>
      <c r="BT816" s="230">
        <f t="shared" si="735"/>
        <v>38</v>
      </c>
      <c r="BU816" s="235">
        <f t="shared" si="736"/>
        <v>3.792954545454545</v>
      </c>
      <c r="BV816" s="235" cm="1">
        <f t="array" ref="BV816">$BI816 * IF($AH816&lt;=2,
SUMPRODUCT(INDEX($AR$67:$AT$71,,$AI816), INDEX($AU$67:$BA$71,,$AH816), 1 / ($BB$67:$BB$71*BU816 + (1-$BB$67:$BB$71)*BQ816), N($AQ$67:$AQ$71&gt;$AO816)),
SUMPRODUCT(INDEX($AR$57:$AT$66,,$AI816), INDEX($AU$57:$BA$66,,$AH816), 1 / ($BC$57:$BC$66*BU816 + (1-$BC$57:$BC$66)*BQ816), N($AQ$57:$AQ$66&gt;$AO816))
) / 1000</f>
        <v>0</v>
      </c>
      <c r="BW816" s="232">
        <f t="shared" si="759"/>
        <v>20</v>
      </c>
      <c r="BX816" s="230">
        <f t="shared" si="737"/>
        <v>33</v>
      </c>
      <c r="BY816" s="235">
        <f t="shared" si="738"/>
        <v>4.4702678571428569</v>
      </c>
      <c r="BZ816" s="235" cm="1">
        <f t="array" ref="BZ816">$BI816 * IF($AH816&lt;=2,
SUMPRODUCT(INDEX($AR$62:$AT$66,,$AI816), INDEX($AU$62:$BA$66,,$AH816), 1 / ($BB$62:$BB$66*BY816 + (1-$BB$62:$BB$66)*BU816), N($AQ$62:$AQ$66&gt;$AO816)),
SUMPRODUCT(INDEX($AR$47:$AT$56,,$AI816), INDEX($AU$47:$BA$56,,$AH816), 1 / ($BC$47:$BC$56*BY816 + (1-$BC$47:$BC$56)*BU816), N($AQ$47:$AQ$56&gt;$AO816))
) / 1000</f>
        <v>0</v>
      </c>
      <c r="CA816" s="235" cm="1">
        <f t="array" ref="CA816">$BI816 * IF($AH816&lt;=2,
SUMPRODUCT(INDEX($AR$23:$AT$61,,$AI816), INDEX($AU$23:$BA$61,,$AH816), 1 / ($BB$23:$BB$61*BY816), N($AQ$23:$AQ$61&gt;$AO816)),
SUMPRODUCT(INDEX($AR$23:$AT$46,,$AI816), INDEX($AU$23:$BA$46,,$AH816), 1 / ($BC$23:$BC$46*BY816), N($AQ$23:$AQ$46&gt;$AO816))
) / 1000</f>
        <v>0</v>
      </c>
      <c r="CB816" s="230">
        <f t="shared" si="739"/>
        <v>0</v>
      </c>
      <c r="CC816" s="238"/>
      <c r="CD816" s="229" cm="1">
        <f t="array" ref="CD816">IF(ISBLANK(Y816), INDEX(Use, $AH816, 4) - AN816*INDEX(Use, $AH816, 6) - (Q816-X816), Y816)</f>
        <v>7</v>
      </c>
      <c r="CE816" s="229">
        <f t="shared" si="740"/>
        <v>32</v>
      </c>
      <c r="CF816" s="230">
        <f t="shared" si="741"/>
        <v>0</v>
      </c>
      <c r="CG816" s="229">
        <v>35</v>
      </c>
      <c r="CH816" s="230">
        <f t="shared" si="742"/>
        <v>48</v>
      </c>
      <c r="CI816" s="235">
        <f t="shared" si="743"/>
        <v>3.0748170731707316</v>
      </c>
      <c r="CJ816" s="235" cm="1">
        <f t="array" ref="CJ816">$BI816 * SUMPRODUCT(INDEX($AR$77:$AT$82,,$AI816),INDEX($AU$77:$BA$82,,$AH816), N($AQ$77:$AQ$82&gt;$AO816)) / CI816 / 1000</f>
        <v>0</v>
      </c>
      <c r="CK816" s="232">
        <f t="shared" si="760"/>
        <v>30</v>
      </c>
      <c r="CL816" s="230">
        <f t="shared" si="744"/>
        <v>43</v>
      </c>
      <c r="CM816" s="235">
        <f t="shared" si="745"/>
        <v>3.5018750000000001</v>
      </c>
      <c r="CN816" s="235" cm="1">
        <f t="array" ref="CN816">$BI816 * IF($AH816&lt;=2,
SUMPRODUCT(INDEX($AR$72:$AT$76,,$AI816), INDEX($AU$72:$BA$76,,$AH816), 1 / ($BB$72:$BB$76*CM816 + (1-$BB$72:$BB$76)*CI816), N($AQ$72:$AQ$76&gt;$AO816)),
SUMPRODUCT(INDEX($AR$67:$AT$76,,$AI816), INDEX($AU$67:$BA$76,,$AH816), 1 / ($BC$67:$BC$76*CM816 + (1-$BC$67:$BC$76)*CI816), N($AQ$67:$AQ$76&gt;$AO816))
) / 1000</f>
        <v>0</v>
      </c>
      <c r="CO816" s="232">
        <f t="shared" si="761"/>
        <v>25</v>
      </c>
      <c r="CP816" s="230">
        <f t="shared" si="746"/>
        <v>38</v>
      </c>
      <c r="CQ816" s="235">
        <f t="shared" si="747"/>
        <v>4.0666935483870965</v>
      </c>
      <c r="CR816" s="235" cm="1">
        <f t="array" ref="CR816">$BI816 * IF($AH816&lt;=2,
SUMPRODUCT(INDEX($AR$67:$AT$71,,$AI816), INDEX($AU$67:$BA$71,,$AH816), 1 / ($BB$67:$BB$71*CQ816 + (1-$BB$67:$BB$71)*CM816), N($AQ$67:$AQ$71&gt;$AO816)),
SUMPRODUCT(INDEX($AR$57:$AT$66,,$AI816), INDEX($AU$57:$BA$66,,$AH816), 1 / ($BC$57:$BC$66*CQ816 + (1-$BC$57:$BC$66)*CM816), N($AQ$57:$AQ$66&gt;$AO816))
) / 1000</f>
        <v>0</v>
      </c>
      <c r="CS816" s="232">
        <f t="shared" si="762"/>
        <v>20</v>
      </c>
      <c r="CT816" s="230">
        <f t="shared" si="748"/>
        <v>33</v>
      </c>
      <c r="CU816" s="235">
        <f t="shared" si="749"/>
        <v>4.8487499999999999</v>
      </c>
      <c r="CV816" s="235" cm="1">
        <f t="array" ref="CV816">$BI816 * IF($AH816&lt;=2,
SUMPRODUCT(INDEX($AR$62:$AT$66,,$AI816), INDEX($AU$62:$BA$66,,$AH816), 1 / ($BB$62:$BB$66*CU816 + (1-$BB$62:$BB$66)*CQ816), N($AQ$62:$AQ$66&gt;$AO816)),
SUMPRODUCT(INDEX($AR$47:$AT$56,,$AI816), INDEX($AU$47:$BA$56,,$AH816), 1 / ($BC$47:$BC$56*CU816 + (1-$BC$47:$BC$56)*CQ816), N($AQ$47:$AQ$56&gt;$AO816))
) / 1000</f>
        <v>0</v>
      </c>
      <c r="CW816" s="235" cm="1">
        <f t="array" ref="CW816">$BI816 * IF($AH816&lt;=2,
SUMPRODUCT(INDEX($AR$23:$AT$61,,$AI816), INDEX($AU$23:$BA$61,,$AH816), 1 / ($BB$23:$BB$61*CU816), N($AQ$23:$AQ$61&gt;$AO816)),
SUMPRODUCT(INDEX($AR$23:$AT$46,,$AI816), INDEX($AU$23:$BA$46,,$AH816), 1 / ($BC$23:$BC$46*CU816), N($AQ$23:$AQ$46&gt;$AO816))
) / 1000</f>
        <v>0</v>
      </c>
      <c r="CX816" s="230">
        <f t="shared" si="750"/>
        <v>0</v>
      </c>
      <c r="CY816" s="238"/>
    </row>
    <row r="817" spans="1:103" s="76" customFormat="1" ht="14.25" customHeight="1" x14ac:dyDescent="0.2">
      <c r="A817" s="231" t="b">
        <f t="shared" si="754"/>
        <v>0</v>
      </c>
      <c r="B817" s="245">
        <v>795</v>
      </c>
      <c r="C817" s="258"/>
      <c r="D817" s="258"/>
      <c r="E817" s="246"/>
      <c r="F817" s="247" t="str">
        <f>IF(ISBLANK(E817), "", VLOOKUP(E817, Z!$A$2:$C$4127, 3, FALSE))</f>
        <v/>
      </c>
      <c r="G817" s="248"/>
      <c r="H817" s="248"/>
      <c r="I817" s="249"/>
      <c r="J817" s="250"/>
      <c r="K817" s="259"/>
      <c r="L817" s="260"/>
      <c r="M817" s="252" t="str" cm="1">
        <f t="array" ref="M817">INDEX(Trad, 53, $A$20)</f>
        <v>Verschmutzt</v>
      </c>
      <c r="N817" s="253"/>
      <c r="O817" s="253"/>
      <c r="P817" s="254"/>
      <c r="Q817" s="251"/>
      <c r="R817" s="251"/>
      <c r="S817" s="264">
        <f t="shared" si="725"/>
        <v>0</v>
      </c>
      <c r="T817" s="252" t="str" cm="1">
        <f t="array" ref="T817">INDEX(Trad, 52, $A$20)</f>
        <v>Sauber</v>
      </c>
      <c r="U817" s="253"/>
      <c r="V817" s="253"/>
      <c r="W817" s="254"/>
      <c r="X817" s="251"/>
      <c r="Y817" s="251"/>
      <c r="Z817" s="264">
        <f t="shared" si="726"/>
        <v>0</v>
      </c>
      <c r="AA817" s="261"/>
      <c r="AB817" s="258"/>
      <c r="AC817" s="246"/>
      <c r="AD817" s="247" t="str">
        <f>IF(ISBLANK(AC817), "", VLOOKUP(AC817, Z!$A$2:$C$4127, 3, FALSE))</f>
        <v/>
      </c>
      <c r="AE817" s="262"/>
      <c r="AF817" s="263">
        <f t="shared" si="727"/>
        <v>0</v>
      </c>
      <c r="AG817" s="238"/>
      <c r="AH817" s="229">
        <f t="shared" si="751"/>
        <v>1</v>
      </c>
      <c r="AI817" s="229">
        <f t="shared" si="752"/>
        <v>1</v>
      </c>
      <c r="AJ817" s="229">
        <f t="shared" si="753"/>
        <v>0</v>
      </c>
      <c r="AK817" s="229">
        <v>0</v>
      </c>
      <c r="AL817" s="229">
        <v>0</v>
      </c>
      <c r="AM817" s="229">
        <v>1</v>
      </c>
      <c r="AN817" s="229">
        <v>0</v>
      </c>
      <c r="AO817" s="229">
        <f t="shared" si="728"/>
        <v>-100</v>
      </c>
      <c r="AP817" s="238"/>
      <c r="AQ817" s="255"/>
      <c r="AR817" s="255"/>
      <c r="AS817" s="256"/>
      <c r="AT817" s="256"/>
      <c r="AU817" s="256"/>
      <c r="AV817" s="256"/>
      <c r="AW817" s="256"/>
      <c r="AX817" s="256"/>
      <c r="AY817" s="256"/>
      <c r="AZ817" s="256"/>
      <c r="BA817" s="256"/>
      <c r="BB817" s="256"/>
      <c r="BC817" s="256"/>
      <c r="BD817" s="238"/>
      <c r="BE817" s="229" cm="1">
        <f t="array" ref="BE817">IF(ISBLANK(R817), INDEX(Use, $AH817, 4) - AM817*INDEX(Use, $AH817, 6), R817)</f>
        <v>5</v>
      </c>
      <c r="BF817" s="229">
        <f t="shared" si="729"/>
        <v>30</v>
      </c>
      <c r="BG817" s="229">
        <f t="shared" si="755"/>
        <v>13</v>
      </c>
      <c r="BH817" s="229">
        <f t="shared" si="756"/>
        <v>0</v>
      </c>
      <c r="BI817" s="234" cm="1">
        <f t="array" ref="BI817">K817/IF($L817&gt;0, INDEX($AU$23:$BA$77, $L817+20, $AH817), 1)</f>
        <v>0</v>
      </c>
      <c r="BJ817" s="230">
        <f t="shared" si="730"/>
        <v>0</v>
      </c>
      <c r="BK817" s="229">
        <v>35</v>
      </c>
      <c r="BL817" s="230">
        <f t="shared" si="731"/>
        <v>48</v>
      </c>
      <c r="BM817" s="235">
        <f t="shared" si="732"/>
        <v>2.9108720930232557</v>
      </c>
      <c r="BN817" s="235" cm="1">
        <f t="array" ref="BN817">$BI817 * SUMPRODUCT(INDEX($AR$77:$AT$82,,$AI817),INDEX($AU$77:$BA$82,,$AH817), N($AQ$77:$AQ$82&gt;$AO817)) / BM817 / 1000</f>
        <v>0</v>
      </c>
      <c r="BO817" s="232">
        <f t="shared" si="757"/>
        <v>30</v>
      </c>
      <c r="BP817" s="230">
        <f t="shared" si="733"/>
        <v>43</v>
      </c>
      <c r="BQ817" s="235">
        <f t="shared" si="734"/>
        <v>3.2938815789473681</v>
      </c>
      <c r="BR817" s="235" cm="1">
        <f t="array" ref="BR817">$BI817 * IF($AH817&lt;=2,
SUMPRODUCT(INDEX($AR$72:$AT$76,,$AI817), INDEX($AU$72:$BA$76,,$AH817), 1 / ($BB$72:$BB$76*BQ817 + (1-$BB$72:$BB$76)*BM817), N($AQ$72:$AQ$76&gt;$AO817)),
SUMPRODUCT(INDEX($AR$67:$AT$76,,$AI817), INDEX($AU$67:$BA$76,,$AH817), 1 / ($BC$67:$BC$76*BQ817 + (1-$BC$67:$BC$76)*BM817), N($AQ$67:$AQ$76&gt;$AO817))
) / 1000</f>
        <v>0</v>
      </c>
      <c r="BS817" s="232">
        <f t="shared" si="758"/>
        <v>25</v>
      </c>
      <c r="BT817" s="230">
        <f t="shared" si="735"/>
        <v>38</v>
      </c>
      <c r="BU817" s="235">
        <f t="shared" si="736"/>
        <v>3.792954545454545</v>
      </c>
      <c r="BV817" s="235" cm="1">
        <f t="array" ref="BV817">$BI817 * IF($AH817&lt;=2,
SUMPRODUCT(INDEX($AR$67:$AT$71,,$AI817), INDEX($AU$67:$BA$71,,$AH817), 1 / ($BB$67:$BB$71*BU817 + (1-$BB$67:$BB$71)*BQ817), N($AQ$67:$AQ$71&gt;$AO817)),
SUMPRODUCT(INDEX($AR$57:$AT$66,,$AI817), INDEX($AU$57:$BA$66,,$AH817), 1 / ($BC$57:$BC$66*BU817 + (1-$BC$57:$BC$66)*BQ817), N($AQ$57:$AQ$66&gt;$AO817))
) / 1000</f>
        <v>0</v>
      </c>
      <c r="BW817" s="232">
        <f t="shared" si="759"/>
        <v>20</v>
      </c>
      <c r="BX817" s="230">
        <f t="shared" si="737"/>
        <v>33</v>
      </c>
      <c r="BY817" s="235">
        <f t="shared" si="738"/>
        <v>4.4702678571428569</v>
      </c>
      <c r="BZ817" s="235" cm="1">
        <f t="array" ref="BZ817">$BI817 * IF($AH817&lt;=2,
SUMPRODUCT(INDEX($AR$62:$AT$66,,$AI817), INDEX($AU$62:$BA$66,,$AH817), 1 / ($BB$62:$BB$66*BY817 + (1-$BB$62:$BB$66)*BU817), N($AQ$62:$AQ$66&gt;$AO817)),
SUMPRODUCT(INDEX($AR$47:$AT$56,,$AI817), INDEX($AU$47:$BA$56,,$AH817), 1 / ($BC$47:$BC$56*BY817 + (1-$BC$47:$BC$56)*BU817), N($AQ$47:$AQ$56&gt;$AO817))
) / 1000</f>
        <v>0</v>
      </c>
      <c r="CA817" s="235" cm="1">
        <f t="array" ref="CA817">$BI817 * IF($AH817&lt;=2,
SUMPRODUCT(INDEX($AR$23:$AT$61,,$AI817), INDEX($AU$23:$BA$61,,$AH817), 1 / ($BB$23:$BB$61*BY817), N($AQ$23:$AQ$61&gt;$AO817)),
SUMPRODUCT(INDEX($AR$23:$AT$46,,$AI817), INDEX($AU$23:$BA$46,,$AH817), 1 / ($BC$23:$BC$46*BY817), N($AQ$23:$AQ$46&gt;$AO817))
) / 1000</f>
        <v>0</v>
      </c>
      <c r="CB817" s="230">
        <f t="shared" si="739"/>
        <v>0</v>
      </c>
      <c r="CC817" s="238"/>
      <c r="CD817" s="229" cm="1">
        <f t="array" ref="CD817">IF(ISBLANK(Y817), INDEX(Use, $AH817, 4) - AN817*INDEX(Use, $AH817, 6) - (Q817-X817), Y817)</f>
        <v>7</v>
      </c>
      <c r="CE817" s="229">
        <f t="shared" si="740"/>
        <v>32</v>
      </c>
      <c r="CF817" s="230">
        <f t="shared" si="741"/>
        <v>0</v>
      </c>
      <c r="CG817" s="229">
        <v>35</v>
      </c>
      <c r="CH817" s="230">
        <f t="shared" si="742"/>
        <v>48</v>
      </c>
      <c r="CI817" s="235">
        <f t="shared" si="743"/>
        <v>3.0748170731707316</v>
      </c>
      <c r="CJ817" s="235" cm="1">
        <f t="array" ref="CJ817">$BI817 * SUMPRODUCT(INDEX($AR$77:$AT$82,,$AI817),INDEX($AU$77:$BA$82,,$AH817), N($AQ$77:$AQ$82&gt;$AO817)) / CI817 / 1000</f>
        <v>0</v>
      </c>
      <c r="CK817" s="232">
        <f t="shared" si="760"/>
        <v>30</v>
      </c>
      <c r="CL817" s="230">
        <f t="shared" si="744"/>
        <v>43</v>
      </c>
      <c r="CM817" s="235">
        <f t="shared" si="745"/>
        <v>3.5018750000000001</v>
      </c>
      <c r="CN817" s="235" cm="1">
        <f t="array" ref="CN817">$BI817 * IF($AH817&lt;=2,
SUMPRODUCT(INDEX($AR$72:$AT$76,,$AI817), INDEX($AU$72:$BA$76,,$AH817), 1 / ($BB$72:$BB$76*CM817 + (1-$BB$72:$BB$76)*CI817), N($AQ$72:$AQ$76&gt;$AO817)),
SUMPRODUCT(INDEX($AR$67:$AT$76,,$AI817), INDEX($AU$67:$BA$76,,$AH817), 1 / ($BC$67:$BC$76*CM817 + (1-$BC$67:$BC$76)*CI817), N($AQ$67:$AQ$76&gt;$AO817))
) / 1000</f>
        <v>0</v>
      </c>
      <c r="CO817" s="232">
        <f t="shared" si="761"/>
        <v>25</v>
      </c>
      <c r="CP817" s="230">
        <f t="shared" si="746"/>
        <v>38</v>
      </c>
      <c r="CQ817" s="235">
        <f t="shared" si="747"/>
        <v>4.0666935483870965</v>
      </c>
      <c r="CR817" s="235" cm="1">
        <f t="array" ref="CR817">$BI817 * IF($AH817&lt;=2,
SUMPRODUCT(INDEX($AR$67:$AT$71,,$AI817), INDEX($AU$67:$BA$71,,$AH817), 1 / ($BB$67:$BB$71*CQ817 + (1-$BB$67:$BB$71)*CM817), N($AQ$67:$AQ$71&gt;$AO817)),
SUMPRODUCT(INDEX($AR$57:$AT$66,,$AI817), INDEX($AU$57:$BA$66,,$AH817), 1 / ($BC$57:$BC$66*CQ817 + (1-$BC$57:$BC$66)*CM817), N($AQ$57:$AQ$66&gt;$AO817))
) / 1000</f>
        <v>0</v>
      </c>
      <c r="CS817" s="232">
        <f t="shared" si="762"/>
        <v>20</v>
      </c>
      <c r="CT817" s="230">
        <f t="shared" si="748"/>
        <v>33</v>
      </c>
      <c r="CU817" s="235">
        <f t="shared" si="749"/>
        <v>4.8487499999999999</v>
      </c>
      <c r="CV817" s="235" cm="1">
        <f t="array" ref="CV817">$BI817 * IF($AH817&lt;=2,
SUMPRODUCT(INDEX($AR$62:$AT$66,,$AI817), INDEX($AU$62:$BA$66,,$AH817), 1 / ($BB$62:$BB$66*CU817 + (1-$BB$62:$BB$66)*CQ817), N($AQ$62:$AQ$66&gt;$AO817)),
SUMPRODUCT(INDEX($AR$47:$AT$56,,$AI817), INDEX($AU$47:$BA$56,,$AH817), 1 / ($BC$47:$BC$56*CU817 + (1-$BC$47:$BC$56)*CQ817), N($AQ$47:$AQ$56&gt;$AO817))
) / 1000</f>
        <v>0</v>
      </c>
      <c r="CW817" s="235" cm="1">
        <f t="array" ref="CW817">$BI817 * IF($AH817&lt;=2,
SUMPRODUCT(INDEX($AR$23:$AT$61,,$AI817), INDEX($AU$23:$BA$61,,$AH817), 1 / ($BB$23:$BB$61*CU817), N($AQ$23:$AQ$61&gt;$AO817)),
SUMPRODUCT(INDEX($AR$23:$AT$46,,$AI817), INDEX($AU$23:$BA$46,,$AH817), 1 / ($BC$23:$BC$46*CU817), N($AQ$23:$AQ$46&gt;$AO817))
) / 1000</f>
        <v>0</v>
      </c>
      <c r="CX817" s="230">
        <f t="shared" si="750"/>
        <v>0</v>
      </c>
      <c r="CY817" s="238"/>
    </row>
    <row r="818" spans="1:103" s="76" customFormat="1" ht="14.25" customHeight="1" x14ac:dyDescent="0.2">
      <c r="A818" s="231" t="b">
        <f t="shared" si="754"/>
        <v>0</v>
      </c>
      <c r="B818" s="245">
        <v>796</v>
      </c>
      <c r="C818" s="258"/>
      <c r="D818" s="258"/>
      <c r="E818" s="246"/>
      <c r="F818" s="247" t="str">
        <f>IF(ISBLANK(E818), "", VLOOKUP(E818, Z!$A$2:$C$4127, 3, FALSE))</f>
        <v/>
      </c>
      <c r="G818" s="248"/>
      <c r="H818" s="248"/>
      <c r="I818" s="249"/>
      <c r="J818" s="250"/>
      <c r="K818" s="259"/>
      <c r="L818" s="260"/>
      <c r="M818" s="252" t="str" cm="1">
        <f t="array" ref="M818">INDEX(Trad, 53, $A$20)</f>
        <v>Verschmutzt</v>
      </c>
      <c r="N818" s="253"/>
      <c r="O818" s="253"/>
      <c r="P818" s="254"/>
      <c r="Q818" s="251"/>
      <c r="R818" s="251"/>
      <c r="S818" s="264">
        <f t="shared" si="725"/>
        <v>0</v>
      </c>
      <c r="T818" s="252" t="str" cm="1">
        <f t="array" ref="T818">INDEX(Trad, 52, $A$20)</f>
        <v>Sauber</v>
      </c>
      <c r="U818" s="253"/>
      <c r="V818" s="253"/>
      <c r="W818" s="254"/>
      <c r="X818" s="251"/>
      <c r="Y818" s="251"/>
      <c r="Z818" s="264">
        <f t="shared" si="726"/>
        <v>0</v>
      </c>
      <c r="AA818" s="261"/>
      <c r="AB818" s="258"/>
      <c r="AC818" s="246"/>
      <c r="AD818" s="247" t="str">
        <f>IF(ISBLANK(AC818), "", VLOOKUP(AC818, Z!$A$2:$C$4127, 3, FALSE))</f>
        <v/>
      </c>
      <c r="AE818" s="262"/>
      <c r="AF818" s="263">
        <f t="shared" si="727"/>
        <v>0</v>
      </c>
      <c r="AG818" s="238"/>
      <c r="AH818" s="229">
        <f t="shared" si="751"/>
        <v>1</v>
      </c>
      <c r="AI818" s="229">
        <f t="shared" si="752"/>
        <v>1</v>
      </c>
      <c r="AJ818" s="229">
        <f t="shared" si="753"/>
        <v>0</v>
      </c>
      <c r="AK818" s="229">
        <v>0</v>
      </c>
      <c r="AL818" s="229">
        <v>0</v>
      </c>
      <c r="AM818" s="229">
        <v>1</v>
      </c>
      <c r="AN818" s="229">
        <v>0</v>
      </c>
      <c r="AO818" s="229">
        <f t="shared" si="728"/>
        <v>-100</v>
      </c>
      <c r="AP818" s="238"/>
      <c r="AQ818" s="255"/>
      <c r="AR818" s="255"/>
      <c r="AS818" s="256"/>
      <c r="AT818" s="256"/>
      <c r="AU818" s="256"/>
      <c r="AV818" s="256"/>
      <c r="AW818" s="256"/>
      <c r="AX818" s="256"/>
      <c r="AY818" s="256"/>
      <c r="AZ818" s="256"/>
      <c r="BA818" s="256"/>
      <c r="BB818" s="256"/>
      <c r="BC818" s="256"/>
      <c r="BD818" s="238"/>
      <c r="BE818" s="229" cm="1">
        <f t="array" ref="BE818">IF(ISBLANK(R818), INDEX(Use, $AH818, 4) - AM818*INDEX(Use, $AH818, 6), R818)</f>
        <v>5</v>
      </c>
      <c r="BF818" s="229">
        <f t="shared" si="729"/>
        <v>30</v>
      </c>
      <c r="BG818" s="229">
        <f t="shared" si="755"/>
        <v>13</v>
      </c>
      <c r="BH818" s="229">
        <f t="shared" si="756"/>
        <v>0</v>
      </c>
      <c r="BI818" s="234" cm="1">
        <f t="array" ref="BI818">K818/IF($L818&gt;0, INDEX($AU$23:$BA$77, $L818+20, $AH818), 1)</f>
        <v>0</v>
      </c>
      <c r="BJ818" s="230">
        <f t="shared" si="730"/>
        <v>0</v>
      </c>
      <c r="BK818" s="229">
        <v>35</v>
      </c>
      <c r="BL818" s="230">
        <f t="shared" si="731"/>
        <v>48</v>
      </c>
      <c r="BM818" s="235">
        <f t="shared" si="732"/>
        <v>2.9108720930232557</v>
      </c>
      <c r="BN818" s="235" cm="1">
        <f t="array" ref="BN818">$BI818 * SUMPRODUCT(INDEX($AR$77:$AT$82,,$AI818),INDEX($AU$77:$BA$82,,$AH818), N($AQ$77:$AQ$82&gt;$AO818)) / BM818 / 1000</f>
        <v>0</v>
      </c>
      <c r="BO818" s="232">
        <f t="shared" si="757"/>
        <v>30</v>
      </c>
      <c r="BP818" s="230">
        <f t="shared" si="733"/>
        <v>43</v>
      </c>
      <c r="BQ818" s="235">
        <f t="shared" si="734"/>
        <v>3.2938815789473681</v>
      </c>
      <c r="BR818" s="235" cm="1">
        <f t="array" ref="BR818">$BI818 * IF($AH818&lt;=2,
SUMPRODUCT(INDEX($AR$72:$AT$76,,$AI818), INDEX($AU$72:$BA$76,,$AH818), 1 / ($BB$72:$BB$76*BQ818 + (1-$BB$72:$BB$76)*BM818), N($AQ$72:$AQ$76&gt;$AO818)),
SUMPRODUCT(INDEX($AR$67:$AT$76,,$AI818), INDEX($AU$67:$BA$76,,$AH818), 1 / ($BC$67:$BC$76*BQ818 + (1-$BC$67:$BC$76)*BM818), N($AQ$67:$AQ$76&gt;$AO818))
) / 1000</f>
        <v>0</v>
      </c>
      <c r="BS818" s="232">
        <f t="shared" si="758"/>
        <v>25</v>
      </c>
      <c r="BT818" s="230">
        <f t="shared" si="735"/>
        <v>38</v>
      </c>
      <c r="BU818" s="235">
        <f t="shared" si="736"/>
        <v>3.792954545454545</v>
      </c>
      <c r="BV818" s="235" cm="1">
        <f t="array" ref="BV818">$BI818 * IF($AH818&lt;=2,
SUMPRODUCT(INDEX($AR$67:$AT$71,,$AI818), INDEX($AU$67:$BA$71,,$AH818), 1 / ($BB$67:$BB$71*BU818 + (1-$BB$67:$BB$71)*BQ818), N($AQ$67:$AQ$71&gt;$AO818)),
SUMPRODUCT(INDEX($AR$57:$AT$66,,$AI818), INDEX($AU$57:$BA$66,,$AH818), 1 / ($BC$57:$BC$66*BU818 + (1-$BC$57:$BC$66)*BQ818), N($AQ$57:$AQ$66&gt;$AO818))
) / 1000</f>
        <v>0</v>
      </c>
      <c r="BW818" s="232">
        <f t="shared" si="759"/>
        <v>20</v>
      </c>
      <c r="BX818" s="230">
        <f t="shared" si="737"/>
        <v>33</v>
      </c>
      <c r="BY818" s="235">
        <f t="shared" si="738"/>
        <v>4.4702678571428569</v>
      </c>
      <c r="BZ818" s="235" cm="1">
        <f t="array" ref="BZ818">$BI818 * IF($AH818&lt;=2,
SUMPRODUCT(INDEX($AR$62:$AT$66,,$AI818), INDEX($AU$62:$BA$66,,$AH818), 1 / ($BB$62:$BB$66*BY818 + (1-$BB$62:$BB$66)*BU818), N($AQ$62:$AQ$66&gt;$AO818)),
SUMPRODUCT(INDEX($AR$47:$AT$56,,$AI818), INDEX($AU$47:$BA$56,,$AH818), 1 / ($BC$47:$BC$56*BY818 + (1-$BC$47:$BC$56)*BU818), N($AQ$47:$AQ$56&gt;$AO818))
) / 1000</f>
        <v>0</v>
      </c>
      <c r="CA818" s="235" cm="1">
        <f t="array" ref="CA818">$BI818 * IF($AH818&lt;=2,
SUMPRODUCT(INDEX($AR$23:$AT$61,,$AI818), INDEX($AU$23:$BA$61,,$AH818), 1 / ($BB$23:$BB$61*BY818), N($AQ$23:$AQ$61&gt;$AO818)),
SUMPRODUCT(INDEX($AR$23:$AT$46,,$AI818), INDEX($AU$23:$BA$46,,$AH818), 1 / ($BC$23:$BC$46*BY818), N($AQ$23:$AQ$46&gt;$AO818))
) / 1000</f>
        <v>0</v>
      </c>
      <c r="CB818" s="230">
        <f t="shared" si="739"/>
        <v>0</v>
      </c>
      <c r="CC818" s="238"/>
      <c r="CD818" s="229" cm="1">
        <f t="array" ref="CD818">IF(ISBLANK(Y818), INDEX(Use, $AH818, 4) - AN818*INDEX(Use, $AH818, 6) - (Q818-X818), Y818)</f>
        <v>7</v>
      </c>
      <c r="CE818" s="229">
        <f t="shared" si="740"/>
        <v>32</v>
      </c>
      <c r="CF818" s="230">
        <f t="shared" si="741"/>
        <v>0</v>
      </c>
      <c r="CG818" s="229">
        <v>35</v>
      </c>
      <c r="CH818" s="230">
        <f t="shared" si="742"/>
        <v>48</v>
      </c>
      <c r="CI818" s="235">
        <f t="shared" si="743"/>
        <v>3.0748170731707316</v>
      </c>
      <c r="CJ818" s="235" cm="1">
        <f t="array" ref="CJ818">$BI818 * SUMPRODUCT(INDEX($AR$77:$AT$82,,$AI818),INDEX($AU$77:$BA$82,,$AH818), N($AQ$77:$AQ$82&gt;$AO818)) / CI818 / 1000</f>
        <v>0</v>
      </c>
      <c r="CK818" s="232">
        <f t="shared" si="760"/>
        <v>30</v>
      </c>
      <c r="CL818" s="230">
        <f t="shared" si="744"/>
        <v>43</v>
      </c>
      <c r="CM818" s="235">
        <f t="shared" si="745"/>
        <v>3.5018750000000001</v>
      </c>
      <c r="CN818" s="235" cm="1">
        <f t="array" ref="CN818">$BI818 * IF($AH818&lt;=2,
SUMPRODUCT(INDEX($AR$72:$AT$76,,$AI818), INDEX($AU$72:$BA$76,,$AH818), 1 / ($BB$72:$BB$76*CM818 + (1-$BB$72:$BB$76)*CI818), N($AQ$72:$AQ$76&gt;$AO818)),
SUMPRODUCT(INDEX($AR$67:$AT$76,,$AI818), INDEX($AU$67:$BA$76,,$AH818), 1 / ($BC$67:$BC$76*CM818 + (1-$BC$67:$BC$76)*CI818), N($AQ$67:$AQ$76&gt;$AO818))
) / 1000</f>
        <v>0</v>
      </c>
      <c r="CO818" s="232">
        <f t="shared" si="761"/>
        <v>25</v>
      </c>
      <c r="CP818" s="230">
        <f t="shared" si="746"/>
        <v>38</v>
      </c>
      <c r="CQ818" s="235">
        <f t="shared" si="747"/>
        <v>4.0666935483870965</v>
      </c>
      <c r="CR818" s="235" cm="1">
        <f t="array" ref="CR818">$BI818 * IF($AH818&lt;=2,
SUMPRODUCT(INDEX($AR$67:$AT$71,,$AI818), INDEX($AU$67:$BA$71,,$AH818), 1 / ($BB$67:$BB$71*CQ818 + (1-$BB$67:$BB$71)*CM818), N($AQ$67:$AQ$71&gt;$AO818)),
SUMPRODUCT(INDEX($AR$57:$AT$66,,$AI818), INDEX($AU$57:$BA$66,,$AH818), 1 / ($BC$57:$BC$66*CQ818 + (1-$BC$57:$BC$66)*CM818), N($AQ$57:$AQ$66&gt;$AO818))
) / 1000</f>
        <v>0</v>
      </c>
      <c r="CS818" s="232">
        <f t="shared" si="762"/>
        <v>20</v>
      </c>
      <c r="CT818" s="230">
        <f t="shared" si="748"/>
        <v>33</v>
      </c>
      <c r="CU818" s="235">
        <f t="shared" si="749"/>
        <v>4.8487499999999999</v>
      </c>
      <c r="CV818" s="235" cm="1">
        <f t="array" ref="CV818">$BI818 * IF($AH818&lt;=2,
SUMPRODUCT(INDEX($AR$62:$AT$66,,$AI818), INDEX($AU$62:$BA$66,,$AH818), 1 / ($BB$62:$BB$66*CU818 + (1-$BB$62:$BB$66)*CQ818), N($AQ$62:$AQ$66&gt;$AO818)),
SUMPRODUCT(INDEX($AR$47:$AT$56,,$AI818), INDEX($AU$47:$BA$56,,$AH818), 1 / ($BC$47:$BC$56*CU818 + (1-$BC$47:$BC$56)*CQ818), N($AQ$47:$AQ$56&gt;$AO818))
) / 1000</f>
        <v>0</v>
      </c>
      <c r="CW818" s="235" cm="1">
        <f t="array" ref="CW818">$BI818 * IF($AH818&lt;=2,
SUMPRODUCT(INDEX($AR$23:$AT$61,,$AI818), INDEX($AU$23:$BA$61,,$AH818), 1 / ($BB$23:$BB$61*CU818), N($AQ$23:$AQ$61&gt;$AO818)),
SUMPRODUCT(INDEX($AR$23:$AT$46,,$AI818), INDEX($AU$23:$BA$46,,$AH818), 1 / ($BC$23:$BC$46*CU818), N($AQ$23:$AQ$46&gt;$AO818))
) / 1000</f>
        <v>0</v>
      </c>
      <c r="CX818" s="230">
        <f t="shared" si="750"/>
        <v>0</v>
      </c>
      <c r="CY818" s="238"/>
    </row>
    <row r="819" spans="1:103" s="76" customFormat="1" ht="14.25" customHeight="1" x14ac:dyDescent="0.2">
      <c r="A819" s="231" t="b">
        <f t="shared" si="754"/>
        <v>0</v>
      </c>
      <c r="B819" s="245">
        <v>797</v>
      </c>
      <c r="C819" s="258"/>
      <c r="D819" s="258"/>
      <c r="E819" s="246"/>
      <c r="F819" s="247" t="str">
        <f>IF(ISBLANK(E819), "", VLOOKUP(E819, Z!$A$2:$C$4127, 3, FALSE))</f>
        <v/>
      </c>
      <c r="G819" s="248"/>
      <c r="H819" s="248"/>
      <c r="I819" s="249"/>
      <c r="J819" s="250"/>
      <c r="K819" s="259"/>
      <c r="L819" s="260"/>
      <c r="M819" s="252" t="str" cm="1">
        <f t="array" ref="M819">INDEX(Trad, 53, $A$20)</f>
        <v>Verschmutzt</v>
      </c>
      <c r="N819" s="253"/>
      <c r="O819" s="253"/>
      <c r="P819" s="254"/>
      <c r="Q819" s="251"/>
      <c r="R819" s="251"/>
      <c r="S819" s="264">
        <f t="shared" si="725"/>
        <v>0</v>
      </c>
      <c r="T819" s="252" t="str" cm="1">
        <f t="array" ref="T819">INDEX(Trad, 52, $A$20)</f>
        <v>Sauber</v>
      </c>
      <c r="U819" s="253"/>
      <c r="V819" s="253"/>
      <c r="W819" s="254"/>
      <c r="X819" s="251"/>
      <c r="Y819" s="251"/>
      <c r="Z819" s="264">
        <f t="shared" si="726"/>
        <v>0</v>
      </c>
      <c r="AA819" s="261"/>
      <c r="AB819" s="258"/>
      <c r="AC819" s="246"/>
      <c r="AD819" s="247" t="str">
        <f>IF(ISBLANK(AC819), "", VLOOKUP(AC819, Z!$A$2:$C$4127, 3, FALSE))</f>
        <v/>
      </c>
      <c r="AE819" s="262"/>
      <c r="AF819" s="263">
        <f t="shared" si="727"/>
        <v>0</v>
      </c>
      <c r="AG819" s="238"/>
      <c r="AH819" s="229">
        <f t="shared" si="751"/>
        <v>1</v>
      </c>
      <c r="AI819" s="229">
        <f t="shared" si="752"/>
        <v>1</v>
      </c>
      <c r="AJ819" s="229">
        <f t="shared" si="753"/>
        <v>0</v>
      </c>
      <c r="AK819" s="229">
        <v>0</v>
      </c>
      <c r="AL819" s="229">
        <v>0</v>
      </c>
      <c r="AM819" s="229">
        <v>1</v>
      </c>
      <c r="AN819" s="229">
        <v>0</v>
      </c>
      <c r="AO819" s="229">
        <f t="shared" si="728"/>
        <v>-100</v>
      </c>
      <c r="AP819" s="238"/>
      <c r="AQ819" s="255"/>
      <c r="AR819" s="255"/>
      <c r="AS819" s="256"/>
      <c r="AT819" s="256"/>
      <c r="AU819" s="256"/>
      <c r="AV819" s="256"/>
      <c r="AW819" s="256"/>
      <c r="AX819" s="256"/>
      <c r="AY819" s="256"/>
      <c r="AZ819" s="256"/>
      <c r="BA819" s="256"/>
      <c r="BB819" s="256"/>
      <c r="BC819" s="256"/>
      <c r="BD819" s="238"/>
      <c r="BE819" s="229" cm="1">
        <f t="array" ref="BE819">IF(ISBLANK(R819), INDEX(Use, $AH819, 4) - AM819*INDEX(Use, $AH819, 6), R819)</f>
        <v>5</v>
      </c>
      <c r="BF819" s="229">
        <f t="shared" si="729"/>
        <v>30</v>
      </c>
      <c r="BG819" s="229">
        <f t="shared" si="755"/>
        <v>13</v>
      </c>
      <c r="BH819" s="229">
        <f t="shared" si="756"/>
        <v>0</v>
      </c>
      <c r="BI819" s="234" cm="1">
        <f t="array" ref="BI819">K819/IF($L819&gt;0, INDEX($AU$23:$BA$77, $L819+20, $AH819), 1)</f>
        <v>0</v>
      </c>
      <c r="BJ819" s="230">
        <f t="shared" si="730"/>
        <v>0</v>
      </c>
      <c r="BK819" s="229">
        <v>35</v>
      </c>
      <c r="BL819" s="230">
        <f t="shared" si="731"/>
        <v>48</v>
      </c>
      <c r="BM819" s="235">
        <f t="shared" si="732"/>
        <v>2.9108720930232557</v>
      </c>
      <c r="BN819" s="235" cm="1">
        <f t="array" ref="BN819">$BI819 * SUMPRODUCT(INDEX($AR$77:$AT$82,,$AI819),INDEX($AU$77:$BA$82,,$AH819), N($AQ$77:$AQ$82&gt;$AO819)) / BM819 / 1000</f>
        <v>0</v>
      </c>
      <c r="BO819" s="232">
        <f t="shared" si="757"/>
        <v>30</v>
      </c>
      <c r="BP819" s="230">
        <f t="shared" si="733"/>
        <v>43</v>
      </c>
      <c r="BQ819" s="235">
        <f t="shared" si="734"/>
        <v>3.2938815789473681</v>
      </c>
      <c r="BR819" s="235" cm="1">
        <f t="array" ref="BR819">$BI819 * IF($AH819&lt;=2,
SUMPRODUCT(INDEX($AR$72:$AT$76,,$AI819), INDEX($AU$72:$BA$76,,$AH819), 1 / ($BB$72:$BB$76*BQ819 + (1-$BB$72:$BB$76)*BM819), N($AQ$72:$AQ$76&gt;$AO819)),
SUMPRODUCT(INDEX($AR$67:$AT$76,,$AI819), INDEX($AU$67:$BA$76,,$AH819), 1 / ($BC$67:$BC$76*BQ819 + (1-$BC$67:$BC$76)*BM819), N($AQ$67:$AQ$76&gt;$AO819))
) / 1000</f>
        <v>0</v>
      </c>
      <c r="BS819" s="232">
        <f t="shared" si="758"/>
        <v>25</v>
      </c>
      <c r="BT819" s="230">
        <f t="shared" si="735"/>
        <v>38</v>
      </c>
      <c r="BU819" s="235">
        <f t="shared" si="736"/>
        <v>3.792954545454545</v>
      </c>
      <c r="BV819" s="235" cm="1">
        <f t="array" ref="BV819">$BI819 * IF($AH819&lt;=2,
SUMPRODUCT(INDEX($AR$67:$AT$71,,$AI819), INDEX($AU$67:$BA$71,,$AH819), 1 / ($BB$67:$BB$71*BU819 + (1-$BB$67:$BB$71)*BQ819), N($AQ$67:$AQ$71&gt;$AO819)),
SUMPRODUCT(INDEX($AR$57:$AT$66,,$AI819), INDEX($AU$57:$BA$66,,$AH819), 1 / ($BC$57:$BC$66*BU819 + (1-$BC$57:$BC$66)*BQ819), N($AQ$57:$AQ$66&gt;$AO819))
) / 1000</f>
        <v>0</v>
      </c>
      <c r="BW819" s="232">
        <f t="shared" si="759"/>
        <v>20</v>
      </c>
      <c r="BX819" s="230">
        <f t="shared" si="737"/>
        <v>33</v>
      </c>
      <c r="BY819" s="235">
        <f t="shared" si="738"/>
        <v>4.4702678571428569</v>
      </c>
      <c r="BZ819" s="235" cm="1">
        <f t="array" ref="BZ819">$BI819 * IF($AH819&lt;=2,
SUMPRODUCT(INDEX($AR$62:$AT$66,,$AI819), INDEX($AU$62:$BA$66,,$AH819), 1 / ($BB$62:$BB$66*BY819 + (1-$BB$62:$BB$66)*BU819), N($AQ$62:$AQ$66&gt;$AO819)),
SUMPRODUCT(INDEX($AR$47:$AT$56,,$AI819), INDEX($AU$47:$BA$56,,$AH819), 1 / ($BC$47:$BC$56*BY819 + (1-$BC$47:$BC$56)*BU819), N($AQ$47:$AQ$56&gt;$AO819))
) / 1000</f>
        <v>0</v>
      </c>
      <c r="CA819" s="235" cm="1">
        <f t="array" ref="CA819">$BI819 * IF($AH819&lt;=2,
SUMPRODUCT(INDEX($AR$23:$AT$61,,$AI819), INDEX($AU$23:$BA$61,,$AH819), 1 / ($BB$23:$BB$61*BY819), N($AQ$23:$AQ$61&gt;$AO819)),
SUMPRODUCT(INDEX($AR$23:$AT$46,,$AI819), INDEX($AU$23:$BA$46,,$AH819), 1 / ($BC$23:$BC$46*BY819), N($AQ$23:$AQ$46&gt;$AO819))
) / 1000</f>
        <v>0</v>
      </c>
      <c r="CB819" s="230">
        <f t="shared" si="739"/>
        <v>0</v>
      </c>
      <c r="CC819" s="238"/>
      <c r="CD819" s="229" cm="1">
        <f t="array" ref="CD819">IF(ISBLANK(Y819), INDEX(Use, $AH819, 4) - AN819*INDEX(Use, $AH819, 6) - (Q819-X819), Y819)</f>
        <v>7</v>
      </c>
      <c r="CE819" s="229">
        <f t="shared" si="740"/>
        <v>32</v>
      </c>
      <c r="CF819" s="230">
        <f t="shared" si="741"/>
        <v>0</v>
      </c>
      <c r="CG819" s="229">
        <v>35</v>
      </c>
      <c r="CH819" s="230">
        <f t="shared" si="742"/>
        <v>48</v>
      </c>
      <c r="CI819" s="235">
        <f t="shared" si="743"/>
        <v>3.0748170731707316</v>
      </c>
      <c r="CJ819" s="235" cm="1">
        <f t="array" ref="CJ819">$BI819 * SUMPRODUCT(INDEX($AR$77:$AT$82,,$AI819),INDEX($AU$77:$BA$82,,$AH819), N($AQ$77:$AQ$82&gt;$AO819)) / CI819 / 1000</f>
        <v>0</v>
      </c>
      <c r="CK819" s="232">
        <f t="shared" si="760"/>
        <v>30</v>
      </c>
      <c r="CL819" s="230">
        <f t="shared" si="744"/>
        <v>43</v>
      </c>
      <c r="CM819" s="235">
        <f t="shared" si="745"/>
        <v>3.5018750000000001</v>
      </c>
      <c r="CN819" s="235" cm="1">
        <f t="array" ref="CN819">$BI819 * IF($AH819&lt;=2,
SUMPRODUCT(INDEX($AR$72:$AT$76,,$AI819), INDEX($AU$72:$BA$76,,$AH819), 1 / ($BB$72:$BB$76*CM819 + (1-$BB$72:$BB$76)*CI819), N($AQ$72:$AQ$76&gt;$AO819)),
SUMPRODUCT(INDEX($AR$67:$AT$76,,$AI819), INDEX($AU$67:$BA$76,,$AH819), 1 / ($BC$67:$BC$76*CM819 + (1-$BC$67:$BC$76)*CI819), N($AQ$67:$AQ$76&gt;$AO819))
) / 1000</f>
        <v>0</v>
      </c>
      <c r="CO819" s="232">
        <f t="shared" si="761"/>
        <v>25</v>
      </c>
      <c r="CP819" s="230">
        <f t="shared" si="746"/>
        <v>38</v>
      </c>
      <c r="CQ819" s="235">
        <f t="shared" si="747"/>
        <v>4.0666935483870965</v>
      </c>
      <c r="CR819" s="235" cm="1">
        <f t="array" ref="CR819">$BI819 * IF($AH819&lt;=2,
SUMPRODUCT(INDEX($AR$67:$AT$71,,$AI819), INDEX($AU$67:$BA$71,,$AH819), 1 / ($BB$67:$BB$71*CQ819 + (1-$BB$67:$BB$71)*CM819), N($AQ$67:$AQ$71&gt;$AO819)),
SUMPRODUCT(INDEX($AR$57:$AT$66,,$AI819), INDEX($AU$57:$BA$66,,$AH819), 1 / ($BC$57:$BC$66*CQ819 + (1-$BC$57:$BC$66)*CM819), N($AQ$57:$AQ$66&gt;$AO819))
) / 1000</f>
        <v>0</v>
      </c>
      <c r="CS819" s="232">
        <f t="shared" si="762"/>
        <v>20</v>
      </c>
      <c r="CT819" s="230">
        <f t="shared" si="748"/>
        <v>33</v>
      </c>
      <c r="CU819" s="235">
        <f t="shared" si="749"/>
        <v>4.8487499999999999</v>
      </c>
      <c r="CV819" s="235" cm="1">
        <f t="array" ref="CV819">$BI819 * IF($AH819&lt;=2,
SUMPRODUCT(INDEX($AR$62:$AT$66,,$AI819), INDEX($AU$62:$BA$66,,$AH819), 1 / ($BB$62:$BB$66*CU819 + (1-$BB$62:$BB$66)*CQ819), N($AQ$62:$AQ$66&gt;$AO819)),
SUMPRODUCT(INDEX($AR$47:$AT$56,,$AI819), INDEX($AU$47:$BA$56,,$AH819), 1 / ($BC$47:$BC$56*CU819 + (1-$BC$47:$BC$56)*CQ819), N($AQ$47:$AQ$56&gt;$AO819))
) / 1000</f>
        <v>0</v>
      </c>
      <c r="CW819" s="235" cm="1">
        <f t="array" ref="CW819">$BI819 * IF($AH819&lt;=2,
SUMPRODUCT(INDEX($AR$23:$AT$61,,$AI819), INDEX($AU$23:$BA$61,,$AH819), 1 / ($BB$23:$BB$61*CU819), N($AQ$23:$AQ$61&gt;$AO819)),
SUMPRODUCT(INDEX($AR$23:$AT$46,,$AI819), INDEX($AU$23:$BA$46,,$AH819), 1 / ($BC$23:$BC$46*CU819), N($AQ$23:$AQ$46&gt;$AO819))
) / 1000</f>
        <v>0</v>
      </c>
      <c r="CX819" s="230">
        <f t="shared" si="750"/>
        <v>0</v>
      </c>
      <c r="CY819" s="238"/>
    </row>
    <row r="820" spans="1:103" s="76" customFormat="1" ht="14.25" customHeight="1" x14ac:dyDescent="0.2">
      <c r="A820" s="231" t="b">
        <f t="shared" si="754"/>
        <v>0</v>
      </c>
      <c r="B820" s="245">
        <v>798</v>
      </c>
      <c r="C820" s="258"/>
      <c r="D820" s="258"/>
      <c r="E820" s="246"/>
      <c r="F820" s="247" t="str">
        <f>IF(ISBLANK(E820), "", VLOOKUP(E820, Z!$A$2:$C$4127, 3, FALSE))</f>
        <v/>
      </c>
      <c r="G820" s="248"/>
      <c r="H820" s="248"/>
      <c r="I820" s="249"/>
      <c r="J820" s="250"/>
      <c r="K820" s="259"/>
      <c r="L820" s="260"/>
      <c r="M820" s="252" t="str" cm="1">
        <f t="array" ref="M820">INDEX(Trad, 53, $A$20)</f>
        <v>Verschmutzt</v>
      </c>
      <c r="N820" s="253"/>
      <c r="O820" s="253"/>
      <c r="P820" s="254"/>
      <c r="Q820" s="251"/>
      <c r="R820" s="251"/>
      <c r="S820" s="264">
        <f t="shared" si="725"/>
        <v>0</v>
      </c>
      <c r="T820" s="252" t="str" cm="1">
        <f t="array" ref="T820">INDEX(Trad, 52, $A$20)</f>
        <v>Sauber</v>
      </c>
      <c r="U820" s="253"/>
      <c r="V820" s="253"/>
      <c r="W820" s="254"/>
      <c r="X820" s="251"/>
      <c r="Y820" s="251"/>
      <c r="Z820" s="264">
        <f t="shared" si="726"/>
        <v>0</v>
      </c>
      <c r="AA820" s="261"/>
      <c r="AB820" s="258"/>
      <c r="AC820" s="246"/>
      <c r="AD820" s="247" t="str">
        <f>IF(ISBLANK(AC820), "", VLOOKUP(AC820, Z!$A$2:$C$4127, 3, FALSE))</f>
        <v/>
      </c>
      <c r="AE820" s="262"/>
      <c r="AF820" s="263">
        <f t="shared" si="727"/>
        <v>0</v>
      </c>
      <c r="AG820" s="238"/>
      <c r="AH820" s="229">
        <f t="shared" si="751"/>
        <v>1</v>
      </c>
      <c r="AI820" s="229">
        <f t="shared" si="752"/>
        <v>1</v>
      </c>
      <c r="AJ820" s="229">
        <f t="shared" si="753"/>
        <v>0</v>
      </c>
      <c r="AK820" s="229">
        <v>0</v>
      </c>
      <c r="AL820" s="229">
        <v>0</v>
      </c>
      <c r="AM820" s="229">
        <v>1</v>
      </c>
      <c r="AN820" s="229">
        <v>0</v>
      </c>
      <c r="AO820" s="229">
        <f t="shared" si="728"/>
        <v>-100</v>
      </c>
      <c r="AP820" s="238"/>
      <c r="AQ820" s="255"/>
      <c r="AR820" s="255"/>
      <c r="AS820" s="256"/>
      <c r="AT820" s="256"/>
      <c r="AU820" s="256"/>
      <c r="AV820" s="256"/>
      <c r="AW820" s="256"/>
      <c r="AX820" s="256"/>
      <c r="AY820" s="256"/>
      <c r="AZ820" s="256"/>
      <c r="BA820" s="256"/>
      <c r="BB820" s="256"/>
      <c r="BC820" s="256"/>
      <c r="BD820" s="238"/>
      <c r="BE820" s="229" cm="1">
        <f t="array" ref="BE820">IF(ISBLANK(R820), INDEX(Use, $AH820, 4) - AM820*INDEX(Use, $AH820, 6), R820)</f>
        <v>5</v>
      </c>
      <c r="BF820" s="229">
        <f t="shared" si="729"/>
        <v>30</v>
      </c>
      <c r="BG820" s="229">
        <f t="shared" si="755"/>
        <v>13</v>
      </c>
      <c r="BH820" s="229">
        <f t="shared" si="756"/>
        <v>0</v>
      </c>
      <c r="BI820" s="234" cm="1">
        <f t="array" ref="BI820">K820/IF($L820&gt;0, INDEX($AU$23:$BA$77, $L820+20, $AH820), 1)</f>
        <v>0</v>
      </c>
      <c r="BJ820" s="230">
        <f t="shared" si="730"/>
        <v>0</v>
      </c>
      <c r="BK820" s="229">
        <v>35</v>
      </c>
      <c r="BL820" s="230">
        <f t="shared" si="731"/>
        <v>48</v>
      </c>
      <c r="BM820" s="235">
        <f t="shared" si="732"/>
        <v>2.9108720930232557</v>
      </c>
      <c r="BN820" s="235" cm="1">
        <f t="array" ref="BN820">$BI820 * SUMPRODUCT(INDEX($AR$77:$AT$82,,$AI820),INDEX($AU$77:$BA$82,,$AH820), N($AQ$77:$AQ$82&gt;$AO820)) / BM820 / 1000</f>
        <v>0</v>
      </c>
      <c r="BO820" s="232">
        <f t="shared" si="757"/>
        <v>30</v>
      </c>
      <c r="BP820" s="230">
        <f t="shared" si="733"/>
        <v>43</v>
      </c>
      <c r="BQ820" s="235">
        <f t="shared" si="734"/>
        <v>3.2938815789473681</v>
      </c>
      <c r="BR820" s="235" cm="1">
        <f t="array" ref="BR820">$BI820 * IF($AH820&lt;=2,
SUMPRODUCT(INDEX($AR$72:$AT$76,,$AI820), INDEX($AU$72:$BA$76,,$AH820), 1 / ($BB$72:$BB$76*BQ820 + (1-$BB$72:$BB$76)*BM820), N($AQ$72:$AQ$76&gt;$AO820)),
SUMPRODUCT(INDEX($AR$67:$AT$76,,$AI820), INDEX($AU$67:$BA$76,,$AH820), 1 / ($BC$67:$BC$76*BQ820 + (1-$BC$67:$BC$76)*BM820), N($AQ$67:$AQ$76&gt;$AO820))
) / 1000</f>
        <v>0</v>
      </c>
      <c r="BS820" s="232">
        <f t="shared" si="758"/>
        <v>25</v>
      </c>
      <c r="BT820" s="230">
        <f t="shared" si="735"/>
        <v>38</v>
      </c>
      <c r="BU820" s="235">
        <f t="shared" si="736"/>
        <v>3.792954545454545</v>
      </c>
      <c r="BV820" s="235" cm="1">
        <f t="array" ref="BV820">$BI820 * IF($AH820&lt;=2,
SUMPRODUCT(INDEX($AR$67:$AT$71,,$AI820), INDEX($AU$67:$BA$71,,$AH820), 1 / ($BB$67:$BB$71*BU820 + (1-$BB$67:$BB$71)*BQ820), N($AQ$67:$AQ$71&gt;$AO820)),
SUMPRODUCT(INDEX($AR$57:$AT$66,,$AI820), INDEX($AU$57:$BA$66,,$AH820), 1 / ($BC$57:$BC$66*BU820 + (1-$BC$57:$BC$66)*BQ820), N($AQ$57:$AQ$66&gt;$AO820))
) / 1000</f>
        <v>0</v>
      </c>
      <c r="BW820" s="232">
        <f t="shared" si="759"/>
        <v>20</v>
      </c>
      <c r="BX820" s="230">
        <f t="shared" si="737"/>
        <v>33</v>
      </c>
      <c r="BY820" s="235">
        <f t="shared" si="738"/>
        <v>4.4702678571428569</v>
      </c>
      <c r="BZ820" s="235" cm="1">
        <f t="array" ref="BZ820">$BI820 * IF($AH820&lt;=2,
SUMPRODUCT(INDEX($AR$62:$AT$66,,$AI820), INDEX($AU$62:$BA$66,,$AH820), 1 / ($BB$62:$BB$66*BY820 + (1-$BB$62:$BB$66)*BU820), N($AQ$62:$AQ$66&gt;$AO820)),
SUMPRODUCT(INDEX($AR$47:$AT$56,,$AI820), INDEX($AU$47:$BA$56,,$AH820), 1 / ($BC$47:$BC$56*BY820 + (1-$BC$47:$BC$56)*BU820), N($AQ$47:$AQ$56&gt;$AO820))
) / 1000</f>
        <v>0</v>
      </c>
      <c r="CA820" s="235" cm="1">
        <f t="array" ref="CA820">$BI820 * IF($AH820&lt;=2,
SUMPRODUCT(INDEX($AR$23:$AT$61,,$AI820), INDEX($AU$23:$BA$61,,$AH820), 1 / ($BB$23:$BB$61*BY820), N($AQ$23:$AQ$61&gt;$AO820)),
SUMPRODUCT(INDEX($AR$23:$AT$46,,$AI820), INDEX($AU$23:$BA$46,,$AH820), 1 / ($BC$23:$BC$46*BY820), N($AQ$23:$AQ$46&gt;$AO820))
) / 1000</f>
        <v>0</v>
      </c>
      <c r="CB820" s="230">
        <f t="shared" si="739"/>
        <v>0</v>
      </c>
      <c r="CC820" s="238"/>
      <c r="CD820" s="229" cm="1">
        <f t="array" ref="CD820">IF(ISBLANK(Y820), INDEX(Use, $AH820, 4) - AN820*INDEX(Use, $AH820, 6) - (Q820-X820), Y820)</f>
        <v>7</v>
      </c>
      <c r="CE820" s="229">
        <f t="shared" si="740"/>
        <v>32</v>
      </c>
      <c r="CF820" s="230">
        <f t="shared" si="741"/>
        <v>0</v>
      </c>
      <c r="CG820" s="229">
        <v>35</v>
      </c>
      <c r="CH820" s="230">
        <f t="shared" si="742"/>
        <v>48</v>
      </c>
      <c r="CI820" s="235">
        <f t="shared" si="743"/>
        <v>3.0748170731707316</v>
      </c>
      <c r="CJ820" s="235" cm="1">
        <f t="array" ref="CJ820">$BI820 * SUMPRODUCT(INDEX($AR$77:$AT$82,,$AI820),INDEX($AU$77:$BA$82,,$AH820), N($AQ$77:$AQ$82&gt;$AO820)) / CI820 / 1000</f>
        <v>0</v>
      </c>
      <c r="CK820" s="232">
        <f t="shared" si="760"/>
        <v>30</v>
      </c>
      <c r="CL820" s="230">
        <f t="shared" si="744"/>
        <v>43</v>
      </c>
      <c r="CM820" s="235">
        <f t="shared" si="745"/>
        <v>3.5018750000000001</v>
      </c>
      <c r="CN820" s="235" cm="1">
        <f t="array" ref="CN820">$BI820 * IF($AH820&lt;=2,
SUMPRODUCT(INDEX($AR$72:$AT$76,,$AI820), INDEX($AU$72:$BA$76,,$AH820), 1 / ($BB$72:$BB$76*CM820 + (1-$BB$72:$BB$76)*CI820), N($AQ$72:$AQ$76&gt;$AO820)),
SUMPRODUCT(INDEX($AR$67:$AT$76,,$AI820), INDEX($AU$67:$BA$76,,$AH820), 1 / ($BC$67:$BC$76*CM820 + (1-$BC$67:$BC$76)*CI820), N($AQ$67:$AQ$76&gt;$AO820))
) / 1000</f>
        <v>0</v>
      </c>
      <c r="CO820" s="232">
        <f t="shared" si="761"/>
        <v>25</v>
      </c>
      <c r="CP820" s="230">
        <f t="shared" si="746"/>
        <v>38</v>
      </c>
      <c r="CQ820" s="235">
        <f t="shared" si="747"/>
        <v>4.0666935483870965</v>
      </c>
      <c r="CR820" s="235" cm="1">
        <f t="array" ref="CR820">$BI820 * IF($AH820&lt;=2,
SUMPRODUCT(INDEX($AR$67:$AT$71,,$AI820), INDEX($AU$67:$BA$71,,$AH820), 1 / ($BB$67:$BB$71*CQ820 + (1-$BB$67:$BB$71)*CM820), N($AQ$67:$AQ$71&gt;$AO820)),
SUMPRODUCT(INDEX($AR$57:$AT$66,,$AI820), INDEX($AU$57:$BA$66,,$AH820), 1 / ($BC$57:$BC$66*CQ820 + (1-$BC$57:$BC$66)*CM820), N($AQ$57:$AQ$66&gt;$AO820))
) / 1000</f>
        <v>0</v>
      </c>
      <c r="CS820" s="232">
        <f t="shared" si="762"/>
        <v>20</v>
      </c>
      <c r="CT820" s="230">
        <f t="shared" si="748"/>
        <v>33</v>
      </c>
      <c r="CU820" s="235">
        <f t="shared" si="749"/>
        <v>4.8487499999999999</v>
      </c>
      <c r="CV820" s="235" cm="1">
        <f t="array" ref="CV820">$BI820 * IF($AH820&lt;=2,
SUMPRODUCT(INDEX($AR$62:$AT$66,,$AI820), INDEX($AU$62:$BA$66,,$AH820), 1 / ($BB$62:$BB$66*CU820 + (1-$BB$62:$BB$66)*CQ820), N($AQ$62:$AQ$66&gt;$AO820)),
SUMPRODUCT(INDEX($AR$47:$AT$56,,$AI820), INDEX($AU$47:$BA$56,,$AH820), 1 / ($BC$47:$BC$56*CU820 + (1-$BC$47:$BC$56)*CQ820), N($AQ$47:$AQ$56&gt;$AO820))
) / 1000</f>
        <v>0</v>
      </c>
      <c r="CW820" s="235" cm="1">
        <f t="array" ref="CW820">$BI820 * IF($AH820&lt;=2,
SUMPRODUCT(INDEX($AR$23:$AT$61,,$AI820), INDEX($AU$23:$BA$61,,$AH820), 1 / ($BB$23:$BB$61*CU820), N($AQ$23:$AQ$61&gt;$AO820)),
SUMPRODUCT(INDEX($AR$23:$AT$46,,$AI820), INDEX($AU$23:$BA$46,,$AH820), 1 / ($BC$23:$BC$46*CU820), N($AQ$23:$AQ$46&gt;$AO820))
) / 1000</f>
        <v>0</v>
      </c>
      <c r="CX820" s="230">
        <f t="shared" si="750"/>
        <v>0</v>
      </c>
      <c r="CY820" s="238"/>
    </row>
    <row r="821" spans="1:103" s="76" customFormat="1" ht="14.25" customHeight="1" x14ac:dyDescent="0.2">
      <c r="A821" s="231" t="b">
        <f t="shared" si="754"/>
        <v>0</v>
      </c>
      <c r="B821" s="245">
        <v>799</v>
      </c>
      <c r="C821" s="258"/>
      <c r="D821" s="258"/>
      <c r="E821" s="246"/>
      <c r="F821" s="247" t="str">
        <f>IF(ISBLANK(E821), "", VLOOKUP(E821, Z!$A$2:$C$4127, 3, FALSE))</f>
        <v/>
      </c>
      <c r="G821" s="248"/>
      <c r="H821" s="248"/>
      <c r="I821" s="249"/>
      <c r="J821" s="250"/>
      <c r="K821" s="259"/>
      <c r="L821" s="260"/>
      <c r="M821" s="252" t="str" cm="1">
        <f t="array" ref="M821">INDEX(Trad, 53, $A$20)</f>
        <v>Verschmutzt</v>
      </c>
      <c r="N821" s="253"/>
      <c r="O821" s="253"/>
      <c r="P821" s="254"/>
      <c r="Q821" s="251"/>
      <c r="R821" s="251"/>
      <c r="S821" s="264">
        <f t="shared" si="725"/>
        <v>0</v>
      </c>
      <c r="T821" s="252" t="str" cm="1">
        <f t="array" ref="T821">INDEX(Trad, 52, $A$20)</f>
        <v>Sauber</v>
      </c>
      <c r="U821" s="253"/>
      <c r="V821" s="253"/>
      <c r="W821" s="254"/>
      <c r="X821" s="251"/>
      <c r="Y821" s="251"/>
      <c r="Z821" s="264">
        <f t="shared" si="726"/>
        <v>0</v>
      </c>
      <c r="AA821" s="261"/>
      <c r="AB821" s="258"/>
      <c r="AC821" s="246"/>
      <c r="AD821" s="247" t="str">
        <f>IF(ISBLANK(AC821), "", VLOOKUP(AC821, Z!$A$2:$C$4127, 3, FALSE))</f>
        <v/>
      </c>
      <c r="AE821" s="262"/>
      <c r="AF821" s="263">
        <f t="shared" si="727"/>
        <v>0</v>
      </c>
      <c r="AG821" s="238"/>
      <c r="AH821" s="229">
        <f t="shared" si="751"/>
        <v>1</v>
      </c>
      <c r="AI821" s="229">
        <f t="shared" si="752"/>
        <v>1</v>
      </c>
      <c r="AJ821" s="229">
        <f t="shared" si="753"/>
        <v>0</v>
      </c>
      <c r="AK821" s="229">
        <v>0</v>
      </c>
      <c r="AL821" s="229">
        <v>0</v>
      </c>
      <c r="AM821" s="229">
        <v>1</v>
      </c>
      <c r="AN821" s="229">
        <v>0</v>
      </c>
      <c r="AO821" s="229">
        <f t="shared" si="728"/>
        <v>-100</v>
      </c>
      <c r="AP821" s="238"/>
      <c r="AQ821" s="255"/>
      <c r="AR821" s="255"/>
      <c r="AS821" s="256"/>
      <c r="AT821" s="256"/>
      <c r="AU821" s="256"/>
      <c r="AV821" s="256"/>
      <c r="AW821" s="256"/>
      <c r="AX821" s="256"/>
      <c r="AY821" s="256"/>
      <c r="AZ821" s="256"/>
      <c r="BA821" s="256"/>
      <c r="BB821" s="256"/>
      <c r="BC821" s="256"/>
      <c r="BD821" s="238"/>
      <c r="BE821" s="229" cm="1">
        <f t="array" ref="BE821">IF(ISBLANK(R821), INDEX(Use, $AH821, 4) - AM821*INDEX(Use, $AH821, 6), R821)</f>
        <v>5</v>
      </c>
      <c r="BF821" s="229">
        <f t="shared" si="729"/>
        <v>30</v>
      </c>
      <c r="BG821" s="229">
        <f t="shared" si="755"/>
        <v>13</v>
      </c>
      <c r="BH821" s="229">
        <f t="shared" si="756"/>
        <v>0</v>
      </c>
      <c r="BI821" s="234" cm="1">
        <f t="array" ref="BI821">K821/IF($L821&gt;0, INDEX($AU$23:$BA$77, $L821+20, $AH821), 1)</f>
        <v>0</v>
      </c>
      <c r="BJ821" s="230">
        <f t="shared" si="730"/>
        <v>0</v>
      </c>
      <c r="BK821" s="229">
        <v>35</v>
      </c>
      <c r="BL821" s="230">
        <f t="shared" si="731"/>
        <v>48</v>
      </c>
      <c r="BM821" s="235">
        <f t="shared" si="732"/>
        <v>2.9108720930232557</v>
      </c>
      <c r="BN821" s="235" cm="1">
        <f t="array" ref="BN821">$BI821 * SUMPRODUCT(INDEX($AR$77:$AT$82,,$AI821),INDEX($AU$77:$BA$82,,$AH821), N($AQ$77:$AQ$82&gt;$AO821)) / BM821 / 1000</f>
        <v>0</v>
      </c>
      <c r="BO821" s="232">
        <f t="shared" si="757"/>
        <v>30</v>
      </c>
      <c r="BP821" s="230">
        <f t="shared" si="733"/>
        <v>43</v>
      </c>
      <c r="BQ821" s="235">
        <f t="shared" si="734"/>
        <v>3.2938815789473681</v>
      </c>
      <c r="BR821" s="235" cm="1">
        <f t="array" ref="BR821">$BI821 * IF($AH821&lt;=2,
SUMPRODUCT(INDEX($AR$72:$AT$76,,$AI821), INDEX($AU$72:$BA$76,,$AH821), 1 / ($BB$72:$BB$76*BQ821 + (1-$BB$72:$BB$76)*BM821), N($AQ$72:$AQ$76&gt;$AO821)),
SUMPRODUCT(INDEX($AR$67:$AT$76,,$AI821), INDEX($AU$67:$BA$76,,$AH821), 1 / ($BC$67:$BC$76*BQ821 + (1-$BC$67:$BC$76)*BM821), N($AQ$67:$AQ$76&gt;$AO821))
) / 1000</f>
        <v>0</v>
      </c>
      <c r="BS821" s="232">
        <f t="shared" si="758"/>
        <v>25</v>
      </c>
      <c r="BT821" s="230">
        <f t="shared" si="735"/>
        <v>38</v>
      </c>
      <c r="BU821" s="235">
        <f t="shared" si="736"/>
        <v>3.792954545454545</v>
      </c>
      <c r="BV821" s="235" cm="1">
        <f t="array" ref="BV821">$BI821 * IF($AH821&lt;=2,
SUMPRODUCT(INDEX($AR$67:$AT$71,,$AI821), INDEX($AU$67:$BA$71,,$AH821), 1 / ($BB$67:$BB$71*BU821 + (1-$BB$67:$BB$71)*BQ821), N($AQ$67:$AQ$71&gt;$AO821)),
SUMPRODUCT(INDEX($AR$57:$AT$66,,$AI821), INDEX($AU$57:$BA$66,,$AH821), 1 / ($BC$57:$BC$66*BU821 + (1-$BC$57:$BC$66)*BQ821), N($AQ$57:$AQ$66&gt;$AO821))
) / 1000</f>
        <v>0</v>
      </c>
      <c r="BW821" s="232">
        <f t="shared" si="759"/>
        <v>20</v>
      </c>
      <c r="BX821" s="230">
        <f t="shared" si="737"/>
        <v>33</v>
      </c>
      <c r="BY821" s="235">
        <f t="shared" si="738"/>
        <v>4.4702678571428569</v>
      </c>
      <c r="BZ821" s="235" cm="1">
        <f t="array" ref="BZ821">$BI821 * IF($AH821&lt;=2,
SUMPRODUCT(INDEX($AR$62:$AT$66,,$AI821), INDEX($AU$62:$BA$66,,$AH821), 1 / ($BB$62:$BB$66*BY821 + (1-$BB$62:$BB$66)*BU821), N($AQ$62:$AQ$66&gt;$AO821)),
SUMPRODUCT(INDEX($AR$47:$AT$56,,$AI821), INDEX($AU$47:$BA$56,,$AH821), 1 / ($BC$47:$BC$56*BY821 + (1-$BC$47:$BC$56)*BU821), N($AQ$47:$AQ$56&gt;$AO821))
) / 1000</f>
        <v>0</v>
      </c>
      <c r="CA821" s="235" cm="1">
        <f t="array" ref="CA821">$BI821 * IF($AH821&lt;=2,
SUMPRODUCT(INDEX($AR$23:$AT$61,,$AI821), INDEX($AU$23:$BA$61,,$AH821), 1 / ($BB$23:$BB$61*BY821), N($AQ$23:$AQ$61&gt;$AO821)),
SUMPRODUCT(INDEX($AR$23:$AT$46,,$AI821), INDEX($AU$23:$BA$46,,$AH821), 1 / ($BC$23:$BC$46*BY821), N($AQ$23:$AQ$46&gt;$AO821))
) / 1000</f>
        <v>0</v>
      </c>
      <c r="CB821" s="230">
        <f t="shared" si="739"/>
        <v>0</v>
      </c>
      <c r="CC821" s="238"/>
      <c r="CD821" s="229" cm="1">
        <f t="array" ref="CD821">IF(ISBLANK(Y821), INDEX(Use, $AH821, 4) - AN821*INDEX(Use, $AH821, 6) - (Q821-X821), Y821)</f>
        <v>7</v>
      </c>
      <c r="CE821" s="229">
        <f t="shared" si="740"/>
        <v>32</v>
      </c>
      <c r="CF821" s="230">
        <f t="shared" si="741"/>
        <v>0</v>
      </c>
      <c r="CG821" s="229">
        <v>35</v>
      </c>
      <c r="CH821" s="230">
        <f t="shared" si="742"/>
        <v>48</v>
      </c>
      <c r="CI821" s="235">
        <f t="shared" si="743"/>
        <v>3.0748170731707316</v>
      </c>
      <c r="CJ821" s="235" cm="1">
        <f t="array" ref="CJ821">$BI821 * SUMPRODUCT(INDEX($AR$77:$AT$82,,$AI821),INDEX($AU$77:$BA$82,,$AH821), N($AQ$77:$AQ$82&gt;$AO821)) / CI821 / 1000</f>
        <v>0</v>
      </c>
      <c r="CK821" s="232">
        <f t="shared" si="760"/>
        <v>30</v>
      </c>
      <c r="CL821" s="230">
        <f t="shared" si="744"/>
        <v>43</v>
      </c>
      <c r="CM821" s="235">
        <f t="shared" si="745"/>
        <v>3.5018750000000001</v>
      </c>
      <c r="CN821" s="235" cm="1">
        <f t="array" ref="CN821">$BI821 * IF($AH821&lt;=2,
SUMPRODUCT(INDEX($AR$72:$AT$76,,$AI821), INDEX($AU$72:$BA$76,,$AH821), 1 / ($BB$72:$BB$76*CM821 + (1-$BB$72:$BB$76)*CI821), N($AQ$72:$AQ$76&gt;$AO821)),
SUMPRODUCT(INDEX($AR$67:$AT$76,,$AI821), INDEX($AU$67:$BA$76,,$AH821), 1 / ($BC$67:$BC$76*CM821 + (1-$BC$67:$BC$76)*CI821), N($AQ$67:$AQ$76&gt;$AO821))
) / 1000</f>
        <v>0</v>
      </c>
      <c r="CO821" s="232">
        <f t="shared" si="761"/>
        <v>25</v>
      </c>
      <c r="CP821" s="230">
        <f t="shared" si="746"/>
        <v>38</v>
      </c>
      <c r="CQ821" s="235">
        <f t="shared" si="747"/>
        <v>4.0666935483870965</v>
      </c>
      <c r="CR821" s="235" cm="1">
        <f t="array" ref="CR821">$BI821 * IF($AH821&lt;=2,
SUMPRODUCT(INDEX($AR$67:$AT$71,,$AI821), INDEX($AU$67:$BA$71,,$AH821), 1 / ($BB$67:$BB$71*CQ821 + (1-$BB$67:$BB$71)*CM821), N($AQ$67:$AQ$71&gt;$AO821)),
SUMPRODUCT(INDEX($AR$57:$AT$66,,$AI821), INDEX($AU$57:$BA$66,,$AH821), 1 / ($BC$57:$BC$66*CQ821 + (1-$BC$57:$BC$66)*CM821), N($AQ$57:$AQ$66&gt;$AO821))
) / 1000</f>
        <v>0</v>
      </c>
      <c r="CS821" s="232">
        <f t="shared" si="762"/>
        <v>20</v>
      </c>
      <c r="CT821" s="230">
        <f t="shared" si="748"/>
        <v>33</v>
      </c>
      <c r="CU821" s="235">
        <f t="shared" si="749"/>
        <v>4.8487499999999999</v>
      </c>
      <c r="CV821" s="235" cm="1">
        <f t="array" ref="CV821">$BI821 * IF($AH821&lt;=2,
SUMPRODUCT(INDEX($AR$62:$AT$66,,$AI821), INDEX($AU$62:$BA$66,,$AH821), 1 / ($BB$62:$BB$66*CU821 + (1-$BB$62:$BB$66)*CQ821), N($AQ$62:$AQ$66&gt;$AO821)),
SUMPRODUCT(INDEX($AR$47:$AT$56,,$AI821), INDEX($AU$47:$BA$56,,$AH821), 1 / ($BC$47:$BC$56*CU821 + (1-$BC$47:$BC$56)*CQ821), N($AQ$47:$AQ$56&gt;$AO821))
) / 1000</f>
        <v>0</v>
      </c>
      <c r="CW821" s="235" cm="1">
        <f t="array" ref="CW821">$BI821 * IF($AH821&lt;=2,
SUMPRODUCT(INDEX($AR$23:$AT$61,,$AI821), INDEX($AU$23:$BA$61,,$AH821), 1 / ($BB$23:$BB$61*CU821), N($AQ$23:$AQ$61&gt;$AO821)),
SUMPRODUCT(INDEX($AR$23:$AT$46,,$AI821), INDEX($AU$23:$BA$46,,$AH821), 1 / ($BC$23:$BC$46*CU821), N($AQ$23:$AQ$46&gt;$AO821))
) / 1000</f>
        <v>0</v>
      </c>
      <c r="CX821" s="230">
        <f t="shared" si="750"/>
        <v>0</v>
      </c>
      <c r="CY821" s="238"/>
    </row>
    <row r="822" spans="1:103" s="76" customFormat="1" ht="14.25" customHeight="1" x14ac:dyDescent="0.2">
      <c r="A822" s="231" t="b">
        <f t="shared" si="754"/>
        <v>0</v>
      </c>
      <c r="B822" s="245">
        <v>800</v>
      </c>
      <c r="C822" s="258"/>
      <c r="D822" s="258"/>
      <c r="E822" s="246"/>
      <c r="F822" s="247" t="str">
        <f>IF(ISBLANK(E822), "", VLOOKUP(E822, Z!$A$2:$C$4127, 3, FALSE))</f>
        <v/>
      </c>
      <c r="G822" s="248"/>
      <c r="H822" s="248"/>
      <c r="I822" s="249"/>
      <c r="J822" s="250"/>
      <c r="K822" s="259"/>
      <c r="L822" s="260"/>
      <c r="M822" s="252" t="str" cm="1">
        <f t="array" ref="M822">INDEX(Trad, 53, $A$20)</f>
        <v>Verschmutzt</v>
      </c>
      <c r="N822" s="253"/>
      <c r="O822" s="253"/>
      <c r="P822" s="254"/>
      <c r="Q822" s="251"/>
      <c r="R822" s="251"/>
      <c r="S822" s="264">
        <f t="shared" si="725"/>
        <v>0</v>
      </c>
      <c r="T822" s="252" t="str" cm="1">
        <f t="array" ref="T822">INDEX(Trad, 52, $A$20)</f>
        <v>Sauber</v>
      </c>
      <c r="U822" s="253"/>
      <c r="V822" s="253"/>
      <c r="W822" s="254"/>
      <c r="X822" s="251"/>
      <c r="Y822" s="251"/>
      <c r="Z822" s="264">
        <f t="shared" si="726"/>
        <v>0</v>
      </c>
      <c r="AA822" s="261"/>
      <c r="AB822" s="258"/>
      <c r="AC822" s="246"/>
      <c r="AD822" s="247" t="str">
        <f>IF(ISBLANK(AC822), "", VLOOKUP(AC822, Z!$A$2:$C$4127, 3, FALSE))</f>
        <v/>
      </c>
      <c r="AE822" s="262"/>
      <c r="AF822" s="263">
        <f t="shared" si="727"/>
        <v>0</v>
      </c>
      <c r="AG822" s="238"/>
      <c r="AH822" s="229">
        <f t="shared" si="751"/>
        <v>1</v>
      </c>
      <c r="AI822" s="229">
        <f t="shared" si="752"/>
        <v>1</v>
      </c>
      <c r="AJ822" s="229">
        <f t="shared" si="753"/>
        <v>0</v>
      </c>
      <c r="AK822" s="229">
        <v>0</v>
      </c>
      <c r="AL822" s="229">
        <v>0</v>
      </c>
      <c r="AM822" s="229">
        <v>1</v>
      </c>
      <c r="AN822" s="229">
        <v>0</v>
      </c>
      <c r="AO822" s="229">
        <f t="shared" si="728"/>
        <v>-100</v>
      </c>
      <c r="AP822" s="238"/>
      <c r="AQ822" s="255"/>
      <c r="AR822" s="255"/>
      <c r="AS822" s="256"/>
      <c r="AT822" s="256"/>
      <c r="AU822" s="256"/>
      <c r="AV822" s="256"/>
      <c r="AW822" s="256"/>
      <c r="AX822" s="256"/>
      <c r="AY822" s="256"/>
      <c r="AZ822" s="256"/>
      <c r="BA822" s="256"/>
      <c r="BB822" s="256"/>
      <c r="BC822" s="256"/>
      <c r="BD822" s="238"/>
      <c r="BE822" s="229" cm="1">
        <f t="array" ref="BE822">IF(ISBLANK(R822), INDEX(Use, $AH822, 4) - AM822*INDEX(Use, $AH822, 6), R822)</f>
        <v>5</v>
      </c>
      <c r="BF822" s="229">
        <f t="shared" si="729"/>
        <v>30</v>
      </c>
      <c r="BG822" s="229">
        <f t="shared" si="755"/>
        <v>13</v>
      </c>
      <c r="BH822" s="229">
        <f t="shared" si="756"/>
        <v>0</v>
      </c>
      <c r="BI822" s="234" cm="1">
        <f t="array" ref="BI822">K822/IF($L822&gt;0, INDEX($AU$23:$BA$77, $L822+20, $AH822), 1)</f>
        <v>0</v>
      </c>
      <c r="BJ822" s="230">
        <f t="shared" si="730"/>
        <v>0</v>
      </c>
      <c r="BK822" s="229">
        <v>35</v>
      </c>
      <c r="BL822" s="230">
        <f t="shared" si="731"/>
        <v>48</v>
      </c>
      <c r="BM822" s="235">
        <f t="shared" si="732"/>
        <v>2.9108720930232557</v>
      </c>
      <c r="BN822" s="235" cm="1">
        <f t="array" ref="BN822">$BI822 * SUMPRODUCT(INDEX($AR$77:$AT$82,,$AI822),INDEX($AU$77:$BA$82,,$AH822), N($AQ$77:$AQ$82&gt;$AO822)) / BM822 / 1000</f>
        <v>0</v>
      </c>
      <c r="BO822" s="232">
        <f t="shared" si="757"/>
        <v>30</v>
      </c>
      <c r="BP822" s="230">
        <f t="shared" si="733"/>
        <v>43</v>
      </c>
      <c r="BQ822" s="235">
        <f t="shared" si="734"/>
        <v>3.2938815789473681</v>
      </c>
      <c r="BR822" s="235" cm="1">
        <f t="array" ref="BR822">$BI822 * IF($AH822&lt;=2,
SUMPRODUCT(INDEX($AR$72:$AT$76,,$AI822), INDEX($AU$72:$BA$76,,$AH822), 1 / ($BB$72:$BB$76*BQ822 + (1-$BB$72:$BB$76)*BM822), N($AQ$72:$AQ$76&gt;$AO822)),
SUMPRODUCT(INDEX($AR$67:$AT$76,,$AI822), INDEX($AU$67:$BA$76,,$AH822), 1 / ($BC$67:$BC$76*BQ822 + (1-$BC$67:$BC$76)*BM822), N($AQ$67:$AQ$76&gt;$AO822))
) / 1000</f>
        <v>0</v>
      </c>
      <c r="BS822" s="232">
        <f t="shared" si="758"/>
        <v>25</v>
      </c>
      <c r="BT822" s="230">
        <f t="shared" si="735"/>
        <v>38</v>
      </c>
      <c r="BU822" s="235">
        <f t="shared" si="736"/>
        <v>3.792954545454545</v>
      </c>
      <c r="BV822" s="235" cm="1">
        <f t="array" ref="BV822">$BI822 * IF($AH822&lt;=2,
SUMPRODUCT(INDEX($AR$67:$AT$71,,$AI822), INDEX($AU$67:$BA$71,,$AH822), 1 / ($BB$67:$BB$71*BU822 + (1-$BB$67:$BB$71)*BQ822), N($AQ$67:$AQ$71&gt;$AO822)),
SUMPRODUCT(INDEX($AR$57:$AT$66,,$AI822), INDEX($AU$57:$BA$66,,$AH822), 1 / ($BC$57:$BC$66*BU822 + (1-$BC$57:$BC$66)*BQ822), N($AQ$57:$AQ$66&gt;$AO822))
) / 1000</f>
        <v>0</v>
      </c>
      <c r="BW822" s="232">
        <f t="shared" si="759"/>
        <v>20</v>
      </c>
      <c r="BX822" s="230">
        <f t="shared" si="737"/>
        <v>33</v>
      </c>
      <c r="BY822" s="235">
        <f t="shared" si="738"/>
        <v>4.4702678571428569</v>
      </c>
      <c r="BZ822" s="235" cm="1">
        <f t="array" ref="BZ822">$BI822 * IF($AH822&lt;=2,
SUMPRODUCT(INDEX($AR$62:$AT$66,,$AI822), INDEX($AU$62:$BA$66,,$AH822), 1 / ($BB$62:$BB$66*BY822 + (1-$BB$62:$BB$66)*BU822), N($AQ$62:$AQ$66&gt;$AO822)),
SUMPRODUCT(INDEX($AR$47:$AT$56,,$AI822), INDEX($AU$47:$BA$56,,$AH822), 1 / ($BC$47:$BC$56*BY822 + (1-$BC$47:$BC$56)*BU822), N($AQ$47:$AQ$56&gt;$AO822))
) / 1000</f>
        <v>0</v>
      </c>
      <c r="CA822" s="235" cm="1">
        <f t="array" ref="CA822">$BI822 * IF($AH822&lt;=2,
SUMPRODUCT(INDEX($AR$23:$AT$61,,$AI822), INDEX($AU$23:$BA$61,,$AH822), 1 / ($BB$23:$BB$61*BY822), N($AQ$23:$AQ$61&gt;$AO822)),
SUMPRODUCT(INDEX($AR$23:$AT$46,,$AI822), INDEX($AU$23:$BA$46,,$AH822), 1 / ($BC$23:$BC$46*BY822), N($AQ$23:$AQ$46&gt;$AO822))
) / 1000</f>
        <v>0</v>
      </c>
      <c r="CB822" s="230">
        <f t="shared" si="739"/>
        <v>0</v>
      </c>
      <c r="CC822" s="238"/>
      <c r="CD822" s="229" cm="1">
        <f t="array" ref="CD822">IF(ISBLANK(Y822), INDEX(Use, $AH822, 4) - AN822*INDEX(Use, $AH822, 6) - (Q822-X822), Y822)</f>
        <v>7</v>
      </c>
      <c r="CE822" s="229">
        <f t="shared" si="740"/>
        <v>32</v>
      </c>
      <c r="CF822" s="230">
        <f t="shared" si="741"/>
        <v>0</v>
      </c>
      <c r="CG822" s="229">
        <v>35</v>
      </c>
      <c r="CH822" s="230">
        <f t="shared" si="742"/>
        <v>48</v>
      </c>
      <c r="CI822" s="235">
        <f t="shared" si="743"/>
        <v>3.0748170731707316</v>
      </c>
      <c r="CJ822" s="235" cm="1">
        <f t="array" ref="CJ822">$BI822 * SUMPRODUCT(INDEX($AR$77:$AT$82,,$AI822),INDEX($AU$77:$BA$82,,$AH822), N($AQ$77:$AQ$82&gt;$AO822)) / CI822 / 1000</f>
        <v>0</v>
      </c>
      <c r="CK822" s="232">
        <f t="shared" si="760"/>
        <v>30</v>
      </c>
      <c r="CL822" s="230">
        <f t="shared" si="744"/>
        <v>43</v>
      </c>
      <c r="CM822" s="235">
        <f t="shared" si="745"/>
        <v>3.5018750000000001</v>
      </c>
      <c r="CN822" s="235" cm="1">
        <f t="array" ref="CN822">$BI822 * IF($AH822&lt;=2,
SUMPRODUCT(INDEX($AR$72:$AT$76,,$AI822), INDEX($AU$72:$BA$76,,$AH822), 1 / ($BB$72:$BB$76*CM822 + (1-$BB$72:$BB$76)*CI822), N($AQ$72:$AQ$76&gt;$AO822)),
SUMPRODUCT(INDEX($AR$67:$AT$76,,$AI822), INDEX($AU$67:$BA$76,,$AH822), 1 / ($BC$67:$BC$76*CM822 + (1-$BC$67:$BC$76)*CI822), N($AQ$67:$AQ$76&gt;$AO822))
) / 1000</f>
        <v>0</v>
      </c>
      <c r="CO822" s="232">
        <f t="shared" si="761"/>
        <v>25</v>
      </c>
      <c r="CP822" s="230">
        <f t="shared" si="746"/>
        <v>38</v>
      </c>
      <c r="CQ822" s="235">
        <f t="shared" si="747"/>
        <v>4.0666935483870965</v>
      </c>
      <c r="CR822" s="235" cm="1">
        <f t="array" ref="CR822">$BI822 * IF($AH822&lt;=2,
SUMPRODUCT(INDEX($AR$67:$AT$71,,$AI822), INDEX($AU$67:$BA$71,,$AH822), 1 / ($BB$67:$BB$71*CQ822 + (1-$BB$67:$BB$71)*CM822), N($AQ$67:$AQ$71&gt;$AO822)),
SUMPRODUCT(INDEX($AR$57:$AT$66,,$AI822), INDEX($AU$57:$BA$66,,$AH822), 1 / ($BC$57:$BC$66*CQ822 + (1-$BC$57:$BC$66)*CM822), N($AQ$57:$AQ$66&gt;$AO822))
) / 1000</f>
        <v>0</v>
      </c>
      <c r="CS822" s="232">
        <f t="shared" si="762"/>
        <v>20</v>
      </c>
      <c r="CT822" s="230">
        <f t="shared" si="748"/>
        <v>33</v>
      </c>
      <c r="CU822" s="235">
        <f t="shared" si="749"/>
        <v>4.8487499999999999</v>
      </c>
      <c r="CV822" s="235" cm="1">
        <f t="array" ref="CV822">$BI822 * IF($AH822&lt;=2,
SUMPRODUCT(INDEX($AR$62:$AT$66,,$AI822), INDEX($AU$62:$BA$66,,$AH822), 1 / ($BB$62:$BB$66*CU822 + (1-$BB$62:$BB$66)*CQ822), N($AQ$62:$AQ$66&gt;$AO822)),
SUMPRODUCT(INDEX($AR$47:$AT$56,,$AI822), INDEX($AU$47:$BA$56,,$AH822), 1 / ($BC$47:$BC$56*CU822 + (1-$BC$47:$BC$56)*CQ822), N($AQ$47:$AQ$56&gt;$AO822))
) / 1000</f>
        <v>0</v>
      </c>
      <c r="CW822" s="235" cm="1">
        <f t="array" ref="CW822">$BI822 * IF($AH822&lt;=2,
SUMPRODUCT(INDEX($AR$23:$AT$61,,$AI822), INDEX($AU$23:$BA$61,,$AH822), 1 / ($BB$23:$BB$61*CU822), N($AQ$23:$AQ$61&gt;$AO822)),
SUMPRODUCT(INDEX($AR$23:$AT$46,,$AI822), INDEX($AU$23:$BA$46,,$AH822), 1 / ($BC$23:$BC$46*CU822), N($AQ$23:$AQ$46&gt;$AO822))
) / 1000</f>
        <v>0</v>
      </c>
      <c r="CX822" s="230">
        <f t="shared" si="750"/>
        <v>0</v>
      </c>
      <c r="CY822" s="238"/>
    </row>
    <row r="823" spans="1:103" s="76" customFormat="1" ht="14.25" customHeight="1" x14ac:dyDescent="0.2">
      <c r="A823" s="231" t="b">
        <f t="shared" si="754"/>
        <v>0</v>
      </c>
      <c r="B823" s="245">
        <v>801</v>
      </c>
      <c r="C823" s="258"/>
      <c r="D823" s="258"/>
      <c r="E823" s="246"/>
      <c r="F823" s="247" t="str">
        <f>IF(ISBLANK(E823), "", VLOOKUP(E823, Z!$A$2:$C$4127, 3, FALSE))</f>
        <v/>
      </c>
      <c r="G823" s="248"/>
      <c r="H823" s="248"/>
      <c r="I823" s="249"/>
      <c r="J823" s="250"/>
      <c r="K823" s="259"/>
      <c r="L823" s="260"/>
      <c r="M823" s="252" t="str" cm="1">
        <f t="array" ref="M823">INDEX(Trad, 53, $A$20)</f>
        <v>Verschmutzt</v>
      </c>
      <c r="N823" s="253"/>
      <c r="O823" s="253"/>
      <c r="P823" s="254"/>
      <c r="Q823" s="251"/>
      <c r="R823" s="251"/>
      <c r="S823" s="264">
        <f t="shared" si="725"/>
        <v>0</v>
      </c>
      <c r="T823" s="252" t="str" cm="1">
        <f t="array" ref="T823">INDEX(Trad, 52, $A$20)</f>
        <v>Sauber</v>
      </c>
      <c r="U823" s="253"/>
      <c r="V823" s="253"/>
      <c r="W823" s="254"/>
      <c r="X823" s="251"/>
      <c r="Y823" s="251"/>
      <c r="Z823" s="264">
        <f t="shared" si="726"/>
        <v>0</v>
      </c>
      <c r="AA823" s="261"/>
      <c r="AB823" s="258"/>
      <c r="AC823" s="246"/>
      <c r="AD823" s="247" t="str">
        <f>IF(ISBLANK(AC823), "", VLOOKUP(AC823, Z!$A$2:$C$4127, 3, FALSE))</f>
        <v/>
      </c>
      <c r="AE823" s="262"/>
      <c r="AF823" s="263">
        <f t="shared" si="727"/>
        <v>0</v>
      </c>
      <c r="AG823" s="238"/>
      <c r="AH823" s="229">
        <f t="shared" si="751"/>
        <v>1</v>
      </c>
      <c r="AI823" s="229">
        <f t="shared" si="752"/>
        <v>1</v>
      </c>
      <c r="AJ823" s="229">
        <f t="shared" si="753"/>
        <v>0</v>
      </c>
      <c r="AK823" s="229">
        <v>0</v>
      </c>
      <c r="AL823" s="229">
        <v>0</v>
      </c>
      <c r="AM823" s="229">
        <v>1</v>
      </c>
      <c r="AN823" s="229">
        <v>0</v>
      </c>
      <c r="AO823" s="229">
        <f t="shared" si="728"/>
        <v>-100</v>
      </c>
      <c r="AP823" s="238"/>
      <c r="AQ823" s="255"/>
      <c r="AR823" s="255"/>
      <c r="AS823" s="256"/>
      <c r="AT823" s="256"/>
      <c r="AU823" s="256"/>
      <c r="AV823" s="256"/>
      <c r="AW823" s="256"/>
      <c r="AX823" s="256"/>
      <c r="AY823" s="256"/>
      <c r="AZ823" s="256"/>
      <c r="BA823" s="256"/>
      <c r="BB823" s="256"/>
      <c r="BC823" s="256"/>
      <c r="BD823" s="238"/>
      <c r="BE823" s="229" cm="1">
        <f t="array" ref="BE823">IF(ISBLANK(R823), INDEX(Use, $AH823, 4) - AM823*INDEX(Use, $AH823, 6), R823)</f>
        <v>5</v>
      </c>
      <c r="BF823" s="229">
        <f t="shared" si="729"/>
        <v>30</v>
      </c>
      <c r="BG823" s="229">
        <f t="shared" si="755"/>
        <v>13</v>
      </c>
      <c r="BH823" s="229">
        <f t="shared" si="756"/>
        <v>0</v>
      </c>
      <c r="BI823" s="234" cm="1">
        <f t="array" ref="BI823">K823/IF($L823&gt;0, INDEX($AU$23:$BA$77, $L823+20, $AH823), 1)</f>
        <v>0</v>
      </c>
      <c r="BJ823" s="230">
        <f t="shared" si="730"/>
        <v>0</v>
      </c>
      <c r="BK823" s="229">
        <v>35</v>
      </c>
      <c r="BL823" s="230">
        <f t="shared" si="731"/>
        <v>48</v>
      </c>
      <c r="BM823" s="235">
        <f t="shared" si="732"/>
        <v>2.9108720930232557</v>
      </c>
      <c r="BN823" s="235" cm="1">
        <f t="array" ref="BN823">$BI823 * SUMPRODUCT(INDEX($AR$77:$AT$82,,$AI823),INDEX($AU$77:$BA$82,,$AH823), N($AQ$77:$AQ$82&gt;$AO823)) / BM823 / 1000</f>
        <v>0</v>
      </c>
      <c r="BO823" s="232">
        <f t="shared" si="757"/>
        <v>30</v>
      </c>
      <c r="BP823" s="230">
        <f t="shared" si="733"/>
        <v>43</v>
      </c>
      <c r="BQ823" s="235">
        <f t="shared" si="734"/>
        <v>3.2938815789473681</v>
      </c>
      <c r="BR823" s="235" cm="1">
        <f t="array" ref="BR823">$BI823 * IF($AH823&lt;=2,
SUMPRODUCT(INDEX($AR$72:$AT$76,,$AI823), INDEX($AU$72:$BA$76,,$AH823), 1 / ($BB$72:$BB$76*BQ823 + (1-$BB$72:$BB$76)*BM823), N($AQ$72:$AQ$76&gt;$AO823)),
SUMPRODUCT(INDEX($AR$67:$AT$76,,$AI823), INDEX($AU$67:$BA$76,,$AH823), 1 / ($BC$67:$BC$76*BQ823 + (1-$BC$67:$BC$76)*BM823), N($AQ$67:$AQ$76&gt;$AO823))
) / 1000</f>
        <v>0</v>
      </c>
      <c r="BS823" s="232">
        <f t="shared" si="758"/>
        <v>25</v>
      </c>
      <c r="BT823" s="230">
        <f t="shared" si="735"/>
        <v>38</v>
      </c>
      <c r="BU823" s="235">
        <f t="shared" si="736"/>
        <v>3.792954545454545</v>
      </c>
      <c r="BV823" s="235" cm="1">
        <f t="array" ref="BV823">$BI823 * IF($AH823&lt;=2,
SUMPRODUCT(INDEX($AR$67:$AT$71,,$AI823), INDEX($AU$67:$BA$71,,$AH823), 1 / ($BB$67:$BB$71*BU823 + (1-$BB$67:$BB$71)*BQ823), N($AQ$67:$AQ$71&gt;$AO823)),
SUMPRODUCT(INDEX($AR$57:$AT$66,,$AI823), INDEX($AU$57:$BA$66,,$AH823), 1 / ($BC$57:$BC$66*BU823 + (1-$BC$57:$BC$66)*BQ823), N($AQ$57:$AQ$66&gt;$AO823))
) / 1000</f>
        <v>0</v>
      </c>
      <c r="BW823" s="232">
        <f t="shared" si="759"/>
        <v>20</v>
      </c>
      <c r="BX823" s="230">
        <f t="shared" si="737"/>
        <v>33</v>
      </c>
      <c r="BY823" s="235">
        <f t="shared" si="738"/>
        <v>4.4702678571428569</v>
      </c>
      <c r="BZ823" s="235" cm="1">
        <f t="array" ref="BZ823">$BI823 * IF($AH823&lt;=2,
SUMPRODUCT(INDEX($AR$62:$AT$66,,$AI823), INDEX($AU$62:$BA$66,,$AH823), 1 / ($BB$62:$BB$66*BY823 + (1-$BB$62:$BB$66)*BU823), N($AQ$62:$AQ$66&gt;$AO823)),
SUMPRODUCT(INDEX($AR$47:$AT$56,,$AI823), INDEX($AU$47:$BA$56,,$AH823), 1 / ($BC$47:$BC$56*BY823 + (1-$BC$47:$BC$56)*BU823), N($AQ$47:$AQ$56&gt;$AO823))
) / 1000</f>
        <v>0</v>
      </c>
      <c r="CA823" s="235" cm="1">
        <f t="array" ref="CA823">$BI823 * IF($AH823&lt;=2,
SUMPRODUCT(INDEX($AR$23:$AT$61,,$AI823), INDEX($AU$23:$BA$61,,$AH823), 1 / ($BB$23:$BB$61*BY823), N($AQ$23:$AQ$61&gt;$AO823)),
SUMPRODUCT(INDEX($AR$23:$AT$46,,$AI823), INDEX($AU$23:$BA$46,,$AH823), 1 / ($BC$23:$BC$46*BY823), N($AQ$23:$AQ$46&gt;$AO823))
) / 1000</f>
        <v>0</v>
      </c>
      <c r="CB823" s="230">
        <f t="shared" si="739"/>
        <v>0</v>
      </c>
      <c r="CC823" s="238"/>
      <c r="CD823" s="229" cm="1">
        <f t="array" ref="CD823">IF(ISBLANK(Y823), INDEX(Use, $AH823, 4) - AN823*INDEX(Use, $AH823, 6) - (Q823-X823), Y823)</f>
        <v>7</v>
      </c>
      <c r="CE823" s="229">
        <f t="shared" si="740"/>
        <v>32</v>
      </c>
      <c r="CF823" s="230">
        <f t="shared" si="741"/>
        <v>0</v>
      </c>
      <c r="CG823" s="229">
        <v>35</v>
      </c>
      <c r="CH823" s="230">
        <f t="shared" si="742"/>
        <v>48</v>
      </c>
      <c r="CI823" s="235">
        <f t="shared" si="743"/>
        <v>3.0748170731707316</v>
      </c>
      <c r="CJ823" s="235" cm="1">
        <f t="array" ref="CJ823">$BI823 * SUMPRODUCT(INDEX($AR$77:$AT$82,,$AI823),INDEX($AU$77:$BA$82,,$AH823), N($AQ$77:$AQ$82&gt;$AO823)) / CI823 / 1000</f>
        <v>0</v>
      </c>
      <c r="CK823" s="232">
        <f t="shared" si="760"/>
        <v>30</v>
      </c>
      <c r="CL823" s="230">
        <f t="shared" si="744"/>
        <v>43</v>
      </c>
      <c r="CM823" s="235">
        <f t="shared" si="745"/>
        <v>3.5018750000000001</v>
      </c>
      <c r="CN823" s="235" cm="1">
        <f t="array" ref="CN823">$BI823 * IF($AH823&lt;=2,
SUMPRODUCT(INDEX($AR$72:$AT$76,,$AI823), INDEX($AU$72:$BA$76,,$AH823), 1 / ($BB$72:$BB$76*CM823 + (1-$BB$72:$BB$76)*CI823), N($AQ$72:$AQ$76&gt;$AO823)),
SUMPRODUCT(INDEX($AR$67:$AT$76,,$AI823), INDEX($AU$67:$BA$76,,$AH823), 1 / ($BC$67:$BC$76*CM823 + (1-$BC$67:$BC$76)*CI823), N($AQ$67:$AQ$76&gt;$AO823))
) / 1000</f>
        <v>0</v>
      </c>
      <c r="CO823" s="232">
        <f t="shared" si="761"/>
        <v>25</v>
      </c>
      <c r="CP823" s="230">
        <f t="shared" si="746"/>
        <v>38</v>
      </c>
      <c r="CQ823" s="235">
        <f t="shared" si="747"/>
        <v>4.0666935483870965</v>
      </c>
      <c r="CR823" s="235" cm="1">
        <f t="array" ref="CR823">$BI823 * IF($AH823&lt;=2,
SUMPRODUCT(INDEX($AR$67:$AT$71,,$AI823), INDEX($AU$67:$BA$71,,$AH823), 1 / ($BB$67:$BB$71*CQ823 + (1-$BB$67:$BB$71)*CM823), N($AQ$67:$AQ$71&gt;$AO823)),
SUMPRODUCT(INDEX($AR$57:$AT$66,,$AI823), INDEX($AU$57:$BA$66,,$AH823), 1 / ($BC$57:$BC$66*CQ823 + (1-$BC$57:$BC$66)*CM823), N($AQ$57:$AQ$66&gt;$AO823))
) / 1000</f>
        <v>0</v>
      </c>
      <c r="CS823" s="232">
        <f t="shared" si="762"/>
        <v>20</v>
      </c>
      <c r="CT823" s="230">
        <f t="shared" si="748"/>
        <v>33</v>
      </c>
      <c r="CU823" s="235">
        <f t="shared" si="749"/>
        <v>4.8487499999999999</v>
      </c>
      <c r="CV823" s="235" cm="1">
        <f t="array" ref="CV823">$BI823 * IF($AH823&lt;=2,
SUMPRODUCT(INDEX($AR$62:$AT$66,,$AI823), INDEX($AU$62:$BA$66,,$AH823), 1 / ($BB$62:$BB$66*CU823 + (1-$BB$62:$BB$66)*CQ823), N($AQ$62:$AQ$66&gt;$AO823)),
SUMPRODUCT(INDEX($AR$47:$AT$56,,$AI823), INDEX($AU$47:$BA$56,,$AH823), 1 / ($BC$47:$BC$56*CU823 + (1-$BC$47:$BC$56)*CQ823), N($AQ$47:$AQ$56&gt;$AO823))
) / 1000</f>
        <v>0</v>
      </c>
      <c r="CW823" s="235" cm="1">
        <f t="array" ref="CW823">$BI823 * IF($AH823&lt;=2,
SUMPRODUCT(INDEX($AR$23:$AT$61,,$AI823), INDEX($AU$23:$BA$61,,$AH823), 1 / ($BB$23:$BB$61*CU823), N($AQ$23:$AQ$61&gt;$AO823)),
SUMPRODUCT(INDEX($AR$23:$AT$46,,$AI823), INDEX($AU$23:$BA$46,,$AH823), 1 / ($BC$23:$BC$46*CU823), N($AQ$23:$AQ$46&gt;$AO823))
) / 1000</f>
        <v>0</v>
      </c>
      <c r="CX823" s="230">
        <f t="shared" si="750"/>
        <v>0</v>
      </c>
      <c r="CY823" s="238"/>
    </row>
    <row r="824" spans="1:103" s="76" customFormat="1" ht="14.25" customHeight="1" x14ac:dyDescent="0.2">
      <c r="A824" s="231" t="b">
        <f t="shared" si="754"/>
        <v>0</v>
      </c>
      <c r="B824" s="245">
        <v>802</v>
      </c>
      <c r="C824" s="258"/>
      <c r="D824" s="258"/>
      <c r="E824" s="246"/>
      <c r="F824" s="247" t="str">
        <f>IF(ISBLANK(E824), "", VLOOKUP(E824, Z!$A$2:$C$4127, 3, FALSE))</f>
        <v/>
      </c>
      <c r="G824" s="248"/>
      <c r="H824" s="248"/>
      <c r="I824" s="249"/>
      <c r="J824" s="250"/>
      <c r="K824" s="259"/>
      <c r="L824" s="260"/>
      <c r="M824" s="252" t="str" cm="1">
        <f t="array" ref="M824">INDEX(Trad, 53, $A$20)</f>
        <v>Verschmutzt</v>
      </c>
      <c r="N824" s="253"/>
      <c r="O824" s="253"/>
      <c r="P824" s="254"/>
      <c r="Q824" s="251"/>
      <c r="R824" s="251"/>
      <c r="S824" s="264">
        <f t="shared" si="725"/>
        <v>0</v>
      </c>
      <c r="T824" s="252" t="str" cm="1">
        <f t="array" ref="T824">INDEX(Trad, 52, $A$20)</f>
        <v>Sauber</v>
      </c>
      <c r="U824" s="253"/>
      <c r="V824" s="253"/>
      <c r="W824" s="254"/>
      <c r="X824" s="251"/>
      <c r="Y824" s="251"/>
      <c r="Z824" s="264">
        <f t="shared" si="726"/>
        <v>0</v>
      </c>
      <c r="AA824" s="261"/>
      <c r="AB824" s="258"/>
      <c r="AC824" s="246"/>
      <c r="AD824" s="247" t="str">
        <f>IF(ISBLANK(AC824), "", VLOOKUP(AC824, Z!$A$2:$C$4127, 3, FALSE))</f>
        <v/>
      </c>
      <c r="AE824" s="262"/>
      <c r="AF824" s="263">
        <f t="shared" si="727"/>
        <v>0</v>
      </c>
      <c r="AG824" s="238"/>
      <c r="AH824" s="229">
        <f t="shared" si="751"/>
        <v>1</v>
      </c>
      <c r="AI824" s="229">
        <f t="shared" si="752"/>
        <v>1</v>
      </c>
      <c r="AJ824" s="229">
        <f t="shared" si="753"/>
        <v>0</v>
      </c>
      <c r="AK824" s="229">
        <v>0</v>
      </c>
      <c r="AL824" s="229">
        <v>0</v>
      </c>
      <c r="AM824" s="229">
        <v>1</v>
      </c>
      <c r="AN824" s="229">
        <v>0</v>
      </c>
      <c r="AO824" s="229">
        <f t="shared" si="728"/>
        <v>-100</v>
      </c>
      <c r="AP824" s="238"/>
      <c r="AQ824" s="255"/>
      <c r="AR824" s="255"/>
      <c r="AS824" s="256"/>
      <c r="AT824" s="256"/>
      <c r="AU824" s="256"/>
      <c r="AV824" s="256"/>
      <c r="AW824" s="256"/>
      <c r="AX824" s="256"/>
      <c r="AY824" s="256"/>
      <c r="AZ824" s="256"/>
      <c r="BA824" s="256"/>
      <c r="BB824" s="256"/>
      <c r="BC824" s="256"/>
      <c r="BD824" s="238"/>
      <c r="BE824" s="229" cm="1">
        <f t="array" ref="BE824">IF(ISBLANK(R824), INDEX(Use, $AH824, 4) - AM824*INDEX(Use, $AH824, 6), R824)</f>
        <v>5</v>
      </c>
      <c r="BF824" s="229">
        <f t="shared" si="729"/>
        <v>30</v>
      </c>
      <c r="BG824" s="229">
        <f t="shared" si="755"/>
        <v>13</v>
      </c>
      <c r="BH824" s="229">
        <f t="shared" si="756"/>
        <v>0</v>
      </c>
      <c r="BI824" s="234" cm="1">
        <f t="array" ref="BI824">K824/IF($L824&gt;0, INDEX($AU$23:$BA$77, $L824+20, $AH824), 1)</f>
        <v>0</v>
      </c>
      <c r="BJ824" s="230">
        <f t="shared" si="730"/>
        <v>0</v>
      </c>
      <c r="BK824" s="229">
        <v>35</v>
      </c>
      <c r="BL824" s="230">
        <f t="shared" si="731"/>
        <v>48</v>
      </c>
      <c r="BM824" s="235">
        <f t="shared" si="732"/>
        <v>2.9108720930232557</v>
      </c>
      <c r="BN824" s="235" cm="1">
        <f t="array" ref="BN824">$BI824 * SUMPRODUCT(INDEX($AR$77:$AT$82,,$AI824),INDEX($AU$77:$BA$82,,$AH824), N($AQ$77:$AQ$82&gt;$AO824)) / BM824 / 1000</f>
        <v>0</v>
      </c>
      <c r="BO824" s="232">
        <f t="shared" si="757"/>
        <v>30</v>
      </c>
      <c r="BP824" s="230">
        <f t="shared" si="733"/>
        <v>43</v>
      </c>
      <c r="BQ824" s="235">
        <f t="shared" si="734"/>
        <v>3.2938815789473681</v>
      </c>
      <c r="BR824" s="235" cm="1">
        <f t="array" ref="BR824">$BI824 * IF($AH824&lt;=2,
SUMPRODUCT(INDEX($AR$72:$AT$76,,$AI824), INDEX($AU$72:$BA$76,,$AH824), 1 / ($BB$72:$BB$76*BQ824 + (1-$BB$72:$BB$76)*BM824), N($AQ$72:$AQ$76&gt;$AO824)),
SUMPRODUCT(INDEX($AR$67:$AT$76,,$AI824), INDEX($AU$67:$BA$76,,$AH824), 1 / ($BC$67:$BC$76*BQ824 + (1-$BC$67:$BC$76)*BM824), N($AQ$67:$AQ$76&gt;$AO824))
) / 1000</f>
        <v>0</v>
      </c>
      <c r="BS824" s="232">
        <f t="shared" si="758"/>
        <v>25</v>
      </c>
      <c r="BT824" s="230">
        <f t="shared" si="735"/>
        <v>38</v>
      </c>
      <c r="BU824" s="235">
        <f t="shared" si="736"/>
        <v>3.792954545454545</v>
      </c>
      <c r="BV824" s="235" cm="1">
        <f t="array" ref="BV824">$BI824 * IF($AH824&lt;=2,
SUMPRODUCT(INDEX($AR$67:$AT$71,,$AI824), INDEX($AU$67:$BA$71,,$AH824), 1 / ($BB$67:$BB$71*BU824 + (1-$BB$67:$BB$71)*BQ824), N($AQ$67:$AQ$71&gt;$AO824)),
SUMPRODUCT(INDEX($AR$57:$AT$66,,$AI824), INDEX($AU$57:$BA$66,,$AH824), 1 / ($BC$57:$BC$66*BU824 + (1-$BC$57:$BC$66)*BQ824), N($AQ$57:$AQ$66&gt;$AO824))
) / 1000</f>
        <v>0</v>
      </c>
      <c r="BW824" s="232">
        <f t="shared" si="759"/>
        <v>20</v>
      </c>
      <c r="BX824" s="230">
        <f t="shared" si="737"/>
        <v>33</v>
      </c>
      <c r="BY824" s="235">
        <f t="shared" si="738"/>
        <v>4.4702678571428569</v>
      </c>
      <c r="BZ824" s="235" cm="1">
        <f t="array" ref="BZ824">$BI824 * IF($AH824&lt;=2,
SUMPRODUCT(INDEX($AR$62:$AT$66,,$AI824), INDEX($AU$62:$BA$66,,$AH824), 1 / ($BB$62:$BB$66*BY824 + (1-$BB$62:$BB$66)*BU824), N($AQ$62:$AQ$66&gt;$AO824)),
SUMPRODUCT(INDEX($AR$47:$AT$56,,$AI824), INDEX($AU$47:$BA$56,,$AH824), 1 / ($BC$47:$BC$56*BY824 + (1-$BC$47:$BC$56)*BU824), N($AQ$47:$AQ$56&gt;$AO824))
) / 1000</f>
        <v>0</v>
      </c>
      <c r="CA824" s="235" cm="1">
        <f t="array" ref="CA824">$BI824 * IF($AH824&lt;=2,
SUMPRODUCT(INDEX($AR$23:$AT$61,,$AI824), INDEX($AU$23:$BA$61,,$AH824), 1 / ($BB$23:$BB$61*BY824), N($AQ$23:$AQ$61&gt;$AO824)),
SUMPRODUCT(INDEX($AR$23:$AT$46,,$AI824), INDEX($AU$23:$BA$46,,$AH824), 1 / ($BC$23:$BC$46*BY824), N($AQ$23:$AQ$46&gt;$AO824))
) / 1000</f>
        <v>0</v>
      </c>
      <c r="CB824" s="230">
        <f t="shared" si="739"/>
        <v>0</v>
      </c>
      <c r="CC824" s="238"/>
      <c r="CD824" s="229" cm="1">
        <f t="array" ref="CD824">IF(ISBLANK(Y824), INDEX(Use, $AH824, 4) - AN824*INDEX(Use, $AH824, 6) - (Q824-X824), Y824)</f>
        <v>7</v>
      </c>
      <c r="CE824" s="229">
        <f t="shared" si="740"/>
        <v>32</v>
      </c>
      <c r="CF824" s="230">
        <f t="shared" si="741"/>
        <v>0</v>
      </c>
      <c r="CG824" s="229">
        <v>35</v>
      </c>
      <c r="CH824" s="230">
        <f t="shared" si="742"/>
        <v>48</v>
      </c>
      <c r="CI824" s="235">
        <f t="shared" si="743"/>
        <v>3.0748170731707316</v>
      </c>
      <c r="CJ824" s="235" cm="1">
        <f t="array" ref="CJ824">$BI824 * SUMPRODUCT(INDEX($AR$77:$AT$82,,$AI824),INDEX($AU$77:$BA$82,,$AH824), N($AQ$77:$AQ$82&gt;$AO824)) / CI824 / 1000</f>
        <v>0</v>
      </c>
      <c r="CK824" s="232">
        <f t="shared" si="760"/>
        <v>30</v>
      </c>
      <c r="CL824" s="230">
        <f t="shared" si="744"/>
        <v>43</v>
      </c>
      <c r="CM824" s="235">
        <f t="shared" si="745"/>
        <v>3.5018750000000001</v>
      </c>
      <c r="CN824" s="235" cm="1">
        <f t="array" ref="CN824">$BI824 * IF($AH824&lt;=2,
SUMPRODUCT(INDEX($AR$72:$AT$76,,$AI824), INDEX($AU$72:$BA$76,,$AH824), 1 / ($BB$72:$BB$76*CM824 + (1-$BB$72:$BB$76)*CI824), N($AQ$72:$AQ$76&gt;$AO824)),
SUMPRODUCT(INDEX($AR$67:$AT$76,,$AI824), INDEX($AU$67:$BA$76,,$AH824), 1 / ($BC$67:$BC$76*CM824 + (1-$BC$67:$BC$76)*CI824), N($AQ$67:$AQ$76&gt;$AO824))
) / 1000</f>
        <v>0</v>
      </c>
      <c r="CO824" s="232">
        <f t="shared" si="761"/>
        <v>25</v>
      </c>
      <c r="CP824" s="230">
        <f t="shared" si="746"/>
        <v>38</v>
      </c>
      <c r="CQ824" s="235">
        <f t="shared" si="747"/>
        <v>4.0666935483870965</v>
      </c>
      <c r="CR824" s="235" cm="1">
        <f t="array" ref="CR824">$BI824 * IF($AH824&lt;=2,
SUMPRODUCT(INDEX($AR$67:$AT$71,,$AI824), INDEX($AU$67:$BA$71,,$AH824), 1 / ($BB$67:$BB$71*CQ824 + (1-$BB$67:$BB$71)*CM824), N($AQ$67:$AQ$71&gt;$AO824)),
SUMPRODUCT(INDEX($AR$57:$AT$66,,$AI824), INDEX($AU$57:$BA$66,,$AH824), 1 / ($BC$57:$BC$66*CQ824 + (1-$BC$57:$BC$66)*CM824), N($AQ$57:$AQ$66&gt;$AO824))
) / 1000</f>
        <v>0</v>
      </c>
      <c r="CS824" s="232">
        <f t="shared" si="762"/>
        <v>20</v>
      </c>
      <c r="CT824" s="230">
        <f t="shared" si="748"/>
        <v>33</v>
      </c>
      <c r="CU824" s="235">
        <f t="shared" si="749"/>
        <v>4.8487499999999999</v>
      </c>
      <c r="CV824" s="235" cm="1">
        <f t="array" ref="CV824">$BI824 * IF($AH824&lt;=2,
SUMPRODUCT(INDEX($AR$62:$AT$66,,$AI824), INDEX($AU$62:$BA$66,,$AH824), 1 / ($BB$62:$BB$66*CU824 + (1-$BB$62:$BB$66)*CQ824), N($AQ$62:$AQ$66&gt;$AO824)),
SUMPRODUCT(INDEX($AR$47:$AT$56,,$AI824), INDEX($AU$47:$BA$56,,$AH824), 1 / ($BC$47:$BC$56*CU824 + (1-$BC$47:$BC$56)*CQ824), N($AQ$47:$AQ$56&gt;$AO824))
) / 1000</f>
        <v>0</v>
      </c>
      <c r="CW824" s="235" cm="1">
        <f t="array" ref="CW824">$BI824 * IF($AH824&lt;=2,
SUMPRODUCT(INDEX($AR$23:$AT$61,,$AI824), INDEX($AU$23:$BA$61,,$AH824), 1 / ($BB$23:$BB$61*CU824), N($AQ$23:$AQ$61&gt;$AO824)),
SUMPRODUCT(INDEX($AR$23:$AT$46,,$AI824), INDEX($AU$23:$BA$46,,$AH824), 1 / ($BC$23:$BC$46*CU824), N($AQ$23:$AQ$46&gt;$AO824))
) / 1000</f>
        <v>0</v>
      </c>
      <c r="CX824" s="230">
        <f t="shared" si="750"/>
        <v>0</v>
      </c>
      <c r="CY824" s="238"/>
    </row>
    <row r="825" spans="1:103" s="76" customFormat="1" ht="14.25" customHeight="1" x14ac:dyDescent="0.2">
      <c r="A825" s="231" t="b">
        <f t="shared" si="754"/>
        <v>0</v>
      </c>
      <c r="B825" s="245">
        <v>803</v>
      </c>
      <c r="C825" s="258"/>
      <c r="D825" s="258"/>
      <c r="E825" s="246"/>
      <c r="F825" s="247" t="str">
        <f>IF(ISBLANK(E825), "", VLOOKUP(E825, Z!$A$2:$C$4127, 3, FALSE))</f>
        <v/>
      </c>
      <c r="G825" s="248"/>
      <c r="H825" s="248"/>
      <c r="I825" s="249"/>
      <c r="J825" s="250"/>
      <c r="K825" s="259"/>
      <c r="L825" s="260"/>
      <c r="M825" s="252" t="str" cm="1">
        <f t="array" ref="M825">INDEX(Trad, 53, $A$20)</f>
        <v>Verschmutzt</v>
      </c>
      <c r="N825" s="253"/>
      <c r="O825" s="253"/>
      <c r="P825" s="254"/>
      <c r="Q825" s="251"/>
      <c r="R825" s="251"/>
      <c r="S825" s="264">
        <f t="shared" si="725"/>
        <v>0</v>
      </c>
      <c r="T825" s="252" t="str" cm="1">
        <f t="array" ref="T825">INDEX(Trad, 52, $A$20)</f>
        <v>Sauber</v>
      </c>
      <c r="U825" s="253"/>
      <c r="V825" s="253"/>
      <c r="W825" s="254"/>
      <c r="X825" s="251"/>
      <c r="Y825" s="251"/>
      <c r="Z825" s="264">
        <f t="shared" si="726"/>
        <v>0</v>
      </c>
      <c r="AA825" s="261"/>
      <c r="AB825" s="258"/>
      <c r="AC825" s="246"/>
      <c r="AD825" s="247" t="str">
        <f>IF(ISBLANK(AC825), "", VLOOKUP(AC825, Z!$A$2:$C$4127, 3, FALSE))</f>
        <v/>
      </c>
      <c r="AE825" s="262"/>
      <c r="AF825" s="263">
        <f t="shared" si="727"/>
        <v>0</v>
      </c>
      <c r="AG825" s="238"/>
      <c r="AH825" s="229">
        <f t="shared" si="751"/>
        <v>1</v>
      </c>
      <c r="AI825" s="229">
        <f t="shared" si="752"/>
        <v>1</v>
      </c>
      <c r="AJ825" s="229">
        <f t="shared" si="753"/>
        <v>0</v>
      </c>
      <c r="AK825" s="229">
        <v>0</v>
      </c>
      <c r="AL825" s="229">
        <v>0</v>
      </c>
      <c r="AM825" s="229">
        <v>1</v>
      </c>
      <c r="AN825" s="229">
        <v>0</v>
      </c>
      <c r="AO825" s="229">
        <f t="shared" si="728"/>
        <v>-100</v>
      </c>
      <c r="AP825" s="238"/>
      <c r="AQ825" s="255"/>
      <c r="AR825" s="255"/>
      <c r="AS825" s="256"/>
      <c r="AT825" s="256"/>
      <c r="AU825" s="256"/>
      <c r="AV825" s="256"/>
      <c r="AW825" s="256"/>
      <c r="AX825" s="256"/>
      <c r="AY825" s="256"/>
      <c r="AZ825" s="256"/>
      <c r="BA825" s="256"/>
      <c r="BB825" s="256"/>
      <c r="BC825" s="256"/>
      <c r="BD825" s="238"/>
      <c r="BE825" s="229" cm="1">
        <f t="array" ref="BE825">IF(ISBLANK(R825), INDEX(Use, $AH825, 4) - AM825*INDEX(Use, $AH825, 6), R825)</f>
        <v>5</v>
      </c>
      <c r="BF825" s="229">
        <f t="shared" si="729"/>
        <v>30</v>
      </c>
      <c r="BG825" s="229">
        <f t="shared" si="755"/>
        <v>13</v>
      </c>
      <c r="BH825" s="229">
        <f t="shared" si="756"/>
        <v>0</v>
      </c>
      <c r="BI825" s="234" cm="1">
        <f t="array" ref="BI825">K825/IF($L825&gt;0, INDEX($AU$23:$BA$77, $L825+20, $AH825), 1)</f>
        <v>0</v>
      </c>
      <c r="BJ825" s="230">
        <f t="shared" si="730"/>
        <v>0</v>
      </c>
      <c r="BK825" s="229">
        <v>35</v>
      </c>
      <c r="BL825" s="230">
        <f t="shared" si="731"/>
        <v>48</v>
      </c>
      <c r="BM825" s="235">
        <f t="shared" si="732"/>
        <v>2.9108720930232557</v>
      </c>
      <c r="BN825" s="235" cm="1">
        <f t="array" ref="BN825">$BI825 * SUMPRODUCT(INDEX($AR$77:$AT$82,,$AI825),INDEX($AU$77:$BA$82,,$AH825), N($AQ$77:$AQ$82&gt;$AO825)) / BM825 / 1000</f>
        <v>0</v>
      </c>
      <c r="BO825" s="232">
        <f t="shared" si="757"/>
        <v>30</v>
      </c>
      <c r="BP825" s="230">
        <f t="shared" si="733"/>
        <v>43</v>
      </c>
      <c r="BQ825" s="235">
        <f t="shared" si="734"/>
        <v>3.2938815789473681</v>
      </c>
      <c r="BR825" s="235" cm="1">
        <f t="array" ref="BR825">$BI825 * IF($AH825&lt;=2,
SUMPRODUCT(INDEX($AR$72:$AT$76,,$AI825), INDEX($AU$72:$BA$76,,$AH825), 1 / ($BB$72:$BB$76*BQ825 + (1-$BB$72:$BB$76)*BM825), N($AQ$72:$AQ$76&gt;$AO825)),
SUMPRODUCT(INDEX($AR$67:$AT$76,,$AI825), INDEX($AU$67:$BA$76,,$AH825), 1 / ($BC$67:$BC$76*BQ825 + (1-$BC$67:$BC$76)*BM825), N($AQ$67:$AQ$76&gt;$AO825))
) / 1000</f>
        <v>0</v>
      </c>
      <c r="BS825" s="232">
        <f t="shared" si="758"/>
        <v>25</v>
      </c>
      <c r="BT825" s="230">
        <f t="shared" si="735"/>
        <v>38</v>
      </c>
      <c r="BU825" s="235">
        <f t="shared" si="736"/>
        <v>3.792954545454545</v>
      </c>
      <c r="BV825" s="235" cm="1">
        <f t="array" ref="BV825">$BI825 * IF($AH825&lt;=2,
SUMPRODUCT(INDEX($AR$67:$AT$71,,$AI825), INDEX($AU$67:$BA$71,,$AH825), 1 / ($BB$67:$BB$71*BU825 + (1-$BB$67:$BB$71)*BQ825), N($AQ$67:$AQ$71&gt;$AO825)),
SUMPRODUCT(INDEX($AR$57:$AT$66,,$AI825), INDEX($AU$57:$BA$66,,$AH825), 1 / ($BC$57:$BC$66*BU825 + (1-$BC$57:$BC$66)*BQ825), N($AQ$57:$AQ$66&gt;$AO825))
) / 1000</f>
        <v>0</v>
      </c>
      <c r="BW825" s="232">
        <f t="shared" si="759"/>
        <v>20</v>
      </c>
      <c r="BX825" s="230">
        <f t="shared" si="737"/>
        <v>33</v>
      </c>
      <c r="BY825" s="235">
        <f t="shared" si="738"/>
        <v>4.4702678571428569</v>
      </c>
      <c r="BZ825" s="235" cm="1">
        <f t="array" ref="BZ825">$BI825 * IF($AH825&lt;=2,
SUMPRODUCT(INDEX($AR$62:$AT$66,,$AI825), INDEX($AU$62:$BA$66,,$AH825), 1 / ($BB$62:$BB$66*BY825 + (1-$BB$62:$BB$66)*BU825), N($AQ$62:$AQ$66&gt;$AO825)),
SUMPRODUCT(INDEX($AR$47:$AT$56,,$AI825), INDEX($AU$47:$BA$56,,$AH825), 1 / ($BC$47:$BC$56*BY825 + (1-$BC$47:$BC$56)*BU825), N($AQ$47:$AQ$56&gt;$AO825))
) / 1000</f>
        <v>0</v>
      </c>
      <c r="CA825" s="235" cm="1">
        <f t="array" ref="CA825">$BI825 * IF($AH825&lt;=2,
SUMPRODUCT(INDEX($AR$23:$AT$61,,$AI825), INDEX($AU$23:$BA$61,,$AH825), 1 / ($BB$23:$BB$61*BY825), N($AQ$23:$AQ$61&gt;$AO825)),
SUMPRODUCT(INDEX($AR$23:$AT$46,,$AI825), INDEX($AU$23:$BA$46,,$AH825), 1 / ($BC$23:$BC$46*BY825), N($AQ$23:$AQ$46&gt;$AO825))
) / 1000</f>
        <v>0</v>
      </c>
      <c r="CB825" s="230">
        <f t="shared" si="739"/>
        <v>0</v>
      </c>
      <c r="CC825" s="238"/>
      <c r="CD825" s="229" cm="1">
        <f t="array" ref="CD825">IF(ISBLANK(Y825), INDEX(Use, $AH825, 4) - AN825*INDEX(Use, $AH825, 6) - (Q825-X825), Y825)</f>
        <v>7</v>
      </c>
      <c r="CE825" s="229">
        <f t="shared" si="740"/>
        <v>32</v>
      </c>
      <c r="CF825" s="230">
        <f t="shared" si="741"/>
        <v>0</v>
      </c>
      <c r="CG825" s="229">
        <v>35</v>
      </c>
      <c r="CH825" s="230">
        <f t="shared" si="742"/>
        <v>48</v>
      </c>
      <c r="CI825" s="235">
        <f t="shared" si="743"/>
        <v>3.0748170731707316</v>
      </c>
      <c r="CJ825" s="235" cm="1">
        <f t="array" ref="CJ825">$BI825 * SUMPRODUCT(INDEX($AR$77:$AT$82,,$AI825),INDEX($AU$77:$BA$82,,$AH825), N($AQ$77:$AQ$82&gt;$AO825)) / CI825 / 1000</f>
        <v>0</v>
      </c>
      <c r="CK825" s="232">
        <f t="shared" si="760"/>
        <v>30</v>
      </c>
      <c r="CL825" s="230">
        <f t="shared" si="744"/>
        <v>43</v>
      </c>
      <c r="CM825" s="235">
        <f t="shared" si="745"/>
        <v>3.5018750000000001</v>
      </c>
      <c r="CN825" s="235" cm="1">
        <f t="array" ref="CN825">$BI825 * IF($AH825&lt;=2,
SUMPRODUCT(INDEX($AR$72:$AT$76,,$AI825), INDEX($AU$72:$BA$76,,$AH825), 1 / ($BB$72:$BB$76*CM825 + (1-$BB$72:$BB$76)*CI825), N($AQ$72:$AQ$76&gt;$AO825)),
SUMPRODUCT(INDEX($AR$67:$AT$76,,$AI825), INDEX($AU$67:$BA$76,,$AH825), 1 / ($BC$67:$BC$76*CM825 + (1-$BC$67:$BC$76)*CI825), N($AQ$67:$AQ$76&gt;$AO825))
) / 1000</f>
        <v>0</v>
      </c>
      <c r="CO825" s="232">
        <f t="shared" si="761"/>
        <v>25</v>
      </c>
      <c r="CP825" s="230">
        <f t="shared" si="746"/>
        <v>38</v>
      </c>
      <c r="CQ825" s="235">
        <f t="shared" si="747"/>
        <v>4.0666935483870965</v>
      </c>
      <c r="CR825" s="235" cm="1">
        <f t="array" ref="CR825">$BI825 * IF($AH825&lt;=2,
SUMPRODUCT(INDEX($AR$67:$AT$71,,$AI825), INDEX($AU$67:$BA$71,,$AH825), 1 / ($BB$67:$BB$71*CQ825 + (1-$BB$67:$BB$71)*CM825), N($AQ$67:$AQ$71&gt;$AO825)),
SUMPRODUCT(INDEX($AR$57:$AT$66,,$AI825), INDEX($AU$57:$BA$66,,$AH825), 1 / ($BC$57:$BC$66*CQ825 + (1-$BC$57:$BC$66)*CM825), N($AQ$57:$AQ$66&gt;$AO825))
) / 1000</f>
        <v>0</v>
      </c>
      <c r="CS825" s="232">
        <f t="shared" si="762"/>
        <v>20</v>
      </c>
      <c r="CT825" s="230">
        <f t="shared" si="748"/>
        <v>33</v>
      </c>
      <c r="CU825" s="235">
        <f t="shared" si="749"/>
        <v>4.8487499999999999</v>
      </c>
      <c r="CV825" s="235" cm="1">
        <f t="array" ref="CV825">$BI825 * IF($AH825&lt;=2,
SUMPRODUCT(INDEX($AR$62:$AT$66,,$AI825), INDEX($AU$62:$BA$66,,$AH825), 1 / ($BB$62:$BB$66*CU825 + (1-$BB$62:$BB$66)*CQ825), N($AQ$62:$AQ$66&gt;$AO825)),
SUMPRODUCT(INDEX($AR$47:$AT$56,,$AI825), INDEX($AU$47:$BA$56,,$AH825), 1 / ($BC$47:$BC$56*CU825 + (1-$BC$47:$BC$56)*CQ825), N($AQ$47:$AQ$56&gt;$AO825))
) / 1000</f>
        <v>0</v>
      </c>
      <c r="CW825" s="235" cm="1">
        <f t="array" ref="CW825">$BI825 * IF($AH825&lt;=2,
SUMPRODUCT(INDEX($AR$23:$AT$61,,$AI825), INDEX($AU$23:$BA$61,,$AH825), 1 / ($BB$23:$BB$61*CU825), N($AQ$23:$AQ$61&gt;$AO825)),
SUMPRODUCT(INDEX($AR$23:$AT$46,,$AI825), INDEX($AU$23:$BA$46,,$AH825), 1 / ($BC$23:$BC$46*CU825), N($AQ$23:$AQ$46&gt;$AO825))
) / 1000</f>
        <v>0</v>
      </c>
      <c r="CX825" s="230">
        <f t="shared" si="750"/>
        <v>0</v>
      </c>
      <c r="CY825" s="238"/>
    </row>
    <row r="826" spans="1:103" s="76" customFormat="1" ht="14.25" customHeight="1" x14ac:dyDescent="0.2">
      <c r="A826" s="231" t="b">
        <f t="shared" si="754"/>
        <v>0</v>
      </c>
      <c r="B826" s="245">
        <v>804</v>
      </c>
      <c r="C826" s="258"/>
      <c r="D826" s="258"/>
      <c r="E826" s="246"/>
      <c r="F826" s="247" t="str">
        <f>IF(ISBLANK(E826), "", VLOOKUP(E826, Z!$A$2:$C$4127, 3, FALSE))</f>
        <v/>
      </c>
      <c r="G826" s="248"/>
      <c r="H826" s="248"/>
      <c r="I826" s="249"/>
      <c r="J826" s="250"/>
      <c r="K826" s="259"/>
      <c r="L826" s="260"/>
      <c r="M826" s="252" t="str" cm="1">
        <f t="array" ref="M826">INDEX(Trad, 53, $A$20)</f>
        <v>Verschmutzt</v>
      </c>
      <c r="N826" s="253"/>
      <c r="O826" s="253"/>
      <c r="P826" s="254"/>
      <c r="Q826" s="251"/>
      <c r="R826" s="251"/>
      <c r="S826" s="264">
        <f t="shared" si="725"/>
        <v>0</v>
      </c>
      <c r="T826" s="252" t="str" cm="1">
        <f t="array" ref="T826">INDEX(Trad, 52, $A$20)</f>
        <v>Sauber</v>
      </c>
      <c r="U826" s="253"/>
      <c r="V826" s="253"/>
      <c r="W826" s="254"/>
      <c r="X826" s="251"/>
      <c r="Y826" s="251"/>
      <c r="Z826" s="264">
        <f t="shared" si="726"/>
        <v>0</v>
      </c>
      <c r="AA826" s="261"/>
      <c r="AB826" s="258"/>
      <c r="AC826" s="246"/>
      <c r="AD826" s="247" t="str">
        <f>IF(ISBLANK(AC826), "", VLOOKUP(AC826, Z!$A$2:$C$4127, 3, FALSE))</f>
        <v/>
      </c>
      <c r="AE826" s="262"/>
      <c r="AF826" s="263">
        <f t="shared" si="727"/>
        <v>0</v>
      </c>
      <c r="AG826" s="238"/>
      <c r="AH826" s="229">
        <f t="shared" si="751"/>
        <v>1</v>
      </c>
      <c r="AI826" s="229">
        <f t="shared" si="752"/>
        <v>1</v>
      </c>
      <c r="AJ826" s="229">
        <f t="shared" si="753"/>
        <v>0</v>
      </c>
      <c r="AK826" s="229">
        <v>0</v>
      </c>
      <c r="AL826" s="229">
        <v>0</v>
      </c>
      <c r="AM826" s="229">
        <v>1</v>
      </c>
      <c r="AN826" s="229">
        <v>0</v>
      </c>
      <c r="AO826" s="229">
        <f t="shared" si="728"/>
        <v>-100</v>
      </c>
      <c r="AP826" s="238"/>
      <c r="AQ826" s="255"/>
      <c r="AR826" s="255"/>
      <c r="AS826" s="256"/>
      <c r="AT826" s="256"/>
      <c r="AU826" s="256"/>
      <c r="AV826" s="256"/>
      <c r="AW826" s="256"/>
      <c r="AX826" s="256"/>
      <c r="AY826" s="256"/>
      <c r="AZ826" s="256"/>
      <c r="BA826" s="256"/>
      <c r="BB826" s="256"/>
      <c r="BC826" s="256"/>
      <c r="BD826" s="238"/>
      <c r="BE826" s="229" cm="1">
        <f t="array" ref="BE826">IF(ISBLANK(R826), INDEX(Use, $AH826, 4) - AM826*INDEX(Use, $AH826, 6), R826)</f>
        <v>5</v>
      </c>
      <c r="BF826" s="229">
        <f t="shared" si="729"/>
        <v>30</v>
      </c>
      <c r="BG826" s="229">
        <f t="shared" si="755"/>
        <v>13</v>
      </c>
      <c r="BH826" s="229">
        <f t="shared" si="756"/>
        <v>0</v>
      </c>
      <c r="BI826" s="234" cm="1">
        <f t="array" ref="BI826">K826/IF($L826&gt;0, INDEX($AU$23:$BA$77, $L826+20, $AH826), 1)</f>
        <v>0</v>
      </c>
      <c r="BJ826" s="230">
        <f t="shared" si="730"/>
        <v>0</v>
      </c>
      <c r="BK826" s="229">
        <v>35</v>
      </c>
      <c r="BL826" s="230">
        <f t="shared" si="731"/>
        <v>48</v>
      </c>
      <c r="BM826" s="235">
        <f t="shared" si="732"/>
        <v>2.9108720930232557</v>
      </c>
      <c r="BN826" s="235" cm="1">
        <f t="array" ref="BN826">$BI826 * SUMPRODUCT(INDEX($AR$77:$AT$82,,$AI826),INDEX($AU$77:$BA$82,,$AH826), N($AQ$77:$AQ$82&gt;$AO826)) / BM826 / 1000</f>
        <v>0</v>
      </c>
      <c r="BO826" s="232">
        <f t="shared" si="757"/>
        <v>30</v>
      </c>
      <c r="BP826" s="230">
        <f t="shared" si="733"/>
        <v>43</v>
      </c>
      <c r="BQ826" s="235">
        <f t="shared" si="734"/>
        <v>3.2938815789473681</v>
      </c>
      <c r="BR826" s="235" cm="1">
        <f t="array" ref="BR826">$BI826 * IF($AH826&lt;=2,
SUMPRODUCT(INDEX($AR$72:$AT$76,,$AI826), INDEX($AU$72:$BA$76,,$AH826), 1 / ($BB$72:$BB$76*BQ826 + (1-$BB$72:$BB$76)*BM826), N($AQ$72:$AQ$76&gt;$AO826)),
SUMPRODUCT(INDEX($AR$67:$AT$76,,$AI826), INDEX($AU$67:$BA$76,,$AH826), 1 / ($BC$67:$BC$76*BQ826 + (1-$BC$67:$BC$76)*BM826), N($AQ$67:$AQ$76&gt;$AO826))
) / 1000</f>
        <v>0</v>
      </c>
      <c r="BS826" s="232">
        <f t="shared" si="758"/>
        <v>25</v>
      </c>
      <c r="BT826" s="230">
        <f t="shared" si="735"/>
        <v>38</v>
      </c>
      <c r="BU826" s="235">
        <f t="shared" si="736"/>
        <v>3.792954545454545</v>
      </c>
      <c r="BV826" s="235" cm="1">
        <f t="array" ref="BV826">$BI826 * IF($AH826&lt;=2,
SUMPRODUCT(INDEX($AR$67:$AT$71,,$AI826), INDEX($AU$67:$BA$71,,$AH826), 1 / ($BB$67:$BB$71*BU826 + (1-$BB$67:$BB$71)*BQ826), N($AQ$67:$AQ$71&gt;$AO826)),
SUMPRODUCT(INDEX($AR$57:$AT$66,,$AI826), INDEX($AU$57:$BA$66,,$AH826), 1 / ($BC$57:$BC$66*BU826 + (1-$BC$57:$BC$66)*BQ826), N($AQ$57:$AQ$66&gt;$AO826))
) / 1000</f>
        <v>0</v>
      </c>
      <c r="BW826" s="232">
        <f t="shared" si="759"/>
        <v>20</v>
      </c>
      <c r="BX826" s="230">
        <f t="shared" si="737"/>
        <v>33</v>
      </c>
      <c r="BY826" s="235">
        <f t="shared" si="738"/>
        <v>4.4702678571428569</v>
      </c>
      <c r="BZ826" s="235" cm="1">
        <f t="array" ref="BZ826">$BI826 * IF($AH826&lt;=2,
SUMPRODUCT(INDEX($AR$62:$AT$66,,$AI826), INDEX($AU$62:$BA$66,,$AH826), 1 / ($BB$62:$BB$66*BY826 + (1-$BB$62:$BB$66)*BU826), N($AQ$62:$AQ$66&gt;$AO826)),
SUMPRODUCT(INDEX($AR$47:$AT$56,,$AI826), INDEX($AU$47:$BA$56,,$AH826), 1 / ($BC$47:$BC$56*BY826 + (1-$BC$47:$BC$56)*BU826), N($AQ$47:$AQ$56&gt;$AO826))
) / 1000</f>
        <v>0</v>
      </c>
      <c r="CA826" s="235" cm="1">
        <f t="array" ref="CA826">$BI826 * IF($AH826&lt;=2,
SUMPRODUCT(INDEX($AR$23:$AT$61,,$AI826), INDEX($AU$23:$BA$61,,$AH826), 1 / ($BB$23:$BB$61*BY826), N($AQ$23:$AQ$61&gt;$AO826)),
SUMPRODUCT(INDEX($AR$23:$AT$46,,$AI826), INDEX($AU$23:$BA$46,,$AH826), 1 / ($BC$23:$BC$46*BY826), N($AQ$23:$AQ$46&gt;$AO826))
) / 1000</f>
        <v>0</v>
      </c>
      <c r="CB826" s="230">
        <f t="shared" si="739"/>
        <v>0</v>
      </c>
      <c r="CC826" s="238"/>
      <c r="CD826" s="229" cm="1">
        <f t="array" ref="CD826">IF(ISBLANK(Y826), INDEX(Use, $AH826, 4) - AN826*INDEX(Use, $AH826, 6) - (Q826-X826), Y826)</f>
        <v>7</v>
      </c>
      <c r="CE826" s="229">
        <f t="shared" si="740"/>
        <v>32</v>
      </c>
      <c r="CF826" s="230">
        <f t="shared" si="741"/>
        <v>0</v>
      </c>
      <c r="CG826" s="229">
        <v>35</v>
      </c>
      <c r="CH826" s="230">
        <f t="shared" si="742"/>
        <v>48</v>
      </c>
      <c r="CI826" s="235">
        <f t="shared" si="743"/>
        <v>3.0748170731707316</v>
      </c>
      <c r="CJ826" s="235" cm="1">
        <f t="array" ref="CJ826">$BI826 * SUMPRODUCT(INDEX($AR$77:$AT$82,,$AI826),INDEX($AU$77:$BA$82,,$AH826), N($AQ$77:$AQ$82&gt;$AO826)) / CI826 / 1000</f>
        <v>0</v>
      </c>
      <c r="CK826" s="232">
        <f t="shared" si="760"/>
        <v>30</v>
      </c>
      <c r="CL826" s="230">
        <f t="shared" si="744"/>
        <v>43</v>
      </c>
      <c r="CM826" s="235">
        <f t="shared" si="745"/>
        <v>3.5018750000000001</v>
      </c>
      <c r="CN826" s="235" cm="1">
        <f t="array" ref="CN826">$BI826 * IF($AH826&lt;=2,
SUMPRODUCT(INDEX($AR$72:$AT$76,,$AI826), INDEX($AU$72:$BA$76,,$AH826), 1 / ($BB$72:$BB$76*CM826 + (1-$BB$72:$BB$76)*CI826), N($AQ$72:$AQ$76&gt;$AO826)),
SUMPRODUCT(INDEX($AR$67:$AT$76,,$AI826), INDEX($AU$67:$BA$76,,$AH826), 1 / ($BC$67:$BC$76*CM826 + (1-$BC$67:$BC$76)*CI826), N($AQ$67:$AQ$76&gt;$AO826))
) / 1000</f>
        <v>0</v>
      </c>
      <c r="CO826" s="232">
        <f t="shared" si="761"/>
        <v>25</v>
      </c>
      <c r="CP826" s="230">
        <f t="shared" si="746"/>
        <v>38</v>
      </c>
      <c r="CQ826" s="235">
        <f t="shared" si="747"/>
        <v>4.0666935483870965</v>
      </c>
      <c r="CR826" s="235" cm="1">
        <f t="array" ref="CR826">$BI826 * IF($AH826&lt;=2,
SUMPRODUCT(INDEX($AR$67:$AT$71,,$AI826), INDEX($AU$67:$BA$71,,$AH826), 1 / ($BB$67:$BB$71*CQ826 + (1-$BB$67:$BB$71)*CM826), N($AQ$67:$AQ$71&gt;$AO826)),
SUMPRODUCT(INDEX($AR$57:$AT$66,,$AI826), INDEX($AU$57:$BA$66,,$AH826), 1 / ($BC$57:$BC$66*CQ826 + (1-$BC$57:$BC$66)*CM826), N($AQ$57:$AQ$66&gt;$AO826))
) / 1000</f>
        <v>0</v>
      </c>
      <c r="CS826" s="232">
        <f t="shared" si="762"/>
        <v>20</v>
      </c>
      <c r="CT826" s="230">
        <f t="shared" si="748"/>
        <v>33</v>
      </c>
      <c r="CU826" s="235">
        <f t="shared" si="749"/>
        <v>4.8487499999999999</v>
      </c>
      <c r="CV826" s="235" cm="1">
        <f t="array" ref="CV826">$BI826 * IF($AH826&lt;=2,
SUMPRODUCT(INDEX($AR$62:$AT$66,,$AI826), INDEX($AU$62:$BA$66,,$AH826), 1 / ($BB$62:$BB$66*CU826 + (1-$BB$62:$BB$66)*CQ826), N($AQ$62:$AQ$66&gt;$AO826)),
SUMPRODUCT(INDEX($AR$47:$AT$56,,$AI826), INDEX($AU$47:$BA$56,,$AH826), 1 / ($BC$47:$BC$56*CU826 + (1-$BC$47:$BC$56)*CQ826), N($AQ$47:$AQ$56&gt;$AO826))
) / 1000</f>
        <v>0</v>
      </c>
      <c r="CW826" s="235" cm="1">
        <f t="array" ref="CW826">$BI826 * IF($AH826&lt;=2,
SUMPRODUCT(INDEX($AR$23:$AT$61,,$AI826), INDEX($AU$23:$BA$61,,$AH826), 1 / ($BB$23:$BB$61*CU826), N($AQ$23:$AQ$61&gt;$AO826)),
SUMPRODUCT(INDEX($AR$23:$AT$46,,$AI826), INDEX($AU$23:$BA$46,,$AH826), 1 / ($BC$23:$BC$46*CU826), N($AQ$23:$AQ$46&gt;$AO826))
) / 1000</f>
        <v>0</v>
      </c>
      <c r="CX826" s="230">
        <f t="shared" si="750"/>
        <v>0</v>
      </c>
      <c r="CY826" s="238"/>
    </row>
    <row r="827" spans="1:103" s="76" customFormat="1" ht="14.25" customHeight="1" x14ac:dyDescent="0.2">
      <c r="A827" s="231" t="b">
        <f t="shared" si="754"/>
        <v>0</v>
      </c>
      <c r="B827" s="245">
        <v>805</v>
      </c>
      <c r="C827" s="258"/>
      <c r="D827" s="258"/>
      <c r="E827" s="246"/>
      <c r="F827" s="247" t="str">
        <f>IF(ISBLANK(E827), "", VLOOKUP(E827, Z!$A$2:$C$4127, 3, FALSE))</f>
        <v/>
      </c>
      <c r="G827" s="248"/>
      <c r="H827" s="248"/>
      <c r="I827" s="249"/>
      <c r="J827" s="250"/>
      <c r="K827" s="259"/>
      <c r="L827" s="260"/>
      <c r="M827" s="252" t="str" cm="1">
        <f t="array" ref="M827">INDEX(Trad, 53, $A$20)</f>
        <v>Verschmutzt</v>
      </c>
      <c r="N827" s="253"/>
      <c r="O827" s="253"/>
      <c r="P827" s="254"/>
      <c r="Q827" s="251"/>
      <c r="R827" s="251"/>
      <c r="S827" s="264">
        <f t="shared" ref="S827:S890" si="763">CB827*1000</f>
        <v>0</v>
      </c>
      <c r="T827" s="252" t="str" cm="1">
        <f t="array" ref="T827">INDEX(Trad, 52, $A$20)</f>
        <v>Sauber</v>
      </c>
      <c r="U827" s="253"/>
      <c r="V827" s="253"/>
      <c r="W827" s="254"/>
      <c r="X827" s="251"/>
      <c r="Y827" s="251"/>
      <c r="Z827" s="264">
        <f t="shared" ref="Z827:Z890" si="764">CX827*1000</f>
        <v>0</v>
      </c>
      <c r="AA827" s="261"/>
      <c r="AB827" s="258"/>
      <c r="AC827" s="246"/>
      <c r="AD827" s="247" t="str">
        <f>IF(ISBLANK(AC827), "", VLOOKUP(AC827, Z!$A$2:$C$4127, 3, FALSE))</f>
        <v/>
      </c>
      <c r="AE827" s="262"/>
      <c r="AF827" s="263">
        <f t="shared" ref="AF827:AF890" si="765">0.75*AP$23*(S827-Z827)</f>
        <v>0</v>
      </c>
      <c r="AG827" s="238"/>
      <c r="AH827" s="229">
        <f t="shared" si="751"/>
        <v>1</v>
      </c>
      <c r="AI827" s="229">
        <f t="shared" si="752"/>
        <v>1</v>
      </c>
      <c r="AJ827" s="229">
        <f t="shared" si="753"/>
        <v>0</v>
      </c>
      <c r="AK827" s="229">
        <v>0</v>
      </c>
      <c r="AL827" s="229">
        <v>0</v>
      </c>
      <c r="AM827" s="229">
        <v>1</v>
      </c>
      <c r="AN827" s="229">
        <v>0</v>
      </c>
      <c r="AO827" s="229">
        <f t="shared" ref="AO827:AO890" si="766">IF(AND(J827="x", AH827=5), 11, IF(AND(J827="x", AH827=6), 19, -100))</f>
        <v>-100</v>
      </c>
      <c r="AP827" s="238"/>
      <c r="AQ827" s="255"/>
      <c r="AR827" s="255"/>
      <c r="AS827" s="256"/>
      <c r="AT827" s="256"/>
      <c r="AU827" s="256"/>
      <c r="AV827" s="256"/>
      <c r="AW827" s="256"/>
      <c r="AX827" s="256"/>
      <c r="AY827" s="256"/>
      <c r="AZ827" s="256"/>
      <c r="BA827" s="256"/>
      <c r="BB827" s="256"/>
      <c r="BC827" s="256"/>
      <c r="BD827" s="238"/>
      <c r="BE827" s="229" cm="1">
        <f t="array" ref="BE827">IF(ISBLANK(R827), INDEX(Use, $AH827, 4) - AM827*INDEX(Use, $AH827, 6), R827)</f>
        <v>5</v>
      </c>
      <c r="BF827" s="229">
        <f t="shared" ref="BF827:BF890" si="767">MAX(25, BE827+25)</f>
        <v>30</v>
      </c>
      <c r="BG827" s="229">
        <f t="shared" si="755"/>
        <v>13</v>
      </c>
      <c r="BH827" s="229">
        <f t="shared" si="756"/>
        <v>0</v>
      </c>
      <c r="BI827" s="234" cm="1">
        <f t="array" ref="BI827">K827/IF($L827&gt;0, INDEX($AU$23:$BA$77, $L827+20, $AH827), 1)</f>
        <v>0</v>
      </c>
      <c r="BJ827" s="230">
        <f t="shared" ref="BJ827:BJ890" si="768">P827 /  IF(AH827&lt;=2, 0.7 + 0.3 * (O827-20)/(35-20), 0.4 + 0.6 * (O827-5)/(35-5))</f>
        <v>0</v>
      </c>
      <c r="BK827" s="229">
        <v>35</v>
      </c>
      <c r="BL827" s="230">
        <f t="shared" ref="BL827:BL890" si="769">MAX($N827, MAX($BF827, $BK827 + $BG827 + $BH827 + 0.35*$AK827*$BG827 + BJ827))</f>
        <v>48</v>
      </c>
      <c r="BM827" s="235">
        <f t="shared" ref="BM827:BM890" si="770">0.45*($BE827+273.15)/(BL827-$BE827)</f>
        <v>2.9108720930232557</v>
      </c>
      <c r="BN827" s="235" cm="1">
        <f t="array" ref="BN827">$BI827 * SUMPRODUCT(INDEX($AR$77:$AT$82,,$AI827),INDEX($AU$77:$BA$82,,$AH827), N($AQ$77:$AQ$82&gt;$AO827)) / BM827 / 1000</f>
        <v>0</v>
      </c>
      <c r="BO827" s="232">
        <f t="shared" si="757"/>
        <v>30</v>
      </c>
      <c r="BP827" s="230">
        <f t="shared" ref="BP827:BP890" si="771">MAX($N827, MAX($BF827, BO827 + $BG827 + $BH827 + IF($AH827&lt;=2, (BO827-20)/(35-20), 0.6+0.4*(BO827-5)/(35-5))*0.35*$AK827*$BG827) + IF($AH827&lt;=2,0.9,0.8)*$BJ827)</f>
        <v>43</v>
      </c>
      <c r="BQ827" s="235">
        <f t="shared" ref="BQ827:BQ890" si="772">0.45*($BE827+273.15)/(BP827-$BE827)</f>
        <v>3.2938815789473681</v>
      </c>
      <c r="BR827" s="235" cm="1">
        <f t="array" ref="BR827">$BI827 * IF($AH827&lt;=2,
SUMPRODUCT(INDEX($AR$72:$AT$76,,$AI827), INDEX($AU$72:$BA$76,,$AH827), 1 / ($BB$72:$BB$76*BQ827 + (1-$BB$72:$BB$76)*BM827), N($AQ$72:$AQ$76&gt;$AO827)),
SUMPRODUCT(INDEX($AR$67:$AT$76,,$AI827), INDEX($AU$67:$BA$76,,$AH827), 1 / ($BC$67:$BC$76*BQ827 + (1-$BC$67:$BC$76)*BM827), N($AQ$67:$AQ$76&gt;$AO827))
) / 1000</f>
        <v>0</v>
      </c>
      <c r="BS827" s="232">
        <f t="shared" si="758"/>
        <v>25</v>
      </c>
      <c r="BT827" s="230">
        <f t="shared" ref="BT827:BT890" si="773">MAX($N827, MAX($BF827, BS827 + $BG827 + $BH827 + IF($AH827&lt;=2, (BS827-20)/(35-20), 0.6+0.4*(BS827-5)/(35-5))*0.35*$AK827*$BG827) + IF($AH827&lt;=2,0.8,0.6)*$BJ827)</f>
        <v>38</v>
      </c>
      <c r="BU827" s="235">
        <f t="shared" ref="BU827:BU890" si="774">0.45*($BE827+273.15)/(BT827-$BE827)</f>
        <v>3.792954545454545</v>
      </c>
      <c r="BV827" s="235" cm="1">
        <f t="array" ref="BV827">$BI827 * IF($AH827&lt;=2,
SUMPRODUCT(INDEX($AR$67:$AT$71,,$AI827), INDEX($AU$67:$BA$71,,$AH827), 1 / ($BB$67:$BB$71*BU827 + (1-$BB$67:$BB$71)*BQ827), N($AQ$67:$AQ$71&gt;$AO827)),
SUMPRODUCT(INDEX($AR$57:$AT$66,,$AI827), INDEX($AU$57:$BA$66,,$AH827), 1 / ($BC$57:$BC$66*BU827 + (1-$BC$57:$BC$66)*BQ827), N($AQ$57:$AQ$66&gt;$AO827))
) / 1000</f>
        <v>0</v>
      </c>
      <c r="BW827" s="232">
        <f t="shared" si="759"/>
        <v>20</v>
      </c>
      <c r="BX827" s="230">
        <f t="shared" ref="BX827:BX890" si="775">MAX($N827, MAX($BF827, BW827 + $BG827 + $BH827 + IF($AH827&lt;=2, (BW827-20)/(35-20), 0.6+0.4*(BW827-5)/(35-5))*0.35*$AK827*$BG827) + IF($AH827&lt;=2,0.7,0.4)*$BJ827)</f>
        <v>33</v>
      </c>
      <c r="BY827" s="235">
        <f t="shared" ref="BY827:BY890" si="776">0.45*($BE827+273.15)/(BX827-$BE827)</f>
        <v>4.4702678571428569</v>
      </c>
      <c r="BZ827" s="235" cm="1">
        <f t="array" ref="BZ827">$BI827 * IF($AH827&lt;=2,
SUMPRODUCT(INDEX($AR$62:$AT$66,,$AI827), INDEX($AU$62:$BA$66,,$AH827), 1 / ($BB$62:$BB$66*BY827 + (1-$BB$62:$BB$66)*BU827), N($AQ$62:$AQ$66&gt;$AO827)),
SUMPRODUCT(INDEX($AR$47:$AT$56,,$AI827), INDEX($AU$47:$BA$56,,$AH827), 1 / ($BC$47:$BC$56*BY827 + (1-$BC$47:$BC$56)*BU827), N($AQ$47:$AQ$56&gt;$AO827))
) / 1000</f>
        <v>0</v>
      </c>
      <c r="CA827" s="235" cm="1">
        <f t="array" ref="CA827">$BI827 * IF($AH827&lt;=2,
SUMPRODUCT(INDEX($AR$23:$AT$61,,$AI827), INDEX($AU$23:$BA$61,,$AH827), 1 / ($BB$23:$BB$61*BY827), N($AQ$23:$AQ$61&gt;$AO827)),
SUMPRODUCT(INDEX($AR$23:$AT$46,,$AI827), INDEX($AU$23:$BA$46,,$AH827), 1 / ($BC$23:$BC$46*BY827), N($AQ$23:$AQ$46&gt;$AO827))
) / 1000</f>
        <v>0</v>
      </c>
      <c r="CB827" s="230">
        <f t="shared" ref="CB827:CB890" si="777">BN827+BR827+BV827+BZ827+CA827</f>
        <v>0</v>
      </c>
      <c r="CC827" s="238"/>
      <c r="CD827" s="229" cm="1">
        <f t="array" ref="CD827">IF(ISBLANK(Y827), INDEX(Use, $AH827, 4) - AN827*INDEX(Use, $AH827, 6) - (Q827-X827), Y827)</f>
        <v>7</v>
      </c>
      <c r="CE827" s="229">
        <f t="shared" ref="CE827:CE890" si="778">MAX(25, CD827+25)</f>
        <v>32</v>
      </c>
      <c r="CF827" s="230">
        <f t="shared" ref="CF827:CF890" si="779">W827 /  IF(AH827&lt;=2, 0.7 + 0.3 * (V827-20)/(35-20), 0.4 + 0.6 * (V827-5)/(35-5))</f>
        <v>0</v>
      </c>
      <c r="CG827" s="229">
        <v>35</v>
      </c>
      <c r="CH827" s="230">
        <f t="shared" ref="CH827:CH890" si="780">MAX($U827, MAX($CE827, $BK827 + $BG827 + $BH827 + 0.35*$AL827*$BG827 + CF827))</f>
        <v>48</v>
      </c>
      <c r="CI827" s="235">
        <f t="shared" ref="CI827:CI890" si="781">0.45*($CD827+273.15)/(CH827-$CD827)</f>
        <v>3.0748170731707316</v>
      </c>
      <c r="CJ827" s="235" cm="1">
        <f t="array" ref="CJ827">$BI827 * SUMPRODUCT(INDEX($AR$77:$AT$82,,$AI827),INDEX($AU$77:$BA$82,,$AH827), N($AQ$77:$AQ$82&gt;$AO827)) / CI827 / 1000</f>
        <v>0</v>
      </c>
      <c r="CK827" s="232">
        <f t="shared" si="760"/>
        <v>30</v>
      </c>
      <c r="CL827" s="230">
        <f t="shared" ref="CL827:CL890" si="782">MAX($U827, MAX($CE827, CK827 + $BG827 + $BH827 + IF($AH827&lt;=2, (CK827-20)/(35-20), 0.6+0.4*(CK827-5)/(35-5))*0.35*$AL827*$BG827) + IF($AH827&lt;=2,0.9,0.8)*$CF827)</f>
        <v>43</v>
      </c>
      <c r="CM827" s="235">
        <f t="shared" ref="CM827:CM890" si="783">0.45*($CD827+273.15)/(CL827-$CD827)</f>
        <v>3.5018750000000001</v>
      </c>
      <c r="CN827" s="235" cm="1">
        <f t="array" ref="CN827">$BI827 * IF($AH827&lt;=2,
SUMPRODUCT(INDEX($AR$72:$AT$76,,$AI827), INDEX($AU$72:$BA$76,,$AH827), 1 / ($BB$72:$BB$76*CM827 + (1-$BB$72:$BB$76)*CI827), N($AQ$72:$AQ$76&gt;$AO827)),
SUMPRODUCT(INDEX($AR$67:$AT$76,,$AI827), INDEX($AU$67:$BA$76,,$AH827), 1 / ($BC$67:$BC$76*CM827 + (1-$BC$67:$BC$76)*CI827), N($AQ$67:$AQ$76&gt;$AO827))
) / 1000</f>
        <v>0</v>
      </c>
      <c r="CO827" s="232">
        <f t="shared" si="761"/>
        <v>25</v>
      </c>
      <c r="CP827" s="230">
        <f t="shared" ref="CP827:CP890" si="784">MAX($U827, MAX($CE827, CO827 + $BG827 + $BH827 + IF($AH827&lt;=2, (CO827-20)/(35-20), 0.6+0.4*(CO827-5)/(35-5))*0.35*$AL827*$BG827) + IF($AH827&lt;=2,0.8,0.6)*$CF827)</f>
        <v>38</v>
      </c>
      <c r="CQ827" s="235">
        <f t="shared" ref="CQ827:CQ890" si="785">0.45*($CD827+273.15)/(CP827-$CD827)</f>
        <v>4.0666935483870965</v>
      </c>
      <c r="CR827" s="235" cm="1">
        <f t="array" ref="CR827">$BI827 * IF($AH827&lt;=2,
SUMPRODUCT(INDEX($AR$67:$AT$71,,$AI827), INDEX($AU$67:$BA$71,,$AH827), 1 / ($BB$67:$BB$71*CQ827 + (1-$BB$67:$BB$71)*CM827), N($AQ$67:$AQ$71&gt;$AO827)),
SUMPRODUCT(INDEX($AR$57:$AT$66,,$AI827), INDEX($AU$57:$BA$66,,$AH827), 1 / ($BC$57:$BC$66*CQ827 + (1-$BC$57:$BC$66)*CM827), N($AQ$57:$AQ$66&gt;$AO827))
) / 1000</f>
        <v>0</v>
      </c>
      <c r="CS827" s="232">
        <f t="shared" si="762"/>
        <v>20</v>
      </c>
      <c r="CT827" s="230">
        <f t="shared" ref="CT827:CT890" si="786">MAX($U827, MAX($CE827, CS827 + $BG827 + $BH827 + IF($AH827&lt;=2, (CS827-20)/(35-20), 0.6+0.4*(CS827-5)/(35-5))*0.35*$AL827*$BG827) + IF($AH827&lt;=2,0.7,0.4)*$CF827)</f>
        <v>33</v>
      </c>
      <c r="CU827" s="235">
        <f t="shared" ref="CU827:CU890" si="787">0.45*($CD827+273.15)/(CT827-$CD827)</f>
        <v>4.8487499999999999</v>
      </c>
      <c r="CV827" s="235" cm="1">
        <f t="array" ref="CV827">$BI827 * IF($AH827&lt;=2,
SUMPRODUCT(INDEX($AR$62:$AT$66,,$AI827), INDEX($AU$62:$BA$66,,$AH827), 1 / ($BB$62:$BB$66*CU827 + (1-$BB$62:$BB$66)*CQ827), N($AQ$62:$AQ$66&gt;$AO827)),
SUMPRODUCT(INDEX($AR$47:$AT$56,,$AI827), INDEX($AU$47:$BA$56,,$AH827), 1 / ($BC$47:$BC$56*CU827 + (1-$BC$47:$BC$56)*CQ827), N($AQ$47:$AQ$56&gt;$AO827))
) / 1000</f>
        <v>0</v>
      </c>
      <c r="CW827" s="235" cm="1">
        <f t="array" ref="CW827">$BI827 * IF($AH827&lt;=2,
SUMPRODUCT(INDEX($AR$23:$AT$61,,$AI827), INDEX($AU$23:$BA$61,,$AH827), 1 / ($BB$23:$BB$61*CU827), N($AQ$23:$AQ$61&gt;$AO827)),
SUMPRODUCT(INDEX($AR$23:$AT$46,,$AI827), INDEX($AU$23:$BA$46,,$AH827), 1 / ($BC$23:$BC$46*CU827), N($AQ$23:$AQ$46&gt;$AO827))
) / 1000</f>
        <v>0</v>
      </c>
      <c r="CX827" s="230">
        <f t="shared" ref="CX827:CX890" si="788">CJ827+CN827+CR827+CV827+CW827</f>
        <v>0</v>
      </c>
      <c r="CY827" s="238"/>
    </row>
    <row r="828" spans="1:103" s="76" customFormat="1" ht="14.25" customHeight="1" x14ac:dyDescent="0.2">
      <c r="A828" s="231" t="b">
        <f t="shared" si="754"/>
        <v>0</v>
      </c>
      <c r="B828" s="245">
        <v>806</v>
      </c>
      <c r="C828" s="258"/>
      <c r="D828" s="258"/>
      <c r="E828" s="246"/>
      <c r="F828" s="247" t="str">
        <f>IF(ISBLANK(E828), "", VLOOKUP(E828, Z!$A$2:$C$4127, 3, FALSE))</f>
        <v/>
      </c>
      <c r="G828" s="248"/>
      <c r="H828" s="248"/>
      <c r="I828" s="249"/>
      <c r="J828" s="250"/>
      <c r="K828" s="259"/>
      <c r="L828" s="260"/>
      <c r="M828" s="252" t="str" cm="1">
        <f t="array" ref="M828">INDEX(Trad, 53, $A$20)</f>
        <v>Verschmutzt</v>
      </c>
      <c r="N828" s="253"/>
      <c r="O828" s="253"/>
      <c r="P828" s="254"/>
      <c r="Q828" s="251"/>
      <c r="R828" s="251"/>
      <c r="S828" s="264">
        <f t="shared" si="763"/>
        <v>0</v>
      </c>
      <c r="T828" s="252" t="str" cm="1">
        <f t="array" ref="T828">INDEX(Trad, 52, $A$20)</f>
        <v>Sauber</v>
      </c>
      <c r="U828" s="253"/>
      <c r="V828" s="253"/>
      <c r="W828" s="254"/>
      <c r="X828" s="251"/>
      <c r="Y828" s="251"/>
      <c r="Z828" s="264">
        <f t="shared" si="764"/>
        <v>0</v>
      </c>
      <c r="AA828" s="261"/>
      <c r="AB828" s="258"/>
      <c r="AC828" s="246"/>
      <c r="AD828" s="247" t="str">
        <f>IF(ISBLANK(AC828), "", VLOOKUP(AC828, Z!$A$2:$C$4127, 3, FALSE))</f>
        <v/>
      </c>
      <c r="AE828" s="262"/>
      <c r="AF828" s="263">
        <f t="shared" si="765"/>
        <v>0</v>
      </c>
      <c r="AG828" s="238"/>
      <c r="AH828" s="229">
        <f t="shared" ref="AH828:AH891" si="789">IF(ISBLANK(H828), 1, IFERROR(MATCH(H828, INDEX(Use,,1), 0), IFERROR(MATCH(H828, INDEX(Use,,2), 0), MATCH(H828, INDEX(Use,,3), 0))))</f>
        <v>1</v>
      </c>
      <c r="AI828" s="229">
        <f t="shared" ref="AI828:AI891" si="790">IF(ISBLANK(G828), 1, IFERROR(MATCH(G828, INDEX(Loc,,1), 0), IFERROR(MATCH(G828, INDEX(Loc,,2), 0), MATCH(G828, INDEX(Loc,,3), 0))))</f>
        <v>1</v>
      </c>
      <c r="AJ828" s="229">
        <f t="shared" ref="AJ828:AJ891" si="791">_xlfn.IFNA(IF(IFERROR(MATCH(I828, INDEX(Medium,,1), 0), IFERROR(MATCH(I828, INDEX(Medium,,2), 0), MATCH(I828, INDEX(Medium,,3), 0))) = 2, 1, 0), 0)</f>
        <v>0</v>
      </c>
      <c r="AK828" s="229">
        <v>0</v>
      </c>
      <c r="AL828" s="229">
        <v>0</v>
      </c>
      <c r="AM828" s="229">
        <v>1</v>
      </c>
      <c r="AN828" s="229">
        <v>0</v>
      </c>
      <c r="AO828" s="229">
        <f t="shared" si="766"/>
        <v>-100</v>
      </c>
      <c r="AP828" s="238"/>
      <c r="AQ828" s="255"/>
      <c r="AR828" s="255"/>
      <c r="AS828" s="256"/>
      <c r="AT828" s="256"/>
      <c r="AU828" s="256"/>
      <c r="AV828" s="256"/>
      <c r="AW828" s="256"/>
      <c r="AX828" s="256"/>
      <c r="AY828" s="256"/>
      <c r="AZ828" s="256"/>
      <c r="BA828" s="256"/>
      <c r="BB828" s="256"/>
      <c r="BC828" s="256"/>
      <c r="BD828" s="238"/>
      <c r="BE828" s="229" cm="1">
        <f t="array" ref="BE828">IF(ISBLANK(R828), INDEX(Use, $AH828, 4) - AM828*INDEX(Use, $AH828, 6), R828)</f>
        <v>5</v>
      </c>
      <c r="BF828" s="229">
        <f t="shared" si="767"/>
        <v>30</v>
      </c>
      <c r="BG828" s="229">
        <f t="shared" si="755"/>
        <v>13</v>
      </c>
      <c r="BH828" s="229">
        <f t="shared" si="756"/>
        <v>0</v>
      </c>
      <c r="BI828" s="234" cm="1">
        <f t="array" ref="BI828">K828/IF($L828&gt;0, INDEX($AU$23:$BA$77, $L828+20, $AH828), 1)</f>
        <v>0</v>
      </c>
      <c r="BJ828" s="230">
        <f t="shared" si="768"/>
        <v>0</v>
      </c>
      <c r="BK828" s="229">
        <v>35</v>
      </c>
      <c r="BL828" s="230">
        <f t="shared" si="769"/>
        <v>48</v>
      </c>
      <c r="BM828" s="235">
        <f t="shared" si="770"/>
        <v>2.9108720930232557</v>
      </c>
      <c r="BN828" s="235" cm="1">
        <f t="array" ref="BN828">$BI828 * SUMPRODUCT(INDEX($AR$77:$AT$82,,$AI828),INDEX($AU$77:$BA$82,,$AH828), N($AQ$77:$AQ$82&gt;$AO828)) / BM828 / 1000</f>
        <v>0</v>
      </c>
      <c r="BO828" s="232">
        <f t="shared" si="757"/>
        <v>30</v>
      </c>
      <c r="BP828" s="230">
        <f t="shared" si="771"/>
        <v>43</v>
      </c>
      <c r="BQ828" s="235">
        <f t="shared" si="772"/>
        <v>3.2938815789473681</v>
      </c>
      <c r="BR828" s="235" cm="1">
        <f t="array" ref="BR828">$BI828 * IF($AH828&lt;=2,
SUMPRODUCT(INDEX($AR$72:$AT$76,,$AI828), INDEX($AU$72:$BA$76,,$AH828), 1 / ($BB$72:$BB$76*BQ828 + (1-$BB$72:$BB$76)*BM828), N($AQ$72:$AQ$76&gt;$AO828)),
SUMPRODUCT(INDEX($AR$67:$AT$76,,$AI828), INDEX($AU$67:$BA$76,,$AH828), 1 / ($BC$67:$BC$76*BQ828 + (1-$BC$67:$BC$76)*BM828), N($AQ$67:$AQ$76&gt;$AO828))
) / 1000</f>
        <v>0</v>
      </c>
      <c r="BS828" s="232">
        <f t="shared" si="758"/>
        <v>25</v>
      </c>
      <c r="BT828" s="230">
        <f t="shared" si="773"/>
        <v>38</v>
      </c>
      <c r="BU828" s="235">
        <f t="shared" si="774"/>
        <v>3.792954545454545</v>
      </c>
      <c r="BV828" s="235" cm="1">
        <f t="array" ref="BV828">$BI828 * IF($AH828&lt;=2,
SUMPRODUCT(INDEX($AR$67:$AT$71,,$AI828), INDEX($AU$67:$BA$71,,$AH828), 1 / ($BB$67:$BB$71*BU828 + (1-$BB$67:$BB$71)*BQ828), N($AQ$67:$AQ$71&gt;$AO828)),
SUMPRODUCT(INDEX($AR$57:$AT$66,,$AI828), INDEX($AU$57:$BA$66,,$AH828), 1 / ($BC$57:$BC$66*BU828 + (1-$BC$57:$BC$66)*BQ828), N($AQ$57:$AQ$66&gt;$AO828))
) / 1000</f>
        <v>0</v>
      </c>
      <c r="BW828" s="232">
        <f t="shared" si="759"/>
        <v>20</v>
      </c>
      <c r="BX828" s="230">
        <f t="shared" si="775"/>
        <v>33</v>
      </c>
      <c r="BY828" s="235">
        <f t="shared" si="776"/>
        <v>4.4702678571428569</v>
      </c>
      <c r="BZ828" s="235" cm="1">
        <f t="array" ref="BZ828">$BI828 * IF($AH828&lt;=2,
SUMPRODUCT(INDEX($AR$62:$AT$66,,$AI828), INDEX($AU$62:$BA$66,,$AH828), 1 / ($BB$62:$BB$66*BY828 + (1-$BB$62:$BB$66)*BU828), N($AQ$62:$AQ$66&gt;$AO828)),
SUMPRODUCT(INDEX($AR$47:$AT$56,,$AI828), INDEX($AU$47:$BA$56,,$AH828), 1 / ($BC$47:$BC$56*BY828 + (1-$BC$47:$BC$56)*BU828), N($AQ$47:$AQ$56&gt;$AO828))
) / 1000</f>
        <v>0</v>
      </c>
      <c r="CA828" s="235" cm="1">
        <f t="array" ref="CA828">$BI828 * IF($AH828&lt;=2,
SUMPRODUCT(INDEX($AR$23:$AT$61,,$AI828), INDEX($AU$23:$BA$61,,$AH828), 1 / ($BB$23:$BB$61*BY828), N($AQ$23:$AQ$61&gt;$AO828)),
SUMPRODUCT(INDEX($AR$23:$AT$46,,$AI828), INDEX($AU$23:$BA$46,,$AH828), 1 / ($BC$23:$BC$46*BY828), N($AQ$23:$AQ$46&gt;$AO828))
) / 1000</f>
        <v>0</v>
      </c>
      <c r="CB828" s="230">
        <f t="shared" si="777"/>
        <v>0</v>
      </c>
      <c r="CC828" s="238"/>
      <c r="CD828" s="229" cm="1">
        <f t="array" ref="CD828">IF(ISBLANK(Y828), INDEX(Use, $AH828, 4) - AN828*INDEX(Use, $AH828, 6) - (Q828-X828), Y828)</f>
        <v>7</v>
      </c>
      <c r="CE828" s="229">
        <f t="shared" si="778"/>
        <v>32</v>
      </c>
      <c r="CF828" s="230">
        <f t="shared" si="779"/>
        <v>0</v>
      </c>
      <c r="CG828" s="229">
        <v>35</v>
      </c>
      <c r="CH828" s="230">
        <f t="shared" si="780"/>
        <v>48</v>
      </c>
      <c r="CI828" s="235">
        <f t="shared" si="781"/>
        <v>3.0748170731707316</v>
      </c>
      <c r="CJ828" s="235" cm="1">
        <f t="array" ref="CJ828">$BI828 * SUMPRODUCT(INDEX($AR$77:$AT$82,,$AI828),INDEX($AU$77:$BA$82,,$AH828), N($AQ$77:$AQ$82&gt;$AO828)) / CI828 / 1000</f>
        <v>0</v>
      </c>
      <c r="CK828" s="232">
        <f t="shared" si="760"/>
        <v>30</v>
      </c>
      <c r="CL828" s="230">
        <f t="shared" si="782"/>
        <v>43</v>
      </c>
      <c r="CM828" s="235">
        <f t="shared" si="783"/>
        <v>3.5018750000000001</v>
      </c>
      <c r="CN828" s="235" cm="1">
        <f t="array" ref="CN828">$BI828 * IF($AH828&lt;=2,
SUMPRODUCT(INDEX($AR$72:$AT$76,,$AI828), INDEX($AU$72:$BA$76,,$AH828), 1 / ($BB$72:$BB$76*CM828 + (1-$BB$72:$BB$76)*CI828), N($AQ$72:$AQ$76&gt;$AO828)),
SUMPRODUCT(INDEX($AR$67:$AT$76,,$AI828), INDEX($AU$67:$BA$76,,$AH828), 1 / ($BC$67:$BC$76*CM828 + (1-$BC$67:$BC$76)*CI828), N($AQ$67:$AQ$76&gt;$AO828))
) / 1000</f>
        <v>0</v>
      </c>
      <c r="CO828" s="232">
        <f t="shared" si="761"/>
        <v>25</v>
      </c>
      <c r="CP828" s="230">
        <f t="shared" si="784"/>
        <v>38</v>
      </c>
      <c r="CQ828" s="235">
        <f t="shared" si="785"/>
        <v>4.0666935483870965</v>
      </c>
      <c r="CR828" s="235" cm="1">
        <f t="array" ref="CR828">$BI828 * IF($AH828&lt;=2,
SUMPRODUCT(INDEX($AR$67:$AT$71,,$AI828), INDEX($AU$67:$BA$71,,$AH828), 1 / ($BB$67:$BB$71*CQ828 + (1-$BB$67:$BB$71)*CM828), N($AQ$67:$AQ$71&gt;$AO828)),
SUMPRODUCT(INDEX($AR$57:$AT$66,,$AI828), INDEX($AU$57:$BA$66,,$AH828), 1 / ($BC$57:$BC$66*CQ828 + (1-$BC$57:$BC$66)*CM828), N($AQ$57:$AQ$66&gt;$AO828))
) / 1000</f>
        <v>0</v>
      </c>
      <c r="CS828" s="232">
        <f t="shared" si="762"/>
        <v>20</v>
      </c>
      <c r="CT828" s="230">
        <f t="shared" si="786"/>
        <v>33</v>
      </c>
      <c r="CU828" s="235">
        <f t="shared" si="787"/>
        <v>4.8487499999999999</v>
      </c>
      <c r="CV828" s="235" cm="1">
        <f t="array" ref="CV828">$BI828 * IF($AH828&lt;=2,
SUMPRODUCT(INDEX($AR$62:$AT$66,,$AI828), INDEX($AU$62:$BA$66,,$AH828), 1 / ($BB$62:$BB$66*CU828 + (1-$BB$62:$BB$66)*CQ828), N($AQ$62:$AQ$66&gt;$AO828)),
SUMPRODUCT(INDEX($AR$47:$AT$56,,$AI828), INDEX($AU$47:$BA$56,,$AH828), 1 / ($BC$47:$BC$56*CU828 + (1-$BC$47:$BC$56)*CQ828), N($AQ$47:$AQ$56&gt;$AO828))
) / 1000</f>
        <v>0</v>
      </c>
      <c r="CW828" s="235" cm="1">
        <f t="array" ref="CW828">$BI828 * IF($AH828&lt;=2,
SUMPRODUCT(INDEX($AR$23:$AT$61,,$AI828), INDEX($AU$23:$BA$61,,$AH828), 1 / ($BB$23:$BB$61*CU828), N($AQ$23:$AQ$61&gt;$AO828)),
SUMPRODUCT(INDEX($AR$23:$AT$46,,$AI828), INDEX($AU$23:$BA$46,,$AH828), 1 / ($BC$23:$BC$46*CU828), N($AQ$23:$AQ$46&gt;$AO828))
) / 1000</f>
        <v>0</v>
      </c>
      <c r="CX828" s="230">
        <f t="shared" si="788"/>
        <v>0</v>
      </c>
      <c r="CY828" s="238"/>
    </row>
    <row r="829" spans="1:103" s="76" customFormat="1" ht="14.25" customHeight="1" x14ac:dyDescent="0.2">
      <c r="A829" s="231" t="b">
        <f t="shared" si="754"/>
        <v>0</v>
      </c>
      <c r="B829" s="245">
        <v>807</v>
      </c>
      <c r="C829" s="258"/>
      <c r="D829" s="258"/>
      <c r="E829" s="246"/>
      <c r="F829" s="247" t="str">
        <f>IF(ISBLANK(E829), "", VLOOKUP(E829, Z!$A$2:$C$4127, 3, FALSE))</f>
        <v/>
      </c>
      <c r="G829" s="248"/>
      <c r="H829" s="248"/>
      <c r="I829" s="249"/>
      <c r="J829" s="250"/>
      <c r="K829" s="259"/>
      <c r="L829" s="260"/>
      <c r="M829" s="252" t="str" cm="1">
        <f t="array" ref="M829">INDEX(Trad, 53, $A$20)</f>
        <v>Verschmutzt</v>
      </c>
      <c r="N829" s="253"/>
      <c r="O829" s="253"/>
      <c r="P829" s="254"/>
      <c r="Q829" s="251"/>
      <c r="R829" s="251"/>
      <c r="S829" s="264">
        <f t="shared" si="763"/>
        <v>0</v>
      </c>
      <c r="T829" s="252" t="str" cm="1">
        <f t="array" ref="T829">INDEX(Trad, 52, $A$20)</f>
        <v>Sauber</v>
      </c>
      <c r="U829" s="253"/>
      <c r="V829" s="253"/>
      <c r="W829" s="254"/>
      <c r="X829" s="251"/>
      <c r="Y829" s="251"/>
      <c r="Z829" s="264">
        <f t="shared" si="764"/>
        <v>0</v>
      </c>
      <c r="AA829" s="261"/>
      <c r="AB829" s="258"/>
      <c r="AC829" s="246"/>
      <c r="AD829" s="247" t="str">
        <f>IF(ISBLANK(AC829), "", VLOOKUP(AC829, Z!$A$2:$C$4127, 3, FALSE))</f>
        <v/>
      </c>
      <c r="AE829" s="262"/>
      <c r="AF829" s="263">
        <f t="shared" si="765"/>
        <v>0</v>
      </c>
      <c r="AG829" s="238"/>
      <c r="AH829" s="229">
        <f t="shared" si="789"/>
        <v>1</v>
      </c>
      <c r="AI829" s="229">
        <f t="shared" si="790"/>
        <v>1</v>
      </c>
      <c r="AJ829" s="229">
        <f t="shared" si="791"/>
        <v>0</v>
      </c>
      <c r="AK829" s="229">
        <v>0</v>
      </c>
      <c r="AL829" s="229">
        <v>0</v>
      </c>
      <c r="AM829" s="229">
        <v>1</v>
      </c>
      <c r="AN829" s="229">
        <v>0</v>
      </c>
      <c r="AO829" s="229">
        <f t="shared" si="766"/>
        <v>-100</v>
      </c>
      <c r="AP829" s="238"/>
      <c r="AQ829" s="255"/>
      <c r="AR829" s="255"/>
      <c r="AS829" s="256"/>
      <c r="AT829" s="256"/>
      <c r="AU829" s="256"/>
      <c r="AV829" s="256"/>
      <c r="AW829" s="256"/>
      <c r="AX829" s="256"/>
      <c r="AY829" s="256"/>
      <c r="AZ829" s="256"/>
      <c r="BA829" s="256"/>
      <c r="BB829" s="256"/>
      <c r="BC829" s="256"/>
      <c r="BD829" s="238"/>
      <c r="BE829" s="229" cm="1">
        <f t="array" ref="BE829">IF(ISBLANK(R829), INDEX(Use, $AH829, 4) - AM829*INDEX(Use, $AH829, 6), R829)</f>
        <v>5</v>
      </c>
      <c r="BF829" s="229">
        <f t="shared" si="767"/>
        <v>30</v>
      </c>
      <c r="BG829" s="229">
        <f t="shared" si="755"/>
        <v>13</v>
      </c>
      <c r="BH829" s="229">
        <f t="shared" si="756"/>
        <v>0</v>
      </c>
      <c r="BI829" s="234" cm="1">
        <f t="array" ref="BI829">K829/IF($L829&gt;0, INDEX($AU$23:$BA$77, $L829+20, $AH829), 1)</f>
        <v>0</v>
      </c>
      <c r="BJ829" s="230">
        <f t="shared" si="768"/>
        <v>0</v>
      </c>
      <c r="BK829" s="229">
        <v>35</v>
      </c>
      <c r="BL829" s="230">
        <f t="shared" si="769"/>
        <v>48</v>
      </c>
      <c r="BM829" s="235">
        <f t="shared" si="770"/>
        <v>2.9108720930232557</v>
      </c>
      <c r="BN829" s="235" cm="1">
        <f t="array" ref="BN829">$BI829 * SUMPRODUCT(INDEX($AR$77:$AT$82,,$AI829),INDEX($AU$77:$BA$82,,$AH829), N($AQ$77:$AQ$82&gt;$AO829)) / BM829 / 1000</f>
        <v>0</v>
      </c>
      <c r="BO829" s="232">
        <f t="shared" si="757"/>
        <v>30</v>
      </c>
      <c r="BP829" s="230">
        <f t="shared" si="771"/>
        <v>43</v>
      </c>
      <c r="BQ829" s="235">
        <f t="shared" si="772"/>
        <v>3.2938815789473681</v>
      </c>
      <c r="BR829" s="235" cm="1">
        <f t="array" ref="BR829">$BI829 * IF($AH829&lt;=2,
SUMPRODUCT(INDEX($AR$72:$AT$76,,$AI829), INDEX($AU$72:$BA$76,,$AH829), 1 / ($BB$72:$BB$76*BQ829 + (1-$BB$72:$BB$76)*BM829), N($AQ$72:$AQ$76&gt;$AO829)),
SUMPRODUCT(INDEX($AR$67:$AT$76,,$AI829), INDEX($AU$67:$BA$76,,$AH829), 1 / ($BC$67:$BC$76*BQ829 + (1-$BC$67:$BC$76)*BM829), N($AQ$67:$AQ$76&gt;$AO829))
) / 1000</f>
        <v>0</v>
      </c>
      <c r="BS829" s="232">
        <f t="shared" si="758"/>
        <v>25</v>
      </c>
      <c r="BT829" s="230">
        <f t="shared" si="773"/>
        <v>38</v>
      </c>
      <c r="BU829" s="235">
        <f t="shared" si="774"/>
        <v>3.792954545454545</v>
      </c>
      <c r="BV829" s="235" cm="1">
        <f t="array" ref="BV829">$BI829 * IF($AH829&lt;=2,
SUMPRODUCT(INDEX($AR$67:$AT$71,,$AI829), INDEX($AU$67:$BA$71,,$AH829), 1 / ($BB$67:$BB$71*BU829 + (1-$BB$67:$BB$71)*BQ829), N($AQ$67:$AQ$71&gt;$AO829)),
SUMPRODUCT(INDEX($AR$57:$AT$66,,$AI829), INDEX($AU$57:$BA$66,,$AH829), 1 / ($BC$57:$BC$66*BU829 + (1-$BC$57:$BC$66)*BQ829), N($AQ$57:$AQ$66&gt;$AO829))
) / 1000</f>
        <v>0</v>
      </c>
      <c r="BW829" s="232">
        <f t="shared" si="759"/>
        <v>20</v>
      </c>
      <c r="BX829" s="230">
        <f t="shared" si="775"/>
        <v>33</v>
      </c>
      <c r="BY829" s="235">
        <f t="shared" si="776"/>
        <v>4.4702678571428569</v>
      </c>
      <c r="BZ829" s="235" cm="1">
        <f t="array" ref="BZ829">$BI829 * IF($AH829&lt;=2,
SUMPRODUCT(INDEX($AR$62:$AT$66,,$AI829), INDEX($AU$62:$BA$66,,$AH829), 1 / ($BB$62:$BB$66*BY829 + (1-$BB$62:$BB$66)*BU829), N($AQ$62:$AQ$66&gt;$AO829)),
SUMPRODUCT(INDEX($AR$47:$AT$56,,$AI829), INDEX($AU$47:$BA$56,,$AH829), 1 / ($BC$47:$BC$56*BY829 + (1-$BC$47:$BC$56)*BU829), N($AQ$47:$AQ$56&gt;$AO829))
) / 1000</f>
        <v>0</v>
      </c>
      <c r="CA829" s="235" cm="1">
        <f t="array" ref="CA829">$BI829 * IF($AH829&lt;=2,
SUMPRODUCT(INDEX($AR$23:$AT$61,,$AI829), INDEX($AU$23:$BA$61,,$AH829), 1 / ($BB$23:$BB$61*BY829), N($AQ$23:$AQ$61&gt;$AO829)),
SUMPRODUCT(INDEX($AR$23:$AT$46,,$AI829), INDEX($AU$23:$BA$46,,$AH829), 1 / ($BC$23:$BC$46*BY829), N($AQ$23:$AQ$46&gt;$AO829))
) / 1000</f>
        <v>0</v>
      </c>
      <c r="CB829" s="230">
        <f t="shared" si="777"/>
        <v>0</v>
      </c>
      <c r="CC829" s="238"/>
      <c r="CD829" s="229" cm="1">
        <f t="array" ref="CD829">IF(ISBLANK(Y829), INDEX(Use, $AH829, 4) - AN829*INDEX(Use, $AH829, 6) - (Q829-X829), Y829)</f>
        <v>7</v>
      </c>
      <c r="CE829" s="229">
        <f t="shared" si="778"/>
        <v>32</v>
      </c>
      <c r="CF829" s="230">
        <f t="shared" si="779"/>
        <v>0</v>
      </c>
      <c r="CG829" s="229">
        <v>35</v>
      </c>
      <c r="CH829" s="230">
        <f t="shared" si="780"/>
        <v>48</v>
      </c>
      <c r="CI829" s="235">
        <f t="shared" si="781"/>
        <v>3.0748170731707316</v>
      </c>
      <c r="CJ829" s="235" cm="1">
        <f t="array" ref="CJ829">$BI829 * SUMPRODUCT(INDEX($AR$77:$AT$82,,$AI829),INDEX($AU$77:$BA$82,,$AH829), N($AQ$77:$AQ$82&gt;$AO829)) / CI829 / 1000</f>
        <v>0</v>
      </c>
      <c r="CK829" s="232">
        <f t="shared" si="760"/>
        <v>30</v>
      </c>
      <c r="CL829" s="230">
        <f t="shared" si="782"/>
        <v>43</v>
      </c>
      <c r="CM829" s="235">
        <f t="shared" si="783"/>
        <v>3.5018750000000001</v>
      </c>
      <c r="CN829" s="235" cm="1">
        <f t="array" ref="CN829">$BI829 * IF($AH829&lt;=2,
SUMPRODUCT(INDEX($AR$72:$AT$76,,$AI829), INDEX($AU$72:$BA$76,,$AH829), 1 / ($BB$72:$BB$76*CM829 + (1-$BB$72:$BB$76)*CI829), N($AQ$72:$AQ$76&gt;$AO829)),
SUMPRODUCT(INDEX($AR$67:$AT$76,,$AI829), INDEX($AU$67:$BA$76,,$AH829), 1 / ($BC$67:$BC$76*CM829 + (1-$BC$67:$BC$76)*CI829), N($AQ$67:$AQ$76&gt;$AO829))
) / 1000</f>
        <v>0</v>
      </c>
      <c r="CO829" s="232">
        <f t="shared" si="761"/>
        <v>25</v>
      </c>
      <c r="CP829" s="230">
        <f t="shared" si="784"/>
        <v>38</v>
      </c>
      <c r="CQ829" s="235">
        <f t="shared" si="785"/>
        <v>4.0666935483870965</v>
      </c>
      <c r="CR829" s="235" cm="1">
        <f t="array" ref="CR829">$BI829 * IF($AH829&lt;=2,
SUMPRODUCT(INDEX($AR$67:$AT$71,,$AI829), INDEX($AU$67:$BA$71,,$AH829), 1 / ($BB$67:$BB$71*CQ829 + (1-$BB$67:$BB$71)*CM829), N($AQ$67:$AQ$71&gt;$AO829)),
SUMPRODUCT(INDEX($AR$57:$AT$66,,$AI829), INDEX($AU$57:$BA$66,,$AH829), 1 / ($BC$57:$BC$66*CQ829 + (1-$BC$57:$BC$66)*CM829), N($AQ$57:$AQ$66&gt;$AO829))
) / 1000</f>
        <v>0</v>
      </c>
      <c r="CS829" s="232">
        <f t="shared" si="762"/>
        <v>20</v>
      </c>
      <c r="CT829" s="230">
        <f t="shared" si="786"/>
        <v>33</v>
      </c>
      <c r="CU829" s="235">
        <f t="shared" si="787"/>
        <v>4.8487499999999999</v>
      </c>
      <c r="CV829" s="235" cm="1">
        <f t="array" ref="CV829">$BI829 * IF($AH829&lt;=2,
SUMPRODUCT(INDEX($AR$62:$AT$66,,$AI829), INDEX($AU$62:$BA$66,,$AH829), 1 / ($BB$62:$BB$66*CU829 + (1-$BB$62:$BB$66)*CQ829), N($AQ$62:$AQ$66&gt;$AO829)),
SUMPRODUCT(INDEX($AR$47:$AT$56,,$AI829), INDEX($AU$47:$BA$56,,$AH829), 1 / ($BC$47:$BC$56*CU829 + (1-$BC$47:$BC$56)*CQ829), N($AQ$47:$AQ$56&gt;$AO829))
) / 1000</f>
        <v>0</v>
      </c>
      <c r="CW829" s="235" cm="1">
        <f t="array" ref="CW829">$BI829 * IF($AH829&lt;=2,
SUMPRODUCT(INDEX($AR$23:$AT$61,,$AI829), INDEX($AU$23:$BA$61,,$AH829), 1 / ($BB$23:$BB$61*CU829), N($AQ$23:$AQ$61&gt;$AO829)),
SUMPRODUCT(INDEX($AR$23:$AT$46,,$AI829), INDEX($AU$23:$BA$46,,$AH829), 1 / ($BC$23:$BC$46*CU829), N($AQ$23:$AQ$46&gt;$AO829))
) / 1000</f>
        <v>0</v>
      </c>
      <c r="CX829" s="230">
        <f t="shared" si="788"/>
        <v>0</v>
      </c>
      <c r="CY829" s="238"/>
    </row>
    <row r="830" spans="1:103" s="76" customFormat="1" ht="14.25" customHeight="1" x14ac:dyDescent="0.2">
      <c r="A830" s="231" t="b">
        <f t="shared" si="754"/>
        <v>0</v>
      </c>
      <c r="B830" s="245">
        <v>808</v>
      </c>
      <c r="C830" s="258"/>
      <c r="D830" s="258"/>
      <c r="E830" s="246"/>
      <c r="F830" s="247" t="str">
        <f>IF(ISBLANK(E830), "", VLOOKUP(E830, Z!$A$2:$C$4127, 3, FALSE))</f>
        <v/>
      </c>
      <c r="G830" s="248"/>
      <c r="H830" s="248"/>
      <c r="I830" s="249"/>
      <c r="J830" s="250"/>
      <c r="K830" s="259"/>
      <c r="L830" s="260"/>
      <c r="M830" s="252" t="str" cm="1">
        <f t="array" ref="M830">INDEX(Trad, 53, $A$20)</f>
        <v>Verschmutzt</v>
      </c>
      <c r="N830" s="253"/>
      <c r="O830" s="253"/>
      <c r="P830" s="254"/>
      <c r="Q830" s="251"/>
      <c r="R830" s="251"/>
      <c r="S830" s="264">
        <f t="shared" si="763"/>
        <v>0</v>
      </c>
      <c r="T830" s="252" t="str" cm="1">
        <f t="array" ref="T830">INDEX(Trad, 52, $A$20)</f>
        <v>Sauber</v>
      </c>
      <c r="U830" s="253"/>
      <c r="V830" s="253"/>
      <c r="W830" s="254"/>
      <c r="X830" s="251"/>
      <c r="Y830" s="251"/>
      <c r="Z830" s="264">
        <f t="shared" si="764"/>
        <v>0</v>
      </c>
      <c r="AA830" s="261"/>
      <c r="AB830" s="258"/>
      <c r="AC830" s="246"/>
      <c r="AD830" s="247" t="str">
        <f>IF(ISBLANK(AC830), "", VLOOKUP(AC830, Z!$A$2:$C$4127, 3, FALSE))</f>
        <v/>
      </c>
      <c r="AE830" s="262"/>
      <c r="AF830" s="263">
        <f t="shared" si="765"/>
        <v>0</v>
      </c>
      <c r="AG830" s="238"/>
      <c r="AH830" s="229">
        <f t="shared" si="789"/>
        <v>1</v>
      </c>
      <c r="AI830" s="229">
        <f t="shared" si="790"/>
        <v>1</v>
      </c>
      <c r="AJ830" s="229">
        <f t="shared" si="791"/>
        <v>0</v>
      </c>
      <c r="AK830" s="229">
        <v>0</v>
      </c>
      <c r="AL830" s="229">
        <v>0</v>
      </c>
      <c r="AM830" s="229">
        <v>1</v>
      </c>
      <c r="AN830" s="229">
        <v>0</v>
      </c>
      <c r="AO830" s="229">
        <f t="shared" si="766"/>
        <v>-100</v>
      </c>
      <c r="AP830" s="238"/>
      <c r="AQ830" s="255"/>
      <c r="AR830" s="255"/>
      <c r="AS830" s="256"/>
      <c r="AT830" s="256"/>
      <c r="AU830" s="256"/>
      <c r="AV830" s="256"/>
      <c r="AW830" s="256"/>
      <c r="AX830" s="256"/>
      <c r="AY830" s="256"/>
      <c r="AZ830" s="256"/>
      <c r="BA830" s="256"/>
      <c r="BB830" s="256"/>
      <c r="BC830" s="256"/>
      <c r="BD830" s="238"/>
      <c r="BE830" s="229" cm="1">
        <f t="array" ref="BE830">IF(ISBLANK(R830), INDEX(Use, $AH830, 4) - AM830*INDEX(Use, $AH830, 6), R830)</f>
        <v>5</v>
      </c>
      <c r="BF830" s="229">
        <f t="shared" si="767"/>
        <v>30</v>
      </c>
      <c r="BG830" s="229">
        <f t="shared" si="755"/>
        <v>13</v>
      </c>
      <c r="BH830" s="229">
        <f t="shared" si="756"/>
        <v>0</v>
      </c>
      <c r="BI830" s="234" cm="1">
        <f t="array" ref="BI830">K830/IF($L830&gt;0, INDEX($AU$23:$BA$77, $L830+20, $AH830), 1)</f>
        <v>0</v>
      </c>
      <c r="BJ830" s="230">
        <f t="shared" si="768"/>
        <v>0</v>
      </c>
      <c r="BK830" s="229">
        <v>35</v>
      </c>
      <c r="BL830" s="230">
        <f t="shared" si="769"/>
        <v>48</v>
      </c>
      <c r="BM830" s="235">
        <f t="shared" si="770"/>
        <v>2.9108720930232557</v>
      </c>
      <c r="BN830" s="235" cm="1">
        <f t="array" ref="BN830">$BI830 * SUMPRODUCT(INDEX($AR$77:$AT$82,,$AI830),INDEX($AU$77:$BA$82,,$AH830), N($AQ$77:$AQ$82&gt;$AO830)) / BM830 / 1000</f>
        <v>0</v>
      </c>
      <c r="BO830" s="232">
        <f t="shared" si="757"/>
        <v>30</v>
      </c>
      <c r="BP830" s="230">
        <f t="shared" si="771"/>
        <v>43</v>
      </c>
      <c r="BQ830" s="235">
        <f t="shared" si="772"/>
        <v>3.2938815789473681</v>
      </c>
      <c r="BR830" s="235" cm="1">
        <f t="array" ref="BR830">$BI830 * IF($AH830&lt;=2,
SUMPRODUCT(INDEX($AR$72:$AT$76,,$AI830), INDEX($AU$72:$BA$76,,$AH830), 1 / ($BB$72:$BB$76*BQ830 + (1-$BB$72:$BB$76)*BM830), N($AQ$72:$AQ$76&gt;$AO830)),
SUMPRODUCT(INDEX($AR$67:$AT$76,,$AI830), INDEX($AU$67:$BA$76,,$AH830), 1 / ($BC$67:$BC$76*BQ830 + (1-$BC$67:$BC$76)*BM830), N($AQ$67:$AQ$76&gt;$AO830))
) / 1000</f>
        <v>0</v>
      </c>
      <c r="BS830" s="232">
        <f t="shared" si="758"/>
        <v>25</v>
      </c>
      <c r="BT830" s="230">
        <f t="shared" si="773"/>
        <v>38</v>
      </c>
      <c r="BU830" s="235">
        <f t="shared" si="774"/>
        <v>3.792954545454545</v>
      </c>
      <c r="BV830" s="235" cm="1">
        <f t="array" ref="BV830">$BI830 * IF($AH830&lt;=2,
SUMPRODUCT(INDEX($AR$67:$AT$71,,$AI830), INDEX($AU$67:$BA$71,,$AH830), 1 / ($BB$67:$BB$71*BU830 + (1-$BB$67:$BB$71)*BQ830), N($AQ$67:$AQ$71&gt;$AO830)),
SUMPRODUCT(INDEX($AR$57:$AT$66,,$AI830), INDEX($AU$57:$BA$66,,$AH830), 1 / ($BC$57:$BC$66*BU830 + (1-$BC$57:$BC$66)*BQ830), N($AQ$57:$AQ$66&gt;$AO830))
) / 1000</f>
        <v>0</v>
      </c>
      <c r="BW830" s="232">
        <f t="shared" si="759"/>
        <v>20</v>
      </c>
      <c r="BX830" s="230">
        <f t="shared" si="775"/>
        <v>33</v>
      </c>
      <c r="BY830" s="235">
        <f t="shared" si="776"/>
        <v>4.4702678571428569</v>
      </c>
      <c r="BZ830" s="235" cm="1">
        <f t="array" ref="BZ830">$BI830 * IF($AH830&lt;=2,
SUMPRODUCT(INDEX($AR$62:$AT$66,,$AI830), INDEX($AU$62:$BA$66,,$AH830), 1 / ($BB$62:$BB$66*BY830 + (1-$BB$62:$BB$66)*BU830), N($AQ$62:$AQ$66&gt;$AO830)),
SUMPRODUCT(INDEX($AR$47:$AT$56,,$AI830), INDEX($AU$47:$BA$56,,$AH830), 1 / ($BC$47:$BC$56*BY830 + (1-$BC$47:$BC$56)*BU830), N($AQ$47:$AQ$56&gt;$AO830))
) / 1000</f>
        <v>0</v>
      </c>
      <c r="CA830" s="235" cm="1">
        <f t="array" ref="CA830">$BI830 * IF($AH830&lt;=2,
SUMPRODUCT(INDEX($AR$23:$AT$61,,$AI830), INDEX($AU$23:$BA$61,,$AH830), 1 / ($BB$23:$BB$61*BY830), N($AQ$23:$AQ$61&gt;$AO830)),
SUMPRODUCT(INDEX($AR$23:$AT$46,,$AI830), INDEX($AU$23:$BA$46,,$AH830), 1 / ($BC$23:$BC$46*BY830), N($AQ$23:$AQ$46&gt;$AO830))
) / 1000</f>
        <v>0</v>
      </c>
      <c r="CB830" s="230">
        <f t="shared" si="777"/>
        <v>0</v>
      </c>
      <c r="CC830" s="238"/>
      <c r="CD830" s="229" cm="1">
        <f t="array" ref="CD830">IF(ISBLANK(Y830), INDEX(Use, $AH830, 4) - AN830*INDEX(Use, $AH830, 6) - (Q830-X830), Y830)</f>
        <v>7</v>
      </c>
      <c r="CE830" s="229">
        <f t="shared" si="778"/>
        <v>32</v>
      </c>
      <c r="CF830" s="230">
        <f t="shared" si="779"/>
        <v>0</v>
      </c>
      <c r="CG830" s="229">
        <v>35</v>
      </c>
      <c r="CH830" s="230">
        <f t="shared" si="780"/>
        <v>48</v>
      </c>
      <c r="CI830" s="235">
        <f t="shared" si="781"/>
        <v>3.0748170731707316</v>
      </c>
      <c r="CJ830" s="235" cm="1">
        <f t="array" ref="CJ830">$BI830 * SUMPRODUCT(INDEX($AR$77:$AT$82,,$AI830),INDEX($AU$77:$BA$82,,$AH830), N($AQ$77:$AQ$82&gt;$AO830)) / CI830 / 1000</f>
        <v>0</v>
      </c>
      <c r="CK830" s="232">
        <f t="shared" si="760"/>
        <v>30</v>
      </c>
      <c r="CL830" s="230">
        <f t="shared" si="782"/>
        <v>43</v>
      </c>
      <c r="CM830" s="235">
        <f t="shared" si="783"/>
        <v>3.5018750000000001</v>
      </c>
      <c r="CN830" s="235" cm="1">
        <f t="array" ref="CN830">$BI830 * IF($AH830&lt;=2,
SUMPRODUCT(INDEX($AR$72:$AT$76,,$AI830), INDEX($AU$72:$BA$76,,$AH830), 1 / ($BB$72:$BB$76*CM830 + (1-$BB$72:$BB$76)*CI830), N($AQ$72:$AQ$76&gt;$AO830)),
SUMPRODUCT(INDEX($AR$67:$AT$76,,$AI830), INDEX($AU$67:$BA$76,,$AH830), 1 / ($BC$67:$BC$76*CM830 + (1-$BC$67:$BC$76)*CI830), N($AQ$67:$AQ$76&gt;$AO830))
) / 1000</f>
        <v>0</v>
      </c>
      <c r="CO830" s="232">
        <f t="shared" si="761"/>
        <v>25</v>
      </c>
      <c r="CP830" s="230">
        <f t="shared" si="784"/>
        <v>38</v>
      </c>
      <c r="CQ830" s="235">
        <f t="shared" si="785"/>
        <v>4.0666935483870965</v>
      </c>
      <c r="CR830" s="235" cm="1">
        <f t="array" ref="CR830">$BI830 * IF($AH830&lt;=2,
SUMPRODUCT(INDEX($AR$67:$AT$71,,$AI830), INDEX($AU$67:$BA$71,,$AH830), 1 / ($BB$67:$BB$71*CQ830 + (1-$BB$67:$BB$71)*CM830), N($AQ$67:$AQ$71&gt;$AO830)),
SUMPRODUCT(INDEX($AR$57:$AT$66,,$AI830), INDEX($AU$57:$BA$66,,$AH830), 1 / ($BC$57:$BC$66*CQ830 + (1-$BC$57:$BC$66)*CM830), N($AQ$57:$AQ$66&gt;$AO830))
) / 1000</f>
        <v>0</v>
      </c>
      <c r="CS830" s="232">
        <f t="shared" si="762"/>
        <v>20</v>
      </c>
      <c r="CT830" s="230">
        <f t="shared" si="786"/>
        <v>33</v>
      </c>
      <c r="CU830" s="235">
        <f t="shared" si="787"/>
        <v>4.8487499999999999</v>
      </c>
      <c r="CV830" s="235" cm="1">
        <f t="array" ref="CV830">$BI830 * IF($AH830&lt;=2,
SUMPRODUCT(INDEX($AR$62:$AT$66,,$AI830), INDEX($AU$62:$BA$66,,$AH830), 1 / ($BB$62:$BB$66*CU830 + (1-$BB$62:$BB$66)*CQ830), N($AQ$62:$AQ$66&gt;$AO830)),
SUMPRODUCT(INDEX($AR$47:$AT$56,,$AI830), INDEX($AU$47:$BA$56,,$AH830), 1 / ($BC$47:$BC$56*CU830 + (1-$BC$47:$BC$56)*CQ830), N($AQ$47:$AQ$56&gt;$AO830))
) / 1000</f>
        <v>0</v>
      </c>
      <c r="CW830" s="235" cm="1">
        <f t="array" ref="CW830">$BI830 * IF($AH830&lt;=2,
SUMPRODUCT(INDEX($AR$23:$AT$61,,$AI830), INDEX($AU$23:$BA$61,,$AH830), 1 / ($BB$23:$BB$61*CU830), N($AQ$23:$AQ$61&gt;$AO830)),
SUMPRODUCT(INDEX($AR$23:$AT$46,,$AI830), INDEX($AU$23:$BA$46,,$AH830), 1 / ($BC$23:$BC$46*CU830), N($AQ$23:$AQ$46&gt;$AO830))
) / 1000</f>
        <v>0</v>
      </c>
      <c r="CX830" s="230">
        <f t="shared" si="788"/>
        <v>0</v>
      </c>
      <c r="CY830" s="238"/>
    </row>
    <row r="831" spans="1:103" s="76" customFormat="1" ht="14.25" customHeight="1" x14ac:dyDescent="0.2">
      <c r="A831" s="231" t="b">
        <f t="shared" si="754"/>
        <v>0</v>
      </c>
      <c r="B831" s="245">
        <v>809</v>
      </c>
      <c r="C831" s="258"/>
      <c r="D831" s="258"/>
      <c r="E831" s="246"/>
      <c r="F831" s="247" t="str">
        <f>IF(ISBLANK(E831), "", VLOOKUP(E831, Z!$A$2:$C$4127, 3, FALSE))</f>
        <v/>
      </c>
      <c r="G831" s="248"/>
      <c r="H831" s="248"/>
      <c r="I831" s="249"/>
      <c r="J831" s="250"/>
      <c r="K831" s="259"/>
      <c r="L831" s="260"/>
      <c r="M831" s="252" t="str" cm="1">
        <f t="array" ref="M831">INDEX(Trad, 53, $A$20)</f>
        <v>Verschmutzt</v>
      </c>
      <c r="N831" s="253"/>
      <c r="O831" s="253"/>
      <c r="P831" s="254"/>
      <c r="Q831" s="251"/>
      <c r="R831" s="251"/>
      <c r="S831" s="264">
        <f t="shared" si="763"/>
        <v>0</v>
      </c>
      <c r="T831" s="252" t="str" cm="1">
        <f t="array" ref="T831">INDEX(Trad, 52, $A$20)</f>
        <v>Sauber</v>
      </c>
      <c r="U831" s="253"/>
      <c r="V831" s="253"/>
      <c r="W831" s="254"/>
      <c r="X831" s="251"/>
      <c r="Y831" s="251"/>
      <c r="Z831" s="264">
        <f t="shared" si="764"/>
        <v>0</v>
      </c>
      <c r="AA831" s="261"/>
      <c r="AB831" s="258"/>
      <c r="AC831" s="246"/>
      <c r="AD831" s="247" t="str">
        <f>IF(ISBLANK(AC831), "", VLOOKUP(AC831, Z!$A$2:$C$4127, 3, FALSE))</f>
        <v/>
      </c>
      <c r="AE831" s="262"/>
      <c r="AF831" s="263">
        <f t="shared" si="765"/>
        <v>0</v>
      </c>
      <c r="AG831" s="238"/>
      <c r="AH831" s="229">
        <f t="shared" si="789"/>
        <v>1</v>
      </c>
      <c r="AI831" s="229">
        <f t="shared" si="790"/>
        <v>1</v>
      </c>
      <c r="AJ831" s="229">
        <f t="shared" si="791"/>
        <v>0</v>
      </c>
      <c r="AK831" s="229">
        <v>0</v>
      </c>
      <c r="AL831" s="229">
        <v>0</v>
      </c>
      <c r="AM831" s="229">
        <v>1</v>
      </c>
      <c r="AN831" s="229">
        <v>0</v>
      </c>
      <c r="AO831" s="229">
        <f t="shared" si="766"/>
        <v>-100</v>
      </c>
      <c r="AP831" s="238"/>
      <c r="AQ831" s="255"/>
      <c r="AR831" s="255"/>
      <c r="AS831" s="256"/>
      <c r="AT831" s="256"/>
      <c r="AU831" s="256"/>
      <c r="AV831" s="256"/>
      <c r="AW831" s="256"/>
      <c r="AX831" s="256"/>
      <c r="AY831" s="256"/>
      <c r="AZ831" s="256"/>
      <c r="BA831" s="256"/>
      <c r="BB831" s="256"/>
      <c r="BC831" s="256"/>
      <c r="BD831" s="238"/>
      <c r="BE831" s="229" cm="1">
        <f t="array" ref="BE831">IF(ISBLANK(R831), INDEX(Use, $AH831, 4) - AM831*INDEX(Use, $AH831, 6), R831)</f>
        <v>5</v>
      </c>
      <c r="BF831" s="229">
        <f t="shared" si="767"/>
        <v>30</v>
      </c>
      <c r="BG831" s="229">
        <f t="shared" si="755"/>
        <v>13</v>
      </c>
      <c r="BH831" s="229">
        <f t="shared" si="756"/>
        <v>0</v>
      </c>
      <c r="BI831" s="234" cm="1">
        <f t="array" ref="BI831">K831/IF($L831&gt;0, INDEX($AU$23:$BA$77, $L831+20, $AH831), 1)</f>
        <v>0</v>
      </c>
      <c r="BJ831" s="230">
        <f t="shared" si="768"/>
        <v>0</v>
      </c>
      <c r="BK831" s="229">
        <v>35</v>
      </c>
      <c r="BL831" s="230">
        <f t="shared" si="769"/>
        <v>48</v>
      </c>
      <c r="BM831" s="235">
        <f t="shared" si="770"/>
        <v>2.9108720930232557</v>
      </c>
      <c r="BN831" s="235" cm="1">
        <f t="array" ref="BN831">$BI831 * SUMPRODUCT(INDEX($AR$77:$AT$82,,$AI831),INDEX($AU$77:$BA$82,,$AH831), N($AQ$77:$AQ$82&gt;$AO831)) / BM831 / 1000</f>
        <v>0</v>
      </c>
      <c r="BO831" s="232">
        <f t="shared" si="757"/>
        <v>30</v>
      </c>
      <c r="BP831" s="230">
        <f t="shared" si="771"/>
        <v>43</v>
      </c>
      <c r="BQ831" s="235">
        <f t="shared" si="772"/>
        <v>3.2938815789473681</v>
      </c>
      <c r="BR831" s="235" cm="1">
        <f t="array" ref="BR831">$BI831 * IF($AH831&lt;=2,
SUMPRODUCT(INDEX($AR$72:$AT$76,,$AI831), INDEX($AU$72:$BA$76,,$AH831), 1 / ($BB$72:$BB$76*BQ831 + (1-$BB$72:$BB$76)*BM831), N($AQ$72:$AQ$76&gt;$AO831)),
SUMPRODUCT(INDEX($AR$67:$AT$76,,$AI831), INDEX($AU$67:$BA$76,,$AH831), 1 / ($BC$67:$BC$76*BQ831 + (1-$BC$67:$BC$76)*BM831), N($AQ$67:$AQ$76&gt;$AO831))
) / 1000</f>
        <v>0</v>
      </c>
      <c r="BS831" s="232">
        <f t="shared" si="758"/>
        <v>25</v>
      </c>
      <c r="BT831" s="230">
        <f t="shared" si="773"/>
        <v>38</v>
      </c>
      <c r="BU831" s="235">
        <f t="shared" si="774"/>
        <v>3.792954545454545</v>
      </c>
      <c r="BV831" s="235" cm="1">
        <f t="array" ref="BV831">$BI831 * IF($AH831&lt;=2,
SUMPRODUCT(INDEX($AR$67:$AT$71,,$AI831), INDEX($AU$67:$BA$71,,$AH831), 1 / ($BB$67:$BB$71*BU831 + (1-$BB$67:$BB$71)*BQ831), N($AQ$67:$AQ$71&gt;$AO831)),
SUMPRODUCT(INDEX($AR$57:$AT$66,,$AI831), INDEX($AU$57:$BA$66,,$AH831), 1 / ($BC$57:$BC$66*BU831 + (1-$BC$57:$BC$66)*BQ831), N($AQ$57:$AQ$66&gt;$AO831))
) / 1000</f>
        <v>0</v>
      </c>
      <c r="BW831" s="232">
        <f t="shared" si="759"/>
        <v>20</v>
      </c>
      <c r="BX831" s="230">
        <f t="shared" si="775"/>
        <v>33</v>
      </c>
      <c r="BY831" s="235">
        <f t="shared" si="776"/>
        <v>4.4702678571428569</v>
      </c>
      <c r="BZ831" s="235" cm="1">
        <f t="array" ref="BZ831">$BI831 * IF($AH831&lt;=2,
SUMPRODUCT(INDEX($AR$62:$AT$66,,$AI831), INDEX($AU$62:$BA$66,,$AH831), 1 / ($BB$62:$BB$66*BY831 + (1-$BB$62:$BB$66)*BU831), N($AQ$62:$AQ$66&gt;$AO831)),
SUMPRODUCT(INDEX($AR$47:$AT$56,,$AI831), INDEX($AU$47:$BA$56,,$AH831), 1 / ($BC$47:$BC$56*BY831 + (1-$BC$47:$BC$56)*BU831), N($AQ$47:$AQ$56&gt;$AO831))
) / 1000</f>
        <v>0</v>
      </c>
      <c r="CA831" s="235" cm="1">
        <f t="array" ref="CA831">$BI831 * IF($AH831&lt;=2,
SUMPRODUCT(INDEX($AR$23:$AT$61,,$AI831), INDEX($AU$23:$BA$61,,$AH831), 1 / ($BB$23:$BB$61*BY831), N($AQ$23:$AQ$61&gt;$AO831)),
SUMPRODUCT(INDEX($AR$23:$AT$46,,$AI831), INDEX($AU$23:$BA$46,,$AH831), 1 / ($BC$23:$BC$46*BY831), N($AQ$23:$AQ$46&gt;$AO831))
) / 1000</f>
        <v>0</v>
      </c>
      <c r="CB831" s="230">
        <f t="shared" si="777"/>
        <v>0</v>
      </c>
      <c r="CC831" s="238"/>
      <c r="CD831" s="229" cm="1">
        <f t="array" ref="CD831">IF(ISBLANK(Y831), INDEX(Use, $AH831, 4) - AN831*INDEX(Use, $AH831, 6) - (Q831-X831), Y831)</f>
        <v>7</v>
      </c>
      <c r="CE831" s="229">
        <f t="shared" si="778"/>
        <v>32</v>
      </c>
      <c r="CF831" s="230">
        <f t="shared" si="779"/>
        <v>0</v>
      </c>
      <c r="CG831" s="229">
        <v>35</v>
      </c>
      <c r="CH831" s="230">
        <f t="shared" si="780"/>
        <v>48</v>
      </c>
      <c r="CI831" s="235">
        <f t="shared" si="781"/>
        <v>3.0748170731707316</v>
      </c>
      <c r="CJ831" s="235" cm="1">
        <f t="array" ref="CJ831">$BI831 * SUMPRODUCT(INDEX($AR$77:$AT$82,,$AI831),INDEX($AU$77:$BA$82,,$AH831), N($AQ$77:$AQ$82&gt;$AO831)) / CI831 / 1000</f>
        <v>0</v>
      </c>
      <c r="CK831" s="232">
        <f t="shared" si="760"/>
        <v>30</v>
      </c>
      <c r="CL831" s="230">
        <f t="shared" si="782"/>
        <v>43</v>
      </c>
      <c r="CM831" s="235">
        <f t="shared" si="783"/>
        <v>3.5018750000000001</v>
      </c>
      <c r="CN831" s="235" cm="1">
        <f t="array" ref="CN831">$BI831 * IF($AH831&lt;=2,
SUMPRODUCT(INDEX($AR$72:$AT$76,,$AI831), INDEX($AU$72:$BA$76,,$AH831), 1 / ($BB$72:$BB$76*CM831 + (1-$BB$72:$BB$76)*CI831), N($AQ$72:$AQ$76&gt;$AO831)),
SUMPRODUCT(INDEX($AR$67:$AT$76,,$AI831), INDEX($AU$67:$BA$76,,$AH831), 1 / ($BC$67:$BC$76*CM831 + (1-$BC$67:$BC$76)*CI831), N($AQ$67:$AQ$76&gt;$AO831))
) / 1000</f>
        <v>0</v>
      </c>
      <c r="CO831" s="232">
        <f t="shared" si="761"/>
        <v>25</v>
      </c>
      <c r="CP831" s="230">
        <f t="shared" si="784"/>
        <v>38</v>
      </c>
      <c r="CQ831" s="235">
        <f t="shared" si="785"/>
        <v>4.0666935483870965</v>
      </c>
      <c r="CR831" s="235" cm="1">
        <f t="array" ref="CR831">$BI831 * IF($AH831&lt;=2,
SUMPRODUCT(INDEX($AR$67:$AT$71,,$AI831), INDEX($AU$67:$BA$71,,$AH831), 1 / ($BB$67:$BB$71*CQ831 + (1-$BB$67:$BB$71)*CM831), N($AQ$67:$AQ$71&gt;$AO831)),
SUMPRODUCT(INDEX($AR$57:$AT$66,,$AI831), INDEX($AU$57:$BA$66,,$AH831), 1 / ($BC$57:$BC$66*CQ831 + (1-$BC$57:$BC$66)*CM831), N($AQ$57:$AQ$66&gt;$AO831))
) / 1000</f>
        <v>0</v>
      </c>
      <c r="CS831" s="232">
        <f t="shared" si="762"/>
        <v>20</v>
      </c>
      <c r="CT831" s="230">
        <f t="shared" si="786"/>
        <v>33</v>
      </c>
      <c r="CU831" s="235">
        <f t="shared" si="787"/>
        <v>4.8487499999999999</v>
      </c>
      <c r="CV831" s="235" cm="1">
        <f t="array" ref="CV831">$BI831 * IF($AH831&lt;=2,
SUMPRODUCT(INDEX($AR$62:$AT$66,,$AI831), INDEX($AU$62:$BA$66,,$AH831), 1 / ($BB$62:$BB$66*CU831 + (1-$BB$62:$BB$66)*CQ831), N($AQ$62:$AQ$66&gt;$AO831)),
SUMPRODUCT(INDEX($AR$47:$AT$56,,$AI831), INDEX($AU$47:$BA$56,,$AH831), 1 / ($BC$47:$BC$56*CU831 + (1-$BC$47:$BC$56)*CQ831), N($AQ$47:$AQ$56&gt;$AO831))
) / 1000</f>
        <v>0</v>
      </c>
      <c r="CW831" s="235" cm="1">
        <f t="array" ref="CW831">$BI831 * IF($AH831&lt;=2,
SUMPRODUCT(INDEX($AR$23:$AT$61,,$AI831), INDEX($AU$23:$BA$61,,$AH831), 1 / ($BB$23:$BB$61*CU831), N($AQ$23:$AQ$61&gt;$AO831)),
SUMPRODUCT(INDEX($AR$23:$AT$46,,$AI831), INDEX($AU$23:$BA$46,,$AH831), 1 / ($BC$23:$BC$46*CU831), N($AQ$23:$AQ$46&gt;$AO831))
) / 1000</f>
        <v>0</v>
      </c>
      <c r="CX831" s="230">
        <f t="shared" si="788"/>
        <v>0</v>
      </c>
      <c r="CY831" s="238"/>
    </row>
    <row r="832" spans="1:103" s="76" customFormat="1" ht="14.25" customHeight="1" x14ac:dyDescent="0.2">
      <c r="A832" s="231" t="b">
        <f t="shared" si="754"/>
        <v>0</v>
      </c>
      <c r="B832" s="245">
        <v>810</v>
      </c>
      <c r="C832" s="258"/>
      <c r="D832" s="258"/>
      <c r="E832" s="246"/>
      <c r="F832" s="247" t="str">
        <f>IF(ISBLANK(E832), "", VLOOKUP(E832, Z!$A$2:$C$4127, 3, FALSE))</f>
        <v/>
      </c>
      <c r="G832" s="248"/>
      <c r="H832" s="248"/>
      <c r="I832" s="249"/>
      <c r="J832" s="250"/>
      <c r="K832" s="259"/>
      <c r="L832" s="260"/>
      <c r="M832" s="252" t="str" cm="1">
        <f t="array" ref="M832">INDEX(Trad, 53, $A$20)</f>
        <v>Verschmutzt</v>
      </c>
      <c r="N832" s="253"/>
      <c r="O832" s="253"/>
      <c r="P832" s="254"/>
      <c r="Q832" s="251"/>
      <c r="R832" s="251"/>
      <c r="S832" s="264">
        <f t="shared" si="763"/>
        <v>0</v>
      </c>
      <c r="T832" s="252" t="str" cm="1">
        <f t="array" ref="T832">INDEX(Trad, 52, $A$20)</f>
        <v>Sauber</v>
      </c>
      <c r="U832" s="253"/>
      <c r="V832" s="253"/>
      <c r="W832" s="254"/>
      <c r="X832" s="251"/>
      <c r="Y832" s="251"/>
      <c r="Z832" s="264">
        <f t="shared" si="764"/>
        <v>0</v>
      </c>
      <c r="AA832" s="261"/>
      <c r="AB832" s="258"/>
      <c r="AC832" s="246"/>
      <c r="AD832" s="247" t="str">
        <f>IF(ISBLANK(AC832), "", VLOOKUP(AC832, Z!$A$2:$C$4127, 3, FALSE))</f>
        <v/>
      </c>
      <c r="AE832" s="262"/>
      <c r="AF832" s="263">
        <f t="shared" si="765"/>
        <v>0</v>
      </c>
      <c r="AG832" s="238"/>
      <c r="AH832" s="229">
        <f t="shared" si="789"/>
        <v>1</v>
      </c>
      <c r="AI832" s="229">
        <f t="shared" si="790"/>
        <v>1</v>
      </c>
      <c r="AJ832" s="229">
        <f t="shared" si="791"/>
        <v>0</v>
      </c>
      <c r="AK832" s="229">
        <v>0</v>
      </c>
      <c r="AL832" s="229">
        <v>0</v>
      </c>
      <c r="AM832" s="229">
        <v>1</v>
      </c>
      <c r="AN832" s="229">
        <v>0</v>
      </c>
      <c r="AO832" s="229">
        <f t="shared" si="766"/>
        <v>-100</v>
      </c>
      <c r="AP832" s="238"/>
      <c r="AQ832" s="255"/>
      <c r="AR832" s="255"/>
      <c r="AS832" s="256"/>
      <c r="AT832" s="256"/>
      <c r="AU832" s="256"/>
      <c r="AV832" s="256"/>
      <c r="AW832" s="256"/>
      <c r="AX832" s="256"/>
      <c r="AY832" s="256"/>
      <c r="AZ832" s="256"/>
      <c r="BA832" s="256"/>
      <c r="BB832" s="256"/>
      <c r="BC832" s="256"/>
      <c r="BD832" s="238"/>
      <c r="BE832" s="229" cm="1">
        <f t="array" ref="BE832">IF(ISBLANK(R832), INDEX(Use, $AH832, 4) - AM832*INDEX(Use, $AH832, 6), R832)</f>
        <v>5</v>
      </c>
      <c r="BF832" s="229">
        <f t="shared" si="767"/>
        <v>30</v>
      </c>
      <c r="BG832" s="229">
        <f t="shared" si="755"/>
        <v>13</v>
      </c>
      <c r="BH832" s="229">
        <f t="shared" si="756"/>
        <v>0</v>
      </c>
      <c r="BI832" s="234" cm="1">
        <f t="array" ref="BI832">K832/IF($L832&gt;0, INDEX($AU$23:$BA$77, $L832+20, $AH832), 1)</f>
        <v>0</v>
      </c>
      <c r="BJ832" s="230">
        <f t="shared" si="768"/>
        <v>0</v>
      </c>
      <c r="BK832" s="229">
        <v>35</v>
      </c>
      <c r="BL832" s="230">
        <f t="shared" si="769"/>
        <v>48</v>
      </c>
      <c r="BM832" s="235">
        <f t="shared" si="770"/>
        <v>2.9108720930232557</v>
      </c>
      <c r="BN832" s="235" cm="1">
        <f t="array" ref="BN832">$BI832 * SUMPRODUCT(INDEX($AR$77:$AT$82,,$AI832),INDEX($AU$77:$BA$82,,$AH832), N($AQ$77:$AQ$82&gt;$AO832)) / BM832 / 1000</f>
        <v>0</v>
      </c>
      <c r="BO832" s="232">
        <f t="shared" si="757"/>
        <v>30</v>
      </c>
      <c r="BP832" s="230">
        <f t="shared" si="771"/>
        <v>43</v>
      </c>
      <c r="BQ832" s="235">
        <f t="shared" si="772"/>
        <v>3.2938815789473681</v>
      </c>
      <c r="BR832" s="235" cm="1">
        <f t="array" ref="BR832">$BI832 * IF($AH832&lt;=2,
SUMPRODUCT(INDEX($AR$72:$AT$76,,$AI832), INDEX($AU$72:$BA$76,,$AH832), 1 / ($BB$72:$BB$76*BQ832 + (1-$BB$72:$BB$76)*BM832), N($AQ$72:$AQ$76&gt;$AO832)),
SUMPRODUCT(INDEX($AR$67:$AT$76,,$AI832), INDEX($AU$67:$BA$76,,$AH832), 1 / ($BC$67:$BC$76*BQ832 + (1-$BC$67:$BC$76)*BM832), N($AQ$67:$AQ$76&gt;$AO832))
) / 1000</f>
        <v>0</v>
      </c>
      <c r="BS832" s="232">
        <f t="shared" si="758"/>
        <v>25</v>
      </c>
      <c r="BT832" s="230">
        <f t="shared" si="773"/>
        <v>38</v>
      </c>
      <c r="BU832" s="235">
        <f t="shared" si="774"/>
        <v>3.792954545454545</v>
      </c>
      <c r="BV832" s="235" cm="1">
        <f t="array" ref="BV832">$BI832 * IF($AH832&lt;=2,
SUMPRODUCT(INDEX($AR$67:$AT$71,,$AI832), INDEX($AU$67:$BA$71,,$AH832), 1 / ($BB$67:$BB$71*BU832 + (1-$BB$67:$BB$71)*BQ832), N($AQ$67:$AQ$71&gt;$AO832)),
SUMPRODUCT(INDEX($AR$57:$AT$66,,$AI832), INDEX($AU$57:$BA$66,,$AH832), 1 / ($BC$57:$BC$66*BU832 + (1-$BC$57:$BC$66)*BQ832), N($AQ$57:$AQ$66&gt;$AO832))
) / 1000</f>
        <v>0</v>
      </c>
      <c r="BW832" s="232">
        <f t="shared" si="759"/>
        <v>20</v>
      </c>
      <c r="BX832" s="230">
        <f t="shared" si="775"/>
        <v>33</v>
      </c>
      <c r="BY832" s="235">
        <f t="shared" si="776"/>
        <v>4.4702678571428569</v>
      </c>
      <c r="BZ832" s="235" cm="1">
        <f t="array" ref="BZ832">$BI832 * IF($AH832&lt;=2,
SUMPRODUCT(INDEX($AR$62:$AT$66,,$AI832), INDEX($AU$62:$BA$66,,$AH832), 1 / ($BB$62:$BB$66*BY832 + (1-$BB$62:$BB$66)*BU832), N($AQ$62:$AQ$66&gt;$AO832)),
SUMPRODUCT(INDEX($AR$47:$AT$56,,$AI832), INDEX($AU$47:$BA$56,,$AH832), 1 / ($BC$47:$BC$56*BY832 + (1-$BC$47:$BC$56)*BU832), N($AQ$47:$AQ$56&gt;$AO832))
) / 1000</f>
        <v>0</v>
      </c>
      <c r="CA832" s="235" cm="1">
        <f t="array" ref="CA832">$BI832 * IF($AH832&lt;=2,
SUMPRODUCT(INDEX($AR$23:$AT$61,,$AI832), INDEX($AU$23:$BA$61,,$AH832), 1 / ($BB$23:$BB$61*BY832), N($AQ$23:$AQ$61&gt;$AO832)),
SUMPRODUCT(INDEX($AR$23:$AT$46,,$AI832), INDEX($AU$23:$BA$46,,$AH832), 1 / ($BC$23:$BC$46*BY832), N($AQ$23:$AQ$46&gt;$AO832))
) / 1000</f>
        <v>0</v>
      </c>
      <c r="CB832" s="230">
        <f t="shared" si="777"/>
        <v>0</v>
      </c>
      <c r="CC832" s="238"/>
      <c r="CD832" s="229" cm="1">
        <f t="array" ref="CD832">IF(ISBLANK(Y832), INDEX(Use, $AH832, 4) - AN832*INDEX(Use, $AH832, 6) - (Q832-X832), Y832)</f>
        <v>7</v>
      </c>
      <c r="CE832" s="229">
        <f t="shared" si="778"/>
        <v>32</v>
      </c>
      <c r="CF832" s="230">
        <f t="shared" si="779"/>
        <v>0</v>
      </c>
      <c r="CG832" s="229">
        <v>35</v>
      </c>
      <c r="CH832" s="230">
        <f t="shared" si="780"/>
        <v>48</v>
      </c>
      <c r="CI832" s="235">
        <f t="shared" si="781"/>
        <v>3.0748170731707316</v>
      </c>
      <c r="CJ832" s="235" cm="1">
        <f t="array" ref="CJ832">$BI832 * SUMPRODUCT(INDEX($AR$77:$AT$82,,$AI832),INDEX($AU$77:$BA$82,,$AH832), N($AQ$77:$AQ$82&gt;$AO832)) / CI832 / 1000</f>
        <v>0</v>
      </c>
      <c r="CK832" s="232">
        <f t="shared" si="760"/>
        <v>30</v>
      </c>
      <c r="CL832" s="230">
        <f t="shared" si="782"/>
        <v>43</v>
      </c>
      <c r="CM832" s="235">
        <f t="shared" si="783"/>
        <v>3.5018750000000001</v>
      </c>
      <c r="CN832" s="235" cm="1">
        <f t="array" ref="CN832">$BI832 * IF($AH832&lt;=2,
SUMPRODUCT(INDEX($AR$72:$AT$76,,$AI832), INDEX($AU$72:$BA$76,,$AH832), 1 / ($BB$72:$BB$76*CM832 + (1-$BB$72:$BB$76)*CI832), N($AQ$72:$AQ$76&gt;$AO832)),
SUMPRODUCT(INDEX($AR$67:$AT$76,,$AI832), INDEX($AU$67:$BA$76,,$AH832), 1 / ($BC$67:$BC$76*CM832 + (1-$BC$67:$BC$76)*CI832), N($AQ$67:$AQ$76&gt;$AO832))
) / 1000</f>
        <v>0</v>
      </c>
      <c r="CO832" s="232">
        <f t="shared" si="761"/>
        <v>25</v>
      </c>
      <c r="CP832" s="230">
        <f t="shared" si="784"/>
        <v>38</v>
      </c>
      <c r="CQ832" s="235">
        <f t="shared" si="785"/>
        <v>4.0666935483870965</v>
      </c>
      <c r="CR832" s="235" cm="1">
        <f t="array" ref="CR832">$BI832 * IF($AH832&lt;=2,
SUMPRODUCT(INDEX($AR$67:$AT$71,,$AI832), INDEX($AU$67:$BA$71,,$AH832), 1 / ($BB$67:$BB$71*CQ832 + (1-$BB$67:$BB$71)*CM832), N($AQ$67:$AQ$71&gt;$AO832)),
SUMPRODUCT(INDEX($AR$57:$AT$66,,$AI832), INDEX($AU$57:$BA$66,,$AH832), 1 / ($BC$57:$BC$66*CQ832 + (1-$BC$57:$BC$66)*CM832), N($AQ$57:$AQ$66&gt;$AO832))
) / 1000</f>
        <v>0</v>
      </c>
      <c r="CS832" s="232">
        <f t="shared" si="762"/>
        <v>20</v>
      </c>
      <c r="CT832" s="230">
        <f t="shared" si="786"/>
        <v>33</v>
      </c>
      <c r="CU832" s="235">
        <f t="shared" si="787"/>
        <v>4.8487499999999999</v>
      </c>
      <c r="CV832" s="235" cm="1">
        <f t="array" ref="CV832">$BI832 * IF($AH832&lt;=2,
SUMPRODUCT(INDEX($AR$62:$AT$66,,$AI832), INDEX($AU$62:$BA$66,,$AH832), 1 / ($BB$62:$BB$66*CU832 + (1-$BB$62:$BB$66)*CQ832), N($AQ$62:$AQ$66&gt;$AO832)),
SUMPRODUCT(INDEX($AR$47:$AT$56,,$AI832), INDEX($AU$47:$BA$56,,$AH832), 1 / ($BC$47:$BC$56*CU832 + (1-$BC$47:$BC$56)*CQ832), N($AQ$47:$AQ$56&gt;$AO832))
) / 1000</f>
        <v>0</v>
      </c>
      <c r="CW832" s="235" cm="1">
        <f t="array" ref="CW832">$BI832 * IF($AH832&lt;=2,
SUMPRODUCT(INDEX($AR$23:$AT$61,,$AI832), INDEX($AU$23:$BA$61,,$AH832), 1 / ($BB$23:$BB$61*CU832), N($AQ$23:$AQ$61&gt;$AO832)),
SUMPRODUCT(INDEX($AR$23:$AT$46,,$AI832), INDEX($AU$23:$BA$46,,$AH832), 1 / ($BC$23:$BC$46*CU832), N($AQ$23:$AQ$46&gt;$AO832))
) / 1000</f>
        <v>0</v>
      </c>
      <c r="CX832" s="230">
        <f t="shared" si="788"/>
        <v>0</v>
      </c>
      <c r="CY832" s="238"/>
    </row>
    <row r="833" spans="1:103" s="76" customFormat="1" ht="14.25" customHeight="1" x14ac:dyDescent="0.2">
      <c r="A833" s="231" t="b">
        <f t="shared" si="754"/>
        <v>0</v>
      </c>
      <c r="B833" s="245">
        <v>811</v>
      </c>
      <c r="C833" s="258"/>
      <c r="D833" s="258"/>
      <c r="E833" s="246"/>
      <c r="F833" s="247" t="str">
        <f>IF(ISBLANK(E833), "", VLOOKUP(E833, Z!$A$2:$C$4127, 3, FALSE))</f>
        <v/>
      </c>
      <c r="G833" s="248"/>
      <c r="H833" s="248"/>
      <c r="I833" s="249"/>
      <c r="J833" s="250"/>
      <c r="K833" s="259"/>
      <c r="L833" s="260"/>
      <c r="M833" s="252" t="str" cm="1">
        <f t="array" ref="M833">INDEX(Trad, 53, $A$20)</f>
        <v>Verschmutzt</v>
      </c>
      <c r="N833" s="253"/>
      <c r="O833" s="253"/>
      <c r="P833" s="254"/>
      <c r="Q833" s="251"/>
      <c r="R833" s="251"/>
      <c r="S833" s="264">
        <f t="shared" si="763"/>
        <v>0</v>
      </c>
      <c r="T833" s="252" t="str" cm="1">
        <f t="array" ref="T833">INDEX(Trad, 52, $A$20)</f>
        <v>Sauber</v>
      </c>
      <c r="U833" s="253"/>
      <c r="V833" s="253"/>
      <c r="W833" s="254"/>
      <c r="X833" s="251"/>
      <c r="Y833" s="251"/>
      <c r="Z833" s="264">
        <f t="shared" si="764"/>
        <v>0</v>
      </c>
      <c r="AA833" s="261"/>
      <c r="AB833" s="258"/>
      <c r="AC833" s="246"/>
      <c r="AD833" s="247" t="str">
        <f>IF(ISBLANK(AC833), "", VLOOKUP(AC833, Z!$A$2:$C$4127, 3, FALSE))</f>
        <v/>
      </c>
      <c r="AE833" s="262"/>
      <c r="AF833" s="263">
        <f t="shared" si="765"/>
        <v>0</v>
      </c>
      <c r="AG833" s="238"/>
      <c r="AH833" s="229">
        <f t="shared" si="789"/>
        <v>1</v>
      </c>
      <c r="AI833" s="229">
        <f t="shared" si="790"/>
        <v>1</v>
      </c>
      <c r="AJ833" s="229">
        <f t="shared" si="791"/>
        <v>0</v>
      </c>
      <c r="AK833" s="229">
        <v>0</v>
      </c>
      <c r="AL833" s="229">
        <v>0</v>
      </c>
      <c r="AM833" s="229">
        <v>1</v>
      </c>
      <c r="AN833" s="229">
        <v>0</v>
      </c>
      <c r="AO833" s="229">
        <f t="shared" si="766"/>
        <v>-100</v>
      </c>
      <c r="AP833" s="238"/>
      <c r="AQ833" s="255"/>
      <c r="AR833" s="255"/>
      <c r="AS833" s="256"/>
      <c r="AT833" s="256"/>
      <c r="AU833" s="256"/>
      <c r="AV833" s="256"/>
      <c r="AW833" s="256"/>
      <c r="AX833" s="256"/>
      <c r="AY833" s="256"/>
      <c r="AZ833" s="256"/>
      <c r="BA833" s="256"/>
      <c r="BB833" s="256"/>
      <c r="BC833" s="256"/>
      <c r="BD833" s="238"/>
      <c r="BE833" s="229" cm="1">
        <f t="array" ref="BE833">IF(ISBLANK(R833), INDEX(Use, $AH833, 4) - AM833*INDEX(Use, $AH833, 6), R833)</f>
        <v>5</v>
      </c>
      <c r="BF833" s="229">
        <f t="shared" si="767"/>
        <v>30</v>
      </c>
      <c r="BG833" s="229">
        <f t="shared" si="755"/>
        <v>13</v>
      </c>
      <c r="BH833" s="229">
        <f t="shared" si="756"/>
        <v>0</v>
      </c>
      <c r="BI833" s="234" cm="1">
        <f t="array" ref="BI833">K833/IF($L833&gt;0, INDEX($AU$23:$BA$77, $L833+20, $AH833), 1)</f>
        <v>0</v>
      </c>
      <c r="BJ833" s="230">
        <f t="shared" si="768"/>
        <v>0</v>
      </c>
      <c r="BK833" s="229">
        <v>35</v>
      </c>
      <c r="BL833" s="230">
        <f t="shared" si="769"/>
        <v>48</v>
      </c>
      <c r="BM833" s="235">
        <f t="shared" si="770"/>
        <v>2.9108720930232557</v>
      </c>
      <c r="BN833" s="235" cm="1">
        <f t="array" ref="BN833">$BI833 * SUMPRODUCT(INDEX($AR$77:$AT$82,,$AI833),INDEX($AU$77:$BA$82,,$AH833), N($AQ$77:$AQ$82&gt;$AO833)) / BM833 / 1000</f>
        <v>0</v>
      </c>
      <c r="BO833" s="232">
        <f t="shared" si="757"/>
        <v>30</v>
      </c>
      <c r="BP833" s="230">
        <f t="shared" si="771"/>
        <v>43</v>
      </c>
      <c r="BQ833" s="235">
        <f t="shared" si="772"/>
        <v>3.2938815789473681</v>
      </c>
      <c r="BR833" s="235" cm="1">
        <f t="array" ref="BR833">$BI833 * IF($AH833&lt;=2,
SUMPRODUCT(INDEX($AR$72:$AT$76,,$AI833), INDEX($AU$72:$BA$76,,$AH833), 1 / ($BB$72:$BB$76*BQ833 + (1-$BB$72:$BB$76)*BM833), N($AQ$72:$AQ$76&gt;$AO833)),
SUMPRODUCT(INDEX($AR$67:$AT$76,,$AI833), INDEX($AU$67:$BA$76,,$AH833), 1 / ($BC$67:$BC$76*BQ833 + (1-$BC$67:$BC$76)*BM833), N($AQ$67:$AQ$76&gt;$AO833))
) / 1000</f>
        <v>0</v>
      </c>
      <c r="BS833" s="232">
        <f t="shared" si="758"/>
        <v>25</v>
      </c>
      <c r="BT833" s="230">
        <f t="shared" si="773"/>
        <v>38</v>
      </c>
      <c r="BU833" s="235">
        <f t="shared" si="774"/>
        <v>3.792954545454545</v>
      </c>
      <c r="BV833" s="235" cm="1">
        <f t="array" ref="BV833">$BI833 * IF($AH833&lt;=2,
SUMPRODUCT(INDEX($AR$67:$AT$71,,$AI833), INDEX($AU$67:$BA$71,,$AH833), 1 / ($BB$67:$BB$71*BU833 + (1-$BB$67:$BB$71)*BQ833), N($AQ$67:$AQ$71&gt;$AO833)),
SUMPRODUCT(INDEX($AR$57:$AT$66,,$AI833), INDEX($AU$57:$BA$66,,$AH833), 1 / ($BC$57:$BC$66*BU833 + (1-$BC$57:$BC$66)*BQ833), N($AQ$57:$AQ$66&gt;$AO833))
) / 1000</f>
        <v>0</v>
      </c>
      <c r="BW833" s="232">
        <f t="shared" si="759"/>
        <v>20</v>
      </c>
      <c r="BX833" s="230">
        <f t="shared" si="775"/>
        <v>33</v>
      </c>
      <c r="BY833" s="235">
        <f t="shared" si="776"/>
        <v>4.4702678571428569</v>
      </c>
      <c r="BZ833" s="235" cm="1">
        <f t="array" ref="BZ833">$BI833 * IF($AH833&lt;=2,
SUMPRODUCT(INDEX($AR$62:$AT$66,,$AI833), INDEX($AU$62:$BA$66,,$AH833), 1 / ($BB$62:$BB$66*BY833 + (1-$BB$62:$BB$66)*BU833), N($AQ$62:$AQ$66&gt;$AO833)),
SUMPRODUCT(INDEX($AR$47:$AT$56,,$AI833), INDEX($AU$47:$BA$56,,$AH833), 1 / ($BC$47:$BC$56*BY833 + (1-$BC$47:$BC$56)*BU833), N($AQ$47:$AQ$56&gt;$AO833))
) / 1000</f>
        <v>0</v>
      </c>
      <c r="CA833" s="235" cm="1">
        <f t="array" ref="CA833">$BI833 * IF($AH833&lt;=2,
SUMPRODUCT(INDEX($AR$23:$AT$61,,$AI833), INDEX($AU$23:$BA$61,,$AH833), 1 / ($BB$23:$BB$61*BY833), N($AQ$23:$AQ$61&gt;$AO833)),
SUMPRODUCT(INDEX($AR$23:$AT$46,,$AI833), INDEX($AU$23:$BA$46,,$AH833), 1 / ($BC$23:$BC$46*BY833), N($AQ$23:$AQ$46&gt;$AO833))
) / 1000</f>
        <v>0</v>
      </c>
      <c r="CB833" s="230">
        <f t="shared" si="777"/>
        <v>0</v>
      </c>
      <c r="CC833" s="238"/>
      <c r="CD833" s="229" cm="1">
        <f t="array" ref="CD833">IF(ISBLANK(Y833), INDEX(Use, $AH833, 4) - AN833*INDEX(Use, $AH833, 6) - (Q833-X833), Y833)</f>
        <v>7</v>
      </c>
      <c r="CE833" s="229">
        <f t="shared" si="778"/>
        <v>32</v>
      </c>
      <c r="CF833" s="230">
        <f t="shared" si="779"/>
        <v>0</v>
      </c>
      <c r="CG833" s="229">
        <v>35</v>
      </c>
      <c r="CH833" s="230">
        <f t="shared" si="780"/>
        <v>48</v>
      </c>
      <c r="CI833" s="235">
        <f t="shared" si="781"/>
        <v>3.0748170731707316</v>
      </c>
      <c r="CJ833" s="235" cm="1">
        <f t="array" ref="CJ833">$BI833 * SUMPRODUCT(INDEX($AR$77:$AT$82,,$AI833),INDEX($AU$77:$BA$82,,$AH833), N($AQ$77:$AQ$82&gt;$AO833)) / CI833 / 1000</f>
        <v>0</v>
      </c>
      <c r="CK833" s="232">
        <f t="shared" si="760"/>
        <v>30</v>
      </c>
      <c r="CL833" s="230">
        <f t="shared" si="782"/>
        <v>43</v>
      </c>
      <c r="CM833" s="235">
        <f t="shared" si="783"/>
        <v>3.5018750000000001</v>
      </c>
      <c r="CN833" s="235" cm="1">
        <f t="array" ref="CN833">$BI833 * IF($AH833&lt;=2,
SUMPRODUCT(INDEX($AR$72:$AT$76,,$AI833), INDEX($AU$72:$BA$76,,$AH833), 1 / ($BB$72:$BB$76*CM833 + (1-$BB$72:$BB$76)*CI833), N($AQ$72:$AQ$76&gt;$AO833)),
SUMPRODUCT(INDEX($AR$67:$AT$76,,$AI833), INDEX($AU$67:$BA$76,,$AH833), 1 / ($BC$67:$BC$76*CM833 + (1-$BC$67:$BC$76)*CI833), N($AQ$67:$AQ$76&gt;$AO833))
) / 1000</f>
        <v>0</v>
      </c>
      <c r="CO833" s="232">
        <f t="shared" si="761"/>
        <v>25</v>
      </c>
      <c r="CP833" s="230">
        <f t="shared" si="784"/>
        <v>38</v>
      </c>
      <c r="CQ833" s="235">
        <f t="shared" si="785"/>
        <v>4.0666935483870965</v>
      </c>
      <c r="CR833" s="235" cm="1">
        <f t="array" ref="CR833">$BI833 * IF($AH833&lt;=2,
SUMPRODUCT(INDEX($AR$67:$AT$71,,$AI833), INDEX($AU$67:$BA$71,,$AH833), 1 / ($BB$67:$BB$71*CQ833 + (1-$BB$67:$BB$71)*CM833), N($AQ$67:$AQ$71&gt;$AO833)),
SUMPRODUCT(INDEX($AR$57:$AT$66,,$AI833), INDEX($AU$57:$BA$66,,$AH833), 1 / ($BC$57:$BC$66*CQ833 + (1-$BC$57:$BC$66)*CM833), N($AQ$57:$AQ$66&gt;$AO833))
) / 1000</f>
        <v>0</v>
      </c>
      <c r="CS833" s="232">
        <f t="shared" si="762"/>
        <v>20</v>
      </c>
      <c r="CT833" s="230">
        <f t="shared" si="786"/>
        <v>33</v>
      </c>
      <c r="CU833" s="235">
        <f t="shared" si="787"/>
        <v>4.8487499999999999</v>
      </c>
      <c r="CV833" s="235" cm="1">
        <f t="array" ref="CV833">$BI833 * IF($AH833&lt;=2,
SUMPRODUCT(INDEX($AR$62:$AT$66,,$AI833), INDEX($AU$62:$BA$66,,$AH833), 1 / ($BB$62:$BB$66*CU833 + (1-$BB$62:$BB$66)*CQ833), N($AQ$62:$AQ$66&gt;$AO833)),
SUMPRODUCT(INDEX($AR$47:$AT$56,,$AI833), INDEX($AU$47:$BA$56,,$AH833), 1 / ($BC$47:$BC$56*CU833 + (1-$BC$47:$BC$56)*CQ833), N($AQ$47:$AQ$56&gt;$AO833))
) / 1000</f>
        <v>0</v>
      </c>
      <c r="CW833" s="235" cm="1">
        <f t="array" ref="CW833">$BI833 * IF($AH833&lt;=2,
SUMPRODUCT(INDEX($AR$23:$AT$61,,$AI833), INDEX($AU$23:$BA$61,,$AH833), 1 / ($BB$23:$BB$61*CU833), N($AQ$23:$AQ$61&gt;$AO833)),
SUMPRODUCT(INDEX($AR$23:$AT$46,,$AI833), INDEX($AU$23:$BA$46,,$AH833), 1 / ($BC$23:$BC$46*CU833), N($AQ$23:$AQ$46&gt;$AO833))
) / 1000</f>
        <v>0</v>
      </c>
      <c r="CX833" s="230">
        <f t="shared" si="788"/>
        <v>0</v>
      </c>
      <c r="CY833" s="238"/>
    </row>
    <row r="834" spans="1:103" s="76" customFormat="1" ht="14.25" customHeight="1" x14ac:dyDescent="0.2">
      <c r="A834" s="231" t="b">
        <f t="shared" si="754"/>
        <v>0</v>
      </c>
      <c r="B834" s="245">
        <v>812</v>
      </c>
      <c r="C834" s="258"/>
      <c r="D834" s="258"/>
      <c r="E834" s="246"/>
      <c r="F834" s="247" t="str">
        <f>IF(ISBLANK(E834), "", VLOOKUP(E834, Z!$A$2:$C$4127, 3, FALSE))</f>
        <v/>
      </c>
      <c r="G834" s="248"/>
      <c r="H834" s="248"/>
      <c r="I834" s="249"/>
      <c r="J834" s="250"/>
      <c r="K834" s="259"/>
      <c r="L834" s="260"/>
      <c r="M834" s="252" t="str" cm="1">
        <f t="array" ref="M834">INDEX(Trad, 53, $A$20)</f>
        <v>Verschmutzt</v>
      </c>
      <c r="N834" s="253"/>
      <c r="O834" s="253"/>
      <c r="P834" s="254"/>
      <c r="Q834" s="251"/>
      <c r="R834" s="251"/>
      <c r="S834" s="264">
        <f t="shared" si="763"/>
        <v>0</v>
      </c>
      <c r="T834" s="252" t="str" cm="1">
        <f t="array" ref="T834">INDEX(Trad, 52, $A$20)</f>
        <v>Sauber</v>
      </c>
      <c r="U834" s="253"/>
      <c r="V834" s="253"/>
      <c r="W834" s="254"/>
      <c r="X834" s="251"/>
      <c r="Y834" s="251"/>
      <c r="Z834" s="264">
        <f t="shared" si="764"/>
        <v>0</v>
      </c>
      <c r="AA834" s="261"/>
      <c r="AB834" s="258"/>
      <c r="AC834" s="246"/>
      <c r="AD834" s="247" t="str">
        <f>IF(ISBLANK(AC834), "", VLOOKUP(AC834, Z!$A$2:$C$4127, 3, FALSE))</f>
        <v/>
      </c>
      <c r="AE834" s="262"/>
      <c r="AF834" s="263">
        <f t="shared" si="765"/>
        <v>0</v>
      </c>
      <c r="AG834" s="238"/>
      <c r="AH834" s="229">
        <f t="shared" si="789"/>
        <v>1</v>
      </c>
      <c r="AI834" s="229">
        <f t="shared" si="790"/>
        <v>1</v>
      </c>
      <c r="AJ834" s="229">
        <f t="shared" si="791"/>
        <v>0</v>
      </c>
      <c r="AK834" s="229">
        <v>0</v>
      </c>
      <c r="AL834" s="229">
        <v>0</v>
      </c>
      <c r="AM834" s="229">
        <v>1</v>
      </c>
      <c r="AN834" s="229">
        <v>0</v>
      </c>
      <c r="AO834" s="229">
        <f t="shared" si="766"/>
        <v>-100</v>
      </c>
      <c r="AP834" s="238"/>
      <c r="AQ834" s="255"/>
      <c r="AR834" s="255"/>
      <c r="AS834" s="256"/>
      <c r="AT834" s="256"/>
      <c r="AU834" s="256"/>
      <c r="AV834" s="256"/>
      <c r="AW834" s="256"/>
      <c r="AX834" s="256"/>
      <c r="AY834" s="256"/>
      <c r="AZ834" s="256"/>
      <c r="BA834" s="256"/>
      <c r="BB834" s="256"/>
      <c r="BC834" s="256"/>
      <c r="BD834" s="238"/>
      <c r="BE834" s="229" cm="1">
        <f t="array" ref="BE834">IF(ISBLANK(R834), INDEX(Use, $AH834, 4) - AM834*INDEX(Use, $AH834, 6), R834)</f>
        <v>5</v>
      </c>
      <c r="BF834" s="229">
        <f t="shared" si="767"/>
        <v>30</v>
      </c>
      <c r="BG834" s="229">
        <f t="shared" si="755"/>
        <v>13</v>
      </c>
      <c r="BH834" s="229">
        <f t="shared" si="756"/>
        <v>0</v>
      </c>
      <c r="BI834" s="234" cm="1">
        <f t="array" ref="BI834">K834/IF($L834&gt;0, INDEX($AU$23:$BA$77, $L834+20, $AH834), 1)</f>
        <v>0</v>
      </c>
      <c r="BJ834" s="230">
        <f t="shared" si="768"/>
        <v>0</v>
      </c>
      <c r="BK834" s="229">
        <v>35</v>
      </c>
      <c r="BL834" s="230">
        <f t="shared" si="769"/>
        <v>48</v>
      </c>
      <c r="BM834" s="235">
        <f t="shared" si="770"/>
        <v>2.9108720930232557</v>
      </c>
      <c r="BN834" s="235" cm="1">
        <f t="array" ref="BN834">$BI834 * SUMPRODUCT(INDEX($AR$77:$AT$82,,$AI834),INDEX($AU$77:$BA$82,,$AH834), N($AQ$77:$AQ$82&gt;$AO834)) / BM834 / 1000</f>
        <v>0</v>
      </c>
      <c r="BO834" s="232">
        <f t="shared" si="757"/>
        <v>30</v>
      </c>
      <c r="BP834" s="230">
        <f t="shared" si="771"/>
        <v>43</v>
      </c>
      <c r="BQ834" s="235">
        <f t="shared" si="772"/>
        <v>3.2938815789473681</v>
      </c>
      <c r="BR834" s="235" cm="1">
        <f t="array" ref="BR834">$BI834 * IF($AH834&lt;=2,
SUMPRODUCT(INDEX($AR$72:$AT$76,,$AI834), INDEX($AU$72:$BA$76,,$AH834), 1 / ($BB$72:$BB$76*BQ834 + (1-$BB$72:$BB$76)*BM834), N($AQ$72:$AQ$76&gt;$AO834)),
SUMPRODUCT(INDEX($AR$67:$AT$76,,$AI834), INDEX($AU$67:$BA$76,,$AH834), 1 / ($BC$67:$BC$76*BQ834 + (1-$BC$67:$BC$76)*BM834), N($AQ$67:$AQ$76&gt;$AO834))
) / 1000</f>
        <v>0</v>
      </c>
      <c r="BS834" s="232">
        <f t="shared" si="758"/>
        <v>25</v>
      </c>
      <c r="BT834" s="230">
        <f t="shared" si="773"/>
        <v>38</v>
      </c>
      <c r="BU834" s="235">
        <f t="shared" si="774"/>
        <v>3.792954545454545</v>
      </c>
      <c r="BV834" s="235" cm="1">
        <f t="array" ref="BV834">$BI834 * IF($AH834&lt;=2,
SUMPRODUCT(INDEX($AR$67:$AT$71,,$AI834), INDEX($AU$67:$BA$71,,$AH834), 1 / ($BB$67:$BB$71*BU834 + (1-$BB$67:$BB$71)*BQ834), N($AQ$67:$AQ$71&gt;$AO834)),
SUMPRODUCT(INDEX($AR$57:$AT$66,,$AI834), INDEX($AU$57:$BA$66,,$AH834), 1 / ($BC$57:$BC$66*BU834 + (1-$BC$57:$BC$66)*BQ834), N($AQ$57:$AQ$66&gt;$AO834))
) / 1000</f>
        <v>0</v>
      </c>
      <c r="BW834" s="232">
        <f t="shared" si="759"/>
        <v>20</v>
      </c>
      <c r="BX834" s="230">
        <f t="shared" si="775"/>
        <v>33</v>
      </c>
      <c r="BY834" s="235">
        <f t="shared" si="776"/>
        <v>4.4702678571428569</v>
      </c>
      <c r="BZ834" s="235" cm="1">
        <f t="array" ref="BZ834">$BI834 * IF($AH834&lt;=2,
SUMPRODUCT(INDEX($AR$62:$AT$66,,$AI834), INDEX($AU$62:$BA$66,,$AH834), 1 / ($BB$62:$BB$66*BY834 + (1-$BB$62:$BB$66)*BU834), N($AQ$62:$AQ$66&gt;$AO834)),
SUMPRODUCT(INDEX($AR$47:$AT$56,,$AI834), INDEX($AU$47:$BA$56,,$AH834), 1 / ($BC$47:$BC$56*BY834 + (1-$BC$47:$BC$56)*BU834), N($AQ$47:$AQ$56&gt;$AO834))
) / 1000</f>
        <v>0</v>
      </c>
      <c r="CA834" s="235" cm="1">
        <f t="array" ref="CA834">$BI834 * IF($AH834&lt;=2,
SUMPRODUCT(INDEX($AR$23:$AT$61,,$AI834), INDEX($AU$23:$BA$61,,$AH834), 1 / ($BB$23:$BB$61*BY834), N($AQ$23:$AQ$61&gt;$AO834)),
SUMPRODUCT(INDEX($AR$23:$AT$46,,$AI834), INDEX($AU$23:$BA$46,,$AH834), 1 / ($BC$23:$BC$46*BY834), N($AQ$23:$AQ$46&gt;$AO834))
) / 1000</f>
        <v>0</v>
      </c>
      <c r="CB834" s="230">
        <f t="shared" si="777"/>
        <v>0</v>
      </c>
      <c r="CC834" s="238"/>
      <c r="CD834" s="229" cm="1">
        <f t="array" ref="CD834">IF(ISBLANK(Y834), INDEX(Use, $AH834, 4) - AN834*INDEX(Use, $AH834, 6) - (Q834-X834), Y834)</f>
        <v>7</v>
      </c>
      <c r="CE834" s="229">
        <f t="shared" si="778"/>
        <v>32</v>
      </c>
      <c r="CF834" s="230">
        <f t="shared" si="779"/>
        <v>0</v>
      </c>
      <c r="CG834" s="229">
        <v>35</v>
      </c>
      <c r="CH834" s="230">
        <f t="shared" si="780"/>
        <v>48</v>
      </c>
      <c r="CI834" s="235">
        <f t="shared" si="781"/>
        <v>3.0748170731707316</v>
      </c>
      <c r="CJ834" s="235" cm="1">
        <f t="array" ref="CJ834">$BI834 * SUMPRODUCT(INDEX($AR$77:$AT$82,,$AI834),INDEX($AU$77:$BA$82,,$AH834), N($AQ$77:$AQ$82&gt;$AO834)) / CI834 / 1000</f>
        <v>0</v>
      </c>
      <c r="CK834" s="232">
        <f t="shared" si="760"/>
        <v>30</v>
      </c>
      <c r="CL834" s="230">
        <f t="shared" si="782"/>
        <v>43</v>
      </c>
      <c r="CM834" s="235">
        <f t="shared" si="783"/>
        <v>3.5018750000000001</v>
      </c>
      <c r="CN834" s="235" cm="1">
        <f t="array" ref="CN834">$BI834 * IF($AH834&lt;=2,
SUMPRODUCT(INDEX($AR$72:$AT$76,,$AI834), INDEX($AU$72:$BA$76,,$AH834), 1 / ($BB$72:$BB$76*CM834 + (1-$BB$72:$BB$76)*CI834), N($AQ$72:$AQ$76&gt;$AO834)),
SUMPRODUCT(INDEX($AR$67:$AT$76,,$AI834), INDEX($AU$67:$BA$76,,$AH834), 1 / ($BC$67:$BC$76*CM834 + (1-$BC$67:$BC$76)*CI834), N($AQ$67:$AQ$76&gt;$AO834))
) / 1000</f>
        <v>0</v>
      </c>
      <c r="CO834" s="232">
        <f t="shared" si="761"/>
        <v>25</v>
      </c>
      <c r="CP834" s="230">
        <f t="shared" si="784"/>
        <v>38</v>
      </c>
      <c r="CQ834" s="235">
        <f t="shared" si="785"/>
        <v>4.0666935483870965</v>
      </c>
      <c r="CR834" s="235" cm="1">
        <f t="array" ref="CR834">$BI834 * IF($AH834&lt;=2,
SUMPRODUCT(INDEX($AR$67:$AT$71,,$AI834), INDEX($AU$67:$BA$71,,$AH834), 1 / ($BB$67:$BB$71*CQ834 + (1-$BB$67:$BB$71)*CM834), N($AQ$67:$AQ$71&gt;$AO834)),
SUMPRODUCT(INDEX($AR$57:$AT$66,,$AI834), INDEX($AU$57:$BA$66,,$AH834), 1 / ($BC$57:$BC$66*CQ834 + (1-$BC$57:$BC$66)*CM834), N($AQ$57:$AQ$66&gt;$AO834))
) / 1000</f>
        <v>0</v>
      </c>
      <c r="CS834" s="232">
        <f t="shared" si="762"/>
        <v>20</v>
      </c>
      <c r="CT834" s="230">
        <f t="shared" si="786"/>
        <v>33</v>
      </c>
      <c r="CU834" s="235">
        <f t="shared" si="787"/>
        <v>4.8487499999999999</v>
      </c>
      <c r="CV834" s="235" cm="1">
        <f t="array" ref="CV834">$BI834 * IF($AH834&lt;=2,
SUMPRODUCT(INDEX($AR$62:$AT$66,,$AI834), INDEX($AU$62:$BA$66,,$AH834), 1 / ($BB$62:$BB$66*CU834 + (1-$BB$62:$BB$66)*CQ834), N($AQ$62:$AQ$66&gt;$AO834)),
SUMPRODUCT(INDEX($AR$47:$AT$56,,$AI834), INDEX($AU$47:$BA$56,,$AH834), 1 / ($BC$47:$BC$56*CU834 + (1-$BC$47:$BC$56)*CQ834), N($AQ$47:$AQ$56&gt;$AO834))
) / 1000</f>
        <v>0</v>
      </c>
      <c r="CW834" s="235" cm="1">
        <f t="array" ref="CW834">$BI834 * IF($AH834&lt;=2,
SUMPRODUCT(INDEX($AR$23:$AT$61,,$AI834), INDEX($AU$23:$BA$61,,$AH834), 1 / ($BB$23:$BB$61*CU834), N($AQ$23:$AQ$61&gt;$AO834)),
SUMPRODUCT(INDEX($AR$23:$AT$46,,$AI834), INDEX($AU$23:$BA$46,,$AH834), 1 / ($BC$23:$BC$46*CU834), N($AQ$23:$AQ$46&gt;$AO834))
) / 1000</f>
        <v>0</v>
      </c>
      <c r="CX834" s="230">
        <f t="shared" si="788"/>
        <v>0</v>
      </c>
      <c r="CY834" s="238"/>
    </row>
    <row r="835" spans="1:103" s="76" customFormat="1" ht="14.25" customHeight="1" x14ac:dyDescent="0.2">
      <c r="A835" s="231" t="b">
        <f t="shared" si="754"/>
        <v>0</v>
      </c>
      <c r="B835" s="245">
        <v>813</v>
      </c>
      <c r="C835" s="258"/>
      <c r="D835" s="258"/>
      <c r="E835" s="246"/>
      <c r="F835" s="247" t="str">
        <f>IF(ISBLANK(E835), "", VLOOKUP(E835, Z!$A$2:$C$4127, 3, FALSE))</f>
        <v/>
      </c>
      <c r="G835" s="248"/>
      <c r="H835" s="248"/>
      <c r="I835" s="249"/>
      <c r="J835" s="250"/>
      <c r="K835" s="259"/>
      <c r="L835" s="260"/>
      <c r="M835" s="252" t="str" cm="1">
        <f t="array" ref="M835">INDEX(Trad, 53, $A$20)</f>
        <v>Verschmutzt</v>
      </c>
      <c r="N835" s="253"/>
      <c r="O835" s="253"/>
      <c r="P835" s="254"/>
      <c r="Q835" s="251"/>
      <c r="R835" s="251"/>
      <c r="S835" s="264">
        <f t="shared" si="763"/>
        <v>0</v>
      </c>
      <c r="T835" s="252" t="str" cm="1">
        <f t="array" ref="T835">INDEX(Trad, 52, $A$20)</f>
        <v>Sauber</v>
      </c>
      <c r="U835" s="253"/>
      <c r="V835" s="253"/>
      <c r="W835" s="254"/>
      <c r="X835" s="251"/>
      <c r="Y835" s="251"/>
      <c r="Z835" s="264">
        <f t="shared" si="764"/>
        <v>0</v>
      </c>
      <c r="AA835" s="261"/>
      <c r="AB835" s="258"/>
      <c r="AC835" s="246"/>
      <c r="AD835" s="247" t="str">
        <f>IF(ISBLANK(AC835), "", VLOOKUP(AC835, Z!$A$2:$C$4127, 3, FALSE))</f>
        <v/>
      </c>
      <c r="AE835" s="262"/>
      <c r="AF835" s="263">
        <f t="shared" si="765"/>
        <v>0</v>
      </c>
      <c r="AG835" s="238"/>
      <c r="AH835" s="229">
        <f t="shared" si="789"/>
        <v>1</v>
      </c>
      <c r="AI835" s="229">
        <f t="shared" si="790"/>
        <v>1</v>
      </c>
      <c r="AJ835" s="229">
        <f t="shared" si="791"/>
        <v>0</v>
      </c>
      <c r="AK835" s="229">
        <v>0</v>
      </c>
      <c r="AL835" s="229">
        <v>0</v>
      </c>
      <c r="AM835" s="229">
        <v>1</v>
      </c>
      <c r="AN835" s="229">
        <v>0</v>
      </c>
      <c r="AO835" s="229">
        <f t="shared" si="766"/>
        <v>-100</v>
      </c>
      <c r="AP835" s="238"/>
      <c r="AQ835" s="255"/>
      <c r="AR835" s="255"/>
      <c r="AS835" s="256"/>
      <c r="AT835" s="256"/>
      <c r="AU835" s="256"/>
      <c r="AV835" s="256"/>
      <c r="AW835" s="256"/>
      <c r="AX835" s="256"/>
      <c r="AY835" s="256"/>
      <c r="AZ835" s="256"/>
      <c r="BA835" s="256"/>
      <c r="BB835" s="256"/>
      <c r="BC835" s="256"/>
      <c r="BD835" s="238"/>
      <c r="BE835" s="229" cm="1">
        <f t="array" ref="BE835">IF(ISBLANK(R835), INDEX(Use, $AH835, 4) - AM835*INDEX(Use, $AH835, 6), R835)</f>
        <v>5</v>
      </c>
      <c r="BF835" s="229">
        <f t="shared" si="767"/>
        <v>30</v>
      </c>
      <c r="BG835" s="229">
        <f t="shared" si="755"/>
        <v>13</v>
      </c>
      <c r="BH835" s="229">
        <f t="shared" si="756"/>
        <v>0</v>
      </c>
      <c r="BI835" s="234" cm="1">
        <f t="array" ref="BI835">K835/IF($L835&gt;0, INDEX($AU$23:$BA$77, $L835+20, $AH835), 1)</f>
        <v>0</v>
      </c>
      <c r="BJ835" s="230">
        <f t="shared" si="768"/>
        <v>0</v>
      </c>
      <c r="BK835" s="229">
        <v>35</v>
      </c>
      <c r="BL835" s="230">
        <f t="shared" si="769"/>
        <v>48</v>
      </c>
      <c r="BM835" s="235">
        <f t="shared" si="770"/>
        <v>2.9108720930232557</v>
      </c>
      <c r="BN835" s="235" cm="1">
        <f t="array" ref="BN835">$BI835 * SUMPRODUCT(INDEX($AR$77:$AT$82,,$AI835),INDEX($AU$77:$BA$82,,$AH835), N($AQ$77:$AQ$82&gt;$AO835)) / BM835 / 1000</f>
        <v>0</v>
      </c>
      <c r="BO835" s="232">
        <f t="shared" si="757"/>
        <v>30</v>
      </c>
      <c r="BP835" s="230">
        <f t="shared" si="771"/>
        <v>43</v>
      </c>
      <c r="BQ835" s="235">
        <f t="shared" si="772"/>
        <v>3.2938815789473681</v>
      </c>
      <c r="BR835" s="235" cm="1">
        <f t="array" ref="BR835">$BI835 * IF($AH835&lt;=2,
SUMPRODUCT(INDEX($AR$72:$AT$76,,$AI835), INDEX($AU$72:$BA$76,,$AH835), 1 / ($BB$72:$BB$76*BQ835 + (1-$BB$72:$BB$76)*BM835), N($AQ$72:$AQ$76&gt;$AO835)),
SUMPRODUCT(INDEX($AR$67:$AT$76,,$AI835), INDEX($AU$67:$BA$76,,$AH835), 1 / ($BC$67:$BC$76*BQ835 + (1-$BC$67:$BC$76)*BM835), N($AQ$67:$AQ$76&gt;$AO835))
) / 1000</f>
        <v>0</v>
      </c>
      <c r="BS835" s="232">
        <f t="shared" si="758"/>
        <v>25</v>
      </c>
      <c r="BT835" s="230">
        <f t="shared" si="773"/>
        <v>38</v>
      </c>
      <c r="BU835" s="235">
        <f t="shared" si="774"/>
        <v>3.792954545454545</v>
      </c>
      <c r="BV835" s="235" cm="1">
        <f t="array" ref="BV835">$BI835 * IF($AH835&lt;=2,
SUMPRODUCT(INDEX($AR$67:$AT$71,,$AI835), INDEX($AU$67:$BA$71,,$AH835), 1 / ($BB$67:$BB$71*BU835 + (1-$BB$67:$BB$71)*BQ835), N($AQ$67:$AQ$71&gt;$AO835)),
SUMPRODUCT(INDEX($AR$57:$AT$66,,$AI835), INDEX($AU$57:$BA$66,,$AH835), 1 / ($BC$57:$BC$66*BU835 + (1-$BC$57:$BC$66)*BQ835), N($AQ$57:$AQ$66&gt;$AO835))
) / 1000</f>
        <v>0</v>
      </c>
      <c r="BW835" s="232">
        <f t="shared" si="759"/>
        <v>20</v>
      </c>
      <c r="BX835" s="230">
        <f t="shared" si="775"/>
        <v>33</v>
      </c>
      <c r="BY835" s="235">
        <f t="shared" si="776"/>
        <v>4.4702678571428569</v>
      </c>
      <c r="BZ835" s="235" cm="1">
        <f t="array" ref="BZ835">$BI835 * IF($AH835&lt;=2,
SUMPRODUCT(INDEX($AR$62:$AT$66,,$AI835), INDEX($AU$62:$BA$66,,$AH835), 1 / ($BB$62:$BB$66*BY835 + (1-$BB$62:$BB$66)*BU835), N($AQ$62:$AQ$66&gt;$AO835)),
SUMPRODUCT(INDEX($AR$47:$AT$56,,$AI835), INDEX($AU$47:$BA$56,,$AH835), 1 / ($BC$47:$BC$56*BY835 + (1-$BC$47:$BC$56)*BU835), N($AQ$47:$AQ$56&gt;$AO835))
) / 1000</f>
        <v>0</v>
      </c>
      <c r="CA835" s="235" cm="1">
        <f t="array" ref="CA835">$BI835 * IF($AH835&lt;=2,
SUMPRODUCT(INDEX($AR$23:$AT$61,,$AI835), INDEX($AU$23:$BA$61,,$AH835), 1 / ($BB$23:$BB$61*BY835), N($AQ$23:$AQ$61&gt;$AO835)),
SUMPRODUCT(INDEX($AR$23:$AT$46,,$AI835), INDEX($AU$23:$BA$46,,$AH835), 1 / ($BC$23:$BC$46*BY835), N($AQ$23:$AQ$46&gt;$AO835))
) / 1000</f>
        <v>0</v>
      </c>
      <c r="CB835" s="230">
        <f t="shared" si="777"/>
        <v>0</v>
      </c>
      <c r="CC835" s="238"/>
      <c r="CD835" s="229" cm="1">
        <f t="array" ref="CD835">IF(ISBLANK(Y835), INDEX(Use, $AH835, 4) - AN835*INDEX(Use, $AH835, 6) - (Q835-X835), Y835)</f>
        <v>7</v>
      </c>
      <c r="CE835" s="229">
        <f t="shared" si="778"/>
        <v>32</v>
      </c>
      <c r="CF835" s="230">
        <f t="shared" si="779"/>
        <v>0</v>
      </c>
      <c r="CG835" s="229">
        <v>35</v>
      </c>
      <c r="CH835" s="230">
        <f t="shared" si="780"/>
        <v>48</v>
      </c>
      <c r="CI835" s="235">
        <f t="shared" si="781"/>
        <v>3.0748170731707316</v>
      </c>
      <c r="CJ835" s="235" cm="1">
        <f t="array" ref="CJ835">$BI835 * SUMPRODUCT(INDEX($AR$77:$AT$82,,$AI835),INDEX($AU$77:$BA$82,,$AH835), N($AQ$77:$AQ$82&gt;$AO835)) / CI835 / 1000</f>
        <v>0</v>
      </c>
      <c r="CK835" s="232">
        <f t="shared" si="760"/>
        <v>30</v>
      </c>
      <c r="CL835" s="230">
        <f t="shared" si="782"/>
        <v>43</v>
      </c>
      <c r="CM835" s="235">
        <f t="shared" si="783"/>
        <v>3.5018750000000001</v>
      </c>
      <c r="CN835" s="235" cm="1">
        <f t="array" ref="CN835">$BI835 * IF($AH835&lt;=2,
SUMPRODUCT(INDEX($AR$72:$AT$76,,$AI835), INDEX($AU$72:$BA$76,,$AH835), 1 / ($BB$72:$BB$76*CM835 + (1-$BB$72:$BB$76)*CI835), N($AQ$72:$AQ$76&gt;$AO835)),
SUMPRODUCT(INDEX($AR$67:$AT$76,,$AI835), INDEX($AU$67:$BA$76,,$AH835), 1 / ($BC$67:$BC$76*CM835 + (1-$BC$67:$BC$76)*CI835), N($AQ$67:$AQ$76&gt;$AO835))
) / 1000</f>
        <v>0</v>
      </c>
      <c r="CO835" s="232">
        <f t="shared" si="761"/>
        <v>25</v>
      </c>
      <c r="CP835" s="230">
        <f t="shared" si="784"/>
        <v>38</v>
      </c>
      <c r="CQ835" s="235">
        <f t="shared" si="785"/>
        <v>4.0666935483870965</v>
      </c>
      <c r="CR835" s="235" cm="1">
        <f t="array" ref="CR835">$BI835 * IF($AH835&lt;=2,
SUMPRODUCT(INDEX($AR$67:$AT$71,,$AI835), INDEX($AU$67:$BA$71,,$AH835), 1 / ($BB$67:$BB$71*CQ835 + (1-$BB$67:$BB$71)*CM835), N($AQ$67:$AQ$71&gt;$AO835)),
SUMPRODUCT(INDEX($AR$57:$AT$66,,$AI835), INDEX($AU$57:$BA$66,,$AH835), 1 / ($BC$57:$BC$66*CQ835 + (1-$BC$57:$BC$66)*CM835), N($AQ$57:$AQ$66&gt;$AO835))
) / 1000</f>
        <v>0</v>
      </c>
      <c r="CS835" s="232">
        <f t="shared" si="762"/>
        <v>20</v>
      </c>
      <c r="CT835" s="230">
        <f t="shared" si="786"/>
        <v>33</v>
      </c>
      <c r="CU835" s="235">
        <f t="shared" si="787"/>
        <v>4.8487499999999999</v>
      </c>
      <c r="CV835" s="235" cm="1">
        <f t="array" ref="CV835">$BI835 * IF($AH835&lt;=2,
SUMPRODUCT(INDEX($AR$62:$AT$66,,$AI835), INDEX($AU$62:$BA$66,,$AH835), 1 / ($BB$62:$BB$66*CU835 + (1-$BB$62:$BB$66)*CQ835), N($AQ$62:$AQ$66&gt;$AO835)),
SUMPRODUCT(INDEX($AR$47:$AT$56,,$AI835), INDEX($AU$47:$BA$56,,$AH835), 1 / ($BC$47:$BC$56*CU835 + (1-$BC$47:$BC$56)*CQ835), N($AQ$47:$AQ$56&gt;$AO835))
) / 1000</f>
        <v>0</v>
      </c>
      <c r="CW835" s="235" cm="1">
        <f t="array" ref="CW835">$BI835 * IF($AH835&lt;=2,
SUMPRODUCT(INDEX($AR$23:$AT$61,,$AI835), INDEX($AU$23:$BA$61,,$AH835), 1 / ($BB$23:$BB$61*CU835), N($AQ$23:$AQ$61&gt;$AO835)),
SUMPRODUCT(INDEX($AR$23:$AT$46,,$AI835), INDEX($AU$23:$BA$46,,$AH835), 1 / ($BC$23:$BC$46*CU835), N($AQ$23:$AQ$46&gt;$AO835))
) / 1000</f>
        <v>0</v>
      </c>
      <c r="CX835" s="230">
        <f t="shared" si="788"/>
        <v>0</v>
      </c>
      <c r="CY835" s="238"/>
    </row>
    <row r="836" spans="1:103" s="76" customFormat="1" ht="14.25" customHeight="1" x14ac:dyDescent="0.2">
      <c r="A836" s="231" t="b">
        <f t="shared" si="754"/>
        <v>0</v>
      </c>
      <c r="B836" s="245">
        <v>814</v>
      </c>
      <c r="C836" s="258"/>
      <c r="D836" s="258"/>
      <c r="E836" s="246"/>
      <c r="F836" s="247" t="str">
        <f>IF(ISBLANK(E836), "", VLOOKUP(E836, Z!$A$2:$C$4127, 3, FALSE))</f>
        <v/>
      </c>
      <c r="G836" s="248"/>
      <c r="H836" s="248"/>
      <c r="I836" s="249"/>
      <c r="J836" s="250"/>
      <c r="K836" s="259"/>
      <c r="L836" s="260"/>
      <c r="M836" s="252" t="str" cm="1">
        <f t="array" ref="M836">INDEX(Trad, 53, $A$20)</f>
        <v>Verschmutzt</v>
      </c>
      <c r="N836" s="253"/>
      <c r="O836" s="253"/>
      <c r="P836" s="254"/>
      <c r="Q836" s="251"/>
      <c r="R836" s="251"/>
      <c r="S836" s="264">
        <f t="shared" si="763"/>
        <v>0</v>
      </c>
      <c r="T836" s="252" t="str" cm="1">
        <f t="array" ref="T836">INDEX(Trad, 52, $A$20)</f>
        <v>Sauber</v>
      </c>
      <c r="U836" s="253"/>
      <c r="V836" s="253"/>
      <c r="W836" s="254"/>
      <c r="X836" s="251"/>
      <c r="Y836" s="251"/>
      <c r="Z836" s="264">
        <f t="shared" si="764"/>
        <v>0</v>
      </c>
      <c r="AA836" s="261"/>
      <c r="AB836" s="258"/>
      <c r="AC836" s="246"/>
      <c r="AD836" s="247" t="str">
        <f>IF(ISBLANK(AC836), "", VLOOKUP(AC836, Z!$A$2:$C$4127, 3, FALSE))</f>
        <v/>
      </c>
      <c r="AE836" s="262"/>
      <c r="AF836" s="263">
        <f t="shared" si="765"/>
        <v>0</v>
      </c>
      <c r="AG836" s="238"/>
      <c r="AH836" s="229">
        <f t="shared" si="789"/>
        <v>1</v>
      </c>
      <c r="AI836" s="229">
        <f t="shared" si="790"/>
        <v>1</v>
      </c>
      <c r="AJ836" s="229">
        <f t="shared" si="791"/>
        <v>0</v>
      </c>
      <c r="AK836" s="229">
        <v>0</v>
      </c>
      <c r="AL836" s="229">
        <v>0</v>
      </c>
      <c r="AM836" s="229">
        <v>1</v>
      </c>
      <c r="AN836" s="229">
        <v>0</v>
      </c>
      <c r="AO836" s="229">
        <f t="shared" si="766"/>
        <v>-100</v>
      </c>
      <c r="AP836" s="238"/>
      <c r="AQ836" s="255"/>
      <c r="AR836" s="255"/>
      <c r="AS836" s="256"/>
      <c r="AT836" s="256"/>
      <c r="AU836" s="256"/>
      <c r="AV836" s="256"/>
      <c r="AW836" s="256"/>
      <c r="AX836" s="256"/>
      <c r="AY836" s="256"/>
      <c r="AZ836" s="256"/>
      <c r="BA836" s="256"/>
      <c r="BB836" s="256"/>
      <c r="BC836" s="256"/>
      <c r="BD836" s="238"/>
      <c r="BE836" s="229" cm="1">
        <f t="array" ref="BE836">IF(ISBLANK(R836), INDEX(Use, $AH836, 4) - AM836*INDEX(Use, $AH836, 6), R836)</f>
        <v>5</v>
      </c>
      <c r="BF836" s="229">
        <f t="shared" si="767"/>
        <v>30</v>
      </c>
      <c r="BG836" s="229">
        <f t="shared" si="755"/>
        <v>13</v>
      </c>
      <c r="BH836" s="229">
        <f t="shared" si="756"/>
        <v>0</v>
      </c>
      <c r="BI836" s="234" cm="1">
        <f t="array" ref="BI836">K836/IF($L836&gt;0, INDEX($AU$23:$BA$77, $L836+20, $AH836), 1)</f>
        <v>0</v>
      </c>
      <c r="BJ836" s="230">
        <f t="shared" si="768"/>
        <v>0</v>
      </c>
      <c r="BK836" s="229">
        <v>35</v>
      </c>
      <c r="BL836" s="230">
        <f t="shared" si="769"/>
        <v>48</v>
      </c>
      <c r="BM836" s="235">
        <f t="shared" si="770"/>
        <v>2.9108720930232557</v>
      </c>
      <c r="BN836" s="235" cm="1">
        <f t="array" ref="BN836">$BI836 * SUMPRODUCT(INDEX($AR$77:$AT$82,,$AI836),INDEX($AU$77:$BA$82,,$AH836), N($AQ$77:$AQ$82&gt;$AO836)) / BM836 / 1000</f>
        <v>0</v>
      </c>
      <c r="BO836" s="232">
        <f t="shared" si="757"/>
        <v>30</v>
      </c>
      <c r="BP836" s="230">
        <f t="shared" si="771"/>
        <v>43</v>
      </c>
      <c r="BQ836" s="235">
        <f t="shared" si="772"/>
        <v>3.2938815789473681</v>
      </c>
      <c r="BR836" s="235" cm="1">
        <f t="array" ref="BR836">$BI836 * IF($AH836&lt;=2,
SUMPRODUCT(INDEX($AR$72:$AT$76,,$AI836), INDEX($AU$72:$BA$76,,$AH836), 1 / ($BB$72:$BB$76*BQ836 + (1-$BB$72:$BB$76)*BM836), N($AQ$72:$AQ$76&gt;$AO836)),
SUMPRODUCT(INDEX($AR$67:$AT$76,,$AI836), INDEX($AU$67:$BA$76,,$AH836), 1 / ($BC$67:$BC$76*BQ836 + (1-$BC$67:$BC$76)*BM836), N($AQ$67:$AQ$76&gt;$AO836))
) / 1000</f>
        <v>0</v>
      </c>
      <c r="BS836" s="232">
        <f t="shared" si="758"/>
        <v>25</v>
      </c>
      <c r="BT836" s="230">
        <f t="shared" si="773"/>
        <v>38</v>
      </c>
      <c r="BU836" s="235">
        <f t="shared" si="774"/>
        <v>3.792954545454545</v>
      </c>
      <c r="BV836" s="235" cm="1">
        <f t="array" ref="BV836">$BI836 * IF($AH836&lt;=2,
SUMPRODUCT(INDEX($AR$67:$AT$71,,$AI836), INDEX($AU$67:$BA$71,,$AH836), 1 / ($BB$67:$BB$71*BU836 + (1-$BB$67:$BB$71)*BQ836), N($AQ$67:$AQ$71&gt;$AO836)),
SUMPRODUCT(INDEX($AR$57:$AT$66,,$AI836), INDEX($AU$57:$BA$66,,$AH836), 1 / ($BC$57:$BC$66*BU836 + (1-$BC$57:$BC$66)*BQ836), N($AQ$57:$AQ$66&gt;$AO836))
) / 1000</f>
        <v>0</v>
      </c>
      <c r="BW836" s="232">
        <f t="shared" si="759"/>
        <v>20</v>
      </c>
      <c r="BX836" s="230">
        <f t="shared" si="775"/>
        <v>33</v>
      </c>
      <c r="BY836" s="235">
        <f t="shared" si="776"/>
        <v>4.4702678571428569</v>
      </c>
      <c r="BZ836" s="235" cm="1">
        <f t="array" ref="BZ836">$BI836 * IF($AH836&lt;=2,
SUMPRODUCT(INDEX($AR$62:$AT$66,,$AI836), INDEX($AU$62:$BA$66,,$AH836), 1 / ($BB$62:$BB$66*BY836 + (1-$BB$62:$BB$66)*BU836), N($AQ$62:$AQ$66&gt;$AO836)),
SUMPRODUCT(INDEX($AR$47:$AT$56,,$AI836), INDEX($AU$47:$BA$56,,$AH836), 1 / ($BC$47:$BC$56*BY836 + (1-$BC$47:$BC$56)*BU836), N($AQ$47:$AQ$56&gt;$AO836))
) / 1000</f>
        <v>0</v>
      </c>
      <c r="CA836" s="235" cm="1">
        <f t="array" ref="CA836">$BI836 * IF($AH836&lt;=2,
SUMPRODUCT(INDEX($AR$23:$AT$61,,$AI836), INDEX($AU$23:$BA$61,,$AH836), 1 / ($BB$23:$BB$61*BY836), N($AQ$23:$AQ$61&gt;$AO836)),
SUMPRODUCT(INDEX($AR$23:$AT$46,,$AI836), INDEX($AU$23:$BA$46,,$AH836), 1 / ($BC$23:$BC$46*BY836), N($AQ$23:$AQ$46&gt;$AO836))
) / 1000</f>
        <v>0</v>
      </c>
      <c r="CB836" s="230">
        <f t="shared" si="777"/>
        <v>0</v>
      </c>
      <c r="CC836" s="238"/>
      <c r="CD836" s="229" cm="1">
        <f t="array" ref="CD836">IF(ISBLANK(Y836), INDEX(Use, $AH836, 4) - AN836*INDEX(Use, $AH836, 6) - (Q836-X836), Y836)</f>
        <v>7</v>
      </c>
      <c r="CE836" s="229">
        <f t="shared" si="778"/>
        <v>32</v>
      </c>
      <c r="CF836" s="230">
        <f t="shared" si="779"/>
        <v>0</v>
      </c>
      <c r="CG836" s="229">
        <v>35</v>
      </c>
      <c r="CH836" s="230">
        <f t="shared" si="780"/>
        <v>48</v>
      </c>
      <c r="CI836" s="235">
        <f t="shared" si="781"/>
        <v>3.0748170731707316</v>
      </c>
      <c r="CJ836" s="235" cm="1">
        <f t="array" ref="CJ836">$BI836 * SUMPRODUCT(INDEX($AR$77:$AT$82,,$AI836),INDEX($AU$77:$BA$82,,$AH836), N($AQ$77:$AQ$82&gt;$AO836)) / CI836 / 1000</f>
        <v>0</v>
      </c>
      <c r="CK836" s="232">
        <f t="shared" si="760"/>
        <v>30</v>
      </c>
      <c r="CL836" s="230">
        <f t="shared" si="782"/>
        <v>43</v>
      </c>
      <c r="CM836" s="235">
        <f t="shared" si="783"/>
        <v>3.5018750000000001</v>
      </c>
      <c r="CN836" s="235" cm="1">
        <f t="array" ref="CN836">$BI836 * IF($AH836&lt;=2,
SUMPRODUCT(INDEX($AR$72:$AT$76,,$AI836), INDEX($AU$72:$BA$76,,$AH836), 1 / ($BB$72:$BB$76*CM836 + (1-$BB$72:$BB$76)*CI836), N($AQ$72:$AQ$76&gt;$AO836)),
SUMPRODUCT(INDEX($AR$67:$AT$76,,$AI836), INDEX($AU$67:$BA$76,,$AH836), 1 / ($BC$67:$BC$76*CM836 + (1-$BC$67:$BC$76)*CI836), N($AQ$67:$AQ$76&gt;$AO836))
) / 1000</f>
        <v>0</v>
      </c>
      <c r="CO836" s="232">
        <f t="shared" si="761"/>
        <v>25</v>
      </c>
      <c r="CP836" s="230">
        <f t="shared" si="784"/>
        <v>38</v>
      </c>
      <c r="CQ836" s="235">
        <f t="shared" si="785"/>
        <v>4.0666935483870965</v>
      </c>
      <c r="CR836" s="235" cm="1">
        <f t="array" ref="CR836">$BI836 * IF($AH836&lt;=2,
SUMPRODUCT(INDEX($AR$67:$AT$71,,$AI836), INDEX($AU$67:$BA$71,,$AH836), 1 / ($BB$67:$BB$71*CQ836 + (1-$BB$67:$BB$71)*CM836), N($AQ$67:$AQ$71&gt;$AO836)),
SUMPRODUCT(INDEX($AR$57:$AT$66,,$AI836), INDEX($AU$57:$BA$66,,$AH836), 1 / ($BC$57:$BC$66*CQ836 + (1-$BC$57:$BC$66)*CM836), N($AQ$57:$AQ$66&gt;$AO836))
) / 1000</f>
        <v>0</v>
      </c>
      <c r="CS836" s="232">
        <f t="shared" si="762"/>
        <v>20</v>
      </c>
      <c r="CT836" s="230">
        <f t="shared" si="786"/>
        <v>33</v>
      </c>
      <c r="CU836" s="235">
        <f t="shared" si="787"/>
        <v>4.8487499999999999</v>
      </c>
      <c r="CV836" s="235" cm="1">
        <f t="array" ref="CV836">$BI836 * IF($AH836&lt;=2,
SUMPRODUCT(INDEX($AR$62:$AT$66,,$AI836), INDEX($AU$62:$BA$66,,$AH836), 1 / ($BB$62:$BB$66*CU836 + (1-$BB$62:$BB$66)*CQ836), N($AQ$62:$AQ$66&gt;$AO836)),
SUMPRODUCT(INDEX($AR$47:$AT$56,,$AI836), INDEX($AU$47:$BA$56,,$AH836), 1 / ($BC$47:$BC$56*CU836 + (1-$BC$47:$BC$56)*CQ836), N($AQ$47:$AQ$56&gt;$AO836))
) / 1000</f>
        <v>0</v>
      </c>
      <c r="CW836" s="235" cm="1">
        <f t="array" ref="CW836">$BI836 * IF($AH836&lt;=2,
SUMPRODUCT(INDEX($AR$23:$AT$61,,$AI836), INDEX($AU$23:$BA$61,,$AH836), 1 / ($BB$23:$BB$61*CU836), N($AQ$23:$AQ$61&gt;$AO836)),
SUMPRODUCT(INDEX($AR$23:$AT$46,,$AI836), INDEX($AU$23:$BA$46,,$AH836), 1 / ($BC$23:$BC$46*CU836), N($AQ$23:$AQ$46&gt;$AO836))
) / 1000</f>
        <v>0</v>
      </c>
      <c r="CX836" s="230">
        <f t="shared" si="788"/>
        <v>0</v>
      </c>
      <c r="CY836" s="238"/>
    </row>
    <row r="837" spans="1:103" s="76" customFormat="1" ht="14.25" customHeight="1" x14ac:dyDescent="0.2">
      <c r="A837" s="231" t="b">
        <f t="shared" si="754"/>
        <v>0</v>
      </c>
      <c r="B837" s="245">
        <v>815</v>
      </c>
      <c r="C837" s="258"/>
      <c r="D837" s="258"/>
      <c r="E837" s="246"/>
      <c r="F837" s="247" t="str">
        <f>IF(ISBLANK(E837), "", VLOOKUP(E837, Z!$A$2:$C$4127, 3, FALSE))</f>
        <v/>
      </c>
      <c r="G837" s="248"/>
      <c r="H837" s="248"/>
      <c r="I837" s="249"/>
      <c r="J837" s="250"/>
      <c r="K837" s="259"/>
      <c r="L837" s="260"/>
      <c r="M837" s="252" t="str" cm="1">
        <f t="array" ref="M837">INDEX(Trad, 53, $A$20)</f>
        <v>Verschmutzt</v>
      </c>
      <c r="N837" s="253"/>
      <c r="O837" s="253"/>
      <c r="P837" s="254"/>
      <c r="Q837" s="251"/>
      <c r="R837" s="251"/>
      <c r="S837" s="264">
        <f t="shared" si="763"/>
        <v>0</v>
      </c>
      <c r="T837" s="252" t="str" cm="1">
        <f t="array" ref="T837">INDEX(Trad, 52, $A$20)</f>
        <v>Sauber</v>
      </c>
      <c r="U837" s="253"/>
      <c r="V837" s="253"/>
      <c r="W837" s="254"/>
      <c r="X837" s="251"/>
      <c r="Y837" s="251"/>
      <c r="Z837" s="264">
        <f t="shared" si="764"/>
        <v>0</v>
      </c>
      <c r="AA837" s="261"/>
      <c r="AB837" s="258"/>
      <c r="AC837" s="246"/>
      <c r="AD837" s="247" t="str">
        <f>IF(ISBLANK(AC837), "", VLOOKUP(AC837, Z!$A$2:$C$4127, 3, FALSE))</f>
        <v/>
      </c>
      <c r="AE837" s="262"/>
      <c r="AF837" s="263">
        <f t="shared" si="765"/>
        <v>0</v>
      </c>
      <c r="AG837" s="238"/>
      <c r="AH837" s="229">
        <f t="shared" si="789"/>
        <v>1</v>
      </c>
      <c r="AI837" s="229">
        <f t="shared" si="790"/>
        <v>1</v>
      </c>
      <c r="AJ837" s="229">
        <f t="shared" si="791"/>
        <v>0</v>
      </c>
      <c r="AK837" s="229">
        <v>0</v>
      </c>
      <c r="AL837" s="229">
        <v>0</v>
      </c>
      <c r="AM837" s="229">
        <v>1</v>
      </c>
      <c r="AN837" s="229">
        <v>0</v>
      </c>
      <c r="AO837" s="229">
        <f t="shared" si="766"/>
        <v>-100</v>
      </c>
      <c r="AP837" s="238"/>
      <c r="AQ837" s="255"/>
      <c r="AR837" s="255"/>
      <c r="AS837" s="256"/>
      <c r="AT837" s="256"/>
      <c r="AU837" s="256"/>
      <c r="AV837" s="256"/>
      <c r="AW837" s="256"/>
      <c r="AX837" s="256"/>
      <c r="AY837" s="256"/>
      <c r="AZ837" s="256"/>
      <c r="BA837" s="256"/>
      <c r="BB837" s="256"/>
      <c r="BC837" s="256"/>
      <c r="BD837" s="238"/>
      <c r="BE837" s="229" cm="1">
        <f t="array" ref="BE837">IF(ISBLANK(R837), INDEX(Use, $AH837, 4) - AM837*INDEX(Use, $AH837, 6), R837)</f>
        <v>5</v>
      </c>
      <c r="BF837" s="229">
        <f t="shared" si="767"/>
        <v>30</v>
      </c>
      <c r="BG837" s="229">
        <f t="shared" si="755"/>
        <v>13</v>
      </c>
      <c r="BH837" s="229">
        <f t="shared" si="756"/>
        <v>0</v>
      </c>
      <c r="BI837" s="234" cm="1">
        <f t="array" ref="BI837">K837/IF($L837&gt;0, INDEX($AU$23:$BA$77, $L837+20, $AH837), 1)</f>
        <v>0</v>
      </c>
      <c r="BJ837" s="230">
        <f t="shared" si="768"/>
        <v>0</v>
      </c>
      <c r="BK837" s="229">
        <v>35</v>
      </c>
      <c r="BL837" s="230">
        <f t="shared" si="769"/>
        <v>48</v>
      </c>
      <c r="BM837" s="235">
        <f t="shared" si="770"/>
        <v>2.9108720930232557</v>
      </c>
      <c r="BN837" s="235" cm="1">
        <f t="array" ref="BN837">$BI837 * SUMPRODUCT(INDEX($AR$77:$AT$82,,$AI837),INDEX($AU$77:$BA$82,,$AH837), N($AQ$77:$AQ$82&gt;$AO837)) / BM837 / 1000</f>
        <v>0</v>
      </c>
      <c r="BO837" s="232">
        <f t="shared" si="757"/>
        <v>30</v>
      </c>
      <c r="BP837" s="230">
        <f t="shared" si="771"/>
        <v>43</v>
      </c>
      <c r="BQ837" s="235">
        <f t="shared" si="772"/>
        <v>3.2938815789473681</v>
      </c>
      <c r="BR837" s="235" cm="1">
        <f t="array" ref="BR837">$BI837 * IF($AH837&lt;=2,
SUMPRODUCT(INDEX($AR$72:$AT$76,,$AI837), INDEX($AU$72:$BA$76,,$AH837), 1 / ($BB$72:$BB$76*BQ837 + (1-$BB$72:$BB$76)*BM837), N($AQ$72:$AQ$76&gt;$AO837)),
SUMPRODUCT(INDEX($AR$67:$AT$76,,$AI837), INDEX($AU$67:$BA$76,,$AH837), 1 / ($BC$67:$BC$76*BQ837 + (1-$BC$67:$BC$76)*BM837), N($AQ$67:$AQ$76&gt;$AO837))
) / 1000</f>
        <v>0</v>
      </c>
      <c r="BS837" s="232">
        <f t="shared" si="758"/>
        <v>25</v>
      </c>
      <c r="BT837" s="230">
        <f t="shared" si="773"/>
        <v>38</v>
      </c>
      <c r="BU837" s="235">
        <f t="shared" si="774"/>
        <v>3.792954545454545</v>
      </c>
      <c r="BV837" s="235" cm="1">
        <f t="array" ref="BV837">$BI837 * IF($AH837&lt;=2,
SUMPRODUCT(INDEX($AR$67:$AT$71,,$AI837), INDEX($AU$67:$BA$71,,$AH837), 1 / ($BB$67:$BB$71*BU837 + (1-$BB$67:$BB$71)*BQ837), N($AQ$67:$AQ$71&gt;$AO837)),
SUMPRODUCT(INDEX($AR$57:$AT$66,,$AI837), INDEX($AU$57:$BA$66,,$AH837), 1 / ($BC$57:$BC$66*BU837 + (1-$BC$57:$BC$66)*BQ837), N($AQ$57:$AQ$66&gt;$AO837))
) / 1000</f>
        <v>0</v>
      </c>
      <c r="BW837" s="232">
        <f t="shared" si="759"/>
        <v>20</v>
      </c>
      <c r="BX837" s="230">
        <f t="shared" si="775"/>
        <v>33</v>
      </c>
      <c r="BY837" s="235">
        <f t="shared" si="776"/>
        <v>4.4702678571428569</v>
      </c>
      <c r="BZ837" s="235" cm="1">
        <f t="array" ref="BZ837">$BI837 * IF($AH837&lt;=2,
SUMPRODUCT(INDEX($AR$62:$AT$66,,$AI837), INDEX($AU$62:$BA$66,,$AH837), 1 / ($BB$62:$BB$66*BY837 + (1-$BB$62:$BB$66)*BU837), N($AQ$62:$AQ$66&gt;$AO837)),
SUMPRODUCT(INDEX($AR$47:$AT$56,,$AI837), INDEX($AU$47:$BA$56,,$AH837), 1 / ($BC$47:$BC$56*BY837 + (1-$BC$47:$BC$56)*BU837), N($AQ$47:$AQ$56&gt;$AO837))
) / 1000</f>
        <v>0</v>
      </c>
      <c r="CA837" s="235" cm="1">
        <f t="array" ref="CA837">$BI837 * IF($AH837&lt;=2,
SUMPRODUCT(INDEX($AR$23:$AT$61,,$AI837), INDEX($AU$23:$BA$61,,$AH837), 1 / ($BB$23:$BB$61*BY837), N($AQ$23:$AQ$61&gt;$AO837)),
SUMPRODUCT(INDEX($AR$23:$AT$46,,$AI837), INDEX($AU$23:$BA$46,,$AH837), 1 / ($BC$23:$BC$46*BY837), N($AQ$23:$AQ$46&gt;$AO837))
) / 1000</f>
        <v>0</v>
      </c>
      <c r="CB837" s="230">
        <f t="shared" si="777"/>
        <v>0</v>
      </c>
      <c r="CC837" s="238"/>
      <c r="CD837" s="229" cm="1">
        <f t="array" ref="CD837">IF(ISBLANK(Y837), INDEX(Use, $AH837, 4) - AN837*INDEX(Use, $AH837, 6) - (Q837-X837), Y837)</f>
        <v>7</v>
      </c>
      <c r="CE837" s="229">
        <f t="shared" si="778"/>
        <v>32</v>
      </c>
      <c r="CF837" s="230">
        <f t="shared" si="779"/>
        <v>0</v>
      </c>
      <c r="CG837" s="229">
        <v>35</v>
      </c>
      <c r="CH837" s="230">
        <f t="shared" si="780"/>
        <v>48</v>
      </c>
      <c r="CI837" s="235">
        <f t="shared" si="781"/>
        <v>3.0748170731707316</v>
      </c>
      <c r="CJ837" s="235" cm="1">
        <f t="array" ref="CJ837">$BI837 * SUMPRODUCT(INDEX($AR$77:$AT$82,,$AI837),INDEX($AU$77:$BA$82,,$AH837), N($AQ$77:$AQ$82&gt;$AO837)) / CI837 / 1000</f>
        <v>0</v>
      </c>
      <c r="CK837" s="232">
        <f t="shared" si="760"/>
        <v>30</v>
      </c>
      <c r="CL837" s="230">
        <f t="shared" si="782"/>
        <v>43</v>
      </c>
      <c r="CM837" s="235">
        <f t="shared" si="783"/>
        <v>3.5018750000000001</v>
      </c>
      <c r="CN837" s="235" cm="1">
        <f t="array" ref="CN837">$BI837 * IF($AH837&lt;=2,
SUMPRODUCT(INDEX($AR$72:$AT$76,,$AI837), INDEX($AU$72:$BA$76,,$AH837), 1 / ($BB$72:$BB$76*CM837 + (1-$BB$72:$BB$76)*CI837), N($AQ$72:$AQ$76&gt;$AO837)),
SUMPRODUCT(INDEX($AR$67:$AT$76,,$AI837), INDEX($AU$67:$BA$76,,$AH837), 1 / ($BC$67:$BC$76*CM837 + (1-$BC$67:$BC$76)*CI837), N($AQ$67:$AQ$76&gt;$AO837))
) / 1000</f>
        <v>0</v>
      </c>
      <c r="CO837" s="232">
        <f t="shared" si="761"/>
        <v>25</v>
      </c>
      <c r="CP837" s="230">
        <f t="shared" si="784"/>
        <v>38</v>
      </c>
      <c r="CQ837" s="235">
        <f t="shared" si="785"/>
        <v>4.0666935483870965</v>
      </c>
      <c r="CR837" s="235" cm="1">
        <f t="array" ref="CR837">$BI837 * IF($AH837&lt;=2,
SUMPRODUCT(INDEX($AR$67:$AT$71,,$AI837), INDEX($AU$67:$BA$71,,$AH837), 1 / ($BB$67:$BB$71*CQ837 + (1-$BB$67:$BB$71)*CM837), N($AQ$67:$AQ$71&gt;$AO837)),
SUMPRODUCT(INDEX($AR$57:$AT$66,,$AI837), INDEX($AU$57:$BA$66,,$AH837), 1 / ($BC$57:$BC$66*CQ837 + (1-$BC$57:$BC$66)*CM837), N($AQ$57:$AQ$66&gt;$AO837))
) / 1000</f>
        <v>0</v>
      </c>
      <c r="CS837" s="232">
        <f t="shared" si="762"/>
        <v>20</v>
      </c>
      <c r="CT837" s="230">
        <f t="shared" si="786"/>
        <v>33</v>
      </c>
      <c r="CU837" s="235">
        <f t="shared" si="787"/>
        <v>4.8487499999999999</v>
      </c>
      <c r="CV837" s="235" cm="1">
        <f t="array" ref="CV837">$BI837 * IF($AH837&lt;=2,
SUMPRODUCT(INDEX($AR$62:$AT$66,,$AI837), INDEX($AU$62:$BA$66,,$AH837), 1 / ($BB$62:$BB$66*CU837 + (1-$BB$62:$BB$66)*CQ837), N($AQ$62:$AQ$66&gt;$AO837)),
SUMPRODUCT(INDEX($AR$47:$AT$56,,$AI837), INDEX($AU$47:$BA$56,,$AH837), 1 / ($BC$47:$BC$56*CU837 + (1-$BC$47:$BC$56)*CQ837), N($AQ$47:$AQ$56&gt;$AO837))
) / 1000</f>
        <v>0</v>
      </c>
      <c r="CW837" s="235" cm="1">
        <f t="array" ref="CW837">$BI837 * IF($AH837&lt;=2,
SUMPRODUCT(INDEX($AR$23:$AT$61,,$AI837), INDEX($AU$23:$BA$61,,$AH837), 1 / ($BB$23:$BB$61*CU837), N($AQ$23:$AQ$61&gt;$AO837)),
SUMPRODUCT(INDEX($AR$23:$AT$46,,$AI837), INDEX($AU$23:$BA$46,,$AH837), 1 / ($BC$23:$BC$46*CU837), N($AQ$23:$AQ$46&gt;$AO837))
) / 1000</f>
        <v>0</v>
      </c>
      <c r="CX837" s="230">
        <f t="shared" si="788"/>
        <v>0</v>
      </c>
      <c r="CY837" s="238"/>
    </row>
    <row r="838" spans="1:103" s="76" customFormat="1" ht="14.25" customHeight="1" x14ac:dyDescent="0.2">
      <c r="A838" s="231" t="b">
        <f t="shared" si="754"/>
        <v>0</v>
      </c>
      <c r="B838" s="245">
        <v>816</v>
      </c>
      <c r="C838" s="258"/>
      <c r="D838" s="258"/>
      <c r="E838" s="246"/>
      <c r="F838" s="247" t="str">
        <f>IF(ISBLANK(E838), "", VLOOKUP(E838, Z!$A$2:$C$4127, 3, FALSE))</f>
        <v/>
      </c>
      <c r="G838" s="248"/>
      <c r="H838" s="248"/>
      <c r="I838" s="249"/>
      <c r="J838" s="250"/>
      <c r="K838" s="259"/>
      <c r="L838" s="260"/>
      <c r="M838" s="252" t="str" cm="1">
        <f t="array" ref="M838">INDEX(Trad, 53, $A$20)</f>
        <v>Verschmutzt</v>
      </c>
      <c r="N838" s="253"/>
      <c r="O838" s="253"/>
      <c r="P838" s="254"/>
      <c r="Q838" s="251"/>
      <c r="R838" s="251"/>
      <c r="S838" s="264">
        <f t="shared" si="763"/>
        <v>0</v>
      </c>
      <c r="T838" s="252" t="str" cm="1">
        <f t="array" ref="T838">INDEX(Trad, 52, $A$20)</f>
        <v>Sauber</v>
      </c>
      <c r="U838" s="253"/>
      <c r="V838" s="253"/>
      <c r="W838" s="254"/>
      <c r="X838" s="251"/>
      <c r="Y838" s="251"/>
      <c r="Z838" s="264">
        <f t="shared" si="764"/>
        <v>0</v>
      </c>
      <c r="AA838" s="261"/>
      <c r="AB838" s="258"/>
      <c r="AC838" s="246"/>
      <c r="AD838" s="247" t="str">
        <f>IF(ISBLANK(AC838), "", VLOOKUP(AC838, Z!$A$2:$C$4127, 3, FALSE))</f>
        <v/>
      </c>
      <c r="AE838" s="262"/>
      <c r="AF838" s="263">
        <f t="shared" si="765"/>
        <v>0</v>
      </c>
      <c r="AG838" s="238"/>
      <c r="AH838" s="229">
        <f t="shared" si="789"/>
        <v>1</v>
      </c>
      <c r="AI838" s="229">
        <f t="shared" si="790"/>
        <v>1</v>
      </c>
      <c r="AJ838" s="229">
        <f t="shared" si="791"/>
        <v>0</v>
      </c>
      <c r="AK838" s="229">
        <v>0</v>
      </c>
      <c r="AL838" s="229">
        <v>0</v>
      </c>
      <c r="AM838" s="229">
        <v>1</v>
      </c>
      <c r="AN838" s="229">
        <v>0</v>
      </c>
      <c r="AO838" s="229">
        <f t="shared" si="766"/>
        <v>-100</v>
      </c>
      <c r="AP838" s="238"/>
      <c r="AQ838" s="255"/>
      <c r="AR838" s="255"/>
      <c r="AS838" s="256"/>
      <c r="AT838" s="256"/>
      <c r="AU838" s="256"/>
      <c r="AV838" s="256"/>
      <c r="AW838" s="256"/>
      <c r="AX838" s="256"/>
      <c r="AY838" s="256"/>
      <c r="AZ838" s="256"/>
      <c r="BA838" s="256"/>
      <c r="BB838" s="256"/>
      <c r="BC838" s="256"/>
      <c r="BD838" s="238"/>
      <c r="BE838" s="229" cm="1">
        <f t="array" ref="BE838">IF(ISBLANK(R838), INDEX(Use, $AH838, 4) - AM838*INDEX(Use, $AH838, 6), R838)</f>
        <v>5</v>
      </c>
      <c r="BF838" s="229">
        <f t="shared" si="767"/>
        <v>30</v>
      </c>
      <c r="BG838" s="229">
        <f t="shared" si="755"/>
        <v>13</v>
      </c>
      <c r="BH838" s="229">
        <f t="shared" si="756"/>
        <v>0</v>
      </c>
      <c r="BI838" s="234" cm="1">
        <f t="array" ref="BI838">K838/IF($L838&gt;0, INDEX($AU$23:$BA$77, $L838+20, $AH838), 1)</f>
        <v>0</v>
      </c>
      <c r="BJ838" s="230">
        <f t="shared" si="768"/>
        <v>0</v>
      </c>
      <c r="BK838" s="229">
        <v>35</v>
      </c>
      <c r="BL838" s="230">
        <f t="shared" si="769"/>
        <v>48</v>
      </c>
      <c r="BM838" s="235">
        <f t="shared" si="770"/>
        <v>2.9108720930232557</v>
      </c>
      <c r="BN838" s="235" cm="1">
        <f t="array" ref="BN838">$BI838 * SUMPRODUCT(INDEX($AR$77:$AT$82,,$AI838),INDEX($AU$77:$BA$82,,$AH838), N($AQ$77:$AQ$82&gt;$AO838)) / BM838 / 1000</f>
        <v>0</v>
      </c>
      <c r="BO838" s="232">
        <f t="shared" si="757"/>
        <v>30</v>
      </c>
      <c r="BP838" s="230">
        <f t="shared" si="771"/>
        <v>43</v>
      </c>
      <c r="BQ838" s="235">
        <f t="shared" si="772"/>
        <v>3.2938815789473681</v>
      </c>
      <c r="BR838" s="235" cm="1">
        <f t="array" ref="BR838">$BI838 * IF($AH838&lt;=2,
SUMPRODUCT(INDEX($AR$72:$AT$76,,$AI838), INDEX($AU$72:$BA$76,,$AH838), 1 / ($BB$72:$BB$76*BQ838 + (1-$BB$72:$BB$76)*BM838), N($AQ$72:$AQ$76&gt;$AO838)),
SUMPRODUCT(INDEX($AR$67:$AT$76,,$AI838), INDEX($AU$67:$BA$76,,$AH838), 1 / ($BC$67:$BC$76*BQ838 + (1-$BC$67:$BC$76)*BM838), N($AQ$67:$AQ$76&gt;$AO838))
) / 1000</f>
        <v>0</v>
      </c>
      <c r="BS838" s="232">
        <f t="shared" si="758"/>
        <v>25</v>
      </c>
      <c r="BT838" s="230">
        <f t="shared" si="773"/>
        <v>38</v>
      </c>
      <c r="BU838" s="235">
        <f t="shared" si="774"/>
        <v>3.792954545454545</v>
      </c>
      <c r="BV838" s="235" cm="1">
        <f t="array" ref="BV838">$BI838 * IF($AH838&lt;=2,
SUMPRODUCT(INDEX($AR$67:$AT$71,,$AI838), INDEX($AU$67:$BA$71,,$AH838), 1 / ($BB$67:$BB$71*BU838 + (1-$BB$67:$BB$71)*BQ838), N($AQ$67:$AQ$71&gt;$AO838)),
SUMPRODUCT(INDEX($AR$57:$AT$66,,$AI838), INDEX($AU$57:$BA$66,,$AH838), 1 / ($BC$57:$BC$66*BU838 + (1-$BC$57:$BC$66)*BQ838), N($AQ$57:$AQ$66&gt;$AO838))
) / 1000</f>
        <v>0</v>
      </c>
      <c r="BW838" s="232">
        <f t="shared" si="759"/>
        <v>20</v>
      </c>
      <c r="BX838" s="230">
        <f t="shared" si="775"/>
        <v>33</v>
      </c>
      <c r="BY838" s="235">
        <f t="shared" si="776"/>
        <v>4.4702678571428569</v>
      </c>
      <c r="BZ838" s="235" cm="1">
        <f t="array" ref="BZ838">$BI838 * IF($AH838&lt;=2,
SUMPRODUCT(INDEX($AR$62:$AT$66,,$AI838), INDEX($AU$62:$BA$66,,$AH838), 1 / ($BB$62:$BB$66*BY838 + (1-$BB$62:$BB$66)*BU838), N($AQ$62:$AQ$66&gt;$AO838)),
SUMPRODUCT(INDEX($AR$47:$AT$56,,$AI838), INDEX($AU$47:$BA$56,,$AH838), 1 / ($BC$47:$BC$56*BY838 + (1-$BC$47:$BC$56)*BU838), N($AQ$47:$AQ$56&gt;$AO838))
) / 1000</f>
        <v>0</v>
      </c>
      <c r="CA838" s="235" cm="1">
        <f t="array" ref="CA838">$BI838 * IF($AH838&lt;=2,
SUMPRODUCT(INDEX($AR$23:$AT$61,,$AI838), INDEX($AU$23:$BA$61,,$AH838), 1 / ($BB$23:$BB$61*BY838), N($AQ$23:$AQ$61&gt;$AO838)),
SUMPRODUCT(INDEX($AR$23:$AT$46,,$AI838), INDEX($AU$23:$BA$46,,$AH838), 1 / ($BC$23:$BC$46*BY838), N($AQ$23:$AQ$46&gt;$AO838))
) / 1000</f>
        <v>0</v>
      </c>
      <c r="CB838" s="230">
        <f t="shared" si="777"/>
        <v>0</v>
      </c>
      <c r="CC838" s="238"/>
      <c r="CD838" s="229" cm="1">
        <f t="array" ref="CD838">IF(ISBLANK(Y838), INDEX(Use, $AH838, 4) - AN838*INDEX(Use, $AH838, 6) - (Q838-X838), Y838)</f>
        <v>7</v>
      </c>
      <c r="CE838" s="229">
        <f t="shared" si="778"/>
        <v>32</v>
      </c>
      <c r="CF838" s="230">
        <f t="shared" si="779"/>
        <v>0</v>
      </c>
      <c r="CG838" s="229">
        <v>35</v>
      </c>
      <c r="CH838" s="230">
        <f t="shared" si="780"/>
        <v>48</v>
      </c>
      <c r="CI838" s="235">
        <f t="shared" si="781"/>
        <v>3.0748170731707316</v>
      </c>
      <c r="CJ838" s="235" cm="1">
        <f t="array" ref="CJ838">$BI838 * SUMPRODUCT(INDEX($AR$77:$AT$82,,$AI838),INDEX($AU$77:$BA$82,,$AH838), N($AQ$77:$AQ$82&gt;$AO838)) / CI838 / 1000</f>
        <v>0</v>
      </c>
      <c r="CK838" s="232">
        <f t="shared" si="760"/>
        <v>30</v>
      </c>
      <c r="CL838" s="230">
        <f t="shared" si="782"/>
        <v>43</v>
      </c>
      <c r="CM838" s="235">
        <f t="shared" si="783"/>
        <v>3.5018750000000001</v>
      </c>
      <c r="CN838" s="235" cm="1">
        <f t="array" ref="CN838">$BI838 * IF($AH838&lt;=2,
SUMPRODUCT(INDEX($AR$72:$AT$76,,$AI838), INDEX($AU$72:$BA$76,,$AH838), 1 / ($BB$72:$BB$76*CM838 + (1-$BB$72:$BB$76)*CI838), N($AQ$72:$AQ$76&gt;$AO838)),
SUMPRODUCT(INDEX($AR$67:$AT$76,,$AI838), INDEX($AU$67:$BA$76,,$AH838), 1 / ($BC$67:$BC$76*CM838 + (1-$BC$67:$BC$76)*CI838), N($AQ$67:$AQ$76&gt;$AO838))
) / 1000</f>
        <v>0</v>
      </c>
      <c r="CO838" s="232">
        <f t="shared" si="761"/>
        <v>25</v>
      </c>
      <c r="CP838" s="230">
        <f t="shared" si="784"/>
        <v>38</v>
      </c>
      <c r="CQ838" s="235">
        <f t="shared" si="785"/>
        <v>4.0666935483870965</v>
      </c>
      <c r="CR838" s="235" cm="1">
        <f t="array" ref="CR838">$BI838 * IF($AH838&lt;=2,
SUMPRODUCT(INDEX($AR$67:$AT$71,,$AI838), INDEX($AU$67:$BA$71,,$AH838), 1 / ($BB$67:$BB$71*CQ838 + (1-$BB$67:$BB$71)*CM838), N($AQ$67:$AQ$71&gt;$AO838)),
SUMPRODUCT(INDEX($AR$57:$AT$66,,$AI838), INDEX($AU$57:$BA$66,,$AH838), 1 / ($BC$57:$BC$66*CQ838 + (1-$BC$57:$BC$66)*CM838), N($AQ$57:$AQ$66&gt;$AO838))
) / 1000</f>
        <v>0</v>
      </c>
      <c r="CS838" s="232">
        <f t="shared" si="762"/>
        <v>20</v>
      </c>
      <c r="CT838" s="230">
        <f t="shared" si="786"/>
        <v>33</v>
      </c>
      <c r="CU838" s="235">
        <f t="shared" si="787"/>
        <v>4.8487499999999999</v>
      </c>
      <c r="CV838" s="235" cm="1">
        <f t="array" ref="CV838">$BI838 * IF($AH838&lt;=2,
SUMPRODUCT(INDEX($AR$62:$AT$66,,$AI838), INDEX($AU$62:$BA$66,,$AH838), 1 / ($BB$62:$BB$66*CU838 + (1-$BB$62:$BB$66)*CQ838), N($AQ$62:$AQ$66&gt;$AO838)),
SUMPRODUCT(INDEX($AR$47:$AT$56,,$AI838), INDEX($AU$47:$BA$56,,$AH838), 1 / ($BC$47:$BC$56*CU838 + (1-$BC$47:$BC$56)*CQ838), N($AQ$47:$AQ$56&gt;$AO838))
) / 1000</f>
        <v>0</v>
      </c>
      <c r="CW838" s="235" cm="1">
        <f t="array" ref="CW838">$BI838 * IF($AH838&lt;=2,
SUMPRODUCT(INDEX($AR$23:$AT$61,,$AI838), INDEX($AU$23:$BA$61,,$AH838), 1 / ($BB$23:$BB$61*CU838), N($AQ$23:$AQ$61&gt;$AO838)),
SUMPRODUCT(INDEX($AR$23:$AT$46,,$AI838), INDEX($AU$23:$BA$46,,$AH838), 1 / ($BC$23:$BC$46*CU838), N($AQ$23:$AQ$46&gt;$AO838))
) / 1000</f>
        <v>0</v>
      </c>
      <c r="CX838" s="230">
        <f t="shared" si="788"/>
        <v>0</v>
      </c>
      <c r="CY838" s="238"/>
    </row>
    <row r="839" spans="1:103" s="76" customFormat="1" ht="14.25" customHeight="1" x14ac:dyDescent="0.2">
      <c r="A839" s="231" t="b">
        <f t="shared" si="754"/>
        <v>0</v>
      </c>
      <c r="B839" s="245">
        <v>817</v>
      </c>
      <c r="C839" s="258"/>
      <c r="D839" s="258"/>
      <c r="E839" s="246"/>
      <c r="F839" s="247" t="str">
        <f>IF(ISBLANK(E839), "", VLOOKUP(E839, Z!$A$2:$C$4127, 3, FALSE))</f>
        <v/>
      </c>
      <c r="G839" s="248"/>
      <c r="H839" s="248"/>
      <c r="I839" s="249"/>
      <c r="J839" s="250"/>
      <c r="K839" s="259"/>
      <c r="L839" s="260"/>
      <c r="M839" s="252" t="str" cm="1">
        <f t="array" ref="M839">INDEX(Trad, 53, $A$20)</f>
        <v>Verschmutzt</v>
      </c>
      <c r="N839" s="253"/>
      <c r="O839" s="253"/>
      <c r="P839" s="254"/>
      <c r="Q839" s="251"/>
      <c r="R839" s="251"/>
      <c r="S839" s="264">
        <f t="shared" si="763"/>
        <v>0</v>
      </c>
      <c r="T839" s="252" t="str" cm="1">
        <f t="array" ref="T839">INDEX(Trad, 52, $A$20)</f>
        <v>Sauber</v>
      </c>
      <c r="U839" s="253"/>
      <c r="V839" s="253"/>
      <c r="W839" s="254"/>
      <c r="X839" s="251"/>
      <c r="Y839" s="251"/>
      <c r="Z839" s="264">
        <f t="shared" si="764"/>
        <v>0</v>
      </c>
      <c r="AA839" s="261"/>
      <c r="AB839" s="258"/>
      <c r="AC839" s="246"/>
      <c r="AD839" s="247" t="str">
        <f>IF(ISBLANK(AC839), "", VLOOKUP(AC839, Z!$A$2:$C$4127, 3, FALSE))</f>
        <v/>
      </c>
      <c r="AE839" s="262"/>
      <c r="AF839" s="263">
        <f t="shared" si="765"/>
        <v>0</v>
      </c>
      <c r="AG839" s="238"/>
      <c r="AH839" s="229">
        <f t="shared" si="789"/>
        <v>1</v>
      </c>
      <c r="AI839" s="229">
        <f t="shared" si="790"/>
        <v>1</v>
      </c>
      <c r="AJ839" s="229">
        <f t="shared" si="791"/>
        <v>0</v>
      </c>
      <c r="AK839" s="229">
        <v>0</v>
      </c>
      <c r="AL839" s="229">
        <v>0</v>
      </c>
      <c r="AM839" s="229">
        <v>1</v>
      </c>
      <c r="AN839" s="229">
        <v>0</v>
      </c>
      <c r="AO839" s="229">
        <f t="shared" si="766"/>
        <v>-100</v>
      </c>
      <c r="AP839" s="238"/>
      <c r="AQ839" s="255"/>
      <c r="AR839" s="255"/>
      <c r="AS839" s="256"/>
      <c r="AT839" s="256"/>
      <c r="AU839" s="256"/>
      <c r="AV839" s="256"/>
      <c r="AW839" s="256"/>
      <c r="AX839" s="256"/>
      <c r="AY839" s="256"/>
      <c r="AZ839" s="256"/>
      <c r="BA839" s="256"/>
      <c r="BB839" s="256"/>
      <c r="BC839" s="256"/>
      <c r="BD839" s="238"/>
      <c r="BE839" s="229" cm="1">
        <f t="array" ref="BE839">IF(ISBLANK(R839), INDEX(Use, $AH839, 4) - AM839*INDEX(Use, $AH839, 6), R839)</f>
        <v>5</v>
      </c>
      <c r="BF839" s="229">
        <f t="shared" si="767"/>
        <v>30</v>
      </c>
      <c r="BG839" s="229">
        <f t="shared" si="755"/>
        <v>13</v>
      </c>
      <c r="BH839" s="229">
        <f t="shared" si="756"/>
        <v>0</v>
      </c>
      <c r="BI839" s="234" cm="1">
        <f t="array" ref="BI839">K839/IF($L839&gt;0, INDEX($AU$23:$BA$77, $L839+20, $AH839), 1)</f>
        <v>0</v>
      </c>
      <c r="BJ839" s="230">
        <f t="shared" si="768"/>
        <v>0</v>
      </c>
      <c r="BK839" s="229">
        <v>35</v>
      </c>
      <c r="BL839" s="230">
        <f t="shared" si="769"/>
        <v>48</v>
      </c>
      <c r="BM839" s="235">
        <f t="shared" si="770"/>
        <v>2.9108720930232557</v>
      </c>
      <c r="BN839" s="235" cm="1">
        <f t="array" ref="BN839">$BI839 * SUMPRODUCT(INDEX($AR$77:$AT$82,,$AI839),INDEX($AU$77:$BA$82,,$AH839), N($AQ$77:$AQ$82&gt;$AO839)) / BM839 / 1000</f>
        <v>0</v>
      </c>
      <c r="BO839" s="232">
        <f t="shared" si="757"/>
        <v>30</v>
      </c>
      <c r="BP839" s="230">
        <f t="shared" si="771"/>
        <v>43</v>
      </c>
      <c r="BQ839" s="235">
        <f t="shared" si="772"/>
        <v>3.2938815789473681</v>
      </c>
      <c r="BR839" s="235" cm="1">
        <f t="array" ref="BR839">$BI839 * IF($AH839&lt;=2,
SUMPRODUCT(INDEX($AR$72:$AT$76,,$AI839), INDEX($AU$72:$BA$76,,$AH839), 1 / ($BB$72:$BB$76*BQ839 + (1-$BB$72:$BB$76)*BM839), N($AQ$72:$AQ$76&gt;$AO839)),
SUMPRODUCT(INDEX($AR$67:$AT$76,,$AI839), INDEX($AU$67:$BA$76,,$AH839), 1 / ($BC$67:$BC$76*BQ839 + (1-$BC$67:$BC$76)*BM839), N($AQ$67:$AQ$76&gt;$AO839))
) / 1000</f>
        <v>0</v>
      </c>
      <c r="BS839" s="232">
        <f t="shared" si="758"/>
        <v>25</v>
      </c>
      <c r="BT839" s="230">
        <f t="shared" si="773"/>
        <v>38</v>
      </c>
      <c r="BU839" s="235">
        <f t="shared" si="774"/>
        <v>3.792954545454545</v>
      </c>
      <c r="BV839" s="235" cm="1">
        <f t="array" ref="BV839">$BI839 * IF($AH839&lt;=2,
SUMPRODUCT(INDEX($AR$67:$AT$71,,$AI839), INDEX($AU$67:$BA$71,,$AH839), 1 / ($BB$67:$BB$71*BU839 + (1-$BB$67:$BB$71)*BQ839), N($AQ$67:$AQ$71&gt;$AO839)),
SUMPRODUCT(INDEX($AR$57:$AT$66,,$AI839), INDEX($AU$57:$BA$66,,$AH839), 1 / ($BC$57:$BC$66*BU839 + (1-$BC$57:$BC$66)*BQ839), N($AQ$57:$AQ$66&gt;$AO839))
) / 1000</f>
        <v>0</v>
      </c>
      <c r="BW839" s="232">
        <f t="shared" si="759"/>
        <v>20</v>
      </c>
      <c r="BX839" s="230">
        <f t="shared" si="775"/>
        <v>33</v>
      </c>
      <c r="BY839" s="235">
        <f t="shared" si="776"/>
        <v>4.4702678571428569</v>
      </c>
      <c r="BZ839" s="235" cm="1">
        <f t="array" ref="BZ839">$BI839 * IF($AH839&lt;=2,
SUMPRODUCT(INDEX($AR$62:$AT$66,,$AI839), INDEX($AU$62:$BA$66,,$AH839), 1 / ($BB$62:$BB$66*BY839 + (1-$BB$62:$BB$66)*BU839), N($AQ$62:$AQ$66&gt;$AO839)),
SUMPRODUCT(INDEX($AR$47:$AT$56,,$AI839), INDEX($AU$47:$BA$56,,$AH839), 1 / ($BC$47:$BC$56*BY839 + (1-$BC$47:$BC$56)*BU839), N($AQ$47:$AQ$56&gt;$AO839))
) / 1000</f>
        <v>0</v>
      </c>
      <c r="CA839" s="235" cm="1">
        <f t="array" ref="CA839">$BI839 * IF($AH839&lt;=2,
SUMPRODUCT(INDEX($AR$23:$AT$61,,$AI839), INDEX($AU$23:$BA$61,,$AH839), 1 / ($BB$23:$BB$61*BY839), N($AQ$23:$AQ$61&gt;$AO839)),
SUMPRODUCT(INDEX($AR$23:$AT$46,,$AI839), INDEX($AU$23:$BA$46,,$AH839), 1 / ($BC$23:$BC$46*BY839), N($AQ$23:$AQ$46&gt;$AO839))
) / 1000</f>
        <v>0</v>
      </c>
      <c r="CB839" s="230">
        <f t="shared" si="777"/>
        <v>0</v>
      </c>
      <c r="CC839" s="238"/>
      <c r="CD839" s="229" cm="1">
        <f t="array" ref="CD839">IF(ISBLANK(Y839), INDEX(Use, $AH839, 4) - AN839*INDEX(Use, $AH839, 6) - (Q839-X839), Y839)</f>
        <v>7</v>
      </c>
      <c r="CE839" s="229">
        <f t="shared" si="778"/>
        <v>32</v>
      </c>
      <c r="CF839" s="230">
        <f t="shared" si="779"/>
        <v>0</v>
      </c>
      <c r="CG839" s="229">
        <v>35</v>
      </c>
      <c r="CH839" s="230">
        <f t="shared" si="780"/>
        <v>48</v>
      </c>
      <c r="CI839" s="235">
        <f t="shared" si="781"/>
        <v>3.0748170731707316</v>
      </c>
      <c r="CJ839" s="235" cm="1">
        <f t="array" ref="CJ839">$BI839 * SUMPRODUCT(INDEX($AR$77:$AT$82,,$AI839),INDEX($AU$77:$BA$82,,$AH839), N($AQ$77:$AQ$82&gt;$AO839)) / CI839 / 1000</f>
        <v>0</v>
      </c>
      <c r="CK839" s="232">
        <f t="shared" si="760"/>
        <v>30</v>
      </c>
      <c r="CL839" s="230">
        <f t="shared" si="782"/>
        <v>43</v>
      </c>
      <c r="CM839" s="235">
        <f t="shared" si="783"/>
        <v>3.5018750000000001</v>
      </c>
      <c r="CN839" s="235" cm="1">
        <f t="array" ref="CN839">$BI839 * IF($AH839&lt;=2,
SUMPRODUCT(INDEX($AR$72:$AT$76,,$AI839), INDEX($AU$72:$BA$76,,$AH839), 1 / ($BB$72:$BB$76*CM839 + (1-$BB$72:$BB$76)*CI839), N($AQ$72:$AQ$76&gt;$AO839)),
SUMPRODUCT(INDEX($AR$67:$AT$76,,$AI839), INDEX($AU$67:$BA$76,,$AH839), 1 / ($BC$67:$BC$76*CM839 + (1-$BC$67:$BC$76)*CI839), N($AQ$67:$AQ$76&gt;$AO839))
) / 1000</f>
        <v>0</v>
      </c>
      <c r="CO839" s="232">
        <f t="shared" si="761"/>
        <v>25</v>
      </c>
      <c r="CP839" s="230">
        <f t="shared" si="784"/>
        <v>38</v>
      </c>
      <c r="CQ839" s="235">
        <f t="shared" si="785"/>
        <v>4.0666935483870965</v>
      </c>
      <c r="CR839" s="235" cm="1">
        <f t="array" ref="CR839">$BI839 * IF($AH839&lt;=2,
SUMPRODUCT(INDEX($AR$67:$AT$71,,$AI839), INDEX($AU$67:$BA$71,,$AH839), 1 / ($BB$67:$BB$71*CQ839 + (1-$BB$67:$BB$71)*CM839), N($AQ$67:$AQ$71&gt;$AO839)),
SUMPRODUCT(INDEX($AR$57:$AT$66,,$AI839), INDEX($AU$57:$BA$66,,$AH839), 1 / ($BC$57:$BC$66*CQ839 + (1-$BC$57:$BC$66)*CM839), N($AQ$57:$AQ$66&gt;$AO839))
) / 1000</f>
        <v>0</v>
      </c>
      <c r="CS839" s="232">
        <f t="shared" si="762"/>
        <v>20</v>
      </c>
      <c r="CT839" s="230">
        <f t="shared" si="786"/>
        <v>33</v>
      </c>
      <c r="CU839" s="235">
        <f t="shared" si="787"/>
        <v>4.8487499999999999</v>
      </c>
      <c r="CV839" s="235" cm="1">
        <f t="array" ref="CV839">$BI839 * IF($AH839&lt;=2,
SUMPRODUCT(INDEX($AR$62:$AT$66,,$AI839), INDEX($AU$62:$BA$66,,$AH839), 1 / ($BB$62:$BB$66*CU839 + (1-$BB$62:$BB$66)*CQ839), N($AQ$62:$AQ$66&gt;$AO839)),
SUMPRODUCT(INDEX($AR$47:$AT$56,,$AI839), INDEX($AU$47:$BA$56,,$AH839), 1 / ($BC$47:$BC$56*CU839 + (1-$BC$47:$BC$56)*CQ839), N($AQ$47:$AQ$56&gt;$AO839))
) / 1000</f>
        <v>0</v>
      </c>
      <c r="CW839" s="235" cm="1">
        <f t="array" ref="CW839">$BI839 * IF($AH839&lt;=2,
SUMPRODUCT(INDEX($AR$23:$AT$61,,$AI839), INDEX($AU$23:$BA$61,,$AH839), 1 / ($BB$23:$BB$61*CU839), N($AQ$23:$AQ$61&gt;$AO839)),
SUMPRODUCT(INDEX($AR$23:$AT$46,,$AI839), INDEX($AU$23:$BA$46,,$AH839), 1 / ($BC$23:$BC$46*CU839), N($AQ$23:$AQ$46&gt;$AO839))
) / 1000</f>
        <v>0</v>
      </c>
      <c r="CX839" s="230">
        <f t="shared" si="788"/>
        <v>0</v>
      </c>
      <c r="CY839" s="238"/>
    </row>
    <row r="840" spans="1:103" s="76" customFormat="1" ht="14.25" customHeight="1" x14ac:dyDescent="0.2">
      <c r="A840" s="231" t="b">
        <f t="shared" si="754"/>
        <v>0</v>
      </c>
      <c r="B840" s="245">
        <v>818</v>
      </c>
      <c r="C840" s="258"/>
      <c r="D840" s="258"/>
      <c r="E840" s="246"/>
      <c r="F840" s="247" t="str">
        <f>IF(ISBLANK(E840), "", VLOOKUP(E840, Z!$A$2:$C$4127, 3, FALSE))</f>
        <v/>
      </c>
      <c r="G840" s="248"/>
      <c r="H840" s="248"/>
      <c r="I840" s="249"/>
      <c r="J840" s="250"/>
      <c r="K840" s="259"/>
      <c r="L840" s="260"/>
      <c r="M840" s="252" t="str" cm="1">
        <f t="array" ref="M840">INDEX(Trad, 53, $A$20)</f>
        <v>Verschmutzt</v>
      </c>
      <c r="N840" s="253"/>
      <c r="O840" s="253"/>
      <c r="P840" s="254"/>
      <c r="Q840" s="251"/>
      <c r="R840" s="251"/>
      <c r="S840" s="264">
        <f t="shared" si="763"/>
        <v>0</v>
      </c>
      <c r="T840" s="252" t="str" cm="1">
        <f t="array" ref="T840">INDEX(Trad, 52, $A$20)</f>
        <v>Sauber</v>
      </c>
      <c r="U840" s="253"/>
      <c r="V840" s="253"/>
      <c r="W840" s="254"/>
      <c r="X840" s="251"/>
      <c r="Y840" s="251"/>
      <c r="Z840" s="264">
        <f t="shared" si="764"/>
        <v>0</v>
      </c>
      <c r="AA840" s="261"/>
      <c r="AB840" s="258"/>
      <c r="AC840" s="246"/>
      <c r="AD840" s="247" t="str">
        <f>IF(ISBLANK(AC840), "", VLOOKUP(AC840, Z!$A$2:$C$4127, 3, FALSE))</f>
        <v/>
      </c>
      <c r="AE840" s="262"/>
      <c r="AF840" s="263">
        <f t="shared" si="765"/>
        <v>0</v>
      </c>
      <c r="AG840" s="238"/>
      <c r="AH840" s="229">
        <f t="shared" si="789"/>
        <v>1</v>
      </c>
      <c r="AI840" s="229">
        <f t="shared" si="790"/>
        <v>1</v>
      </c>
      <c r="AJ840" s="229">
        <f t="shared" si="791"/>
        <v>0</v>
      </c>
      <c r="AK840" s="229">
        <v>0</v>
      </c>
      <c r="AL840" s="229">
        <v>0</v>
      </c>
      <c r="AM840" s="229">
        <v>1</v>
      </c>
      <c r="AN840" s="229">
        <v>0</v>
      </c>
      <c r="AO840" s="229">
        <f t="shared" si="766"/>
        <v>-100</v>
      </c>
      <c r="AP840" s="238"/>
      <c r="AQ840" s="255"/>
      <c r="AR840" s="255"/>
      <c r="AS840" s="256"/>
      <c r="AT840" s="256"/>
      <c r="AU840" s="256"/>
      <c r="AV840" s="256"/>
      <c r="AW840" s="256"/>
      <c r="AX840" s="256"/>
      <c r="AY840" s="256"/>
      <c r="AZ840" s="256"/>
      <c r="BA840" s="256"/>
      <c r="BB840" s="256"/>
      <c r="BC840" s="256"/>
      <c r="BD840" s="238"/>
      <c r="BE840" s="229" cm="1">
        <f t="array" ref="BE840">IF(ISBLANK(R840), INDEX(Use, $AH840, 4) - AM840*INDEX(Use, $AH840, 6), R840)</f>
        <v>5</v>
      </c>
      <c r="BF840" s="229">
        <f t="shared" si="767"/>
        <v>30</v>
      </c>
      <c r="BG840" s="229">
        <f t="shared" si="755"/>
        <v>13</v>
      </c>
      <c r="BH840" s="229">
        <f t="shared" si="756"/>
        <v>0</v>
      </c>
      <c r="BI840" s="234" cm="1">
        <f t="array" ref="BI840">K840/IF($L840&gt;0, INDEX($AU$23:$BA$77, $L840+20, $AH840), 1)</f>
        <v>0</v>
      </c>
      <c r="BJ840" s="230">
        <f t="shared" si="768"/>
        <v>0</v>
      </c>
      <c r="BK840" s="229">
        <v>35</v>
      </c>
      <c r="BL840" s="230">
        <f t="shared" si="769"/>
        <v>48</v>
      </c>
      <c r="BM840" s="235">
        <f t="shared" si="770"/>
        <v>2.9108720930232557</v>
      </c>
      <c r="BN840" s="235" cm="1">
        <f t="array" ref="BN840">$BI840 * SUMPRODUCT(INDEX($AR$77:$AT$82,,$AI840),INDEX($AU$77:$BA$82,,$AH840), N($AQ$77:$AQ$82&gt;$AO840)) / BM840 / 1000</f>
        <v>0</v>
      </c>
      <c r="BO840" s="232">
        <f t="shared" si="757"/>
        <v>30</v>
      </c>
      <c r="BP840" s="230">
        <f t="shared" si="771"/>
        <v>43</v>
      </c>
      <c r="BQ840" s="235">
        <f t="shared" si="772"/>
        <v>3.2938815789473681</v>
      </c>
      <c r="BR840" s="235" cm="1">
        <f t="array" ref="BR840">$BI840 * IF($AH840&lt;=2,
SUMPRODUCT(INDEX($AR$72:$AT$76,,$AI840), INDEX($AU$72:$BA$76,,$AH840), 1 / ($BB$72:$BB$76*BQ840 + (1-$BB$72:$BB$76)*BM840), N($AQ$72:$AQ$76&gt;$AO840)),
SUMPRODUCT(INDEX($AR$67:$AT$76,,$AI840), INDEX($AU$67:$BA$76,,$AH840), 1 / ($BC$67:$BC$76*BQ840 + (1-$BC$67:$BC$76)*BM840), N($AQ$67:$AQ$76&gt;$AO840))
) / 1000</f>
        <v>0</v>
      </c>
      <c r="BS840" s="232">
        <f t="shared" si="758"/>
        <v>25</v>
      </c>
      <c r="BT840" s="230">
        <f t="shared" si="773"/>
        <v>38</v>
      </c>
      <c r="BU840" s="235">
        <f t="shared" si="774"/>
        <v>3.792954545454545</v>
      </c>
      <c r="BV840" s="235" cm="1">
        <f t="array" ref="BV840">$BI840 * IF($AH840&lt;=2,
SUMPRODUCT(INDEX($AR$67:$AT$71,,$AI840), INDEX($AU$67:$BA$71,,$AH840), 1 / ($BB$67:$BB$71*BU840 + (1-$BB$67:$BB$71)*BQ840), N($AQ$67:$AQ$71&gt;$AO840)),
SUMPRODUCT(INDEX($AR$57:$AT$66,,$AI840), INDEX($AU$57:$BA$66,,$AH840), 1 / ($BC$57:$BC$66*BU840 + (1-$BC$57:$BC$66)*BQ840), N($AQ$57:$AQ$66&gt;$AO840))
) / 1000</f>
        <v>0</v>
      </c>
      <c r="BW840" s="232">
        <f t="shared" si="759"/>
        <v>20</v>
      </c>
      <c r="BX840" s="230">
        <f t="shared" si="775"/>
        <v>33</v>
      </c>
      <c r="BY840" s="235">
        <f t="shared" si="776"/>
        <v>4.4702678571428569</v>
      </c>
      <c r="BZ840" s="235" cm="1">
        <f t="array" ref="BZ840">$BI840 * IF($AH840&lt;=2,
SUMPRODUCT(INDEX($AR$62:$AT$66,,$AI840), INDEX($AU$62:$BA$66,,$AH840), 1 / ($BB$62:$BB$66*BY840 + (1-$BB$62:$BB$66)*BU840), N($AQ$62:$AQ$66&gt;$AO840)),
SUMPRODUCT(INDEX($AR$47:$AT$56,,$AI840), INDEX($AU$47:$BA$56,,$AH840), 1 / ($BC$47:$BC$56*BY840 + (1-$BC$47:$BC$56)*BU840), N($AQ$47:$AQ$56&gt;$AO840))
) / 1000</f>
        <v>0</v>
      </c>
      <c r="CA840" s="235" cm="1">
        <f t="array" ref="CA840">$BI840 * IF($AH840&lt;=2,
SUMPRODUCT(INDEX($AR$23:$AT$61,,$AI840), INDEX($AU$23:$BA$61,,$AH840), 1 / ($BB$23:$BB$61*BY840), N($AQ$23:$AQ$61&gt;$AO840)),
SUMPRODUCT(INDEX($AR$23:$AT$46,,$AI840), INDEX($AU$23:$BA$46,,$AH840), 1 / ($BC$23:$BC$46*BY840), N($AQ$23:$AQ$46&gt;$AO840))
) / 1000</f>
        <v>0</v>
      </c>
      <c r="CB840" s="230">
        <f t="shared" si="777"/>
        <v>0</v>
      </c>
      <c r="CC840" s="238"/>
      <c r="CD840" s="229" cm="1">
        <f t="array" ref="CD840">IF(ISBLANK(Y840), INDEX(Use, $AH840, 4) - AN840*INDEX(Use, $AH840, 6) - (Q840-X840), Y840)</f>
        <v>7</v>
      </c>
      <c r="CE840" s="229">
        <f t="shared" si="778"/>
        <v>32</v>
      </c>
      <c r="CF840" s="230">
        <f t="shared" si="779"/>
        <v>0</v>
      </c>
      <c r="CG840" s="229">
        <v>35</v>
      </c>
      <c r="CH840" s="230">
        <f t="shared" si="780"/>
        <v>48</v>
      </c>
      <c r="CI840" s="235">
        <f t="shared" si="781"/>
        <v>3.0748170731707316</v>
      </c>
      <c r="CJ840" s="235" cm="1">
        <f t="array" ref="CJ840">$BI840 * SUMPRODUCT(INDEX($AR$77:$AT$82,,$AI840),INDEX($AU$77:$BA$82,,$AH840), N($AQ$77:$AQ$82&gt;$AO840)) / CI840 / 1000</f>
        <v>0</v>
      </c>
      <c r="CK840" s="232">
        <f t="shared" si="760"/>
        <v>30</v>
      </c>
      <c r="CL840" s="230">
        <f t="shared" si="782"/>
        <v>43</v>
      </c>
      <c r="CM840" s="235">
        <f t="shared" si="783"/>
        <v>3.5018750000000001</v>
      </c>
      <c r="CN840" s="235" cm="1">
        <f t="array" ref="CN840">$BI840 * IF($AH840&lt;=2,
SUMPRODUCT(INDEX($AR$72:$AT$76,,$AI840), INDEX($AU$72:$BA$76,,$AH840), 1 / ($BB$72:$BB$76*CM840 + (1-$BB$72:$BB$76)*CI840), N($AQ$72:$AQ$76&gt;$AO840)),
SUMPRODUCT(INDEX($AR$67:$AT$76,,$AI840), INDEX($AU$67:$BA$76,,$AH840), 1 / ($BC$67:$BC$76*CM840 + (1-$BC$67:$BC$76)*CI840), N($AQ$67:$AQ$76&gt;$AO840))
) / 1000</f>
        <v>0</v>
      </c>
      <c r="CO840" s="232">
        <f t="shared" si="761"/>
        <v>25</v>
      </c>
      <c r="CP840" s="230">
        <f t="shared" si="784"/>
        <v>38</v>
      </c>
      <c r="CQ840" s="235">
        <f t="shared" si="785"/>
        <v>4.0666935483870965</v>
      </c>
      <c r="CR840" s="235" cm="1">
        <f t="array" ref="CR840">$BI840 * IF($AH840&lt;=2,
SUMPRODUCT(INDEX($AR$67:$AT$71,,$AI840), INDEX($AU$67:$BA$71,,$AH840), 1 / ($BB$67:$BB$71*CQ840 + (1-$BB$67:$BB$71)*CM840), N($AQ$67:$AQ$71&gt;$AO840)),
SUMPRODUCT(INDEX($AR$57:$AT$66,,$AI840), INDEX($AU$57:$BA$66,,$AH840), 1 / ($BC$57:$BC$66*CQ840 + (1-$BC$57:$BC$66)*CM840), N($AQ$57:$AQ$66&gt;$AO840))
) / 1000</f>
        <v>0</v>
      </c>
      <c r="CS840" s="232">
        <f t="shared" si="762"/>
        <v>20</v>
      </c>
      <c r="CT840" s="230">
        <f t="shared" si="786"/>
        <v>33</v>
      </c>
      <c r="CU840" s="235">
        <f t="shared" si="787"/>
        <v>4.8487499999999999</v>
      </c>
      <c r="CV840" s="235" cm="1">
        <f t="array" ref="CV840">$BI840 * IF($AH840&lt;=2,
SUMPRODUCT(INDEX($AR$62:$AT$66,,$AI840), INDEX($AU$62:$BA$66,,$AH840), 1 / ($BB$62:$BB$66*CU840 + (1-$BB$62:$BB$66)*CQ840), N($AQ$62:$AQ$66&gt;$AO840)),
SUMPRODUCT(INDEX($AR$47:$AT$56,,$AI840), INDEX($AU$47:$BA$56,,$AH840), 1 / ($BC$47:$BC$56*CU840 + (1-$BC$47:$BC$56)*CQ840), N($AQ$47:$AQ$56&gt;$AO840))
) / 1000</f>
        <v>0</v>
      </c>
      <c r="CW840" s="235" cm="1">
        <f t="array" ref="CW840">$BI840 * IF($AH840&lt;=2,
SUMPRODUCT(INDEX($AR$23:$AT$61,,$AI840), INDEX($AU$23:$BA$61,,$AH840), 1 / ($BB$23:$BB$61*CU840), N($AQ$23:$AQ$61&gt;$AO840)),
SUMPRODUCT(INDEX($AR$23:$AT$46,,$AI840), INDEX($AU$23:$BA$46,,$AH840), 1 / ($BC$23:$BC$46*CU840), N($AQ$23:$AQ$46&gt;$AO840))
) / 1000</f>
        <v>0</v>
      </c>
      <c r="CX840" s="230">
        <f t="shared" si="788"/>
        <v>0</v>
      </c>
      <c r="CY840" s="238"/>
    </row>
    <row r="841" spans="1:103" s="76" customFormat="1" ht="14.25" customHeight="1" x14ac:dyDescent="0.2">
      <c r="A841" s="231" t="b">
        <f t="shared" si="754"/>
        <v>0</v>
      </c>
      <c r="B841" s="245">
        <v>819</v>
      </c>
      <c r="C841" s="258"/>
      <c r="D841" s="258"/>
      <c r="E841" s="246"/>
      <c r="F841" s="247" t="str">
        <f>IF(ISBLANK(E841), "", VLOOKUP(E841, Z!$A$2:$C$4127, 3, FALSE))</f>
        <v/>
      </c>
      <c r="G841" s="248"/>
      <c r="H841" s="248"/>
      <c r="I841" s="249"/>
      <c r="J841" s="250"/>
      <c r="K841" s="259"/>
      <c r="L841" s="260"/>
      <c r="M841" s="252" t="str" cm="1">
        <f t="array" ref="M841">INDEX(Trad, 53, $A$20)</f>
        <v>Verschmutzt</v>
      </c>
      <c r="N841" s="253"/>
      <c r="O841" s="253"/>
      <c r="P841" s="254"/>
      <c r="Q841" s="251"/>
      <c r="R841" s="251"/>
      <c r="S841" s="264">
        <f t="shared" si="763"/>
        <v>0</v>
      </c>
      <c r="T841" s="252" t="str" cm="1">
        <f t="array" ref="T841">INDEX(Trad, 52, $A$20)</f>
        <v>Sauber</v>
      </c>
      <c r="U841" s="253"/>
      <c r="V841" s="253"/>
      <c r="W841" s="254"/>
      <c r="X841" s="251"/>
      <c r="Y841" s="251"/>
      <c r="Z841" s="264">
        <f t="shared" si="764"/>
        <v>0</v>
      </c>
      <c r="AA841" s="261"/>
      <c r="AB841" s="258"/>
      <c r="AC841" s="246"/>
      <c r="AD841" s="247" t="str">
        <f>IF(ISBLANK(AC841), "", VLOOKUP(AC841, Z!$A$2:$C$4127, 3, FALSE))</f>
        <v/>
      </c>
      <c r="AE841" s="262"/>
      <c r="AF841" s="263">
        <f t="shared" si="765"/>
        <v>0</v>
      </c>
      <c r="AG841" s="238"/>
      <c r="AH841" s="229">
        <f t="shared" si="789"/>
        <v>1</v>
      </c>
      <c r="AI841" s="229">
        <f t="shared" si="790"/>
        <v>1</v>
      </c>
      <c r="AJ841" s="229">
        <f t="shared" si="791"/>
        <v>0</v>
      </c>
      <c r="AK841" s="229">
        <v>0</v>
      </c>
      <c r="AL841" s="229">
        <v>0</v>
      </c>
      <c r="AM841" s="229">
        <v>1</v>
      </c>
      <c r="AN841" s="229">
        <v>0</v>
      </c>
      <c r="AO841" s="229">
        <f t="shared" si="766"/>
        <v>-100</v>
      </c>
      <c r="AP841" s="238"/>
      <c r="AQ841" s="255"/>
      <c r="AR841" s="255"/>
      <c r="AS841" s="256"/>
      <c r="AT841" s="256"/>
      <c r="AU841" s="256"/>
      <c r="AV841" s="256"/>
      <c r="AW841" s="256"/>
      <c r="AX841" s="256"/>
      <c r="AY841" s="256"/>
      <c r="AZ841" s="256"/>
      <c r="BA841" s="256"/>
      <c r="BB841" s="256"/>
      <c r="BC841" s="256"/>
      <c r="BD841" s="238"/>
      <c r="BE841" s="229" cm="1">
        <f t="array" ref="BE841">IF(ISBLANK(R841), INDEX(Use, $AH841, 4) - AM841*INDEX(Use, $AH841, 6), R841)</f>
        <v>5</v>
      </c>
      <c r="BF841" s="229">
        <f t="shared" si="767"/>
        <v>30</v>
      </c>
      <c r="BG841" s="229">
        <f t="shared" si="755"/>
        <v>13</v>
      </c>
      <c r="BH841" s="229">
        <f t="shared" si="756"/>
        <v>0</v>
      </c>
      <c r="BI841" s="234" cm="1">
        <f t="array" ref="BI841">K841/IF($L841&gt;0, INDEX($AU$23:$BA$77, $L841+20, $AH841), 1)</f>
        <v>0</v>
      </c>
      <c r="BJ841" s="230">
        <f t="shared" si="768"/>
        <v>0</v>
      </c>
      <c r="BK841" s="229">
        <v>35</v>
      </c>
      <c r="BL841" s="230">
        <f t="shared" si="769"/>
        <v>48</v>
      </c>
      <c r="BM841" s="235">
        <f t="shared" si="770"/>
        <v>2.9108720930232557</v>
      </c>
      <c r="BN841" s="235" cm="1">
        <f t="array" ref="BN841">$BI841 * SUMPRODUCT(INDEX($AR$77:$AT$82,,$AI841),INDEX($AU$77:$BA$82,,$AH841), N($AQ$77:$AQ$82&gt;$AO841)) / BM841 / 1000</f>
        <v>0</v>
      </c>
      <c r="BO841" s="232">
        <f t="shared" si="757"/>
        <v>30</v>
      </c>
      <c r="BP841" s="230">
        <f t="shared" si="771"/>
        <v>43</v>
      </c>
      <c r="BQ841" s="235">
        <f t="shared" si="772"/>
        <v>3.2938815789473681</v>
      </c>
      <c r="BR841" s="235" cm="1">
        <f t="array" ref="BR841">$BI841 * IF($AH841&lt;=2,
SUMPRODUCT(INDEX($AR$72:$AT$76,,$AI841), INDEX($AU$72:$BA$76,,$AH841), 1 / ($BB$72:$BB$76*BQ841 + (1-$BB$72:$BB$76)*BM841), N($AQ$72:$AQ$76&gt;$AO841)),
SUMPRODUCT(INDEX($AR$67:$AT$76,,$AI841), INDEX($AU$67:$BA$76,,$AH841), 1 / ($BC$67:$BC$76*BQ841 + (1-$BC$67:$BC$76)*BM841), N($AQ$67:$AQ$76&gt;$AO841))
) / 1000</f>
        <v>0</v>
      </c>
      <c r="BS841" s="232">
        <f t="shared" si="758"/>
        <v>25</v>
      </c>
      <c r="BT841" s="230">
        <f t="shared" si="773"/>
        <v>38</v>
      </c>
      <c r="BU841" s="235">
        <f t="shared" si="774"/>
        <v>3.792954545454545</v>
      </c>
      <c r="BV841" s="235" cm="1">
        <f t="array" ref="BV841">$BI841 * IF($AH841&lt;=2,
SUMPRODUCT(INDEX($AR$67:$AT$71,,$AI841), INDEX($AU$67:$BA$71,,$AH841), 1 / ($BB$67:$BB$71*BU841 + (1-$BB$67:$BB$71)*BQ841), N($AQ$67:$AQ$71&gt;$AO841)),
SUMPRODUCT(INDEX($AR$57:$AT$66,,$AI841), INDEX($AU$57:$BA$66,,$AH841), 1 / ($BC$57:$BC$66*BU841 + (1-$BC$57:$BC$66)*BQ841), N($AQ$57:$AQ$66&gt;$AO841))
) / 1000</f>
        <v>0</v>
      </c>
      <c r="BW841" s="232">
        <f t="shared" si="759"/>
        <v>20</v>
      </c>
      <c r="BX841" s="230">
        <f t="shared" si="775"/>
        <v>33</v>
      </c>
      <c r="BY841" s="235">
        <f t="shared" si="776"/>
        <v>4.4702678571428569</v>
      </c>
      <c r="BZ841" s="235" cm="1">
        <f t="array" ref="BZ841">$BI841 * IF($AH841&lt;=2,
SUMPRODUCT(INDEX($AR$62:$AT$66,,$AI841), INDEX($AU$62:$BA$66,,$AH841), 1 / ($BB$62:$BB$66*BY841 + (1-$BB$62:$BB$66)*BU841), N($AQ$62:$AQ$66&gt;$AO841)),
SUMPRODUCT(INDEX($AR$47:$AT$56,,$AI841), INDEX($AU$47:$BA$56,,$AH841), 1 / ($BC$47:$BC$56*BY841 + (1-$BC$47:$BC$56)*BU841), N($AQ$47:$AQ$56&gt;$AO841))
) / 1000</f>
        <v>0</v>
      </c>
      <c r="CA841" s="235" cm="1">
        <f t="array" ref="CA841">$BI841 * IF($AH841&lt;=2,
SUMPRODUCT(INDEX($AR$23:$AT$61,,$AI841), INDEX($AU$23:$BA$61,,$AH841), 1 / ($BB$23:$BB$61*BY841), N($AQ$23:$AQ$61&gt;$AO841)),
SUMPRODUCT(INDEX($AR$23:$AT$46,,$AI841), INDEX($AU$23:$BA$46,,$AH841), 1 / ($BC$23:$BC$46*BY841), N($AQ$23:$AQ$46&gt;$AO841))
) / 1000</f>
        <v>0</v>
      </c>
      <c r="CB841" s="230">
        <f t="shared" si="777"/>
        <v>0</v>
      </c>
      <c r="CC841" s="238"/>
      <c r="CD841" s="229" cm="1">
        <f t="array" ref="CD841">IF(ISBLANK(Y841), INDEX(Use, $AH841, 4) - AN841*INDEX(Use, $AH841, 6) - (Q841-X841), Y841)</f>
        <v>7</v>
      </c>
      <c r="CE841" s="229">
        <f t="shared" si="778"/>
        <v>32</v>
      </c>
      <c r="CF841" s="230">
        <f t="shared" si="779"/>
        <v>0</v>
      </c>
      <c r="CG841" s="229">
        <v>35</v>
      </c>
      <c r="CH841" s="230">
        <f t="shared" si="780"/>
        <v>48</v>
      </c>
      <c r="CI841" s="235">
        <f t="shared" si="781"/>
        <v>3.0748170731707316</v>
      </c>
      <c r="CJ841" s="235" cm="1">
        <f t="array" ref="CJ841">$BI841 * SUMPRODUCT(INDEX($AR$77:$AT$82,,$AI841),INDEX($AU$77:$BA$82,,$AH841), N($AQ$77:$AQ$82&gt;$AO841)) / CI841 / 1000</f>
        <v>0</v>
      </c>
      <c r="CK841" s="232">
        <f t="shared" si="760"/>
        <v>30</v>
      </c>
      <c r="CL841" s="230">
        <f t="shared" si="782"/>
        <v>43</v>
      </c>
      <c r="CM841" s="235">
        <f t="shared" si="783"/>
        <v>3.5018750000000001</v>
      </c>
      <c r="CN841" s="235" cm="1">
        <f t="array" ref="CN841">$BI841 * IF($AH841&lt;=2,
SUMPRODUCT(INDEX($AR$72:$AT$76,,$AI841), INDEX($AU$72:$BA$76,,$AH841), 1 / ($BB$72:$BB$76*CM841 + (1-$BB$72:$BB$76)*CI841), N($AQ$72:$AQ$76&gt;$AO841)),
SUMPRODUCT(INDEX($AR$67:$AT$76,,$AI841), INDEX($AU$67:$BA$76,,$AH841), 1 / ($BC$67:$BC$76*CM841 + (1-$BC$67:$BC$76)*CI841), N($AQ$67:$AQ$76&gt;$AO841))
) / 1000</f>
        <v>0</v>
      </c>
      <c r="CO841" s="232">
        <f t="shared" si="761"/>
        <v>25</v>
      </c>
      <c r="CP841" s="230">
        <f t="shared" si="784"/>
        <v>38</v>
      </c>
      <c r="CQ841" s="235">
        <f t="shared" si="785"/>
        <v>4.0666935483870965</v>
      </c>
      <c r="CR841" s="235" cm="1">
        <f t="array" ref="CR841">$BI841 * IF($AH841&lt;=2,
SUMPRODUCT(INDEX($AR$67:$AT$71,,$AI841), INDEX($AU$67:$BA$71,,$AH841), 1 / ($BB$67:$BB$71*CQ841 + (1-$BB$67:$BB$71)*CM841), N($AQ$67:$AQ$71&gt;$AO841)),
SUMPRODUCT(INDEX($AR$57:$AT$66,,$AI841), INDEX($AU$57:$BA$66,,$AH841), 1 / ($BC$57:$BC$66*CQ841 + (1-$BC$57:$BC$66)*CM841), N($AQ$57:$AQ$66&gt;$AO841))
) / 1000</f>
        <v>0</v>
      </c>
      <c r="CS841" s="232">
        <f t="shared" si="762"/>
        <v>20</v>
      </c>
      <c r="CT841" s="230">
        <f t="shared" si="786"/>
        <v>33</v>
      </c>
      <c r="CU841" s="235">
        <f t="shared" si="787"/>
        <v>4.8487499999999999</v>
      </c>
      <c r="CV841" s="235" cm="1">
        <f t="array" ref="CV841">$BI841 * IF($AH841&lt;=2,
SUMPRODUCT(INDEX($AR$62:$AT$66,,$AI841), INDEX($AU$62:$BA$66,,$AH841), 1 / ($BB$62:$BB$66*CU841 + (1-$BB$62:$BB$66)*CQ841), N($AQ$62:$AQ$66&gt;$AO841)),
SUMPRODUCT(INDEX($AR$47:$AT$56,,$AI841), INDEX($AU$47:$BA$56,,$AH841), 1 / ($BC$47:$BC$56*CU841 + (1-$BC$47:$BC$56)*CQ841), N($AQ$47:$AQ$56&gt;$AO841))
) / 1000</f>
        <v>0</v>
      </c>
      <c r="CW841" s="235" cm="1">
        <f t="array" ref="CW841">$BI841 * IF($AH841&lt;=2,
SUMPRODUCT(INDEX($AR$23:$AT$61,,$AI841), INDEX($AU$23:$BA$61,,$AH841), 1 / ($BB$23:$BB$61*CU841), N($AQ$23:$AQ$61&gt;$AO841)),
SUMPRODUCT(INDEX($AR$23:$AT$46,,$AI841), INDEX($AU$23:$BA$46,,$AH841), 1 / ($BC$23:$BC$46*CU841), N($AQ$23:$AQ$46&gt;$AO841))
) / 1000</f>
        <v>0</v>
      </c>
      <c r="CX841" s="230">
        <f t="shared" si="788"/>
        <v>0</v>
      </c>
      <c r="CY841" s="238"/>
    </row>
    <row r="842" spans="1:103" s="76" customFormat="1" ht="14.25" customHeight="1" x14ac:dyDescent="0.2">
      <c r="A842" s="231" t="b">
        <f t="shared" si="754"/>
        <v>0</v>
      </c>
      <c r="B842" s="245">
        <v>820</v>
      </c>
      <c r="C842" s="258"/>
      <c r="D842" s="258"/>
      <c r="E842" s="246"/>
      <c r="F842" s="247" t="str">
        <f>IF(ISBLANK(E842), "", VLOOKUP(E842, Z!$A$2:$C$4127, 3, FALSE))</f>
        <v/>
      </c>
      <c r="G842" s="248"/>
      <c r="H842" s="248"/>
      <c r="I842" s="249"/>
      <c r="J842" s="250"/>
      <c r="K842" s="259"/>
      <c r="L842" s="260"/>
      <c r="M842" s="252" t="str" cm="1">
        <f t="array" ref="M842">INDEX(Trad, 53, $A$20)</f>
        <v>Verschmutzt</v>
      </c>
      <c r="N842" s="253"/>
      <c r="O842" s="253"/>
      <c r="P842" s="254"/>
      <c r="Q842" s="251"/>
      <c r="R842" s="251"/>
      <c r="S842" s="264">
        <f t="shared" si="763"/>
        <v>0</v>
      </c>
      <c r="T842" s="252" t="str" cm="1">
        <f t="array" ref="T842">INDEX(Trad, 52, $A$20)</f>
        <v>Sauber</v>
      </c>
      <c r="U842" s="253"/>
      <c r="V842" s="253"/>
      <c r="W842" s="254"/>
      <c r="X842" s="251"/>
      <c r="Y842" s="251"/>
      <c r="Z842" s="264">
        <f t="shared" si="764"/>
        <v>0</v>
      </c>
      <c r="AA842" s="261"/>
      <c r="AB842" s="258"/>
      <c r="AC842" s="246"/>
      <c r="AD842" s="247" t="str">
        <f>IF(ISBLANK(AC842), "", VLOOKUP(AC842, Z!$A$2:$C$4127, 3, FALSE))</f>
        <v/>
      </c>
      <c r="AE842" s="262"/>
      <c r="AF842" s="263">
        <f t="shared" si="765"/>
        <v>0</v>
      </c>
      <c r="AG842" s="238"/>
      <c r="AH842" s="229">
        <f t="shared" si="789"/>
        <v>1</v>
      </c>
      <c r="AI842" s="229">
        <f t="shared" si="790"/>
        <v>1</v>
      </c>
      <c r="AJ842" s="229">
        <f t="shared" si="791"/>
        <v>0</v>
      </c>
      <c r="AK842" s="229">
        <v>0</v>
      </c>
      <c r="AL842" s="229">
        <v>0</v>
      </c>
      <c r="AM842" s="229">
        <v>1</v>
      </c>
      <c r="AN842" s="229">
        <v>0</v>
      </c>
      <c r="AO842" s="229">
        <f t="shared" si="766"/>
        <v>-100</v>
      </c>
      <c r="AP842" s="238"/>
      <c r="AQ842" s="255"/>
      <c r="AR842" s="255"/>
      <c r="AS842" s="256"/>
      <c r="AT842" s="256"/>
      <c r="AU842" s="256"/>
      <c r="AV842" s="256"/>
      <c r="AW842" s="256"/>
      <c r="AX842" s="256"/>
      <c r="AY842" s="256"/>
      <c r="AZ842" s="256"/>
      <c r="BA842" s="256"/>
      <c r="BB842" s="256"/>
      <c r="BC842" s="256"/>
      <c r="BD842" s="238"/>
      <c r="BE842" s="229" cm="1">
        <f t="array" ref="BE842">IF(ISBLANK(R842), INDEX(Use, $AH842, 4) - AM842*INDEX(Use, $AH842, 6), R842)</f>
        <v>5</v>
      </c>
      <c r="BF842" s="229">
        <f t="shared" si="767"/>
        <v>30</v>
      </c>
      <c r="BG842" s="229">
        <f t="shared" si="755"/>
        <v>13</v>
      </c>
      <c r="BH842" s="229">
        <f t="shared" si="756"/>
        <v>0</v>
      </c>
      <c r="BI842" s="234" cm="1">
        <f t="array" ref="BI842">K842/IF($L842&gt;0, INDEX($AU$23:$BA$77, $L842+20, $AH842), 1)</f>
        <v>0</v>
      </c>
      <c r="BJ842" s="230">
        <f t="shared" si="768"/>
        <v>0</v>
      </c>
      <c r="BK842" s="229">
        <v>35</v>
      </c>
      <c r="BL842" s="230">
        <f t="shared" si="769"/>
        <v>48</v>
      </c>
      <c r="BM842" s="235">
        <f t="shared" si="770"/>
        <v>2.9108720930232557</v>
      </c>
      <c r="BN842" s="235" cm="1">
        <f t="array" ref="BN842">$BI842 * SUMPRODUCT(INDEX($AR$77:$AT$82,,$AI842),INDEX($AU$77:$BA$82,,$AH842), N($AQ$77:$AQ$82&gt;$AO842)) / BM842 / 1000</f>
        <v>0</v>
      </c>
      <c r="BO842" s="232">
        <f t="shared" si="757"/>
        <v>30</v>
      </c>
      <c r="BP842" s="230">
        <f t="shared" si="771"/>
        <v>43</v>
      </c>
      <c r="BQ842" s="235">
        <f t="shared" si="772"/>
        <v>3.2938815789473681</v>
      </c>
      <c r="BR842" s="235" cm="1">
        <f t="array" ref="BR842">$BI842 * IF($AH842&lt;=2,
SUMPRODUCT(INDEX($AR$72:$AT$76,,$AI842), INDEX($AU$72:$BA$76,,$AH842), 1 / ($BB$72:$BB$76*BQ842 + (1-$BB$72:$BB$76)*BM842), N($AQ$72:$AQ$76&gt;$AO842)),
SUMPRODUCT(INDEX($AR$67:$AT$76,,$AI842), INDEX($AU$67:$BA$76,,$AH842), 1 / ($BC$67:$BC$76*BQ842 + (1-$BC$67:$BC$76)*BM842), N($AQ$67:$AQ$76&gt;$AO842))
) / 1000</f>
        <v>0</v>
      </c>
      <c r="BS842" s="232">
        <f t="shared" si="758"/>
        <v>25</v>
      </c>
      <c r="BT842" s="230">
        <f t="shared" si="773"/>
        <v>38</v>
      </c>
      <c r="BU842" s="235">
        <f t="shared" si="774"/>
        <v>3.792954545454545</v>
      </c>
      <c r="BV842" s="235" cm="1">
        <f t="array" ref="BV842">$BI842 * IF($AH842&lt;=2,
SUMPRODUCT(INDEX($AR$67:$AT$71,,$AI842), INDEX($AU$67:$BA$71,,$AH842), 1 / ($BB$67:$BB$71*BU842 + (1-$BB$67:$BB$71)*BQ842), N($AQ$67:$AQ$71&gt;$AO842)),
SUMPRODUCT(INDEX($AR$57:$AT$66,,$AI842), INDEX($AU$57:$BA$66,,$AH842), 1 / ($BC$57:$BC$66*BU842 + (1-$BC$57:$BC$66)*BQ842), N($AQ$57:$AQ$66&gt;$AO842))
) / 1000</f>
        <v>0</v>
      </c>
      <c r="BW842" s="232">
        <f t="shared" si="759"/>
        <v>20</v>
      </c>
      <c r="BX842" s="230">
        <f t="shared" si="775"/>
        <v>33</v>
      </c>
      <c r="BY842" s="235">
        <f t="shared" si="776"/>
        <v>4.4702678571428569</v>
      </c>
      <c r="BZ842" s="235" cm="1">
        <f t="array" ref="BZ842">$BI842 * IF($AH842&lt;=2,
SUMPRODUCT(INDEX($AR$62:$AT$66,,$AI842), INDEX($AU$62:$BA$66,,$AH842), 1 / ($BB$62:$BB$66*BY842 + (1-$BB$62:$BB$66)*BU842), N($AQ$62:$AQ$66&gt;$AO842)),
SUMPRODUCT(INDEX($AR$47:$AT$56,,$AI842), INDEX($AU$47:$BA$56,,$AH842), 1 / ($BC$47:$BC$56*BY842 + (1-$BC$47:$BC$56)*BU842), N($AQ$47:$AQ$56&gt;$AO842))
) / 1000</f>
        <v>0</v>
      </c>
      <c r="CA842" s="235" cm="1">
        <f t="array" ref="CA842">$BI842 * IF($AH842&lt;=2,
SUMPRODUCT(INDEX($AR$23:$AT$61,,$AI842), INDEX($AU$23:$BA$61,,$AH842), 1 / ($BB$23:$BB$61*BY842), N($AQ$23:$AQ$61&gt;$AO842)),
SUMPRODUCT(INDEX($AR$23:$AT$46,,$AI842), INDEX($AU$23:$BA$46,,$AH842), 1 / ($BC$23:$BC$46*BY842), N($AQ$23:$AQ$46&gt;$AO842))
) / 1000</f>
        <v>0</v>
      </c>
      <c r="CB842" s="230">
        <f t="shared" si="777"/>
        <v>0</v>
      </c>
      <c r="CC842" s="238"/>
      <c r="CD842" s="229" cm="1">
        <f t="array" ref="CD842">IF(ISBLANK(Y842), INDEX(Use, $AH842, 4) - AN842*INDEX(Use, $AH842, 6) - (Q842-X842), Y842)</f>
        <v>7</v>
      </c>
      <c r="CE842" s="229">
        <f t="shared" si="778"/>
        <v>32</v>
      </c>
      <c r="CF842" s="230">
        <f t="shared" si="779"/>
        <v>0</v>
      </c>
      <c r="CG842" s="229">
        <v>35</v>
      </c>
      <c r="CH842" s="230">
        <f t="shared" si="780"/>
        <v>48</v>
      </c>
      <c r="CI842" s="235">
        <f t="shared" si="781"/>
        <v>3.0748170731707316</v>
      </c>
      <c r="CJ842" s="235" cm="1">
        <f t="array" ref="CJ842">$BI842 * SUMPRODUCT(INDEX($AR$77:$AT$82,,$AI842),INDEX($AU$77:$BA$82,,$AH842), N($AQ$77:$AQ$82&gt;$AO842)) / CI842 / 1000</f>
        <v>0</v>
      </c>
      <c r="CK842" s="232">
        <f t="shared" si="760"/>
        <v>30</v>
      </c>
      <c r="CL842" s="230">
        <f t="shared" si="782"/>
        <v>43</v>
      </c>
      <c r="CM842" s="235">
        <f t="shared" si="783"/>
        <v>3.5018750000000001</v>
      </c>
      <c r="CN842" s="235" cm="1">
        <f t="array" ref="CN842">$BI842 * IF($AH842&lt;=2,
SUMPRODUCT(INDEX($AR$72:$AT$76,,$AI842), INDEX($AU$72:$BA$76,,$AH842), 1 / ($BB$72:$BB$76*CM842 + (1-$BB$72:$BB$76)*CI842), N($AQ$72:$AQ$76&gt;$AO842)),
SUMPRODUCT(INDEX($AR$67:$AT$76,,$AI842), INDEX($AU$67:$BA$76,,$AH842), 1 / ($BC$67:$BC$76*CM842 + (1-$BC$67:$BC$76)*CI842), N($AQ$67:$AQ$76&gt;$AO842))
) / 1000</f>
        <v>0</v>
      </c>
      <c r="CO842" s="232">
        <f t="shared" si="761"/>
        <v>25</v>
      </c>
      <c r="CP842" s="230">
        <f t="shared" si="784"/>
        <v>38</v>
      </c>
      <c r="CQ842" s="235">
        <f t="shared" si="785"/>
        <v>4.0666935483870965</v>
      </c>
      <c r="CR842" s="235" cm="1">
        <f t="array" ref="CR842">$BI842 * IF($AH842&lt;=2,
SUMPRODUCT(INDEX($AR$67:$AT$71,,$AI842), INDEX($AU$67:$BA$71,,$AH842), 1 / ($BB$67:$BB$71*CQ842 + (1-$BB$67:$BB$71)*CM842), N($AQ$67:$AQ$71&gt;$AO842)),
SUMPRODUCT(INDEX($AR$57:$AT$66,,$AI842), INDEX($AU$57:$BA$66,,$AH842), 1 / ($BC$57:$BC$66*CQ842 + (1-$BC$57:$BC$66)*CM842), N($AQ$57:$AQ$66&gt;$AO842))
) / 1000</f>
        <v>0</v>
      </c>
      <c r="CS842" s="232">
        <f t="shared" si="762"/>
        <v>20</v>
      </c>
      <c r="CT842" s="230">
        <f t="shared" si="786"/>
        <v>33</v>
      </c>
      <c r="CU842" s="235">
        <f t="shared" si="787"/>
        <v>4.8487499999999999</v>
      </c>
      <c r="CV842" s="235" cm="1">
        <f t="array" ref="CV842">$BI842 * IF($AH842&lt;=2,
SUMPRODUCT(INDEX($AR$62:$AT$66,,$AI842), INDEX($AU$62:$BA$66,,$AH842), 1 / ($BB$62:$BB$66*CU842 + (1-$BB$62:$BB$66)*CQ842), N($AQ$62:$AQ$66&gt;$AO842)),
SUMPRODUCT(INDEX($AR$47:$AT$56,,$AI842), INDEX($AU$47:$BA$56,,$AH842), 1 / ($BC$47:$BC$56*CU842 + (1-$BC$47:$BC$56)*CQ842), N($AQ$47:$AQ$56&gt;$AO842))
) / 1000</f>
        <v>0</v>
      </c>
      <c r="CW842" s="235" cm="1">
        <f t="array" ref="CW842">$BI842 * IF($AH842&lt;=2,
SUMPRODUCT(INDEX($AR$23:$AT$61,,$AI842), INDEX($AU$23:$BA$61,,$AH842), 1 / ($BB$23:$BB$61*CU842), N($AQ$23:$AQ$61&gt;$AO842)),
SUMPRODUCT(INDEX($AR$23:$AT$46,,$AI842), INDEX($AU$23:$BA$46,,$AH842), 1 / ($BC$23:$BC$46*CU842), N($AQ$23:$AQ$46&gt;$AO842))
) / 1000</f>
        <v>0</v>
      </c>
      <c r="CX842" s="230">
        <f t="shared" si="788"/>
        <v>0</v>
      </c>
      <c r="CY842" s="238"/>
    </row>
    <row r="843" spans="1:103" s="76" customFormat="1" ht="14.25" customHeight="1" x14ac:dyDescent="0.2">
      <c r="A843" s="231" t="b">
        <f t="shared" si="754"/>
        <v>0</v>
      </c>
      <c r="B843" s="245">
        <v>821</v>
      </c>
      <c r="C843" s="258"/>
      <c r="D843" s="258"/>
      <c r="E843" s="246"/>
      <c r="F843" s="247" t="str">
        <f>IF(ISBLANK(E843), "", VLOOKUP(E843, Z!$A$2:$C$4127, 3, FALSE))</f>
        <v/>
      </c>
      <c r="G843" s="248"/>
      <c r="H843" s="248"/>
      <c r="I843" s="249"/>
      <c r="J843" s="250"/>
      <c r="K843" s="259"/>
      <c r="L843" s="260"/>
      <c r="M843" s="252" t="str" cm="1">
        <f t="array" ref="M843">INDEX(Trad, 53, $A$20)</f>
        <v>Verschmutzt</v>
      </c>
      <c r="N843" s="253"/>
      <c r="O843" s="253"/>
      <c r="P843" s="254"/>
      <c r="Q843" s="251"/>
      <c r="R843" s="251"/>
      <c r="S843" s="264">
        <f t="shared" si="763"/>
        <v>0</v>
      </c>
      <c r="T843" s="252" t="str" cm="1">
        <f t="array" ref="T843">INDEX(Trad, 52, $A$20)</f>
        <v>Sauber</v>
      </c>
      <c r="U843" s="253"/>
      <c r="V843" s="253"/>
      <c r="W843" s="254"/>
      <c r="X843" s="251"/>
      <c r="Y843" s="251"/>
      <c r="Z843" s="264">
        <f t="shared" si="764"/>
        <v>0</v>
      </c>
      <c r="AA843" s="261"/>
      <c r="AB843" s="258"/>
      <c r="AC843" s="246"/>
      <c r="AD843" s="247" t="str">
        <f>IF(ISBLANK(AC843), "", VLOOKUP(AC843, Z!$A$2:$C$4127, 3, FALSE))</f>
        <v/>
      </c>
      <c r="AE843" s="262"/>
      <c r="AF843" s="263">
        <f t="shared" si="765"/>
        <v>0</v>
      </c>
      <c r="AG843" s="238"/>
      <c r="AH843" s="229">
        <f t="shared" si="789"/>
        <v>1</v>
      </c>
      <c r="AI843" s="229">
        <f t="shared" si="790"/>
        <v>1</v>
      </c>
      <c r="AJ843" s="229">
        <f t="shared" si="791"/>
        <v>0</v>
      </c>
      <c r="AK843" s="229">
        <v>0</v>
      </c>
      <c r="AL843" s="229">
        <v>0</v>
      </c>
      <c r="AM843" s="229">
        <v>1</v>
      </c>
      <c r="AN843" s="229">
        <v>0</v>
      </c>
      <c r="AO843" s="229">
        <f t="shared" si="766"/>
        <v>-100</v>
      </c>
      <c r="AP843" s="238"/>
      <c r="AQ843" s="255"/>
      <c r="AR843" s="255"/>
      <c r="AS843" s="256"/>
      <c r="AT843" s="256"/>
      <c r="AU843" s="256"/>
      <c r="AV843" s="256"/>
      <c r="AW843" s="256"/>
      <c r="AX843" s="256"/>
      <c r="AY843" s="256"/>
      <c r="AZ843" s="256"/>
      <c r="BA843" s="256"/>
      <c r="BB843" s="256"/>
      <c r="BC843" s="256"/>
      <c r="BD843" s="238"/>
      <c r="BE843" s="229" cm="1">
        <f t="array" ref="BE843">IF(ISBLANK(R843), INDEX(Use, $AH843, 4) - AM843*INDEX(Use, $AH843, 6), R843)</f>
        <v>5</v>
      </c>
      <c r="BF843" s="229">
        <f t="shared" si="767"/>
        <v>30</v>
      </c>
      <c r="BG843" s="229">
        <f t="shared" si="755"/>
        <v>13</v>
      </c>
      <c r="BH843" s="229">
        <f t="shared" si="756"/>
        <v>0</v>
      </c>
      <c r="BI843" s="234" cm="1">
        <f t="array" ref="BI843">K843/IF($L843&gt;0, INDEX($AU$23:$BA$77, $L843+20, $AH843), 1)</f>
        <v>0</v>
      </c>
      <c r="BJ843" s="230">
        <f t="shared" si="768"/>
        <v>0</v>
      </c>
      <c r="BK843" s="229">
        <v>35</v>
      </c>
      <c r="BL843" s="230">
        <f t="shared" si="769"/>
        <v>48</v>
      </c>
      <c r="BM843" s="235">
        <f t="shared" si="770"/>
        <v>2.9108720930232557</v>
      </c>
      <c r="BN843" s="235" cm="1">
        <f t="array" ref="BN843">$BI843 * SUMPRODUCT(INDEX($AR$77:$AT$82,,$AI843),INDEX($AU$77:$BA$82,,$AH843), N($AQ$77:$AQ$82&gt;$AO843)) / BM843 / 1000</f>
        <v>0</v>
      </c>
      <c r="BO843" s="232">
        <f t="shared" si="757"/>
        <v>30</v>
      </c>
      <c r="BP843" s="230">
        <f t="shared" si="771"/>
        <v>43</v>
      </c>
      <c r="BQ843" s="235">
        <f t="shared" si="772"/>
        <v>3.2938815789473681</v>
      </c>
      <c r="BR843" s="235" cm="1">
        <f t="array" ref="BR843">$BI843 * IF($AH843&lt;=2,
SUMPRODUCT(INDEX($AR$72:$AT$76,,$AI843), INDEX($AU$72:$BA$76,,$AH843), 1 / ($BB$72:$BB$76*BQ843 + (1-$BB$72:$BB$76)*BM843), N($AQ$72:$AQ$76&gt;$AO843)),
SUMPRODUCT(INDEX($AR$67:$AT$76,,$AI843), INDEX($AU$67:$BA$76,,$AH843), 1 / ($BC$67:$BC$76*BQ843 + (1-$BC$67:$BC$76)*BM843), N($AQ$67:$AQ$76&gt;$AO843))
) / 1000</f>
        <v>0</v>
      </c>
      <c r="BS843" s="232">
        <f t="shared" si="758"/>
        <v>25</v>
      </c>
      <c r="BT843" s="230">
        <f t="shared" si="773"/>
        <v>38</v>
      </c>
      <c r="BU843" s="235">
        <f t="shared" si="774"/>
        <v>3.792954545454545</v>
      </c>
      <c r="BV843" s="235" cm="1">
        <f t="array" ref="BV843">$BI843 * IF($AH843&lt;=2,
SUMPRODUCT(INDEX($AR$67:$AT$71,,$AI843), INDEX($AU$67:$BA$71,,$AH843), 1 / ($BB$67:$BB$71*BU843 + (1-$BB$67:$BB$71)*BQ843), N($AQ$67:$AQ$71&gt;$AO843)),
SUMPRODUCT(INDEX($AR$57:$AT$66,,$AI843), INDEX($AU$57:$BA$66,,$AH843), 1 / ($BC$57:$BC$66*BU843 + (1-$BC$57:$BC$66)*BQ843), N($AQ$57:$AQ$66&gt;$AO843))
) / 1000</f>
        <v>0</v>
      </c>
      <c r="BW843" s="232">
        <f t="shared" si="759"/>
        <v>20</v>
      </c>
      <c r="BX843" s="230">
        <f t="shared" si="775"/>
        <v>33</v>
      </c>
      <c r="BY843" s="235">
        <f t="shared" si="776"/>
        <v>4.4702678571428569</v>
      </c>
      <c r="BZ843" s="235" cm="1">
        <f t="array" ref="BZ843">$BI843 * IF($AH843&lt;=2,
SUMPRODUCT(INDEX($AR$62:$AT$66,,$AI843), INDEX($AU$62:$BA$66,,$AH843), 1 / ($BB$62:$BB$66*BY843 + (1-$BB$62:$BB$66)*BU843), N($AQ$62:$AQ$66&gt;$AO843)),
SUMPRODUCT(INDEX($AR$47:$AT$56,,$AI843), INDEX($AU$47:$BA$56,,$AH843), 1 / ($BC$47:$BC$56*BY843 + (1-$BC$47:$BC$56)*BU843), N($AQ$47:$AQ$56&gt;$AO843))
) / 1000</f>
        <v>0</v>
      </c>
      <c r="CA843" s="235" cm="1">
        <f t="array" ref="CA843">$BI843 * IF($AH843&lt;=2,
SUMPRODUCT(INDEX($AR$23:$AT$61,,$AI843), INDEX($AU$23:$BA$61,,$AH843), 1 / ($BB$23:$BB$61*BY843), N($AQ$23:$AQ$61&gt;$AO843)),
SUMPRODUCT(INDEX($AR$23:$AT$46,,$AI843), INDEX($AU$23:$BA$46,,$AH843), 1 / ($BC$23:$BC$46*BY843), N($AQ$23:$AQ$46&gt;$AO843))
) / 1000</f>
        <v>0</v>
      </c>
      <c r="CB843" s="230">
        <f t="shared" si="777"/>
        <v>0</v>
      </c>
      <c r="CC843" s="238"/>
      <c r="CD843" s="229" cm="1">
        <f t="array" ref="CD843">IF(ISBLANK(Y843), INDEX(Use, $AH843, 4) - AN843*INDEX(Use, $AH843, 6) - (Q843-X843), Y843)</f>
        <v>7</v>
      </c>
      <c r="CE843" s="229">
        <f t="shared" si="778"/>
        <v>32</v>
      </c>
      <c r="CF843" s="230">
        <f t="shared" si="779"/>
        <v>0</v>
      </c>
      <c r="CG843" s="229">
        <v>35</v>
      </c>
      <c r="CH843" s="230">
        <f t="shared" si="780"/>
        <v>48</v>
      </c>
      <c r="CI843" s="235">
        <f t="shared" si="781"/>
        <v>3.0748170731707316</v>
      </c>
      <c r="CJ843" s="235" cm="1">
        <f t="array" ref="CJ843">$BI843 * SUMPRODUCT(INDEX($AR$77:$AT$82,,$AI843),INDEX($AU$77:$BA$82,,$AH843), N($AQ$77:$AQ$82&gt;$AO843)) / CI843 / 1000</f>
        <v>0</v>
      </c>
      <c r="CK843" s="232">
        <f t="shared" si="760"/>
        <v>30</v>
      </c>
      <c r="CL843" s="230">
        <f t="shared" si="782"/>
        <v>43</v>
      </c>
      <c r="CM843" s="235">
        <f t="shared" si="783"/>
        <v>3.5018750000000001</v>
      </c>
      <c r="CN843" s="235" cm="1">
        <f t="array" ref="CN843">$BI843 * IF($AH843&lt;=2,
SUMPRODUCT(INDEX($AR$72:$AT$76,,$AI843), INDEX($AU$72:$BA$76,,$AH843), 1 / ($BB$72:$BB$76*CM843 + (1-$BB$72:$BB$76)*CI843), N($AQ$72:$AQ$76&gt;$AO843)),
SUMPRODUCT(INDEX($AR$67:$AT$76,,$AI843), INDEX($AU$67:$BA$76,,$AH843), 1 / ($BC$67:$BC$76*CM843 + (1-$BC$67:$BC$76)*CI843), N($AQ$67:$AQ$76&gt;$AO843))
) / 1000</f>
        <v>0</v>
      </c>
      <c r="CO843" s="232">
        <f t="shared" si="761"/>
        <v>25</v>
      </c>
      <c r="CP843" s="230">
        <f t="shared" si="784"/>
        <v>38</v>
      </c>
      <c r="CQ843" s="235">
        <f t="shared" si="785"/>
        <v>4.0666935483870965</v>
      </c>
      <c r="CR843" s="235" cm="1">
        <f t="array" ref="CR843">$BI843 * IF($AH843&lt;=2,
SUMPRODUCT(INDEX($AR$67:$AT$71,,$AI843), INDEX($AU$67:$BA$71,,$AH843), 1 / ($BB$67:$BB$71*CQ843 + (1-$BB$67:$BB$71)*CM843), N($AQ$67:$AQ$71&gt;$AO843)),
SUMPRODUCT(INDEX($AR$57:$AT$66,,$AI843), INDEX($AU$57:$BA$66,,$AH843), 1 / ($BC$57:$BC$66*CQ843 + (1-$BC$57:$BC$66)*CM843), N($AQ$57:$AQ$66&gt;$AO843))
) / 1000</f>
        <v>0</v>
      </c>
      <c r="CS843" s="232">
        <f t="shared" si="762"/>
        <v>20</v>
      </c>
      <c r="CT843" s="230">
        <f t="shared" si="786"/>
        <v>33</v>
      </c>
      <c r="CU843" s="235">
        <f t="shared" si="787"/>
        <v>4.8487499999999999</v>
      </c>
      <c r="CV843" s="235" cm="1">
        <f t="array" ref="CV843">$BI843 * IF($AH843&lt;=2,
SUMPRODUCT(INDEX($AR$62:$AT$66,,$AI843), INDEX($AU$62:$BA$66,,$AH843), 1 / ($BB$62:$BB$66*CU843 + (1-$BB$62:$BB$66)*CQ843), N($AQ$62:$AQ$66&gt;$AO843)),
SUMPRODUCT(INDEX($AR$47:$AT$56,,$AI843), INDEX($AU$47:$BA$56,,$AH843), 1 / ($BC$47:$BC$56*CU843 + (1-$BC$47:$BC$56)*CQ843), N($AQ$47:$AQ$56&gt;$AO843))
) / 1000</f>
        <v>0</v>
      </c>
      <c r="CW843" s="235" cm="1">
        <f t="array" ref="CW843">$BI843 * IF($AH843&lt;=2,
SUMPRODUCT(INDEX($AR$23:$AT$61,,$AI843), INDEX($AU$23:$BA$61,,$AH843), 1 / ($BB$23:$BB$61*CU843), N($AQ$23:$AQ$61&gt;$AO843)),
SUMPRODUCT(INDEX($AR$23:$AT$46,,$AI843), INDEX($AU$23:$BA$46,,$AH843), 1 / ($BC$23:$BC$46*CU843), N($AQ$23:$AQ$46&gt;$AO843))
) / 1000</f>
        <v>0</v>
      </c>
      <c r="CX843" s="230">
        <f t="shared" si="788"/>
        <v>0</v>
      </c>
      <c r="CY843" s="238"/>
    </row>
    <row r="844" spans="1:103" s="76" customFormat="1" ht="14.25" customHeight="1" x14ac:dyDescent="0.2">
      <c r="A844" s="231" t="b">
        <f t="shared" si="754"/>
        <v>0</v>
      </c>
      <c r="B844" s="245">
        <v>822</v>
      </c>
      <c r="C844" s="258"/>
      <c r="D844" s="258"/>
      <c r="E844" s="246"/>
      <c r="F844" s="247" t="str">
        <f>IF(ISBLANK(E844), "", VLOOKUP(E844, Z!$A$2:$C$4127, 3, FALSE))</f>
        <v/>
      </c>
      <c r="G844" s="248"/>
      <c r="H844" s="248"/>
      <c r="I844" s="249"/>
      <c r="J844" s="250"/>
      <c r="K844" s="259"/>
      <c r="L844" s="260"/>
      <c r="M844" s="252" t="str" cm="1">
        <f t="array" ref="M844">INDEX(Trad, 53, $A$20)</f>
        <v>Verschmutzt</v>
      </c>
      <c r="N844" s="253"/>
      <c r="O844" s="253"/>
      <c r="P844" s="254"/>
      <c r="Q844" s="251"/>
      <c r="R844" s="251"/>
      <c r="S844" s="264">
        <f t="shared" si="763"/>
        <v>0</v>
      </c>
      <c r="T844" s="252" t="str" cm="1">
        <f t="array" ref="T844">INDEX(Trad, 52, $A$20)</f>
        <v>Sauber</v>
      </c>
      <c r="U844" s="253"/>
      <c r="V844" s="253"/>
      <c r="W844" s="254"/>
      <c r="X844" s="251"/>
      <c r="Y844" s="251"/>
      <c r="Z844" s="264">
        <f t="shared" si="764"/>
        <v>0</v>
      </c>
      <c r="AA844" s="261"/>
      <c r="AB844" s="258"/>
      <c r="AC844" s="246"/>
      <c r="AD844" s="247" t="str">
        <f>IF(ISBLANK(AC844), "", VLOOKUP(AC844, Z!$A$2:$C$4127, 3, FALSE))</f>
        <v/>
      </c>
      <c r="AE844" s="262"/>
      <c r="AF844" s="263">
        <f t="shared" si="765"/>
        <v>0</v>
      </c>
      <c r="AG844" s="238"/>
      <c r="AH844" s="229">
        <f t="shared" si="789"/>
        <v>1</v>
      </c>
      <c r="AI844" s="229">
        <f t="shared" si="790"/>
        <v>1</v>
      </c>
      <c r="AJ844" s="229">
        <f t="shared" si="791"/>
        <v>0</v>
      </c>
      <c r="AK844" s="229">
        <v>0</v>
      </c>
      <c r="AL844" s="229">
        <v>0</v>
      </c>
      <c r="AM844" s="229">
        <v>1</v>
      </c>
      <c r="AN844" s="229">
        <v>0</v>
      </c>
      <c r="AO844" s="229">
        <f t="shared" si="766"/>
        <v>-100</v>
      </c>
      <c r="AP844" s="238"/>
      <c r="AQ844" s="255"/>
      <c r="AR844" s="255"/>
      <c r="AS844" s="256"/>
      <c r="AT844" s="256"/>
      <c r="AU844" s="256"/>
      <c r="AV844" s="256"/>
      <c r="AW844" s="256"/>
      <c r="AX844" s="256"/>
      <c r="AY844" s="256"/>
      <c r="AZ844" s="256"/>
      <c r="BA844" s="256"/>
      <c r="BB844" s="256"/>
      <c r="BC844" s="256"/>
      <c r="BD844" s="238"/>
      <c r="BE844" s="229" cm="1">
        <f t="array" ref="BE844">IF(ISBLANK(R844), INDEX(Use, $AH844, 4) - AM844*INDEX(Use, $AH844, 6), R844)</f>
        <v>5</v>
      </c>
      <c r="BF844" s="229">
        <f t="shared" si="767"/>
        <v>30</v>
      </c>
      <c r="BG844" s="229">
        <f t="shared" si="755"/>
        <v>13</v>
      </c>
      <c r="BH844" s="229">
        <f t="shared" si="756"/>
        <v>0</v>
      </c>
      <c r="BI844" s="234" cm="1">
        <f t="array" ref="BI844">K844/IF($L844&gt;0, INDEX($AU$23:$BA$77, $L844+20, $AH844), 1)</f>
        <v>0</v>
      </c>
      <c r="BJ844" s="230">
        <f t="shared" si="768"/>
        <v>0</v>
      </c>
      <c r="BK844" s="229">
        <v>35</v>
      </c>
      <c r="BL844" s="230">
        <f t="shared" si="769"/>
        <v>48</v>
      </c>
      <c r="BM844" s="235">
        <f t="shared" si="770"/>
        <v>2.9108720930232557</v>
      </c>
      <c r="BN844" s="235" cm="1">
        <f t="array" ref="BN844">$BI844 * SUMPRODUCT(INDEX($AR$77:$AT$82,,$AI844),INDEX($AU$77:$BA$82,,$AH844), N($AQ$77:$AQ$82&gt;$AO844)) / BM844 / 1000</f>
        <v>0</v>
      </c>
      <c r="BO844" s="232">
        <f t="shared" si="757"/>
        <v>30</v>
      </c>
      <c r="BP844" s="230">
        <f t="shared" si="771"/>
        <v>43</v>
      </c>
      <c r="BQ844" s="235">
        <f t="shared" si="772"/>
        <v>3.2938815789473681</v>
      </c>
      <c r="BR844" s="235" cm="1">
        <f t="array" ref="BR844">$BI844 * IF($AH844&lt;=2,
SUMPRODUCT(INDEX($AR$72:$AT$76,,$AI844), INDEX($AU$72:$BA$76,,$AH844), 1 / ($BB$72:$BB$76*BQ844 + (1-$BB$72:$BB$76)*BM844), N($AQ$72:$AQ$76&gt;$AO844)),
SUMPRODUCT(INDEX($AR$67:$AT$76,,$AI844), INDEX($AU$67:$BA$76,,$AH844), 1 / ($BC$67:$BC$76*BQ844 + (1-$BC$67:$BC$76)*BM844), N($AQ$67:$AQ$76&gt;$AO844))
) / 1000</f>
        <v>0</v>
      </c>
      <c r="BS844" s="232">
        <f t="shared" si="758"/>
        <v>25</v>
      </c>
      <c r="BT844" s="230">
        <f t="shared" si="773"/>
        <v>38</v>
      </c>
      <c r="BU844" s="235">
        <f t="shared" si="774"/>
        <v>3.792954545454545</v>
      </c>
      <c r="BV844" s="235" cm="1">
        <f t="array" ref="BV844">$BI844 * IF($AH844&lt;=2,
SUMPRODUCT(INDEX($AR$67:$AT$71,,$AI844), INDEX($AU$67:$BA$71,,$AH844), 1 / ($BB$67:$BB$71*BU844 + (1-$BB$67:$BB$71)*BQ844), N($AQ$67:$AQ$71&gt;$AO844)),
SUMPRODUCT(INDEX($AR$57:$AT$66,,$AI844), INDEX($AU$57:$BA$66,,$AH844), 1 / ($BC$57:$BC$66*BU844 + (1-$BC$57:$BC$66)*BQ844), N($AQ$57:$AQ$66&gt;$AO844))
) / 1000</f>
        <v>0</v>
      </c>
      <c r="BW844" s="232">
        <f t="shared" si="759"/>
        <v>20</v>
      </c>
      <c r="BX844" s="230">
        <f t="shared" si="775"/>
        <v>33</v>
      </c>
      <c r="BY844" s="235">
        <f t="shared" si="776"/>
        <v>4.4702678571428569</v>
      </c>
      <c r="BZ844" s="235" cm="1">
        <f t="array" ref="BZ844">$BI844 * IF($AH844&lt;=2,
SUMPRODUCT(INDEX($AR$62:$AT$66,,$AI844), INDEX($AU$62:$BA$66,,$AH844), 1 / ($BB$62:$BB$66*BY844 + (1-$BB$62:$BB$66)*BU844), N($AQ$62:$AQ$66&gt;$AO844)),
SUMPRODUCT(INDEX($AR$47:$AT$56,,$AI844), INDEX($AU$47:$BA$56,,$AH844), 1 / ($BC$47:$BC$56*BY844 + (1-$BC$47:$BC$56)*BU844), N($AQ$47:$AQ$56&gt;$AO844))
) / 1000</f>
        <v>0</v>
      </c>
      <c r="CA844" s="235" cm="1">
        <f t="array" ref="CA844">$BI844 * IF($AH844&lt;=2,
SUMPRODUCT(INDEX($AR$23:$AT$61,,$AI844), INDEX($AU$23:$BA$61,,$AH844), 1 / ($BB$23:$BB$61*BY844), N($AQ$23:$AQ$61&gt;$AO844)),
SUMPRODUCT(INDEX($AR$23:$AT$46,,$AI844), INDEX($AU$23:$BA$46,,$AH844), 1 / ($BC$23:$BC$46*BY844), N($AQ$23:$AQ$46&gt;$AO844))
) / 1000</f>
        <v>0</v>
      </c>
      <c r="CB844" s="230">
        <f t="shared" si="777"/>
        <v>0</v>
      </c>
      <c r="CC844" s="238"/>
      <c r="CD844" s="229" cm="1">
        <f t="array" ref="CD844">IF(ISBLANK(Y844), INDEX(Use, $AH844, 4) - AN844*INDEX(Use, $AH844, 6) - (Q844-X844), Y844)</f>
        <v>7</v>
      </c>
      <c r="CE844" s="229">
        <f t="shared" si="778"/>
        <v>32</v>
      </c>
      <c r="CF844" s="230">
        <f t="shared" si="779"/>
        <v>0</v>
      </c>
      <c r="CG844" s="229">
        <v>35</v>
      </c>
      <c r="CH844" s="230">
        <f t="shared" si="780"/>
        <v>48</v>
      </c>
      <c r="CI844" s="235">
        <f t="shared" si="781"/>
        <v>3.0748170731707316</v>
      </c>
      <c r="CJ844" s="235" cm="1">
        <f t="array" ref="CJ844">$BI844 * SUMPRODUCT(INDEX($AR$77:$AT$82,,$AI844),INDEX($AU$77:$BA$82,,$AH844), N($AQ$77:$AQ$82&gt;$AO844)) / CI844 / 1000</f>
        <v>0</v>
      </c>
      <c r="CK844" s="232">
        <f t="shared" si="760"/>
        <v>30</v>
      </c>
      <c r="CL844" s="230">
        <f t="shared" si="782"/>
        <v>43</v>
      </c>
      <c r="CM844" s="235">
        <f t="shared" si="783"/>
        <v>3.5018750000000001</v>
      </c>
      <c r="CN844" s="235" cm="1">
        <f t="array" ref="CN844">$BI844 * IF($AH844&lt;=2,
SUMPRODUCT(INDEX($AR$72:$AT$76,,$AI844), INDEX($AU$72:$BA$76,,$AH844), 1 / ($BB$72:$BB$76*CM844 + (1-$BB$72:$BB$76)*CI844), N($AQ$72:$AQ$76&gt;$AO844)),
SUMPRODUCT(INDEX($AR$67:$AT$76,,$AI844), INDEX($AU$67:$BA$76,,$AH844), 1 / ($BC$67:$BC$76*CM844 + (1-$BC$67:$BC$76)*CI844), N($AQ$67:$AQ$76&gt;$AO844))
) / 1000</f>
        <v>0</v>
      </c>
      <c r="CO844" s="232">
        <f t="shared" si="761"/>
        <v>25</v>
      </c>
      <c r="CP844" s="230">
        <f t="shared" si="784"/>
        <v>38</v>
      </c>
      <c r="CQ844" s="235">
        <f t="shared" si="785"/>
        <v>4.0666935483870965</v>
      </c>
      <c r="CR844" s="235" cm="1">
        <f t="array" ref="CR844">$BI844 * IF($AH844&lt;=2,
SUMPRODUCT(INDEX($AR$67:$AT$71,,$AI844), INDEX($AU$67:$BA$71,,$AH844), 1 / ($BB$67:$BB$71*CQ844 + (1-$BB$67:$BB$71)*CM844), N($AQ$67:$AQ$71&gt;$AO844)),
SUMPRODUCT(INDEX($AR$57:$AT$66,,$AI844), INDEX($AU$57:$BA$66,,$AH844), 1 / ($BC$57:$BC$66*CQ844 + (1-$BC$57:$BC$66)*CM844), N($AQ$57:$AQ$66&gt;$AO844))
) / 1000</f>
        <v>0</v>
      </c>
      <c r="CS844" s="232">
        <f t="shared" si="762"/>
        <v>20</v>
      </c>
      <c r="CT844" s="230">
        <f t="shared" si="786"/>
        <v>33</v>
      </c>
      <c r="CU844" s="235">
        <f t="shared" si="787"/>
        <v>4.8487499999999999</v>
      </c>
      <c r="CV844" s="235" cm="1">
        <f t="array" ref="CV844">$BI844 * IF($AH844&lt;=2,
SUMPRODUCT(INDEX($AR$62:$AT$66,,$AI844), INDEX($AU$62:$BA$66,,$AH844), 1 / ($BB$62:$BB$66*CU844 + (1-$BB$62:$BB$66)*CQ844), N($AQ$62:$AQ$66&gt;$AO844)),
SUMPRODUCT(INDEX($AR$47:$AT$56,,$AI844), INDEX($AU$47:$BA$56,,$AH844), 1 / ($BC$47:$BC$56*CU844 + (1-$BC$47:$BC$56)*CQ844), N($AQ$47:$AQ$56&gt;$AO844))
) / 1000</f>
        <v>0</v>
      </c>
      <c r="CW844" s="235" cm="1">
        <f t="array" ref="CW844">$BI844 * IF($AH844&lt;=2,
SUMPRODUCT(INDEX($AR$23:$AT$61,,$AI844), INDEX($AU$23:$BA$61,,$AH844), 1 / ($BB$23:$BB$61*CU844), N($AQ$23:$AQ$61&gt;$AO844)),
SUMPRODUCT(INDEX($AR$23:$AT$46,,$AI844), INDEX($AU$23:$BA$46,,$AH844), 1 / ($BC$23:$BC$46*CU844), N($AQ$23:$AQ$46&gt;$AO844))
) / 1000</f>
        <v>0</v>
      </c>
      <c r="CX844" s="230">
        <f t="shared" si="788"/>
        <v>0</v>
      </c>
      <c r="CY844" s="238"/>
    </row>
    <row r="845" spans="1:103" s="76" customFormat="1" ht="14.25" customHeight="1" x14ac:dyDescent="0.2">
      <c r="A845" s="231" t="b">
        <f t="shared" si="754"/>
        <v>0</v>
      </c>
      <c r="B845" s="245">
        <v>823</v>
      </c>
      <c r="C845" s="258"/>
      <c r="D845" s="258"/>
      <c r="E845" s="246"/>
      <c r="F845" s="247" t="str">
        <f>IF(ISBLANK(E845), "", VLOOKUP(E845, Z!$A$2:$C$4127, 3, FALSE))</f>
        <v/>
      </c>
      <c r="G845" s="248"/>
      <c r="H845" s="248"/>
      <c r="I845" s="249"/>
      <c r="J845" s="250"/>
      <c r="K845" s="259"/>
      <c r="L845" s="260"/>
      <c r="M845" s="252" t="str" cm="1">
        <f t="array" ref="M845">INDEX(Trad, 53, $A$20)</f>
        <v>Verschmutzt</v>
      </c>
      <c r="N845" s="253"/>
      <c r="O845" s="253"/>
      <c r="P845" s="254"/>
      <c r="Q845" s="251"/>
      <c r="R845" s="251"/>
      <c r="S845" s="264">
        <f t="shared" si="763"/>
        <v>0</v>
      </c>
      <c r="T845" s="252" t="str" cm="1">
        <f t="array" ref="T845">INDEX(Trad, 52, $A$20)</f>
        <v>Sauber</v>
      </c>
      <c r="U845" s="253"/>
      <c r="V845" s="253"/>
      <c r="W845" s="254"/>
      <c r="X845" s="251"/>
      <c r="Y845" s="251"/>
      <c r="Z845" s="264">
        <f t="shared" si="764"/>
        <v>0</v>
      </c>
      <c r="AA845" s="261"/>
      <c r="AB845" s="258"/>
      <c r="AC845" s="246"/>
      <c r="AD845" s="247" t="str">
        <f>IF(ISBLANK(AC845), "", VLOOKUP(AC845, Z!$A$2:$C$4127, 3, FALSE))</f>
        <v/>
      </c>
      <c r="AE845" s="262"/>
      <c r="AF845" s="263">
        <f t="shared" si="765"/>
        <v>0</v>
      </c>
      <c r="AG845" s="238"/>
      <c r="AH845" s="229">
        <f t="shared" si="789"/>
        <v>1</v>
      </c>
      <c r="AI845" s="229">
        <f t="shared" si="790"/>
        <v>1</v>
      </c>
      <c r="AJ845" s="229">
        <f t="shared" si="791"/>
        <v>0</v>
      </c>
      <c r="AK845" s="229">
        <v>0</v>
      </c>
      <c r="AL845" s="229">
        <v>0</v>
      </c>
      <c r="AM845" s="229">
        <v>1</v>
      </c>
      <c r="AN845" s="229">
        <v>0</v>
      </c>
      <c r="AO845" s="229">
        <f t="shared" si="766"/>
        <v>-100</v>
      </c>
      <c r="AP845" s="238"/>
      <c r="AQ845" s="255"/>
      <c r="AR845" s="255"/>
      <c r="AS845" s="256"/>
      <c r="AT845" s="256"/>
      <c r="AU845" s="256"/>
      <c r="AV845" s="256"/>
      <c r="AW845" s="256"/>
      <c r="AX845" s="256"/>
      <c r="AY845" s="256"/>
      <c r="AZ845" s="256"/>
      <c r="BA845" s="256"/>
      <c r="BB845" s="256"/>
      <c r="BC845" s="256"/>
      <c r="BD845" s="238"/>
      <c r="BE845" s="229" cm="1">
        <f t="array" ref="BE845">IF(ISBLANK(R845), INDEX(Use, $AH845, 4) - AM845*INDEX(Use, $AH845, 6), R845)</f>
        <v>5</v>
      </c>
      <c r="BF845" s="229">
        <f t="shared" si="767"/>
        <v>30</v>
      </c>
      <c r="BG845" s="229">
        <f t="shared" si="755"/>
        <v>13</v>
      </c>
      <c r="BH845" s="229">
        <f t="shared" si="756"/>
        <v>0</v>
      </c>
      <c r="BI845" s="234" cm="1">
        <f t="array" ref="BI845">K845/IF($L845&gt;0, INDEX($AU$23:$BA$77, $L845+20, $AH845), 1)</f>
        <v>0</v>
      </c>
      <c r="BJ845" s="230">
        <f t="shared" si="768"/>
        <v>0</v>
      </c>
      <c r="BK845" s="229">
        <v>35</v>
      </c>
      <c r="BL845" s="230">
        <f t="shared" si="769"/>
        <v>48</v>
      </c>
      <c r="BM845" s="235">
        <f t="shared" si="770"/>
        <v>2.9108720930232557</v>
      </c>
      <c r="BN845" s="235" cm="1">
        <f t="array" ref="BN845">$BI845 * SUMPRODUCT(INDEX($AR$77:$AT$82,,$AI845),INDEX($AU$77:$BA$82,,$AH845), N($AQ$77:$AQ$82&gt;$AO845)) / BM845 / 1000</f>
        <v>0</v>
      </c>
      <c r="BO845" s="232">
        <f t="shared" si="757"/>
        <v>30</v>
      </c>
      <c r="BP845" s="230">
        <f t="shared" si="771"/>
        <v>43</v>
      </c>
      <c r="BQ845" s="235">
        <f t="shared" si="772"/>
        <v>3.2938815789473681</v>
      </c>
      <c r="BR845" s="235" cm="1">
        <f t="array" ref="BR845">$BI845 * IF($AH845&lt;=2,
SUMPRODUCT(INDEX($AR$72:$AT$76,,$AI845), INDEX($AU$72:$BA$76,,$AH845), 1 / ($BB$72:$BB$76*BQ845 + (1-$BB$72:$BB$76)*BM845), N($AQ$72:$AQ$76&gt;$AO845)),
SUMPRODUCT(INDEX($AR$67:$AT$76,,$AI845), INDEX($AU$67:$BA$76,,$AH845), 1 / ($BC$67:$BC$76*BQ845 + (1-$BC$67:$BC$76)*BM845), N($AQ$67:$AQ$76&gt;$AO845))
) / 1000</f>
        <v>0</v>
      </c>
      <c r="BS845" s="232">
        <f t="shared" si="758"/>
        <v>25</v>
      </c>
      <c r="BT845" s="230">
        <f t="shared" si="773"/>
        <v>38</v>
      </c>
      <c r="BU845" s="235">
        <f t="shared" si="774"/>
        <v>3.792954545454545</v>
      </c>
      <c r="BV845" s="235" cm="1">
        <f t="array" ref="BV845">$BI845 * IF($AH845&lt;=2,
SUMPRODUCT(INDEX($AR$67:$AT$71,,$AI845), INDEX($AU$67:$BA$71,,$AH845), 1 / ($BB$67:$BB$71*BU845 + (1-$BB$67:$BB$71)*BQ845), N($AQ$67:$AQ$71&gt;$AO845)),
SUMPRODUCT(INDEX($AR$57:$AT$66,,$AI845), INDEX($AU$57:$BA$66,,$AH845), 1 / ($BC$57:$BC$66*BU845 + (1-$BC$57:$BC$66)*BQ845), N($AQ$57:$AQ$66&gt;$AO845))
) / 1000</f>
        <v>0</v>
      </c>
      <c r="BW845" s="232">
        <f t="shared" si="759"/>
        <v>20</v>
      </c>
      <c r="BX845" s="230">
        <f t="shared" si="775"/>
        <v>33</v>
      </c>
      <c r="BY845" s="235">
        <f t="shared" si="776"/>
        <v>4.4702678571428569</v>
      </c>
      <c r="BZ845" s="235" cm="1">
        <f t="array" ref="BZ845">$BI845 * IF($AH845&lt;=2,
SUMPRODUCT(INDEX($AR$62:$AT$66,,$AI845), INDEX($AU$62:$BA$66,,$AH845), 1 / ($BB$62:$BB$66*BY845 + (1-$BB$62:$BB$66)*BU845), N($AQ$62:$AQ$66&gt;$AO845)),
SUMPRODUCT(INDEX($AR$47:$AT$56,,$AI845), INDEX($AU$47:$BA$56,,$AH845), 1 / ($BC$47:$BC$56*BY845 + (1-$BC$47:$BC$56)*BU845), N($AQ$47:$AQ$56&gt;$AO845))
) / 1000</f>
        <v>0</v>
      </c>
      <c r="CA845" s="235" cm="1">
        <f t="array" ref="CA845">$BI845 * IF($AH845&lt;=2,
SUMPRODUCT(INDEX($AR$23:$AT$61,,$AI845), INDEX($AU$23:$BA$61,,$AH845), 1 / ($BB$23:$BB$61*BY845), N($AQ$23:$AQ$61&gt;$AO845)),
SUMPRODUCT(INDEX($AR$23:$AT$46,,$AI845), INDEX($AU$23:$BA$46,,$AH845), 1 / ($BC$23:$BC$46*BY845), N($AQ$23:$AQ$46&gt;$AO845))
) / 1000</f>
        <v>0</v>
      </c>
      <c r="CB845" s="230">
        <f t="shared" si="777"/>
        <v>0</v>
      </c>
      <c r="CC845" s="238"/>
      <c r="CD845" s="229" cm="1">
        <f t="array" ref="CD845">IF(ISBLANK(Y845), INDEX(Use, $AH845, 4) - AN845*INDEX(Use, $AH845, 6) - (Q845-X845), Y845)</f>
        <v>7</v>
      </c>
      <c r="CE845" s="229">
        <f t="shared" si="778"/>
        <v>32</v>
      </c>
      <c r="CF845" s="230">
        <f t="shared" si="779"/>
        <v>0</v>
      </c>
      <c r="CG845" s="229">
        <v>35</v>
      </c>
      <c r="CH845" s="230">
        <f t="shared" si="780"/>
        <v>48</v>
      </c>
      <c r="CI845" s="235">
        <f t="shared" si="781"/>
        <v>3.0748170731707316</v>
      </c>
      <c r="CJ845" s="235" cm="1">
        <f t="array" ref="CJ845">$BI845 * SUMPRODUCT(INDEX($AR$77:$AT$82,,$AI845),INDEX($AU$77:$BA$82,,$AH845), N($AQ$77:$AQ$82&gt;$AO845)) / CI845 / 1000</f>
        <v>0</v>
      </c>
      <c r="CK845" s="232">
        <f t="shared" si="760"/>
        <v>30</v>
      </c>
      <c r="CL845" s="230">
        <f t="shared" si="782"/>
        <v>43</v>
      </c>
      <c r="CM845" s="235">
        <f t="shared" si="783"/>
        <v>3.5018750000000001</v>
      </c>
      <c r="CN845" s="235" cm="1">
        <f t="array" ref="CN845">$BI845 * IF($AH845&lt;=2,
SUMPRODUCT(INDEX($AR$72:$AT$76,,$AI845), INDEX($AU$72:$BA$76,,$AH845), 1 / ($BB$72:$BB$76*CM845 + (1-$BB$72:$BB$76)*CI845), N($AQ$72:$AQ$76&gt;$AO845)),
SUMPRODUCT(INDEX($AR$67:$AT$76,,$AI845), INDEX($AU$67:$BA$76,,$AH845), 1 / ($BC$67:$BC$76*CM845 + (1-$BC$67:$BC$76)*CI845), N($AQ$67:$AQ$76&gt;$AO845))
) / 1000</f>
        <v>0</v>
      </c>
      <c r="CO845" s="232">
        <f t="shared" si="761"/>
        <v>25</v>
      </c>
      <c r="CP845" s="230">
        <f t="shared" si="784"/>
        <v>38</v>
      </c>
      <c r="CQ845" s="235">
        <f t="shared" si="785"/>
        <v>4.0666935483870965</v>
      </c>
      <c r="CR845" s="235" cm="1">
        <f t="array" ref="CR845">$BI845 * IF($AH845&lt;=2,
SUMPRODUCT(INDEX($AR$67:$AT$71,,$AI845), INDEX($AU$67:$BA$71,,$AH845), 1 / ($BB$67:$BB$71*CQ845 + (1-$BB$67:$BB$71)*CM845), N($AQ$67:$AQ$71&gt;$AO845)),
SUMPRODUCT(INDEX($AR$57:$AT$66,,$AI845), INDEX($AU$57:$BA$66,,$AH845), 1 / ($BC$57:$BC$66*CQ845 + (1-$BC$57:$BC$66)*CM845), N($AQ$57:$AQ$66&gt;$AO845))
) / 1000</f>
        <v>0</v>
      </c>
      <c r="CS845" s="232">
        <f t="shared" si="762"/>
        <v>20</v>
      </c>
      <c r="CT845" s="230">
        <f t="shared" si="786"/>
        <v>33</v>
      </c>
      <c r="CU845" s="235">
        <f t="shared" si="787"/>
        <v>4.8487499999999999</v>
      </c>
      <c r="CV845" s="235" cm="1">
        <f t="array" ref="CV845">$BI845 * IF($AH845&lt;=2,
SUMPRODUCT(INDEX($AR$62:$AT$66,,$AI845), INDEX($AU$62:$BA$66,,$AH845), 1 / ($BB$62:$BB$66*CU845 + (1-$BB$62:$BB$66)*CQ845), N($AQ$62:$AQ$66&gt;$AO845)),
SUMPRODUCT(INDEX($AR$47:$AT$56,,$AI845), INDEX($AU$47:$BA$56,,$AH845), 1 / ($BC$47:$BC$56*CU845 + (1-$BC$47:$BC$56)*CQ845), N($AQ$47:$AQ$56&gt;$AO845))
) / 1000</f>
        <v>0</v>
      </c>
      <c r="CW845" s="235" cm="1">
        <f t="array" ref="CW845">$BI845 * IF($AH845&lt;=2,
SUMPRODUCT(INDEX($AR$23:$AT$61,,$AI845), INDEX($AU$23:$BA$61,,$AH845), 1 / ($BB$23:$BB$61*CU845), N($AQ$23:$AQ$61&gt;$AO845)),
SUMPRODUCT(INDEX($AR$23:$AT$46,,$AI845), INDEX($AU$23:$BA$46,,$AH845), 1 / ($BC$23:$BC$46*CU845), N($AQ$23:$AQ$46&gt;$AO845))
) / 1000</f>
        <v>0</v>
      </c>
      <c r="CX845" s="230">
        <f t="shared" si="788"/>
        <v>0</v>
      </c>
      <c r="CY845" s="238"/>
    </row>
    <row r="846" spans="1:103" s="76" customFormat="1" ht="14.25" customHeight="1" x14ac:dyDescent="0.2">
      <c r="A846" s="231" t="b">
        <f t="shared" si="754"/>
        <v>0</v>
      </c>
      <c r="B846" s="245">
        <v>824</v>
      </c>
      <c r="C846" s="258"/>
      <c r="D846" s="258"/>
      <c r="E846" s="246"/>
      <c r="F846" s="247" t="str">
        <f>IF(ISBLANK(E846), "", VLOOKUP(E846, Z!$A$2:$C$4127, 3, FALSE))</f>
        <v/>
      </c>
      <c r="G846" s="248"/>
      <c r="H846" s="248"/>
      <c r="I846" s="249"/>
      <c r="J846" s="250"/>
      <c r="K846" s="259"/>
      <c r="L846" s="260"/>
      <c r="M846" s="252" t="str" cm="1">
        <f t="array" ref="M846">INDEX(Trad, 53, $A$20)</f>
        <v>Verschmutzt</v>
      </c>
      <c r="N846" s="253"/>
      <c r="O846" s="253"/>
      <c r="P846" s="254"/>
      <c r="Q846" s="251"/>
      <c r="R846" s="251"/>
      <c r="S846" s="264">
        <f t="shared" si="763"/>
        <v>0</v>
      </c>
      <c r="T846" s="252" t="str" cm="1">
        <f t="array" ref="T846">INDEX(Trad, 52, $A$20)</f>
        <v>Sauber</v>
      </c>
      <c r="U846" s="253"/>
      <c r="V846" s="253"/>
      <c r="W846" s="254"/>
      <c r="X846" s="251"/>
      <c r="Y846" s="251"/>
      <c r="Z846" s="264">
        <f t="shared" si="764"/>
        <v>0</v>
      </c>
      <c r="AA846" s="261"/>
      <c r="AB846" s="258"/>
      <c r="AC846" s="246"/>
      <c r="AD846" s="247" t="str">
        <f>IF(ISBLANK(AC846), "", VLOOKUP(AC846, Z!$A$2:$C$4127, 3, FALSE))</f>
        <v/>
      </c>
      <c r="AE846" s="262"/>
      <c r="AF846" s="263">
        <f t="shared" si="765"/>
        <v>0</v>
      </c>
      <c r="AG846" s="238"/>
      <c r="AH846" s="229">
        <f t="shared" si="789"/>
        <v>1</v>
      </c>
      <c r="AI846" s="229">
        <f t="shared" si="790"/>
        <v>1</v>
      </c>
      <c r="AJ846" s="229">
        <f t="shared" si="791"/>
        <v>0</v>
      </c>
      <c r="AK846" s="229">
        <v>0</v>
      </c>
      <c r="AL846" s="229">
        <v>0</v>
      </c>
      <c r="AM846" s="229">
        <v>1</v>
      </c>
      <c r="AN846" s="229">
        <v>0</v>
      </c>
      <c r="AO846" s="229">
        <f t="shared" si="766"/>
        <v>-100</v>
      </c>
      <c r="AP846" s="238"/>
      <c r="AQ846" s="255"/>
      <c r="AR846" s="255"/>
      <c r="AS846" s="256"/>
      <c r="AT846" s="256"/>
      <c r="AU846" s="256"/>
      <c r="AV846" s="256"/>
      <c r="AW846" s="256"/>
      <c r="AX846" s="256"/>
      <c r="AY846" s="256"/>
      <c r="AZ846" s="256"/>
      <c r="BA846" s="256"/>
      <c r="BB846" s="256"/>
      <c r="BC846" s="256"/>
      <c r="BD846" s="238"/>
      <c r="BE846" s="229" cm="1">
        <f t="array" ref="BE846">IF(ISBLANK(R846), INDEX(Use, $AH846, 4) - AM846*INDEX(Use, $AH846, 6), R846)</f>
        <v>5</v>
      </c>
      <c r="BF846" s="229">
        <f t="shared" si="767"/>
        <v>30</v>
      </c>
      <c r="BG846" s="229">
        <f t="shared" si="755"/>
        <v>13</v>
      </c>
      <c r="BH846" s="229">
        <f t="shared" si="756"/>
        <v>0</v>
      </c>
      <c r="BI846" s="234" cm="1">
        <f t="array" ref="BI846">K846/IF($L846&gt;0, INDEX($AU$23:$BA$77, $L846+20, $AH846), 1)</f>
        <v>0</v>
      </c>
      <c r="BJ846" s="230">
        <f t="shared" si="768"/>
        <v>0</v>
      </c>
      <c r="BK846" s="229">
        <v>35</v>
      </c>
      <c r="BL846" s="230">
        <f t="shared" si="769"/>
        <v>48</v>
      </c>
      <c r="BM846" s="235">
        <f t="shared" si="770"/>
        <v>2.9108720930232557</v>
      </c>
      <c r="BN846" s="235" cm="1">
        <f t="array" ref="BN846">$BI846 * SUMPRODUCT(INDEX($AR$77:$AT$82,,$AI846),INDEX($AU$77:$BA$82,,$AH846), N($AQ$77:$AQ$82&gt;$AO846)) / BM846 / 1000</f>
        <v>0</v>
      </c>
      <c r="BO846" s="232">
        <f t="shared" si="757"/>
        <v>30</v>
      </c>
      <c r="BP846" s="230">
        <f t="shared" si="771"/>
        <v>43</v>
      </c>
      <c r="BQ846" s="235">
        <f t="shared" si="772"/>
        <v>3.2938815789473681</v>
      </c>
      <c r="BR846" s="235" cm="1">
        <f t="array" ref="BR846">$BI846 * IF($AH846&lt;=2,
SUMPRODUCT(INDEX($AR$72:$AT$76,,$AI846), INDEX($AU$72:$BA$76,,$AH846), 1 / ($BB$72:$BB$76*BQ846 + (1-$BB$72:$BB$76)*BM846), N($AQ$72:$AQ$76&gt;$AO846)),
SUMPRODUCT(INDEX($AR$67:$AT$76,,$AI846), INDEX($AU$67:$BA$76,,$AH846), 1 / ($BC$67:$BC$76*BQ846 + (1-$BC$67:$BC$76)*BM846), N($AQ$67:$AQ$76&gt;$AO846))
) / 1000</f>
        <v>0</v>
      </c>
      <c r="BS846" s="232">
        <f t="shared" si="758"/>
        <v>25</v>
      </c>
      <c r="BT846" s="230">
        <f t="shared" si="773"/>
        <v>38</v>
      </c>
      <c r="BU846" s="235">
        <f t="shared" si="774"/>
        <v>3.792954545454545</v>
      </c>
      <c r="BV846" s="235" cm="1">
        <f t="array" ref="BV846">$BI846 * IF($AH846&lt;=2,
SUMPRODUCT(INDEX($AR$67:$AT$71,,$AI846), INDEX($AU$67:$BA$71,,$AH846), 1 / ($BB$67:$BB$71*BU846 + (1-$BB$67:$BB$71)*BQ846), N($AQ$67:$AQ$71&gt;$AO846)),
SUMPRODUCT(INDEX($AR$57:$AT$66,,$AI846), INDEX($AU$57:$BA$66,,$AH846), 1 / ($BC$57:$BC$66*BU846 + (1-$BC$57:$BC$66)*BQ846), N($AQ$57:$AQ$66&gt;$AO846))
) / 1000</f>
        <v>0</v>
      </c>
      <c r="BW846" s="232">
        <f t="shared" si="759"/>
        <v>20</v>
      </c>
      <c r="BX846" s="230">
        <f t="shared" si="775"/>
        <v>33</v>
      </c>
      <c r="BY846" s="235">
        <f t="shared" si="776"/>
        <v>4.4702678571428569</v>
      </c>
      <c r="BZ846" s="235" cm="1">
        <f t="array" ref="BZ846">$BI846 * IF($AH846&lt;=2,
SUMPRODUCT(INDEX($AR$62:$AT$66,,$AI846), INDEX($AU$62:$BA$66,,$AH846), 1 / ($BB$62:$BB$66*BY846 + (1-$BB$62:$BB$66)*BU846), N($AQ$62:$AQ$66&gt;$AO846)),
SUMPRODUCT(INDEX($AR$47:$AT$56,,$AI846), INDEX($AU$47:$BA$56,,$AH846), 1 / ($BC$47:$BC$56*BY846 + (1-$BC$47:$BC$56)*BU846), N($AQ$47:$AQ$56&gt;$AO846))
) / 1000</f>
        <v>0</v>
      </c>
      <c r="CA846" s="235" cm="1">
        <f t="array" ref="CA846">$BI846 * IF($AH846&lt;=2,
SUMPRODUCT(INDEX($AR$23:$AT$61,,$AI846), INDEX($AU$23:$BA$61,,$AH846), 1 / ($BB$23:$BB$61*BY846), N($AQ$23:$AQ$61&gt;$AO846)),
SUMPRODUCT(INDEX($AR$23:$AT$46,,$AI846), INDEX($AU$23:$BA$46,,$AH846), 1 / ($BC$23:$BC$46*BY846), N($AQ$23:$AQ$46&gt;$AO846))
) / 1000</f>
        <v>0</v>
      </c>
      <c r="CB846" s="230">
        <f t="shared" si="777"/>
        <v>0</v>
      </c>
      <c r="CC846" s="238"/>
      <c r="CD846" s="229" cm="1">
        <f t="array" ref="CD846">IF(ISBLANK(Y846), INDEX(Use, $AH846, 4) - AN846*INDEX(Use, $AH846, 6) - (Q846-X846), Y846)</f>
        <v>7</v>
      </c>
      <c r="CE846" s="229">
        <f t="shared" si="778"/>
        <v>32</v>
      </c>
      <c r="CF846" s="230">
        <f t="shared" si="779"/>
        <v>0</v>
      </c>
      <c r="CG846" s="229">
        <v>35</v>
      </c>
      <c r="CH846" s="230">
        <f t="shared" si="780"/>
        <v>48</v>
      </c>
      <c r="CI846" s="235">
        <f t="shared" si="781"/>
        <v>3.0748170731707316</v>
      </c>
      <c r="CJ846" s="235" cm="1">
        <f t="array" ref="CJ846">$BI846 * SUMPRODUCT(INDEX($AR$77:$AT$82,,$AI846),INDEX($AU$77:$BA$82,,$AH846), N($AQ$77:$AQ$82&gt;$AO846)) / CI846 / 1000</f>
        <v>0</v>
      </c>
      <c r="CK846" s="232">
        <f t="shared" si="760"/>
        <v>30</v>
      </c>
      <c r="CL846" s="230">
        <f t="shared" si="782"/>
        <v>43</v>
      </c>
      <c r="CM846" s="235">
        <f t="shared" si="783"/>
        <v>3.5018750000000001</v>
      </c>
      <c r="CN846" s="235" cm="1">
        <f t="array" ref="CN846">$BI846 * IF($AH846&lt;=2,
SUMPRODUCT(INDEX($AR$72:$AT$76,,$AI846), INDEX($AU$72:$BA$76,,$AH846), 1 / ($BB$72:$BB$76*CM846 + (1-$BB$72:$BB$76)*CI846), N($AQ$72:$AQ$76&gt;$AO846)),
SUMPRODUCT(INDEX($AR$67:$AT$76,,$AI846), INDEX($AU$67:$BA$76,,$AH846), 1 / ($BC$67:$BC$76*CM846 + (1-$BC$67:$BC$76)*CI846), N($AQ$67:$AQ$76&gt;$AO846))
) / 1000</f>
        <v>0</v>
      </c>
      <c r="CO846" s="232">
        <f t="shared" si="761"/>
        <v>25</v>
      </c>
      <c r="CP846" s="230">
        <f t="shared" si="784"/>
        <v>38</v>
      </c>
      <c r="CQ846" s="235">
        <f t="shared" si="785"/>
        <v>4.0666935483870965</v>
      </c>
      <c r="CR846" s="235" cm="1">
        <f t="array" ref="CR846">$BI846 * IF($AH846&lt;=2,
SUMPRODUCT(INDEX($AR$67:$AT$71,,$AI846), INDEX($AU$67:$BA$71,,$AH846), 1 / ($BB$67:$BB$71*CQ846 + (1-$BB$67:$BB$71)*CM846), N($AQ$67:$AQ$71&gt;$AO846)),
SUMPRODUCT(INDEX($AR$57:$AT$66,,$AI846), INDEX($AU$57:$BA$66,,$AH846), 1 / ($BC$57:$BC$66*CQ846 + (1-$BC$57:$BC$66)*CM846), N($AQ$57:$AQ$66&gt;$AO846))
) / 1000</f>
        <v>0</v>
      </c>
      <c r="CS846" s="232">
        <f t="shared" si="762"/>
        <v>20</v>
      </c>
      <c r="CT846" s="230">
        <f t="shared" si="786"/>
        <v>33</v>
      </c>
      <c r="CU846" s="235">
        <f t="shared" si="787"/>
        <v>4.8487499999999999</v>
      </c>
      <c r="CV846" s="235" cm="1">
        <f t="array" ref="CV846">$BI846 * IF($AH846&lt;=2,
SUMPRODUCT(INDEX($AR$62:$AT$66,,$AI846), INDEX($AU$62:$BA$66,,$AH846), 1 / ($BB$62:$BB$66*CU846 + (1-$BB$62:$BB$66)*CQ846), N($AQ$62:$AQ$66&gt;$AO846)),
SUMPRODUCT(INDEX($AR$47:$AT$56,,$AI846), INDEX($AU$47:$BA$56,,$AH846), 1 / ($BC$47:$BC$56*CU846 + (1-$BC$47:$BC$56)*CQ846), N($AQ$47:$AQ$56&gt;$AO846))
) / 1000</f>
        <v>0</v>
      </c>
      <c r="CW846" s="235" cm="1">
        <f t="array" ref="CW846">$BI846 * IF($AH846&lt;=2,
SUMPRODUCT(INDEX($AR$23:$AT$61,,$AI846), INDEX($AU$23:$BA$61,,$AH846), 1 / ($BB$23:$BB$61*CU846), N($AQ$23:$AQ$61&gt;$AO846)),
SUMPRODUCT(INDEX($AR$23:$AT$46,,$AI846), INDEX($AU$23:$BA$46,,$AH846), 1 / ($BC$23:$BC$46*CU846), N($AQ$23:$AQ$46&gt;$AO846))
) / 1000</f>
        <v>0</v>
      </c>
      <c r="CX846" s="230">
        <f t="shared" si="788"/>
        <v>0</v>
      </c>
      <c r="CY846" s="238"/>
    </row>
    <row r="847" spans="1:103" s="76" customFormat="1" ht="14.25" customHeight="1" x14ac:dyDescent="0.2">
      <c r="A847" s="231" t="b">
        <f t="shared" si="754"/>
        <v>0</v>
      </c>
      <c r="B847" s="245">
        <v>825</v>
      </c>
      <c r="C847" s="258"/>
      <c r="D847" s="258"/>
      <c r="E847" s="246"/>
      <c r="F847" s="247" t="str">
        <f>IF(ISBLANK(E847), "", VLOOKUP(E847, Z!$A$2:$C$4127, 3, FALSE))</f>
        <v/>
      </c>
      <c r="G847" s="248"/>
      <c r="H847" s="248"/>
      <c r="I847" s="249"/>
      <c r="J847" s="250"/>
      <c r="K847" s="259"/>
      <c r="L847" s="260"/>
      <c r="M847" s="252" t="str" cm="1">
        <f t="array" ref="M847">INDEX(Trad, 53, $A$20)</f>
        <v>Verschmutzt</v>
      </c>
      <c r="N847" s="253"/>
      <c r="O847" s="253"/>
      <c r="P847" s="254"/>
      <c r="Q847" s="251"/>
      <c r="R847" s="251"/>
      <c r="S847" s="264">
        <f t="shared" si="763"/>
        <v>0</v>
      </c>
      <c r="T847" s="252" t="str" cm="1">
        <f t="array" ref="T847">INDEX(Trad, 52, $A$20)</f>
        <v>Sauber</v>
      </c>
      <c r="U847" s="253"/>
      <c r="V847" s="253"/>
      <c r="W847" s="254"/>
      <c r="X847" s="251"/>
      <c r="Y847" s="251"/>
      <c r="Z847" s="264">
        <f t="shared" si="764"/>
        <v>0</v>
      </c>
      <c r="AA847" s="261"/>
      <c r="AB847" s="258"/>
      <c r="AC847" s="246"/>
      <c r="AD847" s="247" t="str">
        <f>IF(ISBLANK(AC847), "", VLOOKUP(AC847, Z!$A$2:$C$4127, 3, FALSE))</f>
        <v/>
      </c>
      <c r="AE847" s="262"/>
      <c r="AF847" s="263">
        <f t="shared" si="765"/>
        <v>0</v>
      </c>
      <c r="AG847" s="238"/>
      <c r="AH847" s="229">
        <f t="shared" si="789"/>
        <v>1</v>
      </c>
      <c r="AI847" s="229">
        <f t="shared" si="790"/>
        <v>1</v>
      </c>
      <c r="AJ847" s="229">
        <f t="shared" si="791"/>
        <v>0</v>
      </c>
      <c r="AK847" s="229">
        <v>0</v>
      </c>
      <c r="AL847" s="229">
        <v>0</v>
      </c>
      <c r="AM847" s="229">
        <v>1</v>
      </c>
      <c r="AN847" s="229">
        <v>0</v>
      </c>
      <c r="AO847" s="229">
        <f t="shared" si="766"/>
        <v>-100</v>
      </c>
      <c r="AP847" s="238"/>
      <c r="AQ847" s="255"/>
      <c r="AR847" s="255"/>
      <c r="AS847" s="256"/>
      <c r="AT847" s="256"/>
      <c r="AU847" s="256"/>
      <c r="AV847" s="256"/>
      <c r="AW847" s="256"/>
      <c r="AX847" s="256"/>
      <c r="AY847" s="256"/>
      <c r="AZ847" s="256"/>
      <c r="BA847" s="256"/>
      <c r="BB847" s="256"/>
      <c r="BC847" s="256"/>
      <c r="BD847" s="238"/>
      <c r="BE847" s="229" cm="1">
        <f t="array" ref="BE847">IF(ISBLANK(R847), INDEX(Use, $AH847, 4) - AM847*INDEX(Use, $AH847, 6), R847)</f>
        <v>5</v>
      </c>
      <c r="BF847" s="229">
        <f t="shared" si="767"/>
        <v>30</v>
      </c>
      <c r="BG847" s="229">
        <f t="shared" si="755"/>
        <v>13</v>
      </c>
      <c r="BH847" s="229">
        <f t="shared" si="756"/>
        <v>0</v>
      </c>
      <c r="BI847" s="234" cm="1">
        <f t="array" ref="BI847">K847/IF($L847&gt;0, INDEX($AU$23:$BA$77, $L847+20, $AH847), 1)</f>
        <v>0</v>
      </c>
      <c r="BJ847" s="230">
        <f t="shared" si="768"/>
        <v>0</v>
      </c>
      <c r="BK847" s="229">
        <v>35</v>
      </c>
      <c r="BL847" s="230">
        <f t="shared" si="769"/>
        <v>48</v>
      </c>
      <c r="BM847" s="235">
        <f t="shared" si="770"/>
        <v>2.9108720930232557</v>
      </c>
      <c r="BN847" s="235" cm="1">
        <f t="array" ref="BN847">$BI847 * SUMPRODUCT(INDEX($AR$77:$AT$82,,$AI847),INDEX($AU$77:$BA$82,,$AH847), N($AQ$77:$AQ$82&gt;$AO847)) / BM847 / 1000</f>
        <v>0</v>
      </c>
      <c r="BO847" s="232">
        <f t="shared" si="757"/>
        <v>30</v>
      </c>
      <c r="BP847" s="230">
        <f t="shared" si="771"/>
        <v>43</v>
      </c>
      <c r="BQ847" s="235">
        <f t="shared" si="772"/>
        <v>3.2938815789473681</v>
      </c>
      <c r="BR847" s="235" cm="1">
        <f t="array" ref="BR847">$BI847 * IF($AH847&lt;=2,
SUMPRODUCT(INDEX($AR$72:$AT$76,,$AI847), INDEX($AU$72:$BA$76,,$AH847), 1 / ($BB$72:$BB$76*BQ847 + (1-$BB$72:$BB$76)*BM847), N($AQ$72:$AQ$76&gt;$AO847)),
SUMPRODUCT(INDEX($AR$67:$AT$76,,$AI847), INDEX($AU$67:$BA$76,,$AH847), 1 / ($BC$67:$BC$76*BQ847 + (1-$BC$67:$BC$76)*BM847), N($AQ$67:$AQ$76&gt;$AO847))
) / 1000</f>
        <v>0</v>
      </c>
      <c r="BS847" s="232">
        <f t="shared" si="758"/>
        <v>25</v>
      </c>
      <c r="BT847" s="230">
        <f t="shared" si="773"/>
        <v>38</v>
      </c>
      <c r="BU847" s="235">
        <f t="shared" si="774"/>
        <v>3.792954545454545</v>
      </c>
      <c r="BV847" s="235" cm="1">
        <f t="array" ref="BV847">$BI847 * IF($AH847&lt;=2,
SUMPRODUCT(INDEX($AR$67:$AT$71,,$AI847), INDEX($AU$67:$BA$71,,$AH847), 1 / ($BB$67:$BB$71*BU847 + (1-$BB$67:$BB$71)*BQ847), N($AQ$67:$AQ$71&gt;$AO847)),
SUMPRODUCT(INDEX($AR$57:$AT$66,,$AI847), INDEX($AU$57:$BA$66,,$AH847), 1 / ($BC$57:$BC$66*BU847 + (1-$BC$57:$BC$66)*BQ847), N($AQ$57:$AQ$66&gt;$AO847))
) / 1000</f>
        <v>0</v>
      </c>
      <c r="BW847" s="232">
        <f t="shared" si="759"/>
        <v>20</v>
      </c>
      <c r="BX847" s="230">
        <f t="shared" si="775"/>
        <v>33</v>
      </c>
      <c r="BY847" s="235">
        <f t="shared" si="776"/>
        <v>4.4702678571428569</v>
      </c>
      <c r="BZ847" s="235" cm="1">
        <f t="array" ref="BZ847">$BI847 * IF($AH847&lt;=2,
SUMPRODUCT(INDEX($AR$62:$AT$66,,$AI847), INDEX($AU$62:$BA$66,,$AH847), 1 / ($BB$62:$BB$66*BY847 + (1-$BB$62:$BB$66)*BU847), N($AQ$62:$AQ$66&gt;$AO847)),
SUMPRODUCT(INDEX($AR$47:$AT$56,,$AI847), INDEX($AU$47:$BA$56,,$AH847), 1 / ($BC$47:$BC$56*BY847 + (1-$BC$47:$BC$56)*BU847), N($AQ$47:$AQ$56&gt;$AO847))
) / 1000</f>
        <v>0</v>
      </c>
      <c r="CA847" s="235" cm="1">
        <f t="array" ref="CA847">$BI847 * IF($AH847&lt;=2,
SUMPRODUCT(INDEX($AR$23:$AT$61,,$AI847), INDEX($AU$23:$BA$61,,$AH847), 1 / ($BB$23:$BB$61*BY847), N($AQ$23:$AQ$61&gt;$AO847)),
SUMPRODUCT(INDEX($AR$23:$AT$46,,$AI847), INDEX($AU$23:$BA$46,,$AH847), 1 / ($BC$23:$BC$46*BY847), N($AQ$23:$AQ$46&gt;$AO847))
) / 1000</f>
        <v>0</v>
      </c>
      <c r="CB847" s="230">
        <f t="shared" si="777"/>
        <v>0</v>
      </c>
      <c r="CC847" s="238"/>
      <c r="CD847" s="229" cm="1">
        <f t="array" ref="CD847">IF(ISBLANK(Y847), INDEX(Use, $AH847, 4) - AN847*INDEX(Use, $AH847, 6) - (Q847-X847), Y847)</f>
        <v>7</v>
      </c>
      <c r="CE847" s="229">
        <f t="shared" si="778"/>
        <v>32</v>
      </c>
      <c r="CF847" s="230">
        <f t="shared" si="779"/>
        <v>0</v>
      </c>
      <c r="CG847" s="229">
        <v>35</v>
      </c>
      <c r="CH847" s="230">
        <f t="shared" si="780"/>
        <v>48</v>
      </c>
      <c r="CI847" s="235">
        <f t="shared" si="781"/>
        <v>3.0748170731707316</v>
      </c>
      <c r="CJ847" s="235" cm="1">
        <f t="array" ref="CJ847">$BI847 * SUMPRODUCT(INDEX($AR$77:$AT$82,,$AI847),INDEX($AU$77:$BA$82,,$AH847), N($AQ$77:$AQ$82&gt;$AO847)) / CI847 / 1000</f>
        <v>0</v>
      </c>
      <c r="CK847" s="232">
        <f t="shared" si="760"/>
        <v>30</v>
      </c>
      <c r="CL847" s="230">
        <f t="shared" si="782"/>
        <v>43</v>
      </c>
      <c r="CM847" s="235">
        <f t="shared" si="783"/>
        <v>3.5018750000000001</v>
      </c>
      <c r="CN847" s="235" cm="1">
        <f t="array" ref="CN847">$BI847 * IF($AH847&lt;=2,
SUMPRODUCT(INDEX($AR$72:$AT$76,,$AI847), INDEX($AU$72:$BA$76,,$AH847), 1 / ($BB$72:$BB$76*CM847 + (1-$BB$72:$BB$76)*CI847), N($AQ$72:$AQ$76&gt;$AO847)),
SUMPRODUCT(INDEX($AR$67:$AT$76,,$AI847), INDEX($AU$67:$BA$76,,$AH847), 1 / ($BC$67:$BC$76*CM847 + (1-$BC$67:$BC$76)*CI847), N($AQ$67:$AQ$76&gt;$AO847))
) / 1000</f>
        <v>0</v>
      </c>
      <c r="CO847" s="232">
        <f t="shared" si="761"/>
        <v>25</v>
      </c>
      <c r="CP847" s="230">
        <f t="shared" si="784"/>
        <v>38</v>
      </c>
      <c r="CQ847" s="235">
        <f t="shared" si="785"/>
        <v>4.0666935483870965</v>
      </c>
      <c r="CR847" s="235" cm="1">
        <f t="array" ref="CR847">$BI847 * IF($AH847&lt;=2,
SUMPRODUCT(INDEX($AR$67:$AT$71,,$AI847), INDEX($AU$67:$BA$71,,$AH847), 1 / ($BB$67:$BB$71*CQ847 + (1-$BB$67:$BB$71)*CM847), N($AQ$67:$AQ$71&gt;$AO847)),
SUMPRODUCT(INDEX($AR$57:$AT$66,,$AI847), INDEX($AU$57:$BA$66,,$AH847), 1 / ($BC$57:$BC$66*CQ847 + (1-$BC$57:$BC$66)*CM847), N($AQ$57:$AQ$66&gt;$AO847))
) / 1000</f>
        <v>0</v>
      </c>
      <c r="CS847" s="232">
        <f t="shared" si="762"/>
        <v>20</v>
      </c>
      <c r="CT847" s="230">
        <f t="shared" si="786"/>
        <v>33</v>
      </c>
      <c r="CU847" s="235">
        <f t="shared" si="787"/>
        <v>4.8487499999999999</v>
      </c>
      <c r="CV847" s="235" cm="1">
        <f t="array" ref="CV847">$BI847 * IF($AH847&lt;=2,
SUMPRODUCT(INDEX($AR$62:$AT$66,,$AI847), INDEX($AU$62:$BA$66,,$AH847), 1 / ($BB$62:$BB$66*CU847 + (1-$BB$62:$BB$66)*CQ847), N($AQ$62:$AQ$66&gt;$AO847)),
SUMPRODUCT(INDEX($AR$47:$AT$56,,$AI847), INDEX($AU$47:$BA$56,,$AH847), 1 / ($BC$47:$BC$56*CU847 + (1-$BC$47:$BC$56)*CQ847), N($AQ$47:$AQ$56&gt;$AO847))
) / 1000</f>
        <v>0</v>
      </c>
      <c r="CW847" s="235" cm="1">
        <f t="array" ref="CW847">$BI847 * IF($AH847&lt;=2,
SUMPRODUCT(INDEX($AR$23:$AT$61,,$AI847), INDEX($AU$23:$BA$61,,$AH847), 1 / ($BB$23:$BB$61*CU847), N($AQ$23:$AQ$61&gt;$AO847)),
SUMPRODUCT(INDEX($AR$23:$AT$46,,$AI847), INDEX($AU$23:$BA$46,,$AH847), 1 / ($BC$23:$BC$46*CU847), N($AQ$23:$AQ$46&gt;$AO847))
) / 1000</f>
        <v>0</v>
      </c>
      <c r="CX847" s="230">
        <f t="shared" si="788"/>
        <v>0</v>
      </c>
      <c r="CY847" s="238"/>
    </row>
    <row r="848" spans="1:103" s="76" customFormat="1" ht="14.25" customHeight="1" x14ac:dyDescent="0.2">
      <c r="A848" s="231" t="b">
        <f t="shared" si="754"/>
        <v>0</v>
      </c>
      <c r="B848" s="245">
        <v>826</v>
      </c>
      <c r="C848" s="258"/>
      <c r="D848" s="258"/>
      <c r="E848" s="246"/>
      <c r="F848" s="247" t="str">
        <f>IF(ISBLANK(E848), "", VLOOKUP(E848, Z!$A$2:$C$4127, 3, FALSE))</f>
        <v/>
      </c>
      <c r="G848" s="248"/>
      <c r="H848" s="248"/>
      <c r="I848" s="249"/>
      <c r="J848" s="250"/>
      <c r="K848" s="259"/>
      <c r="L848" s="260"/>
      <c r="M848" s="252" t="str" cm="1">
        <f t="array" ref="M848">INDEX(Trad, 53, $A$20)</f>
        <v>Verschmutzt</v>
      </c>
      <c r="N848" s="253"/>
      <c r="O848" s="253"/>
      <c r="P848" s="254"/>
      <c r="Q848" s="251"/>
      <c r="R848" s="251"/>
      <c r="S848" s="264">
        <f t="shared" si="763"/>
        <v>0</v>
      </c>
      <c r="T848" s="252" t="str" cm="1">
        <f t="array" ref="T848">INDEX(Trad, 52, $A$20)</f>
        <v>Sauber</v>
      </c>
      <c r="U848" s="253"/>
      <c r="V848" s="253"/>
      <c r="W848" s="254"/>
      <c r="X848" s="251"/>
      <c r="Y848" s="251"/>
      <c r="Z848" s="264">
        <f t="shared" si="764"/>
        <v>0</v>
      </c>
      <c r="AA848" s="261"/>
      <c r="AB848" s="258"/>
      <c r="AC848" s="246"/>
      <c r="AD848" s="247" t="str">
        <f>IF(ISBLANK(AC848), "", VLOOKUP(AC848, Z!$A$2:$C$4127, 3, FALSE))</f>
        <v/>
      </c>
      <c r="AE848" s="262"/>
      <c r="AF848" s="263">
        <f t="shared" si="765"/>
        <v>0</v>
      </c>
      <c r="AG848" s="238"/>
      <c r="AH848" s="229">
        <f t="shared" si="789"/>
        <v>1</v>
      </c>
      <c r="AI848" s="229">
        <f t="shared" si="790"/>
        <v>1</v>
      </c>
      <c r="AJ848" s="229">
        <f t="shared" si="791"/>
        <v>0</v>
      </c>
      <c r="AK848" s="229">
        <v>0</v>
      </c>
      <c r="AL848" s="229">
        <v>0</v>
      </c>
      <c r="AM848" s="229">
        <v>1</v>
      </c>
      <c r="AN848" s="229">
        <v>0</v>
      </c>
      <c r="AO848" s="229">
        <f t="shared" si="766"/>
        <v>-100</v>
      </c>
      <c r="AP848" s="238"/>
      <c r="AQ848" s="255"/>
      <c r="AR848" s="255"/>
      <c r="AS848" s="256"/>
      <c r="AT848" s="256"/>
      <c r="AU848" s="256"/>
      <c r="AV848" s="256"/>
      <c r="AW848" s="256"/>
      <c r="AX848" s="256"/>
      <c r="AY848" s="256"/>
      <c r="AZ848" s="256"/>
      <c r="BA848" s="256"/>
      <c r="BB848" s="256"/>
      <c r="BC848" s="256"/>
      <c r="BD848" s="238"/>
      <c r="BE848" s="229" cm="1">
        <f t="array" ref="BE848">IF(ISBLANK(R848), INDEX(Use, $AH848, 4) - AM848*INDEX(Use, $AH848, 6), R848)</f>
        <v>5</v>
      </c>
      <c r="BF848" s="229">
        <f t="shared" si="767"/>
        <v>30</v>
      </c>
      <c r="BG848" s="229">
        <f t="shared" si="755"/>
        <v>13</v>
      </c>
      <c r="BH848" s="229">
        <f t="shared" si="756"/>
        <v>0</v>
      </c>
      <c r="BI848" s="234" cm="1">
        <f t="array" ref="BI848">K848/IF($L848&gt;0, INDEX($AU$23:$BA$77, $L848+20, $AH848), 1)</f>
        <v>0</v>
      </c>
      <c r="BJ848" s="230">
        <f t="shared" si="768"/>
        <v>0</v>
      </c>
      <c r="BK848" s="229">
        <v>35</v>
      </c>
      <c r="BL848" s="230">
        <f t="shared" si="769"/>
        <v>48</v>
      </c>
      <c r="BM848" s="235">
        <f t="shared" si="770"/>
        <v>2.9108720930232557</v>
      </c>
      <c r="BN848" s="235" cm="1">
        <f t="array" ref="BN848">$BI848 * SUMPRODUCT(INDEX($AR$77:$AT$82,,$AI848),INDEX($AU$77:$BA$82,,$AH848), N($AQ$77:$AQ$82&gt;$AO848)) / BM848 / 1000</f>
        <v>0</v>
      </c>
      <c r="BO848" s="232">
        <f t="shared" si="757"/>
        <v>30</v>
      </c>
      <c r="BP848" s="230">
        <f t="shared" si="771"/>
        <v>43</v>
      </c>
      <c r="BQ848" s="235">
        <f t="shared" si="772"/>
        <v>3.2938815789473681</v>
      </c>
      <c r="BR848" s="235" cm="1">
        <f t="array" ref="BR848">$BI848 * IF($AH848&lt;=2,
SUMPRODUCT(INDEX($AR$72:$AT$76,,$AI848), INDEX($AU$72:$BA$76,,$AH848), 1 / ($BB$72:$BB$76*BQ848 + (1-$BB$72:$BB$76)*BM848), N($AQ$72:$AQ$76&gt;$AO848)),
SUMPRODUCT(INDEX($AR$67:$AT$76,,$AI848), INDEX($AU$67:$BA$76,,$AH848), 1 / ($BC$67:$BC$76*BQ848 + (1-$BC$67:$BC$76)*BM848), N($AQ$67:$AQ$76&gt;$AO848))
) / 1000</f>
        <v>0</v>
      </c>
      <c r="BS848" s="232">
        <f t="shared" si="758"/>
        <v>25</v>
      </c>
      <c r="BT848" s="230">
        <f t="shared" si="773"/>
        <v>38</v>
      </c>
      <c r="BU848" s="235">
        <f t="shared" si="774"/>
        <v>3.792954545454545</v>
      </c>
      <c r="BV848" s="235" cm="1">
        <f t="array" ref="BV848">$BI848 * IF($AH848&lt;=2,
SUMPRODUCT(INDEX($AR$67:$AT$71,,$AI848), INDEX($AU$67:$BA$71,,$AH848), 1 / ($BB$67:$BB$71*BU848 + (1-$BB$67:$BB$71)*BQ848), N($AQ$67:$AQ$71&gt;$AO848)),
SUMPRODUCT(INDEX($AR$57:$AT$66,,$AI848), INDEX($AU$57:$BA$66,,$AH848), 1 / ($BC$57:$BC$66*BU848 + (1-$BC$57:$BC$66)*BQ848), N($AQ$57:$AQ$66&gt;$AO848))
) / 1000</f>
        <v>0</v>
      </c>
      <c r="BW848" s="232">
        <f t="shared" si="759"/>
        <v>20</v>
      </c>
      <c r="BX848" s="230">
        <f t="shared" si="775"/>
        <v>33</v>
      </c>
      <c r="BY848" s="235">
        <f t="shared" si="776"/>
        <v>4.4702678571428569</v>
      </c>
      <c r="BZ848" s="235" cm="1">
        <f t="array" ref="BZ848">$BI848 * IF($AH848&lt;=2,
SUMPRODUCT(INDEX($AR$62:$AT$66,,$AI848), INDEX($AU$62:$BA$66,,$AH848), 1 / ($BB$62:$BB$66*BY848 + (1-$BB$62:$BB$66)*BU848), N($AQ$62:$AQ$66&gt;$AO848)),
SUMPRODUCT(INDEX($AR$47:$AT$56,,$AI848), INDEX($AU$47:$BA$56,,$AH848), 1 / ($BC$47:$BC$56*BY848 + (1-$BC$47:$BC$56)*BU848), N($AQ$47:$AQ$56&gt;$AO848))
) / 1000</f>
        <v>0</v>
      </c>
      <c r="CA848" s="235" cm="1">
        <f t="array" ref="CA848">$BI848 * IF($AH848&lt;=2,
SUMPRODUCT(INDEX($AR$23:$AT$61,,$AI848), INDEX($AU$23:$BA$61,,$AH848), 1 / ($BB$23:$BB$61*BY848), N($AQ$23:$AQ$61&gt;$AO848)),
SUMPRODUCT(INDEX($AR$23:$AT$46,,$AI848), INDEX($AU$23:$BA$46,,$AH848), 1 / ($BC$23:$BC$46*BY848), N($AQ$23:$AQ$46&gt;$AO848))
) / 1000</f>
        <v>0</v>
      </c>
      <c r="CB848" s="230">
        <f t="shared" si="777"/>
        <v>0</v>
      </c>
      <c r="CC848" s="238"/>
      <c r="CD848" s="229" cm="1">
        <f t="array" ref="CD848">IF(ISBLANK(Y848), INDEX(Use, $AH848, 4) - AN848*INDEX(Use, $AH848, 6) - (Q848-X848), Y848)</f>
        <v>7</v>
      </c>
      <c r="CE848" s="229">
        <f t="shared" si="778"/>
        <v>32</v>
      </c>
      <c r="CF848" s="230">
        <f t="shared" si="779"/>
        <v>0</v>
      </c>
      <c r="CG848" s="229">
        <v>35</v>
      </c>
      <c r="CH848" s="230">
        <f t="shared" si="780"/>
        <v>48</v>
      </c>
      <c r="CI848" s="235">
        <f t="shared" si="781"/>
        <v>3.0748170731707316</v>
      </c>
      <c r="CJ848" s="235" cm="1">
        <f t="array" ref="CJ848">$BI848 * SUMPRODUCT(INDEX($AR$77:$AT$82,,$AI848),INDEX($AU$77:$BA$82,,$AH848), N($AQ$77:$AQ$82&gt;$AO848)) / CI848 / 1000</f>
        <v>0</v>
      </c>
      <c r="CK848" s="232">
        <f t="shared" si="760"/>
        <v>30</v>
      </c>
      <c r="CL848" s="230">
        <f t="shared" si="782"/>
        <v>43</v>
      </c>
      <c r="CM848" s="235">
        <f t="shared" si="783"/>
        <v>3.5018750000000001</v>
      </c>
      <c r="CN848" s="235" cm="1">
        <f t="array" ref="CN848">$BI848 * IF($AH848&lt;=2,
SUMPRODUCT(INDEX($AR$72:$AT$76,,$AI848), INDEX($AU$72:$BA$76,,$AH848), 1 / ($BB$72:$BB$76*CM848 + (1-$BB$72:$BB$76)*CI848), N($AQ$72:$AQ$76&gt;$AO848)),
SUMPRODUCT(INDEX($AR$67:$AT$76,,$AI848), INDEX($AU$67:$BA$76,,$AH848), 1 / ($BC$67:$BC$76*CM848 + (1-$BC$67:$BC$76)*CI848), N($AQ$67:$AQ$76&gt;$AO848))
) / 1000</f>
        <v>0</v>
      </c>
      <c r="CO848" s="232">
        <f t="shared" si="761"/>
        <v>25</v>
      </c>
      <c r="CP848" s="230">
        <f t="shared" si="784"/>
        <v>38</v>
      </c>
      <c r="CQ848" s="235">
        <f t="shared" si="785"/>
        <v>4.0666935483870965</v>
      </c>
      <c r="CR848" s="235" cm="1">
        <f t="array" ref="CR848">$BI848 * IF($AH848&lt;=2,
SUMPRODUCT(INDEX($AR$67:$AT$71,,$AI848), INDEX($AU$67:$BA$71,,$AH848), 1 / ($BB$67:$BB$71*CQ848 + (1-$BB$67:$BB$71)*CM848), N($AQ$67:$AQ$71&gt;$AO848)),
SUMPRODUCT(INDEX($AR$57:$AT$66,,$AI848), INDEX($AU$57:$BA$66,,$AH848), 1 / ($BC$57:$BC$66*CQ848 + (1-$BC$57:$BC$66)*CM848), N($AQ$57:$AQ$66&gt;$AO848))
) / 1000</f>
        <v>0</v>
      </c>
      <c r="CS848" s="232">
        <f t="shared" si="762"/>
        <v>20</v>
      </c>
      <c r="CT848" s="230">
        <f t="shared" si="786"/>
        <v>33</v>
      </c>
      <c r="CU848" s="235">
        <f t="shared" si="787"/>
        <v>4.8487499999999999</v>
      </c>
      <c r="CV848" s="235" cm="1">
        <f t="array" ref="CV848">$BI848 * IF($AH848&lt;=2,
SUMPRODUCT(INDEX($AR$62:$AT$66,,$AI848), INDEX($AU$62:$BA$66,,$AH848), 1 / ($BB$62:$BB$66*CU848 + (1-$BB$62:$BB$66)*CQ848), N($AQ$62:$AQ$66&gt;$AO848)),
SUMPRODUCT(INDEX($AR$47:$AT$56,,$AI848), INDEX($AU$47:$BA$56,,$AH848), 1 / ($BC$47:$BC$56*CU848 + (1-$BC$47:$BC$56)*CQ848), N($AQ$47:$AQ$56&gt;$AO848))
) / 1000</f>
        <v>0</v>
      </c>
      <c r="CW848" s="235" cm="1">
        <f t="array" ref="CW848">$BI848 * IF($AH848&lt;=2,
SUMPRODUCT(INDEX($AR$23:$AT$61,,$AI848), INDEX($AU$23:$BA$61,,$AH848), 1 / ($BB$23:$BB$61*CU848), N($AQ$23:$AQ$61&gt;$AO848)),
SUMPRODUCT(INDEX($AR$23:$AT$46,,$AI848), INDEX($AU$23:$BA$46,,$AH848), 1 / ($BC$23:$BC$46*CU848), N($AQ$23:$AQ$46&gt;$AO848))
) / 1000</f>
        <v>0</v>
      </c>
      <c r="CX848" s="230">
        <f t="shared" si="788"/>
        <v>0</v>
      </c>
      <c r="CY848" s="238"/>
    </row>
    <row r="849" spans="1:103" s="76" customFormat="1" ht="14.25" customHeight="1" x14ac:dyDescent="0.2">
      <c r="A849" s="231" t="b">
        <f t="shared" si="754"/>
        <v>0</v>
      </c>
      <c r="B849" s="245">
        <v>827</v>
      </c>
      <c r="C849" s="258"/>
      <c r="D849" s="258"/>
      <c r="E849" s="246"/>
      <c r="F849" s="247" t="str">
        <f>IF(ISBLANK(E849), "", VLOOKUP(E849, Z!$A$2:$C$4127, 3, FALSE))</f>
        <v/>
      </c>
      <c r="G849" s="248"/>
      <c r="H849" s="248"/>
      <c r="I849" s="249"/>
      <c r="J849" s="250"/>
      <c r="K849" s="259"/>
      <c r="L849" s="260"/>
      <c r="M849" s="252" t="str" cm="1">
        <f t="array" ref="M849">INDEX(Trad, 53, $A$20)</f>
        <v>Verschmutzt</v>
      </c>
      <c r="N849" s="253"/>
      <c r="O849" s="253"/>
      <c r="P849" s="254"/>
      <c r="Q849" s="251"/>
      <c r="R849" s="251"/>
      <c r="S849" s="264">
        <f t="shared" si="763"/>
        <v>0</v>
      </c>
      <c r="T849" s="252" t="str" cm="1">
        <f t="array" ref="T849">INDEX(Trad, 52, $A$20)</f>
        <v>Sauber</v>
      </c>
      <c r="U849" s="253"/>
      <c r="V849" s="253"/>
      <c r="W849" s="254"/>
      <c r="X849" s="251"/>
      <c r="Y849" s="251"/>
      <c r="Z849" s="264">
        <f t="shared" si="764"/>
        <v>0</v>
      </c>
      <c r="AA849" s="261"/>
      <c r="AB849" s="258"/>
      <c r="AC849" s="246"/>
      <c r="AD849" s="247" t="str">
        <f>IF(ISBLANK(AC849), "", VLOOKUP(AC849, Z!$A$2:$C$4127, 3, FALSE))</f>
        <v/>
      </c>
      <c r="AE849" s="262"/>
      <c r="AF849" s="263">
        <f t="shared" si="765"/>
        <v>0</v>
      </c>
      <c r="AG849" s="238"/>
      <c r="AH849" s="229">
        <f t="shared" si="789"/>
        <v>1</v>
      </c>
      <c r="AI849" s="229">
        <f t="shared" si="790"/>
        <v>1</v>
      </c>
      <c r="AJ849" s="229">
        <f t="shared" si="791"/>
        <v>0</v>
      </c>
      <c r="AK849" s="229">
        <v>0</v>
      </c>
      <c r="AL849" s="229">
        <v>0</v>
      </c>
      <c r="AM849" s="229">
        <v>1</v>
      </c>
      <c r="AN849" s="229">
        <v>0</v>
      </c>
      <c r="AO849" s="229">
        <f t="shared" si="766"/>
        <v>-100</v>
      </c>
      <c r="AP849" s="238"/>
      <c r="AQ849" s="255"/>
      <c r="AR849" s="255"/>
      <c r="AS849" s="256"/>
      <c r="AT849" s="256"/>
      <c r="AU849" s="256"/>
      <c r="AV849" s="256"/>
      <c r="AW849" s="256"/>
      <c r="AX849" s="256"/>
      <c r="AY849" s="256"/>
      <c r="AZ849" s="256"/>
      <c r="BA849" s="256"/>
      <c r="BB849" s="256"/>
      <c r="BC849" s="256"/>
      <c r="BD849" s="238"/>
      <c r="BE849" s="229" cm="1">
        <f t="array" ref="BE849">IF(ISBLANK(R849), INDEX(Use, $AH849, 4) - AM849*INDEX(Use, $AH849, 6), R849)</f>
        <v>5</v>
      </c>
      <c r="BF849" s="229">
        <f t="shared" si="767"/>
        <v>30</v>
      </c>
      <c r="BG849" s="229">
        <f t="shared" si="755"/>
        <v>13</v>
      </c>
      <c r="BH849" s="229">
        <f t="shared" si="756"/>
        <v>0</v>
      </c>
      <c r="BI849" s="234" cm="1">
        <f t="array" ref="BI849">K849/IF($L849&gt;0, INDEX($AU$23:$BA$77, $L849+20, $AH849), 1)</f>
        <v>0</v>
      </c>
      <c r="BJ849" s="230">
        <f t="shared" si="768"/>
        <v>0</v>
      </c>
      <c r="BK849" s="229">
        <v>35</v>
      </c>
      <c r="BL849" s="230">
        <f t="shared" si="769"/>
        <v>48</v>
      </c>
      <c r="BM849" s="235">
        <f t="shared" si="770"/>
        <v>2.9108720930232557</v>
      </c>
      <c r="BN849" s="235" cm="1">
        <f t="array" ref="BN849">$BI849 * SUMPRODUCT(INDEX($AR$77:$AT$82,,$AI849),INDEX($AU$77:$BA$82,,$AH849), N($AQ$77:$AQ$82&gt;$AO849)) / BM849 / 1000</f>
        <v>0</v>
      </c>
      <c r="BO849" s="232">
        <f t="shared" si="757"/>
        <v>30</v>
      </c>
      <c r="BP849" s="230">
        <f t="shared" si="771"/>
        <v>43</v>
      </c>
      <c r="BQ849" s="235">
        <f t="shared" si="772"/>
        <v>3.2938815789473681</v>
      </c>
      <c r="BR849" s="235" cm="1">
        <f t="array" ref="BR849">$BI849 * IF($AH849&lt;=2,
SUMPRODUCT(INDEX($AR$72:$AT$76,,$AI849), INDEX($AU$72:$BA$76,,$AH849), 1 / ($BB$72:$BB$76*BQ849 + (1-$BB$72:$BB$76)*BM849), N($AQ$72:$AQ$76&gt;$AO849)),
SUMPRODUCT(INDEX($AR$67:$AT$76,,$AI849), INDEX($AU$67:$BA$76,,$AH849), 1 / ($BC$67:$BC$76*BQ849 + (1-$BC$67:$BC$76)*BM849), N($AQ$67:$AQ$76&gt;$AO849))
) / 1000</f>
        <v>0</v>
      </c>
      <c r="BS849" s="232">
        <f t="shared" si="758"/>
        <v>25</v>
      </c>
      <c r="BT849" s="230">
        <f t="shared" si="773"/>
        <v>38</v>
      </c>
      <c r="BU849" s="235">
        <f t="shared" si="774"/>
        <v>3.792954545454545</v>
      </c>
      <c r="BV849" s="235" cm="1">
        <f t="array" ref="BV849">$BI849 * IF($AH849&lt;=2,
SUMPRODUCT(INDEX($AR$67:$AT$71,,$AI849), INDEX($AU$67:$BA$71,,$AH849), 1 / ($BB$67:$BB$71*BU849 + (1-$BB$67:$BB$71)*BQ849), N($AQ$67:$AQ$71&gt;$AO849)),
SUMPRODUCT(INDEX($AR$57:$AT$66,,$AI849), INDEX($AU$57:$BA$66,,$AH849), 1 / ($BC$57:$BC$66*BU849 + (1-$BC$57:$BC$66)*BQ849), N($AQ$57:$AQ$66&gt;$AO849))
) / 1000</f>
        <v>0</v>
      </c>
      <c r="BW849" s="232">
        <f t="shared" si="759"/>
        <v>20</v>
      </c>
      <c r="BX849" s="230">
        <f t="shared" si="775"/>
        <v>33</v>
      </c>
      <c r="BY849" s="235">
        <f t="shared" si="776"/>
        <v>4.4702678571428569</v>
      </c>
      <c r="BZ849" s="235" cm="1">
        <f t="array" ref="BZ849">$BI849 * IF($AH849&lt;=2,
SUMPRODUCT(INDEX($AR$62:$AT$66,,$AI849), INDEX($AU$62:$BA$66,,$AH849), 1 / ($BB$62:$BB$66*BY849 + (1-$BB$62:$BB$66)*BU849), N($AQ$62:$AQ$66&gt;$AO849)),
SUMPRODUCT(INDEX($AR$47:$AT$56,,$AI849), INDEX($AU$47:$BA$56,,$AH849), 1 / ($BC$47:$BC$56*BY849 + (1-$BC$47:$BC$56)*BU849), N($AQ$47:$AQ$56&gt;$AO849))
) / 1000</f>
        <v>0</v>
      </c>
      <c r="CA849" s="235" cm="1">
        <f t="array" ref="CA849">$BI849 * IF($AH849&lt;=2,
SUMPRODUCT(INDEX($AR$23:$AT$61,,$AI849), INDEX($AU$23:$BA$61,,$AH849), 1 / ($BB$23:$BB$61*BY849), N($AQ$23:$AQ$61&gt;$AO849)),
SUMPRODUCT(INDEX($AR$23:$AT$46,,$AI849), INDEX($AU$23:$BA$46,,$AH849), 1 / ($BC$23:$BC$46*BY849), N($AQ$23:$AQ$46&gt;$AO849))
) / 1000</f>
        <v>0</v>
      </c>
      <c r="CB849" s="230">
        <f t="shared" si="777"/>
        <v>0</v>
      </c>
      <c r="CC849" s="238"/>
      <c r="CD849" s="229" cm="1">
        <f t="array" ref="CD849">IF(ISBLANK(Y849), INDEX(Use, $AH849, 4) - AN849*INDEX(Use, $AH849, 6) - (Q849-X849), Y849)</f>
        <v>7</v>
      </c>
      <c r="CE849" s="229">
        <f t="shared" si="778"/>
        <v>32</v>
      </c>
      <c r="CF849" s="230">
        <f t="shared" si="779"/>
        <v>0</v>
      </c>
      <c r="CG849" s="229">
        <v>35</v>
      </c>
      <c r="CH849" s="230">
        <f t="shared" si="780"/>
        <v>48</v>
      </c>
      <c r="CI849" s="235">
        <f t="shared" si="781"/>
        <v>3.0748170731707316</v>
      </c>
      <c r="CJ849" s="235" cm="1">
        <f t="array" ref="CJ849">$BI849 * SUMPRODUCT(INDEX($AR$77:$AT$82,,$AI849),INDEX($AU$77:$BA$82,,$AH849), N($AQ$77:$AQ$82&gt;$AO849)) / CI849 / 1000</f>
        <v>0</v>
      </c>
      <c r="CK849" s="232">
        <f t="shared" si="760"/>
        <v>30</v>
      </c>
      <c r="CL849" s="230">
        <f t="shared" si="782"/>
        <v>43</v>
      </c>
      <c r="CM849" s="235">
        <f t="shared" si="783"/>
        <v>3.5018750000000001</v>
      </c>
      <c r="CN849" s="235" cm="1">
        <f t="array" ref="CN849">$BI849 * IF($AH849&lt;=2,
SUMPRODUCT(INDEX($AR$72:$AT$76,,$AI849), INDEX($AU$72:$BA$76,,$AH849), 1 / ($BB$72:$BB$76*CM849 + (1-$BB$72:$BB$76)*CI849), N($AQ$72:$AQ$76&gt;$AO849)),
SUMPRODUCT(INDEX($AR$67:$AT$76,,$AI849), INDEX($AU$67:$BA$76,,$AH849), 1 / ($BC$67:$BC$76*CM849 + (1-$BC$67:$BC$76)*CI849), N($AQ$67:$AQ$76&gt;$AO849))
) / 1000</f>
        <v>0</v>
      </c>
      <c r="CO849" s="232">
        <f t="shared" si="761"/>
        <v>25</v>
      </c>
      <c r="CP849" s="230">
        <f t="shared" si="784"/>
        <v>38</v>
      </c>
      <c r="CQ849" s="235">
        <f t="shared" si="785"/>
        <v>4.0666935483870965</v>
      </c>
      <c r="CR849" s="235" cm="1">
        <f t="array" ref="CR849">$BI849 * IF($AH849&lt;=2,
SUMPRODUCT(INDEX($AR$67:$AT$71,,$AI849), INDEX($AU$67:$BA$71,,$AH849), 1 / ($BB$67:$BB$71*CQ849 + (1-$BB$67:$BB$71)*CM849), N($AQ$67:$AQ$71&gt;$AO849)),
SUMPRODUCT(INDEX($AR$57:$AT$66,,$AI849), INDEX($AU$57:$BA$66,,$AH849), 1 / ($BC$57:$BC$66*CQ849 + (1-$BC$57:$BC$66)*CM849), N($AQ$57:$AQ$66&gt;$AO849))
) / 1000</f>
        <v>0</v>
      </c>
      <c r="CS849" s="232">
        <f t="shared" si="762"/>
        <v>20</v>
      </c>
      <c r="CT849" s="230">
        <f t="shared" si="786"/>
        <v>33</v>
      </c>
      <c r="CU849" s="235">
        <f t="shared" si="787"/>
        <v>4.8487499999999999</v>
      </c>
      <c r="CV849" s="235" cm="1">
        <f t="array" ref="CV849">$BI849 * IF($AH849&lt;=2,
SUMPRODUCT(INDEX($AR$62:$AT$66,,$AI849), INDEX($AU$62:$BA$66,,$AH849), 1 / ($BB$62:$BB$66*CU849 + (1-$BB$62:$BB$66)*CQ849), N($AQ$62:$AQ$66&gt;$AO849)),
SUMPRODUCT(INDEX($AR$47:$AT$56,,$AI849), INDEX($AU$47:$BA$56,,$AH849), 1 / ($BC$47:$BC$56*CU849 + (1-$BC$47:$BC$56)*CQ849), N($AQ$47:$AQ$56&gt;$AO849))
) / 1000</f>
        <v>0</v>
      </c>
      <c r="CW849" s="235" cm="1">
        <f t="array" ref="CW849">$BI849 * IF($AH849&lt;=2,
SUMPRODUCT(INDEX($AR$23:$AT$61,,$AI849), INDEX($AU$23:$BA$61,,$AH849), 1 / ($BB$23:$BB$61*CU849), N($AQ$23:$AQ$61&gt;$AO849)),
SUMPRODUCT(INDEX($AR$23:$AT$46,,$AI849), INDEX($AU$23:$BA$46,,$AH849), 1 / ($BC$23:$BC$46*CU849), N($AQ$23:$AQ$46&gt;$AO849))
) / 1000</f>
        <v>0</v>
      </c>
      <c r="CX849" s="230">
        <f t="shared" si="788"/>
        <v>0</v>
      </c>
      <c r="CY849" s="238"/>
    </row>
    <row r="850" spans="1:103" s="76" customFormat="1" ht="14.25" customHeight="1" x14ac:dyDescent="0.2">
      <c r="A850" s="231" t="b">
        <f t="shared" si="754"/>
        <v>0</v>
      </c>
      <c r="B850" s="245">
        <v>828</v>
      </c>
      <c r="C850" s="258"/>
      <c r="D850" s="258"/>
      <c r="E850" s="246"/>
      <c r="F850" s="247" t="str">
        <f>IF(ISBLANK(E850), "", VLOOKUP(E850, Z!$A$2:$C$4127, 3, FALSE))</f>
        <v/>
      </c>
      <c r="G850" s="248"/>
      <c r="H850" s="248"/>
      <c r="I850" s="249"/>
      <c r="J850" s="250"/>
      <c r="K850" s="259"/>
      <c r="L850" s="260"/>
      <c r="M850" s="252" t="str" cm="1">
        <f t="array" ref="M850">INDEX(Trad, 53, $A$20)</f>
        <v>Verschmutzt</v>
      </c>
      <c r="N850" s="253"/>
      <c r="O850" s="253"/>
      <c r="P850" s="254"/>
      <c r="Q850" s="251"/>
      <c r="R850" s="251"/>
      <c r="S850" s="264">
        <f t="shared" si="763"/>
        <v>0</v>
      </c>
      <c r="T850" s="252" t="str" cm="1">
        <f t="array" ref="T850">INDEX(Trad, 52, $A$20)</f>
        <v>Sauber</v>
      </c>
      <c r="U850" s="253"/>
      <c r="V850" s="253"/>
      <c r="W850" s="254"/>
      <c r="X850" s="251"/>
      <c r="Y850" s="251"/>
      <c r="Z850" s="264">
        <f t="shared" si="764"/>
        <v>0</v>
      </c>
      <c r="AA850" s="261"/>
      <c r="AB850" s="258"/>
      <c r="AC850" s="246"/>
      <c r="AD850" s="247" t="str">
        <f>IF(ISBLANK(AC850), "", VLOOKUP(AC850, Z!$A$2:$C$4127, 3, FALSE))</f>
        <v/>
      </c>
      <c r="AE850" s="262"/>
      <c r="AF850" s="263">
        <f t="shared" si="765"/>
        <v>0</v>
      </c>
      <c r="AG850" s="238"/>
      <c r="AH850" s="229">
        <f t="shared" si="789"/>
        <v>1</v>
      </c>
      <c r="AI850" s="229">
        <f t="shared" si="790"/>
        <v>1</v>
      </c>
      <c r="AJ850" s="229">
        <f t="shared" si="791"/>
        <v>0</v>
      </c>
      <c r="AK850" s="229">
        <v>0</v>
      </c>
      <c r="AL850" s="229">
        <v>0</v>
      </c>
      <c r="AM850" s="229">
        <v>1</v>
      </c>
      <c r="AN850" s="229">
        <v>0</v>
      </c>
      <c r="AO850" s="229">
        <f t="shared" si="766"/>
        <v>-100</v>
      </c>
      <c r="AP850" s="238"/>
      <c r="AQ850" s="255"/>
      <c r="AR850" s="255"/>
      <c r="AS850" s="256"/>
      <c r="AT850" s="256"/>
      <c r="AU850" s="256"/>
      <c r="AV850" s="256"/>
      <c r="AW850" s="256"/>
      <c r="AX850" s="256"/>
      <c r="AY850" s="256"/>
      <c r="AZ850" s="256"/>
      <c r="BA850" s="256"/>
      <c r="BB850" s="256"/>
      <c r="BC850" s="256"/>
      <c r="BD850" s="238"/>
      <c r="BE850" s="229" cm="1">
        <f t="array" ref="BE850">IF(ISBLANK(R850), INDEX(Use, $AH850, 4) - AM850*INDEX(Use, $AH850, 6), R850)</f>
        <v>5</v>
      </c>
      <c r="BF850" s="229">
        <f t="shared" si="767"/>
        <v>30</v>
      </c>
      <c r="BG850" s="229">
        <f t="shared" si="755"/>
        <v>13</v>
      </c>
      <c r="BH850" s="229">
        <f t="shared" si="756"/>
        <v>0</v>
      </c>
      <c r="BI850" s="234" cm="1">
        <f t="array" ref="BI850">K850/IF($L850&gt;0, INDEX($AU$23:$BA$77, $L850+20, $AH850), 1)</f>
        <v>0</v>
      </c>
      <c r="BJ850" s="230">
        <f t="shared" si="768"/>
        <v>0</v>
      </c>
      <c r="BK850" s="229">
        <v>35</v>
      </c>
      <c r="BL850" s="230">
        <f t="shared" si="769"/>
        <v>48</v>
      </c>
      <c r="BM850" s="235">
        <f t="shared" si="770"/>
        <v>2.9108720930232557</v>
      </c>
      <c r="BN850" s="235" cm="1">
        <f t="array" ref="BN850">$BI850 * SUMPRODUCT(INDEX($AR$77:$AT$82,,$AI850),INDEX($AU$77:$BA$82,,$AH850), N($AQ$77:$AQ$82&gt;$AO850)) / BM850 / 1000</f>
        <v>0</v>
      </c>
      <c r="BO850" s="232">
        <f t="shared" si="757"/>
        <v>30</v>
      </c>
      <c r="BP850" s="230">
        <f t="shared" si="771"/>
        <v>43</v>
      </c>
      <c r="BQ850" s="235">
        <f t="shared" si="772"/>
        <v>3.2938815789473681</v>
      </c>
      <c r="BR850" s="235" cm="1">
        <f t="array" ref="BR850">$BI850 * IF($AH850&lt;=2,
SUMPRODUCT(INDEX($AR$72:$AT$76,,$AI850), INDEX($AU$72:$BA$76,,$AH850), 1 / ($BB$72:$BB$76*BQ850 + (1-$BB$72:$BB$76)*BM850), N($AQ$72:$AQ$76&gt;$AO850)),
SUMPRODUCT(INDEX($AR$67:$AT$76,,$AI850), INDEX($AU$67:$BA$76,,$AH850), 1 / ($BC$67:$BC$76*BQ850 + (1-$BC$67:$BC$76)*BM850), N($AQ$67:$AQ$76&gt;$AO850))
) / 1000</f>
        <v>0</v>
      </c>
      <c r="BS850" s="232">
        <f t="shared" si="758"/>
        <v>25</v>
      </c>
      <c r="BT850" s="230">
        <f t="shared" si="773"/>
        <v>38</v>
      </c>
      <c r="BU850" s="235">
        <f t="shared" si="774"/>
        <v>3.792954545454545</v>
      </c>
      <c r="BV850" s="235" cm="1">
        <f t="array" ref="BV850">$BI850 * IF($AH850&lt;=2,
SUMPRODUCT(INDEX($AR$67:$AT$71,,$AI850), INDEX($AU$67:$BA$71,,$AH850), 1 / ($BB$67:$BB$71*BU850 + (1-$BB$67:$BB$71)*BQ850), N($AQ$67:$AQ$71&gt;$AO850)),
SUMPRODUCT(INDEX($AR$57:$AT$66,,$AI850), INDEX($AU$57:$BA$66,,$AH850), 1 / ($BC$57:$BC$66*BU850 + (1-$BC$57:$BC$66)*BQ850), N($AQ$57:$AQ$66&gt;$AO850))
) / 1000</f>
        <v>0</v>
      </c>
      <c r="BW850" s="232">
        <f t="shared" si="759"/>
        <v>20</v>
      </c>
      <c r="BX850" s="230">
        <f t="shared" si="775"/>
        <v>33</v>
      </c>
      <c r="BY850" s="235">
        <f t="shared" si="776"/>
        <v>4.4702678571428569</v>
      </c>
      <c r="BZ850" s="235" cm="1">
        <f t="array" ref="BZ850">$BI850 * IF($AH850&lt;=2,
SUMPRODUCT(INDEX($AR$62:$AT$66,,$AI850), INDEX($AU$62:$BA$66,,$AH850), 1 / ($BB$62:$BB$66*BY850 + (1-$BB$62:$BB$66)*BU850), N($AQ$62:$AQ$66&gt;$AO850)),
SUMPRODUCT(INDEX($AR$47:$AT$56,,$AI850), INDEX($AU$47:$BA$56,,$AH850), 1 / ($BC$47:$BC$56*BY850 + (1-$BC$47:$BC$56)*BU850), N($AQ$47:$AQ$56&gt;$AO850))
) / 1000</f>
        <v>0</v>
      </c>
      <c r="CA850" s="235" cm="1">
        <f t="array" ref="CA850">$BI850 * IF($AH850&lt;=2,
SUMPRODUCT(INDEX($AR$23:$AT$61,,$AI850), INDEX($AU$23:$BA$61,,$AH850), 1 / ($BB$23:$BB$61*BY850), N($AQ$23:$AQ$61&gt;$AO850)),
SUMPRODUCT(INDEX($AR$23:$AT$46,,$AI850), INDEX($AU$23:$BA$46,,$AH850), 1 / ($BC$23:$BC$46*BY850), N($AQ$23:$AQ$46&gt;$AO850))
) / 1000</f>
        <v>0</v>
      </c>
      <c r="CB850" s="230">
        <f t="shared" si="777"/>
        <v>0</v>
      </c>
      <c r="CC850" s="238"/>
      <c r="CD850" s="229" cm="1">
        <f t="array" ref="CD850">IF(ISBLANK(Y850), INDEX(Use, $AH850, 4) - AN850*INDEX(Use, $AH850, 6) - (Q850-X850), Y850)</f>
        <v>7</v>
      </c>
      <c r="CE850" s="229">
        <f t="shared" si="778"/>
        <v>32</v>
      </c>
      <c r="CF850" s="230">
        <f t="shared" si="779"/>
        <v>0</v>
      </c>
      <c r="CG850" s="229">
        <v>35</v>
      </c>
      <c r="CH850" s="230">
        <f t="shared" si="780"/>
        <v>48</v>
      </c>
      <c r="CI850" s="235">
        <f t="shared" si="781"/>
        <v>3.0748170731707316</v>
      </c>
      <c r="CJ850" s="235" cm="1">
        <f t="array" ref="CJ850">$BI850 * SUMPRODUCT(INDEX($AR$77:$AT$82,,$AI850),INDEX($AU$77:$BA$82,,$AH850), N($AQ$77:$AQ$82&gt;$AO850)) / CI850 / 1000</f>
        <v>0</v>
      </c>
      <c r="CK850" s="232">
        <f t="shared" si="760"/>
        <v>30</v>
      </c>
      <c r="CL850" s="230">
        <f t="shared" si="782"/>
        <v>43</v>
      </c>
      <c r="CM850" s="235">
        <f t="shared" si="783"/>
        <v>3.5018750000000001</v>
      </c>
      <c r="CN850" s="235" cm="1">
        <f t="array" ref="CN850">$BI850 * IF($AH850&lt;=2,
SUMPRODUCT(INDEX($AR$72:$AT$76,,$AI850), INDEX($AU$72:$BA$76,,$AH850), 1 / ($BB$72:$BB$76*CM850 + (1-$BB$72:$BB$76)*CI850), N($AQ$72:$AQ$76&gt;$AO850)),
SUMPRODUCT(INDEX($AR$67:$AT$76,,$AI850), INDEX($AU$67:$BA$76,,$AH850), 1 / ($BC$67:$BC$76*CM850 + (1-$BC$67:$BC$76)*CI850), N($AQ$67:$AQ$76&gt;$AO850))
) / 1000</f>
        <v>0</v>
      </c>
      <c r="CO850" s="232">
        <f t="shared" si="761"/>
        <v>25</v>
      </c>
      <c r="CP850" s="230">
        <f t="shared" si="784"/>
        <v>38</v>
      </c>
      <c r="CQ850" s="235">
        <f t="shared" si="785"/>
        <v>4.0666935483870965</v>
      </c>
      <c r="CR850" s="235" cm="1">
        <f t="array" ref="CR850">$BI850 * IF($AH850&lt;=2,
SUMPRODUCT(INDEX($AR$67:$AT$71,,$AI850), INDEX($AU$67:$BA$71,,$AH850), 1 / ($BB$67:$BB$71*CQ850 + (1-$BB$67:$BB$71)*CM850), N($AQ$67:$AQ$71&gt;$AO850)),
SUMPRODUCT(INDEX($AR$57:$AT$66,,$AI850), INDEX($AU$57:$BA$66,,$AH850), 1 / ($BC$57:$BC$66*CQ850 + (1-$BC$57:$BC$66)*CM850), N($AQ$57:$AQ$66&gt;$AO850))
) / 1000</f>
        <v>0</v>
      </c>
      <c r="CS850" s="232">
        <f t="shared" si="762"/>
        <v>20</v>
      </c>
      <c r="CT850" s="230">
        <f t="shared" si="786"/>
        <v>33</v>
      </c>
      <c r="CU850" s="235">
        <f t="shared" si="787"/>
        <v>4.8487499999999999</v>
      </c>
      <c r="CV850" s="235" cm="1">
        <f t="array" ref="CV850">$BI850 * IF($AH850&lt;=2,
SUMPRODUCT(INDEX($AR$62:$AT$66,,$AI850), INDEX($AU$62:$BA$66,,$AH850), 1 / ($BB$62:$BB$66*CU850 + (1-$BB$62:$BB$66)*CQ850), N($AQ$62:$AQ$66&gt;$AO850)),
SUMPRODUCT(INDEX($AR$47:$AT$56,,$AI850), INDEX($AU$47:$BA$56,,$AH850), 1 / ($BC$47:$BC$56*CU850 + (1-$BC$47:$BC$56)*CQ850), N($AQ$47:$AQ$56&gt;$AO850))
) / 1000</f>
        <v>0</v>
      </c>
      <c r="CW850" s="235" cm="1">
        <f t="array" ref="CW850">$BI850 * IF($AH850&lt;=2,
SUMPRODUCT(INDEX($AR$23:$AT$61,,$AI850), INDEX($AU$23:$BA$61,,$AH850), 1 / ($BB$23:$BB$61*CU850), N($AQ$23:$AQ$61&gt;$AO850)),
SUMPRODUCT(INDEX($AR$23:$AT$46,,$AI850), INDEX($AU$23:$BA$46,,$AH850), 1 / ($BC$23:$BC$46*CU850), N($AQ$23:$AQ$46&gt;$AO850))
) / 1000</f>
        <v>0</v>
      </c>
      <c r="CX850" s="230">
        <f t="shared" si="788"/>
        <v>0</v>
      </c>
      <c r="CY850" s="238"/>
    </row>
    <row r="851" spans="1:103" s="76" customFormat="1" ht="14.25" customHeight="1" x14ac:dyDescent="0.2">
      <c r="A851" s="231" t="b">
        <f t="shared" si="754"/>
        <v>0</v>
      </c>
      <c r="B851" s="245">
        <v>829</v>
      </c>
      <c r="C851" s="258"/>
      <c r="D851" s="258"/>
      <c r="E851" s="246"/>
      <c r="F851" s="247" t="str">
        <f>IF(ISBLANK(E851), "", VLOOKUP(E851, Z!$A$2:$C$4127, 3, FALSE))</f>
        <v/>
      </c>
      <c r="G851" s="248"/>
      <c r="H851" s="248"/>
      <c r="I851" s="249"/>
      <c r="J851" s="250"/>
      <c r="K851" s="259"/>
      <c r="L851" s="260"/>
      <c r="M851" s="252" t="str" cm="1">
        <f t="array" ref="M851">INDEX(Trad, 53, $A$20)</f>
        <v>Verschmutzt</v>
      </c>
      <c r="N851" s="253"/>
      <c r="O851" s="253"/>
      <c r="P851" s="254"/>
      <c r="Q851" s="251"/>
      <c r="R851" s="251"/>
      <c r="S851" s="264">
        <f t="shared" si="763"/>
        <v>0</v>
      </c>
      <c r="T851" s="252" t="str" cm="1">
        <f t="array" ref="T851">INDEX(Trad, 52, $A$20)</f>
        <v>Sauber</v>
      </c>
      <c r="U851" s="253"/>
      <c r="V851" s="253"/>
      <c r="W851" s="254"/>
      <c r="X851" s="251"/>
      <c r="Y851" s="251"/>
      <c r="Z851" s="264">
        <f t="shared" si="764"/>
        <v>0</v>
      </c>
      <c r="AA851" s="261"/>
      <c r="AB851" s="258"/>
      <c r="AC851" s="246"/>
      <c r="AD851" s="247" t="str">
        <f>IF(ISBLANK(AC851), "", VLOOKUP(AC851, Z!$A$2:$C$4127, 3, FALSE))</f>
        <v/>
      </c>
      <c r="AE851" s="262"/>
      <c r="AF851" s="263">
        <f t="shared" si="765"/>
        <v>0</v>
      </c>
      <c r="AG851" s="238"/>
      <c r="AH851" s="229">
        <f t="shared" si="789"/>
        <v>1</v>
      </c>
      <c r="AI851" s="229">
        <f t="shared" si="790"/>
        <v>1</v>
      </c>
      <c r="AJ851" s="229">
        <f t="shared" si="791"/>
        <v>0</v>
      </c>
      <c r="AK851" s="229">
        <v>0</v>
      </c>
      <c r="AL851" s="229">
        <v>0</v>
      </c>
      <c r="AM851" s="229">
        <v>1</v>
      </c>
      <c r="AN851" s="229">
        <v>0</v>
      </c>
      <c r="AO851" s="229">
        <f t="shared" si="766"/>
        <v>-100</v>
      </c>
      <c r="AP851" s="238"/>
      <c r="AQ851" s="255"/>
      <c r="AR851" s="255"/>
      <c r="AS851" s="256"/>
      <c r="AT851" s="256"/>
      <c r="AU851" s="256"/>
      <c r="AV851" s="256"/>
      <c r="AW851" s="256"/>
      <c r="AX851" s="256"/>
      <c r="AY851" s="256"/>
      <c r="AZ851" s="256"/>
      <c r="BA851" s="256"/>
      <c r="BB851" s="256"/>
      <c r="BC851" s="256"/>
      <c r="BD851" s="238"/>
      <c r="BE851" s="229" cm="1">
        <f t="array" ref="BE851">IF(ISBLANK(R851), INDEX(Use, $AH851, 4) - AM851*INDEX(Use, $AH851, 6), R851)</f>
        <v>5</v>
      </c>
      <c r="BF851" s="229">
        <f t="shared" si="767"/>
        <v>30</v>
      </c>
      <c r="BG851" s="229">
        <f t="shared" si="755"/>
        <v>13</v>
      </c>
      <c r="BH851" s="229">
        <f t="shared" si="756"/>
        <v>0</v>
      </c>
      <c r="BI851" s="234" cm="1">
        <f t="array" ref="BI851">K851/IF($L851&gt;0, INDEX($AU$23:$BA$77, $L851+20, $AH851), 1)</f>
        <v>0</v>
      </c>
      <c r="BJ851" s="230">
        <f t="shared" si="768"/>
        <v>0</v>
      </c>
      <c r="BK851" s="229">
        <v>35</v>
      </c>
      <c r="BL851" s="230">
        <f t="shared" si="769"/>
        <v>48</v>
      </c>
      <c r="BM851" s="235">
        <f t="shared" si="770"/>
        <v>2.9108720930232557</v>
      </c>
      <c r="BN851" s="235" cm="1">
        <f t="array" ref="BN851">$BI851 * SUMPRODUCT(INDEX($AR$77:$AT$82,,$AI851),INDEX($AU$77:$BA$82,,$AH851), N($AQ$77:$AQ$82&gt;$AO851)) / BM851 / 1000</f>
        <v>0</v>
      </c>
      <c r="BO851" s="232">
        <f t="shared" si="757"/>
        <v>30</v>
      </c>
      <c r="BP851" s="230">
        <f t="shared" si="771"/>
        <v>43</v>
      </c>
      <c r="BQ851" s="235">
        <f t="shared" si="772"/>
        <v>3.2938815789473681</v>
      </c>
      <c r="BR851" s="235" cm="1">
        <f t="array" ref="BR851">$BI851 * IF($AH851&lt;=2,
SUMPRODUCT(INDEX($AR$72:$AT$76,,$AI851), INDEX($AU$72:$BA$76,,$AH851), 1 / ($BB$72:$BB$76*BQ851 + (1-$BB$72:$BB$76)*BM851), N($AQ$72:$AQ$76&gt;$AO851)),
SUMPRODUCT(INDEX($AR$67:$AT$76,,$AI851), INDEX($AU$67:$BA$76,,$AH851), 1 / ($BC$67:$BC$76*BQ851 + (1-$BC$67:$BC$76)*BM851), N($AQ$67:$AQ$76&gt;$AO851))
) / 1000</f>
        <v>0</v>
      </c>
      <c r="BS851" s="232">
        <f t="shared" si="758"/>
        <v>25</v>
      </c>
      <c r="BT851" s="230">
        <f t="shared" si="773"/>
        <v>38</v>
      </c>
      <c r="BU851" s="235">
        <f t="shared" si="774"/>
        <v>3.792954545454545</v>
      </c>
      <c r="BV851" s="235" cm="1">
        <f t="array" ref="BV851">$BI851 * IF($AH851&lt;=2,
SUMPRODUCT(INDEX($AR$67:$AT$71,,$AI851), INDEX($AU$67:$BA$71,,$AH851), 1 / ($BB$67:$BB$71*BU851 + (1-$BB$67:$BB$71)*BQ851), N($AQ$67:$AQ$71&gt;$AO851)),
SUMPRODUCT(INDEX($AR$57:$AT$66,,$AI851), INDEX($AU$57:$BA$66,,$AH851), 1 / ($BC$57:$BC$66*BU851 + (1-$BC$57:$BC$66)*BQ851), N($AQ$57:$AQ$66&gt;$AO851))
) / 1000</f>
        <v>0</v>
      </c>
      <c r="BW851" s="232">
        <f t="shared" si="759"/>
        <v>20</v>
      </c>
      <c r="BX851" s="230">
        <f t="shared" si="775"/>
        <v>33</v>
      </c>
      <c r="BY851" s="235">
        <f t="shared" si="776"/>
        <v>4.4702678571428569</v>
      </c>
      <c r="BZ851" s="235" cm="1">
        <f t="array" ref="BZ851">$BI851 * IF($AH851&lt;=2,
SUMPRODUCT(INDEX($AR$62:$AT$66,,$AI851), INDEX($AU$62:$BA$66,,$AH851), 1 / ($BB$62:$BB$66*BY851 + (1-$BB$62:$BB$66)*BU851), N($AQ$62:$AQ$66&gt;$AO851)),
SUMPRODUCT(INDEX($AR$47:$AT$56,,$AI851), INDEX($AU$47:$BA$56,,$AH851), 1 / ($BC$47:$BC$56*BY851 + (1-$BC$47:$BC$56)*BU851), N($AQ$47:$AQ$56&gt;$AO851))
) / 1000</f>
        <v>0</v>
      </c>
      <c r="CA851" s="235" cm="1">
        <f t="array" ref="CA851">$BI851 * IF($AH851&lt;=2,
SUMPRODUCT(INDEX($AR$23:$AT$61,,$AI851), INDEX($AU$23:$BA$61,,$AH851), 1 / ($BB$23:$BB$61*BY851), N($AQ$23:$AQ$61&gt;$AO851)),
SUMPRODUCT(INDEX($AR$23:$AT$46,,$AI851), INDEX($AU$23:$BA$46,,$AH851), 1 / ($BC$23:$BC$46*BY851), N($AQ$23:$AQ$46&gt;$AO851))
) / 1000</f>
        <v>0</v>
      </c>
      <c r="CB851" s="230">
        <f t="shared" si="777"/>
        <v>0</v>
      </c>
      <c r="CC851" s="238"/>
      <c r="CD851" s="229" cm="1">
        <f t="array" ref="CD851">IF(ISBLANK(Y851), INDEX(Use, $AH851, 4) - AN851*INDEX(Use, $AH851, 6) - (Q851-X851), Y851)</f>
        <v>7</v>
      </c>
      <c r="CE851" s="229">
        <f t="shared" si="778"/>
        <v>32</v>
      </c>
      <c r="CF851" s="230">
        <f t="shared" si="779"/>
        <v>0</v>
      </c>
      <c r="CG851" s="229">
        <v>35</v>
      </c>
      <c r="CH851" s="230">
        <f t="shared" si="780"/>
        <v>48</v>
      </c>
      <c r="CI851" s="235">
        <f t="shared" si="781"/>
        <v>3.0748170731707316</v>
      </c>
      <c r="CJ851" s="235" cm="1">
        <f t="array" ref="CJ851">$BI851 * SUMPRODUCT(INDEX($AR$77:$AT$82,,$AI851),INDEX($AU$77:$BA$82,,$AH851), N($AQ$77:$AQ$82&gt;$AO851)) / CI851 / 1000</f>
        <v>0</v>
      </c>
      <c r="CK851" s="232">
        <f t="shared" si="760"/>
        <v>30</v>
      </c>
      <c r="CL851" s="230">
        <f t="shared" si="782"/>
        <v>43</v>
      </c>
      <c r="CM851" s="235">
        <f t="shared" si="783"/>
        <v>3.5018750000000001</v>
      </c>
      <c r="CN851" s="235" cm="1">
        <f t="array" ref="CN851">$BI851 * IF($AH851&lt;=2,
SUMPRODUCT(INDEX($AR$72:$AT$76,,$AI851), INDEX($AU$72:$BA$76,,$AH851), 1 / ($BB$72:$BB$76*CM851 + (1-$BB$72:$BB$76)*CI851), N($AQ$72:$AQ$76&gt;$AO851)),
SUMPRODUCT(INDEX($AR$67:$AT$76,,$AI851), INDEX($AU$67:$BA$76,,$AH851), 1 / ($BC$67:$BC$76*CM851 + (1-$BC$67:$BC$76)*CI851), N($AQ$67:$AQ$76&gt;$AO851))
) / 1000</f>
        <v>0</v>
      </c>
      <c r="CO851" s="232">
        <f t="shared" si="761"/>
        <v>25</v>
      </c>
      <c r="CP851" s="230">
        <f t="shared" si="784"/>
        <v>38</v>
      </c>
      <c r="CQ851" s="235">
        <f t="shared" si="785"/>
        <v>4.0666935483870965</v>
      </c>
      <c r="CR851" s="235" cm="1">
        <f t="array" ref="CR851">$BI851 * IF($AH851&lt;=2,
SUMPRODUCT(INDEX($AR$67:$AT$71,,$AI851), INDEX($AU$67:$BA$71,,$AH851), 1 / ($BB$67:$BB$71*CQ851 + (1-$BB$67:$BB$71)*CM851), N($AQ$67:$AQ$71&gt;$AO851)),
SUMPRODUCT(INDEX($AR$57:$AT$66,,$AI851), INDEX($AU$57:$BA$66,,$AH851), 1 / ($BC$57:$BC$66*CQ851 + (1-$BC$57:$BC$66)*CM851), N($AQ$57:$AQ$66&gt;$AO851))
) / 1000</f>
        <v>0</v>
      </c>
      <c r="CS851" s="232">
        <f t="shared" si="762"/>
        <v>20</v>
      </c>
      <c r="CT851" s="230">
        <f t="shared" si="786"/>
        <v>33</v>
      </c>
      <c r="CU851" s="235">
        <f t="shared" si="787"/>
        <v>4.8487499999999999</v>
      </c>
      <c r="CV851" s="235" cm="1">
        <f t="array" ref="CV851">$BI851 * IF($AH851&lt;=2,
SUMPRODUCT(INDEX($AR$62:$AT$66,,$AI851), INDEX($AU$62:$BA$66,,$AH851), 1 / ($BB$62:$BB$66*CU851 + (1-$BB$62:$BB$66)*CQ851), N($AQ$62:$AQ$66&gt;$AO851)),
SUMPRODUCT(INDEX($AR$47:$AT$56,,$AI851), INDEX($AU$47:$BA$56,,$AH851), 1 / ($BC$47:$BC$56*CU851 + (1-$BC$47:$BC$56)*CQ851), N($AQ$47:$AQ$56&gt;$AO851))
) / 1000</f>
        <v>0</v>
      </c>
      <c r="CW851" s="235" cm="1">
        <f t="array" ref="CW851">$BI851 * IF($AH851&lt;=2,
SUMPRODUCT(INDEX($AR$23:$AT$61,,$AI851), INDEX($AU$23:$BA$61,,$AH851), 1 / ($BB$23:$BB$61*CU851), N($AQ$23:$AQ$61&gt;$AO851)),
SUMPRODUCT(INDEX($AR$23:$AT$46,,$AI851), INDEX($AU$23:$BA$46,,$AH851), 1 / ($BC$23:$BC$46*CU851), N($AQ$23:$AQ$46&gt;$AO851))
) / 1000</f>
        <v>0</v>
      </c>
      <c r="CX851" s="230">
        <f t="shared" si="788"/>
        <v>0</v>
      </c>
      <c r="CY851" s="238"/>
    </row>
    <row r="852" spans="1:103" s="76" customFormat="1" ht="14.25" customHeight="1" x14ac:dyDescent="0.2">
      <c r="A852" s="231" t="b">
        <f t="shared" si="754"/>
        <v>0</v>
      </c>
      <c r="B852" s="245">
        <v>830</v>
      </c>
      <c r="C852" s="258"/>
      <c r="D852" s="258"/>
      <c r="E852" s="246"/>
      <c r="F852" s="247" t="str">
        <f>IF(ISBLANK(E852), "", VLOOKUP(E852, Z!$A$2:$C$4127, 3, FALSE))</f>
        <v/>
      </c>
      <c r="G852" s="248"/>
      <c r="H852" s="248"/>
      <c r="I852" s="249"/>
      <c r="J852" s="250"/>
      <c r="K852" s="259"/>
      <c r="L852" s="260"/>
      <c r="M852" s="252" t="str" cm="1">
        <f t="array" ref="M852">INDEX(Trad, 53, $A$20)</f>
        <v>Verschmutzt</v>
      </c>
      <c r="N852" s="253"/>
      <c r="O852" s="253"/>
      <c r="P852" s="254"/>
      <c r="Q852" s="251"/>
      <c r="R852" s="251"/>
      <c r="S852" s="264">
        <f t="shared" si="763"/>
        <v>0</v>
      </c>
      <c r="T852" s="252" t="str" cm="1">
        <f t="array" ref="T852">INDEX(Trad, 52, $A$20)</f>
        <v>Sauber</v>
      </c>
      <c r="U852" s="253"/>
      <c r="V852" s="253"/>
      <c r="W852" s="254"/>
      <c r="X852" s="251"/>
      <c r="Y852" s="251"/>
      <c r="Z852" s="264">
        <f t="shared" si="764"/>
        <v>0</v>
      </c>
      <c r="AA852" s="261"/>
      <c r="AB852" s="258"/>
      <c r="AC852" s="246"/>
      <c r="AD852" s="247" t="str">
        <f>IF(ISBLANK(AC852), "", VLOOKUP(AC852, Z!$A$2:$C$4127, 3, FALSE))</f>
        <v/>
      </c>
      <c r="AE852" s="262"/>
      <c r="AF852" s="263">
        <f t="shared" si="765"/>
        <v>0</v>
      </c>
      <c r="AG852" s="238"/>
      <c r="AH852" s="229">
        <f t="shared" si="789"/>
        <v>1</v>
      </c>
      <c r="AI852" s="229">
        <f t="shared" si="790"/>
        <v>1</v>
      </c>
      <c r="AJ852" s="229">
        <f t="shared" si="791"/>
        <v>0</v>
      </c>
      <c r="AK852" s="229">
        <v>0</v>
      </c>
      <c r="AL852" s="229">
        <v>0</v>
      </c>
      <c r="AM852" s="229">
        <v>1</v>
      </c>
      <c r="AN852" s="229">
        <v>0</v>
      </c>
      <c r="AO852" s="229">
        <f t="shared" si="766"/>
        <v>-100</v>
      </c>
      <c r="AP852" s="238"/>
      <c r="AQ852" s="255"/>
      <c r="AR852" s="255"/>
      <c r="AS852" s="256"/>
      <c r="AT852" s="256"/>
      <c r="AU852" s="256"/>
      <c r="AV852" s="256"/>
      <c r="AW852" s="256"/>
      <c r="AX852" s="256"/>
      <c r="AY852" s="256"/>
      <c r="AZ852" s="256"/>
      <c r="BA852" s="256"/>
      <c r="BB852" s="256"/>
      <c r="BC852" s="256"/>
      <c r="BD852" s="238"/>
      <c r="BE852" s="229" cm="1">
        <f t="array" ref="BE852">IF(ISBLANK(R852), INDEX(Use, $AH852, 4) - AM852*INDEX(Use, $AH852, 6), R852)</f>
        <v>5</v>
      </c>
      <c r="BF852" s="229">
        <f t="shared" si="767"/>
        <v>30</v>
      </c>
      <c r="BG852" s="229">
        <f t="shared" si="755"/>
        <v>13</v>
      </c>
      <c r="BH852" s="229">
        <f t="shared" si="756"/>
        <v>0</v>
      </c>
      <c r="BI852" s="234" cm="1">
        <f t="array" ref="BI852">K852/IF($L852&gt;0, INDEX($AU$23:$BA$77, $L852+20, $AH852), 1)</f>
        <v>0</v>
      </c>
      <c r="BJ852" s="230">
        <f t="shared" si="768"/>
        <v>0</v>
      </c>
      <c r="BK852" s="229">
        <v>35</v>
      </c>
      <c r="BL852" s="230">
        <f t="shared" si="769"/>
        <v>48</v>
      </c>
      <c r="BM852" s="235">
        <f t="shared" si="770"/>
        <v>2.9108720930232557</v>
      </c>
      <c r="BN852" s="235" cm="1">
        <f t="array" ref="BN852">$BI852 * SUMPRODUCT(INDEX($AR$77:$AT$82,,$AI852),INDEX($AU$77:$BA$82,,$AH852), N($AQ$77:$AQ$82&gt;$AO852)) / BM852 / 1000</f>
        <v>0</v>
      </c>
      <c r="BO852" s="232">
        <f t="shared" si="757"/>
        <v>30</v>
      </c>
      <c r="BP852" s="230">
        <f t="shared" si="771"/>
        <v>43</v>
      </c>
      <c r="BQ852" s="235">
        <f t="shared" si="772"/>
        <v>3.2938815789473681</v>
      </c>
      <c r="BR852" s="235" cm="1">
        <f t="array" ref="BR852">$BI852 * IF($AH852&lt;=2,
SUMPRODUCT(INDEX($AR$72:$AT$76,,$AI852), INDEX($AU$72:$BA$76,,$AH852), 1 / ($BB$72:$BB$76*BQ852 + (1-$BB$72:$BB$76)*BM852), N($AQ$72:$AQ$76&gt;$AO852)),
SUMPRODUCT(INDEX($AR$67:$AT$76,,$AI852), INDEX($AU$67:$BA$76,,$AH852), 1 / ($BC$67:$BC$76*BQ852 + (1-$BC$67:$BC$76)*BM852), N($AQ$67:$AQ$76&gt;$AO852))
) / 1000</f>
        <v>0</v>
      </c>
      <c r="BS852" s="232">
        <f t="shared" si="758"/>
        <v>25</v>
      </c>
      <c r="BT852" s="230">
        <f t="shared" si="773"/>
        <v>38</v>
      </c>
      <c r="BU852" s="235">
        <f t="shared" si="774"/>
        <v>3.792954545454545</v>
      </c>
      <c r="BV852" s="235" cm="1">
        <f t="array" ref="BV852">$BI852 * IF($AH852&lt;=2,
SUMPRODUCT(INDEX($AR$67:$AT$71,,$AI852), INDEX($AU$67:$BA$71,,$AH852), 1 / ($BB$67:$BB$71*BU852 + (1-$BB$67:$BB$71)*BQ852), N($AQ$67:$AQ$71&gt;$AO852)),
SUMPRODUCT(INDEX($AR$57:$AT$66,,$AI852), INDEX($AU$57:$BA$66,,$AH852), 1 / ($BC$57:$BC$66*BU852 + (1-$BC$57:$BC$66)*BQ852), N($AQ$57:$AQ$66&gt;$AO852))
) / 1000</f>
        <v>0</v>
      </c>
      <c r="BW852" s="232">
        <f t="shared" si="759"/>
        <v>20</v>
      </c>
      <c r="BX852" s="230">
        <f t="shared" si="775"/>
        <v>33</v>
      </c>
      <c r="BY852" s="235">
        <f t="shared" si="776"/>
        <v>4.4702678571428569</v>
      </c>
      <c r="BZ852" s="235" cm="1">
        <f t="array" ref="BZ852">$BI852 * IF($AH852&lt;=2,
SUMPRODUCT(INDEX($AR$62:$AT$66,,$AI852), INDEX($AU$62:$BA$66,,$AH852), 1 / ($BB$62:$BB$66*BY852 + (1-$BB$62:$BB$66)*BU852), N($AQ$62:$AQ$66&gt;$AO852)),
SUMPRODUCT(INDEX($AR$47:$AT$56,,$AI852), INDEX($AU$47:$BA$56,,$AH852), 1 / ($BC$47:$BC$56*BY852 + (1-$BC$47:$BC$56)*BU852), N($AQ$47:$AQ$56&gt;$AO852))
) / 1000</f>
        <v>0</v>
      </c>
      <c r="CA852" s="235" cm="1">
        <f t="array" ref="CA852">$BI852 * IF($AH852&lt;=2,
SUMPRODUCT(INDEX($AR$23:$AT$61,,$AI852), INDEX($AU$23:$BA$61,,$AH852), 1 / ($BB$23:$BB$61*BY852), N($AQ$23:$AQ$61&gt;$AO852)),
SUMPRODUCT(INDEX($AR$23:$AT$46,,$AI852), INDEX($AU$23:$BA$46,,$AH852), 1 / ($BC$23:$BC$46*BY852), N($AQ$23:$AQ$46&gt;$AO852))
) / 1000</f>
        <v>0</v>
      </c>
      <c r="CB852" s="230">
        <f t="shared" si="777"/>
        <v>0</v>
      </c>
      <c r="CC852" s="238"/>
      <c r="CD852" s="229" cm="1">
        <f t="array" ref="CD852">IF(ISBLANK(Y852), INDEX(Use, $AH852, 4) - AN852*INDEX(Use, $AH852, 6) - (Q852-X852), Y852)</f>
        <v>7</v>
      </c>
      <c r="CE852" s="229">
        <f t="shared" si="778"/>
        <v>32</v>
      </c>
      <c r="CF852" s="230">
        <f t="shared" si="779"/>
        <v>0</v>
      </c>
      <c r="CG852" s="229">
        <v>35</v>
      </c>
      <c r="CH852" s="230">
        <f t="shared" si="780"/>
        <v>48</v>
      </c>
      <c r="CI852" s="235">
        <f t="shared" si="781"/>
        <v>3.0748170731707316</v>
      </c>
      <c r="CJ852" s="235" cm="1">
        <f t="array" ref="CJ852">$BI852 * SUMPRODUCT(INDEX($AR$77:$AT$82,,$AI852),INDEX($AU$77:$BA$82,,$AH852), N($AQ$77:$AQ$82&gt;$AO852)) / CI852 / 1000</f>
        <v>0</v>
      </c>
      <c r="CK852" s="232">
        <f t="shared" si="760"/>
        <v>30</v>
      </c>
      <c r="CL852" s="230">
        <f t="shared" si="782"/>
        <v>43</v>
      </c>
      <c r="CM852" s="235">
        <f t="shared" si="783"/>
        <v>3.5018750000000001</v>
      </c>
      <c r="CN852" s="235" cm="1">
        <f t="array" ref="CN852">$BI852 * IF($AH852&lt;=2,
SUMPRODUCT(INDEX($AR$72:$AT$76,,$AI852), INDEX($AU$72:$BA$76,,$AH852), 1 / ($BB$72:$BB$76*CM852 + (1-$BB$72:$BB$76)*CI852), N($AQ$72:$AQ$76&gt;$AO852)),
SUMPRODUCT(INDEX($AR$67:$AT$76,,$AI852), INDEX($AU$67:$BA$76,,$AH852), 1 / ($BC$67:$BC$76*CM852 + (1-$BC$67:$BC$76)*CI852), N($AQ$67:$AQ$76&gt;$AO852))
) / 1000</f>
        <v>0</v>
      </c>
      <c r="CO852" s="232">
        <f t="shared" si="761"/>
        <v>25</v>
      </c>
      <c r="CP852" s="230">
        <f t="shared" si="784"/>
        <v>38</v>
      </c>
      <c r="CQ852" s="235">
        <f t="shared" si="785"/>
        <v>4.0666935483870965</v>
      </c>
      <c r="CR852" s="235" cm="1">
        <f t="array" ref="CR852">$BI852 * IF($AH852&lt;=2,
SUMPRODUCT(INDEX($AR$67:$AT$71,,$AI852), INDEX($AU$67:$BA$71,,$AH852), 1 / ($BB$67:$BB$71*CQ852 + (1-$BB$67:$BB$71)*CM852), N($AQ$67:$AQ$71&gt;$AO852)),
SUMPRODUCT(INDEX($AR$57:$AT$66,,$AI852), INDEX($AU$57:$BA$66,,$AH852), 1 / ($BC$57:$BC$66*CQ852 + (1-$BC$57:$BC$66)*CM852), N($AQ$57:$AQ$66&gt;$AO852))
) / 1000</f>
        <v>0</v>
      </c>
      <c r="CS852" s="232">
        <f t="shared" si="762"/>
        <v>20</v>
      </c>
      <c r="CT852" s="230">
        <f t="shared" si="786"/>
        <v>33</v>
      </c>
      <c r="CU852" s="235">
        <f t="shared" si="787"/>
        <v>4.8487499999999999</v>
      </c>
      <c r="CV852" s="235" cm="1">
        <f t="array" ref="CV852">$BI852 * IF($AH852&lt;=2,
SUMPRODUCT(INDEX($AR$62:$AT$66,,$AI852), INDEX($AU$62:$BA$66,,$AH852), 1 / ($BB$62:$BB$66*CU852 + (1-$BB$62:$BB$66)*CQ852), N($AQ$62:$AQ$66&gt;$AO852)),
SUMPRODUCT(INDEX($AR$47:$AT$56,,$AI852), INDEX($AU$47:$BA$56,,$AH852), 1 / ($BC$47:$BC$56*CU852 + (1-$BC$47:$BC$56)*CQ852), N($AQ$47:$AQ$56&gt;$AO852))
) / 1000</f>
        <v>0</v>
      </c>
      <c r="CW852" s="235" cm="1">
        <f t="array" ref="CW852">$BI852 * IF($AH852&lt;=2,
SUMPRODUCT(INDEX($AR$23:$AT$61,,$AI852), INDEX($AU$23:$BA$61,,$AH852), 1 / ($BB$23:$BB$61*CU852), N($AQ$23:$AQ$61&gt;$AO852)),
SUMPRODUCT(INDEX($AR$23:$AT$46,,$AI852), INDEX($AU$23:$BA$46,,$AH852), 1 / ($BC$23:$BC$46*CU852), N($AQ$23:$AQ$46&gt;$AO852))
) / 1000</f>
        <v>0</v>
      </c>
      <c r="CX852" s="230">
        <f t="shared" si="788"/>
        <v>0</v>
      </c>
      <c r="CY852" s="238"/>
    </row>
    <row r="853" spans="1:103" s="76" customFormat="1" ht="14.25" customHeight="1" x14ac:dyDescent="0.2">
      <c r="A853" s="231" t="b">
        <f t="shared" si="754"/>
        <v>0</v>
      </c>
      <c r="B853" s="245">
        <v>831</v>
      </c>
      <c r="C853" s="258"/>
      <c r="D853" s="258"/>
      <c r="E853" s="246"/>
      <c r="F853" s="247" t="str">
        <f>IF(ISBLANK(E853), "", VLOOKUP(E853, Z!$A$2:$C$4127, 3, FALSE))</f>
        <v/>
      </c>
      <c r="G853" s="248"/>
      <c r="H853" s="248"/>
      <c r="I853" s="249"/>
      <c r="J853" s="250"/>
      <c r="K853" s="259"/>
      <c r="L853" s="260"/>
      <c r="M853" s="252" t="str" cm="1">
        <f t="array" ref="M853">INDEX(Trad, 53, $A$20)</f>
        <v>Verschmutzt</v>
      </c>
      <c r="N853" s="253"/>
      <c r="O853" s="253"/>
      <c r="P853" s="254"/>
      <c r="Q853" s="251"/>
      <c r="R853" s="251"/>
      <c r="S853" s="264">
        <f t="shared" si="763"/>
        <v>0</v>
      </c>
      <c r="T853" s="252" t="str" cm="1">
        <f t="array" ref="T853">INDEX(Trad, 52, $A$20)</f>
        <v>Sauber</v>
      </c>
      <c r="U853" s="253"/>
      <c r="V853" s="253"/>
      <c r="W853" s="254"/>
      <c r="X853" s="251"/>
      <c r="Y853" s="251"/>
      <c r="Z853" s="264">
        <f t="shared" si="764"/>
        <v>0</v>
      </c>
      <c r="AA853" s="261"/>
      <c r="AB853" s="258"/>
      <c r="AC853" s="246"/>
      <c r="AD853" s="247" t="str">
        <f>IF(ISBLANK(AC853), "", VLOOKUP(AC853, Z!$A$2:$C$4127, 3, FALSE))</f>
        <v/>
      </c>
      <c r="AE853" s="262"/>
      <c r="AF853" s="263">
        <f t="shared" si="765"/>
        <v>0</v>
      </c>
      <c r="AG853" s="238"/>
      <c r="AH853" s="229">
        <f t="shared" si="789"/>
        <v>1</v>
      </c>
      <c r="AI853" s="229">
        <f t="shared" si="790"/>
        <v>1</v>
      </c>
      <c r="AJ853" s="229">
        <f t="shared" si="791"/>
        <v>0</v>
      </c>
      <c r="AK853" s="229">
        <v>0</v>
      </c>
      <c r="AL853" s="229">
        <v>0</v>
      </c>
      <c r="AM853" s="229">
        <v>1</v>
      </c>
      <c r="AN853" s="229">
        <v>0</v>
      </c>
      <c r="AO853" s="229">
        <f t="shared" si="766"/>
        <v>-100</v>
      </c>
      <c r="AP853" s="238"/>
      <c r="AQ853" s="255"/>
      <c r="AR853" s="255"/>
      <c r="AS853" s="256"/>
      <c r="AT853" s="256"/>
      <c r="AU853" s="256"/>
      <c r="AV853" s="256"/>
      <c r="AW853" s="256"/>
      <c r="AX853" s="256"/>
      <c r="AY853" s="256"/>
      <c r="AZ853" s="256"/>
      <c r="BA853" s="256"/>
      <c r="BB853" s="256"/>
      <c r="BC853" s="256"/>
      <c r="BD853" s="238"/>
      <c r="BE853" s="229" cm="1">
        <f t="array" ref="BE853">IF(ISBLANK(R853), INDEX(Use, $AH853, 4) - AM853*INDEX(Use, $AH853, 6), R853)</f>
        <v>5</v>
      </c>
      <c r="BF853" s="229">
        <f t="shared" si="767"/>
        <v>30</v>
      </c>
      <c r="BG853" s="229">
        <f t="shared" si="755"/>
        <v>13</v>
      </c>
      <c r="BH853" s="229">
        <f t="shared" si="756"/>
        <v>0</v>
      </c>
      <c r="BI853" s="234" cm="1">
        <f t="array" ref="BI853">K853/IF($L853&gt;0, INDEX($AU$23:$BA$77, $L853+20, $AH853), 1)</f>
        <v>0</v>
      </c>
      <c r="BJ853" s="230">
        <f t="shared" si="768"/>
        <v>0</v>
      </c>
      <c r="BK853" s="229">
        <v>35</v>
      </c>
      <c r="BL853" s="230">
        <f t="shared" si="769"/>
        <v>48</v>
      </c>
      <c r="BM853" s="235">
        <f t="shared" si="770"/>
        <v>2.9108720930232557</v>
      </c>
      <c r="BN853" s="235" cm="1">
        <f t="array" ref="BN853">$BI853 * SUMPRODUCT(INDEX($AR$77:$AT$82,,$AI853),INDEX($AU$77:$BA$82,,$AH853), N($AQ$77:$AQ$82&gt;$AO853)) / BM853 / 1000</f>
        <v>0</v>
      </c>
      <c r="BO853" s="232">
        <f t="shared" si="757"/>
        <v>30</v>
      </c>
      <c r="BP853" s="230">
        <f t="shared" si="771"/>
        <v>43</v>
      </c>
      <c r="BQ853" s="235">
        <f t="shared" si="772"/>
        <v>3.2938815789473681</v>
      </c>
      <c r="BR853" s="235" cm="1">
        <f t="array" ref="BR853">$BI853 * IF($AH853&lt;=2,
SUMPRODUCT(INDEX($AR$72:$AT$76,,$AI853), INDEX($AU$72:$BA$76,,$AH853), 1 / ($BB$72:$BB$76*BQ853 + (1-$BB$72:$BB$76)*BM853), N($AQ$72:$AQ$76&gt;$AO853)),
SUMPRODUCT(INDEX($AR$67:$AT$76,,$AI853), INDEX($AU$67:$BA$76,,$AH853), 1 / ($BC$67:$BC$76*BQ853 + (1-$BC$67:$BC$76)*BM853), N($AQ$67:$AQ$76&gt;$AO853))
) / 1000</f>
        <v>0</v>
      </c>
      <c r="BS853" s="232">
        <f t="shared" si="758"/>
        <v>25</v>
      </c>
      <c r="BT853" s="230">
        <f t="shared" si="773"/>
        <v>38</v>
      </c>
      <c r="BU853" s="235">
        <f t="shared" si="774"/>
        <v>3.792954545454545</v>
      </c>
      <c r="BV853" s="235" cm="1">
        <f t="array" ref="BV853">$BI853 * IF($AH853&lt;=2,
SUMPRODUCT(INDEX($AR$67:$AT$71,,$AI853), INDEX($AU$67:$BA$71,,$AH853), 1 / ($BB$67:$BB$71*BU853 + (1-$BB$67:$BB$71)*BQ853), N($AQ$67:$AQ$71&gt;$AO853)),
SUMPRODUCT(INDEX($AR$57:$AT$66,,$AI853), INDEX($AU$57:$BA$66,,$AH853), 1 / ($BC$57:$BC$66*BU853 + (1-$BC$57:$BC$66)*BQ853), N($AQ$57:$AQ$66&gt;$AO853))
) / 1000</f>
        <v>0</v>
      </c>
      <c r="BW853" s="232">
        <f t="shared" si="759"/>
        <v>20</v>
      </c>
      <c r="BX853" s="230">
        <f t="shared" si="775"/>
        <v>33</v>
      </c>
      <c r="BY853" s="235">
        <f t="shared" si="776"/>
        <v>4.4702678571428569</v>
      </c>
      <c r="BZ853" s="235" cm="1">
        <f t="array" ref="BZ853">$BI853 * IF($AH853&lt;=2,
SUMPRODUCT(INDEX($AR$62:$AT$66,,$AI853), INDEX($AU$62:$BA$66,,$AH853), 1 / ($BB$62:$BB$66*BY853 + (1-$BB$62:$BB$66)*BU853), N($AQ$62:$AQ$66&gt;$AO853)),
SUMPRODUCT(INDEX($AR$47:$AT$56,,$AI853), INDEX($AU$47:$BA$56,,$AH853), 1 / ($BC$47:$BC$56*BY853 + (1-$BC$47:$BC$56)*BU853), N($AQ$47:$AQ$56&gt;$AO853))
) / 1000</f>
        <v>0</v>
      </c>
      <c r="CA853" s="235" cm="1">
        <f t="array" ref="CA853">$BI853 * IF($AH853&lt;=2,
SUMPRODUCT(INDEX($AR$23:$AT$61,,$AI853), INDEX($AU$23:$BA$61,,$AH853), 1 / ($BB$23:$BB$61*BY853), N($AQ$23:$AQ$61&gt;$AO853)),
SUMPRODUCT(INDEX($AR$23:$AT$46,,$AI853), INDEX($AU$23:$BA$46,,$AH853), 1 / ($BC$23:$BC$46*BY853), N($AQ$23:$AQ$46&gt;$AO853))
) / 1000</f>
        <v>0</v>
      </c>
      <c r="CB853" s="230">
        <f t="shared" si="777"/>
        <v>0</v>
      </c>
      <c r="CC853" s="238"/>
      <c r="CD853" s="229" cm="1">
        <f t="array" ref="CD853">IF(ISBLANK(Y853), INDEX(Use, $AH853, 4) - AN853*INDEX(Use, $AH853, 6) - (Q853-X853), Y853)</f>
        <v>7</v>
      </c>
      <c r="CE853" s="229">
        <f t="shared" si="778"/>
        <v>32</v>
      </c>
      <c r="CF853" s="230">
        <f t="shared" si="779"/>
        <v>0</v>
      </c>
      <c r="CG853" s="229">
        <v>35</v>
      </c>
      <c r="CH853" s="230">
        <f t="shared" si="780"/>
        <v>48</v>
      </c>
      <c r="CI853" s="235">
        <f t="shared" si="781"/>
        <v>3.0748170731707316</v>
      </c>
      <c r="CJ853" s="235" cm="1">
        <f t="array" ref="CJ853">$BI853 * SUMPRODUCT(INDEX($AR$77:$AT$82,,$AI853),INDEX($AU$77:$BA$82,,$AH853), N($AQ$77:$AQ$82&gt;$AO853)) / CI853 / 1000</f>
        <v>0</v>
      </c>
      <c r="CK853" s="232">
        <f t="shared" si="760"/>
        <v>30</v>
      </c>
      <c r="CL853" s="230">
        <f t="shared" si="782"/>
        <v>43</v>
      </c>
      <c r="CM853" s="235">
        <f t="shared" si="783"/>
        <v>3.5018750000000001</v>
      </c>
      <c r="CN853" s="235" cm="1">
        <f t="array" ref="CN853">$BI853 * IF($AH853&lt;=2,
SUMPRODUCT(INDEX($AR$72:$AT$76,,$AI853), INDEX($AU$72:$BA$76,,$AH853), 1 / ($BB$72:$BB$76*CM853 + (1-$BB$72:$BB$76)*CI853), N($AQ$72:$AQ$76&gt;$AO853)),
SUMPRODUCT(INDEX($AR$67:$AT$76,,$AI853), INDEX($AU$67:$BA$76,,$AH853), 1 / ($BC$67:$BC$76*CM853 + (1-$BC$67:$BC$76)*CI853), N($AQ$67:$AQ$76&gt;$AO853))
) / 1000</f>
        <v>0</v>
      </c>
      <c r="CO853" s="232">
        <f t="shared" si="761"/>
        <v>25</v>
      </c>
      <c r="CP853" s="230">
        <f t="shared" si="784"/>
        <v>38</v>
      </c>
      <c r="CQ853" s="235">
        <f t="shared" si="785"/>
        <v>4.0666935483870965</v>
      </c>
      <c r="CR853" s="235" cm="1">
        <f t="array" ref="CR853">$BI853 * IF($AH853&lt;=2,
SUMPRODUCT(INDEX($AR$67:$AT$71,,$AI853), INDEX($AU$67:$BA$71,,$AH853), 1 / ($BB$67:$BB$71*CQ853 + (1-$BB$67:$BB$71)*CM853), N($AQ$67:$AQ$71&gt;$AO853)),
SUMPRODUCT(INDEX($AR$57:$AT$66,,$AI853), INDEX($AU$57:$BA$66,,$AH853), 1 / ($BC$57:$BC$66*CQ853 + (1-$BC$57:$BC$66)*CM853), N($AQ$57:$AQ$66&gt;$AO853))
) / 1000</f>
        <v>0</v>
      </c>
      <c r="CS853" s="232">
        <f t="shared" si="762"/>
        <v>20</v>
      </c>
      <c r="CT853" s="230">
        <f t="shared" si="786"/>
        <v>33</v>
      </c>
      <c r="CU853" s="235">
        <f t="shared" si="787"/>
        <v>4.8487499999999999</v>
      </c>
      <c r="CV853" s="235" cm="1">
        <f t="array" ref="CV853">$BI853 * IF($AH853&lt;=2,
SUMPRODUCT(INDEX($AR$62:$AT$66,,$AI853), INDEX($AU$62:$BA$66,,$AH853), 1 / ($BB$62:$BB$66*CU853 + (1-$BB$62:$BB$66)*CQ853), N($AQ$62:$AQ$66&gt;$AO853)),
SUMPRODUCT(INDEX($AR$47:$AT$56,,$AI853), INDEX($AU$47:$BA$56,,$AH853), 1 / ($BC$47:$BC$56*CU853 + (1-$BC$47:$BC$56)*CQ853), N($AQ$47:$AQ$56&gt;$AO853))
) / 1000</f>
        <v>0</v>
      </c>
      <c r="CW853" s="235" cm="1">
        <f t="array" ref="CW853">$BI853 * IF($AH853&lt;=2,
SUMPRODUCT(INDEX($AR$23:$AT$61,,$AI853), INDEX($AU$23:$BA$61,,$AH853), 1 / ($BB$23:$BB$61*CU853), N($AQ$23:$AQ$61&gt;$AO853)),
SUMPRODUCT(INDEX($AR$23:$AT$46,,$AI853), INDEX($AU$23:$BA$46,,$AH853), 1 / ($BC$23:$BC$46*CU853), N($AQ$23:$AQ$46&gt;$AO853))
) / 1000</f>
        <v>0</v>
      </c>
      <c r="CX853" s="230">
        <f t="shared" si="788"/>
        <v>0</v>
      </c>
      <c r="CY853" s="238"/>
    </row>
    <row r="854" spans="1:103" s="76" customFormat="1" ht="14.25" customHeight="1" x14ac:dyDescent="0.2">
      <c r="A854" s="231" t="b">
        <f t="shared" ref="A854:A917" si="792">IF(OR(AND($K854&gt;80, $AH854=1), AND($K854&gt;40, $AH854=3), AND($K854&gt;30, $AH854=4),), TRUE, FALSE)</f>
        <v>0</v>
      </c>
      <c r="B854" s="245">
        <v>832</v>
      </c>
      <c r="C854" s="258"/>
      <c r="D854" s="258"/>
      <c r="E854" s="246"/>
      <c r="F854" s="247" t="str">
        <f>IF(ISBLANK(E854), "", VLOOKUP(E854, Z!$A$2:$C$4127, 3, FALSE))</f>
        <v/>
      </c>
      <c r="G854" s="248"/>
      <c r="H854" s="248"/>
      <c r="I854" s="249"/>
      <c r="J854" s="250"/>
      <c r="K854" s="259"/>
      <c r="L854" s="260"/>
      <c r="M854" s="252" t="str" cm="1">
        <f t="array" ref="M854">INDEX(Trad, 53, $A$20)</f>
        <v>Verschmutzt</v>
      </c>
      <c r="N854" s="253"/>
      <c r="O854" s="253"/>
      <c r="P854" s="254"/>
      <c r="Q854" s="251"/>
      <c r="R854" s="251"/>
      <c r="S854" s="264">
        <f t="shared" si="763"/>
        <v>0</v>
      </c>
      <c r="T854" s="252" t="str" cm="1">
        <f t="array" ref="T854">INDEX(Trad, 52, $A$20)</f>
        <v>Sauber</v>
      </c>
      <c r="U854" s="253"/>
      <c r="V854" s="253"/>
      <c r="W854" s="254"/>
      <c r="X854" s="251"/>
      <c r="Y854" s="251"/>
      <c r="Z854" s="264">
        <f t="shared" si="764"/>
        <v>0</v>
      </c>
      <c r="AA854" s="261"/>
      <c r="AB854" s="258"/>
      <c r="AC854" s="246"/>
      <c r="AD854" s="247" t="str">
        <f>IF(ISBLANK(AC854), "", VLOOKUP(AC854, Z!$A$2:$C$4127, 3, FALSE))</f>
        <v/>
      </c>
      <c r="AE854" s="262"/>
      <c r="AF854" s="263">
        <f t="shared" si="765"/>
        <v>0</v>
      </c>
      <c r="AG854" s="238"/>
      <c r="AH854" s="229">
        <f t="shared" si="789"/>
        <v>1</v>
      </c>
      <c r="AI854" s="229">
        <f t="shared" si="790"/>
        <v>1</v>
      </c>
      <c r="AJ854" s="229">
        <f t="shared" si="791"/>
        <v>0</v>
      </c>
      <c r="AK854" s="229">
        <v>0</v>
      </c>
      <c r="AL854" s="229">
        <v>0</v>
      </c>
      <c r="AM854" s="229">
        <v>1</v>
      </c>
      <c r="AN854" s="229">
        <v>0</v>
      </c>
      <c r="AO854" s="229">
        <f t="shared" si="766"/>
        <v>-100</v>
      </c>
      <c r="AP854" s="238"/>
      <c r="AQ854" s="255"/>
      <c r="AR854" s="255"/>
      <c r="AS854" s="256"/>
      <c r="AT854" s="256"/>
      <c r="AU854" s="256"/>
      <c r="AV854" s="256"/>
      <c r="AW854" s="256"/>
      <c r="AX854" s="256"/>
      <c r="AY854" s="256"/>
      <c r="AZ854" s="256"/>
      <c r="BA854" s="256"/>
      <c r="BB854" s="256"/>
      <c r="BC854" s="256"/>
      <c r="BD854" s="238"/>
      <c r="BE854" s="229" cm="1">
        <f t="array" ref="BE854">IF(ISBLANK(R854), INDEX(Use, $AH854, 4) - AM854*INDEX(Use, $AH854, 6), R854)</f>
        <v>5</v>
      </c>
      <c r="BF854" s="229">
        <f t="shared" si="767"/>
        <v>30</v>
      </c>
      <c r="BG854" s="229">
        <f t="shared" si="755"/>
        <v>13</v>
      </c>
      <c r="BH854" s="229">
        <f t="shared" si="756"/>
        <v>0</v>
      </c>
      <c r="BI854" s="234" cm="1">
        <f t="array" ref="BI854">K854/IF($L854&gt;0, INDEX($AU$23:$BA$77, $L854+20, $AH854), 1)</f>
        <v>0</v>
      </c>
      <c r="BJ854" s="230">
        <f t="shared" si="768"/>
        <v>0</v>
      </c>
      <c r="BK854" s="229">
        <v>35</v>
      </c>
      <c r="BL854" s="230">
        <f t="shared" si="769"/>
        <v>48</v>
      </c>
      <c r="BM854" s="235">
        <f t="shared" si="770"/>
        <v>2.9108720930232557</v>
      </c>
      <c r="BN854" s="235" cm="1">
        <f t="array" ref="BN854">$BI854 * SUMPRODUCT(INDEX($AR$77:$AT$82,,$AI854),INDEX($AU$77:$BA$82,,$AH854), N($AQ$77:$AQ$82&gt;$AO854)) / BM854 / 1000</f>
        <v>0</v>
      </c>
      <c r="BO854" s="232">
        <f t="shared" si="757"/>
        <v>30</v>
      </c>
      <c r="BP854" s="230">
        <f t="shared" si="771"/>
        <v>43</v>
      </c>
      <c r="BQ854" s="235">
        <f t="shared" si="772"/>
        <v>3.2938815789473681</v>
      </c>
      <c r="BR854" s="235" cm="1">
        <f t="array" ref="BR854">$BI854 * IF($AH854&lt;=2,
SUMPRODUCT(INDEX($AR$72:$AT$76,,$AI854), INDEX($AU$72:$BA$76,,$AH854), 1 / ($BB$72:$BB$76*BQ854 + (1-$BB$72:$BB$76)*BM854), N($AQ$72:$AQ$76&gt;$AO854)),
SUMPRODUCT(INDEX($AR$67:$AT$76,,$AI854), INDEX($AU$67:$BA$76,,$AH854), 1 / ($BC$67:$BC$76*BQ854 + (1-$BC$67:$BC$76)*BM854), N($AQ$67:$AQ$76&gt;$AO854))
) / 1000</f>
        <v>0</v>
      </c>
      <c r="BS854" s="232">
        <f t="shared" si="758"/>
        <v>25</v>
      </c>
      <c r="BT854" s="230">
        <f t="shared" si="773"/>
        <v>38</v>
      </c>
      <c r="BU854" s="235">
        <f t="shared" si="774"/>
        <v>3.792954545454545</v>
      </c>
      <c r="BV854" s="235" cm="1">
        <f t="array" ref="BV854">$BI854 * IF($AH854&lt;=2,
SUMPRODUCT(INDEX($AR$67:$AT$71,,$AI854), INDEX($AU$67:$BA$71,,$AH854), 1 / ($BB$67:$BB$71*BU854 + (1-$BB$67:$BB$71)*BQ854), N($AQ$67:$AQ$71&gt;$AO854)),
SUMPRODUCT(INDEX($AR$57:$AT$66,,$AI854), INDEX($AU$57:$BA$66,,$AH854), 1 / ($BC$57:$BC$66*BU854 + (1-$BC$57:$BC$66)*BQ854), N($AQ$57:$AQ$66&gt;$AO854))
) / 1000</f>
        <v>0</v>
      </c>
      <c r="BW854" s="232">
        <f t="shared" si="759"/>
        <v>20</v>
      </c>
      <c r="BX854" s="230">
        <f t="shared" si="775"/>
        <v>33</v>
      </c>
      <c r="BY854" s="235">
        <f t="shared" si="776"/>
        <v>4.4702678571428569</v>
      </c>
      <c r="BZ854" s="235" cm="1">
        <f t="array" ref="BZ854">$BI854 * IF($AH854&lt;=2,
SUMPRODUCT(INDEX($AR$62:$AT$66,,$AI854), INDEX($AU$62:$BA$66,,$AH854), 1 / ($BB$62:$BB$66*BY854 + (1-$BB$62:$BB$66)*BU854), N($AQ$62:$AQ$66&gt;$AO854)),
SUMPRODUCT(INDEX($AR$47:$AT$56,,$AI854), INDEX($AU$47:$BA$56,,$AH854), 1 / ($BC$47:$BC$56*BY854 + (1-$BC$47:$BC$56)*BU854), N($AQ$47:$AQ$56&gt;$AO854))
) / 1000</f>
        <v>0</v>
      </c>
      <c r="CA854" s="235" cm="1">
        <f t="array" ref="CA854">$BI854 * IF($AH854&lt;=2,
SUMPRODUCT(INDEX($AR$23:$AT$61,,$AI854), INDEX($AU$23:$BA$61,,$AH854), 1 / ($BB$23:$BB$61*BY854), N($AQ$23:$AQ$61&gt;$AO854)),
SUMPRODUCT(INDEX($AR$23:$AT$46,,$AI854), INDEX($AU$23:$BA$46,,$AH854), 1 / ($BC$23:$BC$46*BY854), N($AQ$23:$AQ$46&gt;$AO854))
) / 1000</f>
        <v>0</v>
      </c>
      <c r="CB854" s="230">
        <f t="shared" si="777"/>
        <v>0</v>
      </c>
      <c r="CC854" s="238"/>
      <c r="CD854" s="229" cm="1">
        <f t="array" ref="CD854">IF(ISBLANK(Y854), INDEX(Use, $AH854, 4) - AN854*INDEX(Use, $AH854, 6) - (Q854-X854), Y854)</f>
        <v>7</v>
      </c>
      <c r="CE854" s="229">
        <f t="shared" si="778"/>
        <v>32</v>
      </c>
      <c r="CF854" s="230">
        <f t="shared" si="779"/>
        <v>0</v>
      </c>
      <c r="CG854" s="229">
        <v>35</v>
      </c>
      <c r="CH854" s="230">
        <f t="shared" si="780"/>
        <v>48</v>
      </c>
      <c r="CI854" s="235">
        <f t="shared" si="781"/>
        <v>3.0748170731707316</v>
      </c>
      <c r="CJ854" s="235" cm="1">
        <f t="array" ref="CJ854">$BI854 * SUMPRODUCT(INDEX($AR$77:$AT$82,,$AI854),INDEX($AU$77:$BA$82,,$AH854), N($AQ$77:$AQ$82&gt;$AO854)) / CI854 / 1000</f>
        <v>0</v>
      </c>
      <c r="CK854" s="232">
        <f t="shared" si="760"/>
        <v>30</v>
      </c>
      <c r="CL854" s="230">
        <f t="shared" si="782"/>
        <v>43</v>
      </c>
      <c r="CM854" s="235">
        <f t="shared" si="783"/>
        <v>3.5018750000000001</v>
      </c>
      <c r="CN854" s="235" cm="1">
        <f t="array" ref="CN854">$BI854 * IF($AH854&lt;=2,
SUMPRODUCT(INDEX($AR$72:$AT$76,,$AI854), INDEX($AU$72:$BA$76,,$AH854), 1 / ($BB$72:$BB$76*CM854 + (1-$BB$72:$BB$76)*CI854), N($AQ$72:$AQ$76&gt;$AO854)),
SUMPRODUCT(INDEX($AR$67:$AT$76,,$AI854), INDEX($AU$67:$BA$76,,$AH854), 1 / ($BC$67:$BC$76*CM854 + (1-$BC$67:$BC$76)*CI854), N($AQ$67:$AQ$76&gt;$AO854))
) / 1000</f>
        <v>0</v>
      </c>
      <c r="CO854" s="232">
        <f t="shared" si="761"/>
        <v>25</v>
      </c>
      <c r="CP854" s="230">
        <f t="shared" si="784"/>
        <v>38</v>
      </c>
      <c r="CQ854" s="235">
        <f t="shared" si="785"/>
        <v>4.0666935483870965</v>
      </c>
      <c r="CR854" s="235" cm="1">
        <f t="array" ref="CR854">$BI854 * IF($AH854&lt;=2,
SUMPRODUCT(INDEX($AR$67:$AT$71,,$AI854), INDEX($AU$67:$BA$71,,$AH854), 1 / ($BB$67:$BB$71*CQ854 + (1-$BB$67:$BB$71)*CM854), N($AQ$67:$AQ$71&gt;$AO854)),
SUMPRODUCT(INDEX($AR$57:$AT$66,,$AI854), INDEX($AU$57:$BA$66,,$AH854), 1 / ($BC$57:$BC$66*CQ854 + (1-$BC$57:$BC$66)*CM854), N($AQ$57:$AQ$66&gt;$AO854))
) / 1000</f>
        <v>0</v>
      </c>
      <c r="CS854" s="232">
        <f t="shared" si="762"/>
        <v>20</v>
      </c>
      <c r="CT854" s="230">
        <f t="shared" si="786"/>
        <v>33</v>
      </c>
      <c r="CU854" s="235">
        <f t="shared" si="787"/>
        <v>4.8487499999999999</v>
      </c>
      <c r="CV854" s="235" cm="1">
        <f t="array" ref="CV854">$BI854 * IF($AH854&lt;=2,
SUMPRODUCT(INDEX($AR$62:$AT$66,,$AI854), INDEX($AU$62:$BA$66,,$AH854), 1 / ($BB$62:$BB$66*CU854 + (1-$BB$62:$BB$66)*CQ854), N($AQ$62:$AQ$66&gt;$AO854)),
SUMPRODUCT(INDEX($AR$47:$AT$56,,$AI854), INDEX($AU$47:$BA$56,,$AH854), 1 / ($BC$47:$BC$56*CU854 + (1-$BC$47:$BC$56)*CQ854), N($AQ$47:$AQ$56&gt;$AO854))
) / 1000</f>
        <v>0</v>
      </c>
      <c r="CW854" s="235" cm="1">
        <f t="array" ref="CW854">$BI854 * IF($AH854&lt;=2,
SUMPRODUCT(INDEX($AR$23:$AT$61,,$AI854), INDEX($AU$23:$BA$61,,$AH854), 1 / ($BB$23:$BB$61*CU854), N($AQ$23:$AQ$61&gt;$AO854)),
SUMPRODUCT(INDEX($AR$23:$AT$46,,$AI854), INDEX($AU$23:$BA$46,,$AH854), 1 / ($BC$23:$BC$46*CU854), N($AQ$23:$AQ$46&gt;$AO854))
) / 1000</f>
        <v>0</v>
      </c>
      <c r="CX854" s="230">
        <f t="shared" si="788"/>
        <v>0</v>
      </c>
      <c r="CY854" s="238"/>
    </row>
    <row r="855" spans="1:103" s="76" customFormat="1" ht="14.25" customHeight="1" x14ac:dyDescent="0.2">
      <c r="A855" s="231" t="b">
        <f t="shared" si="792"/>
        <v>0</v>
      </c>
      <c r="B855" s="245">
        <v>833</v>
      </c>
      <c r="C855" s="258"/>
      <c r="D855" s="258"/>
      <c r="E855" s="246"/>
      <c r="F855" s="247" t="str">
        <f>IF(ISBLANK(E855), "", VLOOKUP(E855, Z!$A$2:$C$4127, 3, FALSE))</f>
        <v/>
      </c>
      <c r="G855" s="248"/>
      <c r="H855" s="248"/>
      <c r="I855" s="249"/>
      <c r="J855" s="250"/>
      <c r="K855" s="259"/>
      <c r="L855" s="260"/>
      <c r="M855" s="252" t="str" cm="1">
        <f t="array" ref="M855">INDEX(Trad, 53, $A$20)</f>
        <v>Verschmutzt</v>
      </c>
      <c r="N855" s="253"/>
      <c r="O855" s="253"/>
      <c r="P855" s="254"/>
      <c r="Q855" s="251"/>
      <c r="R855" s="251"/>
      <c r="S855" s="264">
        <f t="shared" si="763"/>
        <v>0</v>
      </c>
      <c r="T855" s="252" t="str" cm="1">
        <f t="array" ref="T855">INDEX(Trad, 52, $A$20)</f>
        <v>Sauber</v>
      </c>
      <c r="U855" s="253"/>
      <c r="V855" s="253"/>
      <c r="W855" s="254"/>
      <c r="X855" s="251"/>
      <c r="Y855" s="251"/>
      <c r="Z855" s="264">
        <f t="shared" si="764"/>
        <v>0</v>
      </c>
      <c r="AA855" s="261"/>
      <c r="AB855" s="258"/>
      <c r="AC855" s="246"/>
      <c r="AD855" s="247" t="str">
        <f>IF(ISBLANK(AC855), "", VLOOKUP(AC855, Z!$A$2:$C$4127, 3, FALSE))</f>
        <v/>
      </c>
      <c r="AE855" s="262"/>
      <c r="AF855" s="263">
        <f t="shared" si="765"/>
        <v>0</v>
      </c>
      <c r="AG855" s="238"/>
      <c r="AH855" s="229">
        <f t="shared" si="789"/>
        <v>1</v>
      </c>
      <c r="AI855" s="229">
        <f t="shared" si="790"/>
        <v>1</v>
      </c>
      <c r="AJ855" s="229">
        <f t="shared" si="791"/>
        <v>0</v>
      </c>
      <c r="AK855" s="229">
        <v>0</v>
      </c>
      <c r="AL855" s="229">
        <v>0</v>
      </c>
      <c r="AM855" s="229">
        <v>1</v>
      </c>
      <c r="AN855" s="229">
        <v>0</v>
      </c>
      <c r="AO855" s="229">
        <f t="shared" si="766"/>
        <v>-100</v>
      </c>
      <c r="AP855" s="238"/>
      <c r="AQ855" s="255"/>
      <c r="AR855" s="255"/>
      <c r="AS855" s="256"/>
      <c r="AT855" s="256"/>
      <c r="AU855" s="256"/>
      <c r="AV855" s="256"/>
      <c r="AW855" s="256"/>
      <c r="AX855" s="256"/>
      <c r="AY855" s="256"/>
      <c r="AZ855" s="256"/>
      <c r="BA855" s="256"/>
      <c r="BB855" s="256"/>
      <c r="BC855" s="256"/>
      <c r="BD855" s="238"/>
      <c r="BE855" s="229" cm="1">
        <f t="array" ref="BE855">IF(ISBLANK(R855), INDEX(Use, $AH855, 4) - AM855*INDEX(Use, $AH855, 6), R855)</f>
        <v>5</v>
      </c>
      <c r="BF855" s="229">
        <f t="shared" si="767"/>
        <v>30</v>
      </c>
      <c r="BG855" s="229">
        <f t="shared" ref="BG855:BG918" si="793">IF($AJ855=1, 6, IF($AH855=4, 10, 13))</f>
        <v>13</v>
      </c>
      <c r="BH855" s="229">
        <f t="shared" ref="BH855:BH918" si="794">IF($AJ855=1, 9, 0)</f>
        <v>0</v>
      </c>
      <c r="BI855" s="234" cm="1">
        <f t="array" ref="BI855">K855/IF($L855&gt;0, INDEX($AU$23:$BA$77, $L855+20, $AH855), 1)</f>
        <v>0</v>
      </c>
      <c r="BJ855" s="230">
        <f t="shared" si="768"/>
        <v>0</v>
      </c>
      <c r="BK855" s="229">
        <v>35</v>
      </c>
      <c r="BL855" s="230">
        <f t="shared" si="769"/>
        <v>48</v>
      </c>
      <c r="BM855" s="235">
        <f t="shared" si="770"/>
        <v>2.9108720930232557</v>
      </c>
      <c r="BN855" s="235" cm="1">
        <f t="array" ref="BN855">$BI855 * SUMPRODUCT(INDEX($AR$77:$AT$82,,$AI855),INDEX($AU$77:$BA$82,,$AH855), N($AQ$77:$AQ$82&gt;$AO855)) / BM855 / 1000</f>
        <v>0</v>
      </c>
      <c r="BO855" s="232">
        <f t="shared" ref="BO855:BO918" si="795">IF($AH855&lt;=2, 30, 25)</f>
        <v>30</v>
      </c>
      <c r="BP855" s="230">
        <f t="shared" si="771"/>
        <v>43</v>
      </c>
      <c r="BQ855" s="235">
        <f t="shared" si="772"/>
        <v>3.2938815789473681</v>
      </c>
      <c r="BR855" s="235" cm="1">
        <f t="array" ref="BR855">$BI855 * IF($AH855&lt;=2,
SUMPRODUCT(INDEX($AR$72:$AT$76,,$AI855), INDEX($AU$72:$BA$76,,$AH855), 1 / ($BB$72:$BB$76*BQ855 + (1-$BB$72:$BB$76)*BM855), N($AQ$72:$AQ$76&gt;$AO855)),
SUMPRODUCT(INDEX($AR$67:$AT$76,,$AI855), INDEX($AU$67:$BA$76,,$AH855), 1 / ($BC$67:$BC$76*BQ855 + (1-$BC$67:$BC$76)*BM855), N($AQ$67:$AQ$76&gt;$AO855))
) / 1000</f>
        <v>0</v>
      </c>
      <c r="BS855" s="232">
        <f t="shared" ref="BS855:BS918" si="796">IF($AH855&lt;=2, 25, 15)</f>
        <v>25</v>
      </c>
      <c r="BT855" s="230">
        <f t="shared" si="773"/>
        <v>38</v>
      </c>
      <c r="BU855" s="235">
        <f t="shared" si="774"/>
        <v>3.792954545454545</v>
      </c>
      <c r="BV855" s="235" cm="1">
        <f t="array" ref="BV855">$BI855 * IF($AH855&lt;=2,
SUMPRODUCT(INDEX($AR$67:$AT$71,,$AI855), INDEX($AU$67:$BA$71,,$AH855), 1 / ($BB$67:$BB$71*BU855 + (1-$BB$67:$BB$71)*BQ855), N($AQ$67:$AQ$71&gt;$AO855)),
SUMPRODUCT(INDEX($AR$57:$AT$66,,$AI855), INDEX($AU$57:$BA$66,,$AH855), 1 / ($BC$57:$BC$66*BU855 + (1-$BC$57:$BC$66)*BQ855), N($AQ$57:$AQ$66&gt;$AO855))
) / 1000</f>
        <v>0</v>
      </c>
      <c r="BW855" s="232">
        <f t="shared" ref="BW855:BW918" si="797">IF($AH855&lt;=2, 20, 5)</f>
        <v>20</v>
      </c>
      <c r="BX855" s="230">
        <f t="shared" si="775"/>
        <v>33</v>
      </c>
      <c r="BY855" s="235">
        <f t="shared" si="776"/>
        <v>4.4702678571428569</v>
      </c>
      <c r="BZ855" s="235" cm="1">
        <f t="array" ref="BZ855">$BI855 * IF($AH855&lt;=2,
SUMPRODUCT(INDEX($AR$62:$AT$66,,$AI855), INDEX($AU$62:$BA$66,,$AH855), 1 / ($BB$62:$BB$66*BY855 + (1-$BB$62:$BB$66)*BU855), N($AQ$62:$AQ$66&gt;$AO855)),
SUMPRODUCT(INDEX($AR$47:$AT$56,,$AI855), INDEX($AU$47:$BA$56,,$AH855), 1 / ($BC$47:$BC$56*BY855 + (1-$BC$47:$BC$56)*BU855), N($AQ$47:$AQ$56&gt;$AO855))
) / 1000</f>
        <v>0</v>
      </c>
      <c r="CA855" s="235" cm="1">
        <f t="array" ref="CA855">$BI855 * IF($AH855&lt;=2,
SUMPRODUCT(INDEX($AR$23:$AT$61,,$AI855), INDEX($AU$23:$BA$61,,$AH855), 1 / ($BB$23:$BB$61*BY855), N($AQ$23:$AQ$61&gt;$AO855)),
SUMPRODUCT(INDEX($AR$23:$AT$46,,$AI855), INDEX($AU$23:$BA$46,,$AH855), 1 / ($BC$23:$BC$46*BY855), N($AQ$23:$AQ$46&gt;$AO855))
) / 1000</f>
        <v>0</v>
      </c>
      <c r="CB855" s="230">
        <f t="shared" si="777"/>
        <v>0</v>
      </c>
      <c r="CC855" s="238"/>
      <c r="CD855" s="229" cm="1">
        <f t="array" ref="CD855">IF(ISBLANK(Y855), INDEX(Use, $AH855, 4) - AN855*INDEX(Use, $AH855, 6) - (Q855-X855), Y855)</f>
        <v>7</v>
      </c>
      <c r="CE855" s="229">
        <f t="shared" si="778"/>
        <v>32</v>
      </c>
      <c r="CF855" s="230">
        <f t="shared" si="779"/>
        <v>0</v>
      </c>
      <c r="CG855" s="229">
        <v>35</v>
      </c>
      <c r="CH855" s="230">
        <f t="shared" si="780"/>
        <v>48</v>
      </c>
      <c r="CI855" s="235">
        <f t="shared" si="781"/>
        <v>3.0748170731707316</v>
      </c>
      <c r="CJ855" s="235" cm="1">
        <f t="array" ref="CJ855">$BI855 * SUMPRODUCT(INDEX($AR$77:$AT$82,,$AI855),INDEX($AU$77:$BA$82,,$AH855), N($AQ$77:$AQ$82&gt;$AO855)) / CI855 / 1000</f>
        <v>0</v>
      </c>
      <c r="CK855" s="232">
        <f t="shared" ref="CK855:CK918" si="798">IF($AH855&lt;=2, 30, 25)</f>
        <v>30</v>
      </c>
      <c r="CL855" s="230">
        <f t="shared" si="782"/>
        <v>43</v>
      </c>
      <c r="CM855" s="235">
        <f t="shared" si="783"/>
        <v>3.5018750000000001</v>
      </c>
      <c r="CN855" s="235" cm="1">
        <f t="array" ref="CN855">$BI855 * IF($AH855&lt;=2,
SUMPRODUCT(INDEX($AR$72:$AT$76,,$AI855), INDEX($AU$72:$BA$76,,$AH855), 1 / ($BB$72:$BB$76*CM855 + (1-$BB$72:$BB$76)*CI855), N($AQ$72:$AQ$76&gt;$AO855)),
SUMPRODUCT(INDEX($AR$67:$AT$76,,$AI855), INDEX($AU$67:$BA$76,,$AH855), 1 / ($BC$67:$BC$76*CM855 + (1-$BC$67:$BC$76)*CI855), N($AQ$67:$AQ$76&gt;$AO855))
) / 1000</f>
        <v>0</v>
      </c>
      <c r="CO855" s="232">
        <f t="shared" ref="CO855:CO918" si="799">IF($AH855&lt;=2, 25, 15)</f>
        <v>25</v>
      </c>
      <c r="CP855" s="230">
        <f t="shared" si="784"/>
        <v>38</v>
      </c>
      <c r="CQ855" s="235">
        <f t="shared" si="785"/>
        <v>4.0666935483870965</v>
      </c>
      <c r="CR855" s="235" cm="1">
        <f t="array" ref="CR855">$BI855 * IF($AH855&lt;=2,
SUMPRODUCT(INDEX($AR$67:$AT$71,,$AI855), INDEX($AU$67:$BA$71,,$AH855), 1 / ($BB$67:$BB$71*CQ855 + (1-$BB$67:$BB$71)*CM855), N($AQ$67:$AQ$71&gt;$AO855)),
SUMPRODUCT(INDEX($AR$57:$AT$66,,$AI855), INDEX($AU$57:$BA$66,,$AH855), 1 / ($BC$57:$BC$66*CQ855 + (1-$BC$57:$BC$66)*CM855), N($AQ$57:$AQ$66&gt;$AO855))
) / 1000</f>
        <v>0</v>
      </c>
      <c r="CS855" s="232">
        <f t="shared" ref="CS855:CS918" si="800">IF($AH855&lt;=2, 20, 5)</f>
        <v>20</v>
      </c>
      <c r="CT855" s="230">
        <f t="shared" si="786"/>
        <v>33</v>
      </c>
      <c r="CU855" s="235">
        <f t="shared" si="787"/>
        <v>4.8487499999999999</v>
      </c>
      <c r="CV855" s="235" cm="1">
        <f t="array" ref="CV855">$BI855 * IF($AH855&lt;=2,
SUMPRODUCT(INDEX($AR$62:$AT$66,,$AI855), INDEX($AU$62:$BA$66,,$AH855), 1 / ($BB$62:$BB$66*CU855 + (1-$BB$62:$BB$66)*CQ855), N($AQ$62:$AQ$66&gt;$AO855)),
SUMPRODUCT(INDEX($AR$47:$AT$56,,$AI855), INDEX($AU$47:$BA$56,,$AH855), 1 / ($BC$47:$BC$56*CU855 + (1-$BC$47:$BC$56)*CQ855), N($AQ$47:$AQ$56&gt;$AO855))
) / 1000</f>
        <v>0</v>
      </c>
      <c r="CW855" s="235" cm="1">
        <f t="array" ref="CW855">$BI855 * IF($AH855&lt;=2,
SUMPRODUCT(INDEX($AR$23:$AT$61,,$AI855), INDEX($AU$23:$BA$61,,$AH855), 1 / ($BB$23:$BB$61*CU855), N($AQ$23:$AQ$61&gt;$AO855)),
SUMPRODUCT(INDEX($AR$23:$AT$46,,$AI855), INDEX($AU$23:$BA$46,,$AH855), 1 / ($BC$23:$BC$46*CU855), N($AQ$23:$AQ$46&gt;$AO855))
) / 1000</f>
        <v>0</v>
      </c>
      <c r="CX855" s="230">
        <f t="shared" si="788"/>
        <v>0</v>
      </c>
      <c r="CY855" s="238"/>
    </row>
    <row r="856" spans="1:103" s="76" customFormat="1" ht="14.25" customHeight="1" x14ac:dyDescent="0.2">
      <c r="A856" s="231" t="b">
        <f t="shared" si="792"/>
        <v>0</v>
      </c>
      <c r="B856" s="245">
        <v>834</v>
      </c>
      <c r="C856" s="258"/>
      <c r="D856" s="258"/>
      <c r="E856" s="246"/>
      <c r="F856" s="247" t="str">
        <f>IF(ISBLANK(E856), "", VLOOKUP(E856, Z!$A$2:$C$4127, 3, FALSE))</f>
        <v/>
      </c>
      <c r="G856" s="248"/>
      <c r="H856" s="248"/>
      <c r="I856" s="249"/>
      <c r="J856" s="250"/>
      <c r="K856" s="259"/>
      <c r="L856" s="260"/>
      <c r="M856" s="252" t="str" cm="1">
        <f t="array" ref="M856">INDEX(Trad, 53, $A$20)</f>
        <v>Verschmutzt</v>
      </c>
      <c r="N856" s="253"/>
      <c r="O856" s="253"/>
      <c r="P856" s="254"/>
      <c r="Q856" s="251"/>
      <c r="R856" s="251"/>
      <c r="S856" s="264">
        <f t="shared" si="763"/>
        <v>0</v>
      </c>
      <c r="T856" s="252" t="str" cm="1">
        <f t="array" ref="T856">INDEX(Trad, 52, $A$20)</f>
        <v>Sauber</v>
      </c>
      <c r="U856" s="253"/>
      <c r="V856" s="253"/>
      <c r="W856" s="254"/>
      <c r="X856" s="251"/>
      <c r="Y856" s="251"/>
      <c r="Z856" s="264">
        <f t="shared" si="764"/>
        <v>0</v>
      </c>
      <c r="AA856" s="261"/>
      <c r="AB856" s="258"/>
      <c r="AC856" s="246"/>
      <c r="AD856" s="247" t="str">
        <f>IF(ISBLANK(AC856), "", VLOOKUP(AC856, Z!$A$2:$C$4127, 3, FALSE))</f>
        <v/>
      </c>
      <c r="AE856" s="262"/>
      <c r="AF856" s="263">
        <f t="shared" si="765"/>
        <v>0</v>
      </c>
      <c r="AG856" s="238"/>
      <c r="AH856" s="229">
        <f t="shared" si="789"/>
        <v>1</v>
      </c>
      <c r="AI856" s="229">
        <f t="shared" si="790"/>
        <v>1</v>
      </c>
      <c r="AJ856" s="229">
        <f t="shared" si="791"/>
        <v>0</v>
      </c>
      <c r="AK856" s="229">
        <v>0</v>
      </c>
      <c r="AL856" s="229">
        <v>0</v>
      </c>
      <c r="AM856" s="229">
        <v>1</v>
      </c>
      <c r="AN856" s="229">
        <v>0</v>
      </c>
      <c r="AO856" s="229">
        <f t="shared" si="766"/>
        <v>-100</v>
      </c>
      <c r="AP856" s="238"/>
      <c r="AQ856" s="255"/>
      <c r="AR856" s="255"/>
      <c r="AS856" s="256"/>
      <c r="AT856" s="256"/>
      <c r="AU856" s="256"/>
      <c r="AV856" s="256"/>
      <c r="AW856" s="256"/>
      <c r="AX856" s="256"/>
      <c r="AY856" s="256"/>
      <c r="AZ856" s="256"/>
      <c r="BA856" s="256"/>
      <c r="BB856" s="256"/>
      <c r="BC856" s="256"/>
      <c r="BD856" s="238"/>
      <c r="BE856" s="229" cm="1">
        <f t="array" ref="BE856">IF(ISBLANK(R856), INDEX(Use, $AH856, 4) - AM856*INDEX(Use, $AH856, 6), R856)</f>
        <v>5</v>
      </c>
      <c r="BF856" s="229">
        <f t="shared" si="767"/>
        <v>30</v>
      </c>
      <c r="BG856" s="229">
        <f t="shared" si="793"/>
        <v>13</v>
      </c>
      <c r="BH856" s="229">
        <f t="shared" si="794"/>
        <v>0</v>
      </c>
      <c r="BI856" s="234" cm="1">
        <f t="array" ref="BI856">K856/IF($L856&gt;0, INDEX($AU$23:$BA$77, $L856+20, $AH856), 1)</f>
        <v>0</v>
      </c>
      <c r="BJ856" s="230">
        <f t="shared" si="768"/>
        <v>0</v>
      </c>
      <c r="BK856" s="229">
        <v>35</v>
      </c>
      <c r="BL856" s="230">
        <f t="shared" si="769"/>
        <v>48</v>
      </c>
      <c r="BM856" s="235">
        <f t="shared" si="770"/>
        <v>2.9108720930232557</v>
      </c>
      <c r="BN856" s="235" cm="1">
        <f t="array" ref="BN856">$BI856 * SUMPRODUCT(INDEX($AR$77:$AT$82,,$AI856),INDEX($AU$77:$BA$82,,$AH856), N($AQ$77:$AQ$82&gt;$AO856)) / BM856 / 1000</f>
        <v>0</v>
      </c>
      <c r="BO856" s="232">
        <f t="shared" si="795"/>
        <v>30</v>
      </c>
      <c r="BP856" s="230">
        <f t="shared" si="771"/>
        <v>43</v>
      </c>
      <c r="BQ856" s="235">
        <f t="shared" si="772"/>
        <v>3.2938815789473681</v>
      </c>
      <c r="BR856" s="235" cm="1">
        <f t="array" ref="BR856">$BI856 * IF($AH856&lt;=2,
SUMPRODUCT(INDEX($AR$72:$AT$76,,$AI856), INDEX($AU$72:$BA$76,,$AH856), 1 / ($BB$72:$BB$76*BQ856 + (1-$BB$72:$BB$76)*BM856), N($AQ$72:$AQ$76&gt;$AO856)),
SUMPRODUCT(INDEX($AR$67:$AT$76,,$AI856), INDEX($AU$67:$BA$76,,$AH856), 1 / ($BC$67:$BC$76*BQ856 + (1-$BC$67:$BC$76)*BM856), N($AQ$67:$AQ$76&gt;$AO856))
) / 1000</f>
        <v>0</v>
      </c>
      <c r="BS856" s="232">
        <f t="shared" si="796"/>
        <v>25</v>
      </c>
      <c r="BT856" s="230">
        <f t="shared" si="773"/>
        <v>38</v>
      </c>
      <c r="BU856" s="235">
        <f t="shared" si="774"/>
        <v>3.792954545454545</v>
      </c>
      <c r="BV856" s="235" cm="1">
        <f t="array" ref="BV856">$BI856 * IF($AH856&lt;=2,
SUMPRODUCT(INDEX($AR$67:$AT$71,,$AI856), INDEX($AU$67:$BA$71,,$AH856), 1 / ($BB$67:$BB$71*BU856 + (1-$BB$67:$BB$71)*BQ856), N($AQ$67:$AQ$71&gt;$AO856)),
SUMPRODUCT(INDEX($AR$57:$AT$66,,$AI856), INDEX($AU$57:$BA$66,,$AH856), 1 / ($BC$57:$BC$66*BU856 + (1-$BC$57:$BC$66)*BQ856), N($AQ$57:$AQ$66&gt;$AO856))
) / 1000</f>
        <v>0</v>
      </c>
      <c r="BW856" s="232">
        <f t="shared" si="797"/>
        <v>20</v>
      </c>
      <c r="BX856" s="230">
        <f t="shared" si="775"/>
        <v>33</v>
      </c>
      <c r="BY856" s="235">
        <f t="shared" si="776"/>
        <v>4.4702678571428569</v>
      </c>
      <c r="BZ856" s="235" cm="1">
        <f t="array" ref="BZ856">$BI856 * IF($AH856&lt;=2,
SUMPRODUCT(INDEX($AR$62:$AT$66,,$AI856), INDEX($AU$62:$BA$66,,$AH856), 1 / ($BB$62:$BB$66*BY856 + (1-$BB$62:$BB$66)*BU856), N($AQ$62:$AQ$66&gt;$AO856)),
SUMPRODUCT(INDEX($AR$47:$AT$56,,$AI856), INDEX($AU$47:$BA$56,,$AH856), 1 / ($BC$47:$BC$56*BY856 + (1-$BC$47:$BC$56)*BU856), N($AQ$47:$AQ$56&gt;$AO856))
) / 1000</f>
        <v>0</v>
      </c>
      <c r="CA856" s="235" cm="1">
        <f t="array" ref="CA856">$BI856 * IF($AH856&lt;=2,
SUMPRODUCT(INDEX($AR$23:$AT$61,,$AI856), INDEX($AU$23:$BA$61,,$AH856), 1 / ($BB$23:$BB$61*BY856), N($AQ$23:$AQ$61&gt;$AO856)),
SUMPRODUCT(INDEX($AR$23:$AT$46,,$AI856), INDEX($AU$23:$BA$46,,$AH856), 1 / ($BC$23:$BC$46*BY856), N($AQ$23:$AQ$46&gt;$AO856))
) / 1000</f>
        <v>0</v>
      </c>
      <c r="CB856" s="230">
        <f t="shared" si="777"/>
        <v>0</v>
      </c>
      <c r="CC856" s="238"/>
      <c r="CD856" s="229" cm="1">
        <f t="array" ref="CD856">IF(ISBLANK(Y856), INDEX(Use, $AH856, 4) - AN856*INDEX(Use, $AH856, 6) - (Q856-X856), Y856)</f>
        <v>7</v>
      </c>
      <c r="CE856" s="229">
        <f t="shared" si="778"/>
        <v>32</v>
      </c>
      <c r="CF856" s="230">
        <f t="shared" si="779"/>
        <v>0</v>
      </c>
      <c r="CG856" s="229">
        <v>35</v>
      </c>
      <c r="CH856" s="230">
        <f t="shared" si="780"/>
        <v>48</v>
      </c>
      <c r="CI856" s="235">
        <f t="shared" si="781"/>
        <v>3.0748170731707316</v>
      </c>
      <c r="CJ856" s="235" cm="1">
        <f t="array" ref="CJ856">$BI856 * SUMPRODUCT(INDEX($AR$77:$AT$82,,$AI856),INDEX($AU$77:$BA$82,,$AH856), N($AQ$77:$AQ$82&gt;$AO856)) / CI856 / 1000</f>
        <v>0</v>
      </c>
      <c r="CK856" s="232">
        <f t="shared" si="798"/>
        <v>30</v>
      </c>
      <c r="CL856" s="230">
        <f t="shared" si="782"/>
        <v>43</v>
      </c>
      <c r="CM856" s="235">
        <f t="shared" si="783"/>
        <v>3.5018750000000001</v>
      </c>
      <c r="CN856" s="235" cm="1">
        <f t="array" ref="CN856">$BI856 * IF($AH856&lt;=2,
SUMPRODUCT(INDEX($AR$72:$AT$76,,$AI856), INDEX($AU$72:$BA$76,,$AH856), 1 / ($BB$72:$BB$76*CM856 + (1-$BB$72:$BB$76)*CI856), N($AQ$72:$AQ$76&gt;$AO856)),
SUMPRODUCT(INDEX($AR$67:$AT$76,,$AI856), INDEX($AU$67:$BA$76,,$AH856), 1 / ($BC$67:$BC$76*CM856 + (1-$BC$67:$BC$76)*CI856), N($AQ$67:$AQ$76&gt;$AO856))
) / 1000</f>
        <v>0</v>
      </c>
      <c r="CO856" s="232">
        <f t="shared" si="799"/>
        <v>25</v>
      </c>
      <c r="CP856" s="230">
        <f t="shared" si="784"/>
        <v>38</v>
      </c>
      <c r="CQ856" s="235">
        <f t="shared" si="785"/>
        <v>4.0666935483870965</v>
      </c>
      <c r="CR856" s="235" cm="1">
        <f t="array" ref="CR856">$BI856 * IF($AH856&lt;=2,
SUMPRODUCT(INDEX($AR$67:$AT$71,,$AI856), INDEX($AU$67:$BA$71,,$AH856), 1 / ($BB$67:$BB$71*CQ856 + (1-$BB$67:$BB$71)*CM856), N($AQ$67:$AQ$71&gt;$AO856)),
SUMPRODUCT(INDEX($AR$57:$AT$66,,$AI856), INDEX($AU$57:$BA$66,,$AH856), 1 / ($BC$57:$BC$66*CQ856 + (1-$BC$57:$BC$66)*CM856), N($AQ$57:$AQ$66&gt;$AO856))
) / 1000</f>
        <v>0</v>
      </c>
      <c r="CS856" s="232">
        <f t="shared" si="800"/>
        <v>20</v>
      </c>
      <c r="CT856" s="230">
        <f t="shared" si="786"/>
        <v>33</v>
      </c>
      <c r="CU856" s="235">
        <f t="shared" si="787"/>
        <v>4.8487499999999999</v>
      </c>
      <c r="CV856" s="235" cm="1">
        <f t="array" ref="CV856">$BI856 * IF($AH856&lt;=2,
SUMPRODUCT(INDEX($AR$62:$AT$66,,$AI856), INDEX($AU$62:$BA$66,,$AH856), 1 / ($BB$62:$BB$66*CU856 + (1-$BB$62:$BB$66)*CQ856), N($AQ$62:$AQ$66&gt;$AO856)),
SUMPRODUCT(INDEX($AR$47:$AT$56,,$AI856), INDEX($AU$47:$BA$56,,$AH856), 1 / ($BC$47:$BC$56*CU856 + (1-$BC$47:$BC$56)*CQ856), N($AQ$47:$AQ$56&gt;$AO856))
) / 1000</f>
        <v>0</v>
      </c>
      <c r="CW856" s="235" cm="1">
        <f t="array" ref="CW856">$BI856 * IF($AH856&lt;=2,
SUMPRODUCT(INDEX($AR$23:$AT$61,,$AI856), INDEX($AU$23:$BA$61,,$AH856), 1 / ($BB$23:$BB$61*CU856), N($AQ$23:$AQ$61&gt;$AO856)),
SUMPRODUCT(INDEX($AR$23:$AT$46,,$AI856), INDEX($AU$23:$BA$46,,$AH856), 1 / ($BC$23:$BC$46*CU856), N($AQ$23:$AQ$46&gt;$AO856))
) / 1000</f>
        <v>0</v>
      </c>
      <c r="CX856" s="230">
        <f t="shared" si="788"/>
        <v>0</v>
      </c>
      <c r="CY856" s="238"/>
    </row>
    <row r="857" spans="1:103" s="76" customFormat="1" ht="14.25" customHeight="1" x14ac:dyDescent="0.2">
      <c r="A857" s="231" t="b">
        <f t="shared" si="792"/>
        <v>0</v>
      </c>
      <c r="B857" s="245">
        <v>835</v>
      </c>
      <c r="C857" s="258"/>
      <c r="D857" s="258"/>
      <c r="E857" s="246"/>
      <c r="F857" s="247" t="str">
        <f>IF(ISBLANK(E857), "", VLOOKUP(E857, Z!$A$2:$C$4127, 3, FALSE))</f>
        <v/>
      </c>
      <c r="G857" s="248"/>
      <c r="H857" s="248"/>
      <c r="I857" s="249"/>
      <c r="J857" s="250"/>
      <c r="K857" s="259"/>
      <c r="L857" s="260"/>
      <c r="M857" s="252" t="str" cm="1">
        <f t="array" ref="M857">INDEX(Trad, 53, $A$20)</f>
        <v>Verschmutzt</v>
      </c>
      <c r="N857" s="253"/>
      <c r="O857" s="253"/>
      <c r="P857" s="254"/>
      <c r="Q857" s="251"/>
      <c r="R857" s="251"/>
      <c r="S857" s="264">
        <f t="shared" si="763"/>
        <v>0</v>
      </c>
      <c r="T857" s="252" t="str" cm="1">
        <f t="array" ref="T857">INDEX(Trad, 52, $A$20)</f>
        <v>Sauber</v>
      </c>
      <c r="U857" s="253"/>
      <c r="V857" s="253"/>
      <c r="W857" s="254"/>
      <c r="X857" s="251"/>
      <c r="Y857" s="251"/>
      <c r="Z857" s="264">
        <f t="shared" si="764"/>
        <v>0</v>
      </c>
      <c r="AA857" s="261"/>
      <c r="AB857" s="258"/>
      <c r="AC857" s="246"/>
      <c r="AD857" s="247" t="str">
        <f>IF(ISBLANK(AC857), "", VLOOKUP(AC857, Z!$A$2:$C$4127, 3, FALSE))</f>
        <v/>
      </c>
      <c r="AE857" s="262"/>
      <c r="AF857" s="263">
        <f t="shared" si="765"/>
        <v>0</v>
      </c>
      <c r="AG857" s="238"/>
      <c r="AH857" s="229">
        <f t="shared" si="789"/>
        <v>1</v>
      </c>
      <c r="AI857" s="229">
        <f t="shared" si="790"/>
        <v>1</v>
      </c>
      <c r="AJ857" s="229">
        <f t="shared" si="791"/>
        <v>0</v>
      </c>
      <c r="AK857" s="229">
        <v>0</v>
      </c>
      <c r="AL857" s="229">
        <v>0</v>
      </c>
      <c r="AM857" s="229">
        <v>1</v>
      </c>
      <c r="AN857" s="229">
        <v>0</v>
      </c>
      <c r="AO857" s="229">
        <f t="shared" si="766"/>
        <v>-100</v>
      </c>
      <c r="AP857" s="238"/>
      <c r="AQ857" s="255"/>
      <c r="AR857" s="255"/>
      <c r="AS857" s="256"/>
      <c r="AT857" s="256"/>
      <c r="AU857" s="256"/>
      <c r="AV857" s="256"/>
      <c r="AW857" s="256"/>
      <c r="AX857" s="256"/>
      <c r="AY857" s="256"/>
      <c r="AZ857" s="256"/>
      <c r="BA857" s="256"/>
      <c r="BB857" s="256"/>
      <c r="BC857" s="256"/>
      <c r="BD857" s="238"/>
      <c r="BE857" s="229" cm="1">
        <f t="array" ref="BE857">IF(ISBLANK(R857), INDEX(Use, $AH857, 4) - AM857*INDEX(Use, $AH857, 6), R857)</f>
        <v>5</v>
      </c>
      <c r="BF857" s="229">
        <f t="shared" si="767"/>
        <v>30</v>
      </c>
      <c r="BG857" s="229">
        <f t="shared" si="793"/>
        <v>13</v>
      </c>
      <c r="BH857" s="229">
        <f t="shared" si="794"/>
        <v>0</v>
      </c>
      <c r="BI857" s="234" cm="1">
        <f t="array" ref="BI857">K857/IF($L857&gt;0, INDEX($AU$23:$BA$77, $L857+20, $AH857), 1)</f>
        <v>0</v>
      </c>
      <c r="BJ857" s="230">
        <f t="shared" si="768"/>
        <v>0</v>
      </c>
      <c r="BK857" s="229">
        <v>35</v>
      </c>
      <c r="BL857" s="230">
        <f t="shared" si="769"/>
        <v>48</v>
      </c>
      <c r="BM857" s="235">
        <f t="shared" si="770"/>
        <v>2.9108720930232557</v>
      </c>
      <c r="BN857" s="235" cm="1">
        <f t="array" ref="BN857">$BI857 * SUMPRODUCT(INDEX($AR$77:$AT$82,,$AI857),INDEX($AU$77:$BA$82,,$AH857), N($AQ$77:$AQ$82&gt;$AO857)) / BM857 / 1000</f>
        <v>0</v>
      </c>
      <c r="BO857" s="232">
        <f t="shared" si="795"/>
        <v>30</v>
      </c>
      <c r="BP857" s="230">
        <f t="shared" si="771"/>
        <v>43</v>
      </c>
      <c r="BQ857" s="235">
        <f t="shared" si="772"/>
        <v>3.2938815789473681</v>
      </c>
      <c r="BR857" s="235" cm="1">
        <f t="array" ref="BR857">$BI857 * IF($AH857&lt;=2,
SUMPRODUCT(INDEX($AR$72:$AT$76,,$AI857), INDEX($AU$72:$BA$76,,$AH857), 1 / ($BB$72:$BB$76*BQ857 + (1-$BB$72:$BB$76)*BM857), N($AQ$72:$AQ$76&gt;$AO857)),
SUMPRODUCT(INDEX($AR$67:$AT$76,,$AI857), INDEX($AU$67:$BA$76,,$AH857), 1 / ($BC$67:$BC$76*BQ857 + (1-$BC$67:$BC$76)*BM857), N($AQ$67:$AQ$76&gt;$AO857))
) / 1000</f>
        <v>0</v>
      </c>
      <c r="BS857" s="232">
        <f t="shared" si="796"/>
        <v>25</v>
      </c>
      <c r="BT857" s="230">
        <f t="shared" si="773"/>
        <v>38</v>
      </c>
      <c r="BU857" s="235">
        <f t="shared" si="774"/>
        <v>3.792954545454545</v>
      </c>
      <c r="BV857" s="235" cm="1">
        <f t="array" ref="BV857">$BI857 * IF($AH857&lt;=2,
SUMPRODUCT(INDEX($AR$67:$AT$71,,$AI857), INDEX($AU$67:$BA$71,,$AH857), 1 / ($BB$67:$BB$71*BU857 + (1-$BB$67:$BB$71)*BQ857), N($AQ$67:$AQ$71&gt;$AO857)),
SUMPRODUCT(INDEX($AR$57:$AT$66,,$AI857), INDEX($AU$57:$BA$66,,$AH857), 1 / ($BC$57:$BC$66*BU857 + (1-$BC$57:$BC$66)*BQ857), N($AQ$57:$AQ$66&gt;$AO857))
) / 1000</f>
        <v>0</v>
      </c>
      <c r="BW857" s="232">
        <f t="shared" si="797"/>
        <v>20</v>
      </c>
      <c r="BX857" s="230">
        <f t="shared" si="775"/>
        <v>33</v>
      </c>
      <c r="BY857" s="235">
        <f t="shared" si="776"/>
        <v>4.4702678571428569</v>
      </c>
      <c r="BZ857" s="235" cm="1">
        <f t="array" ref="BZ857">$BI857 * IF($AH857&lt;=2,
SUMPRODUCT(INDEX($AR$62:$AT$66,,$AI857), INDEX($AU$62:$BA$66,,$AH857), 1 / ($BB$62:$BB$66*BY857 + (1-$BB$62:$BB$66)*BU857), N($AQ$62:$AQ$66&gt;$AO857)),
SUMPRODUCT(INDEX($AR$47:$AT$56,,$AI857), INDEX($AU$47:$BA$56,,$AH857), 1 / ($BC$47:$BC$56*BY857 + (1-$BC$47:$BC$56)*BU857), N($AQ$47:$AQ$56&gt;$AO857))
) / 1000</f>
        <v>0</v>
      </c>
      <c r="CA857" s="235" cm="1">
        <f t="array" ref="CA857">$BI857 * IF($AH857&lt;=2,
SUMPRODUCT(INDEX($AR$23:$AT$61,,$AI857), INDEX($AU$23:$BA$61,,$AH857), 1 / ($BB$23:$BB$61*BY857), N($AQ$23:$AQ$61&gt;$AO857)),
SUMPRODUCT(INDEX($AR$23:$AT$46,,$AI857), INDEX($AU$23:$BA$46,,$AH857), 1 / ($BC$23:$BC$46*BY857), N($AQ$23:$AQ$46&gt;$AO857))
) / 1000</f>
        <v>0</v>
      </c>
      <c r="CB857" s="230">
        <f t="shared" si="777"/>
        <v>0</v>
      </c>
      <c r="CC857" s="238"/>
      <c r="CD857" s="229" cm="1">
        <f t="array" ref="CD857">IF(ISBLANK(Y857), INDEX(Use, $AH857, 4) - AN857*INDEX(Use, $AH857, 6) - (Q857-X857), Y857)</f>
        <v>7</v>
      </c>
      <c r="CE857" s="229">
        <f t="shared" si="778"/>
        <v>32</v>
      </c>
      <c r="CF857" s="230">
        <f t="shared" si="779"/>
        <v>0</v>
      </c>
      <c r="CG857" s="229">
        <v>35</v>
      </c>
      <c r="CH857" s="230">
        <f t="shared" si="780"/>
        <v>48</v>
      </c>
      <c r="CI857" s="235">
        <f t="shared" si="781"/>
        <v>3.0748170731707316</v>
      </c>
      <c r="CJ857" s="235" cm="1">
        <f t="array" ref="CJ857">$BI857 * SUMPRODUCT(INDEX($AR$77:$AT$82,,$AI857),INDEX($AU$77:$BA$82,,$AH857), N($AQ$77:$AQ$82&gt;$AO857)) / CI857 / 1000</f>
        <v>0</v>
      </c>
      <c r="CK857" s="232">
        <f t="shared" si="798"/>
        <v>30</v>
      </c>
      <c r="CL857" s="230">
        <f t="shared" si="782"/>
        <v>43</v>
      </c>
      <c r="CM857" s="235">
        <f t="shared" si="783"/>
        <v>3.5018750000000001</v>
      </c>
      <c r="CN857" s="235" cm="1">
        <f t="array" ref="CN857">$BI857 * IF($AH857&lt;=2,
SUMPRODUCT(INDEX($AR$72:$AT$76,,$AI857), INDEX($AU$72:$BA$76,,$AH857), 1 / ($BB$72:$BB$76*CM857 + (1-$BB$72:$BB$76)*CI857), N($AQ$72:$AQ$76&gt;$AO857)),
SUMPRODUCT(INDEX($AR$67:$AT$76,,$AI857), INDEX($AU$67:$BA$76,,$AH857), 1 / ($BC$67:$BC$76*CM857 + (1-$BC$67:$BC$76)*CI857), N($AQ$67:$AQ$76&gt;$AO857))
) / 1000</f>
        <v>0</v>
      </c>
      <c r="CO857" s="232">
        <f t="shared" si="799"/>
        <v>25</v>
      </c>
      <c r="CP857" s="230">
        <f t="shared" si="784"/>
        <v>38</v>
      </c>
      <c r="CQ857" s="235">
        <f t="shared" si="785"/>
        <v>4.0666935483870965</v>
      </c>
      <c r="CR857" s="235" cm="1">
        <f t="array" ref="CR857">$BI857 * IF($AH857&lt;=2,
SUMPRODUCT(INDEX($AR$67:$AT$71,,$AI857), INDEX($AU$67:$BA$71,,$AH857), 1 / ($BB$67:$BB$71*CQ857 + (1-$BB$67:$BB$71)*CM857), N($AQ$67:$AQ$71&gt;$AO857)),
SUMPRODUCT(INDEX($AR$57:$AT$66,,$AI857), INDEX($AU$57:$BA$66,,$AH857), 1 / ($BC$57:$BC$66*CQ857 + (1-$BC$57:$BC$66)*CM857), N($AQ$57:$AQ$66&gt;$AO857))
) / 1000</f>
        <v>0</v>
      </c>
      <c r="CS857" s="232">
        <f t="shared" si="800"/>
        <v>20</v>
      </c>
      <c r="CT857" s="230">
        <f t="shared" si="786"/>
        <v>33</v>
      </c>
      <c r="CU857" s="235">
        <f t="shared" si="787"/>
        <v>4.8487499999999999</v>
      </c>
      <c r="CV857" s="235" cm="1">
        <f t="array" ref="CV857">$BI857 * IF($AH857&lt;=2,
SUMPRODUCT(INDEX($AR$62:$AT$66,,$AI857), INDEX($AU$62:$BA$66,,$AH857), 1 / ($BB$62:$BB$66*CU857 + (1-$BB$62:$BB$66)*CQ857), N($AQ$62:$AQ$66&gt;$AO857)),
SUMPRODUCT(INDEX($AR$47:$AT$56,,$AI857), INDEX($AU$47:$BA$56,,$AH857), 1 / ($BC$47:$BC$56*CU857 + (1-$BC$47:$BC$56)*CQ857), N($AQ$47:$AQ$56&gt;$AO857))
) / 1000</f>
        <v>0</v>
      </c>
      <c r="CW857" s="235" cm="1">
        <f t="array" ref="CW857">$BI857 * IF($AH857&lt;=2,
SUMPRODUCT(INDEX($AR$23:$AT$61,,$AI857), INDEX($AU$23:$BA$61,,$AH857), 1 / ($BB$23:$BB$61*CU857), N($AQ$23:$AQ$61&gt;$AO857)),
SUMPRODUCT(INDEX($AR$23:$AT$46,,$AI857), INDEX($AU$23:$BA$46,,$AH857), 1 / ($BC$23:$BC$46*CU857), N($AQ$23:$AQ$46&gt;$AO857))
) / 1000</f>
        <v>0</v>
      </c>
      <c r="CX857" s="230">
        <f t="shared" si="788"/>
        <v>0</v>
      </c>
      <c r="CY857" s="238"/>
    </row>
    <row r="858" spans="1:103" s="76" customFormat="1" ht="14.25" customHeight="1" x14ac:dyDescent="0.2">
      <c r="A858" s="231" t="b">
        <f t="shared" si="792"/>
        <v>0</v>
      </c>
      <c r="B858" s="245">
        <v>836</v>
      </c>
      <c r="C858" s="258"/>
      <c r="D858" s="258"/>
      <c r="E858" s="246"/>
      <c r="F858" s="247" t="str">
        <f>IF(ISBLANK(E858), "", VLOOKUP(E858, Z!$A$2:$C$4127, 3, FALSE))</f>
        <v/>
      </c>
      <c r="G858" s="248"/>
      <c r="H858" s="248"/>
      <c r="I858" s="249"/>
      <c r="J858" s="250"/>
      <c r="K858" s="259"/>
      <c r="L858" s="260"/>
      <c r="M858" s="252" t="str" cm="1">
        <f t="array" ref="M858">INDEX(Trad, 53, $A$20)</f>
        <v>Verschmutzt</v>
      </c>
      <c r="N858" s="253"/>
      <c r="O858" s="253"/>
      <c r="P858" s="254"/>
      <c r="Q858" s="251"/>
      <c r="R858" s="251"/>
      <c r="S858" s="264">
        <f t="shared" si="763"/>
        <v>0</v>
      </c>
      <c r="T858" s="252" t="str" cm="1">
        <f t="array" ref="T858">INDEX(Trad, 52, $A$20)</f>
        <v>Sauber</v>
      </c>
      <c r="U858" s="253"/>
      <c r="V858" s="253"/>
      <c r="W858" s="254"/>
      <c r="X858" s="251"/>
      <c r="Y858" s="251"/>
      <c r="Z858" s="264">
        <f t="shared" si="764"/>
        <v>0</v>
      </c>
      <c r="AA858" s="261"/>
      <c r="AB858" s="258"/>
      <c r="AC858" s="246"/>
      <c r="AD858" s="247" t="str">
        <f>IF(ISBLANK(AC858), "", VLOOKUP(AC858, Z!$A$2:$C$4127, 3, FALSE))</f>
        <v/>
      </c>
      <c r="AE858" s="262"/>
      <c r="AF858" s="263">
        <f t="shared" si="765"/>
        <v>0</v>
      </c>
      <c r="AG858" s="238"/>
      <c r="AH858" s="229">
        <f t="shared" si="789"/>
        <v>1</v>
      </c>
      <c r="AI858" s="229">
        <f t="shared" si="790"/>
        <v>1</v>
      </c>
      <c r="AJ858" s="229">
        <f t="shared" si="791"/>
        <v>0</v>
      </c>
      <c r="AK858" s="229">
        <v>0</v>
      </c>
      <c r="AL858" s="229">
        <v>0</v>
      </c>
      <c r="AM858" s="229">
        <v>1</v>
      </c>
      <c r="AN858" s="229">
        <v>0</v>
      </c>
      <c r="AO858" s="229">
        <f t="shared" si="766"/>
        <v>-100</v>
      </c>
      <c r="AP858" s="238"/>
      <c r="AQ858" s="255"/>
      <c r="AR858" s="255"/>
      <c r="AS858" s="256"/>
      <c r="AT858" s="256"/>
      <c r="AU858" s="256"/>
      <c r="AV858" s="256"/>
      <c r="AW858" s="256"/>
      <c r="AX858" s="256"/>
      <c r="AY858" s="256"/>
      <c r="AZ858" s="256"/>
      <c r="BA858" s="256"/>
      <c r="BB858" s="256"/>
      <c r="BC858" s="256"/>
      <c r="BD858" s="238"/>
      <c r="BE858" s="229" cm="1">
        <f t="array" ref="BE858">IF(ISBLANK(R858), INDEX(Use, $AH858, 4) - AM858*INDEX(Use, $AH858, 6), R858)</f>
        <v>5</v>
      </c>
      <c r="BF858" s="229">
        <f t="shared" si="767"/>
        <v>30</v>
      </c>
      <c r="BG858" s="229">
        <f t="shared" si="793"/>
        <v>13</v>
      </c>
      <c r="BH858" s="229">
        <f t="shared" si="794"/>
        <v>0</v>
      </c>
      <c r="BI858" s="234" cm="1">
        <f t="array" ref="BI858">K858/IF($L858&gt;0, INDEX($AU$23:$BA$77, $L858+20, $AH858), 1)</f>
        <v>0</v>
      </c>
      <c r="BJ858" s="230">
        <f t="shared" si="768"/>
        <v>0</v>
      </c>
      <c r="BK858" s="229">
        <v>35</v>
      </c>
      <c r="BL858" s="230">
        <f t="shared" si="769"/>
        <v>48</v>
      </c>
      <c r="BM858" s="235">
        <f t="shared" si="770"/>
        <v>2.9108720930232557</v>
      </c>
      <c r="BN858" s="235" cm="1">
        <f t="array" ref="BN858">$BI858 * SUMPRODUCT(INDEX($AR$77:$AT$82,,$AI858),INDEX($AU$77:$BA$82,,$AH858), N($AQ$77:$AQ$82&gt;$AO858)) / BM858 / 1000</f>
        <v>0</v>
      </c>
      <c r="BO858" s="232">
        <f t="shared" si="795"/>
        <v>30</v>
      </c>
      <c r="BP858" s="230">
        <f t="shared" si="771"/>
        <v>43</v>
      </c>
      <c r="BQ858" s="235">
        <f t="shared" si="772"/>
        <v>3.2938815789473681</v>
      </c>
      <c r="BR858" s="235" cm="1">
        <f t="array" ref="BR858">$BI858 * IF($AH858&lt;=2,
SUMPRODUCT(INDEX($AR$72:$AT$76,,$AI858), INDEX($AU$72:$BA$76,,$AH858), 1 / ($BB$72:$BB$76*BQ858 + (1-$BB$72:$BB$76)*BM858), N($AQ$72:$AQ$76&gt;$AO858)),
SUMPRODUCT(INDEX($AR$67:$AT$76,,$AI858), INDEX($AU$67:$BA$76,,$AH858), 1 / ($BC$67:$BC$76*BQ858 + (1-$BC$67:$BC$76)*BM858), N($AQ$67:$AQ$76&gt;$AO858))
) / 1000</f>
        <v>0</v>
      </c>
      <c r="BS858" s="232">
        <f t="shared" si="796"/>
        <v>25</v>
      </c>
      <c r="BT858" s="230">
        <f t="shared" si="773"/>
        <v>38</v>
      </c>
      <c r="BU858" s="235">
        <f t="shared" si="774"/>
        <v>3.792954545454545</v>
      </c>
      <c r="BV858" s="235" cm="1">
        <f t="array" ref="BV858">$BI858 * IF($AH858&lt;=2,
SUMPRODUCT(INDEX($AR$67:$AT$71,,$AI858), INDEX($AU$67:$BA$71,,$AH858), 1 / ($BB$67:$BB$71*BU858 + (1-$BB$67:$BB$71)*BQ858), N($AQ$67:$AQ$71&gt;$AO858)),
SUMPRODUCT(INDEX($AR$57:$AT$66,,$AI858), INDEX($AU$57:$BA$66,,$AH858), 1 / ($BC$57:$BC$66*BU858 + (1-$BC$57:$BC$66)*BQ858), N($AQ$57:$AQ$66&gt;$AO858))
) / 1000</f>
        <v>0</v>
      </c>
      <c r="BW858" s="232">
        <f t="shared" si="797"/>
        <v>20</v>
      </c>
      <c r="BX858" s="230">
        <f t="shared" si="775"/>
        <v>33</v>
      </c>
      <c r="BY858" s="235">
        <f t="shared" si="776"/>
        <v>4.4702678571428569</v>
      </c>
      <c r="BZ858" s="235" cm="1">
        <f t="array" ref="BZ858">$BI858 * IF($AH858&lt;=2,
SUMPRODUCT(INDEX($AR$62:$AT$66,,$AI858), INDEX($AU$62:$BA$66,,$AH858), 1 / ($BB$62:$BB$66*BY858 + (1-$BB$62:$BB$66)*BU858), N($AQ$62:$AQ$66&gt;$AO858)),
SUMPRODUCT(INDEX($AR$47:$AT$56,,$AI858), INDEX($AU$47:$BA$56,,$AH858), 1 / ($BC$47:$BC$56*BY858 + (1-$BC$47:$BC$56)*BU858), N($AQ$47:$AQ$56&gt;$AO858))
) / 1000</f>
        <v>0</v>
      </c>
      <c r="CA858" s="235" cm="1">
        <f t="array" ref="CA858">$BI858 * IF($AH858&lt;=2,
SUMPRODUCT(INDEX($AR$23:$AT$61,,$AI858), INDEX($AU$23:$BA$61,,$AH858), 1 / ($BB$23:$BB$61*BY858), N($AQ$23:$AQ$61&gt;$AO858)),
SUMPRODUCT(INDEX($AR$23:$AT$46,,$AI858), INDEX($AU$23:$BA$46,,$AH858), 1 / ($BC$23:$BC$46*BY858), N($AQ$23:$AQ$46&gt;$AO858))
) / 1000</f>
        <v>0</v>
      </c>
      <c r="CB858" s="230">
        <f t="shared" si="777"/>
        <v>0</v>
      </c>
      <c r="CC858" s="238"/>
      <c r="CD858" s="229" cm="1">
        <f t="array" ref="CD858">IF(ISBLANK(Y858), INDEX(Use, $AH858, 4) - AN858*INDEX(Use, $AH858, 6) - (Q858-X858), Y858)</f>
        <v>7</v>
      </c>
      <c r="CE858" s="229">
        <f t="shared" si="778"/>
        <v>32</v>
      </c>
      <c r="CF858" s="230">
        <f t="shared" si="779"/>
        <v>0</v>
      </c>
      <c r="CG858" s="229">
        <v>35</v>
      </c>
      <c r="CH858" s="230">
        <f t="shared" si="780"/>
        <v>48</v>
      </c>
      <c r="CI858" s="235">
        <f t="shared" si="781"/>
        <v>3.0748170731707316</v>
      </c>
      <c r="CJ858" s="235" cm="1">
        <f t="array" ref="CJ858">$BI858 * SUMPRODUCT(INDEX($AR$77:$AT$82,,$AI858),INDEX($AU$77:$BA$82,,$AH858), N($AQ$77:$AQ$82&gt;$AO858)) / CI858 / 1000</f>
        <v>0</v>
      </c>
      <c r="CK858" s="232">
        <f t="shared" si="798"/>
        <v>30</v>
      </c>
      <c r="CL858" s="230">
        <f t="shared" si="782"/>
        <v>43</v>
      </c>
      <c r="CM858" s="235">
        <f t="shared" si="783"/>
        <v>3.5018750000000001</v>
      </c>
      <c r="CN858" s="235" cm="1">
        <f t="array" ref="CN858">$BI858 * IF($AH858&lt;=2,
SUMPRODUCT(INDEX($AR$72:$AT$76,,$AI858), INDEX($AU$72:$BA$76,,$AH858), 1 / ($BB$72:$BB$76*CM858 + (1-$BB$72:$BB$76)*CI858), N($AQ$72:$AQ$76&gt;$AO858)),
SUMPRODUCT(INDEX($AR$67:$AT$76,,$AI858), INDEX($AU$67:$BA$76,,$AH858), 1 / ($BC$67:$BC$76*CM858 + (1-$BC$67:$BC$76)*CI858), N($AQ$67:$AQ$76&gt;$AO858))
) / 1000</f>
        <v>0</v>
      </c>
      <c r="CO858" s="232">
        <f t="shared" si="799"/>
        <v>25</v>
      </c>
      <c r="CP858" s="230">
        <f t="shared" si="784"/>
        <v>38</v>
      </c>
      <c r="CQ858" s="235">
        <f t="shared" si="785"/>
        <v>4.0666935483870965</v>
      </c>
      <c r="CR858" s="235" cm="1">
        <f t="array" ref="CR858">$BI858 * IF($AH858&lt;=2,
SUMPRODUCT(INDEX($AR$67:$AT$71,,$AI858), INDEX($AU$67:$BA$71,,$AH858), 1 / ($BB$67:$BB$71*CQ858 + (1-$BB$67:$BB$71)*CM858), N($AQ$67:$AQ$71&gt;$AO858)),
SUMPRODUCT(INDEX($AR$57:$AT$66,,$AI858), INDEX($AU$57:$BA$66,,$AH858), 1 / ($BC$57:$BC$66*CQ858 + (1-$BC$57:$BC$66)*CM858), N($AQ$57:$AQ$66&gt;$AO858))
) / 1000</f>
        <v>0</v>
      </c>
      <c r="CS858" s="232">
        <f t="shared" si="800"/>
        <v>20</v>
      </c>
      <c r="CT858" s="230">
        <f t="shared" si="786"/>
        <v>33</v>
      </c>
      <c r="CU858" s="235">
        <f t="shared" si="787"/>
        <v>4.8487499999999999</v>
      </c>
      <c r="CV858" s="235" cm="1">
        <f t="array" ref="CV858">$BI858 * IF($AH858&lt;=2,
SUMPRODUCT(INDEX($AR$62:$AT$66,,$AI858), INDEX($AU$62:$BA$66,,$AH858), 1 / ($BB$62:$BB$66*CU858 + (1-$BB$62:$BB$66)*CQ858), N($AQ$62:$AQ$66&gt;$AO858)),
SUMPRODUCT(INDEX($AR$47:$AT$56,,$AI858), INDEX($AU$47:$BA$56,,$AH858), 1 / ($BC$47:$BC$56*CU858 + (1-$BC$47:$BC$56)*CQ858), N($AQ$47:$AQ$56&gt;$AO858))
) / 1000</f>
        <v>0</v>
      </c>
      <c r="CW858" s="235" cm="1">
        <f t="array" ref="CW858">$BI858 * IF($AH858&lt;=2,
SUMPRODUCT(INDEX($AR$23:$AT$61,,$AI858), INDEX($AU$23:$BA$61,,$AH858), 1 / ($BB$23:$BB$61*CU858), N($AQ$23:$AQ$61&gt;$AO858)),
SUMPRODUCT(INDEX($AR$23:$AT$46,,$AI858), INDEX($AU$23:$BA$46,,$AH858), 1 / ($BC$23:$BC$46*CU858), N($AQ$23:$AQ$46&gt;$AO858))
) / 1000</f>
        <v>0</v>
      </c>
      <c r="CX858" s="230">
        <f t="shared" si="788"/>
        <v>0</v>
      </c>
      <c r="CY858" s="238"/>
    </row>
    <row r="859" spans="1:103" s="76" customFormat="1" ht="14.25" customHeight="1" x14ac:dyDescent="0.2">
      <c r="A859" s="231" t="b">
        <f t="shared" si="792"/>
        <v>0</v>
      </c>
      <c r="B859" s="245">
        <v>837</v>
      </c>
      <c r="C859" s="258"/>
      <c r="D859" s="258"/>
      <c r="E859" s="246"/>
      <c r="F859" s="247" t="str">
        <f>IF(ISBLANK(E859), "", VLOOKUP(E859, Z!$A$2:$C$4127, 3, FALSE))</f>
        <v/>
      </c>
      <c r="G859" s="248"/>
      <c r="H859" s="248"/>
      <c r="I859" s="249"/>
      <c r="J859" s="250"/>
      <c r="K859" s="259"/>
      <c r="L859" s="260"/>
      <c r="M859" s="252" t="str" cm="1">
        <f t="array" ref="M859">INDEX(Trad, 53, $A$20)</f>
        <v>Verschmutzt</v>
      </c>
      <c r="N859" s="253"/>
      <c r="O859" s="253"/>
      <c r="P859" s="254"/>
      <c r="Q859" s="251"/>
      <c r="R859" s="251"/>
      <c r="S859" s="264">
        <f t="shared" si="763"/>
        <v>0</v>
      </c>
      <c r="T859" s="252" t="str" cm="1">
        <f t="array" ref="T859">INDEX(Trad, 52, $A$20)</f>
        <v>Sauber</v>
      </c>
      <c r="U859" s="253"/>
      <c r="V859" s="253"/>
      <c r="W859" s="254"/>
      <c r="X859" s="251"/>
      <c r="Y859" s="251"/>
      <c r="Z859" s="264">
        <f t="shared" si="764"/>
        <v>0</v>
      </c>
      <c r="AA859" s="261"/>
      <c r="AB859" s="258"/>
      <c r="AC859" s="246"/>
      <c r="AD859" s="247" t="str">
        <f>IF(ISBLANK(AC859), "", VLOOKUP(AC859, Z!$A$2:$C$4127, 3, FALSE))</f>
        <v/>
      </c>
      <c r="AE859" s="262"/>
      <c r="AF859" s="263">
        <f t="shared" si="765"/>
        <v>0</v>
      </c>
      <c r="AG859" s="238"/>
      <c r="AH859" s="229">
        <f t="shared" si="789"/>
        <v>1</v>
      </c>
      <c r="AI859" s="229">
        <f t="shared" si="790"/>
        <v>1</v>
      </c>
      <c r="AJ859" s="229">
        <f t="shared" si="791"/>
        <v>0</v>
      </c>
      <c r="AK859" s="229">
        <v>0</v>
      </c>
      <c r="AL859" s="229">
        <v>0</v>
      </c>
      <c r="AM859" s="229">
        <v>1</v>
      </c>
      <c r="AN859" s="229">
        <v>0</v>
      </c>
      <c r="AO859" s="229">
        <f t="shared" si="766"/>
        <v>-100</v>
      </c>
      <c r="AP859" s="238"/>
      <c r="AQ859" s="255"/>
      <c r="AR859" s="255"/>
      <c r="AS859" s="256"/>
      <c r="AT859" s="256"/>
      <c r="AU859" s="256"/>
      <c r="AV859" s="256"/>
      <c r="AW859" s="256"/>
      <c r="AX859" s="256"/>
      <c r="AY859" s="256"/>
      <c r="AZ859" s="256"/>
      <c r="BA859" s="256"/>
      <c r="BB859" s="256"/>
      <c r="BC859" s="256"/>
      <c r="BD859" s="238"/>
      <c r="BE859" s="229" cm="1">
        <f t="array" ref="BE859">IF(ISBLANK(R859), INDEX(Use, $AH859, 4) - AM859*INDEX(Use, $AH859, 6), R859)</f>
        <v>5</v>
      </c>
      <c r="BF859" s="229">
        <f t="shared" si="767"/>
        <v>30</v>
      </c>
      <c r="BG859" s="229">
        <f t="shared" si="793"/>
        <v>13</v>
      </c>
      <c r="BH859" s="229">
        <f t="shared" si="794"/>
        <v>0</v>
      </c>
      <c r="BI859" s="234" cm="1">
        <f t="array" ref="BI859">K859/IF($L859&gt;0, INDEX($AU$23:$BA$77, $L859+20, $AH859), 1)</f>
        <v>0</v>
      </c>
      <c r="BJ859" s="230">
        <f t="shared" si="768"/>
        <v>0</v>
      </c>
      <c r="BK859" s="229">
        <v>35</v>
      </c>
      <c r="BL859" s="230">
        <f t="shared" si="769"/>
        <v>48</v>
      </c>
      <c r="BM859" s="235">
        <f t="shared" si="770"/>
        <v>2.9108720930232557</v>
      </c>
      <c r="BN859" s="235" cm="1">
        <f t="array" ref="BN859">$BI859 * SUMPRODUCT(INDEX($AR$77:$AT$82,,$AI859),INDEX($AU$77:$BA$82,,$AH859), N($AQ$77:$AQ$82&gt;$AO859)) / BM859 / 1000</f>
        <v>0</v>
      </c>
      <c r="BO859" s="232">
        <f t="shared" si="795"/>
        <v>30</v>
      </c>
      <c r="BP859" s="230">
        <f t="shared" si="771"/>
        <v>43</v>
      </c>
      <c r="BQ859" s="235">
        <f t="shared" si="772"/>
        <v>3.2938815789473681</v>
      </c>
      <c r="BR859" s="235" cm="1">
        <f t="array" ref="BR859">$BI859 * IF($AH859&lt;=2,
SUMPRODUCT(INDEX($AR$72:$AT$76,,$AI859), INDEX($AU$72:$BA$76,,$AH859), 1 / ($BB$72:$BB$76*BQ859 + (1-$BB$72:$BB$76)*BM859), N($AQ$72:$AQ$76&gt;$AO859)),
SUMPRODUCT(INDEX($AR$67:$AT$76,,$AI859), INDEX($AU$67:$BA$76,,$AH859), 1 / ($BC$67:$BC$76*BQ859 + (1-$BC$67:$BC$76)*BM859), N($AQ$67:$AQ$76&gt;$AO859))
) / 1000</f>
        <v>0</v>
      </c>
      <c r="BS859" s="232">
        <f t="shared" si="796"/>
        <v>25</v>
      </c>
      <c r="BT859" s="230">
        <f t="shared" si="773"/>
        <v>38</v>
      </c>
      <c r="BU859" s="235">
        <f t="shared" si="774"/>
        <v>3.792954545454545</v>
      </c>
      <c r="BV859" s="235" cm="1">
        <f t="array" ref="BV859">$BI859 * IF($AH859&lt;=2,
SUMPRODUCT(INDEX($AR$67:$AT$71,,$AI859), INDEX($AU$67:$BA$71,,$AH859), 1 / ($BB$67:$BB$71*BU859 + (1-$BB$67:$BB$71)*BQ859), N($AQ$67:$AQ$71&gt;$AO859)),
SUMPRODUCT(INDEX($AR$57:$AT$66,,$AI859), INDEX($AU$57:$BA$66,,$AH859), 1 / ($BC$57:$BC$66*BU859 + (1-$BC$57:$BC$66)*BQ859), N($AQ$57:$AQ$66&gt;$AO859))
) / 1000</f>
        <v>0</v>
      </c>
      <c r="BW859" s="232">
        <f t="shared" si="797"/>
        <v>20</v>
      </c>
      <c r="BX859" s="230">
        <f t="shared" si="775"/>
        <v>33</v>
      </c>
      <c r="BY859" s="235">
        <f t="shared" si="776"/>
        <v>4.4702678571428569</v>
      </c>
      <c r="BZ859" s="235" cm="1">
        <f t="array" ref="BZ859">$BI859 * IF($AH859&lt;=2,
SUMPRODUCT(INDEX($AR$62:$AT$66,,$AI859), INDEX($AU$62:$BA$66,,$AH859), 1 / ($BB$62:$BB$66*BY859 + (1-$BB$62:$BB$66)*BU859), N($AQ$62:$AQ$66&gt;$AO859)),
SUMPRODUCT(INDEX($AR$47:$AT$56,,$AI859), INDEX($AU$47:$BA$56,,$AH859), 1 / ($BC$47:$BC$56*BY859 + (1-$BC$47:$BC$56)*BU859), N($AQ$47:$AQ$56&gt;$AO859))
) / 1000</f>
        <v>0</v>
      </c>
      <c r="CA859" s="235" cm="1">
        <f t="array" ref="CA859">$BI859 * IF($AH859&lt;=2,
SUMPRODUCT(INDEX($AR$23:$AT$61,,$AI859), INDEX($AU$23:$BA$61,,$AH859), 1 / ($BB$23:$BB$61*BY859), N($AQ$23:$AQ$61&gt;$AO859)),
SUMPRODUCT(INDEX($AR$23:$AT$46,,$AI859), INDEX($AU$23:$BA$46,,$AH859), 1 / ($BC$23:$BC$46*BY859), N($AQ$23:$AQ$46&gt;$AO859))
) / 1000</f>
        <v>0</v>
      </c>
      <c r="CB859" s="230">
        <f t="shared" si="777"/>
        <v>0</v>
      </c>
      <c r="CC859" s="238"/>
      <c r="CD859" s="229" cm="1">
        <f t="array" ref="CD859">IF(ISBLANK(Y859), INDEX(Use, $AH859, 4) - AN859*INDEX(Use, $AH859, 6) - (Q859-X859), Y859)</f>
        <v>7</v>
      </c>
      <c r="CE859" s="229">
        <f t="shared" si="778"/>
        <v>32</v>
      </c>
      <c r="CF859" s="230">
        <f t="shared" si="779"/>
        <v>0</v>
      </c>
      <c r="CG859" s="229">
        <v>35</v>
      </c>
      <c r="CH859" s="230">
        <f t="shared" si="780"/>
        <v>48</v>
      </c>
      <c r="CI859" s="235">
        <f t="shared" si="781"/>
        <v>3.0748170731707316</v>
      </c>
      <c r="CJ859" s="235" cm="1">
        <f t="array" ref="CJ859">$BI859 * SUMPRODUCT(INDEX($AR$77:$AT$82,,$AI859),INDEX($AU$77:$BA$82,,$AH859), N($AQ$77:$AQ$82&gt;$AO859)) / CI859 / 1000</f>
        <v>0</v>
      </c>
      <c r="CK859" s="232">
        <f t="shared" si="798"/>
        <v>30</v>
      </c>
      <c r="CL859" s="230">
        <f t="shared" si="782"/>
        <v>43</v>
      </c>
      <c r="CM859" s="235">
        <f t="shared" si="783"/>
        <v>3.5018750000000001</v>
      </c>
      <c r="CN859" s="235" cm="1">
        <f t="array" ref="CN859">$BI859 * IF($AH859&lt;=2,
SUMPRODUCT(INDEX($AR$72:$AT$76,,$AI859), INDEX($AU$72:$BA$76,,$AH859), 1 / ($BB$72:$BB$76*CM859 + (1-$BB$72:$BB$76)*CI859), N($AQ$72:$AQ$76&gt;$AO859)),
SUMPRODUCT(INDEX($AR$67:$AT$76,,$AI859), INDEX($AU$67:$BA$76,,$AH859), 1 / ($BC$67:$BC$76*CM859 + (1-$BC$67:$BC$76)*CI859), N($AQ$67:$AQ$76&gt;$AO859))
) / 1000</f>
        <v>0</v>
      </c>
      <c r="CO859" s="232">
        <f t="shared" si="799"/>
        <v>25</v>
      </c>
      <c r="CP859" s="230">
        <f t="shared" si="784"/>
        <v>38</v>
      </c>
      <c r="CQ859" s="235">
        <f t="shared" si="785"/>
        <v>4.0666935483870965</v>
      </c>
      <c r="CR859" s="235" cm="1">
        <f t="array" ref="CR859">$BI859 * IF($AH859&lt;=2,
SUMPRODUCT(INDEX($AR$67:$AT$71,,$AI859), INDEX($AU$67:$BA$71,,$AH859), 1 / ($BB$67:$BB$71*CQ859 + (1-$BB$67:$BB$71)*CM859), N($AQ$67:$AQ$71&gt;$AO859)),
SUMPRODUCT(INDEX($AR$57:$AT$66,,$AI859), INDEX($AU$57:$BA$66,,$AH859), 1 / ($BC$57:$BC$66*CQ859 + (1-$BC$57:$BC$66)*CM859), N($AQ$57:$AQ$66&gt;$AO859))
) / 1000</f>
        <v>0</v>
      </c>
      <c r="CS859" s="232">
        <f t="shared" si="800"/>
        <v>20</v>
      </c>
      <c r="CT859" s="230">
        <f t="shared" si="786"/>
        <v>33</v>
      </c>
      <c r="CU859" s="235">
        <f t="shared" si="787"/>
        <v>4.8487499999999999</v>
      </c>
      <c r="CV859" s="235" cm="1">
        <f t="array" ref="CV859">$BI859 * IF($AH859&lt;=2,
SUMPRODUCT(INDEX($AR$62:$AT$66,,$AI859), INDEX($AU$62:$BA$66,,$AH859), 1 / ($BB$62:$BB$66*CU859 + (1-$BB$62:$BB$66)*CQ859), N($AQ$62:$AQ$66&gt;$AO859)),
SUMPRODUCT(INDEX($AR$47:$AT$56,,$AI859), INDEX($AU$47:$BA$56,,$AH859), 1 / ($BC$47:$BC$56*CU859 + (1-$BC$47:$BC$56)*CQ859), N($AQ$47:$AQ$56&gt;$AO859))
) / 1000</f>
        <v>0</v>
      </c>
      <c r="CW859" s="235" cm="1">
        <f t="array" ref="CW859">$BI859 * IF($AH859&lt;=2,
SUMPRODUCT(INDEX($AR$23:$AT$61,,$AI859), INDEX($AU$23:$BA$61,,$AH859), 1 / ($BB$23:$BB$61*CU859), N($AQ$23:$AQ$61&gt;$AO859)),
SUMPRODUCT(INDEX($AR$23:$AT$46,,$AI859), INDEX($AU$23:$BA$46,,$AH859), 1 / ($BC$23:$BC$46*CU859), N($AQ$23:$AQ$46&gt;$AO859))
) / 1000</f>
        <v>0</v>
      </c>
      <c r="CX859" s="230">
        <f t="shared" si="788"/>
        <v>0</v>
      </c>
      <c r="CY859" s="238"/>
    </row>
    <row r="860" spans="1:103" s="76" customFormat="1" ht="14.25" customHeight="1" x14ac:dyDescent="0.2">
      <c r="A860" s="231" t="b">
        <f t="shared" si="792"/>
        <v>0</v>
      </c>
      <c r="B860" s="245">
        <v>838</v>
      </c>
      <c r="C860" s="258"/>
      <c r="D860" s="258"/>
      <c r="E860" s="246"/>
      <c r="F860" s="247" t="str">
        <f>IF(ISBLANK(E860), "", VLOOKUP(E860, Z!$A$2:$C$4127, 3, FALSE))</f>
        <v/>
      </c>
      <c r="G860" s="248"/>
      <c r="H860" s="248"/>
      <c r="I860" s="249"/>
      <c r="J860" s="250"/>
      <c r="K860" s="259"/>
      <c r="L860" s="260"/>
      <c r="M860" s="252" t="str" cm="1">
        <f t="array" ref="M860">INDEX(Trad, 53, $A$20)</f>
        <v>Verschmutzt</v>
      </c>
      <c r="N860" s="253"/>
      <c r="O860" s="253"/>
      <c r="P860" s="254"/>
      <c r="Q860" s="251"/>
      <c r="R860" s="251"/>
      <c r="S860" s="264">
        <f t="shared" si="763"/>
        <v>0</v>
      </c>
      <c r="T860" s="252" t="str" cm="1">
        <f t="array" ref="T860">INDEX(Trad, 52, $A$20)</f>
        <v>Sauber</v>
      </c>
      <c r="U860" s="253"/>
      <c r="V860" s="253"/>
      <c r="W860" s="254"/>
      <c r="X860" s="251"/>
      <c r="Y860" s="251"/>
      <c r="Z860" s="264">
        <f t="shared" si="764"/>
        <v>0</v>
      </c>
      <c r="AA860" s="261"/>
      <c r="AB860" s="258"/>
      <c r="AC860" s="246"/>
      <c r="AD860" s="247" t="str">
        <f>IF(ISBLANK(AC860), "", VLOOKUP(AC860, Z!$A$2:$C$4127, 3, FALSE))</f>
        <v/>
      </c>
      <c r="AE860" s="262"/>
      <c r="AF860" s="263">
        <f t="shared" si="765"/>
        <v>0</v>
      </c>
      <c r="AG860" s="238"/>
      <c r="AH860" s="229">
        <f t="shared" si="789"/>
        <v>1</v>
      </c>
      <c r="AI860" s="229">
        <f t="shared" si="790"/>
        <v>1</v>
      </c>
      <c r="AJ860" s="229">
        <f t="shared" si="791"/>
        <v>0</v>
      </c>
      <c r="AK860" s="229">
        <v>0</v>
      </c>
      <c r="AL860" s="229">
        <v>0</v>
      </c>
      <c r="AM860" s="229">
        <v>1</v>
      </c>
      <c r="AN860" s="229">
        <v>0</v>
      </c>
      <c r="AO860" s="229">
        <f t="shared" si="766"/>
        <v>-100</v>
      </c>
      <c r="AP860" s="238"/>
      <c r="AQ860" s="255"/>
      <c r="AR860" s="255"/>
      <c r="AS860" s="256"/>
      <c r="AT860" s="256"/>
      <c r="AU860" s="256"/>
      <c r="AV860" s="256"/>
      <c r="AW860" s="256"/>
      <c r="AX860" s="256"/>
      <c r="AY860" s="256"/>
      <c r="AZ860" s="256"/>
      <c r="BA860" s="256"/>
      <c r="BB860" s="256"/>
      <c r="BC860" s="256"/>
      <c r="BD860" s="238"/>
      <c r="BE860" s="229" cm="1">
        <f t="array" ref="BE860">IF(ISBLANK(R860), INDEX(Use, $AH860, 4) - AM860*INDEX(Use, $AH860, 6), R860)</f>
        <v>5</v>
      </c>
      <c r="BF860" s="229">
        <f t="shared" si="767"/>
        <v>30</v>
      </c>
      <c r="BG860" s="229">
        <f t="shared" si="793"/>
        <v>13</v>
      </c>
      <c r="BH860" s="229">
        <f t="shared" si="794"/>
        <v>0</v>
      </c>
      <c r="BI860" s="234" cm="1">
        <f t="array" ref="BI860">K860/IF($L860&gt;0, INDEX($AU$23:$BA$77, $L860+20, $AH860), 1)</f>
        <v>0</v>
      </c>
      <c r="BJ860" s="230">
        <f t="shared" si="768"/>
        <v>0</v>
      </c>
      <c r="BK860" s="229">
        <v>35</v>
      </c>
      <c r="BL860" s="230">
        <f t="shared" si="769"/>
        <v>48</v>
      </c>
      <c r="BM860" s="235">
        <f t="shared" si="770"/>
        <v>2.9108720930232557</v>
      </c>
      <c r="BN860" s="235" cm="1">
        <f t="array" ref="BN860">$BI860 * SUMPRODUCT(INDEX($AR$77:$AT$82,,$AI860),INDEX($AU$77:$BA$82,,$AH860), N($AQ$77:$AQ$82&gt;$AO860)) / BM860 / 1000</f>
        <v>0</v>
      </c>
      <c r="BO860" s="232">
        <f t="shared" si="795"/>
        <v>30</v>
      </c>
      <c r="BP860" s="230">
        <f t="shared" si="771"/>
        <v>43</v>
      </c>
      <c r="BQ860" s="235">
        <f t="shared" si="772"/>
        <v>3.2938815789473681</v>
      </c>
      <c r="BR860" s="235" cm="1">
        <f t="array" ref="BR860">$BI860 * IF($AH860&lt;=2,
SUMPRODUCT(INDEX($AR$72:$AT$76,,$AI860), INDEX($AU$72:$BA$76,,$AH860), 1 / ($BB$72:$BB$76*BQ860 + (1-$BB$72:$BB$76)*BM860), N($AQ$72:$AQ$76&gt;$AO860)),
SUMPRODUCT(INDEX($AR$67:$AT$76,,$AI860), INDEX($AU$67:$BA$76,,$AH860), 1 / ($BC$67:$BC$76*BQ860 + (1-$BC$67:$BC$76)*BM860), N($AQ$67:$AQ$76&gt;$AO860))
) / 1000</f>
        <v>0</v>
      </c>
      <c r="BS860" s="232">
        <f t="shared" si="796"/>
        <v>25</v>
      </c>
      <c r="BT860" s="230">
        <f t="shared" si="773"/>
        <v>38</v>
      </c>
      <c r="BU860" s="235">
        <f t="shared" si="774"/>
        <v>3.792954545454545</v>
      </c>
      <c r="BV860" s="235" cm="1">
        <f t="array" ref="BV860">$BI860 * IF($AH860&lt;=2,
SUMPRODUCT(INDEX($AR$67:$AT$71,,$AI860), INDEX($AU$67:$BA$71,,$AH860), 1 / ($BB$67:$BB$71*BU860 + (1-$BB$67:$BB$71)*BQ860), N($AQ$67:$AQ$71&gt;$AO860)),
SUMPRODUCT(INDEX($AR$57:$AT$66,,$AI860), INDEX($AU$57:$BA$66,,$AH860), 1 / ($BC$57:$BC$66*BU860 + (1-$BC$57:$BC$66)*BQ860), N($AQ$57:$AQ$66&gt;$AO860))
) / 1000</f>
        <v>0</v>
      </c>
      <c r="BW860" s="232">
        <f t="shared" si="797"/>
        <v>20</v>
      </c>
      <c r="BX860" s="230">
        <f t="shared" si="775"/>
        <v>33</v>
      </c>
      <c r="BY860" s="235">
        <f t="shared" si="776"/>
        <v>4.4702678571428569</v>
      </c>
      <c r="BZ860" s="235" cm="1">
        <f t="array" ref="BZ860">$BI860 * IF($AH860&lt;=2,
SUMPRODUCT(INDEX($AR$62:$AT$66,,$AI860), INDEX($AU$62:$BA$66,,$AH860), 1 / ($BB$62:$BB$66*BY860 + (1-$BB$62:$BB$66)*BU860), N($AQ$62:$AQ$66&gt;$AO860)),
SUMPRODUCT(INDEX($AR$47:$AT$56,,$AI860), INDEX($AU$47:$BA$56,,$AH860), 1 / ($BC$47:$BC$56*BY860 + (1-$BC$47:$BC$56)*BU860), N($AQ$47:$AQ$56&gt;$AO860))
) / 1000</f>
        <v>0</v>
      </c>
      <c r="CA860" s="235" cm="1">
        <f t="array" ref="CA860">$BI860 * IF($AH860&lt;=2,
SUMPRODUCT(INDEX($AR$23:$AT$61,,$AI860), INDEX($AU$23:$BA$61,,$AH860), 1 / ($BB$23:$BB$61*BY860), N($AQ$23:$AQ$61&gt;$AO860)),
SUMPRODUCT(INDEX($AR$23:$AT$46,,$AI860), INDEX($AU$23:$BA$46,,$AH860), 1 / ($BC$23:$BC$46*BY860), N($AQ$23:$AQ$46&gt;$AO860))
) / 1000</f>
        <v>0</v>
      </c>
      <c r="CB860" s="230">
        <f t="shared" si="777"/>
        <v>0</v>
      </c>
      <c r="CC860" s="238"/>
      <c r="CD860" s="229" cm="1">
        <f t="array" ref="CD860">IF(ISBLANK(Y860), INDEX(Use, $AH860, 4) - AN860*INDEX(Use, $AH860, 6) - (Q860-X860), Y860)</f>
        <v>7</v>
      </c>
      <c r="CE860" s="229">
        <f t="shared" si="778"/>
        <v>32</v>
      </c>
      <c r="CF860" s="230">
        <f t="shared" si="779"/>
        <v>0</v>
      </c>
      <c r="CG860" s="229">
        <v>35</v>
      </c>
      <c r="CH860" s="230">
        <f t="shared" si="780"/>
        <v>48</v>
      </c>
      <c r="CI860" s="235">
        <f t="shared" si="781"/>
        <v>3.0748170731707316</v>
      </c>
      <c r="CJ860" s="235" cm="1">
        <f t="array" ref="CJ860">$BI860 * SUMPRODUCT(INDEX($AR$77:$AT$82,,$AI860),INDEX($AU$77:$BA$82,,$AH860), N($AQ$77:$AQ$82&gt;$AO860)) / CI860 / 1000</f>
        <v>0</v>
      </c>
      <c r="CK860" s="232">
        <f t="shared" si="798"/>
        <v>30</v>
      </c>
      <c r="CL860" s="230">
        <f t="shared" si="782"/>
        <v>43</v>
      </c>
      <c r="CM860" s="235">
        <f t="shared" si="783"/>
        <v>3.5018750000000001</v>
      </c>
      <c r="CN860" s="235" cm="1">
        <f t="array" ref="CN860">$BI860 * IF($AH860&lt;=2,
SUMPRODUCT(INDEX($AR$72:$AT$76,,$AI860), INDEX($AU$72:$BA$76,,$AH860), 1 / ($BB$72:$BB$76*CM860 + (1-$BB$72:$BB$76)*CI860), N($AQ$72:$AQ$76&gt;$AO860)),
SUMPRODUCT(INDEX($AR$67:$AT$76,,$AI860), INDEX($AU$67:$BA$76,,$AH860), 1 / ($BC$67:$BC$76*CM860 + (1-$BC$67:$BC$76)*CI860), N($AQ$67:$AQ$76&gt;$AO860))
) / 1000</f>
        <v>0</v>
      </c>
      <c r="CO860" s="232">
        <f t="shared" si="799"/>
        <v>25</v>
      </c>
      <c r="CP860" s="230">
        <f t="shared" si="784"/>
        <v>38</v>
      </c>
      <c r="CQ860" s="235">
        <f t="shared" si="785"/>
        <v>4.0666935483870965</v>
      </c>
      <c r="CR860" s="235" cm="1">
        <f t="array" ref="CR860">$BI860 * IF($AH860&lt;=2,
SUMPRODUCT(INDEX($AR$67:$AT$71,,$AI860), INDEX($AU$67:$BA$71,,$AH860), 1 / ($BB$67:$BB$71*CQ860 + (1-$BB$67:$BB$71)*CM860), N($AQ$67:$AQ$71&gt;$AO860)),
SUMPRODUCT(INDEX($AR$57:$AT$66,,$AI860), INDEX($AU$57:$BA$66,,$AH860), 1 / ($BC$57:$BC$66*CQ860 + (1-$BC$57:$BC$66)*CM860), N($AQ$57:$AQ$66&gt;$AO860))
) / 1000</f>
        <v>0</v>
      </c>
      <c r="CS860" s="232">
        <f t="shared" si="800"/>
        <v>20</v>
      </c>
      <c r="CT860" s="230">
        <f t="shared" si="786"/>
        <v>33</v>
      </c>
      <c r="CU860" s="235">
        <f t="shared" si="787"/>
        <v>4.8487499999999999</v>
      </c>
      <c r="CV860" s="235" cm="1">
        <f t="array" ref="CV860">$BI860 * IF($AH860&lt;=2,
SUMPRODUCT(INDEX($AR$62:$AT$66,,$AI860), INDEX($AU$62:$BA$66,,$AH860), 1 / ($BB$62:$BB$66*CU860 + (1-$BB$62:$BB$66)*CQ860), N($AQ$62:$AQ$66&gt;$AO860)),
SUMPRODUCT(INDEX($AR$47:$AT$56,,$AI860), INDEX($AU$47:$BA$56,,$AH860), 1 / ($BC$47:$BC$56*CU860 + (1-$BC$47:$BC$56)*CQ860), N($AQ$47:$AQ$56&gt;$AO860))
) / 1000</f>
        <v>0</v>
      </c>
      <c r="CW860" s="235" cm="1">
        <f t="array" ref="CW860">$BI860 * IF($AH860&lt;=2,
SUMPRODUCT(INDEX($AR$23:$AT$61,,$AI860), INDEX($AU$23:$BA$61,,$AH860), 1 / ($BB$23:$BB$61*CU860), N($AQ$23:$AQ$61&gt;$AO860)),
SUMPRODUCT(INDEX($AR$23:$AT$46,,$AI860), INDEX($AU$23:$BA$46,,$AH860), 1 / ($BC$23:$BC$46*CU860), N($AQ$23:$AQ$46&gt;$AO860))
) / 1000</f>
        <v>0</v>
      </c>
      <c r="CX860" s="230">
        <f t="shared" si="788"/>
        <v>0</v>
      </c>
      <c r="CY860" s="238"/>
    </row>
    <row r="861" spans="1:103" s="76" customFormat="1" ht="14.25" customHeight="1" x14ac:dyDescent="0.2">
      <c r="A861" s="231" t="b">
        <f t="shared" si="792"/>
        <v>0</v>
      </c>
      <c r="B861" s="245">
        <v>839</v>
      </c>
      <c r="C861" s="258"/>
      <c r="D861" s="258"/>
      <c r="E861" s="246"/>
      <c r="F861" s="247" t="str">
        <f>IF(ISBLANK(E861), "", VLOOKUP(E861, Z!$A$2:$C$4127, 3, FALSE))</f>
        <v/>
      </c>
      <c r="G861" s="248"/>
      <c r="H861" s="248"/>
      <c r="I861" s="249"/>
      <c r="J861" s="250"/>
      <c r="K861" s="259"/>
      <c r="L861" s="260"/>
      <c r="M861" s="252" t="str" cm="1">
        <f t="array" ref="M861">INDEX(Trad, 53, $A$20)</f>
        <v>Verschmutzt</v>
      </c>
      <c r="N861" s="253"/>
      <c r="O861" s="253"/>
      <c r="P861" s="254"/>
      <c r="Q861" s="251"/>
      <c r="R861" s="251"/>
      <c r="S861" s="264">
        <f t="shared" si="763"/>
        <v>0</v>
      </c>
      <c r="T861" s="252" t="str" cm="1">
        <f t="array" ref="T861">INDEX(Trad, 52, $A$20)</f>
        <v>Sauber</v>
      </c>
      <c r="U861" s="253"/>
      <c r="V861" s="253"/>
      <c r="W861" s="254"/>
      <c r="X861" s="251"/>
      <c r="Y861" s="251"/>
      <c r="Z861" s="264">
        <f t="shared" si="764"/>
        <v>0</v>
      </c>
      <c r="AA861" s="261"/>
      <c r="AB861" s="258"/>
      <c r="AC861" s="246"/>
      <c r="AD861" s="247" t="str">
        <f>IF(ISBLANK(AC861), "", VLOOKUP(AC861, Z!$A$2:$C$4127, 3, FALSE))</f>
        <v/>
      </c>
      <c r="AE861" s="262"/>
      <c r="AF861" s="263">
        <f t="shared" si="765"/>
        <v>0</v>
      </c>
      <c r="AG861" s="238"/>
      <c r="AH861" s="229">
        <f t="shared" si="789"/>
        <v>1</v>
      </c>
      <c r="AI861" s="229">
        <f t="shared" si="790"/>
        <v>1</v>
      </c>
      <c r="AJ861" s="229">
        <f t="shared" si="791"/>
        <v>0</v>
      </c>
      <c r="AK861" s="229">
        <v>0</v>
      </c>
      <c r="AL861" s="229">
        <v>0</v>
      </c>
      <c r="AM861" s="229">
        <v>1</v>
      </c>
      <c r="AN861" s="229">
        <v>0</v>
      </c>
      <c r="AO861" s="229">
        <f t="shared" si="766"/>
        <v>-100</v>
      </c>
      <c r="AP861" s="238"/>
      <c r="AQ861" s="255"/>
      <c r="AR861" s="255"/>
      <c r="AS861" s="256"/>
      <c r="AT861" s="256"/>
      <c r="AU861" s="256"/>
      <c r="AV861" s="256"/>
      <c r="AW861" s="256"/>
      <c r="AX861" s="256"/>
      <c r="AY861" s="256"/>
      <c r="AZ861" s="256"/>
      <c r="BA861" s="256"/>
      <c r="BB861" s="256"/>
      <c r="BC861" s="256"/>
      <c r="BD861" s="238"/>
      <c r="BE861" s="229" cm="1">
        <f t="array" ref="BE861">IF(ISBLANK(R861), INDEX(Use, $AH861, 4) - AM861*INDEX(Use, $AH861, 6), R861)</f>
        <v>5</v>
      </c>
      <c r="BF861" s="229">
        <f t="shared" si="767"/>
        <v>30</v>
      </c>
      <c r="BG861" s="229">
        <f t="shared" si="793"/>
        <v>13</v>
      </c>
      <c r="BH861" s="229">
        <f t="shared" si="794"/>
        <v>0</v>
      </c>
      <c r="BI861" s="234" cm="1">
        <f t="array" ref="BI861">K861/IF($L861&gt;0, INDEX($AU$23:$BA$77, $L861+20, $AH861), 1)</f>
        <v>0</v>
      </c>
      <c r="BJ861" s="230">
        <f t="shared" si="768"/>
        <v>0</v>
      </c>
      <c r="BK861" s="229">
        <v>35</v>
      </c>
      <c r="BL861" s="230">
        <f t="shared" si="769"/>
        <v>48</v>
      </c>
      <c r="BM861" s="235">
        <f t="shared" si="770"/>
        <v>2.9108720930232557</v>
      </c>
      <c r="BN861" s="235" cm="1">
        <f t="array" ref="BN861">$BI861 * SUMPRODUCT(INDEX($AR$77:$AT$82,,$AI861),INDEX($AU$77:$BA$82,,$AH861), N($AQ$77:$AQ$82&gt;$AO861)) / BM861 / 1000</f>
        <v>0</v>
      </c>
      <c r="BO861" s="232">
        <f t="shared" si="795"/>
        <v>30</v>
      </c>
      <c r="BP861" s="230">
        <f t="shared" si="771"/>
        <v>43</v>
      </c>
      <c r="BQ861" s="235">
        <f t="shared" si="772"/>
        <v>3.2938815789473681</v>
      </c>
      <c r="BR861" s="235" cm="1">
        <f t="array" ref="BR861">$BI861 * IF($AH861&lt;=2,
SUMPRODUCT(INDEX($AR$72:$AT$76,,$AI861), INDEX($AU$72:$BA$76,,$AH861), 1 / ($BB$72:$BB$76*BQ861 + (1-$BB$72:$BB$76)*BM861), N($AQ$72:$AQ$76&gt;$AO861)),
SUMPRODUCT(INDEX($AR$67:$AT$76,,$AI861), INDEX($AU$67:$BA$76,,$AH861), 1 / ($BC$67:$BC$76*BQ861 + (1-$BC$67:$BC$76)*BM861), N($AQ$67:$AQ$76&gt;$AO861))
) / 1000</f>
        <v>0</v>
      </c>
      <c r="BS861" s="232">
        <f t="shared" si="796"/>
        <v>25</v>
      </c>
      <c r="BT861" s="230">
        <f t="shared" si="773"/>
        <v>38</v>
      </c>
      <c r="BU861" s="235">
        <f t="shared" si="774"/>
        <v>3.792954545454545</v>
      </c>
      <c r="BV861" s="235" cm="1">
        <f t="array" ref="BV861">$BI861 * IF($AH861&lt;=2,
SUMPRODUCT(INDEX($AR$67:$AT$71,,$AI861), INDEX($AU$67:$BA$71,,$AH861), 1 / ($BB$67:$BB$71*BU861 + (1-$BB$67:$BB$71)*BQ861), N($AQ$67:$AQ$71&gt;$AO861)),
SUMPRODUCT(INDEX($AR$57:$AT$66,,$AI861), INDEX($AU$57:$BA$66,,$AH861), 1 / ($BC$57:$BC$66*BU861 + (1-$BC$57:$BC$66)*BQ861), N($AQ$57:$AQ$66&gt;$AO861))
) / 1000</f>
        <v>0</v>
      </c>
      <c r="BW861" s="232">
        <f t="shared" si="797"/>
        <v>20</v>
      </c>
      <c r="BX861" s="230">
        <f t="shared" si="775"/>
        <v>33</v>
      </c>
      <c r="BY861" s="235">
        <f t="shared" si="776"/>
        <v>4.4702678571428569</v>
      </c>
      <c r="BZ861" s="235" cm="1">
        <f t="array" ref="BZ861">$BI861 * IF($AH861&lt;=2,
SUMPRODUCT(INDEX($AR$62:$AT$66,,$AI861), INDEX($AU$62:$BA$66,,$AH861), 1 / ($BB$62:$BB$66*BY861 + (1-$BB$62:$BB$66)*BU861), N($AQ$62:$AQ$66&gt;$AO861)),
SUMPRODUCT(INDEX($AR$47:$AT$56,,$AI861), INDEX($AU$47:$BA$56,,$AH861), 1 / ($BC$47:$BC$56*BY861 + (1-$BC$47:$BC$56)*BU861), N($AQ$47:$AQ$56&gt;$AO861))
) / 1000</f>
        <v>0</v>
      </c>
      <c r="CA861" s="235" cm="1">
        <f t="array" ref="CA861">$BI861 * IF($AH861&lt;=2,
SUMPRODUCT(INDEX($AR$23:$AT$61,,$AI861), INDEX($AU$23:$BA$61,,$AH861), 1 / ($BB$23:$BB$61*BY861), N($AQ$23:$AQ$61&gt;$AO861)),
SUMPRODUCT(INDEX($AR$23:$AT$46,,$AI861), INDEX($AU$23:$BA$46,,$AH861), 1 / ($BC$23:$BC$46*BY861), N($AQ$23:$AQ$46&gt;$AO861))
) / 1000</f>
        <v>0</v>
      </c>
      <c r="CB861" s="230">
        <f t="shared" si="777"/>
        <v>0</v>
      </c>
      <c r="CC861" s="238"/>
      <c r="CD861" s="229" cm="1">
        <f t="array" ref="CD861">IF(ISBLANK(Y861), INDEX(Use, $AH861, 4) - AN861*INDEX(Use, $AH861, 6) - (Q861-X861), Y861)</f>
        <v>7</v>
      </c>
      <c r="CE861" s="229">
        <f t="shared" si="778"/>
        <v>32</v>
      </c>
      <c r="CF861" s="230">
        <f t="shared" si="779"/>
        <v>0</v>
      </c>
      <c r="CG861" s="229">
        <v>35</v>
      </c>
      <c r="CH861" s="230">
        <f t="shared" si="780"/>
        <v>48</v>
      </c>
      <c r="CI861" s="235">
        <f t="shared" si="781"/>
        <v>3.0748170731707316</v>
      </c>
      <c r="CJ861" s="235" cm="1">
        <f t="array" ref="CJ861">$BI861 * SUMPRODUCT(INDEX($AR$77:$AT$82,,$AI861),INDEX($AU$77:$BA$82,,$AH861), N($AQ$77:$AQ$82&gt;$AO861)) / CI861 / 1000</f>
        <v>0</v>
      </c>
      <c r="CK861" s="232">
        <f t="shared" si="798"/>
        <v>30</v>
      </c>
      <c r="CL861" s="230">
        <f t="shared" si="782"/>
        <v>43</v>
      </c>
      <c r="CM861" s="235">
        <f t="shared" si="783"/>
        <v>3.5018750000000001</v>
      </c>
      <c r="CN861" s="235" cm="1">
        <f t="array" ref="CN861">$BI861 * IF($AH861&lt;=2,
SUMPRODUCT(INDEX($AR$72:$AT$76,,$AI861), INDEX($AU$72:$BA$76,,$AH861), 1 / ($BB$72:$BB$76*CM861 + (1-$BB$72:$BB$76)*CI861), N($AQ$72:$AQ$76&gt;$AO861)),
SUMPRODUCT(INDEX($AR$67:$AT$76,,$AI861), INDEX($AU$67:$BA$76,,$AH861), 1 / ($BC$67:$BC$76*CM861 + (1-$BC$67:$BC$76)*CI861), N($AQ$67:$AQ$76&gt;$AO861))
) / 1000</f>
        <v>0</v>
      </c>
      <c r="CO861" s="232">
        <f t="shared" si="799"/>
        <v>25</v>
      </c>
      <c r="CP861" s="230">
        <f t="shared" si="784"/>
        <v>38</v>
      </c>
      <c r="CQ861" s="235">
        <f t="shared" si="785"/>
        <v>4.0666935483870965</v>
      </c>
      <c r="CR861" s="235" cm="1">
        <f t="array" ref="CR861">$BI861 * IF($AH861&lt;=2,
SUMPRODUCT(INDEX($AR$67:$AT$71,,$AI861), INDEX($AU$67:$BA$71,,$AH861), 1 / ($BB$67:$BB$71*CQ861 + (1-$BB$67:$BB$71)*CM861), N($AQ$67:$AQ$71&gt;$AO861)),
SUMPRODUCT(INDEX($AR$57:$AT$66,,$AI861), INDEX($AU$57:$BA$66,,$AH861), 1 / ($BC$57:$BC$66*CQ861 + (1-$BC$57:$BC$66)*CM861), N($AQ$57:$AQ$66&gt;$AO861))
) / 1000</f>
        <v>0</v>
      </c>
      <c r="CS861" s="232">
        <f t="shared" si="800"/>
        <v>20</v>
      </c>
      <c r="CT861" s="230">
        <f t="shared" si="786"/>
        <v>33</v>
      </c>
      <c r="CU861" s="235">
        <f t="shared" si="787"/>
        <v>4.8487499999999999</v>
      </c>
      <c r="CV861" s="235" cm="1">
        <f t="array" ref="CV861">$BI861 * IF($AH861&lt;=2,
SUMPRODUCT(INDEX($AR$62:$AT$66,,$AI861), INDEX($AU$62:$BA$66,,$AH861), 1 / ($BB$62:$BB$66*CU861 + (1-$BB$62:$BB$66)*CQ861), N($AQ$62:$AQ$66&gt;$AO861)),
SUMPRODUCT(INDEX($AR$47:$AT$56,,$AI861), INDEX($AU$47:$BA$56,,$AH861), 1 / ($BC$47:$BC$56*CU861 + (1-$BC$47:$BC$56)*CQ861), N($AQ$47:$AQ$56&gt;$AO861))
) / 1000</f>
        <v>0</v>
      </c>
      <c r="CW861" s="235" cm="1">
        <f t="array" ref="CW861">$BI861 * IF($AH861&lt;=2,
SUMPRODUCT(INDEX($AR$23:$AT$61,,$AI861), INDEX($AU$23:$BA$61,,$AH861), 1 / ($BB$23:$BB$61*CU861), N($AQ$23:$AQ$61&gt;$AO861)),
SUMPRODUCT(INDEX($AR$23:$AT$46,,$AI861), INDEX($AU$23:$BA$46,,$AH861), 1 / ($BC$23:$BC$46*CU861), N($AQ$23:$AQ$46&gt;$AO861))
) / 1000</f>
        <v>0</v>
      </c>
      <c r="CX861" s="230">
        <f t="shared" si="788"/>
        <v>0</v>
      </c>
      <c r="CY861" s="238"/>
    </row>
    <row r="862" spans="1:103" s="76" customFormat="1" ht="14.25" customHeight="1" x14ac:dyDescent="0.2">
      <c r="A862" s="231" t="b">
        <f t="shared" si="792"/>
        <v>0</v>
      </c>
      <c r="B862" s="245">
        <v>840</v>
      </c>
      <c r="C862" s="258"/>
      <c r="D862" s="258"/>
      <c r="E862" s="246"/>
      <c r="F862" s="247" t="str">
        <f>IF(ISBLANK(E862), "", VLOOKUP(E862, Z!$A$2:$C$4127, 3, FALSE))</f>
        <v/>
      </c>
      <c r="G862" s="248"/>
      <c r="H862" s="248"/>
      <c r="I862" s="249"/>
      <c r="J862" s="250"/>
      <c r="K862" s="259"/>
      <c r="L862" s="260"/>
      <c r="M862" s="252" t="str" cm="1">
        <f t="array" ref="M862">INDEX(Trad, 53, $A$20)</f>
        <v>Verschmutzt</v>
      </c>
      <c r="N862" s="253"/>
      <c r="O862" s="253"/>
      <c r="P862" s="254"/>
      <c r="Q862" s="251"/>
      <c r="R862" s="251"/>
      <c r="S862" s="264">
        <f t="shared" si="763"/>
        <v>0</v>
      </c>
      <c r="T862" s="252" t="str" cm="1">
        <f t="array" ref="T862">INDEX(Trad, 52, $A$20)</f>
        <v>Sauber</v>
      </c>
      <c r="U862" s="253"/>
      <c r="V862" s="253"/>
      <c r="W862" s="254"/>
      <c r="X862" s="251"/>
      <c r="Y862" s="251"/>
      <c r="Z862" s="264">
        <f t="shared" si="764"/>
        <v>0</v>
      </c>
      <c r="AA862" s="261"/>
      <c r="AB862" s="258"/>
      <c r="AC862" s="246"/>
      <c r="AD862" s="247" t="str">
        <f>IF(ISBLANK(AC862), "", VLOOKUP(AC862, Z!$A$2:$C$4127, 3, FALSE))</f>
        <v/>
      </c>
      <c r="AE862" s="262"/>
      <c r="AF862" s="263">
        <f t="shared" si="765"/>
        <v>0</v>
      </c>
      <c r="AG862" s="238"/>
      <c r="AH862" s="229">
        <f t="shared" si="789"/>
        <v>1</v>
      </c>
      <c r="AI862" s="229">
        <f t="shared" si="790"/>
        <v>1</v>
      </c>
      <c r="AJ862" s="229">
        <f t="shared" si="791"/>
        <v>0</v>
      </c>
      <c r="AK862" s="229">
        <v>0</v>
      </c>
      <c r="AL862" s="229">
        <v>0</v>
      </c>
      <c r="AM862" s="229">
        <v>1</v>
      </c>
      <c r="AN862" s="229">
        <v>0</v>
      </c>
      <c r="AO862" s="229">
        <f t="shared" si="766"/>
        <v>-100</v>
      </c>
      <c r="AP862" s="238"/>
      <c r="AQ862" s="255"/>
      <c r="AR862" s="255"/>
      <c r="AS862" s="256"/>
      <c r="AT862" s="256"/>
      <c r="AU862" s="256"/>
      <c r="AV862" s="256"/>
      <c r="AW862" s="256"/>
      <c r="AX862" s="256"/>
      <c r="AY862" s="256"/>
      <c r="AZ862" s="256"/>
      <c r="BA862" s="256"/>
      <c r="BB862" s="256"/>
      <c r="BC862" s="256"/>
      <c r="BD862" s="238"/>
      <c r="BE862" s="229" cm="1">
        <f t="array" ref="BE862">IF(ISBLANK(R862), INDEX(Use, $AH862, 4) - AM862*INDEX(Use, $AH862, 6), R862)</f>
        <v>5</v>
      </c>
      <c r="BF862" s="229">
        <f t="shared" si="767"/>
        <v>30</v>
      </c>
      <c r="BG862" s="229">
        <f t="shared" si="793"/>
        <v>13</v>
      </c>
      <c r="BH862" s="229">
        <f t="shared" si="794"/>
        <v>0</v>
      </c>
      <c r="BI862" s="234" cm="1">
        <f t="array" ref="BI862">K862/IF($L862&gt;0, INDEX($AU$23:$BA$77, $L862+20, $AH862), 1)</f>
        <v>0</v>
      </c>
      <c r="BJ862" s="230">
        <f t="shared" si="768"/>
        <v>0</v>
      </c>
      <c r="BK862" s="229">
        <v>35</v>
      </c>
      <c r="BL862" s="230">
        <f t="shared" si="769"/>
        <v>48</v>
      </c>
      <c r="BM862" s="235">
        <f t="shared" si="770"/>
        <v>2.9108720930232557</v>
      </c>
      <c r="BN862" s="235" cm="1">
        <f t="array" ref="BN862">$BI862 * SUMPRODUCT(INDEX($AR$77:$AT$82,,$AI862),INDEX($AU$77:$BA$82,,$AH862), N($AQ$77:$AQ$82&gt;$AO862)) / BM862 / 1000</f>
        <v>0</v>
      </c>
      <c r="BO862" s="232">
        <f t="shared" si="795"/>
        <v>30</v>
      </c>
      <c r="BP862" s="230">
        <f t="shared" si="771"/>
        <v>43</v>
      </c>
      <c r="BQ862" s="235">
        <f t="shared" si="772"/>
        <v>3.2938815789473681</v>
      </c>
      <c r="BR862" s="235" cm="1">
        <f t="array" ref="BR862">$BI862 * IF($AH862&lt;=2,
SUMPRODUCT(INDEX($AR$72:$AT$76,,$AI862), INDEX($AU$72:$BA$76,,$AH862), 1 / ($BB$72:$BB$76*BQ862 + (1-$BB$72:$BB$76)*BM862), N($AQ$72:$AQ$76&gt;$AO862)),
SUMPRODUCT(INDEX($AR$67:$AT$76,,$AI862), INDEX($AU$67:$BA$76,,$AH862), 1 / ($BC$67:$BC$76*BQ862 + (1-$BC$67:$BC$76)*BM862), N($AQ$67:$AQ$76&gt;$AO862))
) / 1000</f>
        <v>0</v>
      </c>
      <c r="BS862" s="232">
        <f t="shared" si="796"/>
        <v>25</v>
      </c>
      <c r="BT862" s="230">
        <f t="shared" si="773"/>
        <v>38</v>
      </c>
      <c r="BU862" s="235">
        <f t="shared" si="774"/>
        <v>3.792954545454545</v>
      </c>
      <c r="BV862" s="235" cm="1">
        <f t="array" ref="BV862">$BI862 * IF($AH862&lt;=2,
SUMPRODUCT(INDEX($AR$67:$AT$71,,$AI862), INDEX($AU$67:$BA$71,,$AH862), 1 / ($BB$67:$BB$71*BU862 + (1-$BB$67:$BB$71)*BQ862), N($AQ$67:$AQ$71&gt;$AO862)),
SUMPRODUCT(INDEX($AR$57:$AT$66,,$AI862), INDEX($AU$57:$BA$66,,$AH862), 1 / ($BC$57:$BC$66*BU862 + (1-$BC$57:$BC$66)*BQ862), N($AQ$57:$AQ$66&gt;$AO862))
) / 1000</f>
        <v>0</v>
      </c>
      <c r="BW862" s="232">
        <f t="shared" si="797"/>
        <v>20</v>
      </c>
      <c r="BX862" s="230">
        <f t="shared" si="775"/>
        <v>33</v>
      </c>
      <c r="BY862" s="235">
        <f t="shared" si="776"/>
        <v>4.4702678571428569</v>
      </c>
      <c r="BZ862" s="235" cm="1">
        <f t="array" ref="BZ862">$BI862 * IF($AH862&lt;=2,
SUMPRODUCT(INDEX($AR$62:$AT$66,,$AI862), INDEX($AU$62:$BA$66,,$AH862), 1 / ($BB$62:$BB$66*BY862 + (1-$BB$62:$BB$66)*BU862), N($AQ$62:$AQ$66&gt;$AO862)),
SUMPRODUCT(INDEX($AR$47:$AT$56,,$AI862), INDEX($AU$47:$BA$56,,$AH862), 1 / ($BC$47:$BC$56*BY862 + (1-$BC$47:$BC$56)*BU862), N($AQ$47:$AQ$56&gt;$AO862))
) / 1000</f>
        <v>0</v>
      </c>
      <c r="CA862" s="235" cm="1">
        <f t="array" ref="CA862">$BI862 * IF($AH862&lt;=2,
SUMPRODUCT(INDEX($AR$23:$AT$61,,$AI862), INDEX($AU$23:$BA$61,,$AH862), 1 / ($BB$23:$BB$61*BY862), N($AQ$23:$AQ$61&gt;$AO862)),
SUMPRODUCT(INDEX($AR$23:$AT$46,,$AI862), INDEX($AU$23:$BA$46,,$AH862), 1 / ($BC$23:$BC$46*BY862), N($AQ$23:$AQ$46&gt;$AO862))
) / 1000</f>
        <v>0</v>
      </c>
      <c r="CB862" s="230">
        <f t="shared" si="777"/>
        <v>0</v>
      </c>
      <c r="CC862" s="238"/>
      <c r="CD862" s="229" cm="1">
        <f t="array" ref="CD862">IF(ISBLANK(Y862), INDEX(Use, $AH862, 4) - AN862*INDEX(Use, $AH862, 6) - (Q862-X862), Y862)</f>
        <v>7</v>
      </c>
      <c r="CE862" s="229">
        <f t="shared" si="778"/>
        <v>32</v>
      </c>
      <c r="CF862" s="230">
        <f t="shared" si="779"/>
        <v>0</v>
      </c>
      <c r="CG862" s="229">
        <v>35</v>
      </c>
      <c r="CH862" s="230">
        <f t="shared" si="780"/>
        <v>48</v>
      </c>
      <c r="CI862" s="235">
        <f t="shared" si="781"/>
        <v>3.0748170731707316</v>
      </c>
      <c r="CJ862" s="235" cm="1">
        <f t="array" ref="CJ862">$BI862 * SUMPRODUCT(INDEX($AR$77:$AT$82,,$AI862),INDEX($AU$77:$BA$82,,$AH862), N($AQ$77:$AQ$82&gt;$AO862)) / CI862 / 1000</f>
        <v>0</v>
      </c>
      <c r="CK862" s="232">
        <f t="shared" si="798"/>
        <v>30</v>
      </c>
      <c r="CL862" s="230">
        <f t="shared" si="782"/>
        <v>43</v>
      </c>
      <c r="CM862" s="235">
        <f t="shared" si="783"/>
        <v>3.5018750000000001</v>
      </c>
      <c r="CN862" s="235" cm="1">
        <f t="array" ref="CN862">$BI862 * IF($AH862&lt;=2,
SUMPRODUCT(INDEX($AR$72:$AT$76,,$AI862), INDEX($AU$72:$BA$76,,$AH862), 1 / ($BB$72:$BB$76*CM862 + (1-$BB$72:$BB$76)*CI862), N($AQ$72:$AQ$76&gt;$AO862)),
SUMPRODUCT(INDEX($AR$67:$AT$76,,$AI862), INDEX($AU$67:$BA$76,,$AH862), 1 / ($BC$67:$BC$76*CM862 + (1-$BC$67:$BC$76)*CI862), N($AQ$67:$AQ$76&gt;$AO862))
) / 1000</f>
        <v>0</v>
      </c>
      <c r="CO862" s="232">
        <f t="shared" si="799"/>
        <v>25</v>
      </c>
      <c r="CP862" s="230">
        <f t="shared" si="784"/>
        <v>38</v>
      </c>
      <c r="CQ862" s="235">
        <f t="shared" si="785"/>
        <v>4.0666935483870965</v>
      </c>
      <c r="CR862" s="235" cm="1">
        <f t="array" ref="CR862">$BI862 * IF($AH862&lt;=2,
SUMPRODUCT(INDEX($AR$67:$AT$71,,$AI862), INDEX($AU$67:$BA$71,,$AH862), 1 / ($BB$67:$BB$71*CQ862 + (1-$BB$67:$BB$71)*CM862), N($AQ$67:$AQ$71&gt;$AO862)),
SUMPRODUCT(INDEX($AR$57:$AT$66,,$AI862), INDEX($AU$57:$BA$66,,$AH862), 1 / ($BC$57:$BC$66*CQ862 + (1-$BC$57:$BC$66)*CM862), N($AQ$57:$AQ$66&gt;$AO862))
) / 1000</f>
        <v>0</v>
      </c>
      <c r="CS862" s="232">
        <f t="shared" si="800"/>
        <v>20</v>
      </c>
      <c r="CT862" s="230">
        <f t="shared" si="786"/>
        <v>33</v>
      </c>
      <c r="CU862" s="235">
        <f t="shared" si="787"/>
        <v>4.8487499999999999</v>
      </c>
      <c r="CV862" s="235" cm="1">
        <f t="array" ref="CV862">$BI862 * IF($AH862&lt;=2,
SUMPRODUCT(INDEX($AR$62:$AT$66,,$AI862), INDEX($AU$62:$BA$66,,$AH862), 1 / ($BB$62:$BB$66*CU862 + (1-$BB$62:$BB$66)*CQ862), N($AQ$62:$AQ$66&gt;$AO862)),
SUMPRODUCT(INDEX($AR$47:$AT$56,,$AI862), INDEX($AU$47:$BA$56,,$AH862), 1 / ($BC$47:$BC$56*CU862 + (1-$BC$47:$BC$56)*CQ862), N($AQ$47:$AQ$56&gt;$AO862))
) / 1000</f>
        <v>0</v>
      </c>
      <c r="CW862" s="235" cm="1">
        <f t="array" ref="CW862">$BI862 * IF($AH862&lt;=2,
SUMPRODUCT(INDEX($AR$23:$AT$61,,$AI862), INDEX($AU$23:$BA$61,,$AH862), 1 / ($BB$23:$BB$61*CU862), N($AQ$23:$AQ$61&gt;$AO862)),
SUMPRODUCT(INDEX($AR$23:$AT$46,,$AI862), INDEX($AU$23:$BA$46,,$AH862), 1 / ($BC$23:$BC$46*CU862), N($AQ$23:$AQ$46&gt;$AO862))
) / 1000</f>
        <v>0</v>
      </c>
      <c r="CX862" s="230">
        <f t="shared" si="788"/>
        <v>0</v>
      </c>
      <c r="CY862" s="238"/>
    </row>
    <row r="863" spans="1:103" s="76" customFormat="1" ht="14.25" customHeight="1" x14ac:dyDescent="0.2">
      <c r="A863" s="231" t="b">
        <f t="shared" si="792"/>
        <v>0</v>
      </c>
      <c r="B863" s="245">
        <v>841</v>
      </c>
      <c r="C863" s="258"/>
      <c r="D863" s="258"/>
      <c r="E863" s="246"/>
      <c r="F863" s="247" t="str">
        <f>IF(ISBLANK(E863), "", VLOOKUP(E863, Z!$A$2:$C$4127, 3, FALSE))</f>
        <v/>
      </c>
      <c r="G863" s="248"/>
      <c r="H863" s="248"/>
      <c r="I863" s="249"/>
      <c r="J863" s="250"/>
      <c r="K863" s="259"/>
      <c r="L863" s="260"/>
      <c r="M863" s="252" t="str" cm="1">
        <f t="array" ref="M863">INDEX(Trad, 53, $A$20)</f>
        <v>Verschmutzt</v>
      </c>
      <c r="N863" s="253"/>
      <c r="O863" s="253"/>
      <c r="P863" s="254"/>
      <c r="Q863" s="251"/>
      <c r="R863" s="251"/>
      <c r="S863" s="264">
        <f t="shared" si="763"/>
        <v>0</v>
      </c>
      <c r="T863" s="252" t="str" cm="1">
        <f t="array" ref="T863">INDEX(Trad, 52, $A$20)</f>
        <v>Sauber</v>
      </c>
      <c r="U863" s="253"/>
      <c r="V863" s="253"/>
      <c r="W863" s="254"/>
      <c r="X863" s="251"/>
      <c r="Y863" s="251"/>
      <c r="Z863" s="264">
        <f t="shared" si="764"/>
        <v>0</v>
      </c>
      <c r="AA863" s="261"/>
      <c r="AB863" s="258"/>
      <c r="AC863" s="246"/>
      <c r="AD863" s="247" t="str">
        <f>IF(ISBLANK(AC863), "", VLOOKUP(AC863, Z!$A$2:$C$4127, 3, FALSE))</f>
        <v/>
      </c>
      <c r="AE863" s="262"/>
      <c r="AF863" s="263">
        <f t="shared" si="765"/>
        <v>0</v>
      </c>
      <c r="AG863" s="238"/>
      <c r="AH863" s="229">
        <f t="shared" si="789"/>
        <v>1</v>
      </c>
      <c r="AI863" s="229">
        <f t="shared" si="790"/>
        <v>1</v>
      </c>
      <c r="AJ863" s="229">
        <f t="shared" si="791"/>
        <v>0</v>
      </c>
      <c r="AK863" s="229">
        <v>0</v>
      </c>
      <c r="AL863" s="229">
        <v>0</v>
      </c>
      <c r="AM863" s="229">
        <v>1</v>
      </c>
      <c r="AN863" s="229">
        <v>0</v>
      </c>
      <c r="AO863" s="229">
        <f t="shared" si="766"/>
        <v>-100</v>
      </c>
      <c r="AP863" s="238"/>
      <c r="AQ863" s="255"/>
      <c r="AR863" s="255"/>
      <c r="AS863" s="256"/>
      <c r="AT863" s="256"/>
      <c r="AU863" s="256"/>
      <c r="AV863" s="256"/>
      <c r="AW863" s="256"/>
      <c r="AX863" s="256"/>
      <c r="AY863" s="256"/>
      <c r="AZ863" s="256"/>
      <c r="BA863" s="256"/>
      <c r="BB863" s="256"/>
      <c r="BC863" s="256"/>
      <c r="BD863" s="238"/>
      <c r="BE863" s="229" cm="1">
        <f t="array" ref="BE863">IF(ISBLANK(R863), INDEX(Use, $AH863, 4) - AM863*INDEX(Use, $AH863, 6), R863)</f>
        <v>5</v>
      </c>
      <c r="BF863" s="229">
        <f t="shared" si="767"/>
        <v>30</v>
      </c>
      <c r="BG863" s="229">
        <f t="shared" si="793"/>
        <v>13</v>
      </c>
      <c r="BH863" s="229">
        <f t="shared" si="794"/>
        <v>0</v>
      </c>
      <c r="BI863" s="234" cm="1">
        <f t="array" ref="BI863">K863/IF($L863&gt;0, INDEX($AU$23:$BA$77, $L863+20, $AH863), 1)</f>
        <v>0</v>
      </c>
      <c r="BJ863" s="230">
        <f t="shared" si="768"/>
        <v>0</v>
      </c>
      <c r="BK863" s="229">
        <v>35</v>
      </c>
      <c r="BL863" s="230">
        <f t="shared" si="769"/>
        <v>48</v>
      </c>
      <c r="BM863" s="235">
        <f t="shared" si="770"/>
        <v>2.9108720930232557</v>
      </c>
      <c r="BN863" s="235" cm="1">
        <f t="array" ref="BN863">$BI863 * SUMPRODUCT(INDEX($AR$77:$AT$82,,$AI863),INDEX($AU$77:$BA$82,,$AH863), N($AQ$77:$AQ$82&gt;$AO863)) / BM863 / 1000</f>
        <v>0</v>
      </c>
      <c r="BO863" s="232">
        <f t="shared" si="795"/>
        <v>30</v>
      </c>
      <c r="BP863" s="230">
        <f t="shared" si="771"/>
        <v>43</v>
      </c>
      <c r="BQ863" s="235">
        <f t="shared" si="772"/>
        <v>3.2938815789473681</v>
      </c>
      <c r="BR863" s="235" cm="1">
        <f t="array" ref="BR863">$BI863 * IF($AH863&lt;=2,
SUMPRODUCT(INDEX($AR$72:$AT$76,,$AI863), INDEX($AU$72:$BA$76,,$AH863), 1 / ($BB$72:$BB$76*BQ863 + (1-$BB$72:$BB$76)*BM863), N($AQ$72:$AQ$76&gt;$AO863)),
SUMPRODUCT(INDEX($AR$67:$AT$76,,$AI863), INDEX($AU$67:$BA$76,,$AH863), 1 / ($BC$67:$BC$76*BQ863 + (1-$BC$67:$BC$76)*BM863), N($AQ$67:$AQ$76&gt;$AO863))
) / 1000</f>
        <v>0</v>
      </c>
      <c r="BS863" s="232">
        <f t="shared" si="796"/>
        <v>25</v>
      </c>
      <c r="BT863" s="230">
        <f t="shared" si="773"/>
        <v>38</v>
      </c>
      <c r="BU863" s="235">
        <f t="shared" si="774"/>
        <v>3.792954545454545</v>
      </c>
      <c r="BV863" s="235" cm="1">
        <f t="array" ref="BV863">$BI863 * IF($AH863&lt;=2,
SUMPRODUCT(INDEX($AR$67:$AT$71,,$AI863), INDEX($AU$67:$BA$71,,$AH863), 1 / ($BB$67:$BB$71*BU863 + (1-$BB$67:$BB$71)*BQ863), N($AQ$67:$AQ$71&gt;$AO863)),
SUMPRODUCT(INDEX($AR$57:$AT$66,,$AI863), INDEX($AU$57:$BA$66,,$AH863), 1 / ($BC$57:$BC$66*BU863 + (1-$BC$57:$BC$66)*BQ863), N($AQ$57:$AQ$66&gt;$AO863))
) / 1000</f>
        <v>0</v>
      </c>
      <c r="BW863" s="232">
        <f t="shared" si="797"/>
        <v>20</v>
      </c>
      <c r="BX863" s="230">
        <f t="shared" si="775"/>
        <v>33</v>
      </c>
      <c r="BY863" s="235">
        <f t="shared" si="776"/>
        <v>4.4702678571428569</v>
      </c>
      <c r="BZ863" s="235" cm="1">
        <f t="array" ref="BZ863">$BI863 * IF($AH863&lt;=2,
SUMPRODUCT(INDEX($AR$62:$AT$66,,$AI863), INDEX($AU$62:$BA$66,,$AH863), 1 / ($BB$62:$BB$66*BY863 + (1-$BB$62:$BB$66)*BU863), N($AQ$62:$AQ$66&gt;$AO863)),
SUMPRODUCT(INDEX($AR$47:$AT$56,,$AI863), INDEX($AU$47:$BA$56,,$AH863), 1 / ($BC$47:$BC$56*BY863 + (1-$BC$47:$BC$56)*BU863), N($AQ$47:$AQ$56&gt;$AO863))
) / 1000</f>
        <v>0</v>
      </c>
      <c r="CA863" s="235" cm="1">
        <f t="array" ref="CA863">$BI863 * IF($AH863&lt;=2,
SUMPRODUCT(INDEX($AR$23:$AT$61,,$AI863), INDEX($AU$23:$BA$61,,$AH863), 1 / ($BB$23:$BB$61*BY863), N($AQ$23:$AQ$61&gt;$AO863)),
SUMPRODUCT(INDEX($AR$23:$AT$46,,$AI863), INDEX($AU$23:$BA$46,,$AH863), 1 / ($BC$23:$BC$46*BY863), N($AQ$23:$AQ$46&gt;$AO863))
) / 1000</f>
        <v>0</v>
      </c>
      <c r="CB863" s="230">
        <f t="shared" si="777"/>
        <v>0</v>
      </c>
      <c r="CC863" s="238"/>
      <c r="CD863" s="229" cm="1">
        <f t="array" ref="CD863">IF(ISBLANK(Y863), INDEX(Use, $AH863, 4) - AN863*INDEX(Use, $AH863, 6) - (Q863-X863), Y863)</f>
        <v>7</v>
      </c>
      <c r="CE863" s="229">
        <f t="shared" si="778"/>
        <v>32</v>
      </c>
      <c r="CF863" s="230">
        <f t="shared" si="779"/>
        <v>0</v>
      </c>
      <c r="CG863" s="229">
        <v>35</v>
      </c>
      <c r="CH863" s="230">
        <f t="shared" si="780"/>
        <v>48</v>
      </c>
      <c r="CI863" s="235">
        <f t="shared" si="781"/>
        <v>3.0748170731707316</v>
      </c>
      <c r="CJ863" s="235" cm="1">
        <f t="array" ref="CJ863">$BI863 * SUMPRODUCT(INDEX($AR$77:$AT$82,,$AI863),INDEX($AU$77:$BA$82,,$AH863), N($AQ$77:$AQ$82&gt;$AO863)) / CI863 / 1000</f>
        <v>0</v>
      </c>
      <c r="CK863" s="232">
        <f t="shared" si="798"/>
        <v>30</v>
      </c>
      <c r="CL863" s="230">
        <f t="shared" si="782"/>
        <v>43</v>
      </c>
      <c r="CM863" s="235">
        <f t="shared" si="783"/>
        <v>3.5018750000000001</v>
      </c>
      <c r="CN863" s="235" cm="1">
        <f t="array" ref="CN863">$BI863 * IF($AH863&lt;=2,
SUMPRODUCT(INDEX($AR$72:$AT$76,,$AI863), INDEX($AU$72:$BA$76,,$AH863), 1 / ($BB$72:$BB$76*CM863 + (1-$BB$72:$BB$76)*CI863), N($AQ$72:$AQ$76&gt;$AO863)),
SUMPRODUCT(INDEX($AR$67:$AT$76,,$AI863), INDEX($AU$67:$BA$76,,$AH863), 1 / ($BC$67:$BC$76*CM863 + (1-$BC$67:$BC$76)*CI863), N($AQ$67:$AQ$76&gt;$AO863))
) / 1000</f>
        <v>0</v>
      </c>
      <c r="CO863" s="232">
        <f t="shared" si="799"/>
        <v>25</v>
      </c>
      <c r="CP863" s="230">
        <f t="shared" si="784"/>
        <v>38</v>
      </c>
      <c r="CQ863" s="235">
        <f t="shared" si="785"/>
        <v>4.0666935483870965</v>
      </c>
      <c r="CR863" s="235" cm="1">
        <f t="array" ref="CR863">$BI863 * IF($AH863&lt;=2,
SUMPRODUCT(INDEX($AR$67:$AT$71,,$AI863), INDEX($AU$67:$BA$71,,$AH863), 1 / ($BB$67:$BB$71*CQ863 + (1-$BB$67:$BB$71)*CM863), N($AQ$67:$AQ$71&gt;$AO863)),
SUMPRODUCT(INDEX($AR$57:$AT$66,,$AI863), INDEX($AU$57:$BA$66,,$AH863), 1 / ($BC$57:$BC$66*CQ863 + (1-$BC$57:$BC$66)*CM863), N($AQ$57:$AQ$66&gt;$AO863))
) / 1000</f>
        <v>0</v>
      </c>
      <c r="CS863" s="232">
        <f t="shared" si="800"/>
        <v>20</v>
      </c>
      <c r="CT863" s="230">
        <f t="shared" si="786"/>
        <v>33</v>
      </c>
      <c r="CU863" s="235">
        <f t="shared" si="787"/>
        <v>4.8487499999999999</v>
      </c>
      <c r="CV863" s="235" cm="1">
        <f t="array" ref="CV863">$BI863 * IF($AH863&lt;=2,
SUMPRODUCT(INDEX($AR$62:$AT$66,,$AI863), INDEX($AU$62:$BA$66,,$AH863), 1 / ($BB$62:$BB$66*CU863 + (1-$BB$62:$BB$66)*CQ863), N($AQ$62:$AQ$66&gt;$AO863)),
SUMPRODUCT(INDEX($AR$47:$AT$56,,$AI863), INDEX($AU$47:$BA$56,,$AH863), 1 / ($BC$47:$BC$56*CU863 + (1-$BC$47:$BC$56)*CQ863), N($AQ$47:$AQ$56&gt;$AO863))
) / 1000</f>
        <v>0</v>
      </c>
      <c r="CW863" s="235" cm="1">
        <f t="array" ref="CW863">$BI863 * IF($AH863&lt;=2,
SUMPRODUCT(INDEX($AR$23:$AT$61,,$AI863), INDEX($AU$23:$BA$61,,$AH863), 1 / ($BB$23:$BB$61*CU863), N($AQ$23:$AQ$61&gt;$AO863)),
SUMPRODUCT(INDEX($AR$23:$AT$46,,$AI863), INDEX($AU$23:$BA$46,,$AH863), 1 / ($BC$23:$BC$46*CU863), N($AQ$23:$AQ$46&gt;$AO863))
) / 1000</f>
        <v>0</v>
      </c>
      <c r="CX863" s="230">
        <f t="shared" si="788"/>
        <v>0</v>
      </c>
      <c r="CY863" s="238"/>
    </row>
    <row r="864" spans="1:103" s="76" customFormat="1" ht="14.25" customHeight="1" x14ac:dyDescent="0.2">
      <c r="A864" s="231" t="b">
        <f t="shared" si="792"/>
        <v>0</v>
      </c>
      <c r="B864" s="245">
        <v>842</v>
      </c>
      <c r="C864" s="258"/>
      <c r="D864" s="258"/>
      <c r="E864" s="246"/>
      <c r="F864" s="247" t="str">
        <f>IF(ISBLANK(E864), "", VLOOKUP(E864, Z!$A$2:$C$4127, 3, FALSE))</f>
        <v/>
      </c>
      <c r="G864" s="248"/>
      <c r="H864" s="248"/>
      <c r="I864" s="249"/>
      <c r="J864" s="250"/>
      <c r="K864" s="259"/>
      <c r="L864" s="260"/>
      <c r="M864" s="252" t="str" cm="1">
        <f t="array" ref="M864">INDEX(Trad, 53, $A$20)</f>
        <v>Verschmutzt</v>
      </c>
      <c r="N864" s="253"/>
      <c r="O864" s="253"/>
      <c r="P864" s="254"/>
      <c r="Q864" s="251"/>
      <c r="R864" s="251"/>
      <c r="S864" s="264">
        <f t="shared" si="763"/>
        <v>0</v>
      </c>
      <c r="T864" s="252" t="str" cm="1">
        <f t="array" ref="T864">INDEX(Trad, 52, $A$20)</f>
        <v>Sauber</v>
      </c>
      <c r="U864" s="253"/>
      <c r="V864" s="253"/>
      <c r="W864" s="254"/>
      <c r="X864" s="251"/>
      <c r="Y864" s="251"/>
      <c r="Z864" s="264">
        <f t="shared" si="764"/>
        <v>0</v>
      </c>
      <c r="AA864" s="261"/>
      <c r="AB864" s="258"/>
      <c r="AC864" s="246"/>
      <c r="AD864" s="247" t="str">
        <f>IF(ISBLANK(AC864), "", VLOOKUP(AC864, Z!$A$2:$C$4127, 3, FALSE))</f>
        <v/>
      </c>
      <c r="AE864" s="262"/>
      <c r="AF864" s="263">
        <f t="shared" si="765"/>
        <v>0</v>
      </c>
      <c r="AG864" s="238"/>
      <c r="AH864" s="229">
        <f t="shared" si="789"/>
        <v>1</v>
      </c>
      <c r="AI864" s="229">
        <f t="shared" si="790"/>
        <v>1</v>
      </c>
      <c r="AJ864" s="229">
        <f t="shared" si="791"/>
        <v>0</v>
      </c>
      <c r="AK864" s="229">
        <v>0</v>
      </c>
      <c r="AL864" s="229">
        <v>0</v>
      </c>
      <c r="AM864" s="229">
        <v>1</v>
      </c>
      <c r="AN864" s="229">
        <v>0</v>
      </c>
      <c r="AO864" s="229">
        <f t="shared" si="766"/>
        <v>-100</v>
      </c>
      <c r="AP864" s="238"/>
      <c r="AQ864" s="255"/>
      <c r="AR864" s="255"/>
      <c r="AS864" s="256"/>
      <c r="AT864" s="256"/>
      <c r="AU864" s="256"/>
      <c r="AV864" s="256"/>
      <c r="AW864" s="256"/>
      <c r="AX864" s="256"/>
      <c r="AY864" s="256"/>
      <c r="AZ864" s="256"/>
      <c r="BA864" s="256"/>
      <c r="BB864" s="256"/>
      <c r="BC864" s="256"/>
      <c r="BD864" s="238"/>
      <c r="BE864" s="229" cm="1">
        <f t="array" ref="BE864">IF(ISBLANK(R864), INDEX(Use, $AH864, 4) - AM864*INDEX(Use, $AH864, 6), R864)</f>
        <v>5</v>
      </c>
      <c r="BF864" s="229">
        <f t="shared" si="767"/>
        <v>30</v>
      </c>
      <c r="BG864" s="229">
        <f t="shared" si="793"/>
        <v>13</v>
      </c>
      <c r="BH864" s="229">
        <f t="shared" si="794"/>
        <v>0</v>
      </c>
      <c r="BI864" s="234" cm="1">
        <f t="array" ref="BI864">K864/IF($L864&gt;0, INDEX($AU$23:$BA$77, $L864+20, $AH864), 1)</f>
        <v>0</v>
      </c>
      <c r="BJ864" s="230">
        <f t="shared" si="768"/>
        <v>0</v>
      </c>
      <c r="BK864" s="229">
        <v>35</v>
      </c>
      <c r="BL864" s="230">
        <f t="shared" si="769"/>
        <v>48</v>
      </c>
      <c r="BM864" s="235">
        <f t="shared" si="770"/>
        <v>2.9108720930232557</v>
      </c>
      <c r="BN864" s="235" cm="1">
        <f t="array" ref="BN864">$BI864 * SUMPRODUCT(INDEX($AR$77:$AT$82,,$AI864),INDEX($AU$77:$BA$82,,$AH864), N($AQ$77:$AQ$82&gt;$AO864)) / BM864 / 1000</f>
        <v>0</v>
      </c>
      <c r="BO864" s="232">
        <f t="shared" si="795"/>
        <v>30</v>
      </c>
      <c r="BP864" s="230">
        <f t="shared" si="771"/>
        <v>43</v>
      </c>
      <c r="BQ864" s="235">
        <f t="shared" si="772"/>
        <v>3.2938815789473681</v>
      </c>
      <c r="BR864" s="235" cm="1">
        <f t="array" ref="BR864">$BI864 * IF($AH864&lt;=2,
SUMPRODUCT(INDEX($AR$72:$AT$76,,$AI864), INDEX($AU$72:$BA$76,,$AH864), 1 / ($BB$72:$BB$76*BQ864 + (1-$BB$72:$BB$76)*BM864), N($AQ$72:$AQ$76&gt;$AO864)),
SUMPRODUCT(INDEX($AR$67:$AT$76,,$AI864), INDEX($AU$67:$BA$76,,$AH864), 1 / ($BC$67:$BC$76*BQ864 + (1-$BC$67:$BC$76)*BM864), N($AQ$67:$AQ$76&gt;$AO864))
) / 1000</f>
        <v>0</v>
      </c>
      <c r="BS864" s="232">
        <f t="shared" si="796"/>
        <v>25</v>
      </c>
      <c r="BT864" s="230">
        <f t="shared" si="773"/>
        <v>38</v>
      </c>
      <c r="BU864" s="235">
        <f t="shared" si="774"/>
        <v>3.792954545454545</v>
      </c>
      <c r="BV864" s="235" cm="1">
        <f t="array" ref="BV864">$BI864 * IF($AH864&lt;=2,
SUMPRODUCT(INDEX($AR$67:$AT$71,,$AI864), INDEX($AU$67:$BA$71,,$AH864), 1 / ($BB$67:$BB$71*BU864 + (1-$BB$67:$BB$71)*BQ864), N($AQ$67:$AQ$71&gt;$AO864)),
SUMPRODUCT(INDEX($AR$57:$AT$66,,$AI864), INDEX($AU$57:$BA$66,,$AH864), 1 / ($BC$57:$BC$66*BU864 + (1-$BC$57:$BC$66)*BQ864), N($AQ$57:$AQ$66&gt;$AO864))
) / 1000</f>
        <v>0</v>
      </c>
      <c r="BW864" s="232">
        <f t="shared" si="797"/>
        <v>20</v>
      </c>
      <c r="BX864" s="230">
        <f t="shared" si="775"/>
        <v>33</v>
      </c>
      <c r="BY864" s="235">
        <f t="shared" si="776"/>
        <v>4.4702678571428569</v>
      </c>
      <c r="BZ864" s="235" cm="1">
        <f t="array" ref="BZ864">$BI864 * IF($AH864&lt;=2,
SUMPRODUCT(INDEX($AR$62:$AT$66,,$AI864), INDEX($AU$62:$BA$66,,$AH864), 1 / ($BB$62:$BB$66*BY864 + (1-$BB$62:$BB$66)*BU864), N($AQ$62:$AQ$66&gt;$AO864)),
SUMPRODUCT(INDEX($AR$47:$AT$56,,$AI864), INDEX($AU$47:$BA$56,,$AH864), 1 / ($BC$47:$BC$56*BY864 + (1-$BC$47:$BC$56)*BU864), N($AQ$47:$AQ$56&gt;$AO864))
) / 1000</f>
        <v>0</v>
      </c>
      <c r="CA864" s="235" cm="1">
        <f t="array" ref="CA864">$BI864 * IF($AH864&lt;=2,
SUMPRODUCT(INDEX($AR$23:$AT$61,,$AI864), INDEX($AU$23:$BA$61,,$AH864), 1 / ($BB$23:$BB$61*BY864), N($AQ$23:$AQ$61&gt;$AO864)),
SUMPRODUCT(INDEX($AR$23:$AT$46,,$AI864), INDEX($AU$23:$BA$46,,$AH864), 1 / ($BC$23:$BC$46*BY864), N($AQ$23:$AQ$46&gt;$AO864))
) / 1000</f>
        <v>0</v>
      </c>
      <c r="CB864" s="230">
        <f t="shared" si="777"/>
        <v>0</v>
      </c>
      <c r="CC864" s="238"/>
      <c r="CD864" s="229" cm="1">
        <f t="array" ref="CD864">IF(ISBLANK(Y864), INDEX(Use, $AH864, 4) - AN864*INDEX(Use, $AH864, 6) - (Q864-X864), Y864)</f>
        <v>7</v>
      </c>
      <c r="CE864" s="229">
        <f t="shared" si="778"/>
        <v>32</v>
      </c>
      <c r="CF864" s="230">
        <f t="shared" si="779"/>
        <v>0</v>
      </c>
      <c r="CG864" s="229">
        <v>35</v>
      </c>
      <c r="CH864" s="230">
        <f t="shared" si="780"/>
        <v>48</v>
      </c>
      <c r="CI864" s="235">
        <f t="shared" si="781"/>
        <v>3.0748170731707316</v>
      </c>
      <c r="CJ864" s="235" cm="1">
        <f t="array" ref="CJ864">$BI864 * SUMPRODUCT(INDEX($AR$77:$AT$82,,$AI864),INDEX($AU$77:$BA$82,,$AH864), N($AQ$77:$AQ$82&gt;$AO864)) / CI864 / 1000</f>
        <v>0</v>
      </c>
      <c r="CK864" s="232">
        <f t="shared" si="798"/>
        <v>30</v>
      </c>
      <c r="CL864" s="230">
        <f t="shared" si="782"/>
        <v>43</v>
      </c>
      <c r="CM864" s="235">
        <f t="shared" si="783"/>
        <v>3.5018750000000001</v>
      </c>
      <c r="CN864" s="235" cm="1">
        <f t="array" ref="CN864">$BI864 * IF($AH864&lt;=2,
SUMPRODUCT(INDEX($AR$72:$AT$76,,$AI864), INDEX($AU$72:$BA$76,,$AH864), 1 / ($BB$72:$BB$76*CM864 + (1-$BB$72:$BB$76)*CI864), N($AQ$72:$AQ$76&gt;$AO864)),
SUMPRODUCT(INDEX($AR$67:$AT$76,,$AI864), INDEX($AU$67:$BA$76,,$AH864), 1 / ($BC$67:$BC$76*CM864 + (1-$BC$67:$BC$76)*CI864), N($AQ$67:$AQ$76&gt;$AO864))
) / 1000</f>
        <v>0</v>
      </c>
      <c r="CO864" s="232">
        <f t="shared" si="799"/>
        <v>25</v>
      </c>
      <c r="CP864" s="230">
        <f t="shared" si="784"/>
        <v>38</v>
      </c>
      <c r="CQ864" s="235">
        <f t="shared" si="785"/>
        <v>4.0666935483870965</v>
      </c>
      <c r="CR864" s="235" cm="1">
        <f t="array" ref="CR864">$BI864 * IF($AH864&lt;=2,
SUMPRODUCT(INDEX($AR$67:$AT$71,,$AI864), INDEX($AU$67:$BA$71,,$AH864), 1 / ($BB$67:$BB$71*CQ864 + (1-$BB$67:$BB$71)*CM864), N($AQ$67:$AQ$71&gt;$AO864)),
SUMPRODUCT(INDEX($AR$57:$AT$66,,$AI864), INDEX($AU$57:$BA$66,,$AH864), 1 / ($BC$57:$BC$66*CQ864 + (1-$BC$57:$BC$66)*CM864), N($AQ$57:$AQ$66&gt;$AO864))
) / 1000</f>
        <v>0</v>
      </c>
      <c r="CS864" s="232">
        <f t="shared" si="800"/>
        <v>20</v>
      </c>
      <c r="CT864" s="230">
        <f t="shared" si="786"/>
        <v>33</v>
      </c>
      <c r="CU864" s="235">
        <f t="shared" si="787"/>
        <v>4.8487499999999999</v>
      </c>
      <c r="CV864" s="235" cm="1">
        <f t="array" ref="CV864">$BI864 * IF($AH864&lt;=2,
SUMPRODUCT(INDEX($AR$62:$AT$66,,$AI864), INDEX($AU$62:$BA$66,,$AH864), 1 / ($BB$62:$BB$66*CU864 + (1-$BB$62:$BB$66)*CQ864), N($AQ$62:$AQ$66&gt;$AO864)),
SUMPRODUCT(INDEX($AR$47:$AT$56,,$AI864), INDEX($AU$47:$BA$56,,$AH864), 1 / ($BC$47:$BC$56*CU864 + (1-$BC$47:$BC$56)*CQ864), N($AQ$47:$AQ$56&gt;$AO864))
) / 1000</f>
        <v>0</v>
      </c>
      <c r="CW864" s="235" cm="1">
        <f t="array" ref="CW864">$BI864 * IF($AH864&lt;=2,
SUMPRODUCT(INDEX($AR$23:$AT$61,,$AI864), INDEX($AU$23:$BA$61,,$AH864), 1 / ($BB$23:$BB$61*CU864), N($AQ$23:$AQ$61&gt;$AO864)),
SUMPRODUCT(INDEX($AR$23:$AT$46,,$AI864), INDEX($AU$23:$BA$46,,$AH864), 1 / ($BC$23:$BC$46*CU864), N($AQ$23:$AQ$46&gt;$AO864))
) / 1000</f>
        <v>0</v>
      </c>
      <c r="CX864" s="230">
        <f t="shared" si="788"/>
        <v>0</v>
      </c>
      <c r="CY864" s="238"/>
    </row>
    <row r="865" spans="1:103" s="76" customFormat="1" ht="14.25" customHeight="1" x14ac:dyDescent="0.2">
      <c r="A865" s="231" t="b">
        <f t="shared" si="792"/>
        <v>0</v>
      </c>
      <c r="B865" s="245">
        <v>843</v>
      </c>
      <c r="C865" s="258"/>
      <c r="D865" s="258"/>
      <c r="E865" s="246"/>
      <c r="F865" s="247" t="str">
        <f>IF(ISBLANK(E865), "", VLOOKUP(E865, Z!$A$2:$C$4127, 3, FALSE))</f>
        <v/>
      </c>
      <c r="G865" s="248"/>
      <c r="H865" s="248"/>
      <c r="I865" s="249"/>
      <c r="J865" s="250"/>
      <c r="K865" s="259"/>
      <c r="L865" s="260"/>
      <c r="M865" s="252" t="str" cm="1">
        <f t="array" ref="M865">INDEX(Trad, 53, $A$20)</f>
        <v>Verschmutzt</v>
      </c>
      <c r="N865" s="253"/>
      <c r="O865" s="253"/>
      <c r="P865" s="254"/>
      <c r="Q865" s="251"/>
      <c r="R865" s="251"/>
      <c r="S865" s="264">
        <f t="shared" si="763"/>
        <v>0</v>
      </c>
      <c r="T865" s="252" t="str" cm="1">
        <f t="array" ref="T865">INDEX(Trad, 52, $A$20)</f>
        <v>Sauber</v>
      </c>
      <c r="U865" s="253"/>
      <c r="V865" s="253"/>
      <c r="W865" s="254"/>
      <c r="X865" s="251"/>
      <c r="Y865" s="251"/>
      <c r="Z865" s="264">
        <f t="shared" si="764"/>
        <v>0</v>
      </c>
      <c r="AA865" s="261"/>
      <c r="AB865" s="258"/>
      <c r="AC865" s="246"/>
      <c r="AD865" s="247" t="str">
        <f>IF(ISBLANK(AC865), "", VLOOKUP(AC865, Z!$A$2:$C$4127, 3, FALSE))</f>
        <v/>
      </c>
      <c r="AE865" s="262"/>
      <c r="AF865" s="263">
        <f t="shared" si="765"/>
        <v>0</v>
      </c>
      <c r="AG865" s="238"/>
      <c r="AH865" s="229">
        <f t="shared" si="789"/>
        <v>1</v>
      </c>
      <c r="AI865" s="229">
        <f t="shared" si="790"/>
        <v>1</v>
      </c>
      <c r="AJ865" s="229">
        <f t="shared" si="791"/>
        <v>0</v>
      </c>
      <c r="AK865" s="229">
        <v>0</v>
      </c>
      <c r="AL865" s="229">
        <v>0</v>
      </c>
      <c r="AM865" s="229">
        <v>1</v>
      </c>
      <c r="AN865" s="229">
        <v>0</v>
      </c>
      <c r="AO865" s="229">
        <f t="shared" si="766"/>
        <v>-100</v>
      </c>
      <c r="AP865" s="238"/>
      <c r="AQ865" s="255"/>
      <c r="AR865" s="255"/>
      <c r="AS865" s="256"/>
      <c r="AT865" s="256"/>
      <c r="AU865" s="256"/>
      <c r="AV865" s="256"/>
      <c r="AW865" s="256"/>
      <c r="AX865" s="256"/>
      <c r="AY865" s="256"/>
      <c r="AZ865" s="256"/>
      <c r="BA865" s="256"/>
      <c r="BB865" s="256"/>
      <c r="BC865" s="256"/>
      <c r="BD865" s="238"/>
      <c r="BE865" s="229" cm="1">
        <f t="array" ref="BE865">IF(ISBLANK(R865), INDEX(Use, $AH865, 4) - AM865*INDEX(Use, $AH865, 6), R865)</f>
        <v>5</v>
      </c>
      <c r="BF865" s="229">
        <f t="shared" si="767"/>
        <v>30</v>
      </c>
      <c r="BG865" s="229">
        <f t="shared" si="793"/>
        <v>13</v>
      </c>
      <c r="BH865" s="229">
        <f t="shared" si="794"/>
        <v>0</v>
      </c>
      <c r="BI865" s="234" cm="1">
        <f t="array" ref="BI865">K865/IF($L865&gt;0, INDEX($AU$23:$BA$77, $L865+20, $AH865), 1)</f>
        <v>0</v>
      </c>
      <c r="BJ865" s="230">
        <f t="shared" si="768"/>
        <v>0</v>
      </c>
      <c r="BK865" s="229">
        <v>35</v>
      </c>
      <c r="BL865" s="230">
        <f t="shared" si="769"/>
        <v>48</v>
      </c>
      <c r="BM865" s="235">
        <f t="shared" si="770"/>
        <v>2.9108720930232557</v>
      </c>
      <c r="BN865" s="235" cm="1">
        <f t="array" ref="BN865">$BI865 * SUMPRODUCT(INDEX($AR$77:$AT$82,,$AI865),INDEX($AU$77:$BA$82,,$AH865), N($AQ$77:$AQ$82&gt;$AO865)) / BM865 / 1000</f>
        <v>0</v>
      </c>
      <c r="BO865" s="232">
        <f t="shared" si="795"/>
        <v>30</v>
      </c>
      <c r="BP865" s="230">
        <f t="shared" si="771"/>
        <v>43</v>
      </c>
      <c r="BQ865" s="235">
        <f t="shared" si="772"/>
        <v>3.2938815789473681</v>
      </c>
      <c r="BR865" s="235" cm="1">
        <f t="array" ref="BR865">$BI865 * IF($AH865&lt;=2,
SUMPRODUCT(INDEX($AR$72:$AT$76,,$AI865), INDEX($AU$72:$BA$76,,$AH865), 1 / ($BB$72:$BB$76*BQ865 + (1-$BB$72:$BB$76)*BM865), N($AQ$72:$AQ$76&gt;$AO865)),
SUMPRODUCT(INDEX($AR$67:$AT$76,,$AI865), INDEX($AU$67:$BA$76,,$AH865), 1 / ($BC$67:$BC$76*BQ865 + (1-$BC$67:$BC$76)*BM865), N($AQ$67:$AQ$76&gt;$AO865))
) / 1000</f>
        <v>0</v>
      </c>
      <c r="BS865" s="232">
        <f t="shared" si="796"/>
        <v>25</v>
      </c>
      <c r="BT865" s="230">
        <f t="shared" si="773"/>
        <v>38</v>
      </c>
      <c r="BU865" s="235">
        <f t="shared" si="774"/>
        <v>3.792954545454545</v>
      </c>
      <c r="BV865" s="235" cm="1">
        <f t="array" ref="BV865">$BI865 * IF($AH865&lt;=2,
SUMPRODUCT(INDEX($AR$67:$AT$71,,$AI865), INDEX($AU$67:$BA$71,,$AH865), 1 / ($BB$67:$BB$71*BU865 + (1-$BB$67:$BB$71)*BQ865), N($AQ$67:$AQ$71&gt;$AO865)),
SUMPRODUCT(INDEX($AR$57:$AT$66,,$AI865), INDEX($AU$57:$BA$66,,$AH865), 1 / ($BC$57:$BC$66*BU865 + (1-$BC$57:$BC$66)*BQ865), N($AQ$57:$AQ$66&gt;$AO865))
) / 1000</f>
        <v>0</v>
      </c>
      <c r="BW865" s="232">
        <f t="shared" si="797"/>
        <v>20</v>
      </c>
      <c r="BX865" s="230">
        <f t="shared" si="775"/>
        <v>33</v>
      </c>
      <c r="BY865" s="235">
        <f t="shared" si="776"/>
        <v>4.4702678571428569</v>
      </c>
      <c r="BZ865" s="235" cm="1">
        <f t="array" ref="BZ865">$BI865 * IF($AH865&lt;=2,
SUMPRODUCT(INDEX($AR$62:$AT$66,,$AI865), INDEX($AU$62:$BA$66,,$AH865), 1 / ($BB$62:$BB$66*BY865 + (1-$BB$62:$BB$66)*BU865), N($AQ$62:$AQ$66&gt;$AO865)),
SUMPRODUCT(INDEX($AR$47:$AT$56,,$AI865), INDEX($AU$47:$BA$56,,$AH865), 1 / ($BC$47:$BC$56*BY865 + (1-$BC$47:$BC$56)*BU865), N($AQ$47:$AQ$56&gt;$AO865))
) / 1000</f>
        <v>0</v>
      </c>
      <c r="CA865" s="235" cm="1">
        <f t="array" ref="CA865">$BI865 * IF($AH865&lt;=2,
SUMPRODUCT(INDEX($AR$23:$AT$61,,$AI865), INDEX($AU$23:$BA$61,,$AH865), 1 / ($BB$23:$BB$61*BY865), N($AQ$23:$AQ$61&gt;$AO865)),
SUMPRODUCT(INDEX($AR$23:$AT$46,,$AI865), INDEX($AU$23:$BA$46,,$AH865), 1 / ($BC$23:$BC$46*BY865), N($AQ$23:$AQ$46&gt;$AO865))
) / 1000</f>
        <v>0</v>
      </c>
      <c r="CB865" s="230">
        <f t="shared" si="777"/>
        <v>0</v>
      </c>
      <c r="CC865" s="238"/>
      <c r="CD865" s="229" cm="1">
        <f t="array" ref="CD865">IF(ISBLANK(Y865), INDEX(Use, $AH865, 4) - AN865*INDEX(Use, $AH865, 6) - (Q865-X865), Y865)</f>
        <v>7</v>
      </c>
      <c r="CE865" s="229">
        <f t="shared" si="778"/>
        <v>32</v>
      </c>
      <c r="CF865" s="230">
        <f t="shared" si="779"/>
        <v>0</v>
      </c>
      <c r="CG865" s="229">
        <v>35</v>
      </c>
      <c r="CH865" s="230">
        <f t="shared" si="780"/>
        <v>48</v>
      </c>
      <c r="CI865" s="235">
        <f t="shared" si="781"/>
        <v>3.0748170731707316</v>
      </c>
      <c r="CJ865" s="235" cm="1">
        <f t="array" ref="CJ865">$BI865 * SUMPRODUCT(INDEX($AR$77:$AT$82,,$AI865),INDEX($AU$77:$BA$82,,$AH865), N($AQ$77:$AQ$82&gt;$AO865)) / CI865 / 1000</f>
        <v>0</v>
      </c>
      <c r="CK865" s="232">
        <f t="shared" si="798"/>
        <v>30</v>
      </c>
      <c r="CL865" s="230">
        <f t="shared" si="782"/>
        <v>43</v>
      </c>
      <c r="CM865" s="235">
        <f t="shared" si="783"/>
        <v>3.5018750000000001</v>
      </c>
      <c r="CN865" s="235" cm="1">
        <f t="array" ref="CN865">$BI865 * IF($AH865&lt;=2,
SUMPRODUCT(INDEX($AR$72:$AT$76,,$AI865), INDEX($AU$72:$BA$76,,$AH865), 1 / ($BB$72:$BB$76*CM865 + (1-$BB$72:$BB$76)*CI865), N($AQ$72:$AQ$76&gt;$AO865)),
SUMPRODUCT(INDEX($AR$67:$AT$76,,$AI865), INDEX($AU$67:$BA$76,,$AH865), 1 / ($BC$67:$BC$76*CM865 + (1-$BC$67:$BC$76)*CI865), N($AQ$67:$AQ$76&gt;$AO865))
) / 1000</f>
        <v>0</v>
      </c>
      <c r="CO865" s="232">
        <f t="shared" si="799"/>
        <v>25</v>
      </c>
      <c r="CP865" s="230">
        <f t="shared" si="784"/>
        <v>38</v>
      </c>
      <c r="CQ865" s="235">
        <f t="shared" si="785"/>
        <v>4.0666935483870965</v>
      </c>
      <c r="CR865" s="235" cm="1">
        <f t="array" ref="CR865">$BI865 * IF($AH865&lt;=2,
SUMPRODUCT(INDEX($AR$67:$AT$71,,$AI865), INDEX($AU$67:$BA$71,,$AH865), 1 / ($BB$67:$BB$71*CQ865 + (1-$BB$67:$BB$71)*CM865), N($AQ$67:$AQ$71&gt;$AO865)),
SUMPRODUCT(INDEX($AR$57:$AT$66,,$AI865), INDEX($AU$57:$BA$66,,$AH865), 1 / ($BC$57:$BC$66*CQ865 + (1-$BC$57:$BC$66)*CM865), N($AQ$57:$AQ$66&gt;$AO865))
) / 1000</f>
        <v>0</v>
      </c>
      <c r="CS865" s="232">
        <f t="shared" si="800"/>
        <v>20</v>
      </c>
      <c r="CT865" s="230">
        <f t="shared" si="786"/>
        <v>33</v>
      </c>
      <c r="CU865" s="235">
        <f t="shared" si="787"/>
        <v>4.8487499999999999</v>
      </c>
      <c r="CV865" s="235" cm="1">
        <f t="array" ref="CV865">$BI865 * IF($AH865&lt;=2,
SUMPRODUCT(INDEX($AR$62:$AT$66,,$AI865), INDEX($AU$62:$BA$66,,$AH865), 1 / ($BB$62:$BB$66*CU865 + (1-$BB$62:$BB$66)*CQ865), N($AQ$62:$AQ$66&gt;$AO865)),
SUMPRODUCT(INDEX($AR$47:$AT$56,,$AI865), INDEX($AU$47:$BA$56,,$AH865), 1 / ($BC$47:$BC$56*CU865 + (1-$BC$47:$BC$56)*CQ865), N($AQ$47:$AQ$56&gt;$AO865))
) / 1000</f>
        <v>0</v>
      </c>
      <c r="CW865" s="235" cm="1">
        <f t="array" ref="CW865">$BI865 * IF($AH865&lt;=2,
SUMPRODUCT(INDEX($AR$23:$AT$61,,$AI865), INDEX($AU$23:$BA$61,,$AH865), 1 / ($BB$23:$BB$61*CU865), N($AQ$23:$AQ$61&gt;$AO865)),
SUMPRODUCT(INDEX($AR$23:$AT$46,,$AI865), INDEX($AU$23:$BA$46,,$AH865), 1 / ($BC$23:$BC$46*CU865), N($AQ$23:$AQ$46&gt;$AO865))
) / 1000</f>
        <v>0</v>
      </c>
      <c r="CX865" s="230">
        <f t="shared" si="788"/>
        <v>0</v>
      </c>
      <c r="CY865" s="238"/>
    </row>
    <row r="866" spans="1:103" s="76" customFormat="1" ht="14.25" customHeight="1" x14ac:dyDescent="0.2">
      <c r="A866" s="231" t="b">
        <f t="shared" si="792"/>
        <v>0</v>
      </c>
      <c r="B866" s="245">
        <v>844</v>
      </c>
      <c r="C866" s="258"/>
      <c r="D866" s="258"/>
      <c r="E866" s="246"/>
      <c r="F866" s="247" t="str">
        <f>IF(ISBLANK(E866), "", VLOOKUP(E866, Z!$A$2:$C$4127, 3, FALSE))</f>
        <v/>
      </c>
      <c r="G866" s="248"/>
      <c r="H866" s="248"/>
      <c r="I866" s="249"/>
      <c r="J866" s="250"/>
      <c r="K866" s="259"/>
      <c r="L866" s="260"/>
      <c r="M866" s="252" t="str" cm="1">
        <f t="array" ref="M866">INDEX(Trad, 53, $A$20)</f>
        <v>Verschmutzt</v>
      </c>
      <c r="N866" s="253"/>
      <c r="O866" s="253"/>
      <c r="P866" s="254"/>
      <c r="Q866" s="251"/>
      <c r="R866" s="251"/>
      <c r="S866" s="264">
        <f t="shared" si="763"/>
        <v>0</v>
      </c>
      <c r="T866" s="252" t="str" cm="1">
        <f t="array" ref="T866">INDEX(Trad, 52, $A$20)</f>
        <v>Sauber</v>
      </c>
      <c r="U866" s="253"/>
      <c r="V866" s="253"/>
      <c r="W866" s="254"/>
      <c r="X866" s="251"/>
      <c r="Y866" s="251"/>
      <c r="Z866" s="264">
        <f t="shared" si="764"/>
        <v>0</v>
      </c>
      <c r="AA866" s="261"/>
      <c r="AB866" s="258"/>
      <c r="AC866" s="246"/>
      <c r="AD866" s="247" t="str">
        <f>IF(ISBLANK(AC866), "", VLOOKUP(AC866, Z!$A$2:$C$4127, 3, FALSE))</f>
        <v/>
      </c>
      <c r="AE866" s="262"/>
      <c r="AF866" s="263">
        <f t="shared" si="765"/>
        <v>0</v>
      </c>
      <c r="AG866" s="238"/>
      <c r="AH866" s="229">
        <f t="shared" si="789"/>
        <v>1</v>
      </c>
      <c r="AI866" s="229">
        <f t="shared" si="790"/>
        <v>1</v>
      </c>
      <c r="AJ866" s="229">
        <f t="shared" si="791"/>
        <v>0</v>
      </c>
      <c r="AK866" s="229">
        <v>0</v>
      </c>
      <c r="AL866" s="229">
        <v>0</v>
      </c>
      <c r="AM866" s="229">
        <v>1</v>
      </c>
      <c r="AN866" s="229">
        <v>0</v>
      </c>
      <c r="AO866" s="229">
        <f t="shared" si="766"/>
        <v>-100</v>
      </c>
      <c r="AP866" s="238"/>
      <c r="AQ866" s="255"/>
      <c r="AR866" s="255"/>
      <c r="AS866" s="256"/>
      <c r="AT866" s="256"/>
      <c r="AU866" s="256"/>
      <c r="AV866" s="256"/>
      <c r="AW866" s="256"/>
      <c r="AX866" s="256"/>
      <c r="AY866" s="256"/>
      <c r="AZ866" s="256"/>
      <c r="BA866" s="256"/>
      <c r="BB866" s="256"/>
      <c r="BC866" s="256"/>
      <c r="BD866" s="238"/>
      <c r="BE866" s="229" cm="1">
        <f t="array" ref="BE866">IF(ISBLANK(R866), INDEX(Use, $AH866, 4) - AM866*INDEX(Use, $AH866, 6), R866)</f>
        <v>5</v>
      </c>
      <c r="BF866" s="229">
        <f t="shared" si="767"/>
        <v>30</v>
      </c>
      <c r="BG866" s="229">
        <f t="shared" si="793"/>
        <v>13</v>
      </c>
      <c r="BH866" s="229">
        <f t="shared" si="794"/>
        <v>0</v>
      </c>
      <c r="BI866" s="234" cm="1">
        <f t="array" ref="BI866">K866/IF($L866&gt;0, INDEX($AU$23:$BA$77, $L866+20, $AH866), 1)</f>
        <v>0</v>
      </c>
      <c r="BJ866" s="230">
        <f t="shared" si="768"/>
        <v>0</v>
      </c>
      <c r="BK866" s="229">
        <v>35</v>
      </c>
      <c r="BL866" s="230">
        <f t="shared" si="769"/>
        <v>48</v>
      </c>
      <c r="BM866" s="235">
        <f t="shared" si="770"/>
        <v>2.9108720930232557</v>
      </c>
      <c r="BN866" s="235" cm="1">
        <f t="array" ref="BN866">$BI866 * SUMPRODUCT(INDEX($AR$77:$AT$82,,$AI866),INDEX($AU$77:$BA$82,,$AH866), N($AQ$77:$AQ$82&gt;$AO866)) / BM866 / 1000</f>
        <v>0</v>
      </c>
      <c r="BO866" s="232">
        <f t="shared" si="795"/>
        <v>30</v>
      </c>
      <c r="BP866" s="230">
        <f t="shared" si="771"/>
        <v>43</v>
      </c>
      <c r="BQ866" s="235">
        <f t="shared" si="772"/>
        <v>3.2938815789473681</v>
      </c>
      <c r="BR866" s="235" cm="1">
        <f t="array" ref="BR866">$BI866 * IF($AH866&lt;=2,
SUMPRODUCT(INDEX($AR$72:$AT$76,,$AI866), INDEX($AU$72:$BA$76,,$AH866), 1 / ($BB$72:$BB$76*BQ866 + (1-$BB$72:$BB$76)*BM866), N($AQ$72:$AQ$76&gt;$AO866)),
SUMPRODUCT(INDEX($AR$67:$AT$76,,$AI866), INDEX($AU$67:$BA$76,,$AH866), 1 / ($BC$67:$BC$76*BQ866 + (1-$BC$67:$BC$76)*BM866), N($AQ$67:$AQ$76&gt;$AO866))
) / 1000</f>
        <v>0</v>
      </c>
      <c r="BS866" s="232">
        <f t="shared" si="796"/>
        <v>25</v>
      </c>
      <c r="BT866" s="230">
        <f t="shared" si="773"/>
        <v>38</v>
      </c>
      <c r="BU866" s="235">
        <f t="shared" si="774"/>
        <v>3.792954545454545</v>
      </c>
      <c r="BV866" s="235" cm="1">
        <f t="array" ref="BV866">$BI866 * IF($AH866&lt;=2,
SUMPRODUCT(INDEX($AR$67:$AT$71,,$AI866), INDEX($AU$67:$BA$71,,$AH866), 1 / ($BB$67:$BB$71*BU866 + (1-$BB$67:$BB$71)*BQ866), N($AQ$67:$AQ$71&gt;$AO866)),
SUMPRODUCT(INDEX($AR$57:$AT$66,,$AI866), INDEX($AU$57:$BA$66,,$AH866), 1 / ($BC$57:$BC$66*BU866 + (1-$BC$57:$BC$66)*BQ866), N($AQ$57:$AQ$66&gt;$AO866))
) / 1000</f>
        <v>0</v>
      </c>
      <c r="BW866" s="232">
        <f t="shared" si="797"/>
        <v>20</v>
      </c>
      <c r="BX866" s="230">
        <f t="shared" si="775"/>
        <v>33</v>
      </c>
      <c r="BY866" s="235">
        <f t="shared" si="776"/>
        <v>4.4702678571428569</v>
      </c>
      <c r="BZ866" s="235" cm="1">
        <f t="array" ref="BZ866">$BI866 * IF($AH866&lt;=2,
SUMPRODUCT(INDEX($AR$62:$AT$66,,$AI866), INDEX($AU$62:$BA$66,,$AH866), 1 / ($BB$62:$BB$66*BY866 + (1-$BB$62:$BB$66)*BU866), N($AQ$62:$AQ$66&gt;$AO866)),
SUMPRODUCT(INDEX($AR$47:$AT$56,,$AI866), INDEX($AU$47:$BA$56,,$AH866), 1 / ($BC$47:$BC$56*BY866 + (1-$BC$47:$BC$56)*BU866), N($AQ$47:$AQ$56&gt;$AO866))
) / 1000</f>
        <v>0</v>
      </c>
      <c r="CA866" s="235" cm="1">
        <f t="array" ref="CA866">$BI866 * IF($AH866&lt;=2,
SUMPRODUCT(INDEX($AR$23:$AT$61,,$AI866), INDEX($AU$23:$BA$61,,$AH866), 1 / ($BB$23:$BB$61*BY866), N($AQ$23:$AQ$61&gt;$AO866)),
SUMPRODUCT(INDEX($AR$23:$AT$46,,$AI866), INDEX($AU$23:$BA$46,,$AH866), 1 / ($BC$23:$BC$46*BY866), N($AQ$23:$AQ$46&gt;$AO866))
) / 1000</f>
        <v>0</v>
      </c>
      <c r="CB866" s="230">
        <f t="shared" si="777"/>
        <v>0</v>
      </c>
      <c r="CC866" s="238"/>
      <c r="CD866" s="229" cm="1">
        <f t="array" ref="CD866">IF(ISBLANK(Y866), INDEX(Use, $AH866, 4) - AN866*INDEX(Use, $AH866, 6) - (Q866-X866), Y866)</f>
        <v>7</v>
      </c>
      <c r="CE866" s="229">
        <f t="shared" si="778"/>
        <v>32</v>
      </c>
      <c r="CF866" s="230">
        <f t="shared" si="779"/>
        <v>0</v>
      </c>
      <c r="CG866" s="229">
        <v>35</v>
      </c>
      <c r="CH866" s="230">
        <f t="shared" si="780"/>
        <v>48</v>
      </c>
      <c r="CI866" s="235">
        <f t="shared" si="781"/>
        <v>3.0748170731707316</v>
      </c>
      <c r="CJ866" s="235" cm="1">
        <f t="array" ref="CJ866">$BI866 * SUMPRODUCT(INDEX($AR$77:$AT$82,,$AI866),INDEX($AU$77:$BA$82,,$AH866), N($AQ$77:$AQ$82&gt;$AO866)) / CI866 / 1000</f>
        <v>0</v>
      </c>
      <c r="CK866" s="232">
        <f t="shared" si="798"/>
        <v>30</v>
      </c>
      <c r="CL866" s="230">
        <f t="shared" si="782"/>
        <v>43</v>
      </c>
      <c r="CM866" s="235">
        <f t="shared" si="783"/>
        <v>3.5018750000000001</v>
      </c>
      <c r="CN866" s="235" cm="1">
        <f t="array" ref="CN866">$BI866 * IF($AH866&lt;=2,
SUMPRODUCT(INDEX($AR$72:$AT$76,,$AI866), INDEX($AU$72:$BA$76,,$AH866), 1 / ($BB$72:$BB$76*CM866 + (1-$BB$72:$BB$76)*CI866), N($AQ$72:$AQ$76&gt;$AO866)),
SUMPRODUCT(INDEX($AR$67:$AT$76,,$AI866), INDEX($AU$67:$BA$76,,$AH866), 1 / ($BC$67:$BC$76*CM866 + (1-$BC$67:$BC$76)*CI866), N($AQ$67:$AQ$76&gt;$AO866))
) / 1000</f>
        <v>0</v>
      </c>
      <c r="CO866" s="232">
        <f t="shared" si="799"/>
        <v>25</v>
      </c>
      <c r="CP866" s="230">
        <f t="shared" si="784"/>
        <v>38</v>
      </c>
      <c r="CQ866" s="235">
        <f t="shared" si="785"/>
        <v>4.0666935483870965</v>
      </c>
      <c r="CR866" s="235" cm="1">
        <f t="array" ref="CR866">$BI866 * IF($AH866&lt;=2,
SUMPRODUCT(INDEX($AR$67:$AT$71,,$AI866), INDEX($AU$67:$BA$71,,$AH866), 1 / ($BB$67:$BB$71*CQ866 + (1-$BB$67:$BB$71)*CM866), N($AQ$67:$AQ$71&gt;$AO866)),
SUMPRODUCT(INDEX($AR$57:$AT$66,,$AI866), INDEX($AU$57:$BA$66,,$AH866), 1 / ($BC$57:$BC$66*CQ866 + (1-$BC$57:$BC$66)*CM866), N($AQ$57:$AQ$66&gt;$AO866))
) / 1000</f>
        <v>0</v>
      </c>
      <c r="CS866" s="232">
        <f t="shared" si="800"/>
        <v>20</v>
      </c>
      <c r="CT866" s="230">
        <f t="shared" si="786"/>
        <v>33</v>
      </c>
      <c r="CU866" s="235">
        <f t="shared" si="787"/>
        <v>4.8487499999999999</v>
      </c>
      <c r="CV866" s="235" cm="1">
        <f t="array" ref="CV866">$BI866 * IF($AH866&lt;=2,
SUMPRODUCT(INDEX($AR$62:$AT$66,,$AI866), INDEX($AU$62:$BA$66,,$AH866), 1 / ($BB$62:$BB$66*CU866 + (1-$BB$62:$BB$66)*CQ866), N($AQ$62:$AQ$66&gt;$AO866)),
SUMPRODUCT(INDEX($AR$47:$AT$56,,$AI866), INDEX($AU$47:$BA$56,,$AH866), 1 / ($BC$47:$BC$56*CU866 + (1-$BC$47:$BC$56)*CQ866), N($AQ$47:$AQ$56&gt;$AO866))
) / 1000</f>
        <v>0</v>
      </c>
      <c r="CW866" s="235" cm="1">
        <f t="array" ref="CW866">$BI866 * IF($AH866&lt;=2,
SUMPRODUCT(INDEX($AR$23:$AT$61,,$AI866), INDEX($AU$23:$BA$61,,$AH866), 1 / ($BB$23:$BB$61*CU866), N($AQ$23:$AQ$61&gt;$AO866)),
SUMPRODUCT(INDEX($AR$23:$AT$46,,$AI866), INDEX($AU$23:$BA$46,,$AH866), 1 / ($BC$23:$BC$46*CU866), N($AQ$23:$AQ$46&gt;$AO866))
) / 1000</f>
        <v>0</v>
      </c>
      <c r="CX866" s="230">
        <f t="shared" si="788"/>
        <v>0</v>
      </c>
      <c r="CY866" s="238"/>
    </row>
    <row r="867" spans="1:103" s="76" customFormat="1" ht="14.25" customHeight="1" x14ac:dyDescent="0.2">
      <c r="A867" s="231" t="b">
        <f t="shared" si="792"/>
        <v>0</v>
      </c>
      <c r="B867" s="245">
        <v>845</v>
      </c>
      <c r="C867" s="258"/>
      <c r="D867" s="258"/>
      <c r="E867" s="246"/>
      <c r="F867" s="247" t="str">
        <f>IF(ISBLANK(E867), "", VLOOKUP(E867, Z!$A$2:$C$4127, 3, FALSE))</f>
        <v/>
      </c>
      <c r="G867" s="248"/>
      <c r="H867" s="248"/>
      <c r="I867" s="249"/>
      <c r="J867" s="250"/>
      <c r="K867" s="259"/>
      <c r="L867" s="260"/>
      <c r="M867" s="252" t="str" cm="1">
        <f t="array" ref="M867">INDEX(Trad, 53, $A$20)</f>
        <v>Verschmutzt</v>
      </c>
      <c r="N867" s="253"/>
      <c r="O867" s="253"/>
      <c r="P867" s="254"/>
      <c r="Q867" s="251"/>
      <c r="R867" s="251"/>
      <c r="S867" s="264">
        <f t="shared" si="763"/>
        <v>0</v>
      </c>
      <c r="T867" s="252" t="str" cm="1">
        <f t="array" ref="T867">INDEX(Trad, 52, $A$20)</f>
        <v>Sauber</v>
      </c>
      <c r="U867" s="253"/>
      <c r="V867" s="253"/>
      <c r="W867" s="254"/>
      <c r="X867" s="251"/>
      <c r="Y867" s="251"/>
      <c r="Z867" s="264">
        <f t="shared" si="764"/>
        <v>0</v>
      </c>
      <c r="AA867" s="261"/>
      <c r="AB867" s="258"/>
      <c r="AC867" s="246"/>
      <c r="AD867" s="247" t="str">
        <f>IF(ISBLANK(AC867), "", VLOOKUP(AC867, Z!$A$2:$C$4127, 3, FALSE))</f>
        <v/>
      </c>
      <c r="AE867" s="262"/>
      <c r="AF867" s="263">
        <f t="shared" si="765"/>
        <v>0</v>
      </c>
      <c r="AG867" s="238"/>
      <c r="AH867" s="229">
        <f t="shared" si="789"/>
        <v>1</v>
      </c>
      <c r="AI867" s="229">
        <f t="shared" si="790"/>
        <v>1</v>
      </c>
      <c r="AJ867" s="229">
        <f t="shared" si="791"/>
        <v>0</v>
      </c>
      <c r="AK867" s="229">
        <v>0</v>
      </c>
      <c r="AL867" s="229">
        <v>0</v>
      </c>
      <c r="AM867" s="229">
        <v>1</v>
      </c>
      <c r="AN867" s="229">
        <v>0</v>
      </c>
      <c r="AO867" s="229">
        <f t="shared" si="766"/>
        <v>-100</v>
      </c>
      <c r="AP867" s="238"/>
      <c r="AQ867" s="255"/>
      <c r="AR867" s="255"/>
      <c r="AS867" s="256"/>
      <c r="AT867" s="256"/>
      <c r="AU867" s="256"/>
      <c r="AV867" s="256"/>
      <c r="AW867" s="256"/>
      <c r="AX867" s="256"/>
      <c r="AY867" s="256"/>
      <c r="AZ867" s="256"/>
      <c r="BA867" s="256"/>
      <c r="BB867" s="256"/>
      <c r="BC867" s="256"/>
      <c r="BD867" s="238"/>
      <c r="BE867" s="229" cm="1">
        <f t="array" ref="BE867">IF(ISBLANK(R867), INDEX(Use, $AH867, 4) - AM867*INDEX(Use, $AH867, 6), R867)</f>
        <v>5</v>
      </c>
      <c r="BF867" s="229">
        <f t="shared" si="767"/>
        <v>30</v>
      </c>
      <c r="BG867" s="229">
        <f t="shared" si="793"/>
        <v>13</v>
      </c>
      <c r="BH867" s="229">
        <f t="shared" si="794"/>
        <v>0</v>
      </c>
      <c r="BI867" s="234" cm="1">
        <f t="array" ref="BI867">K867/IF($L867&gt;0, INDEX($AU$23:$BA$77, $L867+20, $AH867), 1)</f>
        <v>0</v>
      </c>
      <c r="BJ867" s="230">
        <f t="shared" si="768"/>
        <v>0</v>
      </c>
      <c r="BK867" s="229">
        <v>35</v>
      </c>
      <c r="BL867" s="230">
        <f t="shared" si="769"/>
        <v>48</v>
      </c>
      <c r="BM867" s="235">
        <f t="shared" si="770"/>
        <v>2.9108720930232557</v>
      </c>
      <c r="BN867" s="235" cm="1">
        <f t="array" ref="BN867">$BI867 * SUMPRODUCT(INDEX($AR$77:$AT$82,,$AI867),INDEX($AU$77:$BA$82,,$AH867), N($AQ$77:$AQ$82&gt;$AO867)) / BM867 / 1000</f>
        <v>0</v>
      </c>
      <c r="BO867" s="232">
        <f t="shared" si="795"/>
        <v>30</v>
      </c>
      <c r="BP867" s="230">
        <f t="shared" si="771"/>
        <v>43</v>
      </c>
      <c r="BQ867" s="235">
        <f t="shared" si="772"/>
        <v>3.2938815789473681</v>
      </c>
      <c r="BR867" s="235" cm="1">
        <f t="array" ref="BR867">$BI867 * IF($AH867&lt;=2,
SUMPRODUCT(INDEX($AR$72:$AT$76,,$AI867), INDEX($AU$72:$BA$76,,$AH867), 1 / ($BB$72:$BB$76*BQ867 + (1-$BB$72:$BB$76)*BM867), N($AQ$72:$AQ$76&gt;$AO867)),
SUMPRODUCT(INDEX($AR$67:$AT$76,,$AI867), INDEX($AU$67:$BA$76,,$AH867), 1 / ($BC$67:$BC$76*BQ867 + (1-$BC$67:$BC$76)*BM867), N($AQ$67:$AQ$76&gt;$AO867))
) / 1000</f>
        <v>0</v>
      </c>
      <c r="BS867" s="232">
        <f t="shared" si="796"/>
        <v>25</v>
      </c>
      <c r="BT867" s="230">
        <f t="shared" si="773"/>
        <v>38</v>
      </c>
      <c r="BU867" s="235">
        <f t="shared" si="774"/>
        <v>3.792954545454545</v>
      </c>
      <c r="BV867" s="235" cm="1">
        <f t="array" ref="BV867">$BI867 * IF($AH867&lt;=2,
SUMPRODUCT(INDEX($AR$67:$AT$71,,$AI867), INDEX($AU$67:$BA$71,,$AH867), 1 / ($BB$67:$BB$71*BU867 + (1-$BB$67:$BB$71)*BQ867), N($AQ$67:$AQ$71&gt;$AO867)),
SUMPRODUCT(INDEX($AR$57:$AT$66,,$AI867), INDEX($AU$57:$BA$66,,$AH867), 1 / ($BC$57:$BC$66*BU867 + (1-$BC$57:$BC$66)*BQ867), N($AQ$57:$AQ$66&gt;$AO867))
) / 1000</f>
        <v>0</v>
      </c>
      <c r="BW867" s="232">
        <f t="shared" si="797"/>
        <v>20</v>
      </c>
      <c r="BX867" s="230">
        <f t="shared" si="775"/>
        <v>33</v>
      </c>
      <c r="BY867" s="235">
        <f t="shared" si="776"/>
        <v>4.4702678571428569</v>
      </c>
      <c r="BZ867" s="235" cm="1">
        <f t="array" ref="BZ867">$BI867 * IF($AH867&lt;=2,
SUMPRODUCT(INDEX($AR$62:$AT$66,,$AI867), INDEX($AU$62:$BA$66,,$AH867), 1 / ($BB$62:$BB$66*BY867 + (1-$BB$62:$BB$66)*BU867), N($AQ$62:$AQ$66&gt;$AO867)),
SUMPRODUCT(INDEX($AR$47:$AT$56,,$AI867), INDEX($AU$47:$BA$56,,$AH867), 1 / ($BC$47:$BC$56*BY867 + (1-$BC$47:$BC$56)*BU867), N($AQ$47:$AQ$56&gt;$AO867))
) / 1000</f>
        <v>0</v>
      </c>
      <c r="CA867" s="235" cm="1">
        <f t="array" ref="CA867">$BI867 * IF($AH867&lt;=2,
SUMPRODUCT(INDEX($AR$23:$AT$61,,$AI867), INDEX($AU$23:$BA$61,,$AH867), 1 / ($BB$23:$BB$61*BY867), N($AQ$23:$AQ$61&gt;$AO867)),
SUMPRODUCT(INDEX($AR$23:$AT$46,,$AI867), INDEX($AU$23:$BA$46,,$AH867), 1 / ($BC$23:$BC$46*BY867), N($AQ$23:$AQ$46&gt;$AO867))
) / 1000</f>
        <v>0</v>
      </c>
      <c r="CB867" s="230">
        <f t="shared" si="777"/>
        <v>0</v>
      </c>
      <c r="CC867" s="238"/>
      <c r="CD867" s="229" cm="1">
        <f t="array" ref="CD867">IF(ISBLANK(Y867), INDEX(Use, $AH867, 4) - AN867*INDEX(Use, $AH867, 6) - (Q867-X867), Y867)</f>
        <v>7</v>
      </c>
      <c r="CE867" s="229">
        <f t="shared" si="778"/>
        <v>32</v>
      </c>
      <c r="CF867" s="230">
        <f t="shared" si="779"/>
        <v>0</v>
      </c>
      <c r="CG867" s="229">
        <v>35</v>
      </c>
      <c r="CH867" s="230">
        <f t="shared" si="780"/>
        <v>48</v>
      </c>
      <c r="CI867" s="235">
        <f t="shared" si="781"/>
        <v>3.0748170731707316</v>
      </c>
      <c r="CJ867" s="235" cm="1">
        <f t="array" ref="CJ867">$BI867 * SUMPRODUCT(INDEX($AR$77:$AT$82,,$AI867),INDEX($AU$77:$BA$82,,$AH867), N($AQ$77:$AQ$82&gt;$AO867)) / CI867 / 1000</f>
        <v>0</v>
      </c>
      <c r="CK867" s="232">
        <f t="shared" si="798"/>
        <v>30</v>
      </c>
      <c r="CL867" s="230">
        <f t="shared" si="782"/>
        <v>43</v>
      </c>
      <c r="CM867" s="235">
        <f t="shared" si="783"/>
        <v>3.5018750000000001</v>
      </c>
      <c r="CN867" s="235" cm="1">
        <f t="array" ref="CN867">$BI867 * IF($AH867&lt;=2,
SUMPRODUCT(INDEX($AR$72:$AT$76,,$AI867), INDEX($AU$72:$BA$76,,$AH867), 1 / ($BB$72:$BB$76*CM867 + (1-$BB$72:$BB$76)*CI867), N($AQ$72:$AQ$76&gt;$AO867)),
SUMPRODUCT(INDEX($AR$67:$AT$76,,$AI867), INDEX($AU$67:$BA$76,,$AH867), 1 / ($BC$67:$BC$76*CM867 + (1-$BC$67:$BC$76)*CI867), N($AQ$67:$AQ$76&gt;$AO867))
) / 1000</f>
        <v>0</v>
      </c>
      <c r="CO867" s="232">
        <f t="shared" si="799"/>
        <v>25</v>
      </c>
      <c r="CP867" s="230">
        <f t="shared" si="784"/>
        <v>38</v>
      </c>
      <c r="CQ867" s="235">
        <f t="shared" si="785"/>
        <v>4.0666935483870965</v>
      </c>
      <c r="CR867" s="235" cm="1">
        <f t="array" ref="CR867">$BI867 * IF($AH867&lt;=2,
SUMPRODUCT(INDEX($AR$67:$AT$71,,$AI867), INDEX($AU$67:$BA$71,,$AH867), 1 / ($BB$67:$BB$71*CQ867 + (1-$BB$67:$BB$71)*CM867), N($AQ$67:$AQ$71&gt;$AO867)),
SUMPRODUCT(INDEX($AR$57:$AT$66,,$AI867), INDEX($AU$57:$BA$66,,$AH867), 1 / ($BC$57:$BC$66*CQ867 + (1-$BC$57:$BC$66)*CM867), N($AQ$57:$AQ$66&gt;$AO867))
) / 1000</f>
        <v>0</v>
      </c>
      <c r="CS867" s="232">
        <f t="shared" si="800"/>
        <v>20</v>
      </c>
      <c r="CT867" s="230">
        <f t="shared" si="786"/>
        <v>33</v>
      </c>
      <c r="CU867" s="235">
        <f t="shared" si="787"/>
        <v>4.8487499999999999</v>
      </c>
      <c r="CV867" s="235" cm="1">
        <f t="array" ref="CV867">$BI867 * IF($AH867&lt;=2,
SUMPRODUCT(INDEX($AR$62:$AT$66,,$AI867), INDEX($AU$62:$BA$66,,$AH867), 1 / ($BB$62:$BB$66*CU867 + (1-$BB$62:$BB$66)*CQ867), N($AQ$62:$AQ$66&gt;$AO867)),
SUMPRODUCT(INDEX($AR$47:$AT$56,,$AI867), INDEX($AU$47:$BA$56,,$AH867), 1 / ($BC$47:$BC$56*CU867 + (1-$BC$47:$BC$56)*CQ867), N($AQ$47:$AQ$56&gt;$AO867))
) / 1000</f>
        <v>0</v>
      </c>
      <c r="CW867" s="235" cm="1">
        <f t="array" ref="CW867">$BI867 * IF($AH867&lt;=2,
SUMPRODUCT(INDEX($AR$23:$AT$61,,$AI867), INDEX($AU$23:$BA$61,,$AH867), 1 / ($BB$23:$BB$61*CU867), N($AQ$23:$AQ$61&gt;$AO867)),
SUMPRODUCT(INDEX($AR$23:$AT$46,,$AI867), INDEX($AU$23:$BA$46,,$AH867), 1 / ($BC$23:$BC$46*CU867), N($AQ$23:$AQ$46&gt;$AO867))
) / 1000</f>
        <v>0</v>
      </c>
      <c r="CX867" s="230">
        <f t="shared" si="788"/>
        <v>0</v>
      </c>
      <c r="CY867" s="238"/>
    </row>
    <row r="868" spans="1:103" s="76" customFormat="1" ht="14.25" customHeight="1" x14ac:dyDescent="0.2">
      <c r="A868" s="231" t="b">
        <f t="shared" si="792"/>
        <v>0</v>
      </c>
      <c r="B868" s="245">
        <v>846</v>
      </c>
      <c r="C868" s="258"/>
      <c r="D868" s="258"/>
      <c r="E868" s="246"/>
      <c r="F868" s="247" t="str">
        <f>IF(ISBLANK(E868), "", VLOOKUP(E868, Z!$A$2:$C$4127, 3, FALSE))</f>
        <v/>
      </c>
      <c r="G868" s="248"/>
      <c r="H868" s="248"/>
      <c r="I868" s="249"/>
      <c r="J868" s="250"/>
      <c r="K868" s="259"/>
      <c r="L868" s="260"/>
      <c r="M868" s="252" t="str" cm="1">
        <f t="array" ref="M868">INDEX(Trad, 53, $A$20)</f>
        <v>Verschmutzt</v>
      </c>
      <c r="N868" s="253"/>
      <c r="O868" s="253"/>
      <c r="P868" s="254"/>
      <c r="Q868" s="251"/>
      <c r="R868" s="251"/>
      <c r="S868" s="264">
        <f t="shared" si="763"/>
        <v>0</v>
      </c>
      <c r="T868" s="252" t="str" cm="1">
        <f t="array" ref="T868">INDEX(Trad, 52, $A$20)</f>
        <v>Sauber</v>
      </c>
      <c r="U868" s="253"/>
      <c r="V868" s="253"/>
      <c r="W868" s="254"/>
      <c r="X868" s="251"/>
      <c r="Y868" s="251"/>
      <c r="Z868" s="264">
        <f t="shared" si="764"/>
        <v>0</v>
      </c>
      <c r="AA868" s="261"/>
      <c r="AB868" s="258"/>
      <c r="AC868" s="246"/>
      <c r="AD868" s="247" t="str">
        <f>IF(ISBLANK(AC868), "", VLOOKUP(AC868, Z!$A$2:$C$4127, 3, FALSE))</f>
        <v/>
      </c>
      <c r="AE868" s="262"/>
      <c r="AF868" s="263">
        <f t="shared" si="765"/>
        <v>0</v>
      </c>
      <c r="AG868" s="238"/>
      <c r="AH868" s="229">
        <f t="shared" si="789"/>
        <v>1</v>
      </c>
      <c r="AI868" s="229">
        <f t="shared" si="790"/>
        <v>1</v>
      </c>
      <c r="AJ868" s="229">
        <f t="shared" si="791"/>
        <v>0</v>
      </c>
      <c r="AK868" s="229">
        <v>0</v>
      </c>
      <c r="AL868" s="229">
        <v>0</v>
      </c>
      <c r="AM868" s="229">
        <v>1</v>
      </c>
      <c r="AN868" s="229">
        <v>0</v>
      </c>
      <c r="AO868" s="229">
        <f t="shared" si="766"/>
        <v>-100</v>
      </c>
      <c r="AP868" s="238"/>
      <c r="AQ868" s="255"/>
      <c r="AR868" s="255"/>
      <c r="AS868" s="256"/>
      <c r="AT868" s="256"/>
      <c r="AU868" s="256"/>
      <c r="AV868" s="256"/>
      <c r="AW868" s="256"/>
      <c r="AX868" s="256"/>
      <c r="AY868" s="256"/>
      <c r="AZ868" s="256"/>
      <c r="BA868" s="256"/>
      <c r="BB868" s="256"/>
      <c r="BC868" s="256"/>
      <c r="BD868" s="238"/>
      <c r="BE868" s="229" cm="1">
        <f t="array" ref="BE868">IF(ISBLANK(R868), INDEX(Use, $AH868, 4) - AM868*INDEX(Use, $AH868, 6), R868)</f>
        <v>5</v>
      </c>
      <c r="BF868" s="229">
        <f t="shared" si="767"/>
        <v>30</v>
      </c>
      <c r="BG868" s="229">
        <f t="shared" si="793"/>
        <v>13</v>
      </c>
      <c r="BH868" s="229">
        <f t="shared" si="794"/>
        <v>0</v>
      </c>
      <c r="BI868" s="234" cm="1">
        <f t="array" ref="BI868">K868/IF($L868&gt;0, INDEX($AU$23:$BA$77, $L868+20, $AH868), 1)</f>
        <v>0</v>
      </c>
      <c r="BJ868" s="230">
        <f t="shared" si="768"/>
        <v>0</v>
      </c>
      <c r="BK868" s="229">
        <v>35</v>
      </c>
      <c r="BL868" s="230">
        <f t="shared" si="769"/>
        <v>48</v>
      </c>
      <c r="BM868" s="235">
        <f t="shared" si="770"/>
        <v>2.9108720930232557</v>
      </c>
      <c r="BN868" s="235" cm="1">
        <f t="array" ref="BN868">$BI868 * SUMPRODUCT(INDEX($AR$77:$AT$82,,$AI868),INDEX($AU$77:$BA$82,,$AH868), N($AQ$77:$AQ$82&gt;$AO868)) / BM868 / 1000</f>
        <v>0</v>
      </c>
      <c r="BO868" s="232">
        <f t="shared" si="795"/>
        <v>30</v>
      </c>
      <c r="BP868" s="230">
        <f t="shared" si="771"/>
        <v>43</v>
      </c>
      <c r="BQ868" s="235">
        <f t="shared" si="772"/>
        <v>3.2938815789473681</v>
      </c>
      <c r="BR868" s="235" cm="1">
        <f t="array" ref="BR868">$BI868 * IF($AH868&lt;=2,
SUMPRODUCT(INDEX($AR$72:$AT$76,,$AI868), INDEX($AU$72:$BA$76,,$AH868), 1 / ($BB$72:$BB$76*BQ868 + (1-$BB$72:$BB$76)*BM868), N($AQ$72:$AQ$76&gt;$AO868)),
SUMPRODUCT(INDEX($AR$67:$AT$76,,$AI868), INDEX($AU$67:$BA$76,,$AH868), 1 / ($BC$67:$BC$76*BQ868 + (1-$BC$67:$BC$76)*BM868), N($AQ$67:$AQ$76&gt;$AO868))
) / 1000</f>
        <v>0</v>
      </c>
      <c r="BS868" s="232">
        <f t="shared" si="796"/>
        <v>25</v>
      </c>
      <c r="BT868" s="230">
        <f t="shared" si="773"/>
        <v>38</v>
      </c>
      <c r="BU868" s="235">
        <f t="shared" si="774"/>
        <v>3.792954545454545</v>
      </c>
      <c r="BV868" s="235" cm="1">
        <f t="array" ref="BV868">$BI868 * IF($AH868&lt;=2,
SUMPRODUCT(INDEX($AR$67:$AT$71,,$AI868), INDEX($AU$67:$BA$71,,$AH868), 1 / ($BB$67:$BB$71*BU868 + (1-$BB$67:$BB$71)*BQ868), N($AQ$67:$AQ$71&gt;$AO868)),
SUMPRODUCT(INDEX($AR$57:$AT$66,,$AI868), INDEX($AU$57:$BA$66,,$AH868), 1 / ($BC$57:$BC$66*BU868 + (1-$BC$57:$BC$66)*BQ868), N($AQ$57:$AQ$66&gt;$AO868))
) / 1000</f>
        <v>0</v>
      </c>
      <c r="BW868" s="232">
        <f t="shared" si="797"/>
        <v>20</v>
      </c>
      <c r="BX868" s="230">
        <f t="shared" si="775"/>
        <v>33</v>
      </c>
      <c r="BY868" s="235">
        <f t="shared" si="776"/>
        <v>4.4702678571428569</v>
      </c>
      <c r="BZ868" s="235" cm="1">
        <f t="array" ref="BZ868">$BI868 * IF($AH868&lt;=2,
SUMPRODUCT(INDEX($AR$62:$AT$66,,$AI868), INDEX($AU$62:$BA$66,,$AH868), 1 / ($BB$62:$BB$66*BY868 + (1-$BB$62:$BB$66)*BU868), N($AQ$62:$AQ$66&gt;$AO868)),
SUMPRODUCT(INDEX($AR$47:$AT$56,,$AI868), INDEX($AU$47:$BA$56,,$AH868), 1 / ($BC$47:$BC$56*BY868 + (1-$BC$47:$BC$56)*BU868), N($AQ$47:$AQ$56&gt;$AO868))
) / 1000</f>
        <v>0</v>
      </c>
      <c r="CA868" s="235" cm="1">
        <f t="array" ref="CA868">$BI868 * IF($AH868&lt;=2,
SUMPRODUCT(INDEX($AR$23:$AT$61,,$AI868), INDEX($AU$23:$BA$61,,$AH868), 1 / ($BB$23:$BB$61*BY868), N($AQ$23:$AQ$61&gt;$AO868)),
SUMPRODUCT(INDEX($AR$23:$AT$46,,$AI868), INDEX($AU$23:$BA$46,,$AH868), 1 / ($BC$23:$BC$46*BY868), N($AQ$23:$AQ$46&gt;$AO868))
) / 1000</f>
        <v>0</v>
      </c>
      <c r="CB868" s="230">
        <f t="shared" si="777"/>
        <v>0</v>
      </c>
      <c r="CC868" s="238"/>
      <c r="CD868" s="229" cm="1">
        <f t="array" ref="CD868">IF(ISBLANK(Y868), INDEX(Use, $AH868, 4) - AN868*INDEX(Use, $AH868, 6) - (Q868-X868), Y868)</f>
        <v>7</v>
      </c>
      <c r="CE868" s="229">
        <f t="shared" si="778"/>
        <v>32</v>
      </c>
      <c r="CF868" s="230">
        <f t="shared" si="779"/>
        <v>0</v>
      </c>
      <c r="CG868" s="229">
        <v>35</v>
      </c>
      <c r="CH868" s="230">
        <f t="shared" si="780"/>
        <v>48</v>
      </c>
      <c r="CI868" s="235">
        <f t="shared" si="781"/>
        <v>3.0748170731707316</v>
      </c>
      <c r="CJ868" s="235" cm="1">
        <f t="array" ref="CJ868">$BI868 * SUMPRODUCT(INDEX($AR$77:$AT$82,,$AI868),INDEX($AU$77:$BA$82,,$AH868), N($AQ$77:$AQ$82&gt;$AO868)) / CI868 / 1000</f>
        <v>0</v>
      </c>
      <c r="CK868" s="232">
        <f t="shared" si="798"/>
        <v>30</v>
      </c>
      <c r="CL868" s="230">
        <f t="shared" si="782"/>
        <v>43</v>
      </c>
      <c r="CM868" s="235">
        <f t="shared" si="783"/>
        <v>3.5018750000000001</v>
      </c>
      <c r="CN868" s="235" cm="1">
        <f t="array" ref="CN868">$BI868 * IF($AH868&lt;=2,
SUMPRODUCT(INDEX($AR$72:$AT$76,,$AI868), INDEX($AU$72:$BA$76,,$AH868), 1 / ($BB$72:$BB$76*CM868 + (1-$BB$72:$BB$76)*CI868), N($AQ$72:$AQ$76&gt;$AO868)),
SUMPRODUCT(INDEX($AR$67:$AT$76,,$AI868), INDEX($AU$67:$BA$76,,$AH868), 1 / ($BC$67:$BC$76*CM868 + (1-$BC$67:$BC$76)*CI868), N($AQ$67:$AQ$76&gt;$AO868))
) / 1000</f>
        <v>0</v>
      </c>
      <c r="CO868" s="232">
        <f t="shared" si="799"/>
        <v>25</v>
      </c>
      <c r="CP868" s="230">
        <f t="shared" si="784"/>
        <v>38</v>
      </c>
      <c r="CQ868" s="235">
        <f t="shared" si="785"/>
        <v>4.0666935483870965</v>
      </c>
      <c r="CR868" s="235" cm="1">
        <f t="array" ref="CR868">$BI868 * IF($AH868&lt;=2,
SUMPRODUCT(INDEX($AR$67:$AT$71,,$AI868), INDEX($AU$67:$BA$71,,$AH868), 1 / ($BB$67:$BB$71*CQ868 + (1-$BB$67:$BB$71)*CM868), N($AQ$67:$AQ$71&gt;$AO868)),
SUMPRODUCT(INDEX($AR$57:$AT$66,,$AI868), INDEX($AU$57:$BA$66,,$AH868), 1 / ($BC$57:$BC$66*CQ868 + (1-$BC$57:$BC$66)*CM868), N($AQ$57:$AQ$66&gt;$AO868))
) / 1000</f>
        <v>0</v>
      </c>
      <c r="CS868" s="232">
        <f t="shared" si="800"/>
        <v>20</v>
      </c>
      <c r="CT868" s="230">
        <f t="shared" si="786"/>
        <v>33</v>
      </c>
      <c r="CU868" s="235">
        <f t="shared" si="787"/>
        <v>4.8487499999999999</v>
      </c>
      <c r="CV868" s="235" cm="1">
        <f t="array" ref="CV868">$BI868 * IF($AH868&lt;=2,
SUMPRODUCT(INDEX($AR$62:$AT$66,,$AI868), INDEX($AU$62:$BA$66,,$AH868), 1 / ($BB$62:$BB$66*CU868 + (1-$BB$62:$BB$66)*CQ868), N($AQ$62:$AQ$66&gt;$AO868)),
SUMPRODUCT(INDEX($AR$47:$AT$56,,$AI868), INDEX($AU$47:$BA$56,,$AH868), 1 / ($BC$47:$BC$56*CU868 + (1-$BC$47:$BC$56)*CQ868), N($AQ$47:$AQ$56&gt;$AO868))
) / 1000</f>
        <v>0</v>
      </c>
      <c r="CW868" s="235" cm="1">
        <f t="array" ref="CW868">$BI868 * IF($AH868&lt;=2,
SUMPRODUCT(INDEX($AR$23:$AT$61,,$AI868), INDEX($AU$23:$BA$61,,$AH868), 1 / ($BB$23:$BB$61*CU868), N($AQ$23:$AQ$61&gt;$AO868)),
SUMPRODUCT(INDEX($AR$23:$AT$46,,$AI868), INDEX($AU$23:$BA$46,,$AH868), 1 / ($BC$23:$BC$46*CU868), N($AQ$23:$AQ$46&gt;$AO868))
) / 1000</f>
        <v>0</v>
      </c>
      <c r="CX868" s="230">
        <f t="shared" si="788"/>
        <v>0</v>
      </c>
      <c r="CY868" s="238"/>
    </row>
    <row r="869" spans="1:103" s="76" customFormat="1" ht="14.25" customHeight="1" x14ac:dyDescent="0.2">
      <c r="A869" s="231" t="b">
        <f t="shared" si="792"/>
        <v>0</v>
      </c>
      <c r="B869" s="245">
        <v>847</v>
      </c>
      <c r="C869" s="258"/>
      <c r="D869" s="258"/>
      <c r="E869" s="246"/>
      <c r="F869" s="247" t="str">
        <f>IF(ISBLANK(E869), "", VLOOKUP(E869, Z!$A$2:$C$4127, 3, FALSE))</f>
        <v/>
      </c>
      <c r="G869" s="248"/>
      <c r="H869" s="248"/>
      <c r="I869" s="249"/>
      <c r="J869" s="250"/>
      <c r="K869" s="259"/>
      <c r="L869" s="260"/>
      <c r="M869" s="252" t="str" cm="1">
        <f t="array" ref="M869">INDEX(Trad, 53, $A$20)</f>
        <v>Verschmutzt</v>
      </c>
      <c r="N869" s="253"/>
      <c r="O869" s="253"/>
      <c r="P869" s="254"/>
      <c r="Q869" s="251"/>
      <c r="R869" s="251"/>
      <c r="S869" s="264">
        <f t="shared" si="763"/>
        <v>0</v>
      </c>
      <c r="T869" s="252" t="str" cm="1">
        <f t="array" ref="T869">INDEX(Trad, 52, $A$20)</f>
        <v>Sauber</v>
      </c>
      <c r="U869" s="253"/>
      <c r="V869" s="253"/>
      <c r="W869" s="254"/>
      <c r="X869" s="251"/>
      <c r="Y869" s="251"/>
      <c r="Z869" s="264">
        <f t="shared" si="764"/>
        <v>0</v>
      </c>
      <c r="AA869" s="261"/>
      <c r="AB869" s="258"/>
      <c r="AC869" s="246"/>
      <c r="AD869" s="247" t="str">
        <f>IF(ISBLANK(AC869), "", VLOOKUP(AC869, Z!$A$2:$C$4127, 3, FALSE))</f>
        <v/>
      </c>
      <c r="AE869" s="262"/>
      <c r="AF869" s="263">
        <f t="shared" si="765"/>
        <v>0</v>
      </c>
      <c r="AG869" s="238"/>
      <c r="AH869" s="229">
        <f t="shared" si="789"/>
        <v>1</v>
      </c>
      <c r="AI869" s="229">
        <f t="shared" si="790"/>
        <v>1</v>
      </c>
      <c r="AJ869" s="229">
        <f t="shared" si="791"/>
        <v>0</v>
      </c>
      <c r="AK869" s="229">
        <v>0</v>
      </c>
      <c r="AL869" s="229">
        <v>0</v>
      </c>
      <c r="AM869" s="229">
        <v>1</v>
      </c>
      <c r="AN869" s="229">
        <v>0</v>
      </c>
      <c r="AO869" s="229">
        <f t="shared" si="766"/>
        <v>-100</v>
      </c>
      <c r="AP869" s="238"/>
      <c r="AQ869" s="255"/>
      <c r="AR869" s="255"/>
      <c r="AS869" s="256"/>
      <c r="AT869" s="256"/>
      <c r="AU869" s="256"/>
      <c r="AV869" s="256"/>
      <c r="AW869" s="256"/>
      <c r="AX869" s="256"/>
      <c r="AY869" s="256"/>
      <c r="AZ869" s="256"/>
      <c r="BA869" s="256"/>
      <c r="BB869" s="256"/>
      <c r="BC869" s="256"/>
      <c r="BD869" s="238"/>
      <c r="BE869" s="229" cm="1">
        <f t="array" ref="BE869">IF(ISBLANK(R869), INDEX(Use, $AH869, 4) - AM869*INDEX(Use, $AH869, 6), R869)</f>
        <v>5</v>
      </c>
      <c r="BF869" s="229">
        <f t="shared" si="767"/>
        <v>30</v>
      </c>
      <c r="BG869" s="229">
        <f t="shared" si="793"/>
        <v>13</v>
      </c>
      <c r="BH869" s="229">
        <f t="shared" si="794"/>
        <v>0</v>
      </c>
      <c r="BI869" s="234" cm="1">
        <f t="array" ref="BI869">K869/IF($L869&gt;0, INDEX($AU$23:$BA$77, $L869+20, $AH869), 1)</f>
        <v>0</v>
      </c>
      <c r="BJ869" s="230">
        <f t="shared" si="768"/>
        <v>0</v>
      </c>
      <c r="BK869" s="229">
        <v>35</v>
      </c>
      <c r="BL869" s="230">
        <f t="shared" si="769"/>
        <v>48</v>
      </c>
      <c r="BM869" s="235">
        <f t="shared" si="770"/>
        <v>2.9108720930232557</v>
      </c>
      <c r="BN869" s="235" cm="1">
        <f t="array" ref="BN869">$BI869 * SUMPRODUCT(INDEX($AR$77:$AT$82,,$AI869),INDEX($AU$77:$BA$82,,$AH869), N($AQ$77:$AQ$82&gt;$AO869)) / BM869 / 1000</f>
        <v>0</v>
      </c>
      <c r="BO869" s="232">
        <f t="shared" si="795"/>
        <v>30</v>
      </c>
      <c r="BP869" s="230">
        <f t="shared" si="771"/>
        <v>43</v>
      </c>
      <c r="BQ869" s="235">
        <f t="shared" si="772"/>
        <v>3.2938815789473681</v>
      </c>
      <c r="BR869" s="235" cm="1">
        <f t="array" ref="BR869">$BI869 * IF($AH869&lt;=2,
SUMPRODUCT(INDEX($AR$72:$AT$76,,$AI869), INDEX($AU$72:$BA$76,,$AH869), 1 / ($BB$72:$BB$76*BQ869 + (1-$BB$72:$BB$76)*BM869), N($AQ$72:$AQ$76&gt;$AO869)),
SUMPRODUCT(INDEX($AR$67:$AT$76,,$AI869), INDEX($AU$67:$BA$76,,$AH869), 1 / ($BC$67:$BC$76*BQ869 + (1-$BC$67:$BC$76)*BM869), N($AQ$67:$AQ$76&gt;$AO869))
) / 1000</f>
        <v>0</v>
      </c>
      <c r="BS869" s="232">
        <f t="shared" si="796"/>
        <v>25</v>
      </c>
      <c r="BT869" s="230">
        <f t="shared" si="773"/>
        <v>38</v>
      </c>
      <c r="BU869" s="235">
        <f t="shared" si="774"/>
        <v>3.792954545454545</v>
      </c>
      <c r="BV869" s="235" cm="1">
        <f t="array" ref="BV869">$BI869 * IF($AH869&lt;=2,
SUMPRODUCT(INDEX($AR$67:$AT$71,,$AI869), INDEX($AU$67:$BA$71,,$AH869), 1 / ($BB$67:$BB$71*BU869 + (1-$BB$67:$BB$71)*BQ869), N($AQ$67:$AQ$71&gt;$AO869)),
SUMPRODUCT(INDEX($AR$57:$AT$66,,$AI869), INDEX($AU$57:$BA$66,,$AH869), 1 / ($BC$57:$BC$66*BU869 + (1-$BC$57:$BC$66)*BQ869), N($AQ$57:$AQ$66&gt;$AO869))
) / 1000</f>
        <v>0</v>
      </c>
      <c r="BW869" s="232">
        <f t="shared" si="797"/>
        <v>20</v>
      </c>
      <c r="BX869" s="230">
        <f t="shared" si="775"/>
        <v>33</v>
      </c>
      <c r="BY869" s="235">
        <f t="shared" si="776"/>
        <v>4.4702678571428569</v>
      </c>
      <c r="BZ869" s="235" cm="1">
        <f t="array" ref="BZ869">$BI869 * IF($AH869&lt;=2,
SUMPRODUCT(INDEX($AR$62:$AT$66,,$AI869), INDEX($AU$62:$BA$66,,$AH869), 1 / ($BB$62:$BB$66*BY869 + (1-$BB$62:$BB$66)*BU869), N($AQ$62:$AQ$66&gt;$AO869)),
SUMPRODUCT(INDEX($AR$47:$AT$56,,$AI869), INDEX($AU$47:$BA$56,,$AH869), 1 / ($BC$47:$BC$56*BY869 + (1-$BC$47:$BC$56)*BU869), N($AQ$47:$AQ$56&gt;$AO869))
) / 1000</f>
        <v>0</v>
      </c>
      <c r="CA869" s="235" cm="1">
        <f t="array" ref="CA869">$BI869 * IF($AH869&lt;=2,
SUMPRODUCT(INDEX($AR$23:$AT$61,,$AI869), INDEX($AU$23:$BA$61,,$AH869), 1 / ($BB$23:$BB$61*BY869), N($AQ$23:$AQ$61&gt;$AO869)),
SUMPRODUCT(INDEX($AR$23:$AT$46,,$AI869), INDEX($AU$23:$BA$46,,$AH869), 1 / ($BC$23:$BC$46*BY869), N($AQ$23:$AQ$46&gt;$AO869))
) / 1000</f>
        <v>0</v>
      </c>
      <c r="CB869" s="230">
        <f t="shared" si="777"/>
        <v>0</v>
      </c>
      <c r="CC869" s="238"/>
      <c r="CD869" s="229" cm="1">
        <f t="array" ref="CD869">IF(ISBLANK(Y869), INDEX(Use, $AH869, 4) - AN869*INDEX(Use, $AH869, 6) - (Q869-X869), Y869)</f>
        <v>7</v>
      </c>
      <c r="CE869" s="229">
        <f t="shared" si="778"/>
        <v>32</v>
      </c>
      <c r="CF869" s="230">
        <f t="shared" si="779"/>
        <v>0</v>
      </c>
      <c r="CG869" s="229">
        <v>35</v>
      </c>
      <c r="CH869" s="230">
        <f t="shared" si="780"/>
        <v>48</v>
      </c>
      <c r="CI869" s="235">
        <f t="shared" si="781"/>
        <v>3.0748170731707316</v>
      </c>
      <c r="CJ869" s="235" cm="1">
        <f t="array" ref="CJ869">$BI869 * SUMPRODUCT(INDEX($AR$77:$AT$82,,$AI869),INDEX($AU$77:$BA$82,,$AH869), N($AQ$77:$AQ$82&gt;$AO869)) / CI869 / 1000</f>
        <v>0</v>
      </c>
      <c r="CK869" s="232">
        <f t="shared" si="798"/>
        <v>30</v>
      </c>
      <c r="CL869" s="230">
        <f t="shared" si="782"/>
        <v>43</v>
      </c>
      <c r="CM869" s="235">
        <f t="shared" si="783"/>
        <v>3.5018750000000001</v>
      </c>
      <c r="CN869" s="235" cm="1">
        <f t="array" ref="CN869">$BI869 * IF($AH869&lt;=2,
SUMPRODUCT(INDEX($AR$72:$AT$76,,$AI869), INDEX($AU$72:$BA$76,,$AH869), 1 / ($BB$72:$BB$76*CM869 + (1-$BB$72:$BB$76)*CI869), N($AQ$72:$AQ$76&gt;$AO869)),
SUMPRODUCT(INDEX($AR$67:$AT$76,,$AI869), INDEX($AU$67:$BA$76,,$AH869), 1 / ($BC$67:$BC$76*CM869 + (1-$BC$67:$BC$76)*CI869), N($AQ$67:$AQ$76&gt;$AO869))
) / 1000</f>
        <v>0</v>
      </c>
      <c r="CO869" s="232">
        <f t="shared" si="799"/>
        <v>25</v>
      </c>
      <c r="CP869" s="230">
        <f t="shared" si="784"/>
        <v>38</v>
      </c>
      <c r="CQ869" s="235">
        <f t="shared" si="785"/>
        <v>4.0666935483870965</v>
      </c>
      <c r="CR869" s="235" cm="1">
        <f t="array" ref="CR869">$BI869 * IF($AH869&lt;=2,
SUMPRODUCT(INDEX($AR$67:$AT$71,,$AI869), INDEX($AU$67:$BA$71,,$AH869), 1 / ($BB$67:$BB$71*CQ869 + (1-$BB$67:$BB$71)*CM869), N($AQ$67:$AQ$71&gt;$AO869)),
SUMPRODUCT(INDEX($AR$57:$AT$66,,$AI869), INDEX($AU$57:$BA$66,,$AH869), 1 / ($BC$57:$BC$66*CQ869 + (1-$BC$57:$BC$66)*CM869), N($AQ$57:$AQ$66&gt;$AO869))
) / 1000</f>
        <v>0</v>
      </c>
      <c r="CS869" s="232">
        <f t="shared" si="800"/>
        <v>20</v>
      </c>
      <c r="CT869" s="230">
        <f t="shared" si="786"/>
        <v>33</v>
      </c>
      <c r="CU869" s="235">
        <f t="shared" si="787"/>
        <v>4.8487499999999999</v>
      </c>
      <c r="CV869" s="235" cm="1">
        <f t="array" ref="CV869">$BI869 * IF($AH869&lt;=2,
SUMPRODUCT(INDEX($AR$62:$AT$66,,$AI869), INDEX($AU$62:$BA$66,,$AH869), 1 / ($BB$62:$BB$66*CU869 + (1-$BB$62:$BB$66)*CQ869), N($AQ$62:$AQ$66&gt;$AO869)),
SUMPRODUCT(INDEX($AR$47:$AT$56,,$AI869), INDEX($AU$47:$BA$56,,$AH869), 1 / ($BC$47:$BC$56*CU869 + (1-$BC$47:$BC$56)*CQ869), N($AQ$47:$AQ$56&gt;$AO869))
) / 1000</f>
        <v>0</v>
      </c>
      <c r="CW869" s="235" cm="1">
        <f t="array" ref="CW869">$BI869 * IF($AH869&lt;=2,
SUMPRODUCT(INDEX($AR$23:$AT$61,,$AI869), INDEX($AU$23:$BA$61,,$AH869), 1 / ($BB$23:$BB$61*CU869), N($AQ$23:$AQ$61&gt;$AO869)),
SUMPRODUCT(INDEX($AR$23:$AT$46,,$AI869), INDEX($AU$23:$BA$46,,$AH869), 1 / ($BC$23:$BC$46*CU869), N($AQ$23:$AQ$46&gt;$AO869))
) / 1000</f>
        <v>0</v>
      </c>
      <c r="CX869" s="230">
        <f t="shared" si="788"/>
        <v>0</v>
      </c>
      <c r="CY869" s="238"/>
    </row>
    <row r="870" spans="1:103" s="76" customFormat="1" ht="14.25" customHeight="1" x14ac:dyDescent="0.2">
      <c r="A870" s="231" t="b">
        <f t="shared" si="792"/>
        <v>0</v>
      </c>
      <c r="B870" s="245">
        <v>848</v>
      </c>
      <c r="C870" s="258"/>
      <c r="D870" s="258"/>
      <c r="E870" s="246"/>
      <c r="F870" s="247" t="str">
        <f>IF(ISBLANK(E870), "", VLOOKUP(E870, Z!$A$2:$C$4127, 3, FALSE))</f>
        <v/>
      </c>
      <c r="G870" s="248"/>
      <c r="H870" s="248"/>
      <c r="I870" s="249"/>
      <c r="J870" s="250"/>
      <c r="K870" s="259"/>
      <c r="L870" s="260"/>
      <c r="M870" s="252" t="str" cm="1">
        <f t="array" ref="M870">INDEX(Trad, 53, $A$20)</f>
        <v>Verschmutzt</v>
      </c>
      <c r="N870" s="253"/>
      <c r="O870" s="253"/>
      <c r="P870" s="254"/>
      <c r="Q870" s="251"/>
      <c r="R870" s="251"/>
      <c r="S870" s="264">
        <f t="shared" si="763"/>
        <v>0</v>
      </c>
      <c r="T870" s="252" t="str" cm="1">
        <f t="array" ref="T870">INDEX(Trad, 52, $A$20)</f>
        <v>Sauber</v>
      </c>
      <c r="U870" s="253"/>
      <c r="V870" s="253"/>
      <c r="W870" s="254"/>
      <c r="X870" s="251"/>
      <c r="Y870" s="251"/>
      <c r="Z870" s="264">
        <f t="shared" si="764"/>
        <v>0</v>
      </c>
      <c r="AA870" s="261"/>
      <c r="AB870" s="258"/>
      <c r="AC870" s="246"/>
      <c r="AD870" s="247" t="str">
        <f>IF(ISBLANK(AC870), "", VLOOKUP(AC870, Z!$A$2:$C$4127, 3, FALSE))</f>
        <v/>
      </c>
      <c r="AE870" s="262"/>
      <c r="AF870" s="263">
        <f t="shared" si="765"/>
        <v>0</v>
      </c>
      <c r="AG870" s="238"/>
      <c r="AH870" s="229">
        <f t="shared" si="789"/>
        <v>1</v>
      </c>
      <c r="AI870" s="229">
        <f t="shared" si="790"/>
        <v>1</v>
      </c>
      <c r="AJ870" s="229">
        <f t="shared" si="791"/>
        <v>0</v>
      </c>
      <c r="AK870" s="229">
        <v>0</v>
      </c>
      <c r="AL870" s="229">
        <v>0</v>
      </c>
      <c r="AM870" s="229">
        <v>1</v>
      </c>
      <c r="AN870" s="229">
        <v>0</v>
      </c>
      <c r="AO870" s="229">
        <f t="shared" si="766"/>
        <v>-100</v>
      </c>
      <c r="AP870" s="238"/>
      <c r="AQ870" s="255"/>
      <c r="AR870" s="255"/>
      <c r="AS870" s="256"/>
      <c r="AT870" s="256"/>
      <c r="AU870" s="256"/>
      <c r="AV870" s="256"/>
      <c r="AW870" s="256"/>
      <c r="AX870" s="256"/>
      <c r="AY870" s="256"/>
      <c r="AZ870" s="256"/>
      <c r="BA870" s="256"/>
      <c r="BB870" s="256"/>
      <c r="BC870" s="256"/>
      <c r="BD870" s="238"/>
      <c r="BE870" s="229" cm="1">
        <f t="array" ref="BE870">IF(ISBLANK(R870), INDEX(Use, $AH870, 4) - AM870*INDEX(Use, $AH870, 6), R870)</f>
        <v>5</v>
      </c>
      <c r="BF870" s="229">
        <f t="shared" si="767"/>
        <v>30</v>
      </c>
      <c r="BG870" s="229">
        <f t="shared" si="793"/>
        <v>13</v>
      </c>
      <c r="BH870" s="229">
        <f t="shared" si="794"/>
        <v>0</v>
      </c>
      <c r="BI870" s="234" cm="1">
        <f t="array" ref="BI870">K870/IF($L870&gt;0, INDEX($AU$23:$BA$77, $L870+20, $AH870), 1)</f>
        <v>0</v>
      </c>
      <c r="BJ870" s="230">
        <f t="shared" si="768"/>
        <v>0</v>
      </c>
      <c r="BK870" s="229">
        <v>35</v>
      </c>
      <c r="BL870" s="230">
        <f t="shared" si="769"/>
        <v>48</v>
      </c>
      <c r="BM870" s="235">
        <f t="shared" si="770"/>
        <v>2.9108720930232557</v>
      </c>
      <c r="BN870" s="235" cm="1">
        <f t="array" ref="BN870">$BI870 * SUMPRODUCT(INDEX($AR$77:$AT$82,,$AI870),INDEX($AU$77:$BA$82,,$AH870), N($AQ$77:$AQ$82&gt;$AO870)) / BM870 / 1000</f>
        <v>0</v>
      </c>
      <c r="BO870" s="232">
        <f t="shared" si="795"/>
        <v>30</v>
      </c>
      <c r="BP870" s="230">
        <f t="shared" si="771"/>
        <v>43</v>
      </c>
      <c r="BQ870" s="235">
        <f t="shared" si="772"/>
        <v>3.2938815789473681</v>
      </c>
      <c r="BR870" s="235" cm="1">
        <f t="array" ref="BR870">$BI870 * IF($AH870&lt;=2,
SUMPRODUCT(INDEX($AR$72:$AT$76,,$AI870), INDEX($AU$72:$BA$76,,$AH870), 1 / ($BB$72:$BB$76*BQ870 + (1-$BB$72:$BB$76)*BM870), N($AQ$72:$AQ$76&gt;$AO870)),
SUMPRODUCT(INDEX($AR$67:$AT$76,,$AI870), INDEX($AU$67:$BA$76,,$AH870), 1 / ($BC$67:$BC$76*BQ870 + (1-$BC$67:$BC$76)*BM870), N($AQ$67:$AQ$76&gt;$AO870))
) / 1000</f>
        <v>0</v>
      </c>
      <c r="BS870" s="232">
        <f t="shared" si="796"/>
        <v>25</v>
      </c>
      <c r="BT870" s="230">
        <f t="shared" si="773"/>
        <v>38</v>
      </c>
      <c r="BU870" s="235">
        <f t="shared" si="774"/>
        <v>3.792954545454545</v>
      </c>
      <c r="BV870" s="235" cm="1">
        <f t="array" ref="BV870">$BI870 * IF($AH870&lt;=2,
SUMPRODUCT(INDEX($AR$67:$AT$71,,$AI870), INDEX($AU$67:$BA$71,,$AH870), 1 / ($BB$67:$BB$71*BU870 + (1-$BB$67:$BB$71)*BQ870), N($AQ$67:$AQ$71&gt;$AO870)),
SUMPRODUCT(INDEX($AR$57:$AT$66,,$AI870), INDEX($AU$57:$BA$66,,$AH870), 1 / ($BC$57:$BC$66*BU870 + (1-$BC$57:$BC$66)*BQ870), N($AQ$57:$AQ$66&gt;$AO870))
) / 1000</f>
        <v>0</v>
      </c>
      <c r="BW870" s="232">
        <f t="shared" si="797"/>
        <v>20</v>
      </c>
      <c r="BX870" s="230">
        <f t="shared" si="775"/>
        <v>33</v>
      </c>
      <c r="BY870" s="235">
        <f t="shared" si="776"/>
        <v>4.4702678571428569</v>
      </c>
      <c r="BZ870" s="235" cm="1">
        <f t="array" ref="BZ870">$BI870 * IF($AH870&lt;=2,
SUMPRODUCT(INDEX($AR$62:$AT$66,,$AI870), INDEX($AU$62:$BA$66,,$AH870), 1 / ($BB$62:$BB$66*BY870 + (1-$BB$62:$BB$66)*BU870), N($AQ$62:$AQ$66&gt;$AO870)),
SUMPRODUCT(INDEX($AR$47:$AT$56,,$AI870), INDEX($AU$47:$BA$56,,$AH870), 1 / ($BC$47:$BC$56*BY870 + (1-$BC$47:$BC$56)*BU870), N($AQ$47:$AQ$56&gt;$AO870))
) / 1000</f>
        <v>0</v>
      </c>
      <c r="CA870" s="235" cm="1">
        <f t="array" ref="CA870">$BI870 * IF($AH870&lt;=2,
SUMPRODUCT(INDEX($AR$23:$AT$61,,$AI870), INDEX($AU$23:$BA$61,,$AH870), 1 / ($BB$23:$BB$61*BY870), N($AQ$23:$AQ$61&gt;$AO870)),
SUMPRODUCT(INDEX($AR$23:$AT$46,,$AI870), INDEX($AU$23:$BA$46,,$AH870), 1 / ($BC$23:$BC$46*BY870), N($AQ$23:$AQ$46&gt;$AO870))
) / 1000</f>
        <v>0</v>
      </c>
      <c r="CB870" s="230">
        <f t="shared" si="777"/>
        <v>0</v>
      </c>
      <c r="CC870" s="238"/>
      <c r="CD870" s="229" cm="1">
        <f t="array" ref="CD870">IF(ISBLANK(Y870), INDEX(Use, $AH870, 4) - AN870*INDEX(Use, $AH870, 6) - (Q870-X870), Y870)</f>
        <v>7</v>
      </c>
      <c r="CE870" s="229">
        <f t="shared" si="778"/>
        <v>32</v>
      </c>
      <c r="CF870" s="230">
        <f t="shared" si="779"/>
        <v>0</v>
      </c>
      <c r="CG870" s="229">
        <v>35</v>
      </c>
      <c r="CH870" s="230">
        <f t="shared" si="780"/>
        <v>48</v>
      </c>
      <c r="CI870" s="235">
        <f t="shared" si="781"/>
        <v>3.0748170731707316</v>
      </c>
      <c r="CJ870" s="235" cm="1">
        <f t="array" ref="CJ870">$BI870 * SUMPRODUCT(INDEX($AR$77:$AT$82,,$AI870),INDEX($AU$77:$BA$82,,$AH870), N($AQ$77:$AQ$82&gt;$AO870)) / CI870 / 1000</f>
        <v>0</v>
      </c>
      <c r="CK870" s="232">
        <f t="shared" si="798"/>
        <v>30</v>
      </c>
      <c r="CL870" s="230">
        <f t="shared" si="782"/>
        <v>43</v>
      </c>
      <c r="CM870" s="235">
        <f t="shared" si="783"/>
        <v>3.5018750000000001</v>
      </c>
      <c r="CN870" s="235" cm="1">
        <f t="array" ref="CN870">$BI870 * IF($AH870&lt;=2,
SUMPRODUCT(INDEX($AR$72:$AT$76,,$AI870), INDEX($AU$72:$BA$76,,$AH870), 1 / ($BB$72:$BB$76*CM870 + (1-$BB$72:$BB$76)*CI870), N($AQ$72:$AQ$76&gt;$AO870)),
SUMPRODUCT(INDEX($AR$67:$AT$76,,$AI870), INDEX($AU$67:$BA$76,,$AH870), 1 / ($BC$67:$BC$76*CM870 + (1-$BC$67:$BC$76)*CI870), N($AQ$67:$AQ$76&gt;$AO870))
) / 1000</f>
        <v>0</v>
      </c>
      <c r="CO870" s="232">
        <f t="shared" si="799"/>
        <v>25</v>
      </c>
      <c r="CP870" s="230">
        <f t="shared" si="784"/>
        <v>38</v>
      </c>
      <c r="CQ870" s="235">
        <f t="shared" si="785"/>
        <v>4.0666935483870965</v>
      </c>
      <c r="CR870" s="235" cm="1">
        <f t="array" ref="CR870">$BI870 * IF($AH870&lt;=2,
SUMPRODUCT(INDEX($AR$67:$AT$71,,$AI870), INDEX($AU$67:$BA$71,,$AH870), 1 / ($BB$67:$BB$71*CQ870 + (1-$BB$67:$BB$71)*CM870), N($AQ$67:$AQ$71&gt;$AO870)),
SUMPRODUCT(INDEX($AR$57:$AT$66,,$AI870), INDEX($AU$57:$BA$66,,$AH870), 1 / ($BC$57:$BC$66*CQ870 + (1-$BC$57:$BC$66)*CM870), N($AQ$57:$AQ$66&gt;$AO870))
) / 1000</f>
        <v>0</v>
      </c>
      <c r="CS870" s="232">
        <f t="shared" si="800"/>
        <v>20</v>
      </c>
      <c r="CT870" s="230">
        <f t="shared" si="786"/>
        <v>33</v>
      </c>
      <c r="CU870" s="235">
        <f t="shared" si="787"/>
        <v>4.8487499999999999</v>
      </c>
      <c r="CV870" s="235" cm="1">
        <f t="array" ref="CV870">$BI870 * IF($AH870&lt;=2,
SUMPRODUCT(INDEX($AR$62:$AT$66,,$AI870), INDEX($AU$62:$BA$66,,$AH870), 1 / ($BB$62:$BB$66*CU870 + (1-$BB$62:$BB$66)*CQ870), N($AQ$62:$AQ$66&gt;$AO870)),
SUMPRODUCT(INDEX($AR$47:$AT$56,,$AI870), INDEX($AU$47:$BA$56,,$AH870), 1 / ($BC$47:$BC$56*CU870 + (1-$BC$47:$BC$56)*CQ870), N($AQ$47:$AQ$56&gt;$AO870))
) / 1000</f>
        <v>0</v>
      </c>
      <c r="CW870" s="235" cm="1">
        <f t="array" ref="CW870">$BI870 * IF($AH870&lt;=2,
SUMPRODUCT(INDEX($AR$23:$AT$61,,$AI870), INDEX($AU$23:$BA$61,,$AH870), 1 / ($BB$23:$BB$61*CU870), N($AQ$23:$AQ$61&gt;$AO870)),
SUMPRODUCT(INDEX($AR$23:$AT$46,,$AI870), INDEX($AU$23:$BA$46,,$AH870), 1 / ($BC$23:$BC$46*CU870), N($AQ$23:$AQ$46&gt;$AO870))
) / 1000</f>
        <v>0</v>
      </c>
      <c r="CX870" s="230">
        <f t="shared" si="788"/>
        <v>0</v>
      </c>
      <c r="CY870" s="238"/>
    </row>
    <row r="871" spans="1:103" s="76" customFormat="1" ht="14.25" customHeight="1" x14ac:dyDescent="0.2">
      <c r="A871" s="231" t="b">
        <f t="shared" si="792"/>
        <v>0</v>
      </c>
      <c r="B871" s="245">
        <v>849</v>
      </c>
      <c r="C871" s="258"/>
      <c r="D871" s="258"/>
      <c r="E871" s="246"/>
      <c r="F871" s="247" t="str">
        <f>IF(ISBLANK(E871), "", VLOOKUP(E871, Z!$A$2:$C$4127, 3, FALSE))</f>
        <v/>
      </c>
      <c r="G871" s="248"/>
      <c r="H871" s="248"/>
      <c r="I871" s="249"/>
      <c r="J871" s="250"/>
      <c r="K871" s="259"/>
      <c r="L871" s="260"/>
      <c r="M871" s="252" t="str" cm="1">
        <f t="array" ref="M871">INDEX(Trad, 53, $A$20)</f>
        <v>Verschmutzt</v>
      </c>
      <c r="N871" s="253"/>
      <c r="O871" s="253"/>
      <c r="P871" s="254"/>
      <c r="Q871" s="251"/>
      <c r="R871" s="251"/>
      <c r="S871" s="264">
        <f t="shared" si="763"/>
        <v>0</v>
      </c>
      <c r="T871" s="252" t="str" cm="1">
        <f t="array" ref="T871">INDEX(Trad, 52, $A$20)</f>
        <v>Sauber</v>
      </c>
      <c r="U871" s="253"/>
      <c r="V871" s="253"/>
      <c r="W871" s="254"/>
      <c r="X871" s="251"/>
      <c r="Y871" s="251"/>
      <c r="Z871" s="264">
        <f t="shared" si="764"/>
        <v>0</v>
      </c>
      <c r="AA871" s="261"/>
      <c r="AB871" s="258"/>
      <c r="AC871" s="246"/>
      <c r="AD871" s="247" t="str">
        <f>IF(ISBLANK(AC871), "", VLOOKUP(AC871, Z!$A$2:$C$4127, 3, FALSE))</f>
        <v/>
      </c>
      <c r="AE871" s="262"/>
      <c r="AF871" s="263">
        <f t="shared" si="765"/>
        <v>0</v>
      </c>
      <c r="AG871" s="238"/>
      <c r="AH871" s="229">
        <f t="shared" si="789"/>
        <v>1</v>
      </c>
      <c r="AI871" s="229">
        <f t="shared" si="790"/>
        <v>1</v>
      </c>
      <c r="AJ871" s="229">
        <f t="shared" si="791"/>
        <v>0</v>
      </c>
      <c r="AK871" s="229">
        <v>0</v>
      </c>
      <c r="AL871" s="229">
        <v>0</v>
      </c>
      <c r="AM871" s="229">
        <v>1</v>
      </c>
      <c r="AN871" s="229">
        <v>0</v>
      </c>
      <c r="AO871" s="229">
        <f t="shared" si="766"/>
        <v>-100</v>
      </c>
      <c r="AP871" s="238"/>
      <c r="AQ871" s="255"/>
      <c r="AR871" s="255"/>
      <c r="AS871" s="256"/>
      <c r="AT871" s="256"/>
      <c r="AU871" s="256"/>
      <c r="AV871" s="256"/>
      <c r="AW871" s="256"/>
      <c r="AX871" s="256"/>
      <c r="AY871" s="256"/>
      <c r="AZ871" s="256"/>
      <c r="BA871" s="256"/>
      <c r="BB871" s="256"/>
      <c r="BC871" s="256"/>
      <c r="BD871" s="238"/>
      <c r="BE871" s="229" cm="1">
        <f t="array" ref="BE871">IF(ISBLANK(R871), INDEX(Use, $AH871, 4) - AM871*INDEX(Use, $AH871, 6), R871)</f>
        <v>5</v>
      </c>
      <c r="BF871" s="229">
        <f t="shared" si="767"/>
        <v>30</v>
      </c>
      <c r="BG871" s="229">
        <f t="shared" si="793"/>
        <v>13</v>
      </c>
      <c r="BH871" s="229">
        <f t="shared" si="794"/>
        <v>0</v>
      </c>
      <c r="BI871" s="234" cm="1">
        <f t="array" ref="BI871">K871/IF($L871&gt;0, INDEX($AU$23:$BA$77, $L871+20, $AH871), 1)</f>
        <v>0</v>
      </c>
      <c r="BJ871" s="230">
        <f t="shared" si="768"/>
        <v>0</v>
      </c>
      <c r="BK871" s="229">
        <v>35</v>
      </c>
      <c r="BL871" s="230">
        <f t="shared" si="769"/>
        <v>48</v>
      </c>
      <c r="BM871" s="235">
        <f t="shared" si="770"/>
        <v>2.9108720930232557</v>
      </c>
      <c r="BN871" s="235" cm="1">
        <f t="array" ref="BN871">$BI871 * SUMPRODUCT(INDEX($AR$77:$AT$82,,$AI871),INDEX($AU$77:$BA$82,,$AH871), N($AQ$77:$AQ$82&gt;$AO871)) / BM871 / 1000</f>
        <v>0</v>
      </c>
      <c r="BO871" s="232">
        <f t="shared" si="795"/>
        <v>30</v>
      </c>
      <c r="BP871" s="230">
        <f t="shared" si="771"/>
        <v>43</v>
      </c>
      <c r="BQ871" s="235">
        <f t="shared" si="772"/>
        <v>3.2938815789473681</v>
      </c>
      <c r="BR871" s="235" cm="1">
        <f t="array" ref="BR871">$BI871 * IF($AH871&lt;=2,
SUMPRODUCT(INDEX($AR$72:$AT$76,,$AI871), INDEX($AU$72:$BA$76,,$AH871), 1 / ($BB$72:$BB$76*BQ871 + (1-$BB$72:$BB$76)*BM871), N($AQ$72:$AQ$76&gt;$AO871)),
SUMPRODUCT(INDEX($AR$67:$AT$76,,$AI871), INDEX($AU$67:$BA$76,,$AH871), 1 / ($BC$67:$BC$76*BQ871 + (1-$BC$67:$BC$76)*BM871), N($AQ$67:$AQ$76&gt;$AO871))
) / 1000</f>
        <v>0</v>
      </c>
      <c r="BS871" s="232">
        <f t="shared" si="796"/>
        <v>25</v>
      </c>
      <c r="BT871" s="230">
        <f t="shared" si="773"/>
        <v>38</v>
      </c>
      <c r="BU871" s="235">
        <f t="shared" si="774"/>
        <v>3.792954545454545</v>
      </c>
      <c r="BV871" s="235" cm="1">
        <f t="array" ref="BV871">$BI871 * IF($AH871&lt;=2,
SUMPRODUCT(INDEX($AR$67:$AT$71,,$AI871), INDEX($AU$67:$BA$71,,$AH871), 1 / ($BB$67:$BB$71*BU871 + (1-$BB$67:$BB$71)*BQ871), N($AQ$67:$AQ$71&gt;$AO871)),
SUMPRODUCT(INDEX($AR$57:$AT$66,,$AI871), INDEX($AU$57:$BA$66,,$AH871), 1 / ($BC$57:$BC$66*BU871 + (1-$BC$57:$BC$66)*BQ871), N($AQ$57:$AQ$66&gt;$AO871))
) / 1000</f>
        <v>0</v>
      </c>
      <c r="BW871" s="232">
        <f t="shared" si="797"/>
        <v>20</v>
      </c>
      <c r="BX871" s="230">
        <f t="shared" si="775"/>
        <v>33</v>
      </c>
      <c r="BY871" s="235">
        <f t="shared" si="776"/>
        <v>4.4702678571428569</v>
      </c>
      <c r="BZ871" s="235" cm="1">
        <f t="array" ref="BZ871">$BI871 * IF($AH871&lt;=2,
SUMPRODUCT(INDEX($AR$62:$AT$66,,$AI871), INDEX($AU$62:$BA$66,,$AH871), 1 / ($BB$62:$BB$66*BY871 + (1-$BB$62:$BB$66)*BU871), N($AQ$62:$AQ$66&gt;$AO871)),
SUMPRODUCT(INDEX($AR$47:$AT$56,,$AI871), INDEX($AU$47:$BA$56,,$AH871), 1 / ($BC$47:$BC$56*BY871 + (1-$BC$47:$BC$56)*BU871), N($AQ$47:$AQ$56&gt;$AO871))
) / 1000</f>
        <v>0</v>
      </c>
      <c r="CA871" s="235" cm="1">
        <f t="array" ref="CA871">$BI871 * IF($AH871&lt;=2,
SUMPRODUCT(INDEX($AR$23:$AT$61,,$AI871), INDEX($AU$23:$BA$61,,$AH871), 1 / ($BB$23:$BB$61*BY871), N($AQ$23:$AQ$61&gt;$AO871)),
SUMPRODUCT(INDEX($AR$23:$AT$46,,$AI871), INDEX($AU$23:$BA$46,,$AH871), 1 / ($BC$23:$BC$46*BY871), N($AQ$23:$AQ$46&gt;$AO871))
) / 1000</f>
        <v>0</v>
      </c>
      <c r="CB871" s="230">
        <f t="shared" si="777"/>
        <v>0</v>
      </c>
      <c r="CC871" s="238"/>
      <c r="CD871" s="229" cm="1">
        <f t="array" ref="CD871">IF(ISBLANK(Y871), INDEX(Use, $AH871, 4) - AN871*INDEX(Use, $AH871, 6) - (Q871-X871), Y871)</f>
        <v>7</v>
      </c>
      <c r="CE871" s="229">
        <f t="shared" si="778"/>
        <v>32</v>
      </c>
      <c r="CF871" s="230">
        <f t="shared" si="779"/>
        <v>0</v>
      </c>
      <c r="CG871" s="229">
        <v>35</v>
      </c>
      <c r="CH871" s="230">
        <f t="shared" si="780"/>
        <v>48</v>
      </c>
      <c r="CI871" s="235">
        <f t="shared" si="781"/>
        <v>3.0748170731707316</v>
      </c>
      <c r="CJ871" s="235" cm="1">
        <f t="array" ref="CJ871">$BI871 * SUMPRODUCT(INDEX($AR$77:$AT$82,,$AI871),INDEX($AU$77:$BA$82,,$AH871), N($AQ$77:$AQ$82&gt;$AO871)) / CI871 / 1000</f>
        <v>0</v>
      </c>
      <c r="CK871" s="232">
        <f t="shared" si="798"/>
        <v>30</v>
      </c>
      <c r="CL871" s="230">
        <f t="shared" si="782"/>
        <v>43</v>
      </c>
      <c r="CM871" s="235">
        <f t="shared" si="783"/>
        <v>3.5018750000000001</v>
      </c>
      <c r="CN871" s="235" cm="1">
        <f t="array" ref="CN871">$BI871 * IF($AH871&lt;=2,
SUMPRODUCT(INDEX($AR$72:$AT$76,,$AI871), INDEX($AU$72:$BA$76,,$AH871), 1 / ($BB$72:$BB$76*CM871 + (1-$BB$72:$BB$76)*CI871), N($AQ$72:$AQ$76&gt;$AO871)),
SUMPRODUCT(INDEX($AR$67:$AT$76,,$AI871), INDEX($AU$67:$BA$76,,$AH871), 1 / ($BC$67:$BC$76*CM871 + (1-$BC$67:$BC$76)*CI871), N($AQ$67:$AQ$76&gt;$AO871))
) / 1000</f>
        <v>0</v>
      </c>
      <c r="CO871" s="232">
        <f t="shared" si="799"/>
        <v>25</v>
      </c>
      <c r="CP871" s="230">
        <f t="shared" si="784"/>
        <v>38</v>
      </c>
      <c r="CQ871" s="235">
        <f t="shared" si="785"/>
        <v>4.0666935483870965</v>
      </c>
      <c r="CR871" s="235" cm="1">
        <f t="array" ref="CR871">$BI871 * IF($AH871&lt;=2,
SUMPRODUCT(INDEX($AR$67:$AT$71,,$AI871), INDEX($AU$67:$BA$71,,$AH871), 1 / ($BB$67:$BB$71*CQ871 + (1-$BB$67:$BB$71)*CM871), N($AQ$67:$AQ$71&gt;$AO871)),
SUMPRODUCT(INDEX($AR$57:$AT$66,,$AI871), INDEX($AU$57:$BA$66,,$AH871), 1 / ($BC$57:$BC$66*CQ871 + (1-$BC$57:$BC$66)*CM871), N($AQ$57:$AQ$66&gt;$AO871))
) / 1000</f>
        <v>0</v>
      </c>
      <c r="CS871" s="232">
        <f t="shared" si="800"/>
        <v>20</v>
      </c>
      <c r="CT871" s="230">
        <f t="shared" si="786"/>
        <v>33</v>
      </c>
      <c r="CU871" s="235">
        <f t="shared" si="787"/>
        <v>4.8487499999999999</v>
      </c>
      <c r="CV871" s="235" cm="1">
        <f t="array" ref="CV871">$BI871 * IF($AH871&lt;=2,
SUMPRODUCT(INDEX($AR$62:$AT$66,,$AI871), INDEX($AU$62:$BA$66,,$AH871), 1 / ($BB$62:$BB$66*CU871 + (1-$BB$62:$BB$66)*CQ871), N($AQ$62:$AQ$66&gt;$AO871)),
SUMPRODUCT(INDEX($AR$47:$AT$56,,$AI871), INDEX($AU$47:$BA$56,,$AH871), 1 / ($BC$47:$BC$56*CU871 + (1-$BC$47:$BC$56)*CQ871), N($AQ$47:$AQ$56&gt;$AO871))
) / 1000</f>
        <v>0</v>
      </c>
      <c r="CW871" s="235" cm="1">
        <f t="array" ref="CW871">$BI871 * IF($AH871&lt;=2,
SUMPRODUCT(INDEX($AR$23:$AT$61,,$AI871), INDEX($AU$23:$BA$61,,$AH871), 1 / ($BB$23:$BB$61*CU871), N($AQ$23:$AQ$61&gt;$AO871)),
SUMPRODUCT(INDEX($AR$23:$AT$46,,$AI871), INDEX($AU$23:$BA$46,,$AH871), 1 / ($BC$23:$BC$46*CU871), N($AQ$23:$AQ$46&gt;$AO871))
) / 1000</f>
        <v>0</v>
      </c>
      <c r="CX871" s="230">
        <f t="shared" si="788"/>
        <v>0</v>
      </c>
      <c r="CY871" s="238"/>
    </row>
    <row r="872" spans="1:103" s="76" customFormat="1" ht="14.25" customHeight="1" x14ac:dyDescent="0.2">
      <c r="A872" s="231" t="b">
        <f t="shared" si="792"/>
        <v>0</v>
      </c>
      <c r="B872" s="245">
        <v>850</v>
      </c>
      <c r="C872" s="258"/>
      <c r="D872" s="258"/>
      <c r="E872" s="246"/>
      <c r="F872" s="247" t="str">
        <f>IF(ISBLANK(E872), "", VLOOKUP(E872, Z!$A$2:$C$4127, 3, FALSE))</f>
        <v/>
      </c>
      <c r="G872" s="248"/>
      <c r="H872" s="248"/>
      <c r="I872" s="249"/>
      <c r="J872" s="250"/>
      <c r="K872" s="259"/>
      <c r="L872" s="260"/>
      <c r="M872" s="252" t="str" cm="1">
        <f t="array" ref="M872">INDEX(Trad, 53, $A$20)</f>
        <v>Verschmutzt</v>
      </c>
      <c r="N872" s="253"/>
      <c r="O872" s="253"/>
      <c r="P872" s="254"/>
      <c r="Q872" s="251"/>
      <c r="R872" s="251"/>
      <c r="S872" s="264">
        <f t="shared" si="763"/>
        <v>0</v>
      </c>
      <c r="T872" s="252" t="str" cm="1">
        <f t="array" ref="T872">INDEX(Trad, 52, $A$20)</f>
        <v>Sauber</v>
      </c>
      <c r="U872" s="253"/>
      <c r="V872" s="253"/>
      <c r="W872" s="254"/>
      <c r="X872" s="251"/>
      <c r="Y872" s="251"/>
      <c r="Z872" s="264">
        <f t="shared" si="764"/>
        <v>0</v>
      </c>
      <c r="AA872" s="261"/>
      <c r="AB872" s="258"/>
      <c r="AC872" s="246"/>
      <c r="AD872" s="247" t="str">
        <f>IF(ISBLANK(AC872), "", VLOOKUP(AC872, Z!$A$2:$C$4127, 3, FALSE))</f>
        <v/>
      </c>
      <c r="AE872" s="262"/>
      <c r="AF872" s="263">
        <f t="shared" si="765"/>
        <v>0</v>
      </c>
      <c r="AG872" s="238"/>
      <c r="AH872" s="229">
        <f t="shared" si="789"/>
        <v>1</v>
      </c>
      <c r="AI872" s="229">
        <f t="shared" si="790"/>
        <v>1</v>
      </c>
      <c r="AJ872" s="229">
        <f t="shared" si="791"/>
        <v>0</v>
      </c>
      <c r="AK872" s="229">
        <v>0</v>
      </c>
      <c r="AL872" s="229">
        <v>0</v>
      </c>
      <c r="AM872" s="229">
        <v>1</v>
      </c>
      <c r="AN872" s="229">
        <v>0</v>
      </c>
      <c r="AO872" s="229">
        <f t="shared" si="766"/>
        <v>-100</v>
      </c>
      <c r="AP872" s="238"/>
      <c r="AQ872" s="255"/>
      <c r="AR872" s="255"/>
      <c r="AS872" s="256"/>
      <c r="AT872" s="256"/>
      <c r="AU872" s="256"/>
      <c r="AV872" s="256"/>
      <c r="AW872" s="256"/>
      <c r="AX872" s="256"/>
      <c r="AY872" s="256"/>
      <c r="AZ872" s="256"/>
      <c r="BA872" s="256"/>
      <c r="BB872" s="256"/>
      <c r="BC872" s="256"/>
      <c r="BD872" s="238"/>
      <c r="BE872" s="229" cm="1">
        <f t="array" ref="BE872">IF(ISBLANK(R872), INDEX(Use, $AH872, 4) - AM872*INDEX(Use, $AH872, 6), R872)</f>
        <v>5</v>
      </c>
      <c r="BF872" s="229">
        <f t="shared" si="767"/>
        <v>30</v>
      </c>
      <c r="BG872" s="229">
        <f t="shared" si="793"/>
        <v>13</v>
      </c>
      <c r="BH872" s="229">
        <f t="shared" si="794"/>
        <v>0</v>
      </c>
      <c r="BI872" s="234" cm="1">
        <f t="array" ref="BI872">K872/IF($L872&gt;0, INDEX($AU$23:$BA$77, $L872+20, $AH872), 1)</f>
        <v>0</v>
      </c>
      <c r="BJ872" s="230">
        <f t="shared" si="768"/>
        <v>0</v>
      </c>
      <c r="BK872" s="229">
        <v>35</v>
      </c>
      <c r="BL872" s="230">
        <f t="shared" si="769"/>
        <v>48</v>
      </c>
      <c r="BM872" s="235">
        <f t="shared" si="770"/>
        <v>2.9108720930232557</v>
      </c>
      <c r="BN872" s="235" cm="1">
        <f t="array" ref="BN872">$BI872 * SUMPRODUCT(INDEX($AR$77:$AT$82,,$AI872),INDEX($AU$77:$BA$82,,$AH872), N($AQ$77:$AQ$82&gt;$AO872)) / BM872 / 1000</f>
        <v>0</v>
      </c>
      <c r="BO872" s="232">
        <f t="shared" si="795"/>
        <v>30</v>
      </c>
      <c r="BP872" s="230">
        <f t="shared" si="771"/>
        <v>43</v>
      </c>
      <c r="BQ872" s="235">
        <f t="shared" si="772"/>
        <v>3.2938815789473681</v>
      </c>
      <c r="BR872" s="235" cm="1">
        <f t="array" ref="BR872">$BI872 * IF($AH872&lt;=2,
SUMPRODUCT(INDEX($AR$72:$AT$76,,$AI872), INDEX($AU$72:$BA$76,,$AH872), 1 / ($BB$72:$BB$76*BQ872 + (1-$BB$72:$BB$76)*BM872), N($AQ$72:$AQ$76&gt;$AO872)),
SUMPRODUCT(INDEX($AR$67:$AT$76,,$AI872), INDEX($AU$67:$BA$76,,$AH872), 1 / ($BC$67:$BC$76*BQ872 + (1-$BC$67:$BC$76)*BM872), N($AQ$67:$AQ$76&gt;$AO872))
) / 1000</f>
        <v>0</v>
      </c>
      <c r="BS872" s="232">
        <f t="shared" si="796"/>
        <v>25</v>
      </c>
      <c r="BT872" s="230">
        <f t="shared" si="773"/>
        <v>38</v>
      </c>
      <c r="BU872" s="235">
        <f t="shared" si="774"/>
        <v>3.792954545454545</v>
      </c>
      <c r="BV872" s="235" cm="1">
        <f t="array" ref="BV872">$BI872 * IF($AH872&lt;=2,
SUMPRODUCT(INDEX($AR$67:$AT$71,,$AI872), INDEX($AU$67:$BA$71,,$AH872), 1 / ($BB$67:$BB$71*BU872 + (1-$BB$67:$BB$71)*BQ872), N($AQ$67:$AQ$71&gt;$AO872)),
SUMPRODUCT(INDEX($AR$57:$AT$66,,$AI872), INDEX($AU$57:$BA$66,,$AH872), 1 / ($BC$57:$BC$66*BU872 + (1-$BC$57:$BC$66)*BQ872), N($AQ$57:$AQ$66&gt;$AO872))
) / 1000</f>
        <v>0</v>
      </c>
      <c r="BW872" s="232">
        <f t="shared" si="797"/>
        <v>20</v>
      </c>
      <c r="BX872" s="230">
        <f t="shared" si="775"/>
        <v>33</v>
      </c>
      <c r="BY872" s="235">
        <f t="shared" si="776"/>
        <v>4.4702678571428569</v>
      </c>
      <c r="BZ872" s="235" cm="1">
        <f t="array" ref="BZ872">$BI872 * IF($AH872&lt;=2,
SUMPRODUCT(INDEX($AR$62:$AT$66,,$AI872), INDEX($AU$62:$BA$66,,$AH872), 1 / ($BB$62:$BB$66*BY872 + (1-$BB$62:$BB$66)*BU872), N($AQ$62:$AQ$66&gt;$AO872)),
SUMPRODUCT(INDEX($AR$47:$AT$56,,$AI872), INDEX($AU$47:$BA$56,,$AH872), 1 / ($BC$47:$BC$56*BY872 + (1-$BC$47:$BC$56)*BU872), N($AQ$47:$AQ$56&gt;$AO872))
) / 1000</f>
        <v>0</v>
      </c>
      <c r="CA872" s="235" cm="1">
        <f t="array" ref="CA872">$BI872 * IF($AH872&lt;=2,
SUMPRODUCT(INDEX($AR$23:$AT$61,,$AI872), INDEX($AU$23:$BA$61,,$AH872), 1 / ($BB$23:$BB$61*BY872), N($AQ$23:$AQ$61&gt;$AO872)),
SUMPRODUCT(INDEX($AR$23:$AT$46,,$AI872), INDEX($AU$23:$BA$46,,$AH872), 1 / ($BC$23:$BC$46*BY872), N($AQ$23:$AQ$46&gt;$AO872))
) / 1000</f>
        <v>0</v>
      </c>
      <c r="CB872" s="230">
        <f t="shared" si="777"/>
        <v>0</v>
      </c>
      <c r="CC872" s="238"/>
      <c r="CD872" s="229" cm="1">
        <f t="array" ref="CD872">IF(ISBLANK(Y872), INDEX(Use, $AH872, 4) - AN872*INDEX(Use, $AH872, 6) - (Q872-X872), Y872)</f>
        <v>7</v>
      </c>
      <c r="CE872" s="229">
        <f t="shared" si="778"/>
        <v>32</v>
      </c>
      <c r="CF872" s="230">
        <f t="shared" si="779"/>
        <v>0</v>
      </c>
      <c r="CG872" s="229">
        <v>35</v>
      </c>
      <c r="CH872" s="230">
        <f t="shared" si="780"/>
        <v>48</v>
      </c>
      <c r="CI872" s="235">
        <f t="shared" si="781"/>
        <v>3.0748170731707316</v>
      </c>
      <c r="CJ872" s="235" cm="1">
        <f t="array" ref="CJ872">$BI872 * SUMPRODUCT(INDEX($AR$77:$AT$82,,$AI872),INDEX($AU$77:$BA$82,,$AH872), N($AQ$77:$AQ$82&gt;$AO872)) / CI872 / 1000</f>
        <v>0</v>
      </c>
      <c r="CK872" s="232">
        <f t="shared" si="798"/>
        <v>30</v>
      </c>
      <c r="CL872" s="230">
        <f t="shared" si="782"/>
        <v>43</v>
      </c>
      <c r="CM872" s="235">
        <f t="shared" si="783"/>
        <v>3.5018750000000001</v>
      </c>
      <c r="CN872" s="235" cm="1">
        <f t="array" ref="CN872">$BI872 * IF($AH872&lt;=2,
SUMPRODUCT(INDEX($AR$72:$AT$76,,$AI872), INDEX($AU$72:$BA$76,,$AH872), 1 / ($BB$72:$BB$76*CM872 + (1-$BB$72:$BB$76)*CI872), N($AQ$72:$AQ$76&gt;$AO872)),
SUMPRODUCT(INDEX($AR$67:$AT$76,,$AI872), INDEX($AU$67:$BA$76,,$AH872), 1 / ($BC$67:$BC$76*CM872 + (1-$BC$67:$BC$76)*CI872), N($AQ$67:$AQ$76&gt;$AO872))
) / 1000</f>
        <v>0</v>
      </c>
      <c r="CO872" s="232">
        <f t="shared" si="799"/>
        <v>25</v>
      </c>
      <c r="CP872" s="230">
        <f t="shared" si="784"/>
        <v>38</v>
      </c>
      <c r="CQ872" s="235">
        <f t="shared" si="785"/>
        <v>4.0666935483870965</v>
      </c>
      <c r="CR872" s="235" cm="1">
        <f t="array" ref="CR872">$BI872 * IF($AH872&lt;=2,
SUMPRODUCT(INDEX($AR$67:$AT$71,,$AI872), INDEX($AU$67:$BA$71,,$AH872), 1 / ($BB$67:$BB$71*CQ872 + (1-$BB$67:$BB$71)*CM872), N($AQ$67:$AQ$71&gt;$AO872)),
SUMPRODUCT(INDEX($AR$57:$AT$66,,$AI872), INDEX($AU$57:$BA$66,,$AH872), 1 / ($BC$57:$BC$66*CQ872 + (1-$BC$57:$BC$66)*CM872), N($AQ$57:$AQ$66&gt;$AO872))
) / 1000</f>
        <v>0</v>
      </c>
      <c r="CS872" s="232">
        <f t="shared" si="800"/>
        <v>20</v>
      </c>
      <c r="CT872" s="230">
        <f t="shared" si="786"/>
        <v>33</v>
      </c>
      <c r="CU872" s="235">
        <f t="shared" si="787"/>
        <v>4.8487499999999999</v>
      </c>
      <c r="CV872" s="235" cm="1">
        <f t="array" ref="CV872">$BI872 * IF($AH872&lt;=2,
SUMPRODUCT(INDEX($AR$62:$AT$66,,$AI872), INDEX($AU$62:$BA$66,,$AH872), 1 / ($BB$62:$BB$66*CU872 + (1-$BB$62:$BB$66)*CQ872), N($AQ$62:$AQ$66&gt;$AO872)),
SUMPRODUCT(INDEX($AR$47:$AT$56,,$AI872), INDEX($AU$47:$BA$56,,$AH872), 1 / ($BC$47:$BC$56*CU872 + (1-$BC$47:$BC$56)*CQ872), N($AQ$47:$AQ$56&gt;$AO872))
) / 1000</f>
        <v>0</v>
      </c>
      <c r="CW872" s="235" cm="1">
        <f t="array" ref="CW872">$BI872 * IF($AH872&lt;=2,
SUMPRODUCT(INDEX($AR$23:$AT$61,,$AI872), INDEX($AU$23:$BA$61,,$AH872), 1 / ($BB$23:$BB$61*CU872), N($AQ$23:$AQ$61&gt;$AO872)),
SUMPRODUCT(INDEX($AR$23:$AT$46,,$AI872), INDEX($AU$23:$BA$46,,$AH872), 1 / ($BC$23:$BC$46*CU872), N($AQ$23:$AQ$46&gt;$AO872))
) / 1000</f>
        <v>0</v>
      </c>
      <c r="CX872" s="230">
        <f t="shared" si="788"/>
        <v>0</v>
      </c>
      <c r="CY872" s="238"/>
    </row>
    <row r="873" spans="1:103" s="76" customFormat="1" ht="14.25" customHeight="1" x14ac:dyDescent="0.2">
      <c r="A873" s="231" t="b">
        <f t="shared" si="792"/>
        <v>0</v>
      </c>
      <c r="B873" s="245">
        <v>851</v>
      </c>
      <c r="C873" s="258"/>
      <c r="D873" s="258"/>
      <c r="E873" s="246"/>
      <c r="F873" s="247" t="str">
        <f>IF(ISBLANK(E873), "", VLOOKUP(E873, Z!$A$2:$C$4127, 3, FALSE))</f>
        <v/>
      </c>
      <c r="G873" s="248"/>
      <c r="H873" s="248"/>
      <c r="I873" s="249"/>
      <c r="J873" s="250"/>
      <c r="K873" s="259"/>
      <c r="L873" s="260"/>
      <c r="M873" s="252" t="str" cm="1">
        <f t="array" ref="M873">INDEX(Trad, 53, $A$20)</f>
        <v>Verschmutzt</v>
      </c>
      <c r="N873" s="253"/>
      <c r="O873" s="253"/>
      <c r="P873" s="254"/>
      <c r="Q873" s="251"/>
      <c r="R873" s="251"/>
      <c r="S873" s="264">
        <f t="shared" si="763"/>
        <v>0</v>
      </c>
      <c r="T873" s="252" t="str" cm="1">
        <f t="array" ref="T873">INDEX(Trad, 52, $A$20)</f>
        <v>Sauber</v>
      </c>
      <c r="U873" s="253"/>
      <c r="V873" s="253"/>
      <c r="W873" s="254"/>
      <c r="X873" s="251"/>
      <c r="Y873" s="251"/>
      <c r="Z873" s="264">
        <f t="shared" si="764"/>
        <v>0</v>
      </c>
      <c r="AA873" s="261"/>
      <c r="AB873" s="258"/>
      <c r="AC873" s="246"/>
      <c r="AD873" s="247" t="str">
        <f>IF(ISBLANK(AC873), "", VLOOKUP(AC873, Z!$A$2:$C$4127, 3, FALSE))</f>
        <v/>
      </c>
      <c r="AE873" s="262"/>
      <c r="AF873" s="263">
        <f t="shared" si="765"/>
        <v>0</v>
      </c>
      <c r="AG873" s="238"/>
      <c r="AH873" s="229">
        <f t="shared" si="789"/>
        <v>1</v>
      </c>
      <c r="AI873" s="229">
        <f t="shared" si="790"/>
        <v>1</v>
      </c>
      <c r="AJ873" s="229">
        <f t="shared" si="791"/>
        <v>0</v>
      </c>
      <c r="AK873" s="229">
        <v>0</v>
      </c>
      <c r="AL873" s="229">
        <v>0</v>
      </c>
      <c r="AM873" s="229">
        <v>1</v>
      </c>
      <c r="AN873" s="229">
        <v>0</v>
      </c>
      <c r="AO873" s="229">
        <f t="shared" si="766"/>
        <v>-100</v>
      </c>
      <c r="AP873" s="238"/>
      <c r="AQ873" s="255"/>
      <c r="AR873" s="255"/>
      <c r="AS873" s="256"/>
      <c r="AT873" s="256"/>
      <c r="AU873" s="256"/>
      <c r="AV873" s="256"/>
      <c r="AW873" s="256"/>
      <c r="AX873" s="256"/>
      <c r="AY873" s="256"/>
      <c r="AZ873" s="256"/>
      <c r="BA873" s="256"/>
      <c r="BB873" s="256"/>
      <c r="BC873" s="256"/>
      <c r="BD873" s="238"/>
      <c r="BE873" s="229" cm="1">
        <f t="array" ref="BE873">IF(ISBLANK(R873), INDEX(Use, $AH873, 4) - AM873*INDEX(Use, $AH873, 6), R873)</f>
        <v>5</v>
      </c>
      <c r="BF873" s="229">
        <f t="shared" si="767"/>
        <v>30</v>
      </c>
      <c r="BG873" s="229">
        <f t="shared" si="793"/>
        <v>13</v>
      </c>
      <c r="BH873" s="229">
        <f t="shared" si="794"/>
        <v>0</v>
      </c>
      <c r="BI873" s="234" cm="1">
        <f t="array" ref="BI873">K873/IF($L873&gt;0, INDEX($AU$23:$BA$77, $L873+20, $AH873), 1)</f>
        <v>0</v>
      </c>
      <c r="BJ873" s="230">
        <f t="shared" si="768"/>
        <v>0</v>
      </c>
      <c r="BK873" s="229">
        <v>35</v>
      </c>
      <c r="BL873" s="230">
        <f t="shared" si="769"/>
        <v>48</v>
      </c>
      <c r="BM873" s="235">
        <f t="shared" si="770"/>
        <v>2.9108720930232557</v>
      </c>
      <c r="BN873" s="235" cm="1">
        <f t="array" ref="BN873">$BI873 * SUMPRODUCT(INDEX($AR$77:$AT$82,,$AI873),INDEX($AU$77:$BA$82,,$AH873), N($AQ$77:$AQ$82&gt;$AO873)) / BM873 / 1000</f>
        <v>0</v>
      </c>
      <c r="BO873" s="232">
        <f t="shared" si="795"/>
        <v>30</v>
      </c>
      <c r="BP873" s="230">
        <f t="shared" si="771"/>
        <v>43</v>
      </c>
      <c r="BQ873" s="235">
        <f t="shared" si="772"/>
        <v>3.2938815789473681</v>
      </c>
      <c r="BR873" s="235" cm="1">
        <f t="array" ref="BR873">$BI873 * IF($AH873&lt;=2,
SUMPRODUCT(INDEX($AR$72:$AT$76,,$AI873), INDEX($AU$72:$BA$76,,$AH873), 1 / ($BB$72:$BB$76*BQ873 + (1-$BB$72:$BB$76)*BM873), N($AQ$72:$AQ$76&gt;$AO873)),
SUMPRODUCT(INDEX($AR$67:$AT$76,,$AI873), INDEX($AU$67:$BA$76,,$AH873), 1 / ($BC$67:$BC$76*BQ873 + (1-$BC$67:$BC$76)*BM873), N($AQ$67:$AQ$76&gt;$AO873))
) / 1000</f>
        <v>0</v>
      </c>
      <c r="BS873" s="232">
        <f t="shared" si="796"/>
        <v>25</v>
      </c>
      <c r="BT873" s="230">
        <f t="shared" si="773"/>
        <v>38</v>
      </c>
      <c r="BU873" s="235">
        <f t="shared" si="774"/>
        <v>3.792954545454545</v>
      </c>
      <c r="BV873" s="235" cm="1">
        <f t="array" ref="BV873">$BI873 * IF($AH873&lt;=2,
SUMPRODUCT(INDEX($AR$67:$AT$71,,$AI873), INDEX($AU$67:$BA$71,,$AH873), 1 / ($BB$67:$BB$71*BU873 + (1-$BB$67:$BB$71)*BQ873), N($AQ$67:$AQ$71&gt;$AO873)),
SUMPRODUCT(INDEX($AR$57:$AT$66,,$AI873), INDEX($AU$57:$BA$66,,$AH873), 1 / ($BC$57:$BC$66*BU873 + (1-$BC$57:$BC$66)*BQ873), N($AQ$57:$AQ$66&gt;$AO873))
) / 1000</f>
        <v>0</v>
      </c>
      <c r="BW873" s="232">
        <f t="shared" si="797"/>
        <v>20</v>
      </c>
      <c r="BX873" s="230">
        <f t="shared" si="775"/>
        <v>33</v>
      </c>
      <c r="BY873" s="235">
        <f t="shared" si="776"/>
        <v>4.4702678571428569</v>
      </c>
      <c r="BZ873" s="235" cm="1">
        <f t="array" ref="BZ873">$BI873 * IF($AH873&lt;=2,
SUMPRODUCT(INDEX($AR$62:$AT$66,,$AI873), INDEX($AU$62:$BA$66,,$AH873), 1 / ($BB$62:$BB$66*BY873 + (1-$BB$62:$BB$66)*BU873), N($AQ$62:$AQ$66&gt;$AO873)),
SUMPRODUCT(INDEX($AR$47:$AT$56,,$AI873), INDEX($AU$47:$BA$56,,$AH873), 1 / ($BC$47:$BC$56*BY873 + (1-$BC$47:$BC$56)*BU873), N($AQ$47:$AQ$56&gt;$AO873))
) / 1000</f>
        <v>0</v>
      </c>
      <c r="CA873" s="235" cm="1">
        <f t="array" ref="CA873">$BI873 * IF($AH873&lt;=2,
SUMPRODUCT(INDEX($AR$23:$AT$61,,$AI873), INDEX($AU$23:$BA$61,,$AH873), 1 / ($BB$23:$BB$61*BY873), N($AQ$23:$AQ$61&gt;$AO873)),
SUMPRODUCT(INDEX($AR$23:$AT$46,,$AI873), INDEX($AU$23:$BA$46,,$AH873), 1 / ($BC$23:$BC$46*BY873), N($AQ$23:$AQ$46&gt;$AO873))
) / 1000</f>
        <v>0</v>
      </c>
      <c r="CB873" s="230">
        <f t="shared" si="777"/>
        <v>0</v>
      </c>
      <c r="CC873" s="238"/>
      <c r="CD873" s="229" cm="1">
        <f t="array" ref="CD873">IF(ISBLANK(Y873), INDEX(Use, $AH873, 4) - AN873*INDEX(Use, $AH873, 6) - (Q873-X873), Y873)</f>
        <v>7</v>
      </c>
      <c r="CE873" s="229">
        <f t="shared" si="778"/>
        <v>32</v>
      </c>
      <c r="CF873" s="230">
        <f t="shared" si="779"/>
        <v>0</v>
      </c>
      <c r="CG873" s="229">
        <v>35</v>
      </c>
      <c r="CH873" s="230">
        <f t="shared" si="780"/>
        <v>48</v>
      </c>
      <c r="CI873" s="235">
        <f t="shared" si="781"/>
        <v>3.0748170731707316</v>
      </c>
      <c r="CJ873" s="235" cm="1">
        <f t="array" ref="CJ873">$BI873 * SUMPRODUCT(INDEX($AR$77:$AT$82,,$AI873),INDEX($AU$77:$BA$82,,$AH873), N($AQ$77:$AQ$82&gt;$AO873)) / CI873 / 1000</f>
        <v>0</v>
      </c>
      <c r="CK873" s="232">
        <f t="shared" si="798"/>
        <v>30</v>
      </c>
      <c r="CL873" s="230">
        <f t="shared" si="782"/>
        <v>43</v>
      </c>
      <c r="CM873" s="235">
        <f t="shared" si="783"/>
        <v>3.5018750000000001</v>
      </c>
      <c r="CN873" s="235" cm="1">
        <f t="array" ref="CN873">$BI873 * IF($AH873&lt;=2,
SUMPRODUCT(INDEX($AR$72:$AT$76,,$AI873), INDEX($AU$72:$BA$76,,$AH873), 1 / ($BB$72:$BB$76*CM873 + (1-$BB$72:$BB$76)*CI873), N($AQ$72:$AQ$76&gt;$AO873)),
SUMPRODUCT(INDEX($AR$67:$AT$76,,$AI873), INDEX($AU$67:$BA$76,,$AH873), 1 / ($BC$67:$BC$76*CM873 + (1-$BC$67:$BC$76)*CI873), N($AQ$67:$AQ$76&gt;$AO873))
) / 1000</f>
        <v>0</v>
      </c>
      <c r="CO873" s="232">
        <f t="shared" si="799"/>
        <v>25</v>
      </c>
      <c r="CP873" s="230">
        <f t="shared" si="784"/>
        <v>38</v>
      </c>
      <c r="CQ873" s="235">
        <f t="shared" si="785"/>
        <v>4.0666935483870965</v>
      </c>
      <c r="CR873" s="235" cm="1">
        <f t="array" ref="CR873">$BI873 * IF($AH873&lt;=2,
SUMPRODUCT(INDEX($AR$67:$AT$71,,$AI873), INDEX($AU$67:$BA$71,,$AH873), 1 / ($BB$67:$BB$71*CQ873 + (1-$BB$67:$BB$71)*CM873), N($AQ$67:$AQ$71&gt;$AO873)),
SUMPRODUCT(INDEX($AR$57:$AT$66,,$AI873), INDEX($AU$57:$BA$66,,$AH873), 1 / ($BC$57:$BC$66*CQ873 + (1-$BC$57:$BC$66)*CM873), N($AQ$57:$AQ$66&gt;$AO873))
) / 1000</f>
        <v>0</v>
      </c>
      <c r="CS873" s="232">
        <f t="shared" si="800"/>
        <v>20</v>
      </c>
      <c r="CT873" s="230">
        <f t="shared" si="786"/>
        <v>33</v>
      </c>
      <c r="CU873" s="235">
        <f t="shared" si="787"/>
        <v>4.8487499999999999</v>
      </c>
      <c r="CV873" s="235" cm="1">
        <f t="array" ref="CV873">$BI873 * IF($AH873&lt;=2,
SUMPRODUCT(INDEX($AR$62:$AT$66,,$AI873), INDEX($AU$62:$BA$66,,$AH873), 1 / ($BB$62:$BB$66*CU873 + (1-$BB$62:$BB$66)*CQ873), N($AQ$62:$AQ$66&gt;$AO873)),
SUMPRODUCT(INDEX($AR$47:$AT$56,,$AI873), INDEX($AU$47:$BA$56,,$AH873), 1 / ($BC$47:$BC$56*CU873 + (1-$BC$47:$BC$56)*CQ873), N($AQ$47:$AQ$56&gt;$AO873))
) / 1000</f>
        <v>0</v>
      </c>
      <c r="CW873" s="235" cm="1">
        <f t="array" ref="CW873">$BI873 * IF($AH873&lt;=2,
SUMPRODUCT(INDEX($AR$23:$AT$61,,$AI873), INDEX($AU$23:$BA$61,,$AH873), 1 / ($BB$23:$BB$61*CU873), N($AQ$23:$AQ$61&gt;$AO873)),
SUMPRODUCT(INDEX($AR$23:$AT$46,,$AI873), INDEX($AU$23:$BA$46,,$AH873), 1 / ($BC$23:$BC$46*CU873), N($AQ$23:$AQ$46&gt;$AO873))
) / 1000</f>
        <v>0</v>
      </c>
      <c r="CX873" s="230">
        <f t="shared" si="788"/>
        <v>0</v>
      </c>
      <c r="CY873" s="238"/>
    </row>
    <row r="874" spans="1:103" s="76" customFormat="1" ht="14.25" customHeight="1" x14ac:dyDescent="0.2">
      <c r="A874" s="231" t="b">
        <f t="shared" si="792"/>
        <v>0</v>
      </c>
      <c r="B874" s="245">
        <v>852</v>
      </c>
      <c r="C874" s="258"/>
      <c r="D874" s="258"/>
      <c r="E874" s="246"/>
      <c r="F874" s="247" t="str">
        <f>IF(ISBLANK(E874), "", VLOOKUP(E874, Z!$A$2:$C$4127, 3, FALSE))</f>
        <v/>
      </c>
      <c r="G874" s="248"/>
      <c r="H874" s="248"/>
      <c r="I874" s="249"/>
      <c r="J874" s="250"/>
      <c r="K874" s="259"/>
      <c r="L874" s="260"/>
      <c r="M874" s="252" t="str" cm="1">
        <f t="array" ref="M874">INDEX(Trad, 53, $A$20)</f>
        <v>Verschmutzt</v>
      </c>
      <c r="N874" s="253"/>
      <c r="O874" s="253"/>
      <c r="P874" s="254"/>
      <c r="Q874" s="251"/>
      <c r="R874" s="251"/>
      <c r="S874" s="264">
        <f t="shared" si="763"/>
        <v>0</v>
      </c>
      <c r="T874" s="252" t="str" cm="1">
        <f t="array" ref="T874">INDEX(Trad, 52, $A$20)</f>
        <v>Sauber</v>
      </c>
      <c r="U874" s="253"/>
      <c r="V874" s="253"/>
      <c r="W874" s="254"/>
      <c r="X874" s="251"/>
      <c r="Y874" s="251"/>
      <c r="Z874" s="264">
        <f t="shared" si="764"/>
        <v>0</v>
      </c>
      <c r="AA874" s="261"/>
      <c r="AB874" s="258"/>
      <c r="AC874" s="246"/>
      <c r="AD874" s="247" t="str">
        <f>IF(ISBLANK(AC874), "", VLOOKUP(AC874, Z!$A$2:$C$4127, 3, FALSE))</f>
        <v/>
      </c>
      <c r="AE874" s="262"/>
      <c r="AF874" s="263">
        <f t="shared" si="765"/>
        <v>0</v>
      </c>
      <c r="AG874" s="238"/>
      <c r="AH874" s="229">
        <f t="shared" si="789"/>
        <v>1</v>
      </c>
      <c r="AI874" s="229">
        <f t="shared" si="790"/>
        <v>1</v>
      </c>
      <c r="AJ874" s="229">
        <f t="shared" si="791"/>
        <v>0</v>
      </c>
      <c r="AK874" s="229">
        <v>0</v>
      </c>
      <c r="AL874" s="229">
        <v>0</v>
      </c>
      <c r="AM874" s="229">
        <v>1</v>
      </c>
      <c r="AN874" s="229">
        <v>0</v>
      </c>
      <c r="AO874" s="229">
        <f t="shared" si="766"/>
        <v>-100</v>
      </c>
      <c r="AP874" s="238"/>
      <c r="AQ874" s="255"/>
      <c r="AR874" s="255"/>
      <c r="AS874" s="256"/>
      <c r="AT874" s="256"/>
      <c r="AU874" s="256"/>
      <c r="AV874" s="256"/>
      <c r="AW874" s="256"/>
      <c r="AX874" s="256"/>
      <c r="AY874" s="256"/>
      <c r="AZ874" s="256"/>
      <c r="BA874" s="256"/>
      <c r="BB874" s="256"/>
      <c r="BC874" s="256"/>
      <c r="BD874" s="238"/>
      <c r="BE874" s="229" cm="1">
        <f t="array" ref="BE874">IF(ISBLANK(R874), INDEX(Use, $AH874, 4) - AM874*INDEX(Use, $AH874, 6), R874)</f>
        <v>5</v>
      </c>
      <c r="BF874" s="229">
        <f t="shared" si="767"/>
        <v>30</v>
      </c>
      <c r="BG874" s="229">
        <f t="shared" si="793"/>
        <v>13</v>
      </c>
      <c r="BH874" s="229">
        <f t="shared" si="794"/>
        <v>0</v>
      </c>
      <c r="BI874" s="234" cm="1">
        <f t="array" ref="BI874">K874/IF($L874&gt;0, INDEX($AU$23:$BA$77, $L874+20, $AH874), 1)</f>
        <v>0</v>
      </c>
      <c r="BJ874" s="230">
        <f t="shared" si="768"/>
        <v>0</v>
      </c>
      <c r="BK874" s="229">
        <v>35</v>
      </c>
      <c r="BL874" s="230">
        <f t="shared" si="769"/>
        <v>48</v>
      </c>
      <c r="BM874" s="235">
        <f t="shared" si="770"/>
        <v>2.9108720930232557</v>
      </c>
      <c r="BN874" s="235" cm="1">
        <f t="array" ref="BN874">$BI874 * SUMPRODUCT(INDEX($AR$77:$AT$82,,$AI874),INDEX($AU$77:$BA$82,,$AH874), N($AQ$77:$AQ$82&gt;$AO874)) / BM874 / 1000</f>
        <v>0</v>
      </c>
      <c r="BO874" s="232">
        <f t="shared" si="795"/>
        <v>30</v>
      </c>
      <c r="BP874" s="230">
        <f t="shared" si="771"/>
        <v>43</v>
      </c>
      <c r="BQ874" s="235">
        <f t="shared" si="772"/>
        <v>3.2938815789473681</v>
      </c>
      <c r="BR874" s="235" cm="1">
        <f t="array" ref="BR874">$BI874 * IF($AH874&lt;=2,
SUMPRODUCT(INDEX($AR$72:$AT$76,,$AI874), INDEX($AU$72:$BA$76,,$AH874), 1 / ($BB$72:$BB$76*BQ874 + (1-$BB$72:$BB$76)*BM874), N($AQ$72:$AQ$76&gt;$AO874)),
SUMPRODUCT(INDEX($AR$67:$AT$76,,$AI874), INDEX($AU$67:$BA$76,,$AH874), 1 / ($BC$67:$BC$76*BQ874 + (1-$BC$67:$BC$76)*BM874), N($AQ$67:$AQ$76&gt;$AO874))
) / 1000</f>
        <v>0</v>
      </c>
      <c r="BS874" s="232">
        <f t="shared" si="796"/>
        <v>25</v>
      </c>
      <c r="BT874" s="230">
        <f t="shared" si="773"/>
        <v>38</v>
      </c>
      <c r="BU874" s="235">
        <f t="shared" si="774"/>
        <v>3.792954545454545</v>
      </c>
      <c r="BV874" s="235" cm="1">
        <f t="array" ref="BV874">$BI874 * IF($AH874&lt;=2,
SUMPRODUCT(INDEX($AR$67:$AT$71,,$AI874), INDEX($AU$67:$BA$71,,$AH874), 1 / ($BB$67:$BB$71*BU874 + (1-$BB$67:$BB$71)*BQ874), N($AQ$67:$AQ$71&gt;$AO874)),
SUMPRODUCT(INDEX($AR$57:$AT$66,,$AI874), INDEX($AU$57:$BA$66,,$AH874), 1 / ($BC$57:$BC$66*BU874 + (1-$BC$57:$BC$66)*BQ874), N($AQ$57:$AQ$66&gt;$AO874))
) / 1000</f>
        <v>0</v>
      </c>
      <c r="BW874" s="232">
        <f t="shared" si="797"/>
        <v>20</v>
      </c>
      <c r="BX874" s="230">
        <f t="shared" si="775"/>
        <v>33</v>
      </c>
      <c r="BY874" s="235">
        <f t="shared" si="776"/>
        <v>4.4702678571428569</v>
      </c>
      <c r="BZ874" s="235" cm="1">
        <f t="array" ref="BZ874">$BI874 * IF($AH874&lt;=2,
SUMPRODUCT(INDEX($AR$62:$AT$66,,$AI874), INDEX($AU$62:$BA$66,,$AH874), 1 / ($BB$62:$BB$66*BY874 + (1-$BB$62:$BB$66)*BU874), N($AQ$62:$AQ$66&gt;$AO874)),
SUMPRODUCT(INDEX($AR$47:$AT$56,,$AI874), INDEX($AU$47:$BA$56,,$AH874), 1 / ($BC$47:$BC$56*BY874 + (1-$BC$47:$BC$56)*BU874), N($AQ$47:$AQ$56&gt;$AO874))
) / 1000</f>
        <v>0</v>
      </c>
      <c r="CA874" s="235" cm="1">
        <f t="array" ref="CA874">$BI874 * IF($AH874&lt;=2,
SUMPRODUCT(INDEX($AR$23:$AT$61,,$AI874), INDEX($AU$23:$BA$61,,$AH874), 1 / ($BB$23:$BB$61*BY874), N($AQ$23:$AQ$61&gt;$AO874)),
SUMPRODUCT(INDEX($AR$23:$AT$46,,$AI874), INDEX($AU$23:$BA$46,,$AH874), 1 / ($BC$23:$BC$46*BY874), N($AQ$23:$AQ$46&gt;$AO874))
) / 1000</f>
        <v>0</v>
      </c>
      <c r="CB874" s="230">
        <f t="shared" si="777"/>
        <v>0</v>
      </c>
      <c r="CC874" s="238"/>
      <c r="CD874" s="229" cm="1">
        <f t="array" ref="CD874">IF(ISBLANK(Y874), INDEX(Use, $AH874, 4) - AN874*INDEX(Use, $AH874, 6) - (Q874-X874), Y874)</f>
        <v>7</v>
      </c>
      <c r="CE874" s="229">
        <f t="shared" si="778"/>
        <v>32</v>
      </c>
      <c r="CF874" s="230">
        <f t="shared" si="779"/>
        <v>0</v>
      </c>
      <c r="CG874" s="229">
        <v>35</v>
      </c>
      <c r="CH874" s="230">
        <f t="shared" si="780"/>
        <v>48</v>
      </c>
      <c r="CI874" s="235">
        <f t="shared" si="781"/>
        <v>3.0748170731707316</v>
      </c>
      <c r="CJ874" s="235" cm="1">
        <f t="array" ref="CJ874">$BI874 * SUMPRODUCT(INDEX($AR$77:$AT$82,,$AI874),INDEX($AU$77:$BA$82,,$AH874), N($AQ$77:$AQ$82&gt;$AO874)) / CI874 / 1000</f>
        <v>0</v>
      </c>
      <c r="CK874" s="232">
        <f t="shared" si="798"/>
        <v>30</v>
      </c>
      <c r="CL874" s="230">
        <f t="shared" si="782"/>
        <v>43</v>
      </c>
      <c r="CM874" s="235">
        <f t="shared" si="783"/>
        <v>3.5018750000000001</v>
      </c>
      <c r="CN874" s="235" cm="1">
        <f t="array" ref="CN874">$BI874 * IF($AH874&lt;=2,
SUMPRODUCT(INDEX($AR$72:$AT$76,,$AI874), INDEX($AU$72:$BA$76,,$AH874), 1 / ($BB$72:$BB$76*CM874 + (1-$BB$72:$BB$76)*CI874), N($AQ$72:$AQ$76&gt;$AO874)),
SUMPRODUCT(INDEX($AR$67:$AT$76,,$AI874), INDEX($AU$67:$BA$76,,$AH874), 1 / ($BC$67:$BC$76*CM874 + (1-$BC$67:$BC$76)*CI874), N($AQ$67:$AQ$76&gt;$AO874))
) / 1000</f>
        <v>0</v>
      </c>
      <c r="CO874" s="232">
        <f t="shared" si="799"/>
        <v>25</v>
      </c>
      <c r="CP874" s="230">
        <f t="shared" si="784"/>
        <v>38</v>
      </c>
      <c r="CQ874" s="235">
        <f t="shared" si="785"/>
        <v>4.0666935483870965</v>
      </c>
      <c r="CR874" s="235" cm="1">
        <f t="array" ref="CR874">$BI874 * IF($AH874&lt;=2,
SUMPRODUCT(INDEX($AR$67:$AT$71,,$AI874), INDEX($AU$67:$BA$71,,$AH874), 1 / ($BB$67:$BB$71*CQ874 + (1-$BB$67:$BB$71)*CM874), N($AQ$67:$AQ$71&gt;$AO874)),
SUMPRODUCT(INDEX($AR$57:$AT$66,,$AI874), INDEX($AU$57:$BA$66,,$AH874), 1 / ($BC$57:$BC$66*CQ874 + (1-$BC$57:$BC$66)*CM874), N($AQ$57:$AQ$66&gt;$AO874))
) / 1000</f>
        <v>0</v>
      </c>
      <c r="CS874" s="232">
        <f t="shared" si="800"/>
        <v>20</v>
      </c>
      <c r="CT874" s="230">
        <f t="shared" si="786"/>
        <v>33</v>
      </c>
      <c r="CU874" s="235">
        <f t="shared" si="787"/>
        <v>4.8487499999999999</v>
      </c>
      <c r="CV874" s="235" cm="1">
        <f t="array" ref="CV874">$BI874 * IF($AH874&lt;=2,
SUMPRODUCT(INDEX($AR$62:$AT$66,,$AI874), INDEX($AU$62:$BA$66,,$AH874), 1 / ($BB$62:$BB$66*CU874 + (1-$BB$62:$BB$66)*CQ874), N($AQ$62:$AQ$66&gt;$AO874)),
SUMPRODUCT(INDEX($AR$47:$AT$56,,$AI874), INDEX($AU$47:$BA$56,,$AH874), 1 / ($BC$47:$BC$56*CU874 + (1-$BC$47:$BC$56)*CQ874), N($AQ$47:$AQ$56&gt;$AO874))
) / 1000</f>
        <v>0</v>
      </c>
      <c r="CW874" s="235" cm="1">
        <f t="array" ref="CW874">$BI874 * IF($AH874&lt;=2,
SUMPRODUCT(INDEX($AR$23:$AT$61,,$AI874), INDEX($AU$23:$BA$61,,$AH874), 1 / ($BB$23:$BB$61*CU874), N($AQ$23:$AQ$61&gt;$AO874)),
SUMPRODUCT(INDEX($AR$23:$AT$46,,$AI874), INDEX($AU$23:$BA$46,,$AH874), 1 / ($BC$23:$BC$46*CU874), N($AQ$23:$AQ$46&gt;$AO874))
) / 1000</f>
        <v>0</v>
      </c>
      <c r="CX874" s="230">
        <f t="shared" si="788"/>
        <v>0</v>
      </c>
      <c r="CY874" s="238"/>
    </row>
    <row r="875" spans="1:103" s="76" customFormat="1" ht="14.25" customHeight="1" x14ac:dyDescent="0.2">
      <c r="A875" s="231" t="b">
        <f t="shared" si="792"/>
        <v>0</v>
      </c>
      <c r="B875" s="245">
        <v>853</v>
      </c>
      <c r="C875" s="258"/>
      <c r="D875" s="258"/>
      <c r="E875" s="246"/>
      <c r="F875" s="247" t="str">
        <f>IF(ISBLANK(E875), "", VLOOKUP(E875, Z!$A$2:$C$4127, 3, FALSE))</f>
        <v/>
      </c>
      <c r="G875" s="248"/>
      <c r="H875" s="248"/>
      <c r="I875" s="249"/>
      <c r="J875" s="250"/>
      <c r="K875" s="259"/>
      <c r="L875" s="260"/>
      <c r="M875" s="252" t="str" cm="1">
        <f t="array" ref="M875">INDEX(Trad, 53, $A$20)</f>
        <v>Verschmutzt</v>
      </c>
      <c r="N875" s="253"/>
      <c r="O875" s="253"/>
      <c r="P875" s="254"/>
      <c r="Q875" s="251"/>
      <c r="R875" s="251"/>
      <c r="S875" s="264">
        <f t="shared" si="763"/>
        <v>0</v>
      </c>
      <c r="T875" s="252" t="str" cm="1">
        <f t="array" ref="T875">INDEX(Trad, 52, $A$20)</f>
        <v>Sauber</v>
      </c>
      <c r="U875" s="253"/>
      <c r="V875" s="253"/>
      <c r="W875" s="254"/>
      <c r="X875" s="251"/>
      <c r="Y875" s="251"/>
      <c r="Z875" s="264">
        <f t="shared" si="764"/>
        <v>0</v>
      </c>
      <c r="AA875" s="261"/>
      <c r="AB875" s="258"/>
      <c r="AC875" s="246"/>
      <c r="AD875" s="247" t="str">
        <f>IF(ISBLANK(AC875), "", VLOOKUP(AC875, Z!$A$2:$C$4127, 3, FALSE))</f>
        <v/>
      </c>
      <c r="AE875" s="262"/>
      <c r="AF875" s="263">
        <f t="shared" si="765"/>
        <v>0</v>
      </c>
      <c r="AG875" s="238"/>
      <c r="AH875" s="229">
        <f t="shared" si="789"/>
        <v>1</v>
      </c>
      <c r="AI875" s="229">
        <f t="shared" si="790"/>
        <v>1</v>
      </c>
      <c r="AJ875" s="229">
        <f t="shared" si="791"/>
        <v>0</v>
      </c>
      <c r="AK875" s="229">
        <v>0</v>
      </c>
      <c r="AL875" s="229">
        <v>0</v>
      </c>
      <c r="AM875" s="229">
        <v>1</v>
      </c>
      <c r="AN875" s="229">
        <v>0</v>
      </c>
      <c r="AO875" s="229">
        <f t="shared" si="766"/>
        <v>-100</v>
      </c>
      <c r="AP875" s="238"/>
      <c r="AQ875" s="255"/>
      <c r="AR875" s="255"/>
      <c r="AS875" s="256"/>
      <c r="AT875" s="256"/>
      <c r="AU875" s="256"/>
      <c r="AV875" s="256"/>
      <c r="AW875" s="256"/>
      <c r="AX875" s="256"/>
      <c r="AY875" s="256"/>
      <c r="AZ875" s="256"/>
      <c r="BA875" s="256"/>
      <c r="BB875" s="256"/>
      <c r="BC875" s="256"/>
      <c r="BD875" s="238"/>
      <c r="BE875" s="229" cm="1">
        <f t="array" ref="BE875">IF(ISBLANK(R875), INDEX(Use, $AH875, 4) - AM875*INDEX(Use, $AH875, 6), R875)</f>
        <v>5</v>
      </c>
      <c r="BF875" s="229">
        <f t="shared" si="767"/>
        <v>30</v>
      </c>
      <c r="BG875" s="229">
        <f t="shared" si="793"/>
        <v>13</v>
      </c>
      <c r="BH875" s="229">
        <f t="shared" si="794"/>
        <v>0</v>
      </c>
      <c r="BI875" s="234" cm="1">
        <f t="array" ref="BI875">K875/IF($L875&gt;0, INDEX($AU$23:$BA$77, $L875+20, $AH875), 1)</f>
        <v>0</v>
      </c>
      <c r="BJ875" s="230">
        <f t="shared" si="768"/>
        <v>0</v>
      </c>
      <c r="BK875" s="229">
        <v>35</v>
      </c>
      <c r="BL875" s="230">
        <f t="shared" si="769"/>
        <v>48</v>
      </c>
      <c r="BM875" s="235">
        <f t="shared" si="770"/>
        <v>2.9108720930232557</v>
      </c>
      <c r="BN875" s="235" cm="1">
        <f t="array" ref="BN875">$BI875 * SUMPRODUCT(INDEX($AR$77:$AT$82,,$AI875),INDEX($AU$77:$BA$82,,$AH875), N($AQ$77:$AQ$82&gt;$AO875)) / BM875 / 1000</f>
        <v>0</v>
      </c>
      <c r="BO875" s="232">
        <f t="shared" si="795"/>
        <v>30</v>
      </c>
      <c r="BP875" s="230">
        <f t="shared" si="771"/>
        <v>43</v>
      </c>
      <c r="BQ875" s="235">
        <f t="shared" si="772"/>
        <v>3.2938815789473681</v>
      </c>
      <c r="BR875" s="235" cm="1">
        <f t="array" ref="BR875">$BI875 * IF($AH875&lt;=2,
SUMPRODUCT(INDEX($AR$72:$AT$76,,$AI875), INDEX($AU$72:$BA$76,,$AH875), 1 / ($BB$72:$BB$76*BQ875 + (1-$BB$72:$BB$76)*BM875), N($AQ$72:$AQ$76&gt;$AO875)),
SUMPRODUCT(INDEX($AR$67:$AT$76,,$AI875), INDEX($AU$67:$BA$76,,$AH875), 1 / ($BC$67:$BC$76*BQ875 + (1-$BC$67:$BC$76)*BM875), N($AQ$67:$AQ$76&gt;$AO875))
) / 1000</f>
        <v>0</v>
      </c>
      <c r="BS875" s="232">
        <f t="shared" si="796"/>
        <v>25</v>
      </c>
      <c r="BT875" s="230">
        <f t="shared" si="773"/>
        <v>38</v>
      </c>
      <c r="BU875" s="235">
        <f t="shared" si="774"/>
        <v>3.792954545454545</v>
      </c>
      <c r="BV875" s="235" cm="1">
        <f t="array" ref="BV875">$BI875 * IF($AH875&lt;=2,
SUMPRODUCT(INDEX($AR$67:$AT$71,,$AI875), INDEX($AU$67:$BA$71,,$AH875), 1 / ($BB$67:$BB$71*BU875 + (1-$BB$67:$BB$71)*BQ875), N($AQ$67:$AQ$71&gt;$AO875)),
SUMPRODUCT(INDEX($AR$57:$AT$66,,$AI875), INDEX($AU$57:$BA$66,,$AH875), 1 / ($BC$57:$BC$66*BU875 + (1-$BC$57:$BC$66)*BQ875), N($AQ$57:$AQ$66&gt;$AO875))
) / 1000</f>
        <v>0</v>
      </c>
      <c r="BW875" s="232">
        <f t="shared" si="797"/>
        <v>20</v>
      </c>
      <c r="BX875" s="230">
        <f t="shared" si="775"/>
        <v>33</v>
      </c>
      <c r="BY875" s="235">
        <f t="shared" si="776"/>
        <v>4.4702678571428569</v>
      </c>
      <c r="BZ875" s="235" cm="1">
        <f t="array" ref="BZ875">$BI875 * IF($AH875&lt;=2,
SUMPRODUCT(INDEX($AR$62:$AT$66,,$AI875), INDEX($AU$62:$BA$66,,$AH875), 1 / ($BB$62:$BB$66*BY875 + (1-$BB$62:$BB$66)*BU875), N($AQ$62:$AQ$66&gt;$AO875)),
SUMPRODUCT(INDEX($AR$47:$AT$56,,$AI875), INDEX($AU$47:$BA$56,,$AH875), 1 / ($BC$47:$BC$56*BY875 + (1-$BC$47:$BC$56)*BU875), N($AQ$47:$AQ$56&gt;$AO875))
) / 1000</f>
        <v>0</v>
      </c>
      <c r="CA875" s="235" cm="1">
        <f t="array" ref="CA875">$BI875 * IF($AH875&lt;=2,
SUMPRODUCT(INDEX($AR$23:$AT$61,,$AI875), INDEX($AU$23:$BA$61,,$AH875), 1 / ($BB$23:$BB$61*BY875), N($AQ$23:$AQ$61&gt;$AO875)),
SUMPRODUCT(INDEX($AR$23:$AT$46,,$AI875), INDEX($AU$23:$BA$46,,$AH875), 1 / ($BC$23:$BC$46*BY875), N($AQ$23:$AQ$46&gt;$AO875))
) / 1000</f>
        <v>0</v>
      </c>
      <c r="CB875" s="230">
        <f t="shared" si="777"/>
        <v>0</v>
      </c>
      <c r="CC875" s="238"/>
      <c r="CD875" s="229" cm="1">
        <f t="array" ref="CD875">IF(ISBLANK(Y875), INDEX(Use, $AH875, 4) - AN875*INDEX(Use, $AH875, 6) - (Q875-X875), Y875)</f>
        <v>7</v>
      </c>
      <c r="CE875" s="229">
        <f t="shared" si="778"/>
        <v>32</v>
      </c>
      <c r="CF875" s="230">
        <f t="shared" si="779"/>
        <v>0</v>
      </c>
      <c r="CG875" s="229">
        <v>35</v>
      </c>
      <c r="CH875" s="230">
        <f t="shared" si="780"/>
        <v>48</v>
      </c>
      <c r="CI875" s="235">
        <f t="shared" si="781"/>
        <v>3.0748170731707316</v>
      </c>
      <c r="CJ875" s="235" cm="1">
        <f t="array" ref="CJ875">$BI875 * SUMPRODUCT(INDEX($AR$77:$AT$82,,$AI875),INDEX($AU$77:$BA$82,,$AH875), N($AQ$77:$AQ$82&gt;$AO875)) / CI875 / 1000</f>
        <v>0</v>
      </c>
      <c r="CK875" s="232">
        <f t="shared" si="798"/>
        <v>30</v>
      </c>
      <c r="CL875" s="230">
        <f t="shared" si="782"/>
        <v>43</v>
      </c>
      <c r="CM875" s="235">
        <f t="shared" si="783"/>
        <v>3.5018750000000001</v>
      </c>
      <c r="CN875" s="235" cm="1">
        <f t="array" ref="CN875">$BI875 * IF($AH875&lt;=2,
SUMPRODUCT(INDEX($AR$72:$AT$76,,$AI875), INDEX($AU$72:$BA$76,,$AH875), 1 / ($BB$72:$BB$76*CM875 + (1-$BB$72:$BB$76)*CI875), N($AQ$72:$AQ$76&gt;$AO875)),
SUMPRODUCT(INDEX($AR$67:$AT$76,,$AI875), INDEX($AU$67:$BA$76,,$AH875), 1 / ($BC$67:$BC$76*CM875 + (1-$BC$67:$BC$76)*CI875), N($AQ$67:$AQ$76&gt;$AO875))
) / 1000</f>
        <v>0</v>
      </c>
      <c r="CO875" s="232">
        <f t="shared" si="799"/>
        <v>25</v>
      </c>
      <c r="CP875" s="230">
        <f t="shared" si="784"/>
        <v>38</v>
      </c>
      <c r="CQ875" s="235">
        <f t="shared" si="785"/>
        <v>4.0666935483870965</v>
      </c>
      <c r="CR875" s="235" cm="1">
        <f t="array" ref="CR875">$BI875 * IF($AH875&lt;=2,
SUMPRODUCT(INDEX($AR$67:$AT$71,,$AI875), INDEX($AU$67:$BA$71,,$AH875), 1 / ($BB$67:$BB$71*CQ875 + (1-$BB$67:$BB$71)*CM875), N($AQ$67:$AQ$71&gt;$AO875)),
SUMPRODUCT(INDEX($AR$57:$AT$66,,$AI875), INDEX($AU$57:$BA$66,,$AH875), 1 / ($BC$57:$BC$66*CQ875 + (1-$BC$57:$BC$66)*CM875), N($AQ$57:$AQ$66&gt;$AO875))
) / 1000</f>
        <v>0</v>
      </c>
      <c r="CS875" s="232">
        <f t="shared" si="800"/>
        <v>20</v>
      </c>
      <c r="CT875" s="230">
        <f t="shared" si="786"/>
        <v>33</v>
      </c>
      <c r="CU875" s="235">
        <f t="shared" si="787"/>
        <v>4.8487499999999999</v>
      </c>
      <c r="CV875" s="235" cm="1">
        <f t="array" ref="CV875">$BI875 * IF($AH875&lt;=2,
SUMPRODUCT(INDEX($AR$62:$AT$66,,$AI875), INDEX($AU$62:$BA$66,,$AH875), 1 / ($BB$62:$BB$66*CU875 + (1-$BB$62:$BB$66)*CQ875), N($AQ$62:$AQ$66&gt;$AO875)),
SUMPRODUCT(INDEX($AR$47:$AT$56,,$AI875), INDEX($AU$47:$BA$56,,$AH875), 1 / ($BC$47:$BC$56*CU875 + (1-$BC$47:$BC$56)*CQ875), N($AQ$47:$AQ$56&gt;$AO875))
) / 1000</f>
        <v>0</v>
      </c>
      <c r="CW875" s="235" cm="1">
        <f t="array" ref="CW875">$BI875 * IF($AH875&lt;=2,
SUMPRODUCT(INDEX($AR$23:$AT$61,,$AI875), INDEX($AU$23:$BA$61,,$AH875), 1 / ($BB$23:$BB$61*CU875), N($AQ$23:$AQ$61&gt;$AO875)),
SUMPRODUCT(INDEX($AR$23:$AT$46,,$AI875), INDEX($AU$23:$BA$46,,$AH875), 1 / ($BC$23:$BC$46*CU875), N($AQ$23:$AQ$46&gt;$AO875))
) / 1000</f>
        <v>0</v>
      </c>
      <c r="CX875" s="230">
        <f t="shared" si="788"/>
        <v>0</v>
      </c>
      <c r="CY875" s="238"/>
    </row>
    <row r="876" spans="1:103" s="76" customFormat="1" ht="14.25" customHeight="1" x14ac:dyDescent="0.2">
      <c r="A876" s="231" t="b">
        <f t="shared" si="792"/>
        <v>0</v>
      </c>
      <c r="B876" s="245">
        <v>854</v>
      </c>
      <c r="C876" s="258"/>
      <c r="D876" s="258"/>
      <c r="E876" s="246"/>
      <c r="F876" s="247" t="str">
        <f>IF(ISBLANK(E876), "", VLOOKUP(E876, Z!$A$2:$C$4127, 3, FALSE))</f>
        <v/>
      </c>
      <c r="G876" s="248"/>
      <c r="H876" s="248"/>
      <c r="I876" s="249"/>
      <c r="J876" s="250"/>
      <c r="K876" s="259"/>
      <c r="L876" s="260"/>
      <c r="M876" s="252" t="str" cm="1">
        <f t="array" ref="M876">INDEX(Trad, 53, $A$20)</f>
        <v>Verschmutzt</v>
      </c>
      <c r="N876" s="253"/>
      <c r="O876" s="253"/>
      <c r="P876" s="254"/>
      <c r="Q876" s="251"/>
      <c r="R876" s="251"/>
      <c r="S876" s="264">
        <f t="shared" si="763"/>
        <v>0</v>
      </c>
      <c r="T876" s="252" t="str" cm="1">
        <f t="array" ref="T876">INDEX(Trad, 52, $A$20)</f>
        <v>Sauber</v>
      </c>
      <c r="U876" s="253"/>
      <c r="V876" s="253"/>
      <c r="W876" s="254"/>
      <c r="X876" s="251"/>
      <c r="Y876" s="251"/>
      <c r="Z876" s="264">
        <f t="shared" si="764"/>
        <v>0</v>
      </c>
      <c r="AA876" s="261"/>
      <c r="AB876" s="258"/>
      <c r="AC876" s="246"/>
      <c r="AD876" s="247" t="str">
        <f>IF(ISBLANK(AC876), "", VLOOKUP(AC876, Z!$A$2:$C$4127, 3, FALSE))</f>
        <v/>
      </c>
      <c r="AE876" s="262"/>
      <c r="AF876" s="263">
        <f t="shared" si="765"/>
        <v>0</v>
      </c>
      <c r="AG876" s="238"/>
      <c r="AH876" s="229">
        <f t="shared" si="789"/>
        <v>1</v>
      </c>
      <c r="AI876" s="229">
        <f t="shared" si="790"/>
        <v>1</v>
      </c>
      <c r="AJ876" s="229">
        <f t="shared" si="791"/>
        <v>0</v>
      </c>
      <c r="AK876" s="229">
        <v>0</v>
      </c>
      <c r="AL876" s="229">
        <v>0</v>
      </c>
      <c r="AM876" s="229">
        <v>1</v>
      </c>
      <c r="AN876" s="229">
        <v>0</v>
      </c>
      <c r="AO876" s="229">
        <f t="shared" si="766"/>
        <v>-100</v>
      </c>
      <c r="AP876" s="238"/>
      <c r="AQ876" s="255"/>
      <c r="AR876" s="255"/>
      <c r="AS876" s="256"/>
      <c r="AT876" s="256"/>
      <c r="AU876" s="256"/>
      <c r="AV876" s="256"/>
      <c r="AW876" s="256"/>
      <c r="AX876" s="256"/>
      <c r="AY876" s="256"/>
      <c r="AZ876" s="256"/>
      <c r="BA876" s="256"/>
      <c r="BB876" s="256"/>
      <c r="BC876" s="256"/>
      <c r="BD876" s="238"/>
      <c r="BE876" s="229" cm="1">
        <f t="array" ref="BE876">IF(ISBLANK(R876), INDEX(Use, $AH876, 4) - AM876*INDEX(Use, $AH876, 6), R876)</f>
        <v>5</v>
      </c>
      <c r="BF876" s="229">
        <f t="shared" si="767"/>
        <v>30</v>
      </c>
      <c r="BG876" s="229">
        <f t="shared" si="793"/>
        <v>13</v>
      </c>
      <c r="BH876" s="229">
        <f t="shared" si="794"/>
        <v>0</v>
      </c>
      <c r="BI876" s="234" cm="1">
        <f t="array" ref="BI876">K876/IF($L876&gt;0, INDEX($AU$23:$BA$77, $L876+20, $AH876), 1)</f>
        <v>0</v>
      </c>
      <c r="BJ876" s="230">
        <f t="shared" si="768"/>
        <v>0</v>
      </c>
      <c r="BK876" s="229">
        <v>35</v>
      </c>
      <c r="BL876" s="230">
        <f t="shared" si="769"/>
        <v>48</v>
      </c>
      <c r="BM876" s="235">
        <f t="shared" si="770"/>
        <v>2.9108720930232557</v>
      </c>
      <c r="BN876" s="235" cm="1">
        <f t="array" ref="BN876">$BI876 * SUMPRODUCT(INDEX($AR$77:$AT$82,,$AI876),INDEX($AU$77:$BA$82,,$AH876), N($AQ$77:$AQ$82&gt;$AO876)) / BM876 / 1000</f>
        <v>0</v>
      </c>
      <c r="BO876" s="232">
        <f t="shared" si="795"/>
        <v>30</v>
      </c>
      <c r="BP876" s="230">
        <f t="shared" si="771"/>
        <v>43</v>
      </c>
      <c r="BQ876" s="235">
        <f t="shared" si="772"/>
        <v>3.2938815789473681</v>
      </c>
      <c r="BR876" s="235" cm="1">
        <f t="array" ref="BR876">$BI876 * IF($AH876&lt;=2,
SUMPRODUCT(INDEX($AR$72:$AT$76,,$AI876), INDEX($AU$72:$BA$76,,$AH876), 1 / ($BB$72:$BB$76*BQ876 + (1-$BB$72:$BB$76)*BM876), N($AQ$72:$AQ$76&gt;$AO876)),
SUMPRODUCT(INDEX($AR$67:$AT$76,,$AI876), INDEX($AU$67:$BA$76,,$AH876), 1 / ($BC$67:$BC$76*BQ876 + (1-$BC$67:$BC$76)*BM876), N($AQ$67:$AQ$76&gt;$AO876))
) / 1000</f>
        <v>0</v>
      </c>
      <c r="BS876" s="232">
        <f t="shared" si="796"/>
        <v>25</v>
      </c>
      <c r="BT876" s="230">
        <f t="shared" si="773"/>
        <v>38</v>
      </c>
      <c r="BU876" s="235">
        <f t="shared" si="774"/>
        <v>3.792954545454545</v>
      </c>
      <c r="BV876" s="235" cm="1">
        <f t="array" ref="BV876">$BI876 * IF($AH876&lt;=2,
SUMPRODUCT(INDEX($AR$67:$AT$71,,$AI876), INDEX($AU$67:$BA$71,,$AH876), 1 / ($BB$67:$BB$71*BU876 + (1-$BB$67:$BB$71)*BQ876), N($AQ$67:$AQ$71&gt;$AO876)),
SUMPRODUCT(INDEX($AR$57:$AT$66,,$AI876), INDEX($AU$57:$BA$66,,$AH876), 1 / ($BC$57:$BC$66*BU876 + (1-$BC$57:$BC$66)*BQ876), N($AQ$57:$AQ$66&gt;$AO876))
) / 1000</f>
        <v>0</v>
      </c>
      <c r="BW876" s="232">
        <f t="shared" si="797"/>
        <v>20</v>
      </c>
      <c r="BX876" s="230">
        <f t="shared" si="775"/>
        <v>33</v>
      </c>
      <c r="BY876" s="235">
        <f t="shared" si="776"/>
        <v>4.4702678571428569</v>
      </c>
      <c r="BZ876" s="235" cm="1">
        <f t="array" ref="BZ876">$BI876 * IF($AH876&lt;=2,
SUMPRODUCT(INDEX($AR$62:$AT$66,,$AI876), INDEX($AU$62:$BA$66,,$AH876), 1 / ($BB$62:$BB$66*BY876 + (1-$BB$62:$BB$66)*BU876), N($AQ$62:$AQ$66&gt;$AO876)),
SUMPRODUCT(INDEX($AR$47:$AT$56,,$AI876), INDEX($AU$47:$BA$56,,$AH876), 1 / ($BC$47:$BC$56*BY876 + (1-$BC$47:$BC$56)*BU876), N($AQ$47:$AQ$56&gt;$AO876))
) / 1000</f>
        <v>0</v>
      </c>
      <c r="CA876" s="235" cm="1">
        <f t="array" ref="CA876">$BI876 * IF($AH876&lt;=2,
SUMPRODUCT(INDEX($AR$23:$AT$61,,$AI876), INDEX($AU$23:$BA$61,,$AH876), 1 / ($BB$23:$BB$61*BY876), N($AQ$23:$AQ$61&gt;$AO876)),
SUMPRODUCT(INDEX($AR$23:$AT$46,,$AI876), INDEX($AU$23:$BA$46,,$AH876), 1 / ($BC$23:$BC$46*BY876), N($AQ$23:$AQ$46&gt;$AO876))
) / 1000</f>
        <v>0</v>
      </c>
      <c r="CB876" s="230">
        <f t="shared" si="777"/>
        <v>0</v>
      </c>
      <c r="CC876" s="238"/>
      <c r="CD876" s="229" cm="1">
        <f t="array" ref="CD876">IF(ISBLANK(Y876), INDEX(Use, $AH876, 4) - AN876*INDEX(Use, $AH876, 6) - (Q876-X876), Y876)</f>
        <v>7</v>
      </c>
      <c r="CE876" s="229">
        <f t="shared" si="778"/>
        <v>32</v>
      </c>
      <c r="CF876" s="230">
        <f t="shared" si="779"/>
        <v>0</v>
      </c>
      <c r="CG876" s="229">
        <v>35</v>
      </c>
      <c r="CH876" s="230">
        <f t="shared" si="780"/>
        <v>48</v>
      </c>
      <c r="CI876" s="235">
        <f t="shared" si="781"/>
        <v>3.0748170731707316</v>
      </c>
      <c r="CJ876" s="235" cm="1">
        <f t="array" ref="CJ876">$BI876 * SUMPRODUCT(INDEX($AR$77:$AT$82,,$AI876),INDEX($AU$77:$BA$82,,$AH876), N($AQ$77:$AQ$82&gt;$AO876)) / CI876 / 1000</f>
        <v>0</v>
      </c>
      <c r="CK876" s="232">
        <f t="shared" si="798"/>
        <v>30</v>
      </c>
      <c r="CL876" s="230">
        <f t="shared" si="782"/>
        <v>43</v>
      </c>
      <c r="CM876" s="235">
        <f t="shared" si="783"/>
        <v>3.5018750000000001</v>
      </c>
      <c r="CN876" s="235" cm="1">
        <f t="array" ref="CN876">$BI876 * IF($AH876&lt;=2,
SUMPRODUCT(INDEX($AR$72:$AT$76,,$AI876), INDEX($AU$72:$BA$76,,$AH876), 1 / ($BB$72:$BB$76*CM876 + (1-$BB$72:$BB$76)*CI876), N($AQ$72:$AQ$76&gt;$AO876)),
SUMPRODUCT(INDEX($AR$67:$AT$76,,$AI876), INDEX($AU$67:$BA$76,,$AH876), 1 / ($BC$67:$BC$76*CM876 + (1-$BC$67:$BC$76)*CI876), N($AQ$67:$AQ$76&gt;$AO876))
) / 1000</f>
        <v>0</v>
      </c>
      <c r="CO876" s="232">
        <f t="shared" si="799"/>
        <v>25</v>
      </c>
      <c r="CP876" s="230">
        <f t="shared" si="784"/>
        <v>38</v>
      </c>
      <c r="CQ876" s="235">
        <f t="shared" si="785"/>
        <v>4.0666935483870965</v>
      </c>
      <c r="CR876" s="235" cm="1">
        <f t="array" ref="CR876">$BI876 * IF($AH876&lt;=2,
SUMPRODUCT(INDEX($AR$67:$AT$71,,$AI876), INDEX($AU$67:$BA$71,,$AH876), 1 / ($BB$67:$BB$71*CQ876 + (1-$BB$67:$BB$71)*CM876), N($AQ$67:$AQ$71&gt;$AO876)),
SUMPRODUCT(INDEX($AR$57:$AT$66,,$AI876), INDEX($AU$57:$BA$66,,$AH876), 1 / ($BC$57:$BC$66*CQ876 + (1-$BC$57:$BC$66)*CM876), N($AQ$57:$AQ$66&gt;$AO876))
) / 1000</f>
        <v>0</v>
      </c>
      <c r="CS876" s="232">
        <f t="shared" si="800"/>
        <v>20</v>
      </c>
      <c r="CT876" s="230">
        <f t="shared" si="786"/>
        <v>33</v>
      </c>
      <c r="CU876" s="235">
        <f t="shared" si="787"/>
        <v>4.8487499999999999</v>
      </c>
      <c r="CV876" s="235" cm="1">
        <f t="array" ref="CV876">$BI876 * IF($AH876&lt;=2,
SUMPRODUCT(INDEX($AR$62:$AT$66,,$AI876), INDEX($AU$62:$BA$66,,$AH876), 1 / ($BB$62:$BB$66*CU876 + (1-$BB$62:$BB$66)*CQ876), N($AQ$62:$AQ$66&gt;$AO876)),
SUMPRODUCT(INDEX($AR$47:$AT$56,,$AI876), INDEX($AU$47:$BA$56,,$AH876), 1 / ($BC$47:$BC$56*CU876 + (1-$BC$47:$BC$56)*CQ876), N($AQ$47:$AQ$56&gt;$AO876))
) / 1000</f>
        <v>0</v>
      </c>
      <c r="CW876" s="235" cm="1">
        <f t="array" ref="CW876">$BI876 * IF($AH876&lt;=2,
SUMPRODUCT(INDEX($AR$23:$AT$61,,$AI876), INDEX($AU$23:$BA$61,,$AH876), 1 / ($BB$23:$BB$61*CU876), N($AQ$23:$AQ$61&gt;$AO876)),
SUMPRODUCT(INDEX($AR$23:$AT$46,,$AI876), INDEX($AU$23:$BA$46,,$AH876), 1 / ($BC$23:$BC$46*CU876), N($AQ$23:$AQ$46&gt;$AO876))
) / 1000</f>
        <v>0</v>
      </c>
      <c r="CX876" s="230">
        <f t="shared" si="788"/>
        <v>0</v>
      </c>
      <c r="CY876" s="238"/>
    </row>
    <row r="877" spans="1:103" s="76" customFormat="1" ht="14.25" customHeight="1" x14ac:dyDescent="0.2">
      <c r="A877" s="231" t="b">
        <f t="shared" si="792"/>
        <v>0</v>
      </c>
      <c r="B877" s="245">
        <v>855</v>
      </c>
      <c r="C877" s="258"/>
      <c r="D877" s="258"/>
      <c r="E877" s="246"/>
      <c r="F877" s="247" t="str">
        <f>IF(ISBLANK(E877), "", VLOOKUP(E877, Z!$A$2:$C$4127, 3, FALSE))</f>
        <v/>
      </c>
      <c r="G877" s="248"/>
      <c r="H877" s="248"/>
      <c r="I877" s="249"/>
      <c r="J877" s="250"/>
      <c r="K877" s="259"/>
      <c r="L877" s="260"/>
      <c r="M877" s="252" t="str" cm="1">
        <f t="array" ref="M877">INDEX(Trad, 53, $A$20)</f>
        <v>Verschmutzt</v>
      </c>
      <c r="N877" s="253"/>
      <c r="O877" s="253"/>
      <c r="P877" s="254"/>
      <c r="Q877" s="251"/>
      <c r="R877" s="251"/>
      <c r="S877" s="264">
        <f t="shared" si="763"/>
        <v>0</v>
      </c>
      <c r="T877" s="252" t="str" cm="1">
        <f t="array" ref="T877">INDEX(Trad, 52, $A$20)</f>
        <v>Sauber</v>
      </c>
      <c r="U877" s="253"/>
      <c r="V877" s="253"/>
      <c r="W877" s="254"/>
      <c r="X877" s="251"/>
      <c r="Y877" s="251"/>
      <c r="Z877" s="264">
        <f t="shared" si="764"/>
        <v>0</v>
      </c>
      <c r="AA877" s="261"/>
      <c r="AB877" s="258"/>
      <c r="AC877" s="246"/>
      <c r="AD877" s="247" t="str">
        <f>IF(ISBLANK(AC877), "", VLOOKUP(AC877, Z!$A$2:$C$4127, 3, FALSE))</f>
        <v/>
      </c>
      <c r="AE877" s="262"/>
      <c r="AF877" s="263">
        <f t="shared" si="765"/>
        <v>0</v>
      </c>
      <c r="AG877" s="238"/>
      <c r="AH877" s="229">
        <f t="shared" si="789"/>
        <v>1</v>
      </c>
      <c r="AI877" s="229">
        <f t="shared" si="790"/>
        <v>1</v>
      </c>
      <c r="AJ877" s="229">
        <f t="shared" si="791"/>
        <v>0</v>
      </c>
      <c r="AK877" s="229">
        <v>0</v>
      </c>
      <c r="AL877" s="229">
        <v>0</v>
      </c>
      <c r="AM877" s="229">
        <v>1</v>
      </c>
      <c r="AN877" s="229">
        <v>0</v>
      </c>
      <c r="AO877" s="229">
        <f t="shared" si="766"/>
        <v>-100</v>
      </c>
      <c r="AP877" s="238"/>
      <c r="AQ877" s="255"/>
      <c r="AR877" s="255"/>
      <c r="AS877" s="256"/>
      <c r="AT877" s="256"/>
      <c r="AU877" s="256"/>
      <c r="AV877" s="256"/>
      <c r="AW877" s="256"/>
      <c r="AX877" s="256"/>
      <c r="AY877" s="256"/>
      <c r="AZ877" s="256"/>
      <c r="BA877" s="256"/>
      <c r="BB877" s="256"/>
      <c r="BC877" s="256"/>
      <c r="BD877" s="238"/>
      <c r="BE877" s="229" cm="1">
        <f t="array" ref="BE877">IF(ISBLANK(R877), INDEX(Use, $AH877, 4) - AM877*INDEX(Use, $AH877, 6), R877)</f>
        <v>5</v>
      </c>
      <c r="BF877" s="229">
        <f t="shared" si="767"/>
        <v>30</v>
      </c>
      <c r="BG877" s="229">
        <f t="shared" si="793"/>
        <v>13</v>
      </c>
      <c r="BH877" s="229">
        <f t="shared" si="794"/>
        <v>0</v>
      </c>
      <c r="BI877" s="234" cm="1">
        <f t="array" ref="BI877">K877/IF($L877&gt;0, INDEX($AU$23:$BA$77, $L877+20, $AH877), 1)</f>
        <v>0</v>
      </c>
      <c r="BJ877" s="230">
        <f t="shared" si="768"/>
        <v>0</v>
      </c>
      <c r="BK877" s="229">
        <v>35</v>
      </c>
      <c r="BL877" s="230">
        <f t="shared" si="769"/>
        <v>48</v>
      </c>
      <c r="BM877" s="235">
        <f t="shared" si="770"/>
        <v>2.9108720930232557</v>
      </c>
      <c r="BN877" s="235" cm="1">
        <f t="array" ref="BN877">$BI877 * SUMPRODUCT(INDEX($AR$77:$AT$82,,$AI877),INDEX($AU$77:$BA$82,,$AH877), N($AQ$77:$AQ$82&gt;$AO877)) / BM877 / 1000</f>
        <v>0</v>
      </c>
      <c r="BO877" s="232">
        <f t="shared" si="795"/>
        <v>30</v>
      </c>
      <c r="BP877" s="230">
        <f t="shared" si="771"/>
        <v>43</v>
      </c>
      <c r="BQ877" s="235">
        <f t="shared" si="772"/>
        <v>3.2938815789473681</v>
      </c>
      <c r="BR877" s="235" cm="1">
        <f t="array" ref="BR877">$BI877 * IF($AH877&lt;=2,
SUMPRODUCT(INDEX($AR$72:$AT$76,,$AI877), INDEX($AU$72:$BA$76,,$AH877), 1 / ($BB$72:$BB$76*BQ877 + (1-$BB$72:$BB$76)*BM877), N($AQ$72:$AQ$76&gt;$AO877)),
SUMPRODUCT(INDEX($AR$67:$AT$76,,$AI877), INDEX($AU$67:$BA$76,,$AH877), 1 / ($BC$67:$BC$76*BQ877 + (1-$BC$67:$BC$76)*BM877), N($AQ$67:$AQ$76&gt;$AO877))
) / 1000</f>
        <v>0</v>
      </c>
      <c r="BS877" s="232">
        <f t="shared" si="796"/>
        <v>25</v>
      </c>
      <c r="BT877" s="230">
        <f t="shared" si="773"/>
        <v>38</v>
      </c>
      <c r="BU877" s="235">
        <f t="shared" si="774"/>
        <v>3.792954545454545</v>
      </c>
      <c r="BV877" s="235" cm="1">
        <f t="array" ref="BV877">$BI877 * IF($AH877&lt;=2,
SUMPRODUCT(INDEX($AR$67:$AT$71,,$AI877), INDEX($AU$67:$BA$71,,$AH877), 1 / ($BB$67:$BB$71*BU877 + (1-$BB$67:$BB$71)*BQ877), N($AQ$67:$AQ$71&gt;$AO877)),
SUMPRODUCT(INDEX($AR$57:$AT$66,,$AI877), INDEX($AU$57:$BA$66,,$AH877), 1 / ($BC$57:$BC$66*BU877 + (1-$BC$57:$BC$66)*BQ877), N($AQ$57:$AQ$66&gt;$AO877))
) / 1000</f>
        <v>0</v>
      </c>
      <c r="BW877" s="232">
        <f t="shared" si="797"/>
        <v>20</v>
      </c>
      <c r="BX877" s="230">
        <f t="shared" si="775"/>
        <v>33</v>
      </c>
      <c r="BY877" s="235">
        <f t="shared" si="776"/>
        <v>4.4702678571428569</v>
      </c>
      <c r="BZ877" s="235" cm="1">
        <f t="array" ref="BZ877">$BI877 * IF($AH877&lt;=2,
SUMPRODUCT(INDEX($AR$62:$AT$66,,$AI877), INDEX($AU$62:$BA$66,,$AH877), 1 / ($BB$62:$BB$66*BY877 + (1-$BB$62:$BB$66)*BU877), N($AQ$62:$AQ$66&gt;$AO877)),
SUMPRODUCT(INDEX($AR$47:$AT$56,,$AI877), INDEX($AU$47:$BA$56,,$AH877), 1 / ($BC$47:$BC$56*BY877 + (1-$BC$47:$BC$56)*BU877), N($AQ$47:$AQ$56&gt;$AO877))
) / 1000</f>
        <v>0</v>
      </c>
      <c r="CA877" s="235" cm="1">
        <f t="array" ref="CA877">$BI877 * IF($AH877&lt;=2,
SUMPRODUCT(INDEX($AR$23:$AT$61,,$AI877), INDEX($AU$23:$BA$61,,$AH877), 1 / ($BB$23:$BB$61*BY877), N($AQ$23:$AQ$61&gt;$AO877)),
SUMPRODUCT(INDEX($AR$23:$AT$46,,$AI877), INDEX($AU$23:$BA$46,,$AH877), 1 / ($BC$23:$BC$46*BY877), N($AQ$23:$AQ$46&gt;$AO877))
) / 1000</f>
        <v>0</v>
      </c>
      <c r="CB877" s="230">
        <f t="shared" si="777"/>
        <v>0</v>
      </c>
      <c r="CC877" s="238"/>
      <c r="CD877" s="229" cm="1">
        <f t="array" ref="CD877">IF(ISBLANK(Y877), INDEX(Use, $AH877, 4) - AN877*INDEX(Use, $AH877, 6) - (Q877-X877), Y877)</f>
        <v>7</v>
      </c>
      <c r="CE877" s="229">
        <f t="shared" si="778"/>
        <v>32</v>
      </c>
      <c r="CF877" s="230">
        <f t="shared" si="779"/>
        <v>0</v>
      </c>
      <c r="CG877" s="229">
        <v>35</v>
      </c>
      <c r="CH877" s="230">
        <f t="shared" si="780"/>
        <v>48</v>
      </c>
      <c r="CI877" s="235">
        <f t="shared" si="781"/>
        <v>3.0748170731707316</v>
      </c>
      <c r="CJ877" s="235" cm="1">
        <f t="array" ref="CJ877">$BI877 * SUMPRODUCT(INDEX($AR$77:$AT$82,,$AI877),INDEX($AU$77:$BA$82,,$AH877), N($AQ$77:$AQ$82&gt;$AO877)) / CI877 / 1000</f>
        <v>0</v>
      </c>
      <c r="CK877" s="232">
        <f t="shared" si="798"/>
        <v>30</v>
      </c>
      <c r="CL877" s="230">
        <f t="shared" si="782"/>
        <v>43</v>
      </c>
      <c r="CM877" s="235">
        <f t="shared" si="783"/>
        <v>3.5018750000000001</v>
      </c>
      <c r="CN877" s="235" cm="1">
        <f t="array" ref="CN877">$BI877 * IF($AH877&lt;=2,
SUMPRODUCT(INDEX($AR$72:$AT$76,,$AI877), INDEX($AU$72:$BA$76,,$AH877), 1 / ($BB$72:$BB$76*CM877 + (1-$BB$72:$BB$76)*CI877), N($AQ$72:$AQ$76&gt;$AO877)),
SUMPRODUCT(INDEX($AR$67:$AT$76,,$AI877), INDEX($AU$67:$BA$76,,$AH877), 1 / ($BC$67:$BC$76*CM877 + (1-$BC$67:$BC$76)*CI877), N($AQ$67:$AQ$76&gt;$AO877))
) / 1000</f>
        <v>0</v>
      </c>
      <c r="CO877" s="232">
        <f t="shared" si="799"/>
        <v>25</v>
      </c>
      <c r="CP877" s="230">
        <f t="shared" si="784"/>
        <v>38</v>
      </c>
      <c r="CQ877" s="235">
        <f t="shared" si="785"/>
        <v>4.0666935483870965</v>
      </c>
      <c r="CR877" s="235" cm="1">
        <f t="array" ref="CR877">$BI877 * IF($AH877&lt;=2,
SUMPRODUCT(INDEX($AR$67:$AT$71,,$AI877), INDEX($AU$67:$BA$71,,$AH877), 1 / ($BB$67:$BB$71*CQ877 + (1-$BB$67:$BB$71)*CM877), N($AQ$67:$AQ$71&gt;$AO877)),
SUMPRODUCT(INDEX($AR$57:$AT$66,,$AI877), INDEX($AU$57:$BA$66,,$AH877), 1 / ($BC$57:$BC$66*CQ877 + (1-$BC$57:$BC$66)*CM877), N($AQ$57:$AQ$66&gt;$AO877))
) / 1000</f>
        <v>0</v>
      </c>
      <c r="CS877" s="232">
        <f t="shared" si="800"/>
        <v>20</v>
      </c>
      <c r="CT877" s="230">
        <f t="shared" si="786"/>
        <v>33</v>
      </c>
      <c r="CU877" s="235">
        <f t="shared" si="787"/>
        <v>4.8487499999999999</v>
      </c>
      <c r="CV877" s="235" cm="1">
        <f t="array" ref="CV877">$BI877 * IF($AH877&lt;=2,
SUMPRODUCT(INDEX($AR$62:$AT$66,,$AI877), INDEX($AU$62:$BA$66,,$AH877), 1 / ($BB$62:$BB$66*CU877 + (1-$BB$62:$BB$66)*CQ877), N($AQ$62:$AQ$66&gt;$AO877)),
SUMPRODUCT(INDEX($AR$47:$AT$56,,$AI877), INDEX($AU$47:$BA$56,,$AH877), 1 / ($BC$47:$BC$56*CU877 + (1-$BC$47:$BC$56)*CQ877), N($AQ$47:$AQ$56&gt;$AO877))
) / 1000</f>
        <v>0</v>
      </c>
      <c r="CW877" s="235" cm="1">
        <f t="array" ref="CW877">$BI877 * IF($AH877&lt;=2,
SUMPRODUCT(INDEX($AR$23:$AT$61,,$AI877), INDEX($AU$23:$BA$61,,$AH877), 1 / ($BB$23:$BB$61*CU877), N($AQ$23:$AQ$61&gt;$AO877)),
SUMPRODUCT(INDEX($AR$23:$AT$46,,$AI877), INDEX($AU$23:$BA$46,,$AH877), 1 / ($BC$23:$BC$46*CU877), N($AQ$23:$AQ$46&gt;$AO877))
) / 1000</f>
        <v>0</v>
      </c>
      <c r="CX877" s="230">
        <f t="shared" si="788"/>
        <v>0</v>
      </c>
      <c r="CY877" s="238"/>
    </row>
    <row r="878" spans="1:103" s="76" customFormat="1" ht="14.25" customHeight="1" x14ac:dyDescent="0.2">
      <c r="A878" s="231" t="b">
        <f t="shared" si="792"/>
        <v>0</v>
      </c>
      <c r="B878" s="245">
        <v>856</v>
      </c>
      <c r="C878" s="258"/>
      <c r="D878" s="258"/>
      <c r="E878" s="246"/>
      <c r="F878" s="247" t="str">
        <f>IF(ISBLANK(E878), "", VLOOKUP(E878, Z!$A$2:$C$4127, 3, FALSE))</f>
        <v/>
      </c>
      <c r="G878" s="248"/>
      <c r="H878" s="248"/>
      <c r="I878" s="249"/>
      <c r="J878" s="250"/>
      <c r="K878" s="259"/>
      <c r="L878" s="260"/>
      <c r="M878" s="252" t="str" cm="1">
        <f t="array" ref="M878">INDEX(Trad, 53, $A$20)</f>
        <v>Verschmutzt</v>
      </c>
      <c r="N878" s="253"/>
      <c r="O878" s="253"/>
      <c r="P878" s="254"/>
      <c r="Q878" s="251"/>
      <c r="R878" s="251"/>
      <c r="S878" s="264">
        <f t="shared" si="763"/>
        <v>0</v>
      </c>
      <c r="T878" s="252" t="str" cm="1">
        <f t="array" ref="T878">INDEX(Trad, 52, $A$20)</f>
        <v>Sauber</v>
      </c>
      <c r="U878" s="253"/>
      <c r="V878" s="253"/>
      <c r="W878" s="254"/>
      <c r="X878" s="251"/>
      <c r="Y878" s="251"/>
      <c r="Z878" s="264">
        <f t="shared" si="764"/>
        <v>0</v>
      </c>
      <c r="AA878" s="261"/>
      <c r="AB878" s="258"/>
      <c r="AC878" s="246"/>
      <c r="AD878" s="247" t="str">
        <f>IF(ISBLANK(AC878), "", VLOOKUP(AC878, Z!$A$2:$C$4127, 3, FALSE))</f>
        <v/>
      </c>
      <c r="AE878" s="262"/>
      <c r="AF878" s="263">
        <f t="shared" si="765"/>
        <v>0</v>
      </c>
      <c r="AG878" s="238"/>
      <c r="AH878" s="229">
        <f t="shared" si="789"/>
        <v>1</v>
      </c>
      <c r="AI878" s="229">
        <f t="shared" si="790"/>
        <v>1</v>
      </c>
      <c r="AJ878" s="229">
        <f t="shared" si="791"/>
        <v>0</v>
      </c>
      <c r="AK878" s="229">
        <v>0</v>
      </c>
      <c r="AL878" s="229">
        <v>0</v>
      </c>
      <c r="AM878" s="229">
        <v>1</v>
      </c>
      <c r="AN878" s="229">
        <v>0</v>
      </c>
      <c r="AO878" s="229">
        <f t="shared" si="766"/>
        <v>-100</v>
      </c>
      <c r="AP878" s="238"/>
      <c r="AQ878" s="255"/>
      <c r="AR878" s="255"/>
      <c r="AS878" s="256"/>
      <c r="AT878" s="256"/>
      <c r="AU878" s="256"/>
      <c r="AV878" s="256"/>
      <c r="AW878" s="256"/>
      <c r="AX878" s="256"/>
      <c r="AY878" s="256"/>
      <c r="AZ878" s="256"/>
      <c r="BA878" s="256"/>
      <c r="BB878" s="256"/>
      <c r="BC878" s="256"/>
      <c r="BD878" s="238"/>
      <c r="BE878" s="229" cm="1">
        <f t="array" ref="BE878">IF(ISBLANK(R878), INDEX(Use, $AH878, 4) - AM878*INDEX(Use, $AH878, 6), R878)</f>
        <v>5</v>
      </c>
      <c r="BF878" s="229">
        <f t="shared" si="767"/>
        <v>30</v>
      </c>
      <c r="BG878" s="229">
        <f t="shared" si="793"/>
        <v>13</v>
      </c>
      <c r="BH878" s="229">
        <f t="shared" si="794"/>
        <v>0</v>
      </c>
      <c r="BI878" s="234" cm="1">
        <f t="array" ref="BI878">K878/IF($L878&gt;0, INDEX($AU$23:$BA$77, $L878+20, $AH878), 1)</f>
        <v>0</v>
      </c>
      <c r="BJ878" s="230">
        <f t="shared" si="768"/>
        <v>0</v>
      </c>
      <c r="BK878" s="229">
        <v>35</v>
      </c>
      <c r="BL878" s="230">
        <f t="shared" si="769"/>
        <v>48</v>
      </c>
      <c r="BM878" s="235">
        <f t="shared" si="770"/>
        <v>2.9108720930232557</v>
      </c>
      <c r="BN878" s="235" cm="1">
        <f t="array" ref="BN878">$BI878 * SUMPRODUCT(INDEX($AR$77:$AT$82,,$AI878),INDEX($AU$77:$BA$82,,$AH878), N($AQ$77:$AQ$82&gt;$AO878)) / BM878 / 1000</f>
        <v>0</v>
      </c>
      <c r="BO878" s="232">
        <f t="shared" si="795"/>
        <v>30</v>
      </c>
      <c r="BP878" s="230">
        <f t="shared" si="771"/>
        <v>43</v>
      </c>
      <c r="BQ878" s="235">
        <f t="shared" si="772"/>
        <v>3.2938815789473681</v>
      </c>
      <c r="BR878" s="235" cm="1">
        <f t="array" ref="BR878">$BI878 * IF($AH878&lt;=2,
SUMPRODUCT(INDEX($AR$72:$AT$76,,$AI878), INDEX($AU$72:$BA$76,,$AH878), 1 / ($BB$72:$BB$76*BQ878 + (1-$BB$72:$BB$76)*BM878), N($AQ$72:$AQ$76&gt;$AO878)),
SUMPRODUCT(INDEX($AR$67:$AT$76,,$AI878), INDEX($AU$67:$BA$76,,$AH878), 1 / ($BC$67:$BC$76*BQ878 + (1-$BC$67:$BC$76)*BM878), N($AQ$67:$AQ$76&gt;$AO878))
) / 1000</f>
        <v>0</v>
      </c>
      <c r="BS878" s="232">
        <f t="shared" si="796"/>
        <v>25</v>
      </c>
      <c r="BT878" s="230">
        <f t="shared" si="773"/>
        <v>38</v>
      </c>
      <c r="BU878" s="235">
        <f t="shared" si="774"/>
        <v>3.792954545454545</v>
      </c>
      <c r="BV878" s="235" cm="1">
        <f t="array" ref="BV878">$BI878 * IF($AH878&lt;=2,
SUMPRODUCT(INDEX($AR$67:$AT$71,,$AI878), INDEX($AU$67:$BA$71,,$AH878), 1 / ($BB$67:$BB$71*BU878 + (1-$BB$67:$BB$71)*BQ878), N($AQ$67:$AQ$71&gt;$AO878)),
SUMPRODUCT(INDEX($AR$57:$AT$66,,$AI878), INDEX($AU$57:$BA$66,,$AH878), 1 / ($BC$57:$BC$66*BU878 + (1-$BC$57:$BC$66)*BQ878), N($AQ$57:$AQ$66&gt;$AO878))
) / 1000</f>
        <v>0</v>
      </c>
      <c r="BW878" s="232">
        <f t="shared" si="797"/>
        <v>20</v>
      </c>
      <c r="BX878" s="230">
        <f t="shared" si="775"/>
        <v>33</v>
      </c>
      <c r="BY878" s="235">
        <f t="shared" si="776"/>
        <v>4.4702678571428569</v>
      </c>
      <c r="BZ878" s="235" cm="1">
        <f t="array" ref="BZ878">$BI878 * IF($AH878&lt;=2,
SUMPRODUCT(INDEX($AR$62:$AT$66,,$AI878), INDEX($AU$62:$BA$66,,$AH878), 1 / ($BB$62:$BB$66*BY878 + (1-$BB$62:$BB$66)*BU878), N($AQ$62:$AQ$66&gt;$AO878)),
SUMPRODUCT(INDEX($AR$47:$AT$56,,$AI878), INDEX($AU$47:$BA$56,,$AH878), 1 / ($BC$47:$BC$56*BY878 + (1-$BC$47:$BC$56)*BU878), N($AQ$47:$AQ$56&gt;$AO878))
) / 1000</f>
        <v>0</v>
      </c>
      <c r="CA878" s="235" cm="1">
        <f t="array" ref="CA878">$BI878 * IF($AH878&lt;=2,
SUMPRODUCT(INDEX($AR$23:$AT$61,,$AI878), INDEX($AU$23:$BA$61,,$AH878), 1 / ($BB$23:$BB$61*BY878), N($AQ$23:$AQ$61&gt;$AO878)),
SUMPRODUCT(INDEX($AR$23:$AT$46,,$AI878), INDEX($AU$23:$BA$46,,$AH878), 1 / ($BC$23:$BC$46*BY878), N($AQ$23:$AQ$46&gt;$AO878))
) / 1000</f>
        <v>0</v>
      </c>
      <c r="CB878" s="230">
        <f t="shared" si="777"/>
        <v>0</v>
      </c>
      <c r="CC878" s="238"/>
      <c r="CD878" s="229" cm="1">
        <f t="array" ref="CD878">IF(ISBLANK(Y878), INDEX(Use, $AH878, 4) - AN878*INDEX(Use, $AH878, 6) - (Q878-X878), Y878)</f>
        <v>7</v>
      </c>
      <c r="CE878" s="229">
        <f t="shared" si="778"/>
        <v>32</v>
      </c>
      <c r="CF878" s="230">
        <f t="shared" si="779"/>
        <v>0</v>
      </c>
      <c r="CG878" s="229">
        <v>35</v>
      </c>
      <c r="CH878" s="230">
        <f t="shared" si="780"/>
        <v>48</v>
      </c>
      <c r="CI878" s="235">
        <f t="shared" si="781"/>
        <v>3.0748170731707316</v>
      </c>
      <c r="CJ878" s="235" cm="1">
        <f t="array" ref="CJ878">$BI878 * SUMPRODUCT(INDEX($AR$77:$AT$82,,$AI878),INDEX($AU$77:$BA$82,,$AH878), N($AQ$77:$AQ$82&gt;$AO878)) / CI878 / 1000</f>
        <v>0</v>
      </c>
      <c r="CK878" s="232">
        <f t="shared" si="798"/>
        <v>30</v>
      </c>
      <c r="CL878" s="230">
        <f t="shared" si="782"/>
        <v>43</v>
      </c>
      <c r="CM878" s="235">
        <f t="shared" si="783"/>
        <v>3.5018750000000001</v>
      </c>
      <c r="CN878" s="235" cm="1">
        <f t="array" ref="CN878">$BI878 * IF($AH878&lt;=2,
SUMPRODUCT(INDEX($AR$72:$AT$76,,$AI878), INDEX($AU$72:$BA$76,,$AH878), 1 / ($BB$72:$BB$76*CM878 + (1-$BB$72:$BB$76)*CI878), N($AQ$72:$AQ$76&gt;$AO878)),
SUMPRODUCT(INDEX($AR$67:$AT$76,,$AI878), INDEX($AU$67:$BA$76,,$AH878), 1 / ($BC$67:$BC$76*CM878 + (1-$BC$67:$BC$76)*CI878), N($AQ$67:$AQ$76&gt;$AO878))
) / 1000</f>
        <v>0</v>
      </c>
      <c r="CO878" s="232">
        <f t="shared" si="799"/>
        <v>25</v>
      </c>
      <c r="CP878" s="230">
        <f t="shared" si="784"/>
        <v>38</v>
      </c>
      <c r="CQ878" s="235">
        <f t="shared" si="785"/>
        <v>4.0666935483870965</v>
      </c>
      <c r="CR878" s="235" cm="1">
        <f t="array" ref="CR878">$BI878 * IF($AH878&lt;=2,
SUMPRODUCT(INDEX($AR$67:$AT$71,,$AI878), INDEX($AU$67:$BA$71,,$AH878), 1 / ($BB$67:$BB$71*CQ878 + (1-$BB$67:$BB$71)*CM878), N($AQ$67:$AQ$71&gt;$AO878)),
SUMPRODUCT(INDEX($AR$57:$AT$66,,$AI878), INDEX($AU$57:$BA$66,,$AH878), 1 / ($BC$57:$BC$66*CQ878 + (1-$BC$57:$BC$66)*CM878), N($AQ$57:$AQ$66&gt;$AO878))
) / 1000</f>
        <v>0</v>
      </c>
      <c r="CS878" s="232">
        <f t="shared" si="800"/>
        <v>20</v>
      </c>
      <c r="CT878" s="230">
        <f t="shared" si="786"/>
        <v>33</v>
      </c>
      <c r="CU878" s="235">
        <f t="shared" si="787"/>
        <v>4.8487499999999999</v>
      </c>
      <c r="CV878" s="235" cm="1">
        <f t="array" ref="CV878">$BI878 * IF($AH878&lt;=2,
SUMPRODUCT(INDEX($AR$62:$AT$66,,$AI878), INDEX($AU$62:$BA$66,,$AH878), 1 / ($BB$62:$BB$66*CU878 + (1-$BB$62:$BB$66)*CQ878), N($AQ$62:$AQ$66&gt;$AO878)),
SUMPRODUCT(INDEX($AR$47:$AT$56,,$AI878), INDEX($AU$47:$BA$56,,$AH878), 1 / ($BC$47:$BC$56*CU878 + (1-$BC$47:$BC$56)*CQ878), N($AQ$47:$AQ$56&gt;$AO878))
) / 1000</f>
        <v>0</v>
      </c>
      <c r="CW878" s="235" cm="1">
        <f t="array" ref="CW878">$BI878 * IF($AH878&lt;=2,
SUMPRODUCT(INDEX($AR$23:$AT$61,,$AI878), INDEX($AU$23:$BA$61,,$AH878), 1 / ($BB$23:$BB$61*CU878), N($AQ$23:$AQ$61&gt;$AO878)),
SUMPRODUCT(INDEX($AR$23:$AT$46,,$AI878), INDEX($AU$23:$BA$46,,$AH878), 1 / ($BC$23:$BC$46*CU878), N($AQ$23:$AQ$46&gt;$AO878))
) / 1000</f>
        <v>0</v>
      </c>
      <c r="CX878" s="230">
        <f t="shared" si="788"/>
        <v>0</v>
      </c>
      <c r="CY878" s="238"/>
    </row>
    <row r="879" spans="1:103" s="76" customFormat="1" ht="14.25" customHeight="1" x14ac:dyDescent="0.2">
      <c r="A879" s="231" t="b">
        <f t="shared" si="792"/>
        <v>0</v>
      </c>
      <c r="B879" s="245">
        <v>857</v>
      </c>
      <c r="C879" s="258"/>
      <c r="D879" s="258"/>
      <c r="E879" s="246"/>
      <c r="F879" s="247" t="str">
        <f>IF(ISBLANK(E879), "", VLOOKUP(E879, Z!$A$2:$C$4127, 3, FALSE))</f>
        <v/>
      </c>
      <c r="G879" s="248"/>
      <c r="H879" s="248"/>
      <c r="I879" s="249"/>
      <c r="J879" s="250"/>
      <c r="K879" s="259"/>
      <c r="L879" s="260"/>
      <c r="M879" s="252" t="str" cm="1">
        <f t="array" ref="M879">INDEX(Trad, 53, $A$20)</f>
        <v>Verschmutzt</v>
      </c>
      <c r="N879" s="253"/>
      <c r="O879" s="253"/>
      <c r="P879" s="254"/>
      <c r="Q879" s="251"/>
      <c r="R879" s="251"/>
      <c r="S879" s="264">
        <f t="shared" si="763"/>
        <v>0</v>
      </c>
      <c r="T879" s="252" t="str" cm="1">
        <f t="array" ref="T879">INDEX(Trad, 52, $A$20)</f>
        <v>Sauber</v>
      </c>
      <c r="U879" s="253"/>
      <c r="V879" s="253"/>
      <c r="W879" s="254"/>
      <c r="X879" s="251"/>
      <c r="Y879" s="251"/>
      <c r="Z879" s="264">
        <f t="shared" si="764"/>
        <v>0</v>
      </c>
      <c r="AA879" s="261"/>
      <c r="AB879" s="258"/>
      <c r="AC879" s="246"/>
      <c r="AD879" s="247" t="str">
        <f>IF(ISBLANK(AC879), "", VLOOKUP(AC879, Z!$A$2:$C$4127, 3, FALSE))</f>
        <v/>
      </c>
      <c r="AE879" s="262"/>
      <c r="AF879" s="263">
        <f t="shared" si="765"/>
        <v>0</v>
      </c>
      <c r="AG879" s="238"/>
      <c r="AH879" s="229">
        <f t="shared" si="789"/>
        <v>1</v>
      </c>
      <c r="AI879" s="229">
        <f t="shared" si="790"/>
        <v>1</v>
      </c>
      <c r="AJ879" s="229">
        <f t="shared" si="791"/>
        <v>0</v>
      </c>
      <c r="AK879" s="229">
        <v>0</v>
      </c>
      <c r="AL879" s="229">
        <v>0</v>
      </c>
      <c r="AM879" s="229">
        <v>1</v>
      </c>
      <c r="AN879" s="229">
        <v>0</v>
      </c>
      <c r="AO879" s="229">
        <f t="shared" si="766"/>
        <v>-100</v>
      </c>
      <c r="AP879" s="238"/>
      <c r="AQ879" s="255"/>
      <c r="AR879" s="255"/>
      <c r="AS879" s="256"/>
      <c r="AT879" s="256"/>
      <c r="AU879" s="256"/>
      <c r="AV879" s="256"/>
      <c r="AW879" s="256"/>
      <c r="AX879" s="256"/>
      <c r="AY879" s="256"/>
      <c r="AZ879" s="256"/>
      <c r="BA879" s="256"/>
      <c r="BB879" s="256"/>
      <c r="BC879" s="256"/>
      <c r="BD879" s="238"/>
      <c r="BE879" s="229" cm="1">
        <f t="array" ref="BE879">IF(ISBLANK(R879), INDEX(Use, $AH879, 4) - AM879*INDEX(Use, $AH879, 6), R879)</f>
        <v>5</v>
      </c>
      <c r="BF879" s="229">
        <f t="shared" si="767"/>
        <v>30</v>
      </c>
      <c r="BG879" s="229">
        <f t="shared" si="793"/>
        <v>13</v>
      </c>
      <c r="BH879" s="229">
        <f t="shared" si="794"/>
        <v>0</v>
      </c>
      <c r="BI879" s="234" cm="1">
        <f t="array" ref="BI879">K879/IF($L879&gt;0, INDEX($AU$23:$BA$77, $L879+20, $AH879), 1)</f>
        <v>0</v>
      </c>
      <c r="BJ879" s="230">
        <f t="shared" si="768"/>
        <v>0</v>
      </c>
      <c r="BK879" s="229">
        <v>35</v>
      </c>
      <c r="BL879" s="230">
        <f t="shared" si="769"/>
        <v>48</v>
      </c>
      <c r="BM879" s="235">
        <f t="shared" si="770"/>
        <v>2.9108720930232557</v>
      </c>
      <c r="BN879" s="235" cm="1">
        <f t="array" ref="BN879">$BI879 * SUMPRODUCT(INDEX($AR$77:$AT$82,,$AI879),INDEX($AU$77:$BA$82,,$AH879), N($AQ$77:$AQ$82&gt;$AO879)) / BM879 / 1000</f>
        <v>0</v>
      </c>
      <c r="BO879" s="232">
        <f t="shared" si="795"/>
        <v>30</v>
      </c>
      <c r="BP879" s="230">
        <f t="shared" si="771"/>
        <v>43</v>
      </c>
      <c r="BQ879" s="235">
        <f t="shared" si="772"/>
        <v>3.2938815789473681</v>
      </c>
      <c r="BR879" s="235" cm="1">
        <f t="array" ref="BR879">$BI879 * IF($AH879&lt;=2,
SUMPRODUCT(INDEX($AR$72:$AT$76,,$AI879), INDEX($AU$72:$BA$76,,$AH879), 1 / ($BB$72:$BB$76*BQ879 + (1-$BB$72:$BB$76)*BM879), N($AQ$72:$AQ$76&gt;$AO879)),
SUMPRODUCT(INDEX($AR$67:$AT$76,,$AI879), INDEX($AU$67:$BA$76,,$AH879), 1 / ($BC$67:$BC$76*BQ879 + (1-$BC$67:$BC$76)*BM879), N($AQ$67:$AQ$76&gt;$AO879))
) / 1000</f>
        <v>0</v>
      </c>
      <c r="BS879" s="232">
        <f t="shared" si="796"/>
        <v>25</v>
      </c>
      <c r="BT879" s="230">
        <f t="shared" si="773"/>
        <v>38</v>
      </c>
      <c r="BU879" s="235">
        <f t="shared" si="774"/>
        <v>3.792954545454545</v>
      </c>
      <c r="BV879" s="235" cm="1">
        <f t="array" ref="BV879">$BI879 * IF($AH879&lt;=2,
SUMPRODUCT(INDEX($AR$67:$AT$71,,$AI879), INDEX($AU$67:$BA$71,,$AH879), 1 / ($BB$67:$BB$71*BU879 + (1-$BB$67:$BB$71)*BQ879), N($AQ$67:$AQ$71&gt;$AO879)),
SUMPRODUCT(INDEX($AR$57:$AT$66,,$AI879), INDEX($AU$57:$BA$66,,$AH879), 1 / ($BC$57:$BC$66*BU879 + (1-$BC$57:$BC$66)*BQ879), N($AQ$57:$AQ$66&gt;$AO879))
) / 1000</f>
        <v>0</v>
      </c>
      <c r="BW879" s="232">
        <f t="shared" si="797"/>
        <v>20</v>
      </c>
      <c r="BX879" s="230">
        <f t="shared" si="775"/>
        <v>33</v>
      </c>
      <c r="BY879" s="235">
        <f t="shared" si="776"/>
        <v>4.4702678571428569</v>
      </c>
      <c r="BZ879" s="235" cm="1">
        <f t="array" ref="BZ879">$BI879 * IF($AH879&lt;=2,
SUMPRODUCT(INDEX($AR$62:$AT$66,,$AI879), INDEX($AU$62:$BA$66,,$AH879), 1 / ($BB$62:$BB$66*BY879 + (1-$BB$62:$BB$66)*BU879), N($AQ$62:$AQ$66&gt;$AO879)),
SUMPRODUCT(INDEX($AR$47:$AT$56,,$AI879), INDEX($AU$47:$BA$56,,$AH879), 1 / ($BC$47:$BC$56*BY879 + (1-$BC$47:$BC$56)*BU879), N($AQ$47:$AQ$56&gt;$AO879))
) / 1000</f>
        <v>0</v>
      </c>
      <c r="CA879" s="235" cm="1">
        <f t="array" ref="CA879">$BI879 * IF($AH879&lt;=2,
SUMPRODUCT(INDEX($AR$23:$AT$61,,$AI879), INDEX($AU$23:$BA$61,,$AH879), 1 / ($BB$23:$BB$61*BY879), N($AQ$23:$AQ$61&gt;$AO879)),
SUMPRODUCT(INDEX($AR$23:$AT$46,,$AI879), INDEX($AU$23:$BA$46,,$AH879), 1 / ($BC$23:$BC$46*BY879), N($AQ$23:$AQ$46&gt;$AO879))
) / 1000</f>
        <v>0</v>
      </c>
      <c r="CB879" s="230">
        <f t="shared" si="777"/>
        <v>0</v>
      </c>
      <c r="CC879" s="238"/>
      <c r="CD879" s="229" cm="1">
        <f t="array" ref="CD879">IF(ISBLANK(Y879), INDEX(Use, $AH879, 4) - AN879*INDEX(Use, $AH879, 6) - (Q879-X879), Y879)</f>
        <v>7</v>
      </c>
      <c r="CE879" s="229">
        <f t="shared" si="778"/>
        <v>32</v>
      </c>
      <c r="CF879" s="230">
        <f t="shared" si="779"/>
        <v>0</v>
      </c>
      <c r="CG879" s="229">
        <v>35</v>
      </c>
      <c r="CH879" s="230">
        <f t="shared" si="780"/>
        <v>48</v>
      </c>
      <c r="CI879" s="235">
        <f t="shared" si="781"/>
        <v>3.0748170731707316</v>
      </c>
      <c r="CJ879" s="235" cm="1">
        <f t="array" ref="CJ879">$BI879 * SUMPRODUCT(INDEX($AR$77:$AT$82,,$AI879),INDEX($AU$77:$BA$82,,$AH879), N($AQ$77:$AQ$82&gt;$AO879)) / CI879 / 1000</f>
        <v>0</v>
      </c>
      <c r="CK879" s="232">
        <f t="shared" si="798"/>
        <v>30</v>
      </c>
      <c r="CL879" s="230">
        <f t="shared" si="782"/>
        <v>43</v>
      </c>
      <c r="CM879" s="235">
        <f t="shared" si="783"/>
        <v>3.5018750000000001</v>
      </c>
      <c r="CN879" s="235" cm="1">
        <f t="array" ref="CN879">$BI879 * IF($AH879&lt;=2,
SUMPRODUCT(INDEX($AR$72:$AT$76,,$AI879), INDEX($AU$72:$BA$76,,$AH879), 1 / ($BB$72:$BB$76*CM879 + (1-$BB$72:$BB$76)*CI879), N($AQ$72:$AQ$76&gt;$AO879)),
SUMPRODUCT(INDEX($AR$67:$AT$76,,$AI879), INDEX($AU$67:$BA$76,,$AH879), 1 / ($BC$67:$BC$76*CM879 + (1-$BC$67:$BC$76)*CI879), N($AQ$67:$AQ$76&gt;$AO879))
) / 1000</f>
        <v>0</v>
      </c>
      <c r="CO879" s="232">
        <f t="shared" si="799"/>
        <v>25</v>
      </c>
      <c r="CP879" s="230">
        <f t="shared" si="784"/>
        <v>38</v>
      </c>
      <c r="CQ879" s="235">
        <f t="shared" si="785"/>
        <v>4.0666935483870965</v>
      </c>
      <c r="CR879" s="235" cm="1">
        <f t="array" ref="CR879">$BI879 * IF($AH879&lt;=2,
SUMPRODUCT(INDEX($AR$67:$AT$71,,$AI879), INDEX($AU$67:$BA$71,,$AH879), 1 / ($BB$67:$BB$71*CQ879 + (1-$BB$67:$BB$71)*CM879), N($AQ$67:$AQ$71&gt;$AO879)),
SUMPRODUCT(INDEX($AR$57:$AT$66,,$AI879), INDEX($AU$57:$BA$66,,$AH879), 1 / ($BC$57:$BC$66*CQ879 + (1-$BC$57:$BC$66)*CM879), N($AQ$57:$AQ$66&gt;$AO879))
) / 1000</f>
        <v>0</v>
      </c>
      <c r="CS879" s="232">
        <f t="shared" si="800"/>
        <v>20</v>
      </c>
      <c r="CT879" s="230">
        <f t="shared" si="786"/>
        <v>33</v>
      </c>
      <c r="CU879" s="235">
        <f t="shared" si="787"/>
        <v>4.8487499999999999</v>
      </c>
      <c r="CV879" s="235" cm="1">
        <f t="array" ref="CV879">$BI879 * IF($AH879&lt;=2,
SUMPRODUCT(INDEX($AR$62:$AT$66,,$AI879), INDEX($AU$62:$BA$66,,$AH879), 1 / ($BB$62:$BB$66*CU879 + (1-$BB$62:$BB$66)*CQ879), N($AQ$62:$AQ$66&gt;$AO879)),
SUMPRODUCT(INDEX($AR$47:$AT$56,,$AI879), INDEX($AU$47:$BA$56,,$AH879), 1 / ($BC$47:$BC$56*CU879 + (1-$BC$47:$BC$56)*CQ879), N($AQ$47:$AQ$56&gt;$AO879))
) / 1000</f>
        <v>0</v>
      </c>
      <c r="CW879" s="235" cm="1">
        <f t="array" ref="CW879">$BI879 * IF($AH879&lt;=2,
SUMPRODUCT(INDEX($AR$23:$AT$61,,$AI879), INDEX($AU$23:$BA$61,,$AH879), 1 / ($BB$23:$BB$61*CU879), N($AQ$23:$AQ$61&gt;$AO879)),
SUMPRODUCT(INDEX($AR$23:$AT$46,,$AI879), INDEX($AU$23:$BA$46,,$AH879), 1 / ($BC$23:$BC$46*CU879), N($AQ$23:$AQ$46&gt;$AO879))
) / 1000</f>
        <v>0</v>
      </c>
      <c r="CX879" s="230">
        <f t="shared" si="788"/>
        <v>0</v>
      </c>
      <c r="CY879" s="238"/>
    </row>
    <row r="880" spans="1:103" s="76" customFormat="1" ht="14.25" customHeight="1" x14ac:dyDescent="0.2">
      <c r="A880" s="231" t="b">
        <f t="shared" si="792"/>
        <v>0</v>
      </c>
      <c r="B880" s="245">
        <v>858</v>
      </c>
      <c r="C880" s="258"/>
      <c r="D880" s="258"/>
      <c r="E880" s="246"/>
      <c r="F880" s="247" t="str">
        <f>IF(ISBLANK(E880), "", VLOOKUP(E880, Z!$A$2:$C$4127, 3, FALSE))</f>
        <v/>
      </c>
      <c r="G880" s="248"/>
      <c r="H880" s="248"/>
      <c r="I880" s="249"/>
      <c r="J880" s="250"/>
      <c r="K880" s="259"/>
      <c r="L880" s="260"/>
      <c r="M880" s="252" t="str" cm="1">
        <f t="array" ref="M880">INDEX(Trad, 53, $A$20)</f>
        <v>Verschmutzt</v>
      </c>
      <c r="N880" s="253"/>
      <c r="O880" s="253"/>
      <c r="P880" s="254"/>
      <c r="Q880" s="251"/>
      <c r="R880" s="251"/>
      <c r="S880" s="264">
        <f t="shared" si="763"/>
        <v>0</v>
      </c>
      <c r="T880" s="252" t="str" cm="1">
        <f t="array" ref="T880">INDEX(Trad, 52, $A$20)</f>
        <v>Sauber</v>
      </c>
      <c r="U880" s="253"/>
      <c r="V880" s="253"/>
      <c r="W880" s="254"/>
      <c r="X880" s="251"/>
      <c r="Y880" s="251"/>
      <c r="Z880" s="264">
        <f t="shared" si="764"/>
        <v>0</v>
      </c>
      <c r="AA880" s="261"/>
      <c r="AB880" s="258"/>
      <c r="AC880" s="246"/>
      <c r="AD880" s="247" t="str">
        <f>IF(ISBLANK(AC880), "", VLOOKUP(AC880, Z!$A$2:$C$4127, 3, FALSE))</f>
        <v/>
      </c>
      <c r="AE880" s="262"/>
      <c r="AF880" s="263">
        <f t="shared" si="765"/>
        <v>0</v>
      </c>
      <c r="AG880" s="238"/>
      <c r="AH880" s="229">
        <f t="shared" si="789"/>
        <v>1</v>
      </c>
      <c r="AI880" s="229">
        <f t="shared" si="790"/>
        <v>1</v>
      </c>
      <c r="AJ880" s="229">
        <f t="shared" si="791"/>
        <v>0</v>
      </c>
      <c r="AK880" s="229">
        <v>0</v>
      </c>
      <c r="AL880" s="229">
        <v>0</v>
      </c>
      <c r="AM880" s="229">
        <v>1</v>
      </c>
      <c r="AN880" s="229">
        <v>0</v>
      </c>
      <c r="AO880" s="229">
        <f t="shared" si="766"/>
        <v>-100</v>
      </c>
      <c r="AP880" s="238"/>
      <c r="AQ880" s="255"/>
      <c r="AR880" s="255"/>
      <c r="AS880" s="256"/>
      <c r="AT880" s="256"/>
      <c r="AU880" s="256"/>
      <c r="AV880" s="256"/>
      <c r="AW880" s="256"/>
      <c r="AX880" s="256"/>
      <c r="AY880" s="256"/>
      <c r="AZ880" s="256"/>
      <c r="BA880" s="256"/>
      <c r="BB880" s="256"/>
      <c r="BC880" s="256"/>
      <c r="BD880" s="238"/>
      <c r="BE880" s="229" cm="1">
        <f t="array" ref="BE880">IF(ISBLANK(R880), INDEX(Use, $AH880, 4) - AM880*INDEX(Use, $AH880, 6), R880)</f>
        <v>5</v>
      </c>
      <c r="BF880" s="229">
        <f t="shared" si="767"/>
        <v>30</v>
      </c>
      <c r="BG880" s="229">
        <f t="shared" si="793"/>
        <v>13</v>
      </c>
      <c r="BH880" s="229">
        <f t="shared" si="794"/>
        <v>0</v>
      </c>
      <c r="BI880" s="234" cm="1">
        <f t="array" ref="BI880">K880/IF($L880&gt;0, INDEX($AU$23:$BA$77, $L880+20, $AH880), 1)</f>
        <v>0</v>
      </c>
      <c r="BJ880" s="230">
        <f t="shared" si="768"/>
        <v>0</v>
      </c>
      <c r="BK880" s="229">
        <v>35</v>
      </c>
      <c r="BL880" s="230">
        <f t="shared" si="769"/>
        <v>48</v>
      </c>
      <c r="BM880" s="235">
        <f t="shared" si="770"/>
        <v>2.9108720930232557</v>
      </c>
      <c r="BN880" s="235" cm="1">
        <f t="array" ref="BN880">$BI880 * SUMPRODUCT(INDEX($AR$77:$AT$82,,$AI880),INDEX($AU$77:$BA$82,,$AH880), N($AQ$77:$AQ$82&gt;$AO880)) / BM880 / 1000</f>
        <v>0</v>
      </c>
      <c r="BO880" s="232">
        <f t="shared" si="795"/>
        <v>30</v>
      </c>
      <c r="BP880" s="230">
        <f t="shared" si="771"/>
        <v>43</v>
      </c>
      <c r="BQ880" s="235">
        <f t="shared" si="772"/>
        <v>3.2938815789473681</v>
      </c>
      <c r="BR880" s="235" cm="1">
        <f t="array" ref="BR880">$BI880 * IF($AH880&lt;=2,
SUMPRODUCT(INDEX($AR$72:$AT$76,,$AI880), INDEX($AU$72:$BA$76,,$AH880), 1 / ($BB$72:$BB$76*BQ880 + (1-$BB$72:$BB$76)*BM880), N($AQ$72:$AQ$76&gt;$AO880)),
SUMPRODUCT(INDEX($AR$67:$AT$76,,$AI880), INDEX($AU$67:$BA$76,,$AH880), 1 / ($BC$67:$BC$76*BQ880 + (1-$BC$67:$BC$76)*BM880), N($AQ$67:$AQ$76&gt;$AO880))
) / 1000</f>
        <v>0</v>
      </c>
      <c r="BS880" s="232">
        <f t="shared" si="796"/>
        <v>25</v>
      </c>
      <c r="BT880" s="230">
        <f t="shared" si="773"/>
        <v>38</v>
      </c>
      <c r="BU880" s="235">
        <f t="shared" si="774"/>
        <v>3.792954545454545</v>
      </c>
      <c r="BV880" s="235" cm="1">
        <f t="array" ref="BV880">$BI880 * IF($AH880&lt;=2,
SUMPRODUCT(INDEX($AR$67:$AT$71,,$AI880), INDEX($AU$67:$BA$71,,$AH880), 1 / ($BB$67:$BB$71*BU880 + (1-$BB$67:$BB$71)*BQ880), N($AQ$67:$AQ$71&gt;$AO880)),
SUMPRODUCT(INDEX($AR$57:$AT$66,,$AI880), INDEX($AU$57:$BA$66,,$AH880), 1 / ($BC$57:$BC$66*BU880 + (1-$BC$57:$BC$66)*BQ880), N($AQ$57:$AQ$66&gt;$AO880))
) / 1000</f>
        <v>0</v>
      </c>
      <c r="BW880" s="232">
        <f t="shared" si="797"/>
        <v>20</v>
      </c>
      <c r="BX880" s="230">
        <f t="shared" si="775"/>
        <v>33</v>
      </c>
      <c r="BY880" s="235">
        <f t="shared" si="776"/>
        <v>4.4702678571428569</v>
      </c>
      <c r="BZ880" s="235" cm="1">
        <f t="array" ref="BZ880">$BI880 * IF($AH880&lt;=2,
SUMPRODUCT(INDEX($AR$62:$AT$66,,$AI880), INDEX($AU$62:$BA$66,,$AH880), 1 / ($BB$62:$BB$66*BY880 + (1-$BB$62:$BB$66)*BU880), N($AQ$62:$AQ$66&gt;$AO880)),
SUMPRODUCT(INDEX($AR$47:$AT$56,,$AI880), INDEX($AU$47:$BA$56,,$AH880), 1 / ($BC$47:$BC$56*BY880 + (1-$BC$47:$BC$56)*BU880), N($AQ$47:$AQ$56&gt;$AO880))
) / 1000</f>
        <v>0</v>
      </c>
      <c r="CA880" s="235" cm="1">
        <f t="array" ref="CA880">$BI880 * IF($AH880&lt;=2,
SUMPRODUCT(INDEX($AR$23:$AT$61,,$AI880), INDEX($AU$23:$BA$61,,$AH880), 1 / ($BB$23:$BB$61*BY880), N($AQ$23:$AQ$61&gt;$AO880)),
SUMPRODUCT(INDEX($AR$23:$AT$46,,$AI880), INDEX($AU$23:$BA$46,,$AH880), 1 / ($BC$23:$BC$46*BY880), N($AQ$23:$AQ$46&gt;$AO880))
) / 1000</f>
        <v>0</v>
      </c>
      <c r="CB880" s="230">
        <f t="shared" si="777"/>
        <v>0</v>
      </c>
      <c r="CC880" s="238"/>
      <c r="CD880" s="229" cm="1">
        <f t="array" ref="CD880">IF(ISBLANK(Y880), INDEX(Use, $AH880, 4) - AN880*INDEX(Use, $AH880, 6) - (Q880-X880), Y880)</f>
        <v>7</v>
      </c>
      <c r="CE880" s="229">
        <f t="shared" si="778"/>
        <v>32</v>
      </c>
      <c r="CF880" s="230">
        <f t="shared" si="779"/>
        <v>0</v>
      </c>
      <c r="CG880" s="229">
        <v>35</v>
      </c>
      <c r="CH880" s="230">
        <f t="shared" si="780"/>
        <v>48</v>
      </c>
      <c r="CI880" s="235">
        <f t="shared" si="781"/>
        <v>3.0748170731707316</v>
      </c>
      <c r="CJ880" s="235" cm="1">
        <f t="array" ref="CJ880">$BI880 * SUMPRODUCT(INDEX($AR$77:$AT$82,,$AI880),INDEX($AU$77:$BA$82,,$AH880), N($AQ$77:$AQ$82&gt;$AO880)) / CI880 / 1000</f>
        <v>0</v>
      </c>
      <c r="CK880" s="232">
        <f t="shared" si="798"/>
        <v>30</v>
      </c>
      <c r="CL880" s="230">
        <f t="shared" si="782"/>
        <v>43</v>
      </c>
      <c r="CM880" s="235">
        <f t="shared" si="783"/>
        <v>3.5018750000000001</v>
      </c>
      <c r="CN880" s="235" cm="1">
        <f t="array" ref="CN880">$BI880 * IF($AH880&lt;=2,
SUMPRODUCT(INDEX($AR$72:$AT$76,,$AI880), INDEX($AU$72:$BA$76,,$AH880), 1 / ($BB$72:$BB$76*CM880 + (1-$BB$72:$BB$76)*CI880), N($AQ$72:$AQ$76&gt;$AO880)),
SUMPRODUCT(INDEX($AR$67:$AT$76,,$AI880), INDEX($AU$67:$BA$76,,$AH880), 1 / ($BC$67:$BC$76*CM880 + (1-$BC$67:$BC$76)*CI880), N($AQ$67:$AQ$76&gt;$AO880))
) / 1000</f>
        <v>0</v>
      </c>
      <c r="CO880" s="232">
        <f t="shared" si="799"/>
        <v>25</v>
      </c>
      <c r="CP880" s="230">
        <f t="shared" si="784"/>
        <v>38</v>
      </c>
      <c r="CQ880" s="235">
        <f t="shared" si="785"/>
        <v>4.0666935483870965</v>
      </c>
      <c r="CR880" s="235" cm="1">
        <f t="array" ref="CR880">$BI880 * IF($AH880&lt;=2,
SUMPRODUCT(INDEX($AR$67:$AT$71,,$AI880), INDEX($AU$67:$BA$71,,$AH880), 1 / ($BB$67:$BB$71*CQ880 + (1-$BB$67:$BB$71)*CM880), N($AQ$67:$AQ$71&gt;$AO880)),
SUMPRODUCT(INDEX($AR$57:$AT$66,,$AI880), INDEX($AU$57:$BA$66,,$AH880), 1 / ($BC$57:$BC$66*CQ880 + (1-$BC$57:$BC$66)*CM880), N($AQ$57:$AQ$66&gt;$AO880))
) / 1000</f>
        <v>0</v>
      </c>
      <c r="CS880" s="232">
        <f t="shared" si="800"/>
        <v>20</v>
      </c>
      <c r="CT880" s="230">
        <f t="shared" si="786"/>
        <v>33</v>
      </c>
      <c r="CU880" s="235">
        <f t="shared" si="787"/>
        <v>4.8487499999999999</v>
      </c>
      <c r="CV880" s="235" cm="1">
        <f t="array" ref="CV880">$BI880 * IF($AH880&lt;=2,
SUMPRODUCT(INDEX($AR$62:$AT$66,,$AI880), INDEX($AU$62:$BA$66,,$AH880), 1 / ($BB$62:$BB$66*CU880 + (1-$BB$62:$BB$66)*CQ880), N($AQ$62:$AQ$66&gt;$AO880)),
SUMPRODUCT(INDEX($AR$47:$AT$56,,$AI880), INDEX($AU$47:$BA$56,,$AH880), 1 / ($BC$47:$BC$56*CU880 + (1-$BC$47:$BC$56)*CQ880), N($AQ$47:$AQ$56&gt;$AO880))
) / 1000</f>
        <v>0</v>
      </c>
      <c r="CW880" s="235" cm="1">
        <f t="array" ref="CW880">$BI880 * IF($AH880&lt;=2,
SUMPRODUCT(INDEX($AR$23:$AT$61,,$AI880), INDEX($AU$23:$BA$61,,$AH880), 1 / ($BB$23:$BB$61*CU880), N($AQ$23:$AQ$61&gt;$AO880)),
SUMPRODUCT(INDEX($AR$23:$AT$46,,$AI880), INDEX($AU$23:$BA$46,,$AH880), 1 / ($BC$23:$BC$46*CU880), N($AQ$23:$AQ$46&gt;$AO880))
) / 1000</f>
        <v>0</v>
      </c>
      <c r="CX880" s="230">
        <f t="shared" si="788"/>
        <v>0</v>
      </c>
      <c r="CY880" s="238"/>
    </row>
    <row r="881" spans="1:103" s="76" customFormat="1" ht="14.25" customHeight="1" x14ac:dyDescent="0.2">
      <c r="A881" s="231" t="b">
        <f t="shared" si="792"/>
        <v>0</v>
      </c>
      <c r="B881" s="245">
        <v>859</v>
      </c>
      <c r="C881" s="258"/>
      <c r="D881" s="258"/>
      <c r="E881" s="246"/>
      <c r="F881" s="247" t="str">
        <f>IF(ISBLANK(E881), "", VLOOKUP(E881, Z!$A$2:$C$4127, 3, FALSE))</f>
        <v/>
      </c>
      <c r="G881" s="248"/>
      <c r="H881" s="248"/>
      <c r="I881" s="249"/>
      <c r="J881" s="250"/>
      <c r="K881" s="259"/>
      <c r="L881" s="260"/>
      <c r="M881" s="252" t="str" cm="1">
        <f t="array" ref="M881">INDEX(Trad, 53, $A$20)</f>
        <v>Verschmutzt</v>
      </c>
      <c r="N881" s="253"/>
      <c r="O881" s="253"/>
      <c r="P881" s="254"/>
      <c r="Q881" s="251"/>
      <c r="R881" s="251"/>
      <c r="S881" s="264">
        <f t="shared" si="763"/>
        <v>0</v>
      </c>
      <c r="T881" s="252" t="str" cm="1">
        <f t="array" ref="T881">INDEX(Trad, 52, $A$20)</f>
        <v>Sauber</v>
      </c>
      <c r="U881" s="253"/>
      <c r="V881" s="253"/>
      <c r="W881" s="254"/>
      <c r="X881" s="251"/>
      <c r="Y881" s="251"/>
      <c r="Z881" s="264">
        <f t="shared" si="764"/>
        <v>0</v>
      </c>
      <c r="AA881" s="261"/>
      <c r="AB881" s="258"/>
      <c r="AC881" s="246"/>
      <c r="AD881" s="247" t="str">
        <f>IF(ISBLANK(AC881), "", VLOOKUP(AC881, Z!$A$2:$C$4127, 3, FALSE))</f>
        <v/>
      </c>
      <c r="AE881" s="262"/>
      <c r="AF881" s="263">
        <f t="shared" si="765"/>
        <v>0</v>
      </c>
      <c r="AG881" s="238"/>
      <c r="AH881" s="229">
        <f t="shared" si="789"/>
        <v>1</v>
      </c>
      <c r="AI881" s="229">
        <f t="shared" si="790"/>
        <v>1</v>
      </c>
      <c r="AJ881" s="229">
        <f t="shared" si="791"/>
        <v>0</v>
      </c>
      <c r="AK881" s="229">
        <v>0</v>
      </c>
      <c r="AL881" s="229">
        <v>0</v>
      </c>
      <c r="AM881" s="229">
        <v>1</v>
      </c>
      <c r="AN881" s="229">
        <v>0</v>
      </c>
      <c r="AO881" s="229">
        <f t="shared" si="766"/>
        <v>-100</v>
      </c>
      <c r="AP881" s="238"/>
      <c r="AQ881" s="255"/>
      <c r="AR881" s="255"/>
      <c r="AS881" s="256"/>
      <c r="AT881" s="256"/>
      <c r="AU881" s="256"/>
      <c r="AV881" s="256"/>
      <c r="AW881" s="256"/>
      <c r="AX881" s="256"/>
      <c r="AY881" s="256"/>
      <c r="AZ881" s="256"/>
      <c r="BA881" s="256"/>
      <c r="BB881" s="256"/>
      <c r="BC881" s="256"/>
      <c r="BD881" s="238"/>
      <c r="BE881" s="229" cm="1">
        <f t="array" ref="BE881">IF(ISBLANK(R881), INDEX(Use, $AH881, 4) - AM881*INDEX(Use, $AH881, 6), R881)</f>
        <v>5</v>
      </c>
      <c r="BF881" s="229">
        <f t="shared" si="767"/>
        <v>30</v>
      </c>
      <c r="BG881" s="229">
        <f t="shared" si="793"/>
        <v>13</v>
      </c>
      <c r="BH881" s="229">
        <f t="shared" si="794"/>
        <v>0</v>
      </c>
      <c r="BI881" s="234" cm="1">
        <f t="array" ref="BI881">K881/IF($L881&gt;0, INDEX($AU$23:$BA$77, $L881+20, $AH881), 1)</f>
        <v>0</v>
      </c>
      <c r="BJ881" s="230">
        <f t="shared" si="768"/>
        <v>0</v>
      </c>
      <c r="BK881" s="229">
        <v>35</v>
      </c>
      <c r="BL881" s="230">
        <f t="shared" si="769"/>
        <v>48</v>
      </c>
      <c r="BM881" s="235">
        <f t="shared" si="770"/>
        <v>2.9108720930232557</v>
      </c>
      <c r="BN881" s="235" cm="1">
        <f t="array" ref="BN881">$BI881 * SUMPRODUCT(INDEX($AR$77:$AT$82,,$AI881),INDEX($AU$77:$BA$82,,$AH881), N($AQ$77:$AQ$82&gt;$AO881)) / BM881 / 1000</f>
        <v>0</v>
      </c>
      <c r="BO881" s="232">
        <f t="shared" si="795"/>
        <v>30</v>
      </c>
      <c r="BP881" s="230">
        <f t="shared" si="771"/>
        <v>43</v>
      </c>
      <c r="BQ881" s="235">
        <f t="shared" si="772"/>
        <v>3.2938815789473681</v>
      </c>
      <c r="BR881" s="235" cm="1">
        <f t="array" ref="BR881">$BI881 * IF($AH881&lt;=2,
SUMPRODUCT(INDEX($AR$72:$AT$76,,$AI881), INDEX($AU$72:$BA$76,,$AH881), 1 / ($BB$72:$BB$76*BQ881 + (1-$BB$72:$BB$76)*BM881), N($AQ$72:$AQ$76&gt;$AO881)),
SUMPRODUCT(INDEX($AR$67:$AT$76,,$AI881), INDEX($AU$67:$BA$76,,$AH881), 1 / ($BC$67:$BC$76*BQ881 + (1-$BC$67:$BC$76)*BM881), N($AQ$67:$AQ$76&gt;$AO881))
) / 1000</f>
        <v>0</v>
      </c>
      <c r="BS881" s="232">
        <f t="shared" si="796"/>
        <v>25</v>
      </c>
      <c r="BT881" s="230">
        <f t="shared" si="773"/>
        <v>38</v>
      </c>
      <c r="BU881" s="235">
        <f t="shared" si="774"/>
        <v>3.792954545454545</v>
      </c>
      <c r="BV881" s="235" cm="1">
        <f t="array" ref="BV881">$BI881 * IF($AH881&lt;=2,
SUMPRODUCT(INDEX($AR$67:$AT$71,,$AI881), INDEX($AU$67:$BA$71,,$AH881), 1 / ($BB$67:$BB$71*BU881 + (1-$BB$67:$BB$71)*BQ881), N($AQ$67:$AQ$71&gt;$AO881)),
SUMPRODUCT(INDEX($AR$57:$AT$66,,$AI881), INDEX($AU$57:$BA$66,,$AH881), 1 / ($BC$57:$BC$66*BU881 + (1-$BC$57:$BC$66)*BQ881), N($AQ$57:$AQ$66&gt;$AO881))
) / 1000</f>
        <v>0</v>
      </c>
      <c r="BW881" s="232">
        <f t="shared" si="797"/>
        <v>20</v>
      </c>
      <c r="BX881" s="230">
        <f t="shared" si="775"/>
        <v>33</v>
      </c>
      <c r="BY881" s="235">
        <f t="shared" si="776"/>
        <v>4.4702678571428569</v>
      </c>
      <c r="BZ881" s="235" cm="1">
        <f t="array" ref="BZ881">$BI881 * IF($AH881&lt;=2,
SUMPRODUCT(INDEX($AR$62:$AT$66,,$AI881), INDEX($AU$62:$BA$66,,$AH881), 1 / ($BB$62:$BB$66*BY881 + (1-$BB$62:$BB$66)*BU881), N($AQ$62:$AQ$66&gt;$AO881)),
SUMPRODUCT(INDEX($AR$47:$AT$56,,$AI881), INDEX($AU$47:$BA$56,,$AH881), 1 / ($BC$47:$BC$56*BY881 + (1-$BC$47:$BC$56)*BU881), N($AQ$47:$AQ$56&gt;$AO881))
) / 1000</f>
        <v>0</v>
      </c>
      <c r="CA881" s="235" cm="1">
        <f t="array" ref="CA881">$BI881 * IF($AH881&lt;=2,
SUMPRODUCT(INDEX($AR$23:$AT$61,,$AI881), INDEX($AU$23:$BA$61,,$AH881), 1 / ($BB$23:$BB$61*BY881), N($AQ$23:$AQ$61&gt;$AO881)),
SUMPRODUCT(INDEX($AR$23:$AT$46,,$AI881), INDEX($AU$23:$BA$46,,$AH881), 1 / ($BC$23:$BC$46*BY881), N($AQ$23:$AQ$46&gt;$AO881))
) / 1000</f>
        <v>0</v>
      </c>
      <c r="CB881" s="230">
        <f t="shared" si="777"/>
        <v>0</v>
      </c>
      <c r="CC881" s="238"/>
      <c r="CD881" s="229" cm="1">
        <f t="array" ref="CD881">IF(ISBLANK(Y881), INDEX(Use, $AH881, 4) - AN881*INDEX(Use, $AH881, 6) - (Q881-X881), Y881)</f>
        <v>7</v>
      </c>
      <c r="CE881" s="229">
        <f t="shared" si="778"/>
        <v>32</v>
      </c>
      <c r="CF881" s="230">
        <f t="shared" si="779"/>
        <v>0</v>
      </c>
      <c r="CG881" s="229">
        <v>35</v>
      </c>
      <c r="CH881" s="230">
        <f t="shared" si="780"/>
        <v>48</v>
      </c>
      <c r="CI881" s="235">
        <f t="shared" si="781"/>
        <v>3.0748170731707316</v>
      </c>
      <c r="CJ881" s="235" cm="1">
        <f t="array" ref="CJ881">$BI881 * SUMPRODUCT(INDEX($AR$77:$AT$82,,$AI881),INDEX($AU$77:$BA$82,,$AH881), N($AQ$77:$AQ$82&gt;$AO881)) / CI881 / 1000</f>
        <v>0</v>
      </c>
      <c r="CK881" s="232">
        <f t="shared" si="798"/>
        <v>30</v>
      </c>
      <c r="CL881" s="230">
        <f t="shared" si="782"/>
        <v>43</v>
      </c>
      <c r="CM881" s="235">
        <f t="shared" si="783"/>
        <v>3.5018750000000001</v>
      </c>
      <c r="CN881" s="235" cm="1">
        <f t="array" ref="CN881">$BI881 * IF($AH881&lt;=2,
SUMPRODUCT(INDEX($AR$72:$AT$76,,$AI881), INDEX($AU$72:$BA$76,,$AH881), 1 / ($BB$72:$BB$76*CM881 + (1-$BB$72:$BB$76)*CI881), N($AQ$72:$AQ$76&gt;$AO881)),
SUMPRODUCT(INDEX($AR$67:$AT$76,,$AI881), INDEX($AU$67:$BA$76,,$AH881), 1 / ($BC$67:$BC$76*CM881 + (1-$BC$67:$BC$76)*CI881), N($AQ$67:$AQ$76&gt;$AO881))
) / 1000</f>
        <v>0</v>
      </c>
      <c r="CO881" s="232">
        <f t="shared" si="799"/>
        <v>25</v>
      </c>
      <c r="CP881" s="230">
        <f t="shared" si="784"/>
        <v>38</v>
      </c>
      <c r="CQ881" s="235">
        <f t="shared" si="785"/>
        <v>4.0666935483870965</v>
      </c>
      <c r="CR881" s="235" cm="1">
        <f t="array" ref="CR881">$BI881 * IF($AH881&lt;=2,
SUMPRODUCT(INDEX($AR$67:$AT$71,,$AI881), INDEX($AU$67:$BA$71,,$AH881), 1 / ($BB$67:$BB$71*CQ881 + (1-$BB$67:$BB$71)*CM881), N($AQ$67:$AQ$71&gt;$AO881)),
SUMPRODUCT(INDEX($AR$57:$AT$66,,$AI881), INDEX($AU$57:$BA$66,,$AH881), 1 / ($BC$57:$BC$66*CQ881 + (1-$BC$57:$BC$66)*CM881), N($AQ$57:$AQ$66&gt;$AO881))
) / 1000</f>
        <v>0</v>
      </c>
      <c r="CS881" s="232">
        <f t="shared" si="800"/>
        <v>20</v>
      </c>
      <c r="CT881" s="230">
        <f t="shared" si="786"/>
        <v>33</v>
      </c>
      <c r="CU881" s="235">
        <f t="shared" si="787"/>
        <v>4.8487499999999999</v>
      </c>
      <c r="CV881" s="235" cm="1">
        <f t="array" ref="CV881">$BI881 * IF($AH881&lt;=2,
SUMPRODUCT(INDEX($AR$62:$AT$66,,$AI881), INDEX($AU$62:$BA$66,,$AH881), 1 / ($BB$62:$BB$66*CU881 + (1-$BB$62:$BB$66)*CQ881), N($AQ$62:$AQ$66&gt;$AO881)),
SUMPRODUCT(INDEX($AR$47:$AT$56,,$AI881), INDEX($AU$47:$BA$56,,$AH881), 1 / ($BC$47:$BC$56*CU881 + (1-$BC$47:$BC$56)*CQ881), N($AQ$47:$AQ$56&gt;$AO881))
) / 1000</f>
        <v>0</v>
      </c>
      <c r="CW881" s="235" cm="1">
        <f t="array" ref="CW881">$BI881 * IF($AH881&lt;=2,
SUMPRODUCT(INDEX($AR$23:$AT$61,,$AI881), INDEX($AU$23:$BA$61,,$AH881), 1 / ($BB$23:$BB$61*CU881), N($AQ$23:$AQ$61&gt;$AO881)),
SUMPRODUCT(INDEX($AR$23:$AT$46,,$AI881), INDEX($AU$23:$BA$46,,$AH881), 1 / ($BC$23:$BC$46*CU881), N($AQ$23:$AQ$46&gt;$AO881))
) / 1000</f>
        <v>0</v>
      </c>
      <c r="CX881" s="230">
        <f t="shared" si="788"/>
        <v>0</v>
      </c>
      <c r="CY881" s="238"/>
    </row>
    <row r="882" spans="1:103" s="76" customFormat="1" ht="14.25" customHeight="1" x14ac:dyDescent="0.2">
      <c r="A882" s="231" t="b">
        <f t="shared" si="792"/>
        <v>0</v>
      </c>
      <c r="B882" s="245">
        <v>860</v>
      </c>
      <c r="C882" s="258"/>
      <c r="D882" s="258"/>
      <c r="E882" s="246"/>
      <c r="F882" s="247" t="str">
        <f>IF(ISBLANK(E882), "", VLOOKUP(E882, Z!$A$2:$C$4127, 3, FALSE))</f>
        <v/>
      </c>
      <c r="G882" s="248"/>
      <c r="H882" s="248"/>
      <c r="I882" s="249"/>
      <c r="J882" s="250"/>
      <c r="K882" s="259"/>
      <c r="L882" s="260"/>
      <c r="M882" s="252" t="str" cm="1">
        <f t="array" ref="M882">INDEX(Trad, 53, $A$20)</f>
        <v>Verschmutzt</v>
      </c>
      <c r="N882" s="253"/>
      <c r="O882" s="253"/>
      <c r="P882" s="254"/>
      <c r="Q882" s="251"/>
      <c r="R882" s="251"/>
      <c r="S882" s="264">
        <f t="shared" si="763"/>
        <v>0</v>
      </c>
      <c r="T882" s="252" t="str" cm="1">
        <f t="array" ref="T882">INDEX(Trad, 52, $A$20)</f>
        <v>Sauber</v>
      </c>
      <c r="U882" s="253"/>
      <c r="V882" s="253"/>
      <c r="W882" s="254"/>
      <c r="X882" s="251"/>
      <c r="Y882" s="251"/>
      <c r="Z882" s="264">
        <f t="shared" si="764"/>
        <v>0</v>
      </c>
      <c r="AA882" s="261"/>
      <c r="AB882" s="258"/>
      <c r="AC882" s="246"/>
      <c r="AD882" s="247" t="str">
        <f>IF(ISBLANK(AC882), "", VLOOKUP(AC882, Z!$A$2:$C$4127, 3, FALSE))</f>
        <v/>
      </c>
      <c r="AE882" s="262"/>
      <c r="AF882" s="263">
        <f t="shared" si="765"/>
        <v>0</v>
      </c>
      <c r="AG882" s="238"/>
      <c r="AH882" s="229">
        <f t="shared" si="789"/>
        <v>1</v>
      </c>
      <c r="AI882" s="229">
        <f t="shared" si="790"/>
        <v>1</v>
      </c>
      <c r="AJ882" s="229">
        <f t="shared" si="791"/>
        <v>0</v>
      </c>
      <c r="AK882" s="229">
        <v>0</v>
      </c>
      <c r="AL882" s="229">
        <v>0</v>
      </c>
      <c r="AM882" s="229">
        <v>1</v>
      </c>
      <c r="AN882" s="229">
        <v>0</v>
      </c>
      <c r="AO882" s="229">
        <f t="shared" si="766"/>
        <v>-100</v>
      </c>
      <c r="AP882" s="238"/>
      <c r="AQ882" s="255"/>
      <c r="AR882" s="255"/>
      <c r="AS882" s="256"/>
      <c r="AT882" s="256"/>
      <c r="AU882" s="256"/>
      <c r="AV882" s="256"/>
      <c r="AW882" s="256"/>
      <c r="AX882" s="256"/>
      <c r="AY882" s="256"/>
      <c r="AZ882" s="256"/>
      <c r="BA882" s="256"/>
      <c r="BB882" s="256"/>
      <c r="BC882" s="256"/>
      <c r="BD882" s="238"/>
      <c r="BE882" s="229" cm="1">
        <f t="array" ref="BE882">IF(ISBLANK(R882), INDEX(Use, $AH882, 4) - AM882*INDEX(Use, $AH882, 6), R882)</f>
        <v>5</v>
      </c>
      <c r="BF882" s="229">
        <f t="shared" si="767"/>
        <v>30</v>
      </c>
      <c r="BG882" s="229">
        <f t="shared" si="793"/>
        <v>13</v>
      </c>
      <c r="BH882" s="229">
        <f t="shared" si="794"/>
        <v>0</v>
      </c>
      <c r="BI882" s="234" cm="1">
        <f t="array" ref="BI882">K882/IF($L882&gt;0, INDEX($AU$23:$BA$77, $L882+20, $AH882), 1)</f>
        <v>0</v>
      </c>
      <c r="BJ882" s="230">
        <f t="shared" si="768"/>
        <v>0</v>
      </c>
      <c r="BK882" s="229">
        <v>35</v>
      </c>
      <c r="BL882" s="230">
        <f t="shared" si="769"/>
        <v>48</v>
      </c>
      <c r="BM882" s="235">
        <f t="shared" si="770"/>
        <v>2.9108720930232557</v>
      </c>
      <c r="BN882" s="235" cm="1">
        <f t="array" ref="BN882">$BI882 * SUMPRODUCT(INDEX($AR$77:$AT$82,,$AI882),INDEX($AU$77:$BA$82,,$AH882), N($AQ$77:$AQ$82&gt;$AO882)) / BM882 / 1000</f>
        <v>0</v>
      </c>
      <c r="BO882" s="232">
        <f t="shared" si="795"/>
        <v>30</v>
      </c>
      <c r="BP882" s="230">
        <f t="shared" si="771"/>
        <v>43</v>
      </c>
      <c r="BQ882" s="235">
        <f t="shared" si="772"/>
        <v>3.2938815789473681</v>
      </c>
      <c r="BR882" s="235" cm="1">
        <f t="array" ref="BR882">$BI882 * IF($AH882&lt;=2,
SUMPRODUCT(INDEX($AR$72:$AT$76,,$AI882), INDEX($AU$72:$BA$76,,$AH882), 1 / ($BB$72:$BB$76*BQ882 + (1-$BB$72:$BB$76)*BM882), N($AQ$72:$AQ$76&gt;$AO882)),
SUMPRODUCT(INDEX($AR$67:$AT$76,,$AI882), INDEX($AU$67:$BA$76,,$AH882), 1 / ($BC$67:$BC$76*BQ882 + (1-$BC$67:$BC$76)*BM882), N($AQ$67:$AQ$76&gt;$AO882))
) / 1000</f>
        <v>0</v>
      </c>
      <c r="BS882" s="232">
        <f t="shared" si="796"/>
        <v>25</v>
      </c>
      <c r="BT882" s="230">
        <f t="shared" si="773"/>
        <v>38</v>
      </c>
      <c r="BU882" s="235">
        <f t="shared" si="774"/>
        <v>3.792954545454545</v>
      </c>
      <c r="BV882" s="235" cm="1">
        <f t="array" ref="BV882">$BI882 * IF($AH882&lt;=2,
SUMPRODUCT(INDEX($AR$67:$AT$71,,$AI882), INDEX($AU$67:$BA$71,,$AH882), 1 / ($BB$67:$BB$71*BU882 + (1-$BB$67:$BB$71)*BQ882), N($AQ$67:$AQ$71&gt;$AO882)),
SUMPRODUCT(INDEX($AR$57:$AT$66,,$AI882), INDEX($AU$57:$BA$66,,$AH882), 1 / ($BC$57:$BC$66*BU882 + (1-$BC$57:$BC$66)*BQ882), N($AQ$57:$AQ$66&gt;$AO882))
) / 1000</f>
        <v>0</v>
      </c>
      <c r="BW882" s="232">
        <f t="shared" si="797"/>
        <v>20</v>
      </c>
      <c r="BX882" s="230">
        <f t="shared" si="775"/>
        <v>33</v>
      </c>
      <c r="BY882" s="235">
        <f t="shared" si="776"/>
        <v>4.4702678571428569</v>
      </c>
      <c r="BZ882" s="235" cm="1">
        <f t="array" ref="BZ882">$BI882 * IF($AH882&lt;=2,
SUMPRODUCT(INDEX($AR$62:$AT$66,,$AI882), INDEX($AU$62:$BA$66,,$AH882), 1 / ($BB$62:$BB$66*BY882 + (1-$BB$62:$BB$66)*BU882), N($AQ$62:$AQ$66&gt;$AO882)),
SUMPRODUCT(INDEX($AR$47:$AT$56,,$AI882), INDEX($AU$47:$BA$56,,$AH882), 1 / ($BC$47:$BC$56*BY882 + (1-$BC$47:$BC$56)*BU882), N($AQ$47:$AQ$56&gt;$AO882))
) / 1000</f>
        <v>0</v>
      </c>
      <c r="CA882" s="235" cm="1">
        <f t="array" ref="CA882">$BI882 * IF($AH882&lt;=2,
SUMPRODUCT(INDEX($AR$23:$AT$61,,$AI882), INDEX($AU$23:$BA$61,,$AH882), 1 / ($BB$23:$BB$61*BY882), N($AQ$23:$AQ$61&gt;$AO882)),
SUMPRODUCT(INDEX($AR$23:$AT$46,,$AI882), INDEX($AU$23:$BA$46,,$AH882), 1 / ($BC$23:$BC$46*BY882), N($AQ$23:$AQ$46&gt;$AO882))
) / 1000</f>
        <v>0</v>
      </c>
      <c r="CB882" s="230">
        <f t="shared" si="777"/>
        <v>0</v>
      </c>
      <c r="CC882" s="238"/>
      <c r="CD882" s="229" cm="1">
        <f t="array" ref="CD882">IF(ISBLANK(Y882), INDEX(Use, $AH882, 4) - AN882*INDEX(Use, $AH882, 6) - (Q882-X882), Y882)</f>
        <v>7</v>
      </c>
      <c r="CE882" s="229">
        <f t="shared" si="778"/>
        <v>32</v>
      </c>
      <c r="CF882" s="230">
        <f t="shared" si="779"/>
        <v>0</v>
      </c>
      <c r="CG882" s="229">
        <v>35</v>
      </c>
      <c r="CH882" s="230">
        <f t="shared" si="780"/>
        <v>48</v>
      </c>
      <c r="CI882" s="235">
        <f t="shared" si="781"/>
        <v>3.0748170731707316</v>
      </c>
      <c r="CJ882" s="235" cm="1">
        <f t="array" ref="CJ882">$BI882 * SUMPRODUCT(INDEX($AR$77:$AT$82,,$AI882),INDEX($AU$77:$BA$82,,$AH882), N($AQ$77:$AQ$82&gt;$AO882)) / CI882 / 1000</f>
        <v>0</v>
      </c>
      <c r="CK882" s="232">
        <f t="shared" si="798"/>
        <v>30</v>
      </c>
      <c r="CL882" s="230">
        <f t="shared" si="782"/>
        <v>43</v>
      </c>
      <c r="CM882" s="235">
        <f t="shared" si="783"/>
        <v>3.5018750000000001</v>
      </c>
      <c r="CN882" s="235" cm="1">
        <f t="array" ref="CN882">$BI882 * IF($AH882&lt;=2,
SUMPRODUCT(INDEX($AR$72:$AT$76,,$AI882), INDEX($AU$72:$BA$76,,$AH882), 1 / ($BB$72:$BB$76*CM882 + (1-$BB$72:$BB$76)*CI882), N($AQ$72:$AQ$76&gt;$AO882)),
SUMPRODUCT(INDEX($AR$67:$AT$76,,$AI882), INDEX($AU$67:$BA$76,,$AH882), 1 / ($BC$67:$BC$76*CM882 + (1-$BC$67:$BC$76)*CI882), N($AQ$67:$AQ$76&gt;$AO882))
) / 1000</f>
        <v>0</v>
      </c>
      <c r="CO882" s="232">
        <f t="shared" si="799"/>
        <v>25</v>
      </c>
      <c r="CP882" s="230">
        <f t="shared" si="784"/>
        <v>38</v>
      </c>
      <c r="CQ882" s="235">
        <f t="shared" si="785"/>
        <v>4.0666935483870965</v>
      </c>
      <c r="CR882" s="235" cm="1">
        <f t="array" ref="CR882">$BI882 * IF($AH882&lt;=2,
SUMPRODUCT(INDEX($AR$67:$AT$71,,$AI882), INDEX($AU$67:$BA$71,,$AH882), 1 / ($BB$67:$BB$71*CQ882 + (1-$BB$67:$BB$71)*CM882), N($AQ$67:$AQ$71&gt;$AO882)),
SUMPRODUCT(INDEX($AR$57:$AT$66,,$AI882), INDEX($AU$57:$BA$66,,$AH882), 1 / ($BC$57:$BC$66*CQ882 + (1-$BC$57:$BC$66)*CM882), N($AQ$57:$AQ$66&gt;$AO882))
) / 1000</f>
        <v>0</v>
      </c>
      <c r="CS882" s="232">
        <f t="shared" si="800"/>
        <v>20</v>
      </c>
      <c r="CT882" s="230">
        <f t="shared" si="786"/>
        <v>33</v>
      </c>
      <c r="CU882" s="235">
        <f t="shared" si="787"/>
        <v>4.8487499999999999</v>
      </c>
      <c r="CV882" s="235" cm="1">
        <f t="array" ref="CV882">$BI882 * IF($AH882&lt;=2,
SUMPRODUCT(INDEX($AR$62:$AT$66,,$AI882), INDEX($AU$62:$BA$66,,$AH882), 1 / ($BB$62:$BB$66*CU882 + (1-$BB$62:$BB$66)*CQ882), N($AQ$62:$AQ$66&gt;$AO882)),
SUMPRODUCT(INDEX($AR$47:$AT$56,,$AI882), INDEX($AU$47:$BA$56,,$AH882), 1 / ($BC$47:$BC$56*CU882 + (1-$BC$47:$BC$56)*CQ882), N($AQ$47:$AQ$56&gt;$AO882))
) / 1000</f>
        <v>0</v>
      </c>
      <c r="CW882" s="235" cm="1">
        <f t="array" ref="CW882">$BI882 * IF($AH882&lt;=2,
SUMPRODUCT(INDEX($AR$23:$AT$61,,$AI882), INDEX($AU$23:$BA$61,,$AH882), 1 / ($BB$23:$BB$61*CU882), N($AQ$23:$AQ$61&gt;$AO882)),
SUMPRODUCT(INDEX($AR$23:$AT$46,,$AI882), INDEX($AU$23:$BA$46,,$AH882), 1 / ($BC$23:$BC$46*CU882), N($AQ$23:$AQ$46&gt;$AO882))
) / 1000</f>
        <v>0</v>
      </c>
      <c r="CX882" s="230">
        <f t="shared" si="788"/>
        <v>0</v>
      </c>
      <c r="CY882" s="238"/>
    </row>
    <row r="883" spans="1:103" s="76" customFormat="1" ht="14.25" customHeight="1" x14ac:dyDescent="0.2">
      <c r="A883" s="231" t="b">
        <f t="shared" si="792"/>
        <v>0</v>
      </c>
      <c r="B883" s="245">
        <v>861</v>
      </c>
      <c r="C883" s="258"/>
      <c r="D883" s="258"/>
      <c r="E883" s="246"/>
      <c r="F883" s="247" t="str">
        <f>IF(ISBLANK(E883), "", VLOOKUP(E883, Z!$A$2:$C$4127, 3, FALSE))</f>
        <v/>
      </c>
      <c r="G883" s="248"/>
      <c r="H883" s="248"/>
      <c r="I883" s="249"/>
      <c r="J883" s="250"/>
      <c r="K883" s="259"/>
      <c r="L883" s="260"/>
      <c r="M883" s="252" t="str" cm="1">
        <f t="array" ref="M883">INDEX(Trad, 53, $A$20)</f>
        <v>Verschmutzt</v>
      </c>
      <c r="N883" s="253"/>
      <c r="O883" s="253"/>
      <c r="P883" s="254"/>
      <c r="Q883" s="251"/>
      <c r="R883" s="251"/>
      <c r="S883" s="264">
        <f t="shared" si="763"/>
        <v>0</v>
      </c>
      <c r="T883" s="252" t="str" cm="1">
        <f t="array" ref="T883">INDEX(Trad, 52, $A$20)</f>
        <v>Sauber</v>
      </c>
      <c r="U883" s="253"/>
      <c r="V883" s="253"/>
      <c r="W883" s="254"/>
      <c r="X883" s="251"/>
      <c r="Y883" s="251"/>
      <c r="Z883" s="264">
        <f t="shared" si="764"/>
        <v>0</v>
      </c>
      <c r="AA883" s="261"/>
      <c r="AB883" s="258"/>
      <c r="AC883" s="246"/>
      <c r="AD883" s="247" t="str">
        <f>IF(ISBLANK(AC883), "", VLOOKUP(AC883, Z!$A$2:$C$4127, 3, FALSE))</f>
        <v/>
      </c>
      <c r="AE883" s="262"/>
      <c r="AF883" s="263">
        <f t="shared" si="765"/>
        <v>0</v>
      </c>
      <c r="AG883" s="238"/>
      <c r="AH883" s="229">
        <f t="shared" si="789"/>
        <v>1</v>
      </c>
      <c r="AI883" s="229">
        <f t="shared" si="790"/>
        <v>1</v>
      </c>
      <c r="AJ883" s="229">
        <f t="shared" si="791"/>
        <v>0</v>
      </c>
      <c r="AK883" s="229">
        <v>0</v>
      </c>
      <c r="AL883" s="229">
        <v>0</v>
      </c>
      <c r="AM883" s="229">
        <v>1</v>
      </c>
      <c r="AN883" s="229">
        <v>0</v>
      </c>
      <c r="AO883" s="229">
        <f t="shared" si="766"/>
        <v>-100</v>
      </c>
      <c r="AP883" s="238"/>
      <c r="AQ883" s="255"/>
      <c r="AR883" s="255"/>
      <c r="AS883" s="256"/>
      <c r="AT883" s="256"/>
      <c r="AU883" s="256"/>
      <c r="AV883" s="256"/>
      <c r="AW883" s="256"/>
      <c r="AX883" s="256"/>
      <c r="AY883" s="256"/>
      <c r="AZ883" s="256"/>
      <c r="BA883" s="256"/>
      <c r="BB883" s="256"/>
      <c r="BC883" s="256"/>
      <c r="BD883" s="238"/>
      <c r="BE883" s="229" cm="1">
        <f t="array" ref="BE883">IF(ISBLANK(R883), INDEX(Use, $AH883, 4) - AM883*INDEX(Use, $AH883, 6), R883)</f>
        <v>5</v>
      </c>
      <c r="BF883" s="229">
        <f t="shared" si="767"/>
        <v>30</v>
      </c>
      <c r="BG883" s="229">
        <f t="shared" si="793"/>
        <v>13</v>
      </c>
      <c r="BH883" s="229">
        <f t="shared" si="794"/>
        <v>0</v>
      </c>
      <c r="BI883" s="234" cm="1">
        <f t="array" ref="BI883">K883/IF($L883&gt;0, INDEX($AU$23:$BA$77, $L883+20, $AH883), 1)</f>
        <v>0</v>
      </c>
      <c r="BJ883" s="230">
        <f t="shared" si="768"/>
        <v>0</v>
      </c>
      <c r="BK883" s="229">
        <v>35</v>
      </c>
      <c r="BL883" s="230">
        <f t="shared" si="769"/>
        <v>48</v>
      </c>
      <c r="BM883" s="235">
        <f t="shared" si="770"/>
        <v>2.9108720930232557</v>
      </c>
      <c r="BN883" s="235" cm="1">
        <f t="array" ref="BN883">$BI883 * SUMPRODUCT(INDEX($AR$77:$AT$82,,$AI883),INDEX($AU$77:$BA$82,,$AH883), N($AQ$77:$AQ$82&gt;$AO883)) / BM883 / 1000</f>
        <v>0</v>
      </c>
      <c r="BO883" s="232">
        <f t="shared" si="795"/>
        <v>30</v>
      </c>
      <c r="BP883" s="230">
        <f t="shared" si="771"/>
        <v>43</v>
      </c>
      <c r="BQ883" s="235">
        <f t="shared" si="772"/>
        <v>3.2938815789473681</v>
      </c>
      <c r="BR883" s="235" cm="1">
        <f t="array" ref="BR883">$BI883 * IF($AH883&lt;=2,
SUMPRODUCT(INDEX($AR$72:$AT$76,,$AI883), INDEX($AU$72:$BA$76,,$AH883), 1 / ($BB$72:$BB$76*BQ883 + (1-$BB$72:$BB$76)*BM883), N($AQ$72:$AQ$76&gt;$AO883)),
SUMPRODUCT(INDEX($AR$67:$AT$76,,$AI883), INDEX($AU$67:$BA$76,,$AH883), 1 / ($BC$67:$BC$76*BQ883 + (1-$BC$67:$BC$76)*BM883), N($AQ$67:$AQ$76&gt;$AO883))
) / 1000</f>
        <v>0</v>
      </c>
      <c r="BS883" s="232">
        <f t="shared" si="796"/>
        <v>25</v>
      </c>
      <c r="BT883" s="230">
        <f t="shared" si="773"/>
        <v>38</v>
      </c>
      <c r="BU883" s="235">
        <f t="shared" si="774"/>
        <v>3.792954545454545</v>
      </c>
      <c r="BV883" s="235" cm="1">
        <f t="array" ref="BV883">$BI883 * IF($AH883&lt;=2,
SUMPRODUCT(INDEX($AR$67:$AT$71,,$AI883), INDEX($AU$67:$BA$71,,$AH883), 1 / ($BB$67:$BB$71*BU883 + (1-$BB$67:$BB$71)*BQ883), N($AQ$67:$AQ$71&gt;$AO883)),
SUMPRODUCT(INDEX($AR$57:$AT$66,,$AI883), INDEX($AU$57:$BA$66,,$AH883), 1 / ($BC$57:$BC$66*BU883 + (1-$BC$57:$BC$66)*BQ883), N($AQ$57:$AQ$66&gt;$AO883))
) / 1000</f>
        <v>0</v>
      </c>
      <c r="BW883" s="232">
        <f t="shared" si="797"/>
        <v>20</v>
      </c>
      <c r="BX883" s="230">
        <f t="shared" si="775"/>
        <v>33</v>
      </c>
      <c r="BY883" s="235">
        <f t="shared" si="776"/>
        <v>4.4702678571428569</v>
      </c>
      <c r="BZ883" s="235" cm="1">
        <f t="array" ref="BZ883">$BI883 * IF($AH883&lt;=2,
SUMPRODUCT(INDEX($AR$62:$AT$66,,$AI883), INDEX($AU$62:$BA$66,,$AH883), 1 / ($BB$62:$BB$66*BY883 + (1-$BB$62:$BB$66)*BU883), N($AQ$62:$AQ$66&gt;$AO883)),
SUMPRODUCT(INDEX($AR$47:$AT$56,,$AI883), INDEX($AU$47:$BA$56,,$AH883), 1 / ($BC$47:$BC$56*BY883 + (1-$BC$47:$BC$56)*BU883), N($AQ$47:$AQ$56&gt;$AO883))
) / 1000</f>
        <v>0</v>
      </c>
      <c r="CA883" s="235" cm="1">
        <f t="array" ref="CA883">$BI883 * IF($AH883&lt;=2,
SUMPRODUCT(INDEX($AR$23:$AT$61,,$AI883), INDEX($AU$23:$BA$61,,$AH883), 1 / ($BB$23:$BB$61*BY883), N($AQ$23:$AQ$61&gt;$AO883)),
SUMPRODUCT(INDEX($AR$23:$AT$46,,$AI883), INDEX($AU$23:$BA$46,,$AH883), 1 / ($BC$23:$BC$46*BY883), N($AQ$23:$AQ$46&gt;$AO883))
) / 1000</f>
        <v>0</v>
      </c>
      <c r="CB883" s="230">
        <f t="shared" si="777"/>
        <v>0</v>
      </c>
      <c r="CC883" s="238"/>
      <c r="CD883" s="229" cm="1">
        <f t="array" ref="CD883">IF(ISBLANK(Y883), INDEX(Use, $AH883, 4) - AN883*INDEX(Use, $AH883, 6) - (Q883-X883), Y883)</f>
        <v>7</v>
      </c>
      <c r="CE883" s="229">
        <f t="shared" si="778"/>
        <v>32</v>
      </c>
      <c r="CF883" s="230">
        <f t="shared" si="779"/>
        <v>0</v>
      </c>
      <c r="CG883" s="229">
        <v>35</v>
      </c>
      <c r="CH883" s="230">
        <f t="shared" si="780"/>
        <v>48</v>
      </c>
      <c r="CI883" s="235">
        <f t="shared" si="781"/>
        <v>3.0748170731707316</v>
      </c>
      <c r="CJ883" s="235" cm="1">
        <f t="array" ref="CJ883">$BI883 * SUMPRODUCT(INDEX($AR$77:$AT$82,,$AI883),INDEX($AU$77:$BA$82,,$AH883), N($AQ$77:$AQ$82&gt;$AO883)) / CI883 / 1000</f>
        <v>0</v>
      </c>
      <c r="CK883" s="232">
        <f t="shared" si="798"/>
        <v>30</v>
      </c>
      <c r="CL883" s="230">
        <f t="shared" si="782"/>
        <v>43</v>
      </c>
      <c r="CM883" s="235">
        <f t="shared" si="783"/>
        <v>3.5018750000000001</v>
      </c>
      <c r="CN883" s="235" cm="1">
        <f t="array" ref="CN883">$BI883 * IF($AH883&lt;=2,
SUMPRODUCT(INDEX($AR$72:$AT$76,,$AI883), INDEX($AU$72:$BA$76,,$AH883), 1 / ($BB$72:$BB$76*CM883 + (1-$BB$72:$BB$76)*CI883), N($AQ$72:$AQ$76&gt;$AO883)),
SUMPRODUCT(INDEX($AR$67:$AT$76,,$AI883), INDEX($AU$67:$BA$76,,$AH883), 1 / ($BC$67:$BC$76*CM883 + (1-$BC$67:$BC$76)*CI883), N($AQ$67:$AQ$76&gt;$AO883))
) / 1000</f>
        <v>0</v>
      </c>
      <c r="CO883" s="232">
        <f t="shared" si="799"/>
        <v>25</v>
      </c>
      <c r="CP883" s="230">
        <f t="shared" si="784"/>
        <v>38</v>
      </c>
      <c r="CQ883" s="235">
        <f t="shared" si="785"/>
        <v>4.0666935483870965</v>
      </c>
      <c r="CR883" s="235" cm="1">
        <f t="array" ref="CR883">$BI883 * IF($AH883&lt;=2,
SUMPRODUCT(INDEX($AR$67:$AT$71,,$AI883), INDEX($AU$67:$BA$71,,$AH883), 1 / ($BB$67:$BB$71*CQ883 + (1-$BB$67:$BB$71)*CM883), N($AQ$67:$AQ$71&gt;$AO883)),
SUMPRODUCT(INDEX($AR$57:$AT$66,,$AI883), INDEX($AU$57:$BA$66,,$AH883), 1 / ($BC$57:$BC$66*CQ883 + (1-$BC$57:$BC$66)*CM883), N($AQ$57:$AQ$66&gt;$AO883))
) / 1000</f>
        <v>0</v>
      </c>
      <c r="CS883" s="232">
        <f t="shared" si="800"/>
        <v>20</v>
      </c>
      <c r="CT883" s="230">
        <f t="shared" si="786"/>
        <v>33</v>
      </c>
      <c r="CU883" s="235">
        <f t="shared" si="787"/>
        <v>4.8487499999999999</v>
      </c>
      <c r="CV883" s="235" cm="1">
        <f t="array" ref="CV883">$BI883 * IF($AH883&lt;=2,
SUMPRODUCT(INDEX($AR$62:$AT$66,,$AI883), INDEX($AU$62:$BA$66,,$AH883), 1 / ($BB$62:$BB$66*CU883 + (1-$BB$62:$BB$66)*CQ883), N($AQ$62:$AQ$66&gt;$AO883)),
SUMPRODUCT(INDEX($AR$47:$AT$56,,$AI883), INDEX($AU$47:$BA$56,,$AH883), 1 / ($BC$47:$BC$56*CU883 + (1-$BC$47:$BC$56)*CQ883), N($AQ$47:$AQ$56&gt;$AO883))
) / 1000</f>
        <v>0</v>
      </c>
      <c r="CW883" s="235" cm="1">
        <f t="array" ref="CW883">$BI883 * IF($AH883&lt;=2,
SUMPRODUCT(INDEX($AR$23:$AT$61,,$AI883), INDEX($AU$23:$BA$61,,$AH883), 1 / ($BB$23:$BB$61*CU883), N($AQ$23:$AQ$61&gt;$AO883)),
SUMPRODUCT(INDEX($AR$23:$AT$46,,$AI883), INDEX($AU$23:$BA$46,,$AH883), 1 / ($BC$23:$BC$46*CU883), N($AQ$23:$AQ$46&gt;$AO883))
) / 1000</f>
        <v>0</v>
      </c>
      <c r="CX883" s="230">
        <f t="shared" si="788"/>
        <v>0</v>
      </c>
      <c r="CY883" s="238"/>
    </row>
    <row r="884" spans="1:103" s="76" customFormat="1" ht="14.25" customHeight="1" x14ac:dyDescent="0.2">
      <c r="A884" s="231" t="b">
        <f t="shared" si="792"/>
        <v>0</v>
      </c>
      <c r="B884" s="245">
        <v>862</v>
      </c>
      <c r="C884" s="258"/>
      <c r="D884" s="258"/>
      <c r="E884" s="246"/>
      <c r="F884" s="247" t="str">
        <f>IF(ISBLANK(E884), "", VLOOKUP(E884, Z!$A$2:$C$4127, 3, FALSE))</f>
        <v/>
      </c>
      <c r="G884" s="248"/>
      <c r="H884" s="248"/>
      <c r="I884" s="249"/>
      <c r="J884" s="250"/>
      <c r="K884" s="259"/>
      <c r="L884" s="260"/>
      <c r="M884" s="252" t="str" cm="1">
        <f t="array" ref="M884">INDEX(Trad, 53, $A$20)</f>
        <v>Verschmutzt</v>
      </c>
      <c r="N884" s="253"/>
      <c r="O884" s="253"/>
      <c r="P884" s="254"/>
      <c r="Q884" s="251"/>
      <c r="R884" s="251"/>
      <c r="S884" s="264">
        <f t="shared" si="763"/>
        <v>0</v>
      </c>
      <c r="T884" s="252" t="str" cm="1">
        <f t="array" ref="T884">INDEX(Trad, 52, $A$20)</f>
        <v>Sauber</v>
      </c>
      <c r="U884" s="253"/>
      <c r="V884" s="253"/>
      <c r="W884" s="254"/>
      <c r="X884" s="251"/>
      <c r="Y884" s="251"/>
      <c r="Z884" s="264">
        <f t="shared" si="764"/>
        <v>0</v>
      </c>
      <c r="AA884" s="261"/>
      <c r="AB884" s="258"/>
      <c r="AC884" s="246"/>
      <c r="AD884" s="247" t="str">
        <f>IF(ISBLANK(AC884), "", VLOOKUP(AC884, Z!$A$2:$C$4127, 3, FALSE))</f>
        <v/>
      </c>
      <c r="AE884" s="262"/>
      <c r="AF884" s="263">
        <f t="shared" si="765"/>
        <v>0</v>
      </c>
      <c r="AG884" s="238"/>
      <c r="AH884" s="229">
        <f t="shared" si="789"/>
        <v>1</v>
      </c>
      <c r="AI884" s="229">
        <f t="shared" si="790"/>
        <v>1</v>
      </c>
      <c r="AJ884" s="229">
        <f t="shared" si="791"/>
        <v>0</v>
      </c>
      <c r="AK884" s="229">
        <v>0</v>
      </c>
      <c r="AL884" s="229">
        <v>0</v>
      </c>
      <c r="AM884" s="229">
        <v>1</v>
      </c>
      <c r="AN884" s="229">
        <v>0</v>
      </c>
      <c r="AO884" s="229">
        <f t="shared" si="766"/>
        <v>-100</v>
      </c>
      <c r="AP884" s="238"/>
      <c r="AQ884" s="255"/>
      <c r="AR884" s="255"/>
      <c r="AS884" s="256"/>
      <c r="AT884" s="256"/>
      <c r="AU884" s="256"/>
      <c r="AV884" s="256"/>
      <c r="AW884" s="256"/>
      <c r="AX884" s="256"/>
      <c r="AY884" s="256"/>
      <c r="AZ884" s="256"/>
      <c r="BA884" s="256"/>
      <c r="BB884" s="256"/>
      <c r="BC884" s="256"/>
      <c r="BD884" s="238"/>
      <c r="BE884" s="229" cm="1">
        <f t="array" ref="BE884">IF(ISBLANK(R884), INDEX(Use, $AH884, 4) - AM884*INDEX(Use, $AH884, 6), R884)</f>
        <v>5</v>
      </c>
      <c r="BF884" s="229">
        <f t="shared" si="767"/>
        <v>30</v>
      </c>
      <c r="BG884" s="229">
        <f t="shared" si="793"/>
        <v>13</v>
      </c>
      <c r="BH884" s="229">
        <f t="shared" si="794"/>
        <v>0</v>
      </c>
      <c r="BI884" s="234" cm="1">
        <f t="array" ref="BI884">K884/IF($L884&gt;0, INDEX($AU$23:$BA$77, $L884+20, $AH884), 1)</f>
        <v>0</v>
      </c>
      <c r="BJ884" s="230">
        <f t="shared" si="768"/>
        <v>0</v>
      </c>
      <c r="BK884" s="229">
        <v>35</v>
      </c>
      <c r="BL884" s="230">
        <f t="shared" si="769"/>
        <v>48</v>
      </c>
      <c r="BM884" s="235">
        <f t="shared" si="770"/>
        <v>2.9108720930232557</v>
      </c>
      <c r="BN884" s="235" cm="1">
        <f t="array" ref="BN884">$BI884 * SUMPRODUCT(INDEX($AR$77:$AT$82,,$AI884),INDEX($AU$77:$BA$82,,$AH884), N($AQ$77:$AQ$82&gt;$AO884)) / BM884 / 1000</f>
        <v>0</v>
      </c>
      <c r="BO884" s="232">
        <f t="shared" si="795"/>
        <v>30</v>
      </c>
      <c r="BP884" s="230">
        <f t="shared" si="771"/>
        <v>43</v>
      </c>
      <c r="BQ884" s="235">
        <f t="shared" si="772"/>
        <v>3.2938815789473681</v>
      </c>
      <c r="BR884" s="235" cm="1">
        <f t="array" ref="BR884">$BI884 * IF($AH884&lt;=2,
SUMPRODUCT(INDEX($AR$72:$AT$76,,$AI884), INDEX($AU$72:$BA$76,,$AH884), 1 / ($BB$72:$BB$76*BQ884 + (1-$BB$72:$BB$76)*BM884), N($AQ$72:$AQ$76&gt;$AO884)),
SUMPRODUCT(INDEX($AR$67:$AT$76,,$AI884), INDEX($AU$67:$BA$76,,$AH884), 1 / ($BC$67:$BC$76*BQ884 + (1-$BC$67:$BC$76)*BM884), N($AQ$67:$AQ$76&gt;$AO884))
) / 1000</f>
        <v>0</v>
      </c>
      <c r="BS884" s="232">
        <f t="shared" si="796"/>
        <v>25</v>
      </c>
      <c r="BT884" s="230">
        <f t="shared" si="773"/>
        <v>38</v>
      </c>
      <c r="BU884" s="235">
        <f t="shared" si="774"/>
        <v>3.792954545454545</v>
      </c>
      <c r="BV884" s="235" cm="1">
        <f t="array" ref="BV884">$BI884 * IF($AH884&lt;=2,
SUMPRODUCT(INDEX($AR$67:$AT$71,,$AI884), INDEX($AU$67:$BA$71,,$AH884), 1 / ($BB$67:$BB$71*BU884 + (1-$BB$67:$BB$71)*BQ884), N($AQ$67:$AQ$71&gt;$AO884)),
SUMPRODUCT(INDEX($AR$57:$AT$66,,$AI884), INDEX($AU$57:$BA$66,,$AH884), 1 / ($BC$57:$BC$66*BU884 + (1-$BC$57:$BC$66)*BQ884), N($AQ$57:$AQ$66&gt;$AO884))
) / 1000</f>
        <v>0</v>
      </c>
      <c r="BW884" s="232">
        <f t="shared" si="797"/>
        <v>20</v>
      </c>
      <c r="BX884" s="230">
        <f t="shared" si="775"/>
        <v>33</v>
      </c>
      <c r="BY884" s="235">
        <f t="shared" si="776"/>
        <v>4.4702678571428569</v>
      </c>
      <c r="BZ884" s="235" cm="1">
        <f t="array" ref="BZ884">$BI884 * IF($AH884&lt;=2,
SUMPRODUCT(INDEX($AR$62:$AT$66,,$AI884), INDEX($AU$62:$BA$66,,$AH884), 1 / ($BB$62:$BB$66*BY884 + (1-$BB$62:$BB$66)*BU884), N($AQ$62:$AQ$66&gt;$AO884)),
SUMPRODUCT(INDEX($AR$47:$AT$56,,$AI884), INDEX($AU$47:$BA$56,,$AH884), 1 / ($BC$47:$BC$56*BY884 + (1-$BC$47:$BC$56)*BU884), N($AQ$47:$AQ$56&gt;$AO884))
) / 1000</f>
        <v>0</v>
      </c>
      <c r="CA884" s="235" cm="1">
        <f t="array" ref="CA884">$BI884 * IF($AH884&lt;=2,
SUMPRODUCT(INDEX($AR$23:$AT$61,,$AI884), INDEX($AU$23:$BA$61,,$AH884), 1 / ($BB$23:$BB$61*BY884), N($AQ$23:$AQ$61&gt;$AO884)),
SUMPRODUCT(INDEX($AR$23:$AT$46,,$AI884), INDEX($AU$23:$BA$46,,$AH884), 1 / ($BC$23:$BC$46*BY884), N($AQ$23:$AQ$46&gt;$AO884))
) / 1000</f>
        <v>0</v>
      </c>
      <c r="CB884" s="230">
        <f t="shared" si="777"/>
        <v>0</v>
      </c>
      <c r="CC884" s="238"/>
      <c r="CD884" s="229" cm="1">
        <f t="array" ref="CD884">IF(ISBLANK(Y884), INDEX(Use, $AH884, 4) - AN884*INDEX(Use, $AH884, 6) - (Q884-X884), Y884)</f>
        <v>7</v>
      </c>
      <c r="CE884" s="229">
        <f t="shared" si="778"/>
        <v>32</v>
      </c>
      <c r="CF884" s="230">
        <f t="shared" si="779"/>
        <v>0</v>
      </c>
      <c r="CG884" s="229">
        <v>35</v>
      </c>
      <c r="CH884" s="230">
        <f t="shared" si="780"/>
        <v>48</v>
      </c>
      <c r="CI884" s="235">
        <f t="shared" si="781"/>
        <v>3.0748170731707316</v>
      </c>
      <c r="CJ884" s="235" cm="1">
        <f t="array" ref="CJ884">$BI884 * SUMPRODUCT(INDEX($AR$77:$AT$82,,$AI884),INDEX($AU$77:$BA$82,,$AH884), N($AQ$77:$AQ$82&gt;$AO884)) / CI884 / 1000</f>
        <v>0</v>
      </c>
      <c r="CK884" s="232">
        <f t="shared" si="798"/>
        <v>30</v>
      </c>
      <c r="CL884" s="230">
        <f t="shared" si="782"/>
        <v>43</v>
      </c>
      <c r="CM884" s="235">
        <f t="shared" si="783"/>
        <v>3.5018750000000001</v>
      </c>
      <c r="CN884" s="235" cm="1">
        <f t="array" ref="CN884">$BI884 * IF($AH884&lt;=2,
SUMPRODUCT(INDEX($AR$72:$AT$76,,$AI884), INDEX($AU$72:$BA$76,,$AH884), 1 / ($BB$72:$BB$76*CM884 + (1-$BB$72:$BB$76)*CI884), N($AQ$72:$AQ$76&gt;$AO884)),
SUMPRODUCT(INDEX($AR$67:$AT$76,,$AI884), INDEX($AU$67:$BA$76,,$AH884), 1 / ($BC$67:$BC$76*CM884 + (1-$BC$67:$BC$76)*CI884), N($AQ$67:$AQ$76&gt;$AO884))
) / 1000</f>
        <v>0</v>
      </c>
      <c r="CO884" s="232">
        <f t="shared" si="799"/>
        <v>25</v>
      </c>
      <c r="CP884" s="230">
        <f t="shared" si="784"/>
        <v>38</v>
      </c>
      <c r="CQ884" s="235">
        <f t="shared" si="785"/>
        <v>4.0666935483870965</v>
      </c>
      <c r="CR884" s="235" cm="1">
        <f t="array" ref="CR884">$BI884 * IF($AH884&lt;=2,
SUMPRODUCT(INDEX($AR$67:$AT$71,,$AI884), INDEX($AU$67:$BA$71,,$AH884), 1 / ($BB$67:$BB$71*CQ884 + (1-$BB$67:$BB$71)*CM884), N($AQ$67:$AQ$71&gt;$AO884)),
SUMPRODUCT(INDEX($AR$57:$AT$66,,$AI884), INDEX($AU$57:$BA$66,,$AH884), 1 / ($BC$57:$BC$66*CQ884 + (1-$BC$57:$BC$66)*CM884), N($AQ$57:$AQ$66&gt;$AO884))
) / 1000</f>
        <v>0</v>
      </c>
      <c r="CS884" s="232">
        <f t="shared" si="800"/>
        <v>20</v>
      </c>
      <c r="CT884" s="230">
        <f t="shared" si="786"/>
        <v>33</v>
      </c>
      <c r="CU884" s="235">
        <f t="shared" si="787"/>
        <v>4.8487499999999999</v>
      </c>
      <c r="CV884" s="235" cm="1">
        <f t="array" ref="CV884">$BI884 * IF($AH884&lt;=2,
SUMPRODUCT(INDEX($AR$62:$AT$66,,$AI884), INDEX($AU$62:$BA$66,,$AH884), 1 / ($BB$62:$BB$66*CU884 + (1-$BB$62:$BB$66)*CQ884), N($AQ$62:$AQ$66&gt;$AO884)),
SUMPRODUCT(INDEX($AR$47:$AT$56,,$AI884), INDEX($AU$47:$BA$56,,$AH884), 1 / ($BC$47:$BC$56*CU884 + (1-$BC$47:$BC$56)*CQ884), N($AQ$47:$AQ$56&gt;$AO884))
) / 1000</f>
        <v>0</v>
      </c>
      <c r="CW884" s="235" cm="1">
        <f t="array" ref="CW884">$BI884 * IF($AH884&lt;=2,
SUMPRODUCT(INDEX($AR$23:$AT$61,,$AI884), INDEX($AU$23:$BA$61,,$AH884), 1 / ($BB$23:$BB$61*CU884), N($AQ$23:$AQ$61&gt;$AO884)),
SUMPRODUCT(INDEX($AR$23:$AT$46,,$AI884), INDEX($AU$23:$BA$46,,$AH884), 1 / ($BC$23:$BC$46*CU884), N($AQ$23:$AQ$46&gt;$AO884))
) / 1000</f>
        <v>0</v>
      </c>
      <c r="CX884" s="230">
        <f t="shared" si="788"/>
        <v>0</v>
      </c>
      <c r="CY884" s="238"/>
    </row>
    <row r="885" spans="1:103" s="76" customFormat="1" ht="14.25" customHeight="1" x14ac:dyDescent="0.2">
      <c r="A885" s="231" t="b">
        <f t="shared" si="792"/>
        <v>0</v>
      </c>
      <c r="B885" s="245">
        <v>863</v>
      </c>
      <c r="C885" s="258"/>
      <c r="D885" s="258"/>
      <c r="E885" s="246"/>
      <c r="F885" s="247" t="str">
        <f>IF(ISBLANK(E885), "", VLOOKUP(E885, Z!$A$2:$C$4127, 3, FALSE))</f>
        <v/>
      </c>
      <c r="G885" s="248"/>
      <c r="H885" s="248"/>
      <c r="I885" s="249"/>
      <c r="J885" s="250"/>
      <c r="K885" s="259"/>
      <c r="L885" s="260"/>
      <c r="M885" s="252" t="str" cm="1">
        <f t="array" ref="M885">INDEX(Trad, 53, $A$20)</f>
        <v>Verschmutzt</v>
      </c>
      <c r="N885" s="253"/>
      <c r="O885" s="253"/>
      <c r="P885" s="254"/>
      <c r="Q885" s="251"/>
      <c r="R885" s="251"/>
      <c r="S885" s="264">
        <f t="shared" si="763"/>
        <v>0</v>
      </c>
      <c r="T885" s="252" t="str" cm="1">
        <f t="array" ref="T885">INDEX(Trad, 52, $A$20)</f>
        <v>Sauber</v>
      </c>
      <c r="U885" s="253"/>
      <c r="V885" s="253"/>
      <c r="W885" s="254"/>
      <c r="X885" s="251"/>
      <c r="Y885" s="251"/>
      <c r="Z885" s="264">
        <f t="shared" si="764"/>
        <v>0</v>
      </c>
      <c r="AA885" s="261"/>
      <c r="AB885" s="258"/>
      <c r="AC885" s="246"/>
      <c r="AD885" s="247" t="str">
        <f>IF(ISBLANK(AC885), "", VLOOKUP(AC885, Z!$A$2:$C$4127, 3, FALSE))</f>
        <v/>
      </c>
      <c r="AE885" s="262"/>
      <c r="AF885" s="263">
        <f t="shared" si="765"/>
        <v>0</v>
      </c>
      <c r="AG885" s="238"/>
      <c r="AH885" s="229">
        <f t="shared" si="789"/>
        <v>1</v>
      </c>
      <c r="AI885" s="229">
        <f t="shared" si="790"/>
        <v>1</v>
      </c>
      <c r="AJ885" s="229">
        <f t="shared" si="791"/>
        <v>0</v>
      </c>
      <c r="AK885" s="229">
        <v>0</v>
      </c>
      <c r="AL885" s="229">
        <v>0</v>
      </c>
      <c r="AM885" s="229">
        <v>1</v>
      </c>
      <c r="AN885" s="229">
        <v>0</v>
      </c>
      <c r="AO885" s="229">
        <f t="shared" si="766"/>
        <v>-100</v>
      </c>
      <c r="AP885" s="238"/>
      <c r="AQ885" s="255"/>
      <c r="AR885" s="255"/>
      <c r="AS885" s="256"/>
      <c r="AT885" s="256"/>
      <c r="AU885" s="256"/>
      <c r="AV885" s="256"/>
      <c r="AW885" s="256"/>
      <c r="AX885" s="256"/>
      <c r="AY885" s="256"/>
      <c r="AZ885" s="256"/>
      <c r="BA885" s="256"/>
      <c r="BB885" s="256"/>
      <c r="BC885" s="256"/>
      <c r="BD885" s="238"/>
      <c r="BE885" s="229" cm="1">
        <f t="array" ref="BE885">IF(ISBLANK(R885), INDEX(Use, $AH885, 4) - AM885*INDEX(Use, $AH885, 6), R885)</f>
        <v>5</v>
      </c>
      <c r="BF885" s="229">
        <f t="shared" si="767"/>
        <v>30</v>
      </c>
      <c r="BG885" s="229">
        <f t="shared" si="793"/>
        <v>13</v>
      </c>
      <c r="BH885" s="229">
        <f t="shared" si="794"/>
        <v>0</v>
      </c>
      <c r="BI885" s="234" cm="1">
        <f t="array" ref="BI885">K885/IF($L885&gt;0, INDEX($AU$23:$BA$77, $L885+20, $AH885), 1)</f>
        <v>0</v>
      </c>
      <c r="BJ885" s="230">
        <f t="shared" si="768"/>
        <v>0</v>
      </c>
      <c r="BK885" s="229">
        <v>35</v>
      </c>
      <c r="BL885" s="230">
        <f t="shared" si="769"/>
        <v>48</v>
      </c>
      <c r="BM885" s="235">
        <f t="shared" si="770"/>
        <v>2.9108720930232557</v>
      </c>
      <c r="BN885" s="235" cm="1">
        <f t="array" ref="BN885">$BI885 * SUMPRODUCT(INDEX($AR$77:$AT$82,,$AI885),INDEX($AU$77:$BA$82,,$AH885), N($AQ$77:$AQ$82&gt;$AO885)) / BM885 / 1000</f>
        <v>0</v>
      </c>
      <c r="BO885" s="232">
        <f t="shared" si="795"/>
        <v>30</v>
      </c>
      <c r="BP885" s="230">
        <f t="shared" si="771"/>
        <v>43</v>
      </c>
      <c r="BQ885" s="235">
        <f t="shared" si="772"/>
        <v>3.2938815789473681</v>
      </c>
      <c r="BR885" s="235" cm="1">
        <f t="array" ref="BR885">$BI885 * IF($AH885&lt;=2,
SUMPRODUCT(INDEX($AR$72:$AT$76,,$AI885), INDEX($AU$72:$BA$76,,$AH885), 1 / ($BB$72:$BB$76*BQ885 + (1-$BB$72:$BB$76)*BM885), N($AQ$72:$AQ$76&gt;$AO885)),
SUMPRODUCT(INDEX($AR$67:$AT$76,,$AI885), INDEX($AU$67:$BA$76,,$AH885), 1 / ($BC$67:$BC$76*BQ885 + (1-$BC$67:$BC$76)*BM885), N($AQ$67:$AQ$76&gt;$AO885))
) / 1000</f>
        <v>0</v>
      </c>
      <c r="BS885" s="232">
        <f t="shared" si="796"/>
        <v>25</v>
      </c>
      <c r="BT885" s="230">
        <f t="shared" si="773"/>
        <v>38</v>
      </c>
      <c r="BU885" s="235">
        <f t="shared" si="774"/>
        <v>3.792954545454545</v>
      </c>
      <c r="BV885" s="235" cm="1">
        <f t="array" ref="BV885">$BI885 * IF($AH885&lt;=2,
SUMPRODUCT(INDEX($AR$67:$AT$71,,$AI885), INDEX($AU$67:$BA$71,,$AH885), 1 / ($BB$67:$BB$71*BU885 + (1-$BB$67:$BB$71)*BQ885), N($AQ$67:$AQ$71&gt;$AO885)),
SUMPRODUCT(INDEX($AR$57:$AT$66,,$AI885), INDEX($AU$57:$BA$66,,$AH885), 1 / ($BC$57:$BC$66*BU885 + (1-$BC$57:$BC$66)*BQ885), N($AQ$57:$AQ$66&gt;$AO885))
) / 1000</f>
        <v>0</v>
      </c>
      <c r="BW885" s="232">
        <f t="shared" si="797"/>
        <v>20</v>
      </c>
      <c r="BX885" s="230">
        <f t="shared" si="775"/>
        <v>33</v>
      </c>
      <c r="BY885" s="235">
        <f t="shared" si="776"/>
        <v>4.4702678571428569</v>
      </c>
      <c r="BZ885" s="235" cm="1">
        <f t="array" ref="BZ885">$BI885 * IF($AH885&lt;=2,
SUMPRODUCT(INDEX($AR$62:$AT$66,,$AI885), INDEX($AU$62:$BA$66,,$AH885), 1 / ($BB$62:$BB$66*BY885 + (1-$BB$62:$BB$66)*BU885), N($AQ$62:$AQ$66&gt;$AO885)),
SUMPRODUCT(INDEX($AR$47:$AT$56,,$AI885), INDEX($AU$47:$BA$56,,$AH885), 1 / ($BC$47:$BC$56*BY885 + (1-$BC$47:$BC$56)*BU885), N($AQ$47:$AQ$56&gt;$AO885))
) / 1000</f>
        <v>0</v>
      </c>
      <c r="CA885" s="235" cm="1">
        <f t="array" ref="CA885">$BI885 * IF($AH885&lt;=2,
SUMPRODUCT(INDEX($AR$23:$AT$61,,$AI885), INDEX($AU$23:$BA$61,,$AH885), 1 / ($BB$23:$BB$61*BY885), N($AQ$23:$AQ$61&gt;$AO885)),
SUMPRODUCT(INDEX($AR$23:$AT$46,,$AI885), INDEX($AU$23:$BA$46,,$AH885), 1 / ($BC$23:$BC$46*BY885), N($AQ$23:$AQ$46&gt;$AO885))
) / 1000</f>
        <v>0</v>
      </c>
      <c r="CB885" s="230">
        <f t="shared" si="777"/>
        <v>0</v>
      </c>
      <c r="CC885" s="238"/>
      <c r="CD885" s="229" cm="1">
        <f t="array" ref="CD885">IF(ISBLANK(Y885), INDEX(Use, $AH885, 4) - AN885*INDEX(Use, $AH885, 6) - (Q885-X885), Y885)</f>
        <v>7</v>
      </c>
      <c r="CE885" s="229">
        <f t="shared" si="778"/>
        <v>32</v>
      </c>
      <c r="CF885" s="230">
        <f t="shared" si="779"/>
        <v>0</v>
      </c>
      <c r="CG885" s="229">
        <v>35</v>
      </c>
      <c r="CH885" s="230">
        <f t="shared" si="780"/>
        <v>48</v>
      </c>
      <c r="CI885" s="235">
        <f t="shared" si="781"/>
        <v>3.0748170731707316</v>
      </c>
      <c r="CJ885" s="235" cm="1">
        <f t="array" ref="CJ885">$BI885 * SUMPRODUCT(INDEX($AR$77:$AT$82,,$AI885),INDEX($AU$77:$BA$82,,$AH885), N($AQ$77:$AQ$82&gt;$AO885)) / CI885 / 1000</f>
        <v>0</v>
      </c>
      <c r="CK885" s="232">
        <f t="shared" si="798"/>
        <v>30</v>
      </c>
      <c r="CL885" s="230">
        <f t="shared" si="782"/>
        <v>43</v>
      </c>
      <c r="CM885" s="235">
        <f t="shared" si="783"/>
        <v>3.5018750000000001</v>
      </c>
      <c r="CN885" s="235" cm="1">
        <f t="array" ref="CN885">$BI885 * IF($AH885&lt;=2,
SUMPRODUCT(INDEX($AR$72:$AT$76,,$AI885), INDEX($AU$72:$BA$76,,$AH885), 1 / ($BB$72:$BB$76*CM885 + (1-$BB$72:$BB$76)*CI885), N($AQ$72:$AQ$76&gt;$AO885)),
SUMPRODUCT(INDEX($AR$67:$AT$76,,$AI885), INDEX($AU$67:$BA$76,,$AH885), 1 / ($BC$67:$BC$76*CM885 + (1-$BC$67:$BC$76)*CI885), N($AQ$67:$AQ$76&gt;$AO885))
) / 1000</f>
        <v>0</v>
      </c>
      <c r="CO885" s="232">
        <f t="shared" si="799"/>
        <v>25</v>
      </c>
      <c r="CP885" s="230">
        <f t="shared" si="784"/>
        <v>38</v>
      </c>
      <c r="CQ885" s="235">
        <f t="shared" si="785"/>
        <v>4.0666935483870965</v>
      </c>
      <c r="CR885" s="235" cm="1">
        <f t="array" ref="CR885">$BI885 * IF($AH885&lt;=2,
SUMPRODUCT(INDEX($AR$67:$AT$71,,$AI885), INDEX($AU$67:$BA$71,,$AH885), 1 / ($BB$67:$BB$71*CQ885 + (1-$BB$67:$BB$71)*CM885), N($AQ$67:$AQ$71&gt;$AO885)),
SUMPRODUCT(INDEX($AR$57:$AT$66,,$AI885), INDEX($AU$57:$BA$66,,$AH885), 1 / ($BC$57:$BC$66*CQ885 + (1-$BC$57:$BC$66)*CM885), N($AQ$57:$AQ$66&gt;$AO885))
) / 1000</f>
        <v>0</v>
      </c>
      <c r="CS885" s="232">
        <f t="shared" si="800"/>
        <v>20</v>
      </c>
      <c r="CT885" s="230">
        <f t="shared" si="786"/>
        <v>33</v>
      </c>
      <c r="CU885" s="235">
        <f t="shared" si="787"/>
        <v>4.8487499999999999</v>
      </c>
      <c r="CV885" s="235" cm="1">
        <f t="array" ref="CV885">$BI885 * IF($AH885&lt;=2,
SUMPRODUCT(INDEX($AR$62:$AT$66,,$AI885), INDEX($AU$62:$BA$66,,$AH885), 1 / ($BB$62:$BB$66*CU885 + (1-$BB$62:$BB$66)*CQ885), N($AQ$62:$AQ$66&gt;$AO885)),
SUMPRODUCT(INDEX($AR$47:$AT$56,,$AI885), INDEX($AU$47:$BA$56,,$AH885), 1 / ($BC$47:$BC$56*CU885 + (1-$BC$47:$BC$56)*CQ885), N($AQ$47:$AQ$56&gt;$AO885))
) / 1000</f>
        <v>0</v>
      </c>
      <c r="CW885" s="235" cm="1">
        <f t="array" ref="CW885">$BI885 * IF($AH885&lt;=2,
SUMPRODUCT(INDEX($AR$23:$AT$61,,$AI885), INDEX($AU$23:$BA$61,,$AH885), 1 / ($BB$23:$BB$61*CU885), N($AQ$23:$AQ$61&gt;$AO885)),
SUMPRODUCT(INDEX($AR$23:$AT$46,,$AI885), INDEX($AU$23:$BA$46,,$AH885), 1 / ($BC$23:$BC$46*CU885), N($AQ$23:$AQ$46&gt;$AO885))
) / 1000</f>
        <v>0</v>
      </c>
      <c r="CX885" s="230">
        <f t="shared" si="788"/>
        <v>0</v>
      </c>
      <c r="CY885" s="238"/>
    </row>
    <row r="886" spans="1:103" s="76" customFormat="1" ht="14.25" customHeight="1" x14ac:dyDescent="0.2">
      <c r="A886" s="231" t="b">
        <f t="shared" si="792"/>
        <v>0</v>
      </c>
      <c r="B886" s="245">
        <v>864</v>
      </c>
      <c r="C886" s="258"/>
      <c r="D886" s="258"/>
      <c r="E886" s="246"/>
      <c r="F886" s="247" t="str">
        <f>IF(ISBLANK(E886), "", VLOOKUP(E886, Z!$A$2:$C$4127, 3, FALSE))</f>
        <v/>
      </c>
      <c r="G886" s="248"/>
      <c r="H886" s="248"/>
      <c r="I886" s="249"/>
      <c r="J886" s="250"/>
      <c r="K886" s="259"/>
      <c r="L886" s="260"/>
      <c r="M886" s="252" t="str" cm="1">
        <f t="array" ref="M886">INDEX(Trad, 53, $A$20)</f>
        <v>Verschmutzt</v>
      </c>
      <c r="N886" s="253"/>
      <c r="O886" s="253"/>
      <c r="P886" s="254"/>
      <c r="Q886" s="251"/>
      <c r="R886" s="251"/>
      <c r="S886" s="264">
        <f t="shared" si="763"/>
        <v>0</v>
      </c>
      <c r="T886" s="252" t="str" cm="1">
        <f t="array" ref="T886">INDEX(Trad, 52, $A$20)</f>
        <v>Sauber</v>
      </c>
      <c r="U886" s="253"/>
      <c r="V886" s="253"/>
      <c r="W886" s="254"/>
      <c r="X886" s="251"/>
      <c r="Y886" s="251"/>
      <c r="Z886" s="264">
        <f t="shared" si="764"/>
        <v>0</v>
      </c>
      <c r="AA886" s="261"/>
      <c r="AB886" s="258"/>
      <c r="AC886" s="246"/>
      <c r="AD886" s="247" t="str">
        <f>IF(ISBLANK(AC886), "", VLOOKUP(AC886, Z!$A$2:$C$4127, 3, FALSE))</f>
        <v/>
      </c>
      <c r="AE886" s="262"/>
      <c r="AF886" s="263">
        <f t="shared" si="765"/>
        <v>0</v>
      </c>
      <c r="AG886" s="238"/>
      <c r="AH886" s="229">
        <f t="shared" si="789"/>
        <v>1</v>
      </c>
      <c r="AI886" s="229">
        <f t="shared" si="790"/>
        <v>1</v>
      </c>
      <c r="AJ886" s="229">
        <f t="shared" si="791"/>
        <v>0</v>
      </c>
      <c r="AK886" s="229">
        <v>0</v>
      </c>
      <c r="AL886" s="229">
        <v>0</v>
      </c>
      <c r="AM886" s="229">
        <v>1</v>
      </c>
      <c r="AN886" s="229">
        <v>0</v>
      </c>
      <c r="AO886" s="229">
        <f t="shared" si="766"/>
        <v>-100</v>
      </c>
      <c r="AP886" s="238"/>
      <c r="AQ886" s="255"/>
      <c r="AR886" s="255"/>
      <c r="AS886" s="256"/>
      <c r="AT886" s="256"/>
      <c r="AU886" s="256"/>
      <c r="AV886" s="256"/>
      <c r="AW886" s="256"/>
      <c r="AX886" s="256"/>
      <c r="AY886" s="256"/>
      <c r="AZ886" s="256"/>
      <c r="BA886" s="256"/>
      <c r="BB886" s="256"/>
      <c r="BC886" s="256"/>
      <c r="BD886" s="238"/>
      <c r="BE886" s="229" cm="1">
        <f t="array" ref="BE886">IF(ISBLANK(R886), INDEX(Use, $AH886, 4) - AM886*INDEX(Use, $AH886, 6), R886)</f>
        <v>5</v>
      </c>
      <c r="BF886" s="229">
        <f t="shared" si="767"/>
        <v>30</v>
      </c>
      <c r="BG886" s="229">
        <f t="shared" si="793"/>
        <v>13</v>
      </c>
      <c r="BH886" s="229">
        <f t="shared" si="794"/>
        <v>0</v>
      </c>
      <c r="BI886" s="234" cm="1">
        <f t="array" ref="BI886">K886/IF($L886&gt;0, INDEX($AU$23:$BA$77, $L886+20, $AH886), 1)</f>
        <v>0</v>
      </c>
      <c r="BJ886" s="230">
        <f t="shared" si="768"/>
        <v>0</v>
      </c>
      <c r="BK886" s="229">
        <v>35</v>
      </c>
      <c r="BL886" s="230">
        <f t="shared" si="769"/>
        <v>48</v>
      </c>
      <c r="BM886" s="235">
        <f t="shared" si="770"/>
        <v>2.9108720930232557</v>
      </c>
      <c r="BN886" s="235" cm="1">
        <f t="array" ref="BN886">$BI886 * SUMPRODUCT(INDEX($AR$77:$AT$82,,$AI886),INDEX($AU$77:$BA$82,,$AH886), N($AQ$77:$AQ$82&gt;$AO886)) / BM886 / 1000</f>
        <v>0</v>
      </c>
      <c r="BO886" s="232">
        <f t="shared" si="795"/>
        <v>30</v>
      </c>
      <c r="BP886" s="230">
        <f t="shared" si="771"/>
        <v>43</v>
      </c>
      <c r="BQ886" s="235">
        <f t="shared" si="772"/>
        <v>3.2938815789473681</v>
      </c>
      <c r="BR886" s="235" cm="1">
        <f t="array" ref="BR886">$BI886 * IF($AH886&lt;=2,
SUMPRODUCT(INDEX($AR$72:$AT$76,,$AI886), INDEX($AU$72:$BA$76,,$AH886), 1 / ($BB$72:$BB$76*BQ886 + (1-$BB$72:$BB$76)*BM886), N($AQ$72:$AQ$76&gt;$AO886)),
SUMPRODUCT(INDEX($AR$67:$AT$76,,$AI886), INDEX($AU$67:$BA$76,,$AH886), 1 / ($BC$67:$BC$76*BQ886 + (1-$BC$67:$BC$76)*BM886), N($AQ$67:$AQ$76&gt;$AO886))
) / 1000</f>
        <v>0</v>
      </c>
      <c r="BS886" s="232">
        <f t="shared" si="796"/>
        <v>25</v>
      </c>
      <c r="BT886" s="230">
        <f t="shared" si="773"/>
        <v>38</v>
      </c>
      <c r="BU886" s="235">
        <f t="shared" si="774"/>
        <v>3.792954545454545</v>
      </c>
      <c r="BV886" s="235" cm="1">
        <f t="array" ref="BV886">$BI886 * IF($AH886&lt;=2,
SUMPRODUCT(INDEX($AR$67:$AT$71,,$AI886), INDEX($AU$67:$BA$71,,$AH886), 1 / ($BB$67:$BB$71*BU886 + (1-$BB$67:$BB$71)*BQ886), N($AQ$67:$AQ$71&gt;$AO886)),
SUMPRODUCT(INDEX($AR$57:$AT$66,,$AI886), INDEX($AU$57:$BA$66,,$AH886), 1 / ($BC$57:$BC$66*BU886 + (1-$BC$57:$BC$66)*BQ886), N($AQ$57:$AQ$66&gt;$AO886))
) / 1000</f>
        <v>0</v>
      </c>
      <c r="BW886" s="232">
        <f t="shared" si="797"/>
        <v>20</v>
      </c>
      <c r="BX886" s="230">
        <f t="shared" si="775"/>
        <v>33</v>
      </c>
      <c r="BY886" s="235">
        <f t="shared" si="776"/>
        <v>4.4702678571428569</v>
      </c>
      <c r="BZ886" s="235" cm="1">
        <f t="array" ref="BZ886">$BI886 * IF($AH886&lt;=2,
SUMPRODUCT(INDEX($AR$62:$AT$66,,$AI886), INDEX($AU$62:$BA$66,,$AH886), 1 / ($BB$62:$BB$66*BY886 + (1-$BB$62:$BB$66)*BU886), N($AQ$62:$AQ$66&gt;$AO886)),
SUMPRODUCT(INDEX($AR$47:$AT$56,,$AI886), INDEX($AU$47:$BA$56,,$AH886), 1 / ($BC$47:$BC$56*BY886 + (1-$BC$47:$BC$56)*BU886), N($AQ$47:$AQ$56&gt;$AO886))
) / 1000</f>
        <v>0</v>
      </c>
      <c r="CA886" s="235" cm="1">
        <f t="array" ref="CA886">$BI886 * IF($AH886&lt;=2,
SUMPRODUCT(INDEX($AR$23:$AT$61,,$AI886), INDEX($AU$23:$BA$61,,$AH886), 1 / ($BB$23:$BB$61*BY886), N($AQ$23:$AQ$61&gt;$AO886)),
SUMPRODUCT(INDEX($AR$23:$AT$46,,$AI886), INDEX($AU$23:$BA$46,,$AH886), 1 / ($BC$23:$BC$46*BY886), N($AQ$23:$AQ$46&gt;$AO886))
) / 1000</f>
        <v>0</v>
      </c>
      <c r="CB886" s="230">
        <f t="shared" si="777"/>
        <v>0</v>
      </c>
      <c r="CC886" s="238"/>
      <c r="CD886" s="229" cm="1">
        <f t="array" ref="CD886">IF(ISBLANK(Y886), INDEX(Use, $AH886, 4) - AN886*INDEX(Use, $AH886, 6) - (Q886-X886), Y886)</f>
        <v>7</v>
      </c>
      <c r="CE886" s="229">
        <f t="shared" si="778"/>
        <v>32</v>
      </c>
      <c r="CF886" s="230">
        <f t="shared" si="779"/>
        <v>0</v>
      </c>
      <c r="CG886" s="229">
        <v>35</v>
      </c>
      <c r="CH886" s="230">
        <f t="shared" si="780"/>
        <v>48</v>
      </c>
      <c r="CI886" s="235">
        <f t="shared" si="781"/>
        <v>3.0748170731707316</v>
      </c>
      <c r="CJ886" s="235" cm="1">
        <f t="array" ref="CJ886">$BI886 * SUMPRODUCT(INDEX($AR$77:$AT$82,,$AI886),INDEX($AU$77:$BA$82,,$AH886), N($AQ$77:$AQ$82&gt;$AO886)) / CI886 / 1000</f>
        <v>0</v>
      </c>
      <c r="CK886" s="232">
        <f t="shared" si="798"/>
        <v>30</v>
      </c>
      <c r="CL886" s="230">
        <f t="shared" si="782"/>
        <v>43</v>
      </c>
      <c r="CM886" s="235">
        <f t="shared" si="783"/>
        <v>3.5018750000000001</v>
      </c>
      <c r="CN886" s="235" cm="1">
        <f t="array" ref="CN886">$BI886 * IF($AH886&lt;=2,
SUMPRODUCT(INDEX($AR$72:$AT$76,,$AI886), INDEX($AU$72:$BA$76,,$AH886), 1 / ($BB$72:$BB$76*CM886 + (1-$BB$72:$BB$76)*CI886), N($AQ$72:$AQ$76&gt;$AO886)),
SUMPRODUCT(INDEX($AR$67:$AT$76,,$AI886), INDEX($AU$67:$BA$76,,$AH886), 1 / ($BC$67:$BC$76*CM886 + (1-$BC$67:$BC$76)*CI886), N($AQ$67:$AQ$76&gt;$AO886))
) / 1000</f>
        <v>0</v>
      </c>
      <c r="CO886" s="232">
        <f t="shared" si="799"/>
        <v>25</v>
      </c>
      <c r="CP886" s="230">
        <f t="shared" si="784"/>
        <v>38</v>
      </c>
      <c r="CQ886" s="235">
        <f t="shared" si="785"/>
        <v>4.0666935483870965</v>
      </c>
      <c r="CR886" s="235" cm="1">
        <f t="array" ref="CR886">$BI886 * IF($AH886&lt;=2,
SUMPRODUCT(INDEX($AR$67:$AT$71,,$AI886), INDEX($AU$67:$BA$71,,$AH886), 1 / ($BB$67:$BB$71*CQ886 + (1-$BB$67:$BB$71)*CM886), N($AQ$67:$AQ$71&gt;$AO886)),
SUMPRODUCT(INDEX($AR$57:$AT$66,,$AI886), INDEX($AU$57:$BA$66,,$AH886), 1 / ($BC$57:$BC$66*CQ886 + (1-$BC$57:$BC$66)*CM886), N($AQ$57:$AQ$66&gt;$AO886))
) / 1000</f>
        <v>0</v>
      </c>
      <c r="CS886" s="232">
        <f t="shared" si="800"/>
        <v>20</v>
      </c>
      <c r="CT886" s="230">
        <f t="shared" si="786"/>
        <v>33</v>
      </c>
      <c r="CU886" s="235">
        <f t="shared" si="787"/>
        <v>4.8487499999999999</v>
      </c>
      <c r="CV886" s="235" cm="1">
        <f t="array" ref="CV886">$BI886 * IF($AH886&lt;=2,
SUMPRODUCT(INDEX($AR$62:$AT$66,,$AI886), INDEX($AU$62:$BA$66,,$AH886), 1 / ($BB$62:$BB$66*CU886 + (1-$BB$62:$BB$66)*CQ886), N($AQ$62:$AQ$66&gt;$AO886)),
SUMPRODUCT(INDEX($AR$47:$AT$56,,$AI886), INDEX($AU$47:$BA$56,,$AH886), 1 / ($BC$47:$BC$56*CU886 + (1-$BC$47:$BC$56)*CQ886), N($AQ$47:$AQ$56&gt;$AO886))
) / 1000</f>
        <v>0</v>
      </c>
      <c r="CW886" s="235" cm="1">
        <f t="array" ref="CW886">$BI886 * IF($AH886&lt;=2,
SUMPRODUCT(INDEX($AR$23:$AT$61,,$AI886), INDEX($AU$23:$BA$61,,$AH886), 1 / ($BB$23:$BB$61*CU886), N($AQ$23:$AQ$61&gt;$AO886)),
SUMPRODUCT(INDEX($AR$23:$AT$46,,$AI886), INDEX($AU$23:$BA$46,,$AH886), 1 / ($BC$23:$BC$46*CU886), N($AQ$23:$AQ$46&gt;$AO886))
) / 1000</f>
        <v>0</v>
      </c>
      <c r="CX886" s="230">
        <f t="shared" si="788"/>
        <v>0</v>
      </c>
      <c r="CY886" s="238"/>
    </row>
    <row r="887" spans="1:103" s="76" customFormat="1" ht="14.25" customHeight="1" x14ac:dyDescent="0.2">
      <c r="A887" s="231" t="b">
        <f t="shared" si="792"/>
        <v>0</v>
      </c>
      <c r="B887" s="245">
        <v>865</v>
      </c>
      <c r="C887" s="258"/>
      <c r="D887" s="258"/>
      <c r="E887" s="246"/>
      <c r="F887" s="247" t="str">
        <f>IF(ISBLANK(E887), "", VLOOKUP(E887, Z!$A$2:$C$4127, 3, FALSE))</f>
        <v/>
      </c>
      <c r="G887" s="248"/>
      <c r="H887" s="248"/>
      <c r="I887" s="249"/>
      <c r="J887" s="250"/>
      <c r="K887" s="259"/>
      <c r="L887" s="260"/>
      <c r="M887" s="252" t="str" cm="1">
        <f t="array" ref="M887">INDEX(Trad, 53, $A$20)</f>
        <v>Verschmutzt</v>
      </c>
      <c r="N887" s="253"/>
      <c r="O887" s="253"/>
      <c r="P887" s="254"/>
      <c r="Q887" s="251"/>
      <c r="R887" s="251"/>
      <c r="S887" s="264">
        <f t="shared" si="763"/>
        <v>0</v>
      </c>
      <c r="T887" s="252" t="str" cm="1">
        <f t="array" ref="T887">INDEX(Trad, 52, $A$20)</f>
        <v>Sauber</v>
      </c>
      <c r="U887" s="253"/>
      <c r="V887" s="253"/>
      <c r="W887" s="254"/>
      <c r="X887" s="251"/>
      <c r="Y887" s="251"/>
      <c r="Z887" s="264">
        <f t="shared" si="764"/>
        <v>0</v>
      </c>
      <c r="AA887" s="261"/>
      <c r="AB887" s="258"/>
      <c r="AC887" s="246"/>
      <c r="AD887" s="247" t="str">
        <f>IF(ISBLANK(AC887), "", VLOOKUP(AC887, Z!$A$2:$C$4127, 3, FALSE))</f>
        <v/>
      </c>
      <c r="AE887" s="262"/>
      <c r="AF887" s="263">
        <f t="shared" si="765"/>
        <v>0</v>
      </c>
      <c r="AG887" s="238"/>
      <c r="AH887" s="229">
        <f t="shared" si="789"/>
        <v>1</v>
      </c>
      <c r="AI887" s="229">
        <f t="shared" si="790"/>
        <v>1</v>
      </c>
      <c r="AJ887" s="229">
        <f t="shared" si="791"/>
        <v>0</v>
      </c>
      <c r="AK887" s="229">
        <v>0</v>
      </c>
      <c r="AL887" s="229">
        <v>0</v>
      </c>
      <c r="AM887" s="229">
        <v>1</v>
      </c>
      <c r="AN887" s="229">
        <v>0</v>
      </c>
      <c r="AO887" s="229">
        <f t="shared" si="766"/>
        <v>-100</v>
      </c>
      <c r="AP887" s="238"/>
      <c r="AQ887" s="255"/>
      <c r="AR887" s="255"/>
      <c r="AS887" s="256"/>
      <c r="AT887" s="256"/>
      <c r="AU887" s="256"/>
      <c r="AV887" s="256"/>
      <c r="AW887" s="256"/>
      <c r="AX887" s="256"/>
      <c r="AY887" s="256"/>
      <c r="AZ887" s="256"/>
      <c r="BA887" s="256"/>
      <c r="BB887" s="256"/>
      <c r="BC887" s="256"/>
      <c r="BD887" s="238"/>
      <c r="BE887" s="229" cm="1">
        <f t="array" ref="BE887">IF(ISBLANK(R887), INDEX(Use, $AH887, 4) - AM887*INDEX(Use, $AH887, 6), R887)</f>
        <v>5</v>
      </c>
      <c r="BF887" s="229">
        <f t="shared" si="767"/>
        <v>30</v>
      </c>
      <c r="BG887" s="229">
        <f t="shared" si="793"/>
        <v>13</v>
      </c>
      <c r="BH887" s="229">
        <f t="shared" si="794"/>
        <v>0</v>
      </c>
      <c r="BI887" s="234" cm="1">
        <f t="array" ref="BI887">K887/IF($L887&gt;0, INDEX($AU$23:$BA$77, $L887+20, $AH887), 1)</f>
        <v>0</v>
      </c>
      <c r="BJ887" s="230">
        <f t="shared" si="768"/>
        <v>0</v>
      </c>
      <c r="BK887" s="229">
        <v>35</v>
      </c>
      <c r="BL887" s="230">
        <f t="shared" si="769"/>
        <v>48</v>
      </c>
      <c r="BM887" s="235">
        <f t="shared" si="770"/>
        <v>2.9108720930232557</v>
      </c>
      <c r="BN887" s="235" cm="1">
        <f t="array" ref="BN887">$BI887 * SUMPRODUCT(INDEX($AR$77:$AT$82,,$AI887),INDEX($AU$77:$BA$82,,$AH887), N($AQ$77:$AQ$82&gt;$AO887)) / BM887 / 1000</f>
        <v>0</v>
      </c>
      <c r="BO887" s="232">
        <f t="shared" si="795"/>
        <v>30</v>
      </c>
      <c r="BP887" s="230">
        <f t="shared" si="771"/>
        <v>43</v>
      </c>
      <c r="BQ887" s="235">
        <f t="shared" si="772"/>
        <v>3.2938815789473681</v>
      </c>
      <c r="BR887" s="235" cm="1">
        <f t="array" ref="BR887">$BI887 * IF($AH887&lt;=2,
SUMPRODUCT(INDEX($AR$72:$AT$76,,$AI887), INDEX($AU$72:$BA$76,,$AH887), 1 / ($BB$72:$BB$76*BQ887 + (1-$BB$72:$BB$76)*BM887), N($AQ$72:$AQ$76&gt;$AO887)),
SUMPRODUCT(INDEX($AR$67:$AT$76,,$AI887), INDEX($AU$67:$BA$76,,$AH887), 1 / ($BC$67:$BC$76*BQ887 + (1-$BC$67:$BC$76)*BM887), N($AQ$67:$AQ$76&gt;$AO887))
) / 1000</f>
        <v>0</v>
      </c>
      <c r="BS887" s="232">
        <f t="shared" si="796"/>
        <v>25</v>
      </c>
      <c r="BT887" s="230">
        <f t="shared" si="773"/>
        <v>38</v>
      </c>
      <c r="BU887" s="235">
        <f t="shared" si="774"/>
        <v>3.792954545454545</v>
      </c>
      <c r="BV887" s="235" cm="1">
        <f t="array" ref="BV887">$BI887 * IF($AH887&lt;=2,
SUMPRODUCT(INDEX($AR$67:$AT$71,,$AI887), INDEX($AU$67:$BA$71,,$AH887), 1 / ($BB$67:$BB$71*BU887 + (1-$BB$67:$BB$71)*BQ887), N($AQ$67:$AQ$71&gt;$AO887)),
SUMPRODUCT(INDEX($AR$57:$AT$66,,$AI887), INDEX($AU$57:$BA$66,,$AH887), 1 / ($BC$57:$BC$66*BU887 + (1-$BC$57:$BC$66)*BQ887), N($AQ$57:$AQ$66&gt;$AO887))
) / 1000</f>
        <v>0</v>
      </c>
      <c r="BW887" s="232">
        <f t="shared" si="797"/>
        <v>20</v>
      </c>
      <c r="BX887" s="230">
        <f t="shared" si="775"/>
        <v>33</v>
      </c>
      <c r="BY887" s="235">
        <f t="shared" si="776"/>
        <v>4.4702678571428569</v>
      </c>
      <c r="BZ887" s="235" cm="1">
        <f t="array" ref="BZ887">$BI887 * IF($AH887&lt;=2,
SUMPRODUCT(INDEX($AR$62:$AT$66,,$AI887), INDEX($AU$62:$BA$66,,$AH887), 1 / ($BB$62:$BB$66*BY887 + (1-$BB$62:$BB$66)*BU887), N($AQ$62:$AQ$66&gt;$AO887)),
SUMPRODUCT(INDEX($AR$47:$AT$56,,$AI887), INDEX($AU$47:$BA$56,,$AH887), 1 / ($BC$47:$BC$56*BY887 + (1-$BC$47:$BC$56)*BU887), N($AQ$47:$AQ$56&gt;$AO887))
) / 1000</f>
        <v>0</v>
      </c>
      <c r="CA887" s="235" cm="1">
        <f t="array" ref="CA887">$BI887 * IF($AH887&lt;=2,
SUMPRODUCT(INDEX($AR$23:$AT$61,,$AI887), INDEX($AU$23:$BA$61,,$AH887), 1 / ($BB$23:$BB$61*BY887), N($AQ$23:$AQ$61&gt;$AO887)),
SUMPRODUCT(INDEX($AR$23:$AT$46,,$AI887), INDEX($AU$23:$BA$46,,$AH887), 1 / ($BC$23:$BC$46*BY887), N($AQ$23:$AQ$46&gt;$AO887))
) / 1000</f>
        <v>0</v>
      </c>
      <c r="CB887" s="230">
        <f t="shared" si="777"/>
        <v>0</v>
      </c>
      <c r="CC887" s="238"/>
      <c r="CD887" s="229" cm="1">
        <f t="array" ref="CD887">IF(ISBLANK(Y887), INDEX(Use, $AH887, 4) - AN887*INDEX(Use, $AH887, 6) - (Q887-X887), Y887)</f>
        <v>7</v>
      </c>
      <c r="CE887" s="229">
        <f t="shared" si="778"/>
        <v>32</v>
      </c>
      <c r="CF887" s="230">
        <f t="shared" si="779"/>
        <v>0</v>
      </c>
      <c r="CG887" s="229">
        <v>35</v>
      </c>
      <c r="CH887" s="230">
        <f t="shared" si="780"/>
        <v>48</v>
      </c>
      <c r="CI887" s="235">
        <f t="shared" si="781"/>
        <v>3.0748170731707316</v>
      </c>
      <c r="CJ887" s="235" cm="1">
        <f t="array" ref="CJ887">$BI887 * SUMPRODUCT(INDEX($AR$77:$AT$82,,$AI887),INDEX($AU$77:$BA$82,,$AH887), N($AQ$77:$AQ$82&gt;$AO887)) / CI887 / 1000</f>
        <v>0</v>
      </c>
      <c r="CK887" s="232">
        <f t="shared" si="798"/>
        <v>30</v>
      </c>
      <c r="CL887" s="230">
        <f t="shared" si="782"/>
        <v>43</v>
      </c>
      <c r="CM887" s="235">
        <f t="shared" si="783"/>
        <v>3.5018750000000001</v>
      </c>
      <c r="CN887" s="235" cm="1">
        <f t="array" ref="CN887">$BI887 * IF($AH887&lt;=2,
SUMPRODUCT(INDEX($AR$72:$AT$76,,$AI887), INDEX($AU$72:$BA$76,,$AH887), 1 / ($BB$72:$BB$76*CM887 + (1-$BB$72:$BB$76)*CI887), N($AQ$72:$AQ$76&gt;$AO887)),
SUMPRODUCT(INDEX($AR$67:$AT$76,,$AI887), INDEX($AU$67:$BA$76,,$AH887), 1 / ($BC$67:$BC$76*CM887 + (1-$BC$67:$BC$76)*CI887), N($AQ$67:$AQ$76&gt;$AO887))
) / 1000</f>
        <v>0</v>
      </c>
      <c r="CO887" s="232">
        <f t="shared" si="799"/>
        <v>25</v>
      </c>
      <c r="CP887" s="230">
        <f t="shared" si="784"/>
        <v>38</v>
      </c>
      <c r="CQ887" s="235">
        <f t="shared" si="785"/>
        <v>4.0666935483870965</v>
      </c>
      <c r="CR887" s="235" cm="1">
        <f t="array" ref="CR887">$BI887 * IF($AH887&lt;=2,
SUMPRODUCT(INDEX($AR$67:$AT$71,,$AI887), INDEX($AU$67:$BA$71,,$AH887), 1 / ($BB$67:$BB$71*CQ887 + (1-$BB$67:$BB$71)*CM887), N($AQ$67:$AQ$71&gt;$AO887)),
SUMPRODUCT(INDEX($AR$57:$AT$66,,$AI887), INDEX($AU$57:$BA$66,,$AH887), 1 / ($BC$57:$BC$66*CQ887 + (1-$BC$57:$BC$66)*CM887), N($AQ$57:$AQ$66&gt;$AO887))
) / 1000</f>
        <v>0</v>
      </c>
      <c r="CS887" s="232">
        <f t="shared" si="800"/>
        <v>20</v>
      </c>
      <c r="CT887" s="230">
        <f t="shared" si="786"/>
        <v>33</v>
      </c>
      <c r="CU887" s="235">
        <f t="shared" si="787"/>
        <v>4.8487499999999999</v>
      </c>
      <c r="CV887" s="235" cm="1">
        <f t="array" ref="CV887">$BI887 * IF($AH887&lt;=2,
SUMPRODUCT(INDEX($AR$62:$AT$66,,$AI887), INDEX($AU$62:$BA$66,,$AH887), 1 / ($BB$62:$BB$66*CU887 + (1-$BB$62:$BB$66)*CQ887), N($AQ$62:$AQ$66&gt;$AO887)),
SUMPRODUCT(INDEX($AR$47:$AT$56,,$AI887), INDEX($AU$47:$BA$56,,$AH887), 1 / ($BC$47:$BC$56*CU887 + (1-$BC$47:$BC$56)*CQ887), N($AQ$47:$AQ$56&gt;$AO887))
) / 1000</f>
        <v>0</v>
      </c>
      <c r="CW887" s="235" cm="1">
        <f t="array" ref="CW887">$BI887 * IF($AH887&lt;=2,
SUMPRODUCT(INDEX($AR$23:$AT$61,,$AI887), INDEX($AU$23:$BA$61,,$AH887), 1 / ($BB$23:$BB$61*CU887), N($AQ$23:$AQ$61&gt;$AO887)),
SUMPRODUCT(INDEX($AR$23:$AT$46,,$AI887), INDEX($AU$23:$BA$46,,$AH887), 1 / ($BC$23:$BC$46*CU887), N($AQ$23:$AQ$46&gt;$AO887))
) / 1000</f>
        <v>0</v>
      </c>
      <c r="CX887" s="230">
        <f t="shared" si="788"/>
        <v>0</v>
      </c>
      <c r="CY887" s="238"/>
    </row>
    <row r="888" spans="1:103" s="76" customFormat="1" ht="14.25" customHeight="1" x14ac:dyDescent="0.2">
      <c r="A888" s="231" t="b">
        <f t="shared" si="792"/>
        <v>0</v>
      </c>
      <c r="B888" s="245">
        <v>866</v>
      </c>
      <c r="C888" s="258"/>
      <c r="D888" s="258"/>
      <c r="E888" s="246"/>
      <c r="F888" s="247" t="str">
        <f>IF(ISBLANK(E888), "", VLOOKUP(E888, Z!$A$2:$C$4127, 3, FALSE))</f>
        <v/>
      </c>
      <c r="G888" s="248"/>
      <c r="H888" s="248"/>
      <c r="I888" s="249"/>
      <c r="J888" s="250"/>
      <c r="K888" s="259"/>
      <c r="L888" s="260"/>
      <c r="M888" s="252" t="str" cm="1">
        <f t="array" ref="M888">INDEX(Trad, 53, $A$20)</f>
        <v>Verschmutzt</v>
      </c>
      <c r="N888" s="253"/>
      <c r="O888" s="253"/>
      <c r="P888" s="254"/>
      <c r="Q888" s="251"/>
      <c r="R888" s="251"/>
      <c r="S888" s="264">
        <f t="shared" si="763"/>
        <v>0</v>
      </c>
      <c r="T888" s="252" t="str" cm="1">
        <f t="array" ref="T888">INDEX(Trad, 52, $A$20)</f>
        <v>Sauber</v>
      </c>
      <c r="U888" s="253"/>
      <c r="V888" s="253"/>
      <c r="W888" s="254"/>
      <c r="X888" s="251"/>
      <c r="Y888" s="251"/>
      <c r="Z888" s="264">
        <f t="shared" si="764"/>
        <v>0</v>
      </c>
      <c r="AA888" s="261"/>
      <c r="AB888" s="258"/>
      <c r="AC888" s="246"/>
      <c r="AD888" s="247" t="str">
        <f>IF(ISBLANK(AC888), "", VLOOKUP(AC888, Z!$A$2:$C$4127, 3, FALSE))</f>
        <v/>
      </c>
      <c r="AE888" s="262"/>
      <c r="AF888" s="263">
        <f t="shared" si="765"/>
        <v>0</v>
      </c>
      <c r="AG888" s="238"/>
      <c r="AH888" s="229">
        <f t="shared" si="789"/>
        <v>1</v>
      </c>
      <c r="AI888" s="229">
        <f t="shared" si="790"/>
        <v>1</v>
      </c>
      <c r="AJ888" s="229">
        <f t="shared" si="791"/>
        <v>0</v>
      </c>
      <c r="AK888" s="229">
        <v>0</v>
      </c>
      <c r="AL888" s="229">
        <v>0</v>
      </c>
      <c r="AM888" s="229">
        <v>1</v>
      </c>
      <c r="AN888" s="229">
        <v>0</v>
      </c>
      <c r="AO888" s="229">
        <f t="shared" si="766"/>
        <v>-100</v>
      </c>
      <c r="AP888" s="238"/>
      <c r="AQ888" s="255"/>
      <c r="AR888" s="255"/>
      <c r="AS888" s="256"/>
      <c r="AT888" s="256"/>
      <c r="AU888" s="256"/>
      <c r="AV888" s="256"/>
      <c r="AW888" s="256"/>
      <c r="AX888" s="256"/>
      <c r="AY888" s="256"/>
      <c r="AZ888" s="256"/>
      <c r="BA888" s="256"/>
      <c r="BB888" s="256"/>
      <c r="BC888" s="256"/>
      <c r="BD888" s="238"/>
      <c r="BE888" s="229" cm="1">
        <f t="array" ref="BE888">IF(ISBLANK(R888), INDEX(Use, $AH888, 4) - AM888*INDEX(Use, $AH888, 6), R888)</f>
        <v>5</v>
      </c>
      <c r="BF888" s="229">
        <f t="shared" si="767"/>
        <v>30</v>
      </c>
      <c r="BG888" s="229">
        <f t="shared" si="793"/>
        <v>13</v>
      </c>
      <c r="BH888" s="229">
        <f t="shared" si="794"/>
        <v>0</v>
      </c>
      <c r="BI888" s="234" cm="1">
        <f t="array" ref="BI888">K888/IF($L888&gt;0, INDEX($AU$23:$BA$77, $L888+20, $AH888), 1)</f>
        <v>0</v>
      </c>
      <c r="BJ888" s="230">
        <f t="shared" si="768"/>
        <v>0</v>
      </c>
      <c r="BK888" s="229">
        <v>35</v>
      </c>
      <c r="BL888" s="230">
        <f t="shared" si="769"/>
        <v>48</v>
      </c>
      <c r="BM888" s="235">
        <f t="shared" si="770"/>
        <v>2.9108720930232557</v>
      </c>
      <c r="BN888" s="235" cm="1">
        <f t="array" ref="BN888">$BI888 * SUMPRODUCT(INDEX($AR$77:$AT$82,,$AI888),INDEX($AU$77:$BA$82,,$AH888), N($AQ$77:$AQ$82&gt;$AO888)) / BM888 / 1000</f>
        <v>0</v>
      </c>
      <c r="BO888" s="232">
        <f t="shared" si="795"/>
        <v>30</v>
      </c>
      <c r="BP888" s="230">
        <f t="shared" si="771"/>
        <v>43</v>
      </c>
      <c r="BQ888" s="235">
        <f t="shared" si="772"/>
        <v>3.2938815789473681</v>
      </c>
      <c r="BR888" s="235" cm="1">
        <f t="array" ref="BR888">$BI888 * IF($AH888&lt;=2,
SUMPRODUCT(INDEX($AR$72:$AT$76,,$AI888), INDEX($AU$72:$BA$76,,$AH888), 1 / ($BB$72:$BB$76*BQ888 + (1-$BB$72:$BB$76)*BM888), N($AQ$72:$AQ$76&gt;$AO888)),
SUMPRODUCT(INDEX($AR$67:$AT$76,,$AI888), INDEX($AU$67:$BA$76,,$AH888), 1 / ($BC$67:$BC$76*BQ888 + (1-$BC$67:$BC$76)*BM888), N($AQ$67:$AQ$76&gt;$AO888))
) / 1000</f>
        <v>0</v>
      </c>
      <c r="BS888" s="232">
        <f t="shared" si="796"/>
        <v>25</v>
      </c>
      <c r="BT888" s="230">
        <f t="shared" si="773"/>
        <v>38</v>
      </c>
      <c r="BU888" s="235">
        <f t="shared" si="774"/>
        <v>3.792954545454545</v>
      </c>
      <c r="BV888" s="235" cm="1">
        <f t="array" ref="BV888">$BI888 * IF($AH888&lt;=2,
SUMPRODUCT(INDEX($AR$67:$AT$71,,$AI888), INDEX($AU$67:$BA$71,,$AH888), 1 / ($BB$67:$BB$71*BU888 + (1-$BB$67:$BB$71)*BQ888), N($AQ$67:$AQ$71&gt;$AO888)),
SUMPRODUCT(INDEX($AR$57:$AT$66,,$AI888), INDEX($AU$57:$BA$66,,$AH888), 1 / ($BC$57:$BC$66*BU888 + (1-$BC$57:$BC$66)*BQ888), N($AQ$57:$AQ$66&gt;$AO888))
) / 1000</f>
        <v>0</v>
      </c>
      <c r="BW888" s="232">
        <f t="shared" si="797"/>
        <v>20</v>
      </c>
      <c r="BX888" s="230">
        <f t="shared" si="775"/>
        <v>33</v>
      </c>
      <c r="BY888" s="235">
        <f t="shared" si="776"/>
        <v>4.4702678571428569</v>
      </c>
      <c r="BZ888" s="235" cm="1">
        <f t="array" ref="BZ888">$BI888 * IF($AH888&lt;=2,
SUMPRODUCT(INDEX($AR$62:$AT$66,,$AI888), INDEX($AU$62:$BA$66,,$AH888), 1 / ($BB$62:$BB$66*BY888 + (1-$BB$62:$BB$66)*BU888), N($AQ$62:$AQ$66&gt;$AO888)),
SUMPRODUCT(INDEX($AR$47:$AT$56,,$AI888), INDEX($AU$47:$BA$56,,$AH888), 1 / ($BC$47:$BC$56*BY888 + (1-$BC$47:$BC$56)*BU888), N($AQ$47:$AQ$56&gt;$AO888))
) / 1000</f>
        <v>0</v>
      </c>
      <c r="CA888" s="235" cm="1">
        <f t="array" ref="CA888">$BI888 * IF($AH888&lt;=2,
SUMPRODUCT(INDEX($AR$23:$AT$61,,$AI888), INDEX($AU$23:$BA$61,,$AH888), 1 / ($BB$23:$BB$61*BY888), N($AQ$23:$AQ$61&gt;$AO888)),
SUMPRODUCT(INDEX($AR$23:$AT$46,,$AI888), INDEX($AU$23:$BA$46,,$AH888), 1 / ($BC$23:$BC$46*BY888), N($AQ$23:$AQ$46&gt;$AO888))
) / 1000</f>
        <v>0</v>
      </c>
      <c r="CB888" s="230">
        <f t="shared" si="777"/>
        <v>0</v>
      </c>
      <c r="CC888" s="238"/>
      <c r="CD888" s="229" cm="1">
        <f t="array" ref="CD888">IF(ISBLANK(Y888), INDEX(Use, $AH888, 4) - AN888*INDEX(Use, $AH888, 6) - (Q888-X888), Y888)</f>
        <v>7</v>
      </c>
      <c r="CE888" s="229">
        <f t="shared" si="778"/>
        <v>32</v>
      </c>
      <c r="CF888" s="230">
        <f t="shared" si="779"/>
        <v>0</v>
      </c>
      <c r="CG888" s="229">
        <v>35</v>
      </c>
      <c r="CH888" s="230">
        <f t="shared" si="780"/>
        <v>48</v>
      </c>
      <c r="CI888" s="235">
        <f t="shared" si="781"/>
        <v>3.0748170731707316</v>
      </c>
      <c r="CJ888" s="235" cm="1">
        <f t="array" ref="CJ888">$BI888 * SUMPRODUCT(INDEX($AR$77:$AT$82,,$AI888),INDEX($AU$77:$BA$82,,$AH888), N($AQ$77:$AQ$82&gt;$AO888)) / CI888 / 1000</f>
        <v>0</v>
      </c>
      <c r="CK888" s="232">
        <f t="shared" si="798"/>
        <v>30</v>
      </c>
      <c r="CL888" s="230">
        <f t="shared" si="782"/>
        <v>43</v>
      </c>
      <c r="CM888" s="235">
        <f t="shared" si="783"/>
        <v>3.5018750000000001</v>
      </c>
      <c r="CN888" s="235" cm="1">
        <f t="array" ref="CN888">$BI888 * IF($AH888&lt;=2,
SUMPRODUCT(INDEX($AR$72:$AT$76,,$AI888), INDEX($AU$72:$BA$76,,$AH888), 1 / ($BB$72:$BB$76*CM888 + (1-$BB$72:$BB$76)*CI888), N($AQ$72:$AQ$76&gt;$AO888)),
SUMPRODUCT(INDEX($AR$67:$AT$76,,$AI888), INDEX($AU$67:$BA$76,,$AH888), 1 / ($BC$67:$BC$76*CM888 + (1-$BC$67:$BC$76)*CI888), N($AQ$67:$AQ$76&gt;$AO888))
) / 1000</f>
        <v>0</v>
      </c>
      <c r="CO888" s="232">
        <f t="shared" si="799"/>
        <v>25</v>
      </c>
      <c r="CP888" s="230">
        <f t="shared" si="784"/>
        <v>38</v>
      </c>
      <c r="CQ888" s="235">
        <f t="shared" si="785"/>
        <v>4.0666935483870965</v>
      </c>
      <c r="CR888" s="235" cm="1">
        <f t="array" ref="CR888">$BI888 * IF($AH888&lt;=2,
SUMPRODUCT(INDEX($AR$67:$AT$71,,$AI888), INDEX($AU$67:$BA$71,,$AH888), 1 / ($BB$67:$BB$71*CQ888 + (1-$BB$67:$BB$71)*CM888), N($AQ$67:$AQ$71&gt;$AO888)),
SUMPRODUCT(INDEX($AR$57:$AT$66,,$AI888), INDEX($AU$57:$BA$66,,$AH888), 1 / ($BC$57:$BC$66*CQ888 + (1-$BC$57:$BC$66)*CM888), N($AQ$57:$AQ$66&gt;$AO888))
) / 1000</f>
        <v>0</v>
      </c>
      <c r="CS888" s="232">
        <f t="shared" si="800"/>
        <v>20</v>
      </c>
      <c r="CT888" s="230">
        <f t="shared" si="786"/>
        <v>33</v>
      </c>
      <c r="CU888" s="235">
        <f t="shared" si="787"/>
        <v>4.8487499999999999</v>
      </c>
      <c r="CV888" s="235" cm="1">
        <f t="array" ref="CV888">$BI888 * IF($AH888&lt;=2,
SUMPRODUCT(INDEX($AR$62:$AT$66,,$AI888), INDEX($AU$62:$BA$66,,$AH888), 1 / ($BB$62:$BB$66*CU888 + (1-$BB$62:$BB$66)*CQ888), N($AQ$62:$AQ$66&gt;$AO888)),
SUMPRODUCT(INDEX($AR$47:$AT$56,,$AI888), INDEX($AU$47:$BA$56,,$AH888), 1 / ($BC$47:$BC$56*CU888 + (1-$BC$47:$BC$56)*CQ888), N($AQ$47:$AQ$56&gt;$AO888))
) / 1000</f>
        <v>0</v>
      </c>
      <c r="CW888" s="235" cm="1">
        <f t="array" ref="CW888">$BI888 * IF($AH888&lt;=2,
SUMPRODUCT(INDEX($AR$23:$AT$61,,$AI888), INDEX($AU$23:$BA$61,,$AH888), 1 / ($BB$23:$BB$61*CU888), N($AQ$23:$AQ$61&gt;$AO888)),
SUMPRODUCT(INDEX($AR$23:$AT$46,,$AI888), INDEX($AU$23:$BA$46,,$AH888), 1 / ($BC$23:$BC$46*CU888), N($AQ$23:$AQ$46&gt;$AO888))
) / 1000</f>
        <v>0</v>
      </c>
      <c r="CX888" s="230">
        <f t="shared" si="788"/>
        <v>0</v>
      </c>
      <c r="CY888" s="238"/>
    </row>
    <row r="889" spans="1:103" s="76" customFormat="1" ht="14.25" customHeight="1" x14ac:dyDescent="0.2">
      <c r="A889" s="231" t="b">
        <f t="shared" si="792"/>
        <v>0</v>
      </c>
      <c r="B889" s="245">
        <v>867</v>
      </c>
      <c r="C889" s="258"/>
      <c r="D889" s="258"/>
      <c r="E889" s="246"/>
      <c r="F889" s="247" t="str">
        <f>IF(ISBLANK(E889), "", VLOOKUP(E889, Z!$A$2:$C$4127, 3, FALSE))</f>
        <v/>
      </c>
      <c r="G889" s="248"/>
      <c r="H889" s="248"/>
      <c r="I889" s="249"/>
      <c r="J889" s="250"/>
      <c r="K889" s="259"/>
      <c r="L889" s="260"/>
      <c r="M889" s="252" t="str" cm="1">
        <f t="array" ref="M889">INDEX(Trad, 53, $A$20)</f>
        <v>Verschmutzt</v>
      </c>
      <c r="N889" s="253"/>
      <c r="O889" s="253"/>
      <c r="P889" s="254"/>
      <c r="Q889" s="251"/>
      <c r="R889" s="251"/>
      <c r="S889" s="264">
        <f t="shared" si="763"/>
        <v>0</v>
      </c>
      <c r="T889" s="252" t="str" cm="1">
        <f t="array" ref="T889">INDEX(Trad, 52, $A$20)</f>
        <v>Sauber</v>
      </c>
      <c r="U889" s="253"/>
      <c r="V889" s="253"/>
      <c r="W889" s="254"/>
      <c r="X889" s="251"/>
      <c r="Y889" s="251"/>
      <c r="Z889" s="264">
        <f t="shared" si="764"/>
        <v>0</v>
      </c>
      <c r="AA889" s="261"/>
      <c r="AB889" s="258"/>
      <c r="AC889" s="246"/>
      <c r="AD889" s="247" t="str">
        <f>IF(ISBLANK(AC889), "", VLOOKUP(AC889, Z!$A$2:$C$4127, 3, FALSE))</f>
        <v/>
      </c>
      <c r="AE889" s="262"/>
      <c r="AF889" s="263">
        <f t="shared" si="765"/>
        <v>0</v>
      </c>
      <c r="AG889" s="238"/>
      <c r="AH889" s="229">
        <f t="shared" si="789"/>
        <v>1</v>
      </c>
      <c r="AI889" s="229">
        <f t="shared" si="790"/>
        <v>1</v>
      </c>
      <c r="AJ889" s="229">
        <f t="shared" si="791"/>
        <v>0</v>
      </c>
      <c r="AK889" s="229">
        <v>0</v>
      </c>
      <c r="AL889" s="229">
        <v>0</v>
      </c>
      <c r="AM889" s="229">
        <v>1</v>
      </c>
      <c r="AN889" s="229">
        <v>0</v>
      </c>
      <c r="AO889" s="229">
        <f t="shared" si="766"/>
        <v>-100</v>
      </c>
      <c r="AP889" s="238"/>
      <c r="AQ889" s="255"/>
      <c r="AR889" s="255"/>
      <c r="AS889" s="256"/>
      <c r="AT889" s="256"/>
      <c r="AU889" s="256"/>
      <c r="AV889" s="256"/>
      <c r="AW889" s="256"/>
      <c r="AX889" s="256"/>
      <c r="AY889" s="256"/>
      <c r="AZ889" s="256"/>
      <c r="BA889" s="256"/>
      <c r="BB889" s="256"/>
      <c r="BC889" s="256"/>
      <c r="BD889" s="238"/>
      <c r="BE889" s="229" cm="1">
        <f t="array" ref="BE889">IF(ISBLANK(R889), INDEX(Use, $AH889, 4) - AM889*INDEX(Use, $AH889, 6), R889)</f>
        <v>5</v>
      </c>
      <c r="BF889" s="229">
        <f t="shared" si="767"/>
        <v>30</v>
      </c>
      <c r="BG889" s="229">
        <f t="shared" si="793"/>
        <v>13</v>
      </c>
      <c r="BH889" s="229">
        <f t="shared" si="794"/>
        <v>0</v>
      </c>
      <c r="BI889" s="234" cm="1">
        <f t="array" ref="BI889">K889/IF($L889&gt;0, INDEX($AU$23:$BA$77, $L889+20, $AH889), 1)</f>
        <v>0</v>
      </c>
      <c r="BJ889" s="230">
        <f t="shared" si="768"/>
        <v>0</v>
      </c>
      <c r="BK889" s="229">
        <v>35</v>
      </c>
      <c r="BL889" s="230">
        <f t="shared" si="769"/>
        <v>48</v>
      </c>
      <c r="BM889" s="235">
        <f t="shared" si="770"/>
        <v>2.9108720930232557</v>
      </c>
      <c r="BN889" s="235" cm="1">
        <f t="array" ref="BN889">$BI889 * SUMPRODUCT(INDEX($AR$77:$AT$82,,$AI889),INDEX($AU$77:$BA$82,,$AH889), N($AQ$77:$AQ$82&gt;$AO889)) / BM889 / 1000</f>
        <v>0</v>
      </c>
      <c r="BO889" s="232">
        <f t="shared" si="795"/>
        <v>30</v>
      </c>
      <c r="BP889" s="230">
        <f t="shared" si="771"/>
        <v>43</v>
      </c>
      <c r="BQ889" s="235">
        <f t="shared" si="772"/>
        <v>3.2938815789473681</v>
      </c>
      <c r="BR889" s="235" cm="1">
        <f t="array" ref="BR889">$BI889 * IF($AH889&lt;=2,
SUMPRODUCT(INDEX($AR$72:$AT$76,,$AI889), INDEX($AU$72:$BA$76,,$AH889), 1 / ($BB$72:$BB$76*BQ889 + (1-$BB$72:$BB$76)*BM889), N($AQ$72:$AQ$76&gt;$AO889)),
SUMPRODUCT(INDEX($AR$67:$AT$76,,$AI889), INDEX($AU$67:$BA$76,,$AH889), 1 / ($BC$67:$BC$76*BQ889 + (1-$BC$67:$BC$76)*BM889), N($AQ$67:$AQ$76&gt;$AO889))
) / 1000</f>
        <v>0</v>
      </c>
      <c r="BS889" s="232">
        <f t="shared" si="796"/>
        <v>25</v>
      </c>
      <c r="BT889" s="230">
        <f t="shared" si="773"/>
        <v>38</v>
      </c>
      <c r="BU889" s="235">
        <f t="shared" si="774"/>
        <v>3.792954545454545</v>
      </c>
      <c r="BV889" s="235" cm="1">
        <f t="array" ref="BV889">$BI889 * IF($AH889&lt;=2,
SUMPRODUCT(INDEX($AR$67:$AT$71,,$AI889), INDEX($AU$67:$BA$71,,$AH889), 1 / ($BB$67:$BB$71*BU889 + (1-$BB$67:$BB$71)*BQ889), N($AQ$67:$AQ$71&gt;$AO889)),
SUMPRODUCT(INDEX($AR$57:$AT$66,,$AI889), INDEX($AU$57:$BA$66,,$AH889), 1 / ($BC$57:$BC$66*BU889 + (1-$BC$57:$BC$66)*BQ889), N($AQ$57:$AQ$66&gt;$AO889))
) / 1000</f>
        <v>0</v>
      </c>
      <c r="BW889" s="232">
        <f t="shared" si="797"/>
        <v>20</v>
      </c>
      <c r="BX889" s="230">
        <f t="shared" si="775"/>
        <v>33</v>
      </c>
      <c r="BY889" s="235">
        <f t="shared" si="776"/>
        <v>4.4702678571428569</v>
      </c>
      <c r="BZ889" s="235" cm="1">
        <f t="array" ref="BZ889">$BI889 * IF($AH889&lt;=2,
SUMPRODUCT(INDEX($AR$62:$AT$66,,$AI889), INDEX($AU$62:$BA$66,,$AH889), 1 / ($BB$62:$BB$66*BY889 + (1-$BB$62:$BB$66)*BU889), N($AQ$62:$AQ$66&gt;$AO889)),
SUMPRODUCT(INDEX($AR$47:$AT$56,,$AI889), INDEX($AU$47:$BA$56,,$AH889), 1 / ($BC$47:$BC$56*BY889 + (1-$BC$47:$BC$56)*BU889), N($AQ$47:$AQ$56&gt;$AO889))
) / 1000</f>
        <v>0</v>
      </c>
      <c r="CA889" s="235" cm="1">
        <f t="array" ref="CA889">$BI889 * IF($AH889&lt;=2,
SUMPRODUCT(INDEX($AR$23:$AT$61,,$AI889), INDEX($AU$23:$BA$61,,$AH889), 1 / ($BB$23:$BB$61*BY889), N($AQ$23:$AQ$61&gt;$AO889)),
SUMPRODUCT(INDEX($AR$23:$AT$46,,$AI889), INDEX($AU$23:$BA$46,,$AH889), 1 / ($BC$23:$BC$46*BY889), N($AQ$23:$AQ$46&gt;$AO889))
) / 1000</f>
        <v>0</v>
      </c>
      <c r="CB889" s="230">
        <f t="shared" si="777"/>
        <v>0</v>
      </c>
      <c r="CC889" s="238"/>
      <c r="CD889" s="229" cm="1">
        <f t="array" ref="CD889">IF(ISBLANK(Y889), INDEX(Use, $AH889, 4) - AN889*INDEX(Use, $AH889, 6) - (Q889-X889), Y889)</f>
        <v>7</v>
      </c>
      <c r="CE889" s="229">
        <f t="shared" si="778"/>
        <v>32</v>
      </c>
      <c r="CF889" s="230">
        <f t="shared" si="779"/>
        <v>0</v>
      </c>
      <c r="CG889" s="229">
        <v>35</v>
      </c>
      <c r="CH889" s="230">
        <f t="shared" si="780"/>
        <v>48</v>
      </c>
      <c r="CI889" s="235">
        <f t="shared" si="781"/>
        <v>3.0748170731707316</v>
      </c>
      <c r="CJ889" s="235" cm="1">
        <f t="array" ref="CJ889">$BI889 * SUMPRODUCT(INDEX($AR$77:$AT$82,,$AI889),INDEX($AU$77:$BA$82,,$AH889), N($AQ$77:$AQ$82&gt;$AO889)) / CI889 / 1000</f>
        <v>0</v>
      </c>
      <c r="CK889" s="232">
        <f t="shared" si="798"/>
        <v>30</v>
      </c>
      <c r="CL889" s="230">
        <f t="shared" si="782"/>
        <v>43</v>
      </c>
      <c r="CM889" s="235">
        <f t="shared" si="783"/>
        <v>3.5018750000000001</v>
      </c>
      <c r="CN889" s="235" cm="1">
        <f t="array" ref="CN889">$BI889 * IF($AH889&lt;=2,
SUMPRODUCT(INDEX($AR$72:$AT$76,,$AI889), INDEX($AU$72:$BA$76,,$AH889), 1 / ($BB$72:$BB$76*CM889 + (1-$BB$72:$BB$76)*CI889), N($AQ$72:$AQ$76&gt;$AO889)),
SUMPRODUCT(INDEX($AR$67:$AT$76,,$AI889), INDEX($AU$67:$BA$76,,$AH889), 1 / ($BC$67:$BC$76*CM889 + (1-$BC$67:$BC$76)*CI889), N($AQ$67:$AQ$76&gt;$AO889))
) / 1000</f>
        <v>0</v>
      </c>
      <c r="CO889" s="232">
        <f t="shared" si="799"/>
        <v>25</v>
      </c>
      <c r="CP889" s="230">
        <f t="shared" si="784"/>
        <v>38</v>
      </c>
      <c r="CQ889" s="235">
        <f t="shared" si="785"/>
        <v>4.0666935483870965</v>
      </c>
      <c r="CR889" s="235" cm="1">
        <f t="array" ref="CR889">$BI889 * IF($AH889&lt;=2,
SUMPRODUCT(INDEX($AR$67:$AT$71,,$AI889), INDEX($AU$67:$BA$71,,$AH889), 1 / ($BB$67:$BB$71*CQ889 + (1-$BB$67:$BB$71)*CM889), N($AQ$67:$AQ$71&gt;$AO889)),
SUMPRODUCT(INDEX($AR$57:$AT$66,,$AI889), INDEX($AU$57:$BA$66,,$AH889), 1 / ($BC$57:$BC$66*CQ889 + (1-$BC$57:$BC$66)*CM889), N($AQ$57:$AQ$66&gt;$AO889))
) / 1000</f>
        <v>0</v>
      </c>
      <c r="CS889" s="232">
        <f t="shared" si="800"/>
        <v>20</v>
      </c>
      <c r="CT889" s="230">
        <f t="shared" si="786"/>
        <v>33</v>
      </c>
      <c r="CU889" s="235">
        <f t="shared" si="787"/>
        <v>4.8487499999999999</v>
      </c>
      <c r="CV889" s="235" cm="1">
        <f t="array" ref="CV889">$BI889 * IF($AH889&lt;=2,
SUMPRODUCT(INDEX($AR$62:$AT$66,,$AI889), INDEX($AU$62:$BA$66,,$AH889), 1 / ($BB$62:$BB$66*CU889 + (1-$BB$62:$BB$66)*CQ889), N($AQ$62:$AQ$66&gt;$AO889)),
SUMPRODUCT(INDEX($AR$47:$AT$56,,$AI889), INDEX($AU$47:$BA$56,,$AH889), 1 / ($BC$47:$BC$56*CU889 + (1-$BC$47:$BC$56)*CQ889), N($AQ$47:$AQ$56&gt;$AO889))
) / 1000</f>
        <v>0</v>
      </c>
      <c r="CW889" s="235" cm="1">
        <f t="array" ref="CW889">$BI889 * IF($AH889&lt;=2,
SUMPRODUCT(INDEX($AR$23:$AT$61,,$AI889), INDEX($AU$23:$BA$61,,$AH889), 1 / ($BB$23:$BB$61*CU889), N($AQ$23:$AQ$61&gt;$AO889)),
SUMPRODUCT(INDEX($AR$23:$AT$46,,$AI889), INDEX($AU$23:$BA$46,,$AH889), 1 / ($BC$23:$BC$46*CU889), N($AQ$23:$AQ$46&gt;$AO889))
) / 1000</f>
        <v>0</v>
      </c>
      <c r="CX889" s="230">
        <f t="shared" si="788"/>
        <v>0</v>
      </c>
      <c r="CY889" s="238"/>
    </row>
    <row r="890" spans="1:103" s="76" customFormat="1" ht="14.25" customHeight="1" x14ac:dyDescent="0.2">
      <c r="A890" s="231" t="b">
        <f t="shared" si="792"/>
        <v>0</v>
      </c>
      <c r="B890" s="245">
        <v>868</v>
      </c>
      <c r="C890" s="258"/>
      <c r="D890" s="258"/>
      <c r="E890" s="246"/>
      <c r="F890" s="247" t="str">
        <f>IF(ISBLANK(E890), "", VLOOKUP(E890, Z!$A$2:$C$4127, 3, FALSE))</f>
        <v/>
      </c>
      <c r="G890" s="248"/>
      <c r="H890" s="248"/>
      <c r="I890" s="249"/>
      <c r="J890" s="250"/>
      <c r="K890" s="259"/>
      <c r="L890" s="260"/>
      <c r="M890" s="252" t="str" cm="1">
        <f t="array" ref="M890">INDEX(Trad, 53, $A$20)</f>
        <v>Verschmutzt</v>
      </c>
      <c r="N890" s="253"/>
      <c r="O890" s="253"/>
      <c r="P890" s="254"/>
      <c r="Q890" s="251"/>
      <c r="R890" s="251"/>
      <c r="S890" s="264">
        <f t="shared" si="763"/>
        <v>0</v>
      </c>
      <c r="T890" s="252" t="str" cm="1">
        <f t="array" ref="T890">INDEX(Trad, 52, $A$20)</f>
        <v>Sauber</v>
      </c>
      <c r="U890" s="253"/>
      <c r="V890" s="253"/>
      <c r="W890" s="254"/>
      <c r="X890" s="251"/>
      <c r="Y890" s="251"/>
      <c r="Z890" s="264">
        <f t="shared" si="764"/>
        <v>0</v>
      </c>
      <c r="AA890" s="261"/>
      <c r="AB890" s="258"/>
      <c r="AC890" s="246"/>
      <c r="AD890" s="247" t="str">
        <f>IF(ISBLANK(AC890), "", VLOOKUP(AC890, Z!$A$2:$C$4127, 3, FALSE))</f>
        <v/>
      </c>
      <c r="AE890" s="262"/>
      <c r="AF890" s="263">
        <f t="shared" si="765"/>
        <v>0</v>
      </c>
      <c r="AG890" s="238"/>
      <c r="AH890" s="229">
        <f t="shared" si="789"/>
        <v>1</v>
      </c>
      <c r="AI890" s="229">
        <f t="shared" si="790"/>
        <v>1</v>
      </c>
      <c r="AJ890" s="229">
        <f t="shared" si="791"/>
        <v>0</v>
      </c>
      <c r="AK890" s="229">
        <v>0</v>
      </c>
      <c r="AL890" s="229">
        <v>0</v>
      </c>
      <c r="AM890" s="229">
        <v>1</v>
      </c>
      <c r="AN890" s="229">
        <v>0</v>
      </c>
      <c r="AO890" s="229">
        <f t="shared" si="766"/>
        <v>-100</v>
      </c>
      <c r="AP890" s="238"/>
      <c r="AQ890" s="255"/>
      <c r="AR890" s="255"/>
      <c r="AS890" s="256"/>
      <c r="AT890" s="256"/>
      <c r="AU890" s="256"/>
      <c r="AV890" s="256"/>
      <c r="AW890" s="256"/>
      <c r="AX890" s="256"/>
      <c r="AY890" s="256"/>
      <c r="AZ890" s="256"/>
      <c r="BA890" s="256"/>
      <c r="BB890" s="256"/>
      <c r="BC890" s="256"/>
      <c r="BD890" s="238"/>
      <c r="BE890" s="229" cm="1">
        <f t="array" ref="BE890">IF(ISBLANK(R890), INDEX(Use, $AH890, 4) - AM890*INDEX(Use, $AH890, 6), R890)</f>
        <v>5</v>
      </c>
      <c r="BF890" s="229">
        <f t="shared" si="767"/>
        <v>30</v>
      </c>
      <c r="BG890" s="229">
        <f t="shared" si="793"/>
        <v>13</v>
      </c>
      <c r="BH890" s="229">
        <f t="shared" si="794"/>
        <v>0</v>
      </c>
      <c r="BI890" s="234" cm="1">
        <f t="array" ref="BI890">K890/IF($L890&gt;0, INDEX($AU$23:$BA$77, $L890+20, $AH890), 1)</f>
        <v>0</v>
      </c>
      <c r="BJ890" s="230">
        <f t="shared" si="768"/>
        <v>0</v>
      </c>
      <c r="BK890" s="229">
        <v>35</v>
      </c>
      <c r="BL890" s="230">
        <f t="shared" si="769"/>
        <v>48</v>
      </c>
      <c r="BM890" s="235">
        <f t="shared" si="770"/>
        <v>2.9108720930232557</v>
      </c>
      <c r="BN890" s="235" cm="1">
        <f t="array" ref="BN890">$BI890 * SUMPRODUCT(INDEX($AR$77:$AT$82,,$AI890),INDEX($AU$77:$BA$82,,$AH890), N($AQ$77:$AQ$82&gt;$AO890)) / BM890 / 1000</f>
        <v>0</v>
      </c>
      <c r="BO890" s="232">
        <f t="shared" si="795"/>
        <v>30</v>
      </c>
      <c r="BP890" s="230">
        <f t="shared" si="771"/>
        <v>43</v>
      </c>
      <c r="BQ890" s="235">
        <f t="shared" si="772"/>
        <v>3.2938815789473681</v>
      </c>
      <c r="BR890" s="235" cm="1">
        <f t="array" ref="BR890">$BI890 * IF($AH890&lt;=2,
SUMPRODUCT(INDEX($AR$72:$AT$76,,$AI890), INDEX($AU$72:$BA$76,,$AH890), 1 / ($BB$72:$BB$76*BQ890 + (1-$BB$72:$BB$76)*BM890), N($AQ$72:$AQ$76&gt;$AO890)),
SUMPRODUCT(INDEX($AR$67:$AT$76,,$AI890), INDEX($AU$67:$BA$76,,$AH890), 1 / ($BC$67:$BC$76*BQ890 + (1-$BC$67:$BC$76)*BM890), N($AQ$67:$AQ$76&gt;$AO890))
) / 1000</f>
        <v>0</v>
      </c>
      <c r="BS890" s="232">
        <f t="shared" si="796"/>
        <v>25</v>
      </c>
      <c r="BT890" s="230">
        <f t="shared" si="773"/>
        <v>38</v>
      </c>
      <c r="BU890" s="235">
        <f t="shared" si="774"/>
        <v>3.792954545454545</v>
      </c>
      <c r="BV890" s="235" cm="1">
        <f t="array" ref="BV890">$BI890 * IF($AH890&lt;=2,
SUMPRODUCT(INDEX($AR$67:$AT$71,,$AI890), INDEX($AU$67:$BA$71,,$AH890), 1 / ($BB$67:$BB$71*BU890 + (1-$BB$67:$BB$71)*BQ890), N($AQ$67:$AQ$71&gt;$AO890)),
SUMPRODUCT(INDEX($AR$57:$AT$66,,$AI890), INDEX($AU$57:$BA$66,,$AH890), 1 / ($BC$57:$BC$66*BU890 + (1-$BC$57:$BC$66)*BQ890), N($AQ$57:$AQ$66&gt;$AO890))
) / 1000</f>
        <v>0</v>
      </c>
      <c r="BW890" s="232">
        <f t="shared" si="797"/>
        <v>20</v>
      </c>
      <c r="BX890" s="230">
        <f t="shared" si="775"/>
        <v>33</v>
      </c>
      <c r="BY890" s="235">
        <f t="shared" si="776"/>
        <v>4.4702678571428569</v>
      </c>
      <c r="BZ890" s="235" cm="1">
        <f t="array" ref="BZ890">$BI890 * IF($AH890&lt;=2,
SUMPRODUCT(INDEX($AR$62:$AT$66,,$AI890), INDEX($AU$62:$BA$66,,$AH890), 1 / ($BB$62:$BB$66*BY890 + (1-$BB$62:$BB$66)*BU890), N($AQ$62:$AQ$66&gt;$AO890)),
SUMPRODUCT(INDEX($AR$47:$AT$56,,$AI890), INDEX($AU$47:$BA$56,,$AH890), 1 / ($BC$47:$BC$56*BY890 + (1-$BC$47:$BC$56)*BU890), N($AQ$47:$AQ$56&gt;$AO890))
) / 1000</f>
        <v>0</v>
      </c>
      <c r="CA890" s="235" cm="1">
        <f t="array" ref="CA890">$BI890 * IF($AH890&lt;=2,
SUMPRODUCT(INDEX($AR$23:$AT$61,,$AI890), INDEX($AU$23:$BA$61,,$AH890), 1 / ($BB$23:$BB$61*BY890), N($AQ$23:$AQ$61&gt;$AO890)),
SUMPRODUCT(INDEX($AR$23:$AT$46,,$AI890), INDEX($AU$23:$BA$46,,$AH890), 1 / ($BC$23:$BC$46*BY890), N($AQ$23:$AQ$46&gt;$AO890))
) / 1000</f>
        <v>0</v>
      </c>
      <c r="CB890" s="230">
        <f t="shared" si="777"/>
        <v>0</v>
      </c>
      <c r="CC890" s="238"/>
      <c r="CD890" s="229" cm="1">
        <f t="array" ref="CD890">IF(ISBLANK(Y890), INDEX(Use, $AH890, 4) - AN890*INDEX(Use, $AH890, 6) - (Q890-X890), Y890)</f>
        <v>7</v>
      </c>
      <c r="CE890" s="229">
        <f t="shared" si="778"/>
        <v>32</v>
      </c>
      <c r="CF890" s="230">
        <f t="shared" si="779"/>
        <v>0</v>
      </c>
      <c r="CG890" s="229">
        <v>35</v>
      </c>
      <c r="CH890" s="230">
        <f t="shared" si="780"/>
        <v>48</v>
      </c>
      <c r="CI890" s="235">
        <f t="shared" si="781"/>
        <v>3.0748170731707316</v>
      </c>
      <c r="CJ890" s="235" cm="1">
        <f t="array" ref="CJ890">$BI890 * SUMPRODUCT(INDEX($AR$77:$AT$82,,$AI890),INDEX($AU$77:$BA$82,,$AH890), N($AQ$77:$AQ$82&gt;$AO890)) / CI890 / 1000</f>
        <v>0</v>
      </c>
      <c r="CK890" s="232">
        <f t="shared" si="798"/>
        <v>30</v>
      </c>
      <c r="CL890" s="230">
        <f t="shared" si="782"/>
        <v>43</v>
      </c>
      <c r="CM890" s="235">
        <f t="shared" si="783"/>
        <v>3.5018750000000001</v>
      </c>
      <c r="CN890" s="235" cm="1">
        <f t="array" ref="CN890">$BI890 * IF($AH890&lt;=2,
SUMPRODUCT(INDEX($AR$72:$AT$76,,$AI890), INDEX($AU$72:$BA$76,,$AH890), 1 / ($BB$72:$BB$76*CM890 + (1-$BB$72:$BB$76)*CI890), N($AQ$72:$AQ$76&gt;$AO890)),
SUMPRODUCT(INDEX($AR$67:$AT$76,,$AI890), INDEX($AU$67:$BA$76,,$AH890), 1 / ($BC$67:$BC$76*CM890 + (1-$BC$67:$BC$76)*CI890), N($AQ$67:$AQ$76&gt;$AO890))
) / 1000</f>
        <v>0</v>
      </c>
      <c r="CO890" s="232">
        <f t="shared" si="799"/>
        <v>25</v>
      </c>
      <c r="CP890" s="230">
        <f t="shared" si="784"/>
        <v>38</v>
      </c>
      <c r="CQ890" s="235">
        <f t="shared" si="785"/>
        <v>4.0666935483870965</v>
      </c>
      <c r="CR890" s="235" cm="1">
        <f t="array" ref="CR890">$BI890 * IF($AH890&lt;=2,
SUMPRODUCT(INDEX($AR$67:$AT$71,,$AI890), INDEX($AU$67:$BA$71,,$AH890), 1 / ($BB$67:$BB$71*CQ890 + (1-$BB$67:$BB$71)*CM890), N($AQ$67:$AQ$71&gt;$AO890)),
SUMPRODUCT(INDEX($AR$57:$AT$66,,$AI890), INDEX($AU$57:$BA$66,,$AH890), 1 / ($BC$57:$BC$66*CQ890 + (1-$BC$57:$BC$66)*CM890), N($AQ$57:$AQ$66&gt;$AO890))
) / 1000</f>
        <v>0</v>
      </c>
      <c r="CS890" s="232">
        <f t="shared" si="800"/>
        <v>20</v>
      </c>
      <c r="CT890" s="230">
        <f t="shared" si="786"/>
        <v>33</v>
      </c>
      <c r="CU890" s="235">
        <f t="shared" si="787"/>
        <v>4.8487499999999999</v>
      </c>
      <c r="CV890" s="235" cm="1">
        <f t="array" ref="CV890">$BI890 * IF($AH890&lt;=2,
SUMPRODUCT(INDEX($AR$62:$AT$66,,$AI890), INDEX($AU$62:$BA$66,,$AH890), 1 / ($BB$62:$BB$66*CU890 + (1-$BB$62:$BB$66)*CQ890), N($AQ$62:$AQ$66&gt;$AO890)),
SUMPRODUCT(INDEX($AR$47:$AT$56,,$AI890), INDEX($AU$47:$BA$56,,$AH890), 1 / ($BC$47:$BC$56*CU890 + (1-$BC$47:$BC$56)*CQ890), N($AQ$47:$AQ$56&gt;$AO890))
) / 1000</f>
        <v>0</v>
      </c>
      <c r="CW890" s="235" cm="1">
        <f t="array" ref="CW890">$BI890 * IF($AH890&lt;=2,
SUMPRODUCT(INDEX($AR$23:$AT$61,,$AI890), INDEX($AU$23:$BA$61,,$AH890), 1 / ($BB$23:$BB$61*CU890), N($AQ$23:$AQ$61&gt;$AO890)),
SUMPRODUCT(INDEX($AR$23:$AT$46,,$AI890), INDEX($AU$23:$BA$46,,$AH890), 1 / ($BC$23:$BC$46*CU890), N($AQ$23:$AQ$46&gt;$AO890))
) / 1000</f>
        <v>0</v>
      </c>
      <c r="CX890" s="230">
        <f t="shared" si="788"/>
        <v>0</v>
      </c>
      <c r="CY890" s="238"/>
    </row>
    <row r="891" spans="1:103" s="76" customFormat="1" ht="14.25" customHeight="1" x14ac:dyDescent="0.2">
      <c r="A891" s="231" t="b">
        <f t="shared" si="792"/>
        <v>0</v>
      </c>
      <c r="B891" s="245">
        <v>869</v>
      </c>
      <c r="C891" s="258"/>
      <c r="D891" s="258"/>
      <c r="E891" s="246"/>
      <c r="F891" s="247" t="str">
        <f>IF(ISBLANK(E891), "", VLOOKUP(E891, Z!$A$2:$C$4127, 3, FALSE))</f>
        <v/>
      </c>
      <c r="G891" s="248"/>
      <c r="H891" s="248"/>
      <c r="I891" s="249"/>
      <c r="J891" s="250"/>
      <c r="K891" s="259"/>
      <c r="L891" s="260"/>
      <c r="M891" s="252" t="str" cm="1">
        <f t="array" ref="M891">INDEX(Trad, 53, $A$20)</f>
        <v>Verschmutzt</v>
      </c>
      <c r="N891" s="253"/>
      <c r="O891" s="253"/>
      <c r="P891" s="254"/>
      <c r="Q891" s="251"/>
      <c r="R891" s="251"/>
      <c r="S891" s="264">
        <f t="shared" ref="S891:S954" si="801">CB891*1000</f>
        <v>0</v>
      </c>
      <c r="T891" s="252" t="str" cm="1">
        <f t="array" ref="T891">INDEX(Trad, 52, $A$20)</f>
        <v>Sauber</v>
      </c>
      <c r="U891" s="253"/>
      <c r="V891" s="253"/>
      <c r="W891" s="254"/>
      <c r="X891" s="251"/>
      <c r="Y891" s="251"/>
      <c r="Z891" s="264">
        <f t="shared" ref="Z891:Z954" si="802">CX891*1000</f>
        <v>0</v>
      </c>
      <c r="AA891" s="261"/>
      <c r="AB891" s="258"/>
      <c r="AC891" s="246"/>
      <c r="AD891" s="247" t="str">
        <f>IF(ISBLANK(AC891), "", VLOOKUP(AC891, Z!$A$2:$C$4127, 3, FALSE))</f>
        <v/>
      </c>
      <c r="AE891" s="262"/>
      <c r="AF891" s="263">
        <f t="shared" ref="AF891:AF954" si="803">0.75*AP$23*(S891-Z891)</f>
        <v>0</v>
      </c>
      <c r="AG891" s="238"/>
      <c r="AH891" s="229">
        <f t="shared" si="789"/>
        <v>1</v>
      </c>
      <c r="AI891" s="229">
        <f t="shared" si="790"/>
        <v>1</v>
      </c>
      <c r="AJ891" s="229">
        <f t="shared" si="791"/>
        <v>0</v>
      </c>
      <c r="AK891" s="229">
        <v>0</v>
      </c>
      <c r="AL891" s="229">
        <v>0</v>
      </c>
      <c r="AM891" s="229">
        <v>1</v>
      </c>
      <c r="AN891" s="229">
        <v>0</v>
      </c>
      <c r="AO891" s="229">
        <f t="shared" ref="AO891:AO954" si="804">IF(AND(J891="x", AH891=5), 11, IF(AND(J891="x", AH891=6), 19, -100))</f>
        <v>-100</v>
      </c>
      <c r="AP891" s="238"/>
      <c r="AQ891" s="255"/>
      <c r="AR891" s="255"/>
      <c r="AS891" s="256"/>
      <c r="AT891" s="256"/>
      <c r="AU891" s="256"/>
      <c r="AV891" s="256"/>
      <c r="AW891" s="256"/>
      <c r="AX891" s="256"/>
      <c r="AY891" s="256"/>
      <c r="AZ891" s="256"/>
      <c r="BA891" s="256"/>
      <c r="BB891" s="256"/>
      <c r="BC891" s="256"/>
      <c r="BD891" s="238"/>
      <c r="BE891" s="229" cm="1">
        <f t="array" ref="BE891">IF(ISBLANK(R891), INDEX(Use, $AH891, 4) - AM891*INDEX(Use, $AH891, 6), R891)</f>
        <v>5</v>
      </c>
      <c r="BF891" s="229">
        <f t="shared" ref="BF891:BF954" si="805">MAX(25, BE891+25)</f>
        <v>30</v>
      </c>
      <c r="BG891" s="229">
        <f t="shared" si="793"/>
        <v>13</v>
      </c>
      <c r="BH891" s="229">
        <f t="shared" si="794"/>
        <v>0</v>
      </c>
      <c r="BI891" s="234" cm="1">
        <f t="array" ref="BI891">K891/IF($L891&gt;0, INDEX($AU$23:$BA$77, $L891+20, $AH891), 1)</f>
        <v>0</v>
      </c>
      <c r="BJ891" s="230">
        <f t="shared" ref="BJ891:BJ954" si="806">P891 /  IF(AH891&lt;=2, 0.7 + 0.3 * (O891-20)/(35-20), 0.4 + 0.6 * (O891-5)/(35-5))</f>
        <v>0</v>
      </c>
      <c r="BK891" s="229">
        <v>35</v>
      </c>
      <c r="BL891" s="230">
        <f t="shared" ref="BL891:BL954" si="807">MAX($N891, MAX($BF891, $BK891 + $BG891 + $BH891 + 0.35*$AK891*$BG891 + BJ891))</f>
        <v>48</v>
      </c>
      <c r="BM891" s="235">
        <f t="shared" ref="BM891:BM954" si="808">0.45*($BE891+273.15)/(BL891-$BE891)</f>
        <v>2.9108720930232557</v>
      </c>
      <c r="BN891" s="235" cm="1">
        <f t="array" ref="BN891">$BI891 * SUMPRODUCT(INDEX($AR$77:$AT$82,,$AI891),INDEX($AU$77:$BA$82,,$AH891), N($AQ$77:$AQ$82&gt;$AO891)) / BM891 / 1000</f>
        <v>0</v>
      </c>
      <c r="BO891" s="232">
        <f t="shared" si="795"/>
        <v>30</v>
      </c>
      <c r="BP891" s="230">
        <f t="shared" ref="BP891:BP954" si="809">MAX($N891, MAX($BF891, BO891 + $BG891 + $BH891 + IF($AH891&lt;=2, (BO891-20)/(35-20), 0.6+0.4*(BO891-5)/(35-5))*0.35*$AK891*$BG891) + IF($AH891&lt;=2,0.9,0.8)*$BJ891)</f>
        <v>43</v>
      </c>
      <c r="BQ891" s="235">
        <f t="shared" ref="BQ891:BQ954" si="810">0.45*($BE891+273.15)/(BP891-$BE891)</f>
        <v>3.2938815789473681</v>
      </c>
      <c r="BR891" s="235" cm="1">
        <f t="array" ref="BR891">$BI891 * IF($AH891&lt;=2,
SUMPRODUCT(INDEX($AR$72:$AT$76,,$AI891), INDEX($AU$72:$BA$76,,$AH891), 1 / ($BB$72:$BB$76*BQ891 + (1-$BB$72:$BB$76)*BM891), N($AQ$72:$AQ$76&gt;$AO891)),
SUMPRODUCT(INDEX($AR$67:$AT$76,,$AI891), INDEX($AU$67:$BA$76,,$AH891), 1 / ($BC$67:$BC$76*BQ891 + (1-$BC$67:$BC$76)*BM891), N($AQ$67:$AQ$76&gt;$AO891))
) / 1000</f>
        <v>0</v>
      </c>
      <c r="BS891" s="232">
        <f t="shared" si="796"/>
        <v>25</v>
      </c>
      <c r="BT891" s="230">
        <f t="shared" ref="BT891:BT954" si="811">MAX($N891, MAX($BF891, BS891 + $BG891 + $BH891 + IF($AH891&lt;=2, (BS891-20)/(35-20), 0.6+0.4*(BS891-5)/(35-5))*0.35*$AK891*$BG891) + IF($AH891&lt;=2,0.8,0.6)*$BJ891)</f>
        <v>38</v>
      </c>
      <c r="BU891" s="235">
        <f t="shared" ref="BU891:BU954" si="812">0.45*($BE891+273.15)/(BT891-$BE891)</f>
        <v>3.792954545454545</v>
      </c>
      <c r="BV891" s="235" cm="1">
        <f t="array" ref="BV891">$BI891 * IF($AH891&lt;=2,
SUMPRODUCT(INDEX($AR$67:$AT$71,,$AI891), INDEX($AU$67:$BA$71,,$AH891), 1 / ($BB$67:$BB$71*BU891 + (1-$BB$67:$BB$71)*BQ891), N($AQ$67:$AQ$71&gt;$AO891)),
SUMPRODUCT(INDEX($AR$57:$AT$66,,$AI891), INDEX($AU$57:$BA$66,,$AH891), 1 / ($BC$57:$BC$66*BU891 + (1-$BC$57:$BC$66)*BQ891), N($AQ$57:$AQ$66&gt;$AO891))
) / 1000</f>
        <v>0</v>
      </c>
      <c r="BW891" s="232">
        <f t="shared" si="797"/>
        <v>20</v>
      </c>
      <c r="BX891" s="230">
        <f t="shared" ref="BX891:BX954" si="813">MAX($N891, MAX($BF891, BW891 + $BG891 + $BH891 + IF($AH891&lt;=2, (BW891-20)/(35-20), 0.6+0.4*(BW891-5)/(35-5))*0.35*$AK891*$BG891) + IF($AH891&lt;=2,0.7,0.4)*$BJ891)</f>
        <v>33</v>
      </c>
      <c r="BY891" s="235">
        <f t="shared" ref="BY891:BY954" si="814">0.45*($BE891+273.15)/(BX891-$BE891)</f>
        <v>4.4702678571428569</v>
      </c>
      <c r="BZ891" s="235" cm="1">
        <f t="array" ref="BZ891">$BI891 * IF($AH891&lt;=2,
SUMPRODUCT(INDEX($AR$62:$AT$66,,$AI891), INDEX($AU$62:$BA$66,,$AH891), 1 / ($BB$62:$BB$66*BY891 + (1-$BB$62:$BB$66)*BU891), N($AQ$62:$AQ$66&gt;$AO891)),
SUMPRODUCT(INDEX($AR$47:$AT$56,,$AI891), INDEX($AU$47:$BA$56,,$AH891), 1 / ($BC$47:$BC$56*BY891 + (1-$BC$47:$BC$56)*BU891), N($AQ$47:$AQ$56&gt;$AO891))
) / 1000</f>
        <v>0</v>
      </c>
      <c r="CA891" s="235" cm="1">
        <f t="array" ref="CA891">$BI891 * IF($AH891&lt;=2,
SUMPRODUCT(INDEX($AR$23:$AT$61,,$AI891), INDEX($AU$23:$BA$61,,$AH891), 1 / ($BB$23:$BB$61*BY891), N($AQ$23:$AQ$61&gt;$AO891)),
SUMPRODUCT(INDEX($AR$23:$AT$46,,$AI891), INDEX($AU$23:$BA$46,,$AH891), 1 / ($BC$23:$BC$46*BY891), N($AQ$23:$AQ$46&gt;$AO891))
) / 1000</f>
        <v>0</v>
      </c>
      <c r="CB891" s="230">
        <f t="shared" ref="CB891:CB954" si="815">BN891+BR891+BV891+BZ891+CA891</f>
        <v>0</v>
      </c>
      <c r="CC891" s="238"/>
      <c r="CD891" s="229" cm="1">
        <f t="array" ref="CD891">IF(ISBLANK(Y891), INDEX(Use, $AH891, 4) - AN891*INDEX(Use, $AH891, 6) - (Q891-X891), Y891)</f>
        <v>7</v>
      </c>
      <c r="CE891" s="229">
        <f t="shared" ref="CE891:CE954" si="816">MAX(25, CD891+25)</f>
        <v>32</v>
      </c>
      <c r="CF891" s="230">
        <f t="shared" ref="CF891:CF954" si="817">W891 /  IF(AH891&lt;=2, 0.7 + 0.3 * (V891-20)/(35-20), 0.4 + 0.6 * (V891-5)/(35-5))</f>
        <v>0</v>
      </c>
      <c r="CG891" s="229">
        <v>35</v>
      </c>
      <c r="CH891" s="230">
        <f t="shared" ref="CH891:CH954" si="818">MAX($U891, MAX($CE891, $BK891 + $BG891 + $BH891 + 0.35*$AL891*$BG891 + CF891))</f>
        <v>48</v>
      </c>
      <c r="CI891" s="235">
        <f t="shared" ref="CI891:CI954" si="819">0.45*($CD891+273.15)/(CH891-$CD891)</f>
        <v>3.0748170731707316</v>
      </c>
      <c r="CJ891" s="235" cm="1">
        <f t="array" ref="CJ891">$BI891 * SUMPRODUCT(INDEX($AR$77:$AT$82,,$AI891),INDEX($AU$77:$BA$82,,$AH891), N($AQ$77:$AQ$82&gt;$AO891)) / CI891 / 1000</f>
        <v>0</v>
      </c>
      <c r="CK891" s="232">
        <f t="shared" si="798"/>
        <v>30</v>
      </c>
      <c r="CL891" s="230">
        <f t="shared" ref="CL891:CL954" si="820">MAX($U891, MAX($CE891, CK891 + $BG891 + $BH891 + IF($AH891&lt;=2, (CK891-20)/(35-20), 0.6+0.4*(CK891-5)/(35-5))*0.35*$AL891*$BG891) + IF($AH891&lt;=2,0.9,0.8)*$CF891)</f>
        <v>43</v>
      </c>
      <c r="CM891" s="235">
        <f t="shared" ref="CM891:CM954" si="821">0.45*($CD891+273.15)/(CL891-$CD891)</f>
        <v>3.5018750000000001</v>
      </c>
      <c r="CN891" s="235" cm="1">
        <f t="array" ref="CN891">$BI891 * IF($AH891&lt;=2,
SUMPRODUCT(INDEX($AR$72:$AT$76,,$AI891), INDEX($AU$72:$BA$76,,$AH891), 1 / ($BB$72:$BB$76*CM891 + (1-$BB$72:$BB$76)*CI891), N($AQ$72:$AQ$76&gt;$AO891)),
SUMPRODUCT(INDEX($AR$67:$AT$76,,$AI891), INDEX($AU$67:$BA$76,,$AH891), 1 / ($BC$67:$BC$76*CM891 + (1-$BC$67:$BC$76)*CI891), N($AQ$67:$AQ$76&gt;$AO891))
) / 1000</f>
        <v>0</v>
      </c>
      <c r="CO891" s="232">
        <f t="shared" si="799"/>
        <v>25</v>
      </c>
      <c r="CP891" s="230">
        <f t="shared" ref="CP891:CP954" si="822">MAX($U891, MAX($CE891, CO891 + $BG891 + $BH891 + IF($AH891&lt;=2, (CO891-20)/(35-20), 0.6+0.4*(CO891-5)/(35-5))*0.35*$AL891*$BG891) + IF($AH891&lt;=2,0.8,0.6)*$CF891)</f>
        <v>38</v>
      </c>
      <c r="CQ891" s="235">
        <f t="shared" ref="CQ891:CQ954" si="823">0.45*($CD891+273.15)/(CP891-$CD891)</f>
        <v>4.0666935483870965</v>
      </c>
      <c r="CR891" s="235" cm="1">
        <f t="array" ref="CR891">$BI891 * IF($AH891&lt;=2,
SUMPRODUCT(INDEX($AR$67:$AT$71,,$AI891), INDEX($AU$67:$BA$71,,$AH891), 1 / ($BB$67:$BB$71*CQ891 + (1-$BB$67:$BB$71)*CM891), N($AQ$67:$AQ$71&gt;$AO891)),
SUMPRODUCT(INDEX($AR$57:$AT$66,,$AI891), INDEX($AU$57:$BA$66,,$AH891), 1 / ($BC$57:$BC$66*CQ891 + (1-$BC$57:$BC$66)*CM891), N($AQ$57:$AQ$66&gt;$AO891))
) / 1000</f>
        <v>0</v>
      </c>
      <c r="CS891" s="232">
        <f t="shared" si="800"/>
        <v>20</v>
      </c>
      <c r="CT891" s="230">
        <f t="shared" ref="CT891:CT954" si="824">MAX($U891, MAX($CE891, CS891 + $BG891 + $BH891 + IF($AH891&lt;=2, (CS891-20)/(35-20), 0.6+0.4*(CS891-5)/(35-5))*0.35*$AL891*$BG891) + IF($AH891&lt;=2,0.7,0.4)*$CF891)</f>
        <v>33</v>
      </c>
      <c r="CU891" s="235">
        <f t="shared" ref="CU891:CU954" si="825">0.45*($CD891+273.15)/(CT891-$CD891)</f>
        <v>4.8487499999999999</v>
      </c>
      <c r="CV891" s="235" cm="1">
        <f t="array" ref="CV891">$BI891 * IF($AH891&lt;=2,
SUMPRODUCT(INDEX($AR$62:$AT$66,,$AI891), INDEX($AU$62:$BA$66,,$AH891), 1 / ($BB$62:$BB$66*CU891 + (1-$BB$62:$BB$66)*CQ891), N($AQ$62:$AQ$66&gt;$AO891)),
SUMPRODUCT(INDEX($AR$47:$AT$56,,$AI891), INDEX($AU$47:$BA$56,,$AH891), 1 / ($BC$47:$BC$56*CU891 + (1-$BC$47:$BC$56)*CQ891), N($AQ$47:$AQ$56&gt;$AO891))
) / 1000</f>
        <v>0</v>
      </c>
      <c r="CW891" s="235" cm="1">
        <f t="array" ref="CW891">$BI891 * IF($AH891&lt;=2,
SUMPRODUCT(INDEX($AR$23:$AT$61,,$AI891), INDEX($AU$23:$BA$61,,$AH891), 1 / ($BB$23:$BB$61*CU891), N($AQ$23:$AQ$61&gt;$AO891)),
SUMPRODUCT(INDEX($AR$23:$AT$46,,$AI891), INDEX($AU$23:$BA$46,,$AH891), 1 / ($BC$23:$BC$46*CU891), N($AQ$23:$AQ$46&gt;$AO891))
) / 1000</f>
        <v>0</v>
      </c>
      <c r="CX891" s="230">
        <f t="shared" ref="CX891:CX954" si="826">CJ891+CN891+CR891+CV891+CW891</f>
        <v>0</v>
      </c>
      <c r="CY891" s="238"/>
    </row>
    <row r="892" spans="1:103" s="76" customFormat="1" ht="14.25" customHeight="1" x14ac:dyDescent="0.2">
      <c r="A892" s="231" t="b">
        <f t="shared" si="792"/>
        <v>0</v>
      </c>
      <c r="B892" s="245">
        <v>870</v>
      </c>
      <c r="C892" s="258"/>
      <c r="D892" s="258"/>
      <c r="E892" s="246"/>
      <c r="F892" s="247" t="str">
        <f>IF(ISBLANK(E892), "", VLOOKUP(E892, Z!$A$2:$C$4127, 3, FALSE))</f>
        <v/>
      </c>
      <c r="G892" s="248"/>
      <c r="H892" s="248"/>
      <c r="I892" s="249"/>
      <c r="J892" s="250"/>
      <c r="K892" s="259"/>
      <c r="L892" s="260"/>
      <c r="M892" s="252" t="str" cm="1">
        <f t="array" ref="M892">INDEX(Trad, 53, $A$20)</f>
        <v>Verschmutzt</v>
      </c>
      <c r="N892" s="253"/>
      <c r="O892" s="253"/>
      <c r="P892" s="254"/>
      <c r="Q892" s="251"/>
      <c r="R892" s="251"/>
      <c r="S892" s="264">
        <f t="shared" si="801"/>
        <v>0</v>
      </c>
      <c r="T892" s="252" t="str" cm="1">
        <f t="array" ref="T892">INDEX(Trad, 52, $A$20)</f>
        <v>Sauber</v>
      </c>
      <c r="U892" s="253"/>
      <c r="V892" s="253"/>
      <c r="W892" s="254"/>
      <c r="X892" s="251"/>
      <c r="Y892" s="251"/>
      <c r="Z892" s="264">
        <f t="shared" si="802"/>
        <v>0</v>
      </c>
      <c r="AA892" s="261"/>
      <c r="AB892" s="258"/>
      <c r="AC892" s="246"/>
      <c r="AD892" s="247" t="str">
        <f>IF(ISBLANK(AC892), "", VLOOKUP(AC892, Z!$A$2:$C$4127, 3, FALSE))</f>
        <v/>
      </c>
      <c r="AE892" s="262"/>
      <c r="AF892" s="263">
        <f t="shared" si="803"/>
        <v>0</v>
      </c>
      <c r="AG892" s="238"/>
      <c r="AH892" s="229">
        <f t="shared" ref="AH892:AH955" si="827">IF(ISBLANK(H892), 1, IFERROR(MATCH(H892, INDEX(Use,,1), 0), IFERROR(MATCH(H892, INDEX(Use,,2), 0), MATCH(H892, INDEX(Use,,3), 0))))</f>
        <v>1</v>
      </c>
      <c r="AI892" s="229">
        <f t="shared" ref="AI892:AI955" si="828">IF(ISBLANK(G892), 1, IFERROR(MATCH(G892, INDEX(Loc,,1), 0), IFERROR(MATCH(G892, INDEX(Loc,,2), 0), MATCH(G892, INDEX(Loc,,3), 0))))</f>
        <v>1</v>
      </c>
      <c r="AJ892" s="229">
        <f t="shared" ref="AJ892:AJ955" si="829">_xlfn.IFNA(IF(IFERROR(MATCH(I892, INDEX(Medium,,1), 0), IFERROR(MATCH(I892, INDEX(Medium,,2), 0), MATCH(I892, INDEX(Medium,,3), 0))) = 2, 1, 0), 0)</f>
        <v>0</v>
      </c>
      <c r="AK892" s="229">
        <v>0</v>
      </c>
      <c r="AL892" s="229">
        <v>0</v>
      </c>
      <c r="AM892" s="229">
        <v>1</v>
      </c>
      <c r="AN892" s="229">
        <v>0</v>
      </c>
      <c r="AO892" s="229">
        <f t="shared" si="804"/>
        <v>-100</v>
      </c>
      <c r="AP892" s="238"/>
      <c r="AQ892" s="255"/>
      <c r="AR892" s="255"/>
      <c r="AS892" s="256"/>
      <c r="AT892" s="256"/>
      <c r="AU892" s="256"/>
      <c r="AV892" s="256"/>
      <c r="AW892" s="256"/>
      <c r="AX892" s="256"/>
      <c r="AY892" s="256"/>
      <c r="AZ892" s="256"/>
      <c r="BA892" s="256"/>
      <c r="BB892" s="256"/>
      <c r="BC892" s="256"/>
      <c r="BD892" s="238"/>
      <c r="BE892" s="229" cm="1">
        <f t="array" ref="BE892">IF(ISBLANK(R892), INDEX(Use, $AH892, 4) - AM892*INDEX(Use, $AH892, 6), R892)</f>
        <v>5</v>
      </c>
      <c r="BF892" s="229">
        <f t="shared" si="805"/>
        <v>30</v>
      </c>
      <c r="BG892" s="229">
        <f t="shared" si="793"/>
        <v>13</v>
      </c>
      <c r="BH892" s="229">
        <f t="shared" si="794"/>
        <v>0</v>
      </c>
      <c r="BI892" s="234" cm="1">
        <f t="array" ref="BI892">K892/IF($L892&gt;0, INDEX($AU$23:$BA$77, $L892+20, $AH892), 1)</f>
        <v>0</v>
      </c>
      <c r="BJ892" s="230">
        <f t="shared" si="806"/>
        <v>0</v>
      </c>
      <c r="BK892" s="229">
        <v>35</v>
      </c>
      <c r="BL892" s="230">
        <f t="shared" si="807"/>
        <v>48</v>
      </c>
      <c r="BM892" s="235">
        <f t="shared" si="808"/>
        <v>2.9108720930232557</v>
      </c>
      <c r="BN892" s="235" cm="1">
        <f t="array" ref="BN892">$BI892 * SUMPRODUCT(INDEX($AR$77:$AT$82,,$AI892),INDEX($AU$77:$BA$82,,$AH892), N($AQ$77:$AQ$82&gt;$AO892)) / BM892 / 1000</f>
        <v>0</v>
      </c>
      <c r="BO892" s="232">
        <f t="shared" si="795"/>
        <v>30</v>
      </c>
      <c r="BP892" s="230">
        <f t="shared" si="809"/>
        <v>43</v>
      </c>
      <c r="BQ892" s="235">
        <f t="shared" si="810"/>
        <v>3.2938815789473681</v>
      </c>
      <c r="BR892" s="235" cm="1">
        <f t="array" ref="BR892">$BI892 * IF($AH892&lt;=2,
SUMPRODUCT(INDEX($AR$72:$AT$76,,$AI892), INDEX($AU$72:$BA$76,,$AH892), 1 / ($BB$72:$BB$76*BQ892 + (1-$BB$72:$BB$76)*BM892), N($AQ$72:$AQ$76&gt;$AO892)),
SUMPRODUCT(INDEX($AR$67:$AT$76,,$AI892), INDEX($AU$67:$BA$76,,$AH892), 1 / ($BC$67:$BC$76*BQ892 + (1-$BC$67:$BC$76)*BM892), N($AQ$67:$AQ$76&gt;$AO892))
) / 1000</f>
        <v>0</v>
      </c>
      <c r="BS892" s="232">
        <f t="shared" si="796"/>
        <v>25</v>
      </c>
      <c r="BT892" s="230">
        <f t="shared" si="811"/>
        <v>38</v>
      </c>
      <c r="BU892" s="235">
        <f t="shared" si="812"/>
        <v>3.792954545454545</v>
      </c>
      <c r="BV892" s="235" cm="1">
        <f t="array" ref="BV892">$BI892 * IF($AH892&lt;=2,
SUMPRODUCT(INDEX($AR$67:$AT$71,,$AI892), INDEX($AU$67:$BA$71,,$AH892), 1 / ($BB$67:$BB$71*BU892 + (1-$BB$67:$BB$71)*BQ892), N($AQ$67:$AQ$71&gt;$AO892)),
SUMPRODUCT(INDEX($AR$57:$AT$66,,$AI892), INDEX($AU$57:$BA$66,,$AH892), 1 / ($BC$57:$BC$66*BU892 + (1-$BC$57:$BC$66)*BQ892), N($AQ$57:$AQ$66&gt;$AO892))
) / 1000</f>
        <v>0</v>
      </c>
      <c r="BW892" s="232">
        <f t="shared" si="797"/>
        <v>20</v>
      </c>
      <c r="BX892" s="230">
        <f t="shared" si="813"/>
        <v>33</v>
      </c>
      <c r="BY892" s="235">
        <f t="shared" si="814"/>
        <v>4.4702678571428569</v>
      </c>
      <c r="BZ892" s="235" cm="1">
        <f t="array" ref="BZ892">$BI892 * IF($AH892&lt;=2,
SUMPRODUCT(INDEX($AR$62:$AT$66,,$AI892), INDEX($AU$62:$BA$66,,$AH892), 1 / ($BB$62:$BB$66*BY892 + (1-$BB$62:$BB$66)*BU892), N($AQ$62:$AQ$66&gt;$AO892)),
SUMPRODUCT(INDEX($AR$47:$AT$56,,$AI892), INDEX($AU$47:$BA$56,,$AH892), 1 / ($BC$47:$BC$56*BY892 + (1-$BC$47:$BC$56)*BU892), N($AQ$47:$AQ$56&gt;$AO892))
) / 1000</f>
        <v>0</v>
      </c>
      <c r="CA892" s="235" cm="1">
        <f t="array" ref="CA892">$BI892 * IF($AH892&lt;=2,
SUMPRODUCT(INDEX($AR$23:$AT$61,,$AI892), INDEX($AU$23:$BA$61,,$AH892), 1 / ($BB$23:$BB$61*BY892), N($AQ$23:$AQ$61&gt;$AO892)),
SUMPRODUCT(INDEX($AR$23:$AT$46,,$AI892), INDEX($AU$23:$BA$46,,$AH892), 1 / ($BC$23:$BC$46*BY892), N($AQ$23:$AQ$46&gt;$AO892))
) / 1000</f>
        <v>0</v>
      </c>
      <c r="CB892" s="230">
        <f t="shared" si="815"/>
        <v>0</v>
      </c>
      <c r="CC892" s="238"/>
      <c r="CD892" s="229" cm="1">
        <f t="array" ref="CD892">IF(ISBLANK(Y892), INDEX(Use, $AH892, 4) - AN892*INDEX(Use, $AH892, 6) - (Q892-X892), Y892)</f>
        <v>7</v>
      </c>
      <c r="CE892" s="229">
        <f t="shared" si="816"/>
        <v>32</v>
      </c>
      <c r="CF892" s="230">
        <f t="shared" si="817"/>
        <v>0</v>
      </c>
      <c r="CG892" s="229">
        <v>35</v>
      </c>
      <c r="CH892" s="230">
        <f t="shared" si="818"/>
        <v>48</v>
      </c>
      <c r="CI892" s="235">
        <f t="shared" si="819"/>
        <v>3.0748170731707316</v>
      </c>
      <c r="CJ892" s="235" cm="1">
        <f t="array" ref="CJ892">$BI892 * SUMPRODUCT(INDEX($AR$77:$AT$82,,$AI892),INDEX($AU$77:$BA$82,,$AH892), N($AQ$77:$AQ$82&gt;$AO892)) / CI892 / 1000</f>
        <v>0</v>
      </c>
      <c r="CK892" s="232">
        <f t="shared" si="798"/>
        <v>30</v>
      </c>
      <c r="CL892" s="230">
        <f t="shared" si="820"/>
        <v>43</v>
      </c>
      <c r="CM892" s="235">
        <f t="shared" si="821"/>
        <v>3.5018750000000001</v>
      </c>
      <c r="CN892" s="235" cm="1">
        <f t="array" ref="CN892">$BI892 * IF($AH892&lt;=2,
SUMPRODUCT(INDEX($AR$72:$AT$76,,$AI892), INDEX($AU$72:$BA$76,,$AH892), 1 / ($BB$72:$BB$76*CM892 + (1-$BB$72:$BB$76)*CI892), N($AQ$72:$AQ$76&gt;$AO892)),
SUMPRODUCT(INDEX($AR$67:$AT$76,,$AI892), INDEX($AU$67:$BA$76,,$AH892), 1 / ($BC$67:$BC$76*CM892 + (1-$BC$67:$BC$76)*CI892), N($AQ$67:$AQ$76&gt;$AO892))
) / 1000</f>
        <v>0</v>
      </c>
      <c r="CO892" s="232">
        <f t="shared" si="799"/>
        <v>25</v>
      </c>
      <c r="CP892" s="230">
        <f t="shared" si="822"/>
        <v>38</v>
      </c>
      <c r="CQ892" s="235">
        <f t="shared" si="823"/>
        <v>4.0666935483870965</v>
      </c>
      <c r="CR892" s="235" cm="1">
        <f t="array" ref="CR892">$BI892 * IF($AH892&lt;=2,
SUMPRODUCT(INDEX($AR$67:$AT$71,,$AI892), INDEX($AU$67:$BA$71,,$AH892), 1 / ($BB$67:$BB$71*CQ892 + (1-$BB$67:$BB$71)*CM892), N($AQ$67:$AQ$71&gt;$AO892)),
SUMPRODUCT(INDEX($AR$57:$AT$66,,$AI892), INDEX($AU$57:$BA$66,,$AH892), 1 / ($BC$57:$BC$66*CQ892 + (1-$BC$57:$BC$66)*CM892), N($AQ$57:$AQ$66&gt;$AO892))
) / 1000</f>
        <v>0</v>
      </c>
      <c r="CS892" s="232">
        <f t="shared" si="800"/>
        <v>20</v>
      </c>
      <c r="CT892" s="230">
        <f t="shared" si="824"/>
        <v>33</v>
      </c>
      <c r="CU892" s="235">
        <f t="shared" si="825"/>
        <v>4.8487499999999999</v>
      </c>
      <c r="CV892" s="235" cm="1">
        <f t="array" ref="CV892">$BI892 * IF($AH892&lt;=2,
SUMPRODUCT(INDEX($AR$62:$AT$66,,$AI892), INDEX($AU$62:$BA$66,,$AH892), 1 / ($BB$62:$BB$66*CU892 + (1-$BB$62:$BB$66)*CQ892), N($AQ$62:$AQ$66&gt;$AO892)),
SUMPRODUCT(INDEX($AR$47:$AT$56,,$AI892), INDEX($AU$47:$BA$56,,$AH892), 1 / ($BC$47:$BC$56*CU892 + (1-$BC$47:$BC$56)*CQ892), N($AQ$47:$AQ$56&gt;$AO892))
) / 1000</f>
        <v>0</v>
      </c>
      <c r="CW892" s="235" cm="1">
        <f t="array" ref="CW892">$BI892 * IF($AH892&lt;=2,
SUMPRODUCT(INDEX($AR$23:$AT$61,,$AI892), INDEX($AU$23:$BA$61,,$AH892), 1 / ($BB$23:$BB$61*CU892), N($AQ$23:$AQ$61&gt;$AO892)),
SUMPRODUCT(INDEX($AR$23:$AT$46,,$AI892), INDEX($AU$23:$BA$46,,$AH892), 1 / ($BC$23:$BC$46*CU892), N($AQ$23:$AQ$46&gt;$AO892))
) / 1000</f>
        <v>0</v>
      </c>
      <c r="CX892" s="230">
        <f t="shared" si="826"/>
        <v>0</v>
      </c>
      <c r="CY892" s="238"/>
    </row>
    <row r="893" spans="1:103" s="76" customFormat="1" ht="14.25" customHeight="1" x14ac:dyDescent="0.2">
      <c r="A893" s="231" t="b">
        <f t="shared" si="792"/>
        <v>0</v>
      </c>
      <c r="B893" s="245">
        <v>871</v>
      </c>
      <c r="C893" s="258"/>
      <c r="D893" s="258"/>
      <c r="E893" s="246"/>
      <c r="F893" s="247" t="str">
        <f>IF(ISBLANK(E893), "", VLOOKUP(E893, Z!$A$2:$C$4127, 3, FALSE))</f>
        <v/>
      </c>
      <c r="G893" s="248"/>
      <c r="H893" s="248"/>
      <c r="I893" s="249"/>
      <c r="J893" s="250"/>
      <c r="K893" s="259"/>
      <c r="L893" s="260"/>
      <c r="M893" s="252" t="str" cm="1">
        <f t="array" ref="M893">INDEX(Trad, 53, $A$20)</f>
        <v>Verschmutzt</v>
      </c>
      <c r="N893" s="253"/>
      <c r="O893" s="253"/>
      <c r="P893" s="254"/>
      <c r="Q893" s="251"/>
      <c r="R893" s="251"/>
      <c r="S893" s="264">
        <f t="shared" si="801"/>
        <v>0</v>
      </c>
      <c r="T893" s="252" t="str" cm="1">
        <f t="array" ref="T893">INDEX(Trad, 52, $A$20)</f>
        <v>Sauber</v>
      </c>
      <c r="U893" s="253"/>
      <c r="V893" s="253"/>
      <c r="W893" s="254"/>
      <c r="X893" s="251"/>
      <c r="Y893" s="251"/>
      <c r="Z893" s="264">
        <f t="shared" si="802"/>
        <v>0</v>
      </c>
      <c r="AA893" s="261"/>
      <c r="AB893" s="258"/>
      <c r="AC893" s="246"/>
      <c r="AD893" s="247" t="str">
        <f>IF(ISBLANK(AC893), "", VLOOKUP(AC893, Z!$A$2:$C$4127, 3, FALSE))</f>
        <v/>
      </c>
      <c r="AE893" s="262"/>
      <c r="AF893" s="263">
        <f t="shared" si="803"/>
        <v>0</v>
      </c>
      <c r="AG893" s="238"/>
      <c r="AH893" s="229">
        <f t="shared" si="827"/>
        <v>1</v>
      </c>
      <c r="AI893" s="229">
        <f t="shared" si="828"/>
        <v>1</v>
      </c>
      <c r="AJ893" s="229">
        <f t="shared" si="829"/>
        <v>0</v>
      </c>
      <c r="AK893" s="229">
        <v>0</v>
      </c>
      <c r="AL893" s="229">
        <v>0</v>
      </c>
      <c r="AM893" s="229">
        <v>1</v>
      </c>
      <c r="AN893" s="229">
        <v>0</v>
      </c>
      <c r="AO893" s="229">
        <f t="shared" si="804"/>
        <v>-100</v>
      </c>
      <c r="AP893" s="238"/>
      <c r="AQ893" s="255"/>
      <c r="AR893" s="255"/>
      <c r="AS893" s="256"/>
      <c r="AT893" s="256"/>
      <c r="AU893" s="256"/>
      <c r="AV893" s="256"/>
      <c r="AW893" s="256"/>
      <c r="AX893" s="256"/>
      <c r="AY893" s="256"/>
      <c r="AZ893" s="256"/>
      <c r="BA893" s="256"/>
      <c r="BB893" s="256"/>
      <c r="BC893" s="256"/>
      <c r="BD893" s="238"/>
      <c r="BE893" s="229" cm="1">
        <f t="array" ref="BE893">IF(ISBLANK(R893), INDEX(Use, $AH893, 4) - AM893*INDEX(Use, $AH893, 6), R893)</f>
        <v>5</v>
      </c>
      <c r="BF893" s="229">
        <f t="shared" si="805"/>
        <v>30</v>
      </c>
      <c r="BG893" s="229">
        <f t="shared" si="793"/>
        <v>13</v>
      </c>
      <c r="BH893" s="229">
        <f t="shared" si="794"/>
        <v>0</v>
      </c>
      <c r="BI893" s="234" cm="1">
        <f t="array" ref="BI893">K893/IF($L893&gt;0, INDEX($AU$23:$BA$77, $L893+20, $AH893), 1)</f>
        <v>0</v>
      </c>
      <c r="BJ893" s="230">
        <f t="shared" si="806"/>
        <v>0</v>
      </c>
      <c r="BK893" s="229">
        <v>35</v>
      </c>
      <c r="BL893" s="230">
        <f t="shared" si="807"/>
        <v>48</v>
      </c>
      <c r="BM893" s="235">
        <f t="shared" si="808"/>
        <v>2.9108720930232557</v>
      </c>
      <c r="BN893" s="235" cm="1">
        <f t="array" ref="BN893">$BI893 * SUMPRODUCT(INDEX($AR$77:$AT$82,,$AI893),INDEX($AU$77:$BA$82,,$AH893), N($AQ$77:$AQ$82&gt;$AO893)) / BM893 / 1000</f>
        <v>0</v>
      </c>
      <c r="BO893" s="232">
        <f t="shared" si="795"/>
        <v>30</v>
      </c>
      <c r="BP893" s="230">
        <f t="shared" si="809"/>
        <v>43</v>
      </c>
      <c r="BQ893" s="235">
        <f t="shared" si="810"/>
        <v>3.2938815789473681</v>
      </c>
      <c r="BR893" s="235" cm="1">
        <f t="array" ref="BR893">$BI893 * IF($AH893&lt;=2,
SUMPRODUCT(INDEX($AR$72:$AT$76,,$AI893), INDEX($AU$72:$BA$76,,$AH893), 1 / ($BB$72:$BB$76*BQ893 + (1-$BB$72:$BB$76)*BM893), N($AQ$72:$AQ$76&gt;$AO893)),
SUMPRODUCT(INDEX($AR$67:$AT$76,,$AI893), INDEX($AU$67:$BA$76,,$AH893), 1 / ($BC$67:$BC$76*BQ893 + (1-$BC$67:$BC$76)*BM893), N($AQ$67:$AQ$76&gt;$AO893))
) / 1000</f>
        <v>0</v>
      </c>
      <c r="BS893" s="232">
        <f t="shared" si="796"/>
        <v>25</v>
      </c>
      <c r="BT893" s="230">
        <f t="shared" si="811"/>
        <v>38</v>
      </c>
      <c r="BU893" s="235">
        <f t="shared" si="812"/>
        <v>3.792954545454545</v>
      </c>
      <c r="BV893" s="235" cm="1">
        <f t="array" ref="BV893">$BI893 * IF($AH893&lt;=2,
SUMPRODUCT(INDEX($AR$67:$AT$71,,$AI893), INDEX($AU$67:$BA$71,,$AH893), 1 / ($BB$67:$BB$71*BU893 + (1-$BB$67:$BB$71)*BQ893), N($AQ$67:$AQ$71&gt;$AO893)),
SUMPRODUCT(INDEX($AR$57:$AT$66,,$AI893), INDEX($AU$57:$BA$66,,$AH893), 1 / ($BC$57:$BC$66*BU893 + (1-$BC$57:$BC$66)*BQ893), N($AQ$57:$AQ$66&gt;$AO893))
) / 1000</f>
        <v>0</v>
      </c>
      <c r="BW893" s="232">
        <f t="shared" si="797"/>
        <v>20</v>
      </c>
      <c r="BX893" s="230">
        <f t="shared" si="813"/>
        <v>33</v>
      </c>
      <c r="BY893" s="235">
        <f t="shared" si="814"/>
        <v>4.4702678571428569</v>
      </c>
      <c r="BZ893" s="235" cm="1">
        <f t="array" ref="BZ893">$BI893 * IF($AH893&lt;=2,
SUMPRODUCT(INDEX($AR$62:$AT$66,,$AI893), INDEX($AU$62:$BA$66,,$AH893), 1 / ($BB$62:$BB$66*BY893 + (1-$BB$62:$BB$66)*BU893), N($AQ$62:$AQ$66&gt;$AO893)),
SUMPRODUCT(INDEX($AR$47:$AT$56,,$AI893), INDEX($AU$47:$BA$56,,$AH893), 1 / ($BC$47:$BC$56*BY893 + (1-$BC$47:$BC$56)*BU893), N($AQ$47:$AQ$56&gt;$AO893))
) / 1000</f>
        <v>0</v>
      </c>
      <c r="CA893" s="235" cm="1">
        <f t="array" ref="CA893">$BI893 * IF($AH893&lt;=2,
SUMPRODUCT(INDEX($AR$23:$AT$61,,$AI893), INDEX($AU$23:$BA$61,,$AH893), 1 / ($BB$23:$BB$61*BY893), N($AQ$23:$AQ$61&gt;$AO893)),
SUMPRODUCT(INDEX($AR$23:$AT$46,,$AI893), INDEX($AU$23:$BA$46,,$AH893), 1 / ($BC$23:$BC$46*BY893), N($AQ$23:$AQ$46&gt;$AO893))
) / 1000</f>
        <v>0</v>
      </c>
      <c r="CB893" s="230">
        <f t="shared" si="815"/>
        <v>0</v>
      </c>
      <c r="CC893" s="238"/>
      <c r="CD893" s="229" cm="1">
        <f t="array" ref="CD893">IF(ISBLANK(Y893), INDEX(Use, $AH893, 4) - AN893*INDEX(Use, $AH893, 6) - (Q893-X893), Y893)</f>
        <v>7</v>
      </c>
      <c r="CE893" s="229">
        <f t="shared" si="816"/>
        <v>32</v>
      </c>
      <c r="CF893" s="230">
        <f t="shared" si="817"/>
        <v>0</v>
      </c>
      <c r="CG893" s="229">
        <v>35</v>
      </c>
      <c r="CH893" s="230">
        <f t="shared" si="818"/>
        <v>48</v>
      </c>
      <c r="CI893" s="235">
        <f t="shared" si="819"/>
        <v>3.0748170731707316</v>
      </c>
      <c r="CJ893" s="235" cm="1">
        <f t="array" ref="CJ893">$BI893 * SUMPRODUCT(INDEX($AR$77:$AT$82,,$AI893),INDEX($AU$77:$BA$82,,$AH893), N($AQ$77:$AQ$82&gt;$AO893)) / CI893 / 1000</f>
        <v>0</v>
      </c>
      <c r="CK893" s="232">
        <f t="shared" si="798"/>
        <v>30</v>
      </c>
      <c r="CL893" s="230">
        <f t="shared" si="820"/>
        <v>43</v>
      </c>
      <c r="CM893" s="235">
        <f t="shared" si="821"/>
        <v>3.5018750000000001</v>
      </c>
      <c r="CN893" s="235" cm="1">
        <f t="array" ref="CN893">$BI893 * IF($AH893&lt;=2,
SUMPRODUCT(INDEX($AR$72:$AT$76,,$AI893), INDEX($AU$72:$BA$76,,$AH893), 1 / ($BB$72:$BB$76*CM893 + (1-$BB$72:$BB$76)*CI893), N($AQ$72:$AQ$76&gt;$AO893)),
SUMPRODUCT(INDEX($AR$67:$AT$76,,$AI893), INDEX($AU$67:$BA$76,,$AH893), 1 / ($BC$67:$BC$76*CM893 + (1-$BC$67:$BC$76)*CI893), N($AQ$67:$AQ$76&gt;$AO893))
) / 1000</f>
        <v>0</v>
      </c>
      <c r="CO893" s="232">
        <f t="shared" si="799"/>
        <v>25</v>
      </c>
      <c r="CP893" s="230">
        <f t="shared" si="822"/>
        <v>38</v>
      </c>
      <c r="CQ893" s="235">
        <f t="shared" si="823"/>
        <v>4.0666935483870965</v>
      </c>
      <c r="CR893" s="235" cm="1">
        <f t="array" ref="CR893">$BI893 * IF($AH893&lt;=2,
SUMPRODUCT(INDEX($AR$67:$AT$71,,$AI893), INDEX($AU$67:$BA$71,,$AH893), 1 / ($BB$67:$BB$71*CQ893 + (1-$BB$67:$BB$71)*CM893), N($AQ$67:$AQ$71&gt;$AO893)),
SUMPRODUCT(INDEX($AR$57:$AT$66,,$AI893), INDEX($AU$57:$BA$66,,$AH893), 1 / ($BC$57:$BC$66*CQ893 + (1-$BC$57:$BC$66)*CM893), N($AQ$57:$AQ$66&gt;$AO893))
) / 1000</f>
        <v>0</v>
      </c>
      <c r="CS893" s="232">
        <f t="shared" si="800"/>
        <v>20</v>
      </c>
      <c r="CT893" s="230">
        <f t="shared" si="824"/>
        <v>33</v>
      </c>
      <c r="CU893" s="235">
        <f t="shared" si="825"/>
        <v>4.8487499999999999</v>
      </c>
      <c r="CV893" s="235" cm="1">
        <f t="array" ref="CV893">$BI893 * IF($AH893&lt;=2,
SUMPRODUCT(INDEX($AR$62:$AT$66,,$AI893), INDEX($AU$62:$BA$66,,$AH893), 1 / ($BB$62:$BB$66*CU893 + (1-$BB$62:$BB$66)*CQ893), N($AQ$62:$AQ$66&gt;$AO893)),
SUMPRODUCT(INDEX($AR$47:$AT$56,,$AI893), INDEX($AU$47:$BA$56,,$AH893), 1 / ($BC$47:$BC$56*CU893 + (1-$BC$47:$BC$56)*CQ893), N($AQ$47:$AQ$56&gt;$AO893))
) / 1000</f>
        <v>0</v>
      </c>
      <c r="CW893" s="235" cm="1">
        <f t="array" ref="CW893">$BI893 * IF($AH893&lt;=2,
SUMPRODUCT(INDEX($AR$23:$AT$61,,$AI893), INDEX($AU$23:$BA$61,,$AH893), 1 / ($BB$23:$BB$61*CU893), N($AQ$23:$AQ$61&gt;$AO893)),
SUMPRODUCT(INDEX($AR$23:$AT$46,,$AI893), INDEX($AU$23:$BA$46,,$AH893), 1 / ($BC$23:$BC$46*CU893), N($AQ$23:$AQ$46&gt;$AO893))
) / 1000</f>
        <v>0</v>
      </c>
      <c r="CX893" s="230">
        <f t="shared" si="826"/>
        <v>0</v>
      </c>
      <c r="CY893" s="238"/>
    </row>
    <row r="894" spans="1:103" s="76" customFormat="1" ht="14.25" customHeight="1" x14ac:dyDescent="0.2">
      <c r="A894" s="231" t="b">
        <f t="shared" si="792"/>
        <v>0</v>
      </c>
      <c r="B894" s="245">
        <v>872</v>
      </c>
      <c r="C894" s="258"/>
      <c r="D894" s="258"/>
      <c r="E894" s="246"/>
      <c r="F894" s="247" t="str">
        <f>IF(ISBLANK(E894), "", VLOOKUP(E894, Z!$A$2:$C$4127, 3, FALSE))</f>
        <v/>
      </c>
      <c r="G894" s="248"/>
      <c r="H894" s="248"/>
      <c r="I894" s="249"/>
      <c r="J894" s="250"/>
      <c r="K894" s="259"/>
      <c r="L894" s="260"/>
      <c r="M894" s="252" t="str" cm="1">
        <f t="array" ref="M894">INDEX(Trad, 53, $A$20)</f>
        <v>Verschmutzt</v>
      </c>
      <c r="N894" s="253"/>
      <c r="O894" s="253"/>
      <c r="P894" s="254"/>
      <c r="Q894" s="251"/>
      <c r="R894" s="251"/>
      <c r="S894" s="264">
        <f t="shared" si="801"/>
        <v>0</v>
      </c>
      <c r="T894" s="252" t="str" cm="1">
        <f t="array" ref="T894">INDEX(Trad, 52, $A$20)</f>
        <v>Sauber</v>
      </c>
      <c r="U894" s="253"/>
      <c r="V894" s="253"/>
      <c r="W894" s="254"/>
      <c r="X894" s="251"/>
      <c r="Y894" s="251"/>
      <c r="Z894" s="264">
        <f t="shared" si="802"/>
        <v>0</v>
      </c>
      <c r="AA894" s="261"/>
      <c r="AB894" s="258"/>
      <c r="AC894" s="246"/>
      <c r="AD894" s="247" t="str">
        <f>IF(ISBLANK(AC894), "", VLOOKUP(AC894, Z!$A$2:$C$4127, 3, FALSE))</f>
        <v/>
      </c>
      <c r="AE894" s="262"/>
      <c r="AF894" s="263">
        <f t="shared" si="803"/>
        <v>0</v>
      </c>
      <c r="AG894" s="238"/>
      <c r="AH894" s="229">
        <f t="shared" si="827"/>
        <v>1</v>
      </c>
      <c r="AI894" s="229">
        <f t="shared" si="828"/>
        <v>1</v>
      </c>
      <c r="AJ894" s="229">
        <f t="shared" si="829"/>
        <v>0</v>
      </c>
      <c r="AK894" s="229">
        <v>0</v>
      </c>
      <c r="AL894" s="229">
        <v>0</v>
      </c>
      <c r="AM894" s="229">
        <v>1</v>
      </c>
      <c r="AN894" s="229">
        <v>0</v>
      </c>
      <c r="AO894" s="229">
        <f t="shared" si="804"/>
        <v>-100</v>
      </c>
      <c r="AP894" s="238"/>
      <c r="AQ894" s="255"/>
      <c r="AR894" s="255"/>
      <c r="AS894" s="256"/>
      <c r="AT894" s="256"/>
      <c r="AU894" s="256"/>
      <c r="AV894" s="256"/>
      <c r="AW894" s="256"/>
      <c r="AX894" s="256"/>
      <c r="AY894" s="256"/>
      <c r="AZ894" s="256"/>
      <c r="BA894" s="256"/>
      <c r="BB894" s="256"/>
      <c r="BC894" s="256"/>
      <c r="BD894" s="238"/>
      <c r="BE894" s="229" cm="1">
        <f t="array" ref="BE894">IF(ISBLANK(R894), INDEX(Use, $AH894, 4) - AM894*INDEX(Use, $AH894, 6), R894)</f>
        <v>5</v>
      </c>
      <c r="BF894" s="229">
        <f t="shared" si="805"/>
        <v>30</v>
      </c>
      <c r="BG894" s="229">
        <f t="shared" si="793"/>
        <v>13</v>
      </c>
      <c r="BH894" s="229">
        <f t="shared" si="794"/>
        <v>0</v>
      </c>
      <c r="BI894" s="234" cm="1">
        <f t="array" ref="BI894">K894/IF($L894&gt;0, INDEX($AU$23:$BA$77, $L894+20, $AH894), 1)</f>
        <v>0</v>
      </c>
      <c r="BJ894" s="230">
        <f t="shared" si="806"/>
        <v>0</v>
      </c>
      <c r="BK894" s="229">
        <v>35</v>
      </c>
      <c r="BL894" s="230">
        <f t="shared" si="807"/>
        <v>48</v>
      </c>
      <c r="BM894" s="235">
        <f t="shared" si="808"/>
        <v>2.9108720930232557</v>
      </c>
      <c r="BN894" s="235" cm="1">
        <f t="array" ref="BN894">$BI894 * SUMPRODUCT(INDEX($AR$77:$AT$82,,$AI894),INDEX($AU$77:$BA$82,,$AH894), N($AQ$77:$AQ$82&gt;$AO894)) / BM894 / 1000</f>
        <v>0</v>
      </c>
      <c r="BO894" s="232">
        <f t="shared" si="795"/>
        <v>30</v>
      </c>
      <c r="BP894" s="230">
        <f t="shared" si="809"/>
        <v>43</v>
      </c>
      <c r="BQ894" s="235">
        <f t="shared" si="810"/>
        <v>3.2938815789473681</v>
      </c>
      <c r="BR894" s="235" cm="1">
        <f t="array" ref="BR894">$BI894 * IF($AH894&lt;=2,
SUMPRODUCT(INDEX($AR$72:$AT$76,,$AI894), INDEX($AU$72:$BA$76,,$AH894), 1 / ($BB$72:$BB$76*BQ894 + (1-$BB$72:$BB$76)*BM894), N($AQ$72:$AQ$76&gt;$AO894)),
SUMPRODUCT(INDEX($AR$67:$AT$76,,$AI894), INDEX($AU$67:$BA$76,,$AH894), 1 / ($BC$67:$BC$76*BQ894 + (1-$BC$67:$BC$76)*BM894), N($AQ$67:$AQ$76&gt;$AO894))
) / 1000</f>
        <v>0</v>
      </c>
      <c r="BS894" s="232">
        <f t="shared" si="796"/>
        <v>25</v>
      </c>
      <c r="BT894" s="230">
        <f t="shared" si="811"/>
        <v>38</v>
      </c>
      <c r="BU894" s="235">
        <f t="shared" si="812"/>
        <v>3.792954545454545</v>
      </c>
      <c r="BV894" s="235" cm="1">
        <f t="array" ref="BV894">$BI894 * IF($AH894&lt;=2,
SUMPRODUCT(INDEX($AR$67:$AT$71,,$AI894), INDEX($AU$67:$BA$71,,$AH894), 1 / ($BB$67:$BB$71*BU894 + (1-$BB$67:$BB$71)*BQ894), N($AQ$67:$AQ$71&gt;$AO894)),
SUMPRODUCT(INDEX($AR$57:$AT$66,,$AI894), INDEX($AU$57:$BA$66,,$AH894), 1 / ($BC$57:$BC$66*BU894 + (1-$BC$57:$BC$66)*BQ894), N($AQ$57:$AQ$66&gt;$AO894))
) / 1000</f>
        <v>0</v>
      </c>
      <c r="BW894" s="232">
        <f t="shared" si="797"/>
        <v>20</v>
      </c>
      <c r="BX894" s="230">
        <f t="shared" si="813"/>
        <v>33</v>
      </c>
      <c r="BY894" s="235">
        <f t="shared" si="814"/>
        <v>4.4702678571428569</v>
      </c>
      <c r="BZ894" s="235" cm="1">
        <f t="array" ref="BZ894">$BI894 * IF($AH894&lt;=2,
SUMPRODUCT(INDEX($AR$62:$AT$66,,$AI894), INDEX($AU$62:$BA$66,,$AH894), 1 / ($BB$62:$BB$66*BY894 + (1-$BB$62:$BB$66)*BU894), N($AQ$62:$AQ$66&gt;$AO894)),
SUMPRODUCT(INDEX($AR$47:$AT$56,,$AI894), INDEX($AU$47:$BA$56,,$AH894), 1 / ($BC$47:$BC$56*BY894 + (1-$BC$47:$BC$56)*BU894), N($AQ$47:$AQ$56&gt;$AO894))
) / 1000</f>
        <v>0</v>
      </c>
      <c r="CA894" s="235" cm="1">
        <f t="array" ref="CA894">$BI894 * IF($AH894&lt;=2,
SUMPRODUCT(INDEX($AR$23:$AT$61,,$AI894), INDEX($AU$23:$BA$61,,$AH894), 1 / ($BB$23:$BB$61*BY894), N($AQ$23:$AQ$61&gt;$AO894)),
SUMPRODUCT(INDEX($AR$23:$AT$46,,$AI894), INDEX($AU$23:$BA$46,,$AH894), 1 / ($BC$23:$BC$46*BY894), N($AQ$23:$AQ$46&gt;$AO894))
) / 1000</f>
        <v>0</v>
      </c>
      <c r="CB894" s="230">
        <f t="shared" si="815"/>
        <v>0</v>
      </c>
      <c r="CC894" s="238"/>
      <c r="CD894" s="229" cm="1">
        <f t="array" ref="CD894">IF(ISBLANK(Y894), INDEX(Use, $AH894, 4) - AN894*INDEX(Use, $AH894, 6) - (Q894-X894), Y894)</f>
        <v>7</v>
      </c>
      <c r="CE894" s="229">
        <f t="shared" si="816"/>
        <v>32</v>
      </c>
      <c r="CF894" s="230">
        <f t="shared" si="817"/>
        <v>0</v>
      </c>
      <c r="CG894" s="229">
        <v>35</v>
      </c>
      <c r="CH894" s="230">
        <f t="shared" si="818"/>
        <v>48</v>
      </c>
      <c r="CI894" s="235">
        <f t="shared" si="819"/>
        <v>3.0748170731707316</v>
      </c>
      <c r="CJ894" s="235" cm="1">
        <f t="array" ref="CJ894">$BI894 * SUMPRODUCT(INDEX($AR$77:$AT$82,,$AI894),INDEX($AU$77:$BA$82,,$AH894), N($AQ$77:$AQ$82&gt;$AO894)) / CI894 / 1000</f>
        <v>0</v>
      </c>
      <c r="CK894" s="232">
        <f t="shared" si="798"/>
        <v>30</v>
      </c>
      <c r="CL894" s="230">
        <f t="shared" si="820"/>
        <v>43</v>
      </c>
      <c r="CM894" s="235">
        <f t="shared" si="821"/>
        <v>3.5018750000000001</v>
      </c>
      <c r="CN894" s="235" cm="1">
        <f t="array" ref="CN894">$BI894 * IF($AH894&lt;=2,
SUMPRODUCT(INDEX($AR$72:$AT$76,,$AI894), INDEX($AU$72:$BA$76,,$AH894), 1 / ($BB$72:$BB$76*CM894 + (1-$BB$72:$BB$76)*CI894), N($AQ$72:$AQ$76&gt;$AO894)),
SUMPRODUCT(INDEX($AR$67:$AT$76,,$AI894), INDEX($AU$67:$BA$76,,$AH894), 1 / ($BC$67:$BC$76*CM894 + (1-$BC$67:$BC$76)*CI894), N($AQ$67:$AQ$76&gt;$AO894))
) / 1000</f>
        <v>0</v>
      </c>
      <c r="CO894" s="232">
        <f t="shared" si="799"/>
        <v>25</v>
      </c>
      <c r="CP894" s="230">
        <f t="shared" si="822"/>
        <v>38</v>
      </c>
      <c r="CQ894" s="235">
        <f t="shared" si="823"/>
        <v>4.0666935483870965</v>
      </c>
      <c r="CR894" s="235" cm="1">
        <f t="array" ref="CR894">$BI894 * IF($AH894&lt;=2,
SUMPRODUCT(INDEX($AR$67:$AT$71,,$AI894), INDEX($AU$67:$BA$71,,$AH894), 1 / ($BB$67:$BB$71*CQ894 + (1-$BB$67:$BB$71)*CM894), N($AQ$67:$AQ$71&gt;$AO894)),
SUMPRODUCT(INDEX($AR$57:$AT$66,,$AI894), INDEX($AU$57:$BA$66,,$AH894), 1 / ($BC$57:$BC$66*CQ894 + (1-$BC$57:$BC$66)*CM894), N($AQ$57:$AQ$66&gt;$AO894))
) / 1000</f>
        <v>0</v>
      </c>
      <c r="CS894" s="232">
        <f t="shared" si="800"/>
        <v>20</v>
      </c>
      <c r="CT894" s="230">
        <f t="shared" si="824"/>
        <v>33</v>
      </c>
      <c r="CU894" s="235">
        <f t="shared" si="825"/>
        <v>4.8487499999999999</v>
      </c>
      <c r="CV894" s="235" cm="1">
        <f t="array" ref="CV894">$BI894 * IF($AH894&lt;=2,
SUMPRODUCT(INDEX($AR$62:$AT$66,,$AI894), INDEX($AU$62:$BA$66,,$AH894), 1 / ($BB$62:$BB$66*CU894 + (1-$BB$62:$BB$66)*CQ894), N($AQ$62:$AQ$66&gt;$AO894)),
SUMPRODUCT(INDEX($AR$47:$AT$56,,$AI894), INDEX($AU$47:$BA$56,,$AH894), 1 / ($BC$47:$BC$56*CU894 + (1-$BC$47:$BC$56)*CQ894), N($AQ$47:$AQ$56&gt;$AO894))
) / 1000</f>
        <v>0</v>
      </c>
      <c r="CW894" s="235" cm="1">
        <f t="array" ref="CW894">$BI894 * IF($AH894&lt;=2,
SUMPRODUCT(INDEX($AR$23:$AT$61,,$AI894), INDEX($AU$23:$BA$61,,$AH894), 1 / ($BB$23:$BB$61*CU894), N($AQ$23:$AQ$61&gt;$AO894)),
SUMPRODUCT(INDEX($AR$23:$AT$46,,$AI894), INDEX($AU$23:$BA$46,,$AH894), 1 / ($BC$23:$BC$46*CU894), N($AQ$23:$AQ$46&gt;$AO894))
) / 1000</f>
        <v>0</v>
      </c>
      <c r="CX894" s="230">
        <f t="shared" si="826"/>
        <v>0</v>
      </c>
      <c r="CY894" s="238"/>
    </row>
    <row r="895" spans="1:103" s="76" customFormat="1" ht="14.25" customHeight="1" x14ac:dyDescent="0.2">
      <c r="A895" s="231" t="b">
        <f t="shared" si="792"/>
        <v>0</v>
      </c>
      <c r="B895" s="245">
        <v>873</v>
      </c>
      <c r="C895" s="258"/>
      <c r="D895" s="258"/>
      <c r="E895" s="246"/>
      <c r="F895" s="247" t="str">
        <f>IF(ISBLANK(E895), "", VLOOKUP(E895, Z!$A$2:$C$4127, 3, FALSE))</f>
        <v/>
      </c>
      <c r="G895" s="248"/>
      <c r="H895" s="248"/>
      <c r="I895" s="249"/>
      <c r="J895" s="250"/>
      <c r="K895" s="259"/>
      <c r="L895" s="260"/>
      <c r="M895" s="252" t="str" cm="1">
        <f t="array" ref="M895">INDEX(Trad, 53, $A$20)</f>
        <v>Verschmutzt</v>
      </c>
      <c r="N895" s="253"/>
      <c r="O895" s="253"/>
      <c r="P895" s="254"/>
      <c r="Q895" s="251"/>
      <c r="R895" s="251"/>
      <c r="S895" s="264">
        <f t="shared" si="801"/>
        <v>0</v>
      </c>
      <c r="T895" s="252" t="str" cm="1">
        <f t="array" ref="T895">INDEX(Trad, 52, $A$20)</f>
        <v>Sauber</v>
      </c>
      <c r="U895" s="253"/>
      <c r="V895" s="253"/>
      <c r="W895" s="254"/>
      <c r="X895" s="251"/>
      <c r="Y895" s="251"/>
      <c r="Z895" s="264">
        <f t="shared" si="802"/>
        <v>0</v>
      </c>
      <c r="AA895" s="261"/>
      <c r="AB895" s="258"/>
      <c r="AC895" s="246"/>
      <c r="AD895" s="247" t="str">
        <f>IF(ISBLANK(AC895), "", VLOOKUP(AC895, Z!$A$2:$C$4127, 3, FALSE))</f>
        <v/>
      </c>
      <c r="AE895" s="262"/>
      <c r="AF895" s="263">
        <f t="shared" si="803"/>
        <v>0</v>
      </c>
      <c r="AG895" s="238"/>
      <c r="AH895" s="229">
        <f t="shared" si="827"/>
        <v>1</v>
      </c>
      <c r="AI895" s="229">
        <f t="shared" si="828"/>
        <v>1</v>
      </c>
      <c r="AJ895" s="229">
        <f t="shared" si="829"/>
        <v>0</v>
      </c>
      <c r="AK895" s="229">
        <v>0</v>
      </c>
      <c r="AL895" s="229">
        <v>0</v>
      </c>
      <c r="AM895" s="229">
        <v>1</v>
      </c>
      <c r="AN895" s="229">
        <v>0</v>
      </c>
      <c r="AO895" s="229">
        <f t="shared" si="804"/>
        <v>-100</v>
      </c>
      <c r="AP895" s="238"/>
      <c r="AQ895" s="255"/>
      <c r="AR895" s="255"/>
      <c r="AS895" s="256"/>
      <c r="AT895" s="256"/>
      <c r="AU895" s="256"/>
      <c r="AV895" s="256"/>
      <c r="AW895" s="256"/>
      <c r="AX895" s="256"/>
      <c r="AY895" s="256"/>
      <c r="AZ895" s="256"/>
      <c r="BA895" s="256"/>
      <c r="BB895" s="256"/>
      <c r="BC895" s="256"/>
      <c r="BD895" s="238"/>
      <c r="BE895" s="229" cm="1">
        <f t="array" ref="BE895">IF(ISBLANK(R895), INDEX(Use, $AH895, 4) - AM895*INDEX(Use, $AH895, 6), R895)</f>
        <v>5</v>
      </c>
      <c r="BF895" s="229">
        <f t="shared" si="805"/>
        <v>30</v>
      </c>
      <c r="BG895" s="229">
        <f t="shared" si="793"/>
        <v>13</v>
      </c>
      <c r="BH895" s="229">
        <f t="shared" si="794"/>
        <v>0</v>
      </c>
      <c r="BI895" s="234" cm="1">
        <f t="array" ref="BI895">K895/IF($L895&gt;0, INDEX($AU$23:$BA$77, $L895+20, $AH895), 1)</f>
        <v>0</v>
      </c>
      <c r="BJ895" s="230">
        <f t="shared" si="806"/>
        <v>0</v>
      </c>
      <c r="BK895" s="229">
        <v>35</v>
      </c>
      <c r="BL895" s="230">
        <f t="shared" si="807"/>
        <v>48</v>
      </c>
      <c r="BM895" s="235">
        <f t="shared" si="808"/>
        <v>2.9108720930232557</v>
      </c>
      <c r="BN895" s="235" cm="1">
        <f t="array" ref="BN895">$BI895 * SUMPRODUCT(INDEX($AR$77:$AT$82,,$AI895),INDEX($AU$77:$BA$82,,$AH895), N($AQ$77:$AQ$82&gt;$AO895)) / BM895 / 1000</f>
        <v>0</v>
      </c>
      <c r="BO895" s="232">
        <f t="shared" si="795"/>
        <v>30</v>
      </c>
      <c r="BP895" s="230">
        <f t="shared" si="809"/>
        <v>43</v>
      </c>
      <c r="BQ895" s="235">
        <f t="shared" si="810"/>
        <v>3.2938815789473681</v>
      </c>
      <c r="BR895" s="235" cm="1">
        <f t="array" ref="BR895">$BI895 * IF($AH895&lt;=2,
SUMPRODUCT(INDEX($AR$72:$AT$76,,$AI895), INDEX($AU$72:$BA$76,,$AH895), 1 / ($BB$72:$BB$76*BQ895 + (1-$BB$72:$BB$76)*BM895), N($AQ$72:$AQ$76&gt;$AO895)),
SUMPRODUCT(INDEX($AR$67:$AT$76,,$AI895), INDEX($AU$67:$BA$76,,$AH895), 1 / ($BC$67:$BC$76*BQ895 + (1-$BC$67:$BC$76)*BM895), N($AQ$67:$AQ$76&gt;$AO895))
) / 1000</f>
        <v>0</v>
      </c>
      <c r="BS895" s="232">
        <f t="shared" si="796"/>
        <v>25</v>
      </c>
      <c r="BT895" s="230">
        <f t="shared" si="811"/>
        <v>38</v>
      </c>
      <c r="BU895" s="235">
        <f t="shared" si="812"/>
        <v>3.792954545454545</v>
      </c>
      <c r="BV895" s="235" cm="1">
        <f t="array" ref="BV895">$BI895 * IF($AH895&lt;=2,
SUMPRODUCT(INDEX($AR$67:$AT$71,,$AI895), INDEX($AU$67:$BA$71,,$AH895), 1 / ($BB$67:$BB$71*BU895 + (1-$BB$67:$BB$71)*BQ895), N($AQ$67:$AQ$71&gt;$AO895)),
SUMPRODUCT(INDEX($AR$57:$AT$66,,$AI895), INDEX($AU$57:$BA$66,,$AH895), 1 / ($BC$57:$BC$66*BU895 + (1-$BC$57:$BC$66)*BQ895), N($AQ$57:$AQ$66&gt;$AO895))
) / 1000</f>
        <v>0</v>
      </c>
      <c r="BW895" s="232">
        <f t="shared" si="797"/>
        <v>20</v>
      </c>
      <c r="BX895" s="230">
        <f t="shared" si="813"/>
        <v>33</v>
      </c>
      <c r="BY895" s="235">
        <f t="shared" si="814"/>
        <v>4.4702678571428569</v>
      </c>
      <c r="BZ895" s="235" cm="1">
        <f t="array" ref="BZ895">$BI895 * IF($AH895&lt;=2,
SUMPRODUCT(INDEX($AR$62:$AT$66,,$AI895), INDEX($AU$62:$BA$66,,$AH895), 1 / ($BB$62:$BB$66*BY895 + (1-$BB$62:$BB$66)*BU895), N($AQ$62:$AQ$66&gt;$AO895)),
SUMPRODUCT(INDEX($AR$47:$AT$56,,$AI895), INDEX($AU$47:$BA$56,,$AH895), 1 / ($BC$47:$BC$56*BY895 + (1-$BC$47:$BC$56)*BU895), N($AQ$47:$AQ$56&gt;$AO895))
) / 1000</f>
        <v>0</v>
      </c>
      <c r="CA895" s="235" cm="1">
        <f t="array" ref="CA895">$BI895 * IF($AH895&lt;=2,
SUMPRODUCT(INDEX($AR$23:$AT$61,,$AI895), INDEX($AU$23:$BA$61,,$AH895), 1 / ($BB$23:$BB$61*BY895), N($AQ$23:$AQ$61&gt;$AO895)),
SUMPRODUCT(INDEX($AR$23:$AT$46,,$AI895), INDEX($AU$23:$BA$46,,$AH895), 1 / ($BC$23:$BC$46*BY895), N($AQ$23:$AQ$46&gt;$AO895))
) / 1000</f>
        <v>0</v>
      </c>
      <c r="CB895" s="230">
        <f t="shared" si="815"/>
        <v>0</v>
      </c>
      <c r="CC895" s="238"/>
      <c r="CD895" s="229" cm="1">
        <f t="array" ref="CD895">IF(ISBLANK(Y895), INDEX(Use, $AH895, 4) - AN895*INDEX(Use, $AH895, 6) - (Q895-X895), Y895)</f>
        <v>7</v>
      </c>
      <c r="CE895" s="229">
        <f t="shared" si="816"/>
        <v>32</v>
      </c>
      <c r="CF895" s="230">
        <f t="shared" si="817"/>
        <v>0</v>
      </c>
      <c r="CG895" s="229">
        <v>35</v>
      </c>
      <c r="CH895" s="230">
        <f t="shared" si="818"/>
        <v>48</v>
      </c>
      <c r="CI895" s="235">
        <f t="shared" si="819"/>
        <v>3.0748170731707316</v>
      </c>
      <c r="CJ895" s="235" cm="1">
        <f t="array" ref="CJ895">$BI895 * SUMPRODUCT(INDEX($AR$77:$AT$82,,$AI895),INDEX($AU$77:$BA$82,,$AH895), N($AQ$77:$AQ$82&gt;$AO895)) / CI895 / 1000</f>
        <v>0</v>
      </c>
      <c r="CK895" s="232">
        <f t="shared" si="798"/>
        <v>30</v>
      </c>
      <c r="CL895" s="230">
        <f t="shared" si="820"/>
        <v>43</v>
      </c>
      <c r="CM895" s="235">
        <f t="shared" si="821"/>
        <v>3.5018750000000001</v>
      </c>
      <c r="CN895" s="235" cm="1">
        <f t="array" ref="CN895">$BI895 * IF($AH895&lt;=2,
SUMPRODUCT(INDEX($AR$72:$AT$76,,$AI895), INDEX($AU$72:$BA$76,,$AH895), 1 / ($BB$72:$BB$76*CM895 + (1-$BB$72:$BB$76)*CI895), N($AQ$72:$AQ$76&gt;$AO895)),
SUMPRODUCT(INDEX($AR$67:$AT$76,,$AI895), INDEX($AU$67:$BA$76,,$AH895), 1 / ($BC$67:$BC$76*CM895 + (1-$BC$67:$BC$76)*CI895), N($AQ$67:$AQ$76&gt;$AO895))
) / 1000</f>
        <v>0</v>
      </c>
      <c r="CO895" s="232">
        <f t="shared" si="799"/>
        <v>25</v>
      </c>
      <c r="CP895" s="230">
        <f t="shared" si="822"/>
        <v>38</v>
      </c>
      <c r="CQ895" s="235">
        <f t="shared" si="823"/>
        <v>4.0666935483870965</v>
      </c>
      <c r="CR895" s="235" cm="1">
        <f t="array" ref="CR895">$BI895 * IF($AH895&lt;=2,
SUMPRODUCT(INDEX($AR$67:$AT$71,,$AI895), INDEX($AU$67:$BA$71,,$AH895), 1 / ($BB$67:$BB$71*CQ895 + (1-$BB$67:$BB$71)*CM895), N($AQ$67:$AQ$71&gt;$AO895)),
SUMPRODUCT(INDEX($AR$57:$AT$66,,$AI895), INDEX($AU$57:$BA$66,,$AH895), 1 / ($BC$57:$BC$66*CQ895 + (1-$BC$57:$BC$66)*CM895), N($AQ$57:$AQ$66&gt;$AO895))
) / 1000</f>
        <v>0</v>
      </c>
      <c r="CS895" s="232">
        <f t="shared" si="800"/>
        <v>20</v>
      </c>
      <c r="CT895" s="230">
        <f t="shared" si="824"/>
        <v>33</v>
      </c>
      <c r="CU895" s="235">
        <f t="shared" si="825"/>
        <v>4.8487499999999999</v>
      </c>
      <c r="CV895" s="235" cm="1">
        <f t="array" ref="CV895">$BI895 * IF($AH895&lt;=2,
SUMPRODUCT(INDEX($AR$62:$AT$66,,$AI895), INDEX($AU$62:$BA$66,,$AH895), 1 / ($BB$62:$BB$66*CU895 + (1-$BB$62:$BB$66)*CQ895), N($AQ$62:$AQ$66&gt;$AO895)),
SUMPRODUCT(INDEX($AR$47:$AT$56,,$AI895), INDEX($AU$47:$BA$56,,$AH895), 1 / ($BC$47:$BC$56*CU895 + (1-$BC$47:$BC$56)*CQ895), N($AQ$47:$AQ$56&gt;$AO895))
) / 1000</f>
        <v>0</v>
      </c>
      <c r="CW895" s="235" cm="1">
        <f t="array" ref="CW895">$BI895 * IF($AH895&lt;=2,
SUMPRODUCT(INDEX($AR$23:$AT$61,,$AI895), INDEX($AU$23:$BA$61,,$AH895), 1 / ($BB$23:$BB$61*CU895), N($AQ$23:$AQ$61&gt;$AO895)),
SUMPRODUCT(INDEX($AR$23:$AT$46,,$AI895), INDEX($AU$23:$BA$46,,$AH895), 1 / ($BC$23:$BC$46*CU895), N($AQ$23:$AQ$46&gt;$AO895))
) / 1000</f>
        <v>0</v>
      </c>
      <c r="CX895" s="230">
        <f t="shared" si="826"/>
        <v>0</v>
      </c>
      <c r="CY895" s="238"/>
    </row>
    <row r="896" spans="1:103" s="76" customFormat="1" ht="14.25" customHeight="1" x14ac:dyDescent="0.2">
      <c r="A896" s="231" t="b">
        <f t="shared" si="792"/>
        <v>0</v>
      </c>
      <c r="B896" s="245">
        <v>874</v>
      </c>
      <c r="C896" s="258"/>
      <c r="D896" s="258"/>
      <c r="E896" s="246"/>
      <c r="F896" s="247" t="str">
        <f>IF(ISBLANK(E896), "", VLOOKUP(E896, Z!$A$2:$C$4127, 3, FALSE))</f>
        <v/>
      </c>
      <c r="G896" s="248"/>
      <c r="H896" s="248"/>
      <c r="I896" s="249"/>
      <c r="J896" s="250"/>
      <c r="K896" s="259"/>
      <c r="L896" s="260"/>
      <c r="M896" s="252" t="str" cm="1">
        <f t="array" ref="M896">INDEX(Trad, 53, $A$20)</f>
        <v>Verschmutzt</v>
      </c>
      <c r="N896" s="253"/>
      <c r="O896" s="253"/>
      <c r="P896" s="254"/>
      <c r="Q896" s="251"/>
      <c r="R896" s="251"/>
      <c r="S896" s="264">
        <f t="shared" si="801"/>
        <v>0</v>
      </c>
      <c r="T896" s="252" t="str" cm="1">
        <f t="array" ref="T896">INDEX(Trad, 52, $A$20)</f>
        <v>Sauber</v>
      </c>
      <c r="U896" s="253"/>
      <c r="V896" s="253"/>
      <c r="W896" s="254"/>
      <c r="X896" s="251"/>
      <c r="Y896" s="251"/>
      <c r="Z896" s="264">
        <f t="shared" si="802"/>
        <v>0</v>
      </c>
      <c r="AA896" s="261"/>
      <c r="AB896" s="258"/>
      <c r="AC896" s="246"/>
      <c r="AD896" s="247" t="str">
        <f>IF(ISBLANK(AC896), "", VLOOKUP(AC896, Z!$A$2:$C$4127, 3, FALSE))</f>
        <v/>
      </c>
      <c r="AE896" s="262"/>
      <c r="AF896" s="263">
        <f t="shared" si="803"/>
        <v>0</v>
      </c>
      <c r="AG896" s="238"/>
      <c r="AH896" s="229">
        <f t="shared" si="827"/>
        <v>1</v>
      </c>
      <c r="AI896" s="229">
        <f t="shared" si="828"/>
        <v>1</v>
      </c>
      <c r="AJ896" s="229">
        <f t="shared" si="829"/>
        <v>0</v>
      </c>
      <c r="AK896" s="229">
        <v>0</v>
      </c>
      <c r="AL896" s="229">
        <v>0</v>
      </c>
      <c r="AM896" s="229">
        <v>1</v>
      </c>
      <c r="AN896" s="229">
        <v>0</v>
      </c>
      <c r="AO896" s="229">
        <f t="shared" si="804"/>
        <v>-100</v>
      </c>
      <c r="AP896" s="238"/>
      <c r="AQ896" s="255"/>
      <c r="AR896" s="255"/>
      <c r="AS896" s="256"/>
      <c r="AT896" s="256"/>
      <c r="AU896" s="256"/>
      <c r="AV896" s="256"/>
      <c r="AW896" s="256"/>
      <c r="AX896" s="256"/>
      <c r="AY896" s="256"/>
      <c r="AZ896" s="256"/>
      <c r="BA896" s="256"/>
      <c r="BB896" s="256"/>
      <c r="BC896" s="256"/>
      <c r="BD896" s="238"/>
      <c r="BE896" s="229" cm="1">
        <f t="array" ref="BE896">IF(ISBLANK(R896), INDEX(Use, $AH896, 4) - AM896*INDEX(Use, $AH896, 6), R896)</f>
        <v>5</v>
      </c>
      <c r="BF896" s="229">
        <f t="shared" si="805"/>
        <v>30</v>
      </c>
      <c r="BG896" s="229">
        <f t="shared" si="793"/>
        <v>13</v>
      </c>
      <c r="BH896" s="229">
        <f t="shared" si="794"/>
        <v>0</v>
      </c>
      <c r="BI896" s="234" cm="1">
        <f t="array" ref="BI896">K896/IF($L896&gt;0, INDEX($AU$23:$BA$77, $L896+20, $AH896), 1)</f>
        <v>0</v>
      </c>
      <c r="BJ896" s="230">
        <f t="shared" si="806"/>
        <v>0</v>
      </c>
      <c r="BK896" s="229">
        <v>35</v>
      </c>
      <c r="BL896" s="230">
        <f t="shared" si="807"/>
        <v>48</v>
      </c>
      <c r="BM896" s="235">
        <f t="shared" si="808"/>
        <v>2.9108720930232557</v>
      </c>
      <c r="BN896" s="235" cm="1">
        <f t="array" ref="BN896">$BI896 * SUMPRODUCT(INDEX($AR$77:$AT$82,,$AI896),INDEX($AU$77:$BA$82,,$AH896), N($AQ$77:$AQ$82&gt;$AO896)) / BM896 / 1000</f>
        <v>0</v>
      </c>
      <c r="BO896" s="232">
        <f t="shared" si="795"/>
        <v>30</v>
      </c>
      <c r="BP896" s="230">
        <f t="shared" si="809"/>
        <v>43</v>
      </c>
      <c r="BQ896" s="235">
        <f t="shared" si="810"/>
        <v>3.2938815789473681</v>
      </c>
      <c r="BR896" s="235" cm="1">
        <f t="array" ref="BR896">$BI896 * IF($AH896&lt;=2,
SUMPRODUCT(INDEX($AR$72:$AT$76,,$AI896), INDEX($AU$72:$BA$76,,$AH896), 1 / ($BB$72:$BB$76*BQ896 + (1-$BB$72:$BB$76)*BM896), N($AQ$72:$AQ$76&gt;$AO896)),
SUMPRODUCT(INDEX($AR$67:$AT$76,,$AI896), INDEX($AU$67:$BA$76,,$AH896), 1 / ($BC$67:$BC$76*BQ896 + (1-$BC$67:$BC$76)*BM896), N($AQ$67:$AQ$76&gt;$AO896))
) / 1000</f>
        <v>0</v>
      </c>
      <c r="BS896" s="232">
        <f t="shared" si="796"/>
        <v>25</v>
      </c>
      <c r="BT896" s="230">
        <f t="shared" si="811"/>
        <v>38</v>
      </c>
      <c r="BU896" s="235">
        <f t="shared" si="812"/>
        <v>3.792954545454545</v>
      </c>
      <c r="BV896" s="235" cm="1">
        <f t="array" ref="BV896">$BI896 * IF($AH896&lt;=2,
SUMPRODUCT(INDEX($AR$67:$AT$71,,$AI896), INDEX($AU$67:$BA$71,,$AH896), 1 / ($BB$67:$BB$71*BU896 + (1-$BB$67:$BB$71)*BQ896), N($AQ$67:$AQ$71&gt;$AO896)),
SUMPRODUCT(INDEX($AR$57:$AT$66,,$AI896), INDEX($AU$57:$BA$66,,$AH896), 1 / ($BC$57:$BC$66*BU896 + (1-$BC$57:$BC$66)*BQ896), N($AQ$57:$AQ$66&gt;$AO896))
) / 1000</f>
        <v>0</v>
      </c>
      <c r="BW896" s="232">
        <f t="shared" si="797"/>
        <v>20</v>
      </c>
      <c r="BX896" s="230">
        <f t="shared" si="813"/>
        <v>33</v>
      </c>
      <c r="BY896" s="235">
        <f t="shared" si="814"/>
        <v>4.4702678571428569</v>
      </c>
      <c r="BZ896" s="235" cm="1">
        <f t="array" ref="BZ896">$BI896 * IF($AH896&lt;=2,
SUMPRODUCT(INDEX($AR$62:$AT$66,,$AI896), INDEX($AU$62:$BA$66,,$AH896), 1 / ($BB$62:$BB$66*BY896 + (1-$BB$62:$BB$66)*BU896), N($AQ$62:$AQ$66&gt;$AO896)),
SUMPRODUCT(INDEX($AR$47:$AT$56,,$AI896), INDEX($AU$47:$BA$56,,$AH896), 1 / ($BC$47:$BC$56*BY896 + (1-$BC$47:$BC$56)*BU896), N($AQ$47:$AQ$56&gt;$AO896))
) / 1000</f>
        <v>0</v>
      </c>
      <c r="CA896" s="235" cm="1">
        <f t="array" ref="CA896">$BI896 * IF($AH896&lt;=2,
SUMPRODUCT(INDEX($AR$23:$AT$61,,$AI896), INDEX($AU$23:$BA$61,,$AH896), 1 / ($BB$23:$BB$61*BY896), N($AQ$23:$AQ$61&gt;$AO896)),
SUMPRODUCT(INDEX($AR$23:$AT$46,,$AI896), INDEX($AU$23:$BA$46,,$AH896), 1 / ($BC$23:$BC$46*BY896), N($AQ$23:$AQ$46&gt;$AO896))
) / 1000</f>
        <v>0</v>
      </c>
      <c r="CB896" s="230">
        <f t="shared" si="815"/>
        <v>0</v>
      </c>
      <c r="CC896" s="238"/>
      <c r="CD896" s="229" cm="1">
        <f t="array" ref="CD896">IF(ISBLANK(Y896), INDEX(Use, $AH896, 4) - AN896*INDEX(Use, $AH896, 6) - (Q896-X896), Y896)</f>
        <v>7</v>
      </c>
      <c r="CE896" s="229">
        <f t="shared" si="816"/>
        <v>32</v>
      </c>
      <c r="CF896" s="230">
        <f t="shared" si="817"/>
        <v>0</v>
      </c>
      <c r="CG896" s="229">
        <v>35</v>
      </c>
      <c r="CH896" s="230">
        <f t="shared" si="818"/>
        <v>48</v>
      </c>
      <c r="CI896" s="235">
        <f t="shared" si="819"/>
        <v>3.0748170731707316</v>
      </c>
      <c r="CJ896" s="235" cm="1">
        <f t="array" ref="CJ896">$BI896 * SUMPRODUCT(INDEX($AR$77:$AT$82,,$AI896),INDEX($AU$77:$BA$82,,$AH896), N($AQ$77:$AQ$82&gt;$AO896)) / CI896 / 1000</f>
        <v>0</v>
      </c>
      <c r="CK896" s="232">
        <f t="shared" si="798"/>
        <v>30</v>
      </c>
      <c r="CL896" s="230">
        <f t="shared" si="820"/>
        <v>43</v>
      </c>
      <c r="CM896" s="235">
        <f t="shared" si="821"/>
        <v>3.5018750000000001</v>
      </c>
      <c r="CN896" s="235" cm="1">
        <f t="array" ref="CN896">$BI896 * IF($AH896&lt;=2,
SUMPRODUCT(INDEX($AR$72:$AT$76,,$AI896), INDEX($AU$72:$BA$76,,$AH896), 1 / ($BB$72:$BB$76*CM896 + (1-$BB$72:$BB$76)*CI896), N($AQ$72:$AQ$76&gt;$AO896)),
SUMPRODUCT(INDEX($AR$67:$AT$76,,$AI896), INDEX($AU$67:$BA$76,,$AH896), 1 / ($BC$67:$BC$76*CM896 + (1-$BC$67:$BC$76)*CI896), N($AQ$67:$AQ$76&gt;$AO896))
) / 1000</f>
        <v>0</v>
      </c>
      <c r="CO896" s="232">
        <f t="shared" si="799"/>
        <v>25</v>
      </c>
      <c r="CP896" s="230">
        <f t="shared" si="822"/>
        <v>38</v>
      </c>
      <c r="CQ896" s="235">
        <f t="shared" si="823"/>
        <v>4.0666935483870965</v>
      </c>
      <c r="CR896" s="235" cm="1">
        <f t="array" ref="CR896">$BI896 * IF($AH896&lt;=2,
SUMPRODUCT(INDEX($AR$67:$AT$71,,$AI896), INDEX($AU$67:$BA$71,,$AH896), 1 / ($BB$67:$BB$71*CQ896 + (1-$BB$67:$BB$71)*CM896), N($AQ$67:$AQ$71&gt;$AO896)),
SUMPRODUCT(INDEX($AR$57:$AT$66,,$AI896), INDEX($AU$57:$BA$66,,$AH896), 1 / ($BC$57:$BC$66*CQ896 + (1-$BC$57:$BC$66)*CM896), N($AQ$57:$AQ$66&gt;$AO896))
) / 1000</f>
        <v>0</v>
      </c>
      <c r="CS896" s="232">
        <f t="shared" si="800"/>
        <v>20</v>
      </c>
      <c r="CT896" s="230">
        <f t="shared" si="824"/>
        <v>33</v>
      </c>
      <c r="CU896" s="235">
        <f t="shared" si="825"/>
        <v>4.8487499999999999</v>
      </c>
      <c r="CV896" s="235" cm="1">
        <f t="array" ref="CV896">$BI896 * IF($AH896&lt;=2,
SUMPRODUCT(INDEX($AR$62:$AT$66,,$AI896), INDEX($AU$62:$BA$66,,$AH896), 1 / ($BB$62:$BB$66*CU896 + (1-$BB$62:$BB$66)*CQ896), N($AQ$62:$AQ$66&gt;$AO896)),
SUMPRODUCT(INDEX($AR$47:$AT$56,,$AI896), INDEX($AU$47:$BA$56,,$AH896), 1 / ($BC$47:$BC$56*CU896 + (1-$BC$47:$BC$56)*CQ896), N($AQ$47:$AQ$56&gt;$AO896))
) / 1000</f>
        <v>0</v>
      </c>
      <c r="CW896" s="235" cm="1">
        <f t="array" ref="CW896">$BI896 * IF($AH896&lt;=2,
SUMPRODUCT(INDEX($AR$23:$AT$61,,$AI896), INDEX($AU$23:$BA$61,,$AH896), 1 / ($BB$23:$BB$61*CU896), N($AQ$23:$AQ$61&gt;$AO896)),
SUMPRODUCT(INDEX($AR$23:$AT$46,,$AI896), INDEX($AU$23:$BA$46,,$AH896), 1 / ($BC$23:$BC$46*CU896), N($AQ$23:$AQ$46&gt;$AO896))
) / 1000</f>
        <v>0</v>
      </c>
      <c r="CX896" s="230">
        <f t="shared" si="826"/>
        <v>0</v>
      </c>
      <c r="CY896" s="238"/>
    </row>
    <row r="897" spans="1:103" s="76" customFormat="1" ht="14.25" customHeight="1" x14ac:dyDescent="0.2">
      <c r="A897" s="231" t="b">
        <f t="shared" si="792"/>
        <v>0</v>
      </c>
      <c r="B897" s="245">
        <v>875</v>
      </c>
      <c r="C897" s="258"/>
      <c r="D897" s="258"/>
      <c r="E897" s="246"/>
      <c r="F897" s="247" t="str">
        <f>IF(ISBLANK(E897), "", VLOOKUP(E897, Z!$A$2:$C$4127, 3, FALSE))</f>
        <v/>
      </c>
      <c r="G897" s="248"/>
      <c r="H897" s="248"/>
      <c r="I897" s="249"/>
      <c r="J897" s="250"/>
      <c r="K897" s="259"/>
      <c r="L897" s="260"/>
      <c r="M897" s="252" t="str" cm="1">
        <f t="array" ref="M897">INDEX(Trad, 53, $A$20)</f>
        <v>Verschmutzt</v>
      </c>
      <c r="N897" s="253"/>
      <c r="O897" s="253"/>
      <c r="P897" s="254"/>
      <c r="Q897" s="251"/>
      <c r="R897" s="251"/>
      <c r="S897" s="264">
        <f t="shared" si="801"/>
        <v>0</v>
      </c>
      <c r="T897" s="252" t="str" cm="1">
        <f t="array" ref="T897">INDEX(Trad, 52, $A$20)</f>
        <v>Sauber</v>
      </c>
      <c r="U897" s="253"/>
      <c r="V897" s="253"/>
      <c r="W897" s="254"/>
      <c r="X897" s="251"/>
      <c r="Y897" s="251"/>
      <c r="Z897" s="264">
        <f t="shared" si="802"/>
        <v>0</v>
      </c>
      <c r="AA897" s="261"/>
      <c r="AB897" s="258"/>
      <c r="AC897" s="246"/>
      <c r="AD897" s="247" t="str">
        <f>IF(ISBLANK(AC897), "", VLOOKUP(AC897, Z!$A$2:$C$4127, 3, FALSE))</f>
        <v/>
      </c>
      <c r="AE897" s="262"/>
      <c r="AF897" s="263">
        <f t="shared" si="803"/>
        <v>0</v>
      </c>
      <c r="AG897" s="238"/>
      <c r="AH897" s="229">
        <f t="shared" si="827"/>
        <v>1</v>
      </c>
      <c r="AI897" s="229">
        <f t="shared" si="828"/>
        <v>1</v>
      </c>
      <c r="AJ897" s="229">
        <f t="shared" si="829"/>
        <v>0</v>
      </c>
      <c r="AK897" s="229">
        <v>0</v>
      </c>
      <c r="AL897" s="229">
        <v>0</v>
      </c>
      <c r="AM897" s="229">
        <v>1</v>
      </c>
      <c r="AN897" s="229">
        <v>0</v>
      </c>
      <c r="AO897" s="229">
        <f t="shared" si="804"/>
        <v>-100</v>
      </c>
      <c r="AP897" s="238"/>
      <c r="AQ897" s="255"/>
      <c r="AR897" s="255"/>
      <c r="AS897" s="256"/>
      <c r="AT897" s="256"/>
      <c r="AU897" s="256"/>
      <c r="AV897" s="256"/>
      <c r="AW897" s="256"/>
      <c r="AX897" s="256"/>
      <c r="AY897" s="256"/>
      <c r="AZ897" s="256"/>
      <c r="BA897" s="256"/>
      <c r="BB897" s="256"/>
      <c r="BC897" s="256"/>
      <c r="BD897" s="238"/>
      <c r="BE897" s="229" cm="1">
        <f t="array" ref="BE897">IF(ISBLANK(R897), INDEX(Use, $AH897, 4) - AM897*INDEX(Use, $AH897, 6), R897)</f>
        <v>5</v>
      </c>
      <c r="BF897" s="229">
        <f t="shared" si="805"/>
        <v>30</v>
      </c>
      <c r="BG897" s="229">
        <f t="shared" si="793"/>
        <v>13</v>
      </c>
      <c r="BH897" s="229">
        <f t="shared" si="794"/>
        <v>0</v>
      </c>
      <c r="BI897" s="234" cm="1">
        <f t="array" ref="BI897">K897/IF($L897&gt;0, INDEX($AU$23:$BA$77, $L897+20, $AH897), 1)</f>
        <v>0</v>
      </c>
      <c r="BJ897" s="230">
        <f t="shared" si="806"/>
        <v>0</v>
      </c>
      <c r="BK897" s="229">
        <v>35</v>
      </c>
      <c r="BL897" s="230">
        <f t="shared" si="807"/>
        <v>48</v>
      </c>
      <c r="BM897" s="235">
        <f t="shared" si="808"/>
        <v>2.9108720930232557</v>
      </c>
      <c r="BN897" s="235" cm="1">
        <f t="array" ref="BN897">$BI897 * SUMPRODUCT(INDEX($AR$77:$AT$82,,$AI897),INDEX($AU$77:$BA$82,,$AH897), N($AQ$77:$AQ$82&gt;$AO897)) / BM897 / 1000</f>
        <v>0</v>
      </c>
      <c r="BO897" s="232">
        <f t="shared" si="795"/>
        <v>30</v>
      </c>
      <c r="BP897" s="230">
        <f t="shared" si="809"/>
        <v>43</v>
      </c>
      <c r="BQ897" s="235">
        <f t="shared" si="810"/>
        <v>3.2938815789473681</v>
      </c>
      <c r="BR897" s="235" cm="1">
        <f t="array" ref="BR897">$BI897 * IF($AH897&lt;=2,
SUMPRODUCT(INDEX($AR$72:$AT$76,,$AI897), INDEX($AU$72:$BA$76,,$AH897), 1 / ($BB$72:$BB$76*BQ897 + (1-$BB$72:$BB$76)*BM897), N($AQ$72:$AQ$76&gt;$AO897)),
SUMPRODUCT(INDEX($AR$67:$AT$76,,$AI897), INDEX($AU$67:$BA$76,,$AH897), 1 / ($BC$67:$BC$76*BQ897 + (1-$BC$67:$BC$76)*BM897), N($AQ$67:$AQ$76&gt;$AO897))
) / 1000</f>
        <v>0</v>
      </c>
      <c r="BS897" s="232">
        <f t="shared" si="796"/>
        <v>25</v>
      </c>
      <c r="BT897" s="230">
        <f t="shared" si="811"/>
        <v>38</v>
      </c>
      <c r="BU897" s="235">
        <f t="shared" si="812"/>
        <v>3.792954545454545</v>
      </c>
      <c r="BV897" s="235" cm="1">
        <f t="array" ref="BV897">$BI897 * IF($AH897&lt;=2,
SUMPRODUCT(INDEX($AR$67:$AT$71,,$AI897), INDEX($AU$67:$BA$71,,$AH897), 1 / ($BB$67:$BB$71*BU897 + (1-$BB$67:$BB$71)*BQ897), N($AQ$67:$AQ$71&gt;$AO897)),
SUMPRODUCT(INDEX($AR$57:$AT$66,,$AI897), INDEX($AU$57:$BA$66,,$AH897), 1 / ($BC$57:$BC$66*BU897 + (1-$BC$57:$BC$66)*BQ897), N($AQ$57:$AQ$66&gt;$AO897))
) / 1000</f>
        <v>0</v>
      </c>
      <c r="BW897" s="232">
        <f t="shared" si="797"/>
        <v>20</v>
      </c>
      <c r="BX897" s="230">
        <f t="shared" si="813"/>
        <v>33</v>
      </c>
      <c r="BY897" s="235">
        <f t="shared" si="814"/>
        <v>4.4702678571428569</v>
      </c>
      <c r="BZ897" s="235" cm="1">
        <f t="array" ref="BZ897">$BI897 * IF($AH897&lt;=2,
SUMPRODUCT(INDEX($AR$62:$AT$66,,$AI897), INDEX($AU$62:$BA$66,,$AH897), 1 / ($BB$62:$BB$66*BY897 + (1-$BB$62:$BB$66)*BU897), N($AQ$62:$AQ$66&gt;$AO897)),
SUMPRODUCT(INDEX($AR$47:$AT$56,,$AI897), INDEX($AU$47:$BA$56,,$AH897), 1 / ($BC$47:$BC$56*BY897 + (1-$BC$47:$BC$56)*BU897), N($AQ$47:$AQ$56&gt;$AO897))
) / 1000</f>
        <v>0</v>
      </c>
      <c r="CA897" s="235" cm="1">
        <f t="array" ref="CA897">$BI897 * IF($AH897&lt;=2,
SUMPRODUCT(INDEX($AR$23:$AT$61,,$AI897), INDEX($AU$23:$BA$61,,$AH897), 1 / ($BB$23:$BB$61*BY897), N($AQ$23:$AQ$61&gt;$AO897)),
SUMPRODUCT(INDEX($AR$23:$AT$46,,$AI897), INDEX($AU$23:$BA$46,,$AH897), 1 / ($BC$23:$BC$46*BY897), N($AQ$23:$AQ$46&gt;$AO897))
) / 1000</f>
        <v>0</v>
      </c>
      <c r="CB897" s="230">
        <f t="shared" si="815"/>
        <v>0</v>
      </c>
      <c r="CC897" s="238"/>
      <c r="CD897" s="229" cm="1">
        <f t="array" ref="CD897">IF(ISBLANK(Y897), INDEX(Use, $AH897, 4) - AN897*INDEX(Use, $AH897, 6) - (Q897-X897), Y897)</f>
        <v>7</v>
      </c>
      <c r="CE897" s="229">
        <f t="shared" si="816"/>
        <v>32</v>
      </c>
      <c r="CF897" s="230">
        <f t="shared" si="817"/>
        <v>0</v>
      </c>
      <c r="CG897" s="229">
        <v>35</v>
      </c>
      <c r="CH897" s="230">
        <f t="shared" si="818"/>
        <v>48</v>
      </c>
      <c r="CI897" s="235">
        <f t="shared" si="819"/>
        <v>3.0748170731707316</v>
      </c>
      <c r="CJ897" s="235" cm="1">
        <f t="array" ref="CJ897">$BI897 * SUMPRODUCT(INDEX($AR$77:$AT$82,,$AI897),INDEX($AU$77:$BA$82,,$AH897), N($AQ$77:$AQ$82&gt;$AO897)) / CI897 / 1000</f>
        <v>0</v>
      </c>
      <c r="CK897" s="232">
        <f t="shared" si="798"/>
        <v>30</v>
      </c>
      <c r="CL897" s="230">
        <f t="shared" si="820"/>
        <v>43</v>
      </c>
      <c r="CM897" s="235">
        <f t="shared" si="821"/>
        <v>3.5018750000000001</v>
      </c>
      <c r="CN897" s="235" cm="1">
        <f t="array" ref="CN897">$BI897 * IF($AH897&lt;=2,
SUMPRODUCT(INDEX($AR$72:$AT$76,,$AI897), INDEX($AU$72:$BA$76,,$AH897), 1 / ($BB$72:$BB$76*CM897 + (1-$BB$72:$BB$76)*CI897), N($AQ$72:$AQ$76&gt;$AO897)),
SUMPRODUCT(INDEX($AR$67:$AT$76,,$AI897), INDEX($AU$67:$BA$76,,$AH897), 1 / ($BC$67:$BC$76*CM897 + (1-$BC$67:$BC$76)*CI897), N($AQ$67:$AQ$76&gt;$AO897))
) / 1000</f>
        <v>0</v>
      </c>
      <c r="CO897" s="232">
        <f t="shared" si="799"/>
        <v>25</v>
      </c>
      <c r="CP897" s="230">
        <f t="shared" si="822"/>
        <v>38</v>
      </c>
      <c r="CQ897" s="235">
        <f t="shared" si="823"/>
        <v>4.0666935483870965</v>
      </c>
      <c r="CR897" s="235" cm="1">
        <f t="array" ref="CR897">$BI897 * IF($AH897&lt;=2,
SUMPRODUCT(INDEX($AR$67:$AT$71,,$AI897), INDEX($AU$67:$BA$71,,$AH897), 1 / ($BB$67:$BB$71*CQ897 + (1-$BB$67:$BB$71)*CM897), N($AQ$67:$AQ$71&gt;$AO897)),
SUMPRODUCT(INDEX($AR$57:$AT$66,,$AI897), INDEX($AU$57:$BA$66,,$AH897), 1 / ($BC$57:$BC$66*CQ897 + (1-$BC$57:$BC$66)*CM897), N($AQ$57:$AQ$66&gt;$AO897))
) / 1000</f>
        <v>0</v>
      </c>
      <c r="CS897" s="232">
        <f t="shared" si="800"/>
        <v>20</v>
      </c>
      <c r="CT897" s="230">
        <f t="shared" si="824"/>
        <v>33</v>
      </c>
      <c r="CU897" s="235">
        <f t="shared" si="825"/>
        <v>4.8487499999999999</v>
      </c>
      <c r="CV897" s="235" cm="1">
        <f t="array" ref="CV897">$BI897 * IF($AH897&lt;=2,
SUMPRODUCT(INDEX($AR$62:$AT$66,,$AI897), INDEX($AU$62:$BA$66,,$AH897), 1 / ($BB$62:$BB$66*CU897 + (1-$BB$62:$BB$66)*CQ897), N($AQ$62:$AQ$66&gt;$AO897)),
SUMPRODUCT(INDEX($AR$47:$AT$56,,$AI897), INDEX($AU$47:$BA$56,,$AH897), 1 / ($BC$47:$BC$56*CU897 + (1-$BC$47:$BC$56)*CQ897), N($AQ$47:$AQ$56&gt;$AO897))
) / 1000</f>
        <v>0</v>
      </c>
      <c r="CW897" s="235" cm="1">
        <f t="array" ref="CW897">$BI897 * IF($AH897&lt;=2,
SUMPRODUCT(INDEX($AR$23:$AT$61,,$AI897), INDEX($AU$23:$BA$61,,$AH897), 1 / ($BB$23:$BB$61*CU897), N($AQ$23:$AQ$61&gt;$AO897)),
SUMPRODUCT(INDEX($AR$23:$AT$46,,$AI897), INDEX($AU$23:$BA$46,,$AH897), 1 / ($BC$23:$BC$46*CU897), N($AQ$23:$AQ$46&gt;$AO897))
) / 1000</f>
        <v>0</v>
      </c>
      <c r="CX897" s="230">
        <f t="shared" si="826"/>
        <v>0</v>
      </c>
      <c r="CY897" s="238"/>
    </row>
    <row r="898" spans="1:103" s="76" customFormat="1" ht="14.25" customHeight="1" x14ac:dyDescent="0.2">
      <c r="A898" s="231" t="b">
        <f t="shared" si="792"/>
        <v>0</v>
      </c>
      <c r="B898" s="245">
        <v>876</v>
      </c>
      <c r="C898" s="258"/>
      <c r="D898" s="258"/>
      <c r="E898" s="246"/>
      <c r="F898" s="247" t="str">
        <f>IF(ISBLANK(E898), "", VLOOKUP(E898, Z!$A$2:$C$4127, 3, FALSE))</f>
        <v/>
      </c>
      <c r="G898" s="248"/>
      <c r="H898" s="248"/>
      <c r="I898" s="249"/>
      <c r="J898" s="250"/>
      <c r="K898" s="259"/>
      <c r="L898" s="260"/>
      <c r="M898" s="252" t="str" cm="1">
        <f t="array" ref="M898">INDEX(Trad, 53, $A$20)</f>
        <v>Verschmutzt</v>
      </c>
      <c r="N898" s="253"/>
      <c r="O898" s="253"/>
      <c r="P898" s="254"/>
      <c r="Q898" s="251"/>
      <c r="R898" s="251"/>
      <c r="S898" s="264">
        <f t="shared" si="801"/>
        <v>0</v>
      </c>
      <c r="T898" s="252" t="str" cm="1">
        <f t="array" ref="T898">INDEX(Trad, 52, $A$20)</f>
        <v>Sauber</v>
      </c>
      <c r="U898" s="253"/>
      <c r="V898" s="253"/>
      <c r="W898" s="254"/>
      <c r="X898" s="251"/>
      <c r="Y898" s="251"/>
      <c r="Z898" s="264">
        <f t="shared" si="802"/>
        <v>0</v>
      </c>
      <c r="AA898" s="261"/>
      <c r="AB898" s="258"/>
      <c r="AC898" s="246"/>
      <c r="AD898" s="247" t="str">
        <f>IF(ISBLANK(AC898), "", VLOOKUP(AC898, Z!$A$2:$C$4127, 3, FALSE))</f>
        <v/>
      </c>
      <c r="AE898" s="262"/>
      <c r="AF898" s="263">
        <f t="shared" si="803"/>
        <v>0</v>
      </c>
      <c r="AG898" s="238"/>
      <c r="AH898" s="229">
        <f t="shared" si="827"/>
        <v>1</v>
      </c>
      <c r="AI898" s="229">
        <f t="shared" si="828"/>
        <v>1</v>
      </c>
      <c r="AJ898" s="229">
        <f t="shared" si="829"/>
        <v>0</v>
      </c>
      <c r="AK898" s="229">
        <v>0</v>
      </c>
      <c r="AL898" s="229">
        <v>0</v>
      </c>
      <c r="AM898" s="229">
        <v>1</v>
      </c>
      <c r="AN898" s="229">
        <v>0</v>
      </c>
      <c r="AO898" s="229">
        <f t="shared" si="804"/>
        <v>-100</v>
      </c>
      <c r="AP898" s="238"/>
      <c r="AQ898" s="255"/>
      <c r="AR898" s="255"/>
      <c r="AS898" s="256"/>
      <c r="AT898" s="256"/>
      <c r="AU898" s="256"/>
      <c r="AV898" s="256"/>
      <c r="AW898" s="256"/>
      <c r="AX898" s="256"/>
      <c r="AY898" s="256"/>
      <c r="AZ898" s="256"/>
      <c r="BA898" s="256"/>
      <c r="BB898" s="256"/>
      <c r="BC898" s="256"/>
      <c r="BD898" s="238"/>
      <c r="BE898" s="229" cm="1">
        <f t="array" ref="BE898">IF(ISBLANK(R898), INDEX(Use, $AH898, 4) - AM898*INDEX(Use, $AH898, 6), R898)</f>
        <v>5</v>
      </c>
      <c r="BF898" s="229">
        <f t="shared" si="805"/>
        <v>30</v>
      </c>
      <c r="BG898" s="229">
        <f t="shared" si="793"/>
        <v>13</v>
      </c>
      <c r="BH898" s="229">
        <f t="shared" si="794"/>
        <v>0</v>
      </c>
      <c r="BI898" s="234" cm="1">
        <f t="array" ref="BI898">K898/IF($L898&gt;0, INDEX($AU$23:$BA$77, $L898+20, $AH898), 1)</f>
        <v>0</v>
      </c>
      <c r="BJ898" s="230">
        <f t="shared" si="806"/>
        <v>0</v>
      </c>
      <c r="BK898" s="229">
        <v>35</v>
      </c>
      <c r="BL898" s="230">
        <f t="shared" si="807"/>
        <v>48</v>
      </c>
      <c r="BM898" s="235">
        <f t="shared" si="808"/>
        <v>2.9108720930232557</v>
      </c>
      <c r="BN898" s="235" cm="1">
        <f t="array" ref="BN898">$BI898 * SUMPRODUCT(INDEX($AR$77:$AT$82,,$AI898),INDEX($AU$77:$BA$82,,$AH898), N($AQ$77:$AQ$82&gt;$AO898)) / BM898 / 1000</f>
        <v>0</v>
      </c>
      <c r="BO898" s="232">
        <f t="shared" si="795"/>
        <v>30</v>
      </c>
      <c r="BP898" s="230">
        <f t="shared" si="809"/>
        <v>43</v>
      </c>
      <c r="BQ898" s="235">
        <f t="shared" si="810"/>
        <v>3.2938815789473681</v>
      </c>
      <c r="BR898" s="235" cm="1">
        <f t="array" ref="BR898">$BI898 * IF($AH898&lt;=2,
SUMPRODUCT(INDEX($AR$72:$AT$76,,$AI898), INDEX($AU$72:$BA$76,,$AH898), 1 / ($BB$72:$BB$76*BQ898 + (1-$BB$72:$BB$76)*BM898), N($AQ$72:$AQ$76&gt;$AO898)),
SUMPRODUCT(INDEX($AR$67:$AT$76,,$AI898), INDEX($AU$67:$BA$76,,$AH898), 1 / ($BC$67:$BC$76*BQ898 + (1-$BC$67:$BC$76)*BM898), N($AQ$67:$AQ$76&gt;$AO898))
) / 1000</f>
        <v>0</v>
      </c>
      <c r="BS898" s="232">
        <f t="shared" si="796"/>
        <v>25</v>
      </c>
      <c r="BT898" s="230">
        <f t="shared" si="811"/>
        <v>38</v>
      </c>
      <c r="BU898" s="235">
        <f t="shared" si="812"/>
        <v>3.792954545454545</v>
      </c>
      <c r="BV898" s="235" cm="1">
        <f t="array" ref="BV898">$BI898 * IF($AH898&lt;=2,
SUMPRODUCT(INDEX($AR$67:$AT$71,,$AI898), INDEX($AU$67:$BA$71,,$AH898), 1 / ($BB$67:$BB$71*BU898 + (1-$BB$67:$BB$71)*BQ898), N($AQ$67:$AQ$71&gt;$AO898)),
SUMPRODUCT(INDEX($AR$57:$AT$66,,$AI898), INDEX($AU$57:$BA$66,,$AH898), 1 / ($BC$57:$BC$66*BU898 + (1-$BC$57:$BC$66)*BQ898), N($AQ$57:$AQ$66&gt;$AO898))
) / 1000</f>
        <v>0</v>
      </c>
      <c r="BW898" s="232">
        <f t="shared" si="797"/>
        <v>20</v>
      </c>
      <c r="BX898" s="230">
        <f t="shared" si="813"/>
        <v>33</v>
      </c>
      <c r="BY898" s="235">
        <f t="shared" si="814"/>
        <v>4.4702678571428569</v>
      </c>
      <c r="BZ898" s="235" cm="1">
        <f t="array" ref="BZ898">$BI898 * IF($AH898&lt;=2,
SUMPRODUCT(INDEX($AR$62:$AT$66,,$AI898), INDEX($AU$62:$BA$66,,$AH898), 1 / ($BB$62:$BB$66*BY898 + (1-$BB$62:$BB$66)*BU898), N($AQ$62:$AQ$66&gt;$AO898)),
SUMPRODUCT(INDEX($AR$47:$AT$56,,$AI898), INDEX($AU$47:$BA$56,,$AH898), 1 / ($BC$47:$BC$56*BY898 + (1-$BC$47:$BC$56)*BU898), N($AQ$47:$AQ$56&gt;$AO898))
) / 1000</f>
        <v>0</v>
      </c>
      <c r="CA898" s="235" cm="1">
        <f t="array" ref="CA898">$BI898 * IF($AH898&lt;=2,
SUMPRODUCT(INDEX($AR$23:$AT$61,,$AI898), INDEX($AU$23:$BA$61,,$AH898), 1 / ($BB$23:$BB$61*BY898), N($AQ$23:$AQ$61&gt;$AO898)),
SUMPRODUCT(INDEX($AR$23:$AT$46,,$AI898), INDEX($AU$23:$BA$46,,$AH898), 1 / ($BC$23:$BC$46*BY898), N($AQ$23:$AQ$46&gt;$AO898))
) / 1000</f>
        <v>0</v>
      </c>
      <c r="CB898" s="230">
        <f t="shared" si="815"/>
        <v>0</v>
      </c>
      <c r="CC898" s="238"/>
      <c r="CD898" s="229" cm="1">
        <f t="array" ref="CD898">IF(ISBLANK(Y898), INDEX(Use, $AH898, 4) - AN898*INDEX(Use, $AH898, 6) - (Q898-X898), Y898)</f>
        <v>7</v>
      </c>
      <c r="CE898" s="229">
        <f t="shared" si="816"/>
        <v>32</v>
      </c>
      <c r="CF898" s="230">
        <f t="shared" si="817"/>
        <v>0</v>
      </c>
      <c r="CG898" s="229">
        <v>35</v>
      </c>
      <c r="CH898" s="230">
        <f t="shared" si="818"/>
        <v>48</v>
      </c>
      <c r="CI898" s="235">
        <f t="shared" si="819"/>
        <v>3.0748170731707316</v>
      </c>
      <c r="CJ898" s="235" cm="1">
        <f t="array" ref="CJ898">$BI898 * SUMPRODUCT(INDEX($AR$77:$AT$82,,$AI898),INDEX($AU$77:$BA$82,,$AH898), N($AQ$77:$AQ$82&gt;$AO898)) / CI898 / 1000</f>
        <v>0</v>
      </c>
      <c r="CK898" s="232">
        <f t="shared" si="798"/>
        <v>30</v>
      </c>
      <c r="CL898" s="230">
        <f t="shared" si="820"/>
        <v>43</v>
      </c>
      <c r="CM898" s="235">
        <f t="shared" si="821"/>
        <v>3.5018750000000001</v>
      </c>
      <c r="CN898" s="235" cm="1">
        <f t="array" ref="CN898">$BI898 * IF($AH898&lt;=2,
SUMPRODUCT(INDEX($AR$72:$AT$76,,$AI898), INDEX($AU$72:$BA$76,,$AH898), 1 / ($BB$72:$BB$76*CM898 + (1-$BB$72:$BB$76)*CI898), N($AQ$72:$AQ$76&gt;$AO898)),
SUMPRODUCT(INDEX($AR$67:$AT$76,,$AI898), INDEX($AU$67:$BA$76,,$AH898), 1 / ($BC$67:$BC$76*CM898 + (1-$BC$67:$BC$76)*CI898), N($AQ$67:$AQ$76&gt;$AO898))
) / 1000</f>
        <v>0</v>
      </c>
      <c r="CO898" s="232">
        <f t="shared" si="799"/>
        <v>25</v>
      </c>
      <c r="CP898" s="230">
        <f t="shared" si="822"/>
        <v>38</v>
      </c>
      <c r="CQ898" s="235">
        <f t="shared" si="823"/>
        <v>4.0666935483870965</v>
      </c>
      <c r="CR898" s="235" cm="1">
        <f t="array" ref="CR898">$BI898 * IF($AH898&lt;=2,
SUMPRODUCT(INDEX($AR$67:$AT$71,,$AI898), INDEX($AU$67:$BA$71,,$AH898), 1 / ($BB$67:$BB$71*CQ898 + (1-$BB$67:$BB$71)*CM898), N($AQ$67:$AQ$71&gt;$AO898)),
SUMPRODUCT(INDEX($AR$57:$AT$66,,$AI898), INDEX($AU$57:$BA$66,,$AH898), 1 / ($BC$57:$BC$66*CQ898 + (1-$BC$57:$BC$66)*CM898), N($AQ$57:$AQ$66&gt;$AO898))
) / 1000</f>
        <v>0</v>
      </c>
      <c r="CS898" s="232">
        <f t="shared" si="800"/>
        <v>20</v>
      </c>
      <c r="CT898" s="230">
        <f t="shared" si="824"/>
        <v>33</v>
      </c>
      <c r="CU898" s="235">
        <f t="shared" si="825"/>
        <v>4.8487499999999999</v>
      </c>
      <c r="CV898" s="235" cm="1">
        <f t="array" ref="CV898">$BI898 * IF($AH898&lt;=2,
SUMPRODUCT(INDEX($AR$62:$AT$66,,$AI898), INDEX($AU$62:$BA$66,,$AH898), 1 / ($BB$62:$BB$66*CU898 + (1-$BB$62:$BB$66)*CQ898), N($AQ$62:$AQ$66&gt;$AO898)),
SUMPRODUCT(INDEX($AR$47:$AT$56,,$AI898), INDEX($AU$47:$BA$56,,$AH898), 1 / ($BC$47:$BC$56*CU898 + (1-$BC$47:$BC$56)*CQ898), N($AQ$47:$AQ$56&gt;$AO898))
) / 1000</f>
        <v>0</v>
      </c>
      <c r="CW898" s="235" cm="1">
        <f t="array" ref="CW898">$BI898 * IF($AH898&lt;=2,
SUMPRODUCT(INDEX($AR$23:$AT$61,,$AI898), INDEX($AU$23:$BA$61,,$AH898), 1 / ($BB$23:$BB$61*CU898), N($AQ$23:$AQ$61&gt;$AO898)),
SUMPRODUCT(INDEX($AR$23:$AT$46,,$AI898), INDEX($AU$23:$BA$46,,$AH898), 1 / ($BC$23:$BC$46*CU898), N($AQ$23:$AQ$46&gt;$AO898))
) / 1000</f>
        <v>0</v>
      </c>
      <c r="CX898" s="230">
        <f t="shared" si="826"/>
        <v>0</v>
      </c>
      <c r="CY898" s="238"/>
    </row>
    <row r="899" spans="1:103" s="76" customFormat="1" ht="14.25" customHeight="1" x14ac:dyDescent="0.2">
      <c r="A899" s="231" t="b">
        <f t="shared" si="792"/>
        <v>0</v>
      </c>
      <c r="B899" s="245">
        <v>877</v>
      </c>
      <c r="C899" s="258"/>
      <c r="D899" s="258"/>
      <c r="E899" s="246"/>
      <c r="F899" s="247" t="str">
        <f>IF(ISBLANK(E899), "", VLOOKUP(E899, Z!$A$2:$C$4127, 3, FALSE))</f>
        <v/>
      </c>
      <c r="G899" s="248"/>
      <c r="H899" s="248"/>
      <c r="I899" s="249"/>
      <c r="J899" s="250"/>
      <c r="K899" s="259"/>
      <c r="L899" s="260"/>
      <c r="M899" s="252" t="str" cm="1">
        <f t="array" ref="M899">INDEX(Trad, 53, $A$20)</f>
        <v>Verschmutzt</v>
      </c>
      <c r="N899" s="253"/>
      <c r="O899" s="253"/>
      <c r="P899" s="254"/>
      <c r="Q899" s="251"/>
      <c r="R899" s="251"/>
      <c r="S899" s="264">
        <f t="shared" si="801"/>
        <v>0</v>
      </c>
      <c r="T899" s="252" t="str" cm="1">
        <f t="array" ref="T899">INDEX(Trad, 52, $A$20)</f>
        <v>Sauber</v>
      </c>
      <c r="U899" s="253"/>
      <c r="V899" s="253"/>
      <c r="W899" s="254"/>
      <c r="X899" s="251"/>
      <c r="Y899" s="251"/>
      <c r="Z899" s="264">
        <f t="shared" si="802"/>
        <v>0</v>
      </c>
      <c r="AA899" s="261"/>
      <c r="AB899" s="258"/>
      <c r="AC899" s="246"/>
      <c r="AD899" s="247" t="str">
        <f>IF(ISBLANK(AC899), "", VLOOKUP(AC899, Z!$A$2:$C$4127, 3, FALSE))</f>
        <v/>
      </c>
      <c r="AE899" s="262"/>
      <c r="AF899" s="263">
        <f t="shared" si="803"/>
        <v>0</v>
      </c>
      <c r="AG899" s="238"/>
      <c r="AH899" s="229">
        <f t="shared" si="827"/>
        <v>1</v>
      </c>
      <c r="AI899" s="229">
        <f t="shared" si="828"/>
        <v>1</v>
      </c>
      <c r="AJ899" s="229">
        <f t="shared" si="829"/>
        <v>0</v>
      </c>
      <c r="AK899" s="229">
        <v>0</v>
      </c>
      <c r="AL899" s="229">
        <v>0</v>
      </c>
      <c r="AM899" s="229">
        <v>1</v>
      </c>
      <c r="AN899" s="229">
        <v>0</v>
      </c>
      <c r="AO899" s="229">
        <f t="shared" si="804"/>
        <v>-100</v>
      </c>
      <c r="AP899" s="238"/>
      <c r="AQ899" s="255"/>
      <c r="AR899" s="255"/>
      <c r="AS899" s="256"/>
      <c r="AT899" s="256"/>
      <c r="AU899" s="256"/>
      <c r="AV899" s="256"/>
      <c r="AW899" s="256"/>
      <c r="AX899" s="256"/>
      <c r="AY899" s="256"/>
      <c r="AZ899" s="256"/>
      <c r="BA899" s="256"/>
      <c r="BB899" s="256"/>
      <c r="BC899" s="256"/>
      <c r="BD899" s="238"/>
      <c r="BE899" s="229" cm="1">
        <f t="array" ref="BE899">IF(ISBLANK(R899), INDEX(Use, $AH899, 4) - AM899*INDEX(Use, $AH899, 6), R899)</f>
        <v>5</v>
      </c>
      <c r="BF899" s="229">
        <f t="shared" si="805"/>
        <v>30</v>
      </c>
      <c r="BG899" s="229">
        <f t="shared" si="793"/>
        <v>13</v>
      </c>
      <c r="BH899" s="229">
        <f t="shared" si="794"/>
        <v>0</v>
      </c>
      <c r="BI899" s="234" cm="1">
        <f t="array" ref="BI899">K899/IF($L899&gt;0, INDEX($AU$23:$BA$77, $L899+20, $AH899), 1)</f>
        <v>0</v>
      </c>
      <c r="BJ899" s="230">
        <f t="shared" si="806"/>
        <v>0</v>
      </c>
      <c r="BK899" s="229">
        <v>35</v>
      </c>
      <c r="BL899" s="230">
        <f t="shared" si="807"/>
        <v>48</v>
      </c>
      <c r="BM899" s="235">
        <f t="shared" si="808"/>
        <v>2.9108720930232557</v>
      </c>
      <c r="BN899" s="235" cm="1">
        <f t="array" ref="BN899">$BI899 * SUMPRODUCT(INDEX($AR$77:$AT$82,,$AI899),INDEX($AU$77:$BA$82,,$AH899), N($AQ$77:$AQ$82&gt;$AO899)) / BM899 / 1000</f>
        <v>0</v>
      </c>
      <c r="BO899" s="232">
        <f t="shared" si="795"/>
        <v>30</v>
      </c>
      <c r="BP899" s="230">
        <f t="shared" si="809"/>
        <v>43</v>
      </c>
      <c r="BQ899" s="235">
        <f t="shared" si="810"/>
        <v>3.2938815789473681</v>
      </c>
      <c r="BR899" s="235" cm="1">
        <f t="array" ref="BR899">$BI899 * IF($AH899&lt;=2,
SUMPRODUCT(INDEX($AR$72:$AT$76,,$AI899), INDEX($AU$72:$BA$76,,$AH899), 1 / ($BB$72:$BB$76*BQ899 + (1-$BB$72:$BB$76)*BM899), N($AQ$72:$AQ$76&gt;$AO899)),
SUMPRODUCT(INDEX($AR$67:$AT$76,,$AI899), INDEX($AU$67:$BA$76,,$AH899), 1 / ($BC$67:$BC$76*BQ899 + (1-$BC$67:$BC$76)*BM899), N($AQ$67:$AQ$76&gt;$AO899))
) / 1000</f>
        <v>0</v>
      </c>
      <c r="BS899" s="232">
        <f t="shared" si="796"/>
        <v>25</v>
      </c>
      <c r="BT899" s="230">
        <f t="shared" si="811"/>
        <v>38</v>
      </c>
      <c r="BU899" s="235">
        <f t="shared" si="812"/>
        <v>3.792954545454545</v>
      </c>
      <c r="BV899" s="235" cm="1">
        <f t="array" ref="BV899">$BI899 * IF($AH899&lt;=2,
SUMPRODUCT(INDEX($AR$67:$AT$71,,$AI899), INDEX($AU$67:$BA$71,,$AH899), 1 / ($BB$67:$BB$71*BU899 + (1-$BB$67:$BB$71)*BQ899), N($AQ$67:$AQ$71&gt;$AO899)),
SUMPRODUCT(INDEX($AR$57:$AT$66,,$AI899), INDEX($AU$57:$BA$66,,$AH899), 1 / ($BC$57:$BC$66*BU899 + (1-$BC$57:$BC$66)*BQ899), N($AQ$57:$AQ$66&gt;$AO899))
) / 1000</f>
        <v>0</v>
      </c>
      <c r="BW899" s="232">
        <f t="shared" si="797"/>
        <v>20</v>
      </c>
      <c r="BX899" s="230">
        <f t="shared" si="813"/>
        <v>33</v>
      </c>
      <c r="BY899" s="235">
        <f t="shared" si="814"/>
        <v>4.4702678571428569</v>
      </c>
      <c r="BZ899" s="235" cm="1">
        <f t="array" ref="BZ899">$BI899 * IF($AH899&lt;=2,
SUMPRODUCT(INDEX($AR$62:$AT$66,,$AI899), INDEX($AU$62:$BA$66,,$AH899), 1 / ($BB$62:$BB$66*BY899 + (1-$BB$62:$BB$66)*BU899), N($AQ$62:$AQ$66&gt;$AO899)),
SUMPRODUCT(INDEX($AR$47:$AT$56,,$AI899), INDEX($AU$47:$BA$56,,$AH899), 1 / ($BC$47:$BC$56*BY899 + (1-$BC$47:$BC$56)*BU899), N($AQ$47:$AQ$56&gt;$AO899))
) / 1000</f>
        <v>0</v>
      </c>
      <c r="CA899" s="235" cm="1">
        <f t="array" ref="CA899">$BI899 * IF($AH899&lt;=2,
SUMPRODUCT(INDEX($AR$23:$AT$61,,$AI899), INDEX($AU$23:$BA$61,,$AH899), 1 / ($BB$23:$BB$61*BY899), N($AQ$23:$AQ$61&gt;$AO899)),
SUMPRODUCT(INDEX($AR$23:$AT$46,,$AI899), INDEX($AU$23:$BA$46,,$AH899), 1 / ($BC$23:$BC$46*BY899), N($AQ$23:$AQ$46&gt;$AO899))
) / 1000</f>
        <v>0</v>
      </c>
      <c r="CB899" s="230">
        <f t="shared" si="815"/>
        <v>0</v>
      </c>
      <c r="CC899" s="238"/>
      <c r="CD899" s="229" cm="1">
        <f t="array" ref="CD899">IF(ISBLANK(Y899), INDEX(Use, $AH899, 4) - AN899*INDEX(Use, $AH899, 6) - (Q899-X899), Y899)</f>
        <v>7</v>
      </c>
      <c r="CE899" s="229">
        <f t="shared" si="816"/>
        <v>32</v>
      </c>
      <c r="CF899" s="230">
        <f t="shared" si="817"/>
        <v>0</v>
      </c>
      <c r="CG899" s="229">
        <v>35</v>
      </c>
      <c r="CH899" s="230">
        <f t="shared" si="818"/>
        <v>48</v>
      </c>
      <c r="CI899" s="235">
        <f t="shared" si="819"/>
        <v>3.0748170731707316</v>
      </c>
      <c r="CJ899" s="235" cm="1">
        <f t="array" ref="CJ899">$BI899 * SUMPRODUCT(INDEX($AR$77:$AT$82,,$AI899),INDEX($AU$77:$BA$82,,$AH899), N($AQ$77:$AQ$82&gt;$AO899)) / CI899 / 1000</f>
        <v>0</v>
      </c>
      <c r="CK899" s="232">
        <f t="shared" si="798"/>
        <v>30</v>
      </c>
      <c r="CL899" s="230">
        <f t="shared" si="820"/>
        <v>43</v>
      </c>
      <c r="CM899" s="235">
        <f t="shared" si="821"/>
        <v>3.5018750000000001</v>
      </c>
      <c r="CN899" s="235" cm="1">
        <f t="array" ref="CN899">$BI899 * IF($AH899&lt;=2,
SUMPRODUCT(INDEX($AR$72:$AT$76,,$AI899), INDEX($AU$72:$BA$76,,$AH899), 1 / ($BB$72:$BB$76*CM899 + (1-$BB$72:$BB$76)*CI899), N($AQ$72:$AQ$76&gt;$AO899)),
SUMPRODUCT(INDEX($AR$67:$AT$76,,$AI899), INDEX($AU$67:$BA$76,,$AH899), 1 / ($BC$67:$BC$76*CM899 + (1-$BC$67:$BC$76)*CI899), N($AQ$67:$AQ$76&gt;$AO899))
) / 1000</f>
        <v>0</v>
      </c>
      <c r="CO899" s="232">
        <f t="shared" si="799"/>
        <v>25</v>
      </c>
      <c r="CP899" s="230">
        <f t="shared" si="822"/>
        <v>38</v>
      </c>
      <c r="CQ899" s="235">
        <f t="shared" si="823"/>
        <v>4.0666935483870965</v>
      </c>
      <c r="CR899" s="235" cm="1">
        <f t="array" ref="CR899">$BI899 * IF($AH899&lt;=2,
SUMPRODUCT(INDEX($AR$67:$AT$71,,$AI899), INDEX($AU$67:$BA$71,,$AH899), 1 / ($BB$67:$BB$71*CQ899 + (1-$BB$67:$BB$71)*CM899), N($AQ$67:$AQ$71&gt;$AO899)),
SUMPRODUCT(INDEX($AR$57:$AT$66,,$AI899), INDEX($AU$57:$BA$66,,$AH899), 1 / ($BC$57:$BC$66*CQ899 + (1-$BC$57:$BC$66)*CM899), N($AQ$57:$AQ$66&gt;$AO899))
) / 1000</f>
        <v>0</v>
      </c>
      <c r="CS899" s="232">
        <f t="shared" si="800"/>
        <v>20</v>
      </c>
      <c r="CT899" s="230">
        <f t="shared" si="824"/>
        <v>33</v>
      </c>
      <c r="CU899" s="235">
        <f t="shared" si="825"/>
        <v>4.8487499999999999</v>
      </c>
      <c r="CV899" s="235" cm="1">
        <f t="array" ref="CV899">$BI899 * IF($AH899&lt;=2,
SUMPRODUCT(INDEX($AR$62:$AT$66,,$AI899), INDEX($AU$62:$BA$66,,$AH899), 1 / ($BB$62:$BB$66*CU899 + (1-$BB$62:$BB$66)*CQ899), N($AQ$62:$AQ$66&gt;$AO899)),
SUMPRODUCT(INDEX($AR$47:$AT$56,,$AI899), INDEX($AU$47:$BA$56,,$AH899), 1 / ($BC$47:$BC$56*CU899 + (1-$BC$47:$BC$56)*CQ899), N($AQ$47:$AQ$56&gt;$AO899))
) / 1000</f>
        <v>0</v>
      </c>
      <c r="CW899" s="235" cm="1">
        <f t="array" ref="CW899">$BI899 * IF($AH899&lt;=2,
SUMPRODUCT(INDEX($AR$23:$AT$61,,$AI899), INDEX($AU$23:$BA$61,,$AH899), 1 / ($BB$23:$BB$61*CU899), N($AQ$23:$AQ$61&gt;$AO899)),
SUMPRODUCT(INDEX($AR$23:$AT$46,,$AI899), INDEX($AU$23:$BA$46,,$AH899), 1 / ($BC$23:$BC$46*CU899), N($AQ$23:$AQ$46&gt;$AO899))
) / 1000</f>
        <v>0</v>
      </c>
      <c r="CX899" s="230">
        <f t="shared" si="826"/>
        <v>0</v>
      </c>
      <c r="CY899" s="238"/>
    </row>
    <row r="900" spans="1:103" s="76" customFormat="1" ht="14.25" customHeight="1" x14ac:dyDescent="0.2">
      <c r="A900" s="231" t="b">
        <f t="shared" si="792"/>
        <v>0</v>
      </c>
      <c r="B900" s="245">
        <v>878</v>
      </c>
      <c r="C900" s="258"/>
      <c r="D900" s="258"/>
      <c r="E900" s="246"/>
      <c r="F900" s="247" t="str">
        <f>IF(ISBLANK(E900), "", VLOOKUP(E900, Z!$A$2:$C$4127, 3, FALSE))</f>
        <v/>
      </c>
      <c r="G900" s="248"/>
      <c r="H900" s="248"/>
      <c r="I900" s="249"/>
      <c r="J900" s="250"/>
      <c r="K900" s="259"/>
      <c r="L900" s="260"/>
      <c r="M900" s="252" t="str" cm="1">
        <f t="array" ref="M900">INDEX(Trad, 53, $A$20)</f>
        <v>Verschmutzt</v>
      </c>
      <c r="N900" s="253"/>
      <c r="O900" s="253"/>
      <c r="P900" s="254"/>
      <c r="Q900" s="251"/>
      <c r="R900" s="251"/>
      <c r="S900" s="264">
        <f t="shared" si="801"/>
        <v>0</v>
      </c>
      <c r="T900" s="252" t="str" cm="1">
        <f t="array" ref="T900">INDEX(Trad, 52, $A$20)</f>
        <v>Sauber</v>
      </c>
      <c r="U900" s="253"/>
      <c r="V900" s="253"/>
      <c r="W900" s="254"/>
      <c r="X900" s="251"/>
      <c r="Y900" s="251"/>
      <c r="Z900" s="264">
        <f t="shared" si="802"/>
        <v>0</v>
      </c>
      <c r="AA900" s="261"/>
      <c r="AB900" s="258"/>
      <c r="AC900" s="246"/>
      <c r="AD900" s="247" t="str">
        <f>IF(ISBLANK(AC900), "", VLOOKUP(AC900, Z!$A$2:$C$4127, 3, FALSE))</f>
        <v/>
      </c>
      <c r="AE900" s="262"/>
      <c r="AF900" s="263">
        <f t="shared" si="803"/>
        <v>0</v>
      </c>
      <c r="AG900" s="238"/>
      <c r="AH900" s="229">
        <f t="shared" si="827"/>
        <v>1</v>
      </c>
      <c r="AI900" s="229">
        <f t="shared" si="828"/>
        <v>1</v>
      </c>
      <c r="AJ900" s="229">
        <f t="shared" si="829"/>
        <v>0</v>
      </c>
      <c r="AK900" s="229">
        <v>0</v>
      </c>
      <c r="AL900" s="229">
        <v>0</v>
      </c>
      <c r="AM900" s="229">
        <v>1</v>
      </c>
      <c r="AN900" s="229">
        <v>0</v>
      </c>
      <c r="AO900" s="229">
        <f t="shared" si="804"/>
        <v>-100</v>
      </c>
      <c r="AP900" s="238"/>
      <c r="AQ900" s="255"/>
      <c r="AR900" s="255"/>
      <c r="AS900" s="256"/>
      <c r="AT900" s="256"/>
      <c r="AU900" s="256"/>
      <c r="AV900" s="256"/>
      <c r="AW900" s="256"/>
      <c r="AX900" s="256"/>
      <c r="AY900" s="256"/>
      <c r="AZ900" s="256"/>
      <c r="BA900" s="256"/>
      <c r="BB900" s="256"/>
      <c r="BC900" s="256"/>
      <c r="BD900" s="238"/>
      <c r="BE900" s="229" cm="1">
        <f t="array" ref="BE900">IF(ISBLANK(R900), INDEX(Use, $AH900, 4) - AM900*INDEX(Use, $AH900, 6), R900)</f>
        <v>5</v>
      </c>
      <c r="BF900" s="229">
        <f t="shared" si="805"/>
        <v>30</v>
      </c>
      <c r="BG900" s="229">
        <f t="shared" si="793"/>
        <v>13</v>
      </c>
      <c r="BH900" s="229">
        <f t="shared" si="794"/>
        <v>0</v>
      </c>
      <c r="BI900" s="234" cm="1">
        <f t="array" ref="BI900">K900/IF($L900&gt;0, INDEX($AU$23:$BA$77, $L900+20, $AH900), 1)</f>
        <v>0</v>
      </c>
      <c r="BJ900" s="230">
        <f t="shared" si="806"/>
        <v>0</v>
      </c>
      <c r="BK900" s="229">
        <v>35</v>
      </c>
      <c r="BL900" s="230">
        <f t="shared" si="807"/>
        <v>48</v>
      </c>
      <c r="BM900" s="235">
        <f t="shared" si="808"/>
        <v>2.9108720930232557</v>
      </c>
      <c r="BN900" s="235" cm="1">
        <f t="array" ref="BN900">$BI900 * SUMPRODUCT(INDEX($AR$77:$AT$82,,$AI900),INDEX($AU$77:$BA$82,,$AH900), N($AQ$77:$AQ$82&gt;$AO900)) / BM900 / 1000</f>
        <v>0</v>
      </c>
      <c r="BO900" s="232">
        <f t="shared" si="795"/>
        <v>30</v>
      </c>
      <c r="BP900" s="230">
        <f t="shared" si="809"/>
        <v>43</v>
      </c>
      <c r="BQ900" s="235">
        <f t="shared" si="810"/>
        <v>3.2938815789473681</v>
      </c>
      <c r="BR900" s="235" cm="1">
        <f t="array" ref="BR900">$BI900 * IF($AH900&lt;=2,
SUMPRODUCT(INDEX($AR$72:$AT$76,,$AI900), INDEX($AU$72:$BA$76,,$AH900), 1 / ($BB$72:$BB$76*BQ900 + (1-$BB$72:$BB$76)*BM900), N($AQ$72:$AQ$76&gt;$AO900)),
SUMPRODUCT(INDEX($AR$67:$AT$76,,$AI900), INDEX($AU$67:$BA$76,,$AH900), 1 / ($BC$67:$BC$76*BQ900 + (1-$BC$67:$BC$76)*BM900), N($AQ$67:$AQ$76&gt;$AO900))
) / 1000</f>
        <v>0</v>
      </c>
      <c r="BS900" s="232">
        <f t="shared" si="796"/>
        <v>25</v>
      </c>
      <c r="BT900" s="230">
        <f t="shared" si="811"/>
        <v>38</v>
      </c>
      <c r="BU900" s="235">
        <f t="shared" si="812"/>
        <v>3.792954545454545</v>
      </c>
      <c r="BV900" s="235" cm="1">
        <f t="array" ref="BV900">$BI900 * IF($AH900&lt;=2,
SUMPRODUCT(INDEX($AR$67:$AT$71,,$AI900), INDEX($AU$67:$BA$71,,$AH900), 1 / ($BB$67:$BB$71*BU900 + (1-$BB$67:$BB$71)*BQ900), N($AQ$67:$AQ$71&gt;$AO900)),
SUMPRODUCT(INDEX($AR$57:$AT$66,,$AI900), INDEX($AU$57:$BA$66,,$AH900), 1 / ($BC$57:$BC$66*BU900 + (1-$BC$57:$BC$66)*BQ900), N($AQ$57:$AQ$66&gt;$AO900))
) / 1000</f>
        <v>0</v>
      </c>
      <c r="BW900" s="232">
        <f t="shared" si="797"/>
        <v>20</v>
      </c>
      <c r="BX900" s="230">
        <f t="shared" si="813"/>
        <v>33</v>
      </c>
      <c r="BY900" s="235">
        <f t="shared" si="814"/>
        <v>4.4702678571428569</v>
      </c>
      <c r="BZ900" s="235" cm="1">
        <f t="array" ref="BZ900">$BI900 * IF($AH900&lt;=2,
SUMPRODUCT(INDEX($AR$62:$AT$66,,$AI900), INDEX($AU$62:$BA$66,,$AH900), 1 / ($BB$62:$BB$66*BY900 + (1-$BB$62:$BB$66)*BU900), N($AQ$62:$AQ$66&gt;$AO900)),
SUMPRODUCT(INDEX($AR$47:$AT$56,,$AI900), INDEX($AU$47:$BA$56,,$AH900), 1 / ($BC$47:$BC$56*BY900 + (1-$BC$47:$BC$56)*BU900), N($AQ$47:$AQ$56&gt;$AO900))
) / 1000</f>
        <v>0</v>
      </c>
      <c r="CA900" s="235" cm="1">
        <f t="array" ref="CA900">$BI900 * IF($AH900&lt;=2,
SUMPRODUCT(INDEX($AR$23:$AT$61,,$AI900), INDEX($AU$23:$BA$61,,$AH900), 1 / ($BB$23:$BB$61*BY900), N($AQ$23:$AQ$61&gt;$AO900)),
SUMPRODUCT(INDEX($AR$23:$AT$46,,$AI900), INDEX($AU$23:$BA$46,,$AH900), 1 / ($BC$23:$BC$46*BY900), N($AQ$23:$AQ$46&gt;$AO900))
) / 1000</f>
        <v>0</v>
      </c>
      <c r="CB900" s="230">
        <f t="shared" si="815"/>
        <v>0</v>
      </c>
      <c r="CC900" s="238"/>
      <c r="CD900" s="229" cm="1">
        <f t="array" ref="CD900">IF(ISBLANK(Y900), INDEX(Use, $AH900, 4) - AN900*INDEX(Use, $AH900, 6) - (Q900-X900), Y900)</f>
        <v>7</v>
      </c>
      <c r="CE900" s="229">
        <f t="shared" si="816"/>
        <v>32</v>
      </c>
      <c r="CF900" s="230">
        <f t="shared" si="817"/>
        <v>0</v>
      </c>
      <c r="CG900" s="229">
        <v>35</v>
      </c>
      <c r="CH900" s="230">
        <f t="shared" si="818"/>
        <v>48</v>
      </c>
      <c r="CI900" s="235">
        <f t="shared" si="819"/>
        <v>3.0748170731707316</v>
      </c>
      <c r="CJ900" s="235" cm="1">
        <f t="array" ref="CJ900">$BI900 * SUMPRODUCT(INDEX($AR$77:$AT$82,,$AI900),INDEX($AU$77:$BA$82,,$AH900), N($AQ$77:$AQ$82&gt;$AO900)) / CI900 / 1000</f>
        <v>0</v>
      </c>
      <c r="CK900" s="232">
        <f t="shared" si="798"/>
        <v>30</v>
      </c>
      <c r="CL900" s="230">
        <f t="shared" si="820"/>
        <v>43</v>
      </c>
      <c r="CM900" s="235">
        <f t="shared" si="821"/>
        <v>3.5018750000000001</v>
      </c>
      <c r="CN900" s="235" cm="1">
        <f t="array" ref="CN900">$BI900 * IF($AH900&lt;=2,
SUMPRODUCT(INDEX($AR$72:$AT$76,,$AI900), INDEX($AU$72:$BA$76,,$AH900), 1 / ($BB$72:$BB$76*CM900 + (1-$BB$72:$BB$76)*CI900), N($AQ$72:$AQ$76&gt;$AO900)),
SUMPRODUCT(INDEX($AR$67:$AT$76,,$AI900), INDEX($AU$67:$BA$76,,$AH900), 1 / ($BC$67:$BC$76*CM900 + (1-$BC$67:$BC$76)*CI900), N($AQ$67:$AQ$76&gt;$AO900))
) / 1000</f>
        <v>0</v>
      </c>
      <c r="CO900" s="232">
        <f t="shared" si="799"/>
        <v>25</v>
      </c>
      <c r="CP900" s="230">
        <f t="shared" si="822"/>
        <v>38</v>
      </c>
      <c r="CQ900" s="235">
        <f t="shared" si="823"/>
        <v>4.0666935483870965</v>
      </c>
      <c r="CR900" s="235" cm="1">
        <f t="array" ref="CR900">$BI900 * IF($AH900&lt;=2,
SUMPRODUCT(INDEX($AR$67:$AT$71,,$AI900), INDEX($AU$67:$BA$71,,$AH900), 1 / ($BB$67:$BB$71*CQ900 + (1-$BB$67:$BB$71)*CM900), N($AQ$67:$AQ$71&gt;$AO900)),
SUMPRODUCT(INDEX($AR$57:$AT$66,,$AI900), INDEX($AU$57:$BA$66,,$AH900), 1 / ($BC$57:$BC$66*CQ900 + (1-$BC$57:$BC$66)*CM900), N($AQ$57:$AQ$66&gt;$AO900))
) / 1000</f>
        <v>0</v>
      </c>
      <c r="CS900" s="232">
        <f t="shared" si="800"/>
        <v>20</v>
      </c>
      <c r="CT900" s="230">
        <f t="shared" si="824"/>
        <v>33</v>
      </c>
      <c r="CU900" s="235">
        <f t="shared" si="825"/>
        <v>4.8487499999999999</v>
      </c>
      <c r="CV900" s="235" cm="1">
        <f t="array" ref="CV900">$BI900 * IF($AH900&lt;=2,
SUMPRODUCT(INDEX($AR$62:$AT$66,,$AI900), INDEX($AU$62:$BA$66,,$AH900), 1 / ($BB$62:$BB$66*CU900 + (1-$BB$62:$BB$66)*CQ900), N($AQ$62:$AQ$66&gt;$AO900)),
SUMPRODUCT(INDEX($AR$47:$AT$56,,$AI900), INDEX($AU$47:$BA$56,,$AH900), 1 / ($BC$47:$BC$56*CU900 + (1-$BC$47:$BC$56)*CQ900), N($AQ$47:$AQ$56&gt;$AO900))
) / 1000</f>
        <v>0</v>
      </c>
      <c r="CW900" s="235" cm="1">
        <f t="array" ref="CW900">$BI900 * IF($AH900&lt;=2,
SUMPRODUCT(INDEX($AR$23:$AT$61,,$AI900), INDEX($AU$23:$BA$61,,$AH900), 1 / ($BB$23:$BB$61*CU900), N($AQ$23:$AQ$61&gt;$AO900)),
SUMPRODUCT(INDEX($AR$23:$AT$46,,$AI900), INDEX($AU$23:$BA$46,,$AH900), 1 / ($BC$23:$BC$46*CU900), N($AQ$23:$AQ$46&gt;$AO900))
) / 1000</f>
        <v>0</v>
      </c>
      <c r="CX900" s="230">
        <f t="shared" si="826"/>
        <v>0</v>
      </c>
      <c r="CY900" s="238"/>
    </row>
    <row r="901" spans="1:103" s="76" customFormat="1" ht="14.25" customHeight="1" x14ac:dyDescent="0.2">
      <c r="A901" s="231" t="b">
        <f t="shared" si="792"/>
        <v>0</v>
      </c>
      <c r="B901" s="245">
        <v>879</v>
      </c>
      <c r="C901" s="258"/>
      <c r="D901" s="258"/>
      <c r="E901" s="246"/>
      <c r="F901" s="247" t="str">
        <f>IF(ISBLANK(E901), "", VLOOKUP(E901, Z!$A$2:$C$4127, 3, FALSE))</f>
        <v/>
      </c>
      <c r="G901" s="248"/>
      <c r="H901" s="248"/>
      <c r="I901" s="249"/>
      <c r="J901" s="250"/>
      <c r="K901" s="259"/>
      <c r="L901" s="260"/>
      <c r="M901" s="252" t="str" cm="1">
        <f t="array" ref="M901">INDEX(Trad, 53, $A$20)</f>
        <v>Verschmutzt</v>
      </c>
      <c r="N901" s="253"/>
      <c r="O901" s="253"/>
      <c r="P901" s="254"/>
      <c r="Q901" s="251"/>
      <c r="R901" s="251"/>
      <c r="S901" s="264">
        <f t="shared" si="801"/>
        <v>0</v>
      </c>
      <c r="T901" s="252" t="str" cm="1">
        <f t="array" ref="T901">INDEX(Trad, 52, $A$20)</f>
        <v>Sauber</v>
      </c>
      <c r="U901" s="253"/>
      <c r="V901" s="253"/>
      <c r="W901" s="254"/>
      <c r="X901" s="251"/>
      <c r="Y901" s="251"/>
      <c r="Z901" s="264">
        <f t="shared" si="802"/>
        <v>0</v>
      </c>
      <c r="AA901" s="261"/>
      <c r="AB901" s="258"/>
      <c r="AC901" s="246"/>
      <c r="AD901" s="247" t="str">
        <f>IF(ISBLANK(AC901), "", VLOOKUP(AC901, Z!$A$2:$C$4127, 3, FALSE))</f>
        <v/>
      </c>
      <c r="AE901" s="262"/>
      <c r="AF901" s="263">
        <f t="shared" si="803"/>
        <v>0</v>
      </c>
      <c r="AG901" s="238"/>
      <c r="AH901" s="229">
        <f t="shared" si="827"/>
        <v>1</v>
      </c>
      <c r="AI901" s="229">
        <f t="shared" si="828"/>
        <v>1</v>
      </c>
      <c r="AJ901" s="229">
        <f t="shared" si="829"/>
        <v>0</v>
      </c>
      <c r="AK901" s="229">
        <v>0</v>
      </c>
      <c r="AL901" s="229">
        <v>0</v>
      </c>
      <c r="AM901" s="229">
        <v>1</v>
      </c>
      <c r="AN901" s="229">
        <v>0</v>
      </c>
      <c r="AO901" s="229">
        <f t="shared" si="804"/>
        <v>-100</v>
      </c>
      <c r="AP901" s="238"/>
      <c r="AQ901" s="255"/>
      <c r="AR901" s="255"/>
      <c r="AS901" s="256"/>
      <c r="AT901" s="256"/>
      <c r="AU901" s="256"/>
      <c r="AV901" s="256"/>
      <c r="AW901" s="256"/>
      <c r="AX901" s="256"/>
      <c r="AY901" s="256"/>
      <c r="AZ901" s="256"/>
      <c r="BA901" s="256"/>
      <c r="BB901" s="256"/>
      <c r="BC901" s="256"/>
      <c r="BD901" s="238"/>
      <c r="BE901" s="229" cm="1">
        <f t="array" ref="BE901">IF(ISBLANK(R901), INDEX(Use, $AH901, 4) - AM901*INDEX(Use, $AH901, 6), R901)</f>
        <v>5</v>
      </c>
      <c r="BF901" s="229">
        <f t="shared" si="805"/>
        <v>30</v>
      </c>
      <c r="BG901" s="229">
        <f t="shared" si="793"/>
        <v>13</v>
      </c>
      <c r="BH901" s="229">
        <f t="shared" si="794"/>
        <v>0</v>
      </c>
      <c r="BI901" s="234" cm="1">
        <f t="array" ref="BI901">K901/IF($L901&gt;0, INDEX($AU$23:$BA$77, $L901+20, $AH901), 1)</f>
        <v>0</v>
      </c>
      <c r="BJ901" s="230">
        <f t="shared" si="806"/>
        <v>0</v>
      </c>
      <c r="BK901" s="229">
        <v>35</v>
      </c>
      <c r="BL901" s="230">
        <f t="shared" si="807"/>
        <v>48</v>
      </c>
      <c r="BM901" s="235">
        <f t="shared" si="808"/>
        <v>2.9108720930232557</v>
      </c>
      <c r="BN901" s="235" cm="1">
        <f t="array" ref="BN901">$BI901 * SUMPRODUCT(INDEX($AR$77:$AT$82,,$AI901),INDEX($AU$77:$BA$82,,$AH901), N($AQ$77:$AQ$82&gt;$AO901)) / BM901 / 1000</f>
        <v>0</v>
      </c>
      <c r="BO901" s="232">
        <f t="shared" si="795"/>
        <v>30</v>
      </c>
      <c r="BP901" s="230">
        <f t="shared" si="809"/>
        <v>43</v>
      </c>
      <c r="BQ901" s="235">
        <f t="shared" si="810"/>
        <v>3.2938815789473681</v>
      </c>
      <c r="BR901" s="235" cm="1">
        <f t="array" ref="BR901">$BI901 * IF($AH901&lt;=2,
SUMPRODUCT(INDEX($AR$72:$AT$76,,$AI901), INDEX($AU$72:$BA$76,,$AH901), 1 / ($BB$72:$BB$76*BQ901 + (1-$BB$72:$BB$76)*BM901), N($AQ$72:$AQ$76&gt;$AO901)),
SUMPRODUCT(INDEX($AR$67:$AT$76,,$AI901), INDEX($AU$67:$BA$76,,$AH901), 1 / ($BC$67:$BC$76*BQ901 + (1-$BC$67:$BC$76)*BM901), N($AQ$67:$AQ$76&gt;$AO901))
) / 1000</f>
        <v>0</v>
      </c>
      <c r="BS901" s="232">
        <f t="shared" si="796"/>
        <v>25</v>
      </c>
      <c r="BT901" s="230">
        <f t="shared" si="811"/>
        <v>38</v>
      </c>
      <c r="BU901" s="235">
        <f t="shared" si="812"/>
        <v>3.792954545454545</v>
      </c>
      <c r="BV901" s="235" cm="1">
        <f t="array" ref="BV901">$BI901 * IF($AH901&lt;=2,
SUMPRODUCT(INDEX($AR$67:$AT$71,,$AI901), INDEX($AU$67:$BA$71,,$AH901), 1 / ($BB$67:$BB$71*BU901 + (1-$BB$67:$BB$71)*BQ901), N($AQ$67:$AQ$71&gt;$AO901)),
SUMPRODUCT(INDEX($AR$57:$AT$66,,$AI901), INDEX($AU$57:$BA$66,,$AH901), 1 / ($BC$57:$BC$66*BU901 + (1-$BC$57:$BC$66)*BQ901), N($AQ$57:$AQ$66&gt;$AO901))
) / 1000</f>
        <v>0</v>
      </c>
      <c r="BW901" s="232">
        <f t="shared" si="797"/>
        <v>20</v>
      </c>
      <c r="BX901" s="230">
        <f t="shared" si="813"/>
        <v>33</v>
      </c>
      <c r="BY901" s="235">
        <f t="shared" si="814"/>
        <v>4.4702678571428569</v>
      </c>
      <c r="BZ901" s="235" cm="1">
        <f t="array" ref="BZ901">$BI901 * IF($AH901&lt;=2,
SUMPRODUCT(INDEX($AR$62:$AT$66,,$AI901), INDEX($AU$62:$BA$66,,$AH901), 1 / ($BB$62:$BB$66*BY901 + (1-$BB$62:$BB$66)*BU901), N($AQ$62:$AQ$66&gt;$AO901)),
SUMPRODUCT(INDEX($AR$47:$AT$56,,$AI901), INDEX($AU$47:$BA$56,,$AH901), 1 / ($BC$47:$BC$56*BY901 + (1-$BC$47:$BC$56)*BU901), N($AQ$47:$AQ$56&gt;$AO901))
) / 1000</f>
        <v>0</v>
      </c>
      <c r="CA901" s="235" cm="1">
        <f t="array" ref="CA901">$BI901 * IF($AH901&lt;=2,
SUMPRODUCT(INDEX($AR$23:$AT$61,,$AI901), INDEX($AU$23:$BA$61,,$AH901), 1 / ($BB$23:$BB$61*BY901), N($AQ$23:$AQ$61&gt;$AO901)),
SUMPRODUCT(INDEX($AR$23:$AT$46,,$AI901), INDEX($AU$23:$BA$46,,$AH901), 1 / ($BC$23:$BC$46*BY901), N($AQ$23:$AQ$46&gt;$AO901))
) / 1000</f>
        <v>0</v>
      </c>
      <c r="CB901" s="230">
        <f t="shared" si="815"/>
        <v>0</v>
      </c>
      <c r="CC901" s="238"/>
      <c r="CD901" s="229" cm="1">
        <f t="array" ref="CD901">IF(ISBLANK(Y901), INDEX(Use, $AH901, 4) - AN901*INDEX(Use, $AH901, 6) - (Q901-X901), Y901)</f>
        <v>7</v>
      </c>
      <c r="CE901" s="229">
        <f t="shared" si="816"/>
        <v>32</v>
      </c>
      <c r="CF901" s="230">
        <f t="shared" si="817"/>
        <v>0</v>
      </c>
      <c r="CG901" s="229">
        <v>35</v>
      </c>
      <c r="CH901" s="230">
        <f t="shared" si="818"/>
        <v>48</v>
      </c>
      <c r="CI901" s="235">
        <f t="shared" si="819"/>
        <v>3.0748170731707316</v>
      </c>
      <c r="CJ901" s="235" cm="1">
        <f t="array" ref="CJ901">$BI901 * SUMPRODUCT(INDEX($AR$77:$AT$82,,$AI901),INDEX($AU$77:$BA$82,,$AH901), N($AQ$77:$AQ$82&gt;$AO901)) / CI901 / 1000</f>
        <v>0</v>
      </c>
      <c r="CK901" s="232">
        <f t="shared" si="798"/>
        <v>30</v>
      </c>
      <c r="CL901" s="230">
        <f t="shared" si="820"/>
        <v>43</v>
      </c>
      <c r="CM901" s="235">
        <f t="shared" si="821"/>
        <v>3.5018750000000001</v>
      </c>
      <c r="CN901" s="235" cm="1">
        <f t="array" ref="CN901">$BI901 * IF($AH901&lt;=2,
SUMPRODUCT(INDEX($AR$72:$AT$76,,$AI901), INDEX($AU$72:$BA$76,,$AH901), 1 / ($BB$72:$BB$76*CM901 + (1-$BB$72:$BB$76)*CI901), N($AQ$72:$AQ$76&gt;$AO901)),
SUMPRODUCT(INDEX($AR$67:$AT$76,,$AI901), INDEX($AU$67:$BA$76,,$AH901), 1 / ($BC$67:$BC$76*CM901 + (1-$BC$67:$BC$76)*CI901), N($AQ$67:$AQ$76&gt;$AO901))
) / 1000</f>
        <v>0</v>
      </c>
      <c r="CO901" s="232">
        <f t="shared" si="799"/>
        <v>25</v>
      </c>
      <c r="CP901" s="230">
        <f t="shared" si="822"/>
        <v>38</v>
      </c>
      <c r="CQ901" s="235">
        <f t="shared" si="823"/>
        <v>4.0666935483870965</v>
      </c>
      <c r="CR901" s="235" cm="1">
        <f t="array" ref="CR901">$BI901 * IF($AH901&lt;=2,
SUMPRODUCT(INDEX($AR$67:$AT$71,,$AI901), INDEX($AU$67:$BA$71,,$AH901), 1 / ($BB$67:$BB$71*CQ901 + (1-$BB$67:$BB$71)*CM901), N($AQ$67:$AQ$71&gt;$AO901)),
SUMPRODUCT(INDEX($AR$57:$AT$66,,$AI901), INDEX($AU$57:$BA$66,,$AH901), 1 / ($BC$57:$BC$66*CQ901 + (1-$BC$57:$BC$66)*CM901), N($AQ$57:$AQ$66&gt;$AO901))
) / 1000</f>
        <v>0</v>
      </c>
      <c r="CS901" s="232">
        <f t="shared" si="800"/>
        <v>20</v>
      </c>
      <c r="CT901" s="230">
        <f t="shared" si="824"/>
        <v>33</v>
      </c>
      <c r="CU901" s="235">
        <f t="shared" si="825"/>
        <v>4.8487499999999999</v>
      </c>
      <c r="CV901" s="235" cm="1">
        <f t="array" ref="CV901">$BI901 * IF($AH901&lt;=2,
SUMPRODUCT(INDEX($AR$62:$AT$66,,$AI901), INDEX($AU$62:$BA$66,,$AH901), 1 / ($BB$62:$BB$66*CU901 + (1-$BB$62:$BB$66)*CQ901), N($AQ$62:$AQ$66&gt;$AO901)),
SUMPRODUCT(INDEX($AR$47:$AT$56,,$AI901), INDEX($AU$47:$BA$56,,$AH901), 1 / ($BC$47:$BC$56*CU901 + (1-$BC$47:$BC$56)*CQ901), N($AQ$47:$AQ$56&gt;$AO901))
) / 1000</f>
        <v>0</v>
      </c>
      <c r="CW901" s="235" cm="1">
        <f t="array" ref="CW901">$BI901 * IF($AH901&lt;=2,
SUMPRODUCT(INDEX($AR$23:$AT$61,,$AI901), INDEX($AU$23:$BA$61,,$AH901), 1 / ($BB$23:$BB$61*CU901), N($AQ$23:$AQ$61&gt;$AO901)),
SUMPRODUCT(INDEX($AR$23:$AT$46,,$AI901), INDEX($AU$23:$BA$46,,$AH901), 1 / ($BC$23:$BC$46*CU901), N($AQ$23:$AQ$46&gt;$AO901))
) / 1000</f>
        <v>0</v>
      </c>
      <c r="CX901" s="230">
        <f t="shared" si="826"/>
        <v>0</v>
      </c>
      <c r="CY901" s="238"/>
    </row>
    <row r="902" spans="1:103" s="76" customFormat="1" ht="14.25" customHeight="1" x14ac:dyDescent="0.2">
      <c r="A902" s="231" t="b">
        <f t="shared" si="792"/>
        <v>0</v>
      </c>
      <c r="B902" s="245">
        <v>880</v>
      </c>
      <c r="C902" s="258"/>
      <c r="D902" s="258"/>
      <c r="E902" s="246"/>
      <c r="F902" s="247" t="str">
        <f>IF(ISBLANK(E902), "", VLOOKUP(E902, Z!$A$2:$C$4127, 3, FALSE))</f>
        <v/>
      </c>
      <c r="G902" s="248"/>
      <c r="H902" s="248"/>
      <c r="I902" s="249"/>
      <c r="J902" s="250"/>
      <c r="K902" s="259"/>
      <c r="L902" s="260"/>
      <c r="M902" s="252" t="str" cm="1">
        <f t="array" ref="M902">INDEX(Trad, 53, $A$20)</f>
        <v>Verschmutzt</v>
      </c>
      <c r="N902" s="253"/>
      <c r="O902" s="253"/>
      <c r="P902" s="254"/>
      <c r="Q902" s="251"/>
      <c r="R902" s="251"/>
      <c r="S902" s="264">
        <f t="shared" si="801"/>
        <v>0</v>
      </c>
      <c r="T902" s="252" t="str" cm="1">
        <f t="array" ref="T902">INDEX(Trad, 52, $A$20)</f>
        <v>Sauber</v>
      </c>
      <c r="U902" s="253"/>
      <c r="V902" s="253"/>
      <c r="W902" s="254"/>
      <c r="X902" s="251"/>
      <c r="Y902" s="251"/>
      <c r="Z902" s="264">
        <f t="shared" si="802"/>
        <v>0</v>
      </c>
      <c r="AA902" s="261"/>
      <c r="AB902" s="258"/>
      <c r="AC902" s="246"/>
      <c r="AD902" s="247" t="str">
        <f>IF(ISBLANK(AC902), "", VLOOKUP(AC902, Z!$A$2:$C$4127, 3, FALSE))</f>
        <v/>
      </c>
      <c r="AE902" s="262"/>
      <c r="AF902" s="263">
        <f t="shared" si="803"/>
        <v>0</v>
      </c>
      <c r="AG902" s="238"/>
      <c r="AH902" s="229">
        <f t="shared" si="827"/>
        <v>1</v>
      </c>
      <c r="AI902" s="229">
        <f t="shared" si="828"/>
        <v>1</v>
      </c>
      <c r="AJ902" s="229">
        <f t="shared" si="829"/>
        <v>0</v>
      </c>
      <c r="AK902" s="229">
        <v>0</v>
      </c>
      <c r="AL902" s="229">
        <v>0</v>
      </c>
      <c r="AM902" s="229">
        <v>1</v>
      </c>
      <c r="AN902" s="229">
        <v>0</v>
      </c>
      <c r="AO902" s="229">
        <f t="shared" si="804"/>
        <v>-100</v>
      </c>
      <c r="AP902" s="238"/>
      <c r="AQ902" s="255"/>
      <c r="AR902" s="255"/>
      <c r="AS902" s="256"/>
      <c r="AT902" s="256"/>
      <c r="AU902" s="256"/>
      <c r="AV902" s="256"/>
      <c r="AW902" s="256"/>
      <c r="AX902" s="256"/>
      <c r="AY902" s="256"/>
      <c r="AZ902" s="256"/>
      <c r="BA902" s="256"/>
      <c r="BB902" s="256"/>
      <c r="BC902" s="256"/>
      <c r="BD902" s="238"/>
      <c r="BE902" s="229" cm="1">
        <f t="array" ref="BE902">IF(ISBLANK(R902), INDEX(Use, $AH902, 4) - AM902*INDEX(Use, $AH902, 6), R902)</f>
        <v>5</v>
      </c>
      <c r="BF902" s="229">
        <f t="shared" si="805"/>
        <v>30</v>
      </c>
      <c r="BG902" s="229">
        <f t="shared" si="793"/>
        <v>13</v>
      </c>
      <c r="BH902" s="229">
        <f t="shared" si="794"/>
        <v>0</v>
      </c>
      <c r="BI902" s="234" cm="1">
        <f t="array" ref="BI902">K902/IF($L902&gt;0, INDEX($AU$23:$BA$77, $L902+20, $AH902), 1)</f>
        <v>0</v>
      </c>
      <c r="BJ902" s="230">
        <f t="shared" si="806"/>
        <v>0</v>
      </c>
      <c r="BK902" s="229">
        <v>35</v>
      </c>
      <c r="BL902" s="230">
        <f t="shared" si="807"/>
        <v>48</v>
      </c>
      <c r="BM902" s="235">
        <f t="shared" si="808"/>
        <v>2.9108720930232557</v>
      </c>
      <c r="BN902" s="235" cm="1">
        <f t="array" ref="BN902">$BI902 * SUMPRODUCT(INDEX($AR$77:$AT$82,,$AI902),INDEX($AU$77:$BA$82,,$AH902), N($AQ$77:$AQ$82&gt;$AO902)) / BM902 / 1000</f>
        <v>0</v>
      </c>
      <c r="BO902" s="232">
        <f t="shared" si="795"/>
        <v>30</v>
      </c>
      <c r="BP902" s="230">
        <f t="shared" si="809"/>
        <v>43</v>
      </c>
      <c r="BQ902" s="235">
        <f t="shared" si="810"/>
        <v>3.2938815789473681</v>
      </c>
      <c r="BR902" s="235" cm="1">
        <f t="array" ref="BR902">$BI902 * IF($AH902&lt;=2,
SUMPRODUCT(INDEX($AR$72:$AT$76,,$AI902), INDEX($AU$72:$BA$76,,$AH902), 1 / ($BB$72:$BB$76*BQ902 + (1-$BB$72:$BB$76)*BM902), N($AQ$72:$AQ$76&gt;$AO902)),
SUMPRODUCT(INDEX($AR$67:$AT$76,,$AI902), INDEX($AU$67:$BA$76,,$AH902), 1 / ($BC$67:$BC$76*BQ902 + (1-$BC$67:$BC$76)*BM902), N($AQ$67:$AQ$76&gt;$AO902))
) / 1000</f>
        <v>0</v>
      </c>
      <c r="BS902" s="232">
        <f t="shared" si="796"/>
        <v>25</v>
      </c>
      <c r="BT902" s="230">
        <f t="shared" si="811"/>
        <v>38</v>
      </c>
      <c r="BU902" s="235">
        <f t="shared" si="812"/>
        <v>3.792954545454545</v>
      </c>
      <c r="BV902" s="235" cm="1">
        <f t="array" ref="BV902">$BI902 * IF($AH902&lt;=2,
SUMPRODUCT(INDEX($AR$67:$AT$71,,$AI902), INDEX($AU$67:$BA$71,,$AH902), 1 / ($BB$67:$BB$71*BU902 + (1-$BB$67:$BB$71)*BQ902), N($AQ$67:$AQ$71&gt;$AO902)),
SUMPRODUCT(INDEX($AR$57:$AT$66,,$AI902), INDEX($AU$57:$BA$66,,$AH902), 1 / ($BC$57:$BC$66*BU902 + (1-$BC$57:$BC$66)*BQ902), N($AQ$57:$AQ$66&gt;$AO902))
) / 1000</f>
        <v>0</v>
      </c>
      <c r="BW902" s="232">
        <f t="shared" si="797"/>
        <v>20</v>
      </c>
      <c r="BX902" s="230">
        <f t="shared" si="813"/>
        <v>33</v>
      </c>
      <c r="BY902" s="235">
        <f t="shared" si="814"/>
        <v>4.4702678571428569</v>
      </c>
      <c r="BZ902" s="235" cm="1">
        <f t="array" ref="BZ902">$BI902 * IF($AH902&lt;=2,
SUMPRODUCT(INDEX($AR$62:$AT$66,,$AI902), INDEX($AU$62:$BA$66,,$AH902), 1 / ($BB$62:$BB$66*BY902 + (1-$BB$62:$BB$66)*BU902), N($AQ$62:$AQ$66&gt;$AO902)),
SUMPRODUCT(INDEX($AR$47:$AT$56,,$AI902), INDEX($AU$47:$BA$56,,$AH902), 1 / ($BC$47:$BC$56*BY902 + (1-$BC$47:$BC$56)*BU902), N($AQ$47:$AQ$56&gt;$AO902))
) / 1000</f>
        <v>0</v>
      </c>
      <c r="CA902" s="235" cm="1">
        <f t="array" ref="CA902">$BI902 * IF($AH902&lt;=2,
SUMPRODUCT(INDEX($AR$23:$AT$61,,$AI902), INDEX($AU$23:$BA$61,,$AH902), 1 / ($BB$23:$BB$61*BY902), N($AQ$23:$AQ$61&gt;$AO902)),
SUMPRODUCT(INDEX($AR$23:$AT$46,,$AI902), INDEX($AU$23:$BA$46,,$AH902), 1 / ($BC$23:$BC$46*BY902), N($AQ$23:$AQ$46&gt;$AO902))
) / 1000</f>
        <v>0</v>
      </c>
      <c r="CB902" s="230">
        <f t="shared" si="815"/>
        <v>0</v>
      </c>
      <c r="CC902" s="238"/>
      <c r="CD902" s="229" cm="1">
        <f t="array" ref="CD902">IF(ISBLANK(Y902), INDEX(Use, $AH902, 4) - AN902*INDEX(Use, $AH902, 6) - (Q902-X902), Y902)</f>
        <v>7</v>
      </c>
      <c r="CE902" s="229">
        <f t="shared" si="816"/>
        <v>32</v>
      </c>
      <c r="CF902" s="230">
        <f t="shared" si="817"/>
        <v>0</v>
      </c>
      <c r="CG902" s="229">
        <v>35</v>
      </c>
      <c r="CH902" s="230">
        <f t="shared" si="818"/>
        <v>48</v>
      </c>
      <c r="CI902" s="235">
        <f t="shared" si="819"/>
        <v>3.0748170731707316</v>
      </c>
      <c r="CJ902" s="235" cm="1">
        <f t="array" ref="CJ902">$BI902 * SUMPRODUCT(INDEX($AR$77:$AT$82,,$AI902),INDEX($AU$77:$BA$82,,$AH902), N($AQ$77:$AQ$82&gt;$AO902)) / CI902 / 1000</f>
        <v>0</v>
      </c>
      <c r="CK902" s="232">
        <f t="shared" si="798"/>
        <v>30</v>
      </c>
      <c r="CL902" s="230">
        <f t="shared" si="820"/>
        <v>43</v>
      </c>
      <c r="CM902" s="235">
        <f t="shared" si="821"/>
        <v>3.5018750000000001</v>
      </c>
      <c r="CN902" s="235" cm="1">
        <f t="array" ref="CN902">$BI902 * IF($AH902&lt;=2,
SUMPRODUCT(INDEX($AR$72:$AT$76,,$AI902), INDEX($AU$72:$BA$76,,$AH902), 1 / ($BB$72:$BB$76*CM902 + (1-$BB$72:$BB$76)*CI902), N($AQ$72:$AQ$76&gt;$AO902)),
SUMPRODUCT(INDEX($AR$67:$AT$76,,$AI902), INDEX($AU$67:$BA$76,,$AH902), 1 / ($BC$67:$BC$76*CM902 + (1-$BC$67:$BC$76)*CI902), N($AQ$67:$AQ$76&gt;$AO902))
) / 1000</f>
        <v>0</v>
      </c>
      <c r="CO902" s="232">
        <f t="shared" si="799"/>
        <v>25</v>
      </c>
      <c r="CP902" s="230">
        <f t="shared" si="822"/>
        <v>38</v>
      </c>
      <c r="CQ902" s="235">
        <f t="shared" si="823"/>
        <v>4.0666935483870965</v>
      </c>
      <c r="CR902" s="235" cm="1">
        <f t="array" ref="CR902">$BI902 * IF($AH902&lt;=2,
SUMPRODUCT(INDEX($AR$67:$AT$71,,$AI902), INDEX($AU$67:$BA$71,,$AH902), 1 / ($BB$67:$BB$71*CQ902 + (1-$BB$67:$BB$71)*CM902), N($AQ$67:$AQ$71&gt;$AO902)),
SUMPRODUCT(INDEX($AR$57:$AT$66,,$AI902), INDEX($AU$57:$BA$66,,$AH902), 1 / ($BC$57:$BC$66*CQ902 + (1-$BC$57:$BC$66)*CM902), N($AQ$57:$AQ$66&gt;$AO902))
) / 1000</f>
        <v>0</v>
      </c>
      <c r="CS902" s="232">
        <f t="shared" si="800"/>
        <v>20</v>
      </c>
      <c r="CT902" s="230">
        <f t="shared" si="824"/>
        <v>33</v>
      </c>
      <c r="CU902" s="235">
        <f t="shared" si="825"/>
        <v>4.8487499999999999</v>
      </c>
      <c r="CV902" s="235" cm="1">
        <f t="array" ref="CV902">$BI902 * IF($AH902&lt;=2,
SUMPRODUCT(INDEX($AR$62:$AT$66,,$AI902), INDEX($AU$62:$BA$66,,$AH902), 1 / ($BB$62:$BB$66*CU902 + (1-$BB$62:$BB$66)*CQ902), N($AQ$62:$AQ$66&gt;$AO902)),
SUMPRODUCT(INDEX($AR$47:$AT$56,,$AI902), INDEX($AU$47:$BA$56,,$AH902), 1 / ($BC$47:$BC$56*CU902 + (1-$BC$47:$BC$56)*CQ902), N($AQ$47:$AQ$56&gt;$AO902))
) / 1000</f>
        <v>0</v>
      </c>
      <c r="CW902" s="235" cm="1">
        <f t="array" ref="CW902">$BI902 * IF($AH902&lt;=2,
SUMPRODUCT(INDEX($AR$23:$AT$61,,$AI902), INDEX($AU$23:$BA$61,,$AH902), 1 / ($BB$23:$BB$61*CU902), N($AQ$23:$AQ$61&gt;$AO902)),
SUMPRODUCT(INDEX($AR$23:$AT$46,,$AI902), INDEX($AU$23:$BA$46,,$AH902), 1 / ($BC$23:$BC$46*CU902), N($AQ$23:$AQ$46&gt;$AO902))
) / 1000</f>
        <v>0</v>
      </c>
      <c r="CX902" s="230">
        <f t="shared" si="826"/>
        <v>0</v>
      </c>
      <c r="CY902" s="238"/>
    </row>
    <row r="903" spans="1:103" s="76" customFormat="1" ht="14.25" customHeight="1" x14ac:dyDescent="0.2">
      <c r="A903" s="231" t="b">
        <f t="shared" si="792"/>
        <v>0</v>
      </c>
      <c r="B903" s="245">
        <v>881</v>
      </c>
      <c r="C903" s="258"/>
      <c r="D903" s="258"/>
      <c r="E903" s="246"/>
      <c r="F903" s="247" t="str">
        <f>IF(ISBLANK(E903), "", VLOOKUP(E903, Z!$A$2:$C$4127, 3, FALSE))</f>
        <v/>
      </c>
      <c r="G903" s="248"/>
      <c r="H903" s="248"/>
      <c r="I903" s="249"/>
      <c r="J903" s="250"/>
      <c r="K903" s="259"/>
      <c r="L903" s="260"/>
      <c r="M903" s="252" t="str" cm="1">
        <f t="array" ref="M903">INDEX(Trad, 53, $A$20)</f>
        <v>Verschmutzt</v>
      </c>
      <c r="N903" s="253"/>
      <c r="O903" s="253"/>
      <c r="P903" s="254"/>
      <c r="Q903" s="251"/>
      <c r="R903" s="251"/>
      <c r="S903" s="264">
        <f t="shared" si="801"/>
        <v>0</v>
      </c>
      <c r="T903" s="252" t="str" cm="1">
        <f t="array" ref="T903">INDEX(Trad, 52, $A$20)</f>
        <v>Sauber</v>
      </c>
      <c r="U903" s="253"/>
      <c r="V903" s="253"/>
      <c r="W903" s="254"/>
      <c r="X903" s="251"/>
      <c r="Y903" s="251"/>
      <c r="Z903" s="264">
        <f t="shared" si="802"/>
        <v>0</v>
      </c>
      <c r="AA903" s="261"/>
      <c r="AB903" s="258"/>
      <c r="AC903" s="246"/>
      <c r="AD903" s="247" t="str">
        <f>IF(ISBLANK(AC903), "", VLOOKUP(AC903, Z!$A$2:$C$4127, 3, FALSE))</f>
        <v/>
      </c>
      <c r="AE903" s="262"/>
      <c r="AF903" s="263">
        <f t="shared" si="803"/>
        <v>0</v>
      </c>
      <c r="AG903" s="238"/>
      <c r="AH903" s="229">
        <f t="shared" si="827"/>
        <v>1</v>
      </c>
      <c r="AI903" s="229">
        <f t="shared" si="828"/>
        <v>1</v>
      </c>
      <c r="AJ903" s="229">
        <f t="shared" si="829"/>
        <v>0</v>
      </c>
      <c r="AK903" s="229">
        <v>0</v>
      </c>
      <c r="AL903" s="229">
        <v>0</v>
      </c>
      <c r="AM903" s="229">
        <v>1</v>
      </c>
      <c r="AN903" s="229">
        <v>0</v>
      </c>
      <c r="AO903" s="229">
        <f t="shared" si="804"/>
        <v>-100</v>
      </c>
      <c r="AP903" s="238"/>
      <c r="AQ903" s="255"/>
      <c r="AR903" s="255"/>
      <c r="AS903" s="256"/>
      <c r="AT903" s="256"/>
      <c r="AU903" s="256"/>
      <c r="AV903" s="256"/>
      <c r="AW903" s="256"/>
      <c r="AX903" s="256"/>
      <c r="AY903" s="256"/>
      <c r="AZ903" s="256"/>
      <c r="BA903" s="256"/>
      <c r="BB903" s="256"/>
      <c r="BC903" s="256"/>
      <c r="BD903" s="238"/>
      <c r="BE903" s="229" cm="1">
        <f t="array" ref="BE903">IF(ISBLANK(R903), INDEX(Use, $AH903, 4) - AM903*INDEX(Use, $AH903, 6), R903)</f>
        <v>5</v>
      </c>
      <c r="BF903" s="229">
        <f t="shared" si="805"/>
        <v>30</v>
      </c>
      <c r="BG903" s="229">
        <f t="shared" si="793"/>
        <v>13</v>
      </c>
      <c r="BH903" s="229">
        <f t="shared" si="794"/>
        <v>0</v>
      </c>
      <c r="BI903" s="234" cm="1">
        <f t="array" ref="BI903">K903/IF($L903&gt;0, INDEX($AU$23:$BA$77, $L903+20, $AH903), 1)</f>
        <v>0</v>
      </c>
      <c r="BJ903" s="230">
        <f t="shared" si="806"/>
        <v>0</v>
      </c>
      <c r="BK903" s="229">
        <v>35</v>
      </c>
      <c r="BL903" s="230">
        <f t="shared" si="807"/>
        <v>48</v>
      </c>
      <c r="BM903" s="235">
        <f t="shared" si="808"/>
        <v>2.9108720930232557</v>
      </c>
      <c r="BN903" s="235" cm="1">
        <f t="array" ref="BN903">$BI903 * SUMPRODUCT(INDEX($AR$77:$AT$82,,$AI903),INDEX($AU$77:$BA$82,,$AH903), N($AQ$77:$AQ$82&gt;$AO903)) / BM903 / 1000</f>
        <v>0</v>
      </c>
      <c r="BO903" s="232">
        <f t="shared" si="795"/>
        <v>30</v>
      </c>
      <c r="BP903" s="230">
        <f t="shared" si="809"/>
        <v>43</v>
      </c>
      <c r="BQ903" s="235">
        <f t="shared" si="810"/>
        <v>3.2938815789473681</v>
      </c>
      <c r="BR903" s="235" cm="1">
        <f t="array" ref="BR903">$BI903 * IF($AH903&lt;=2,
SUMPRODUCT(INDEX($AR$72:$AT$76,,$AI903), INDEX($AU$72:$BA$76,,$AH903), 1 / ($BB$72:$BB$76*BQ903 + (1-$BB$72:$BB$76)*BM903), N($AQ$72:$AQ$76&gt;$AO903)),
SUMPRODUCT(INDEX($AR$67:$AT$76,,$AI903), INDEX($AU$67:$BA$76,,$AH903), 1 / ($BC$67:$BC$76*BQ903 + (1-$BC$67:$BC$76)*BM903), N($AQ$67:$AQ$76&gt;$AO903))
) / 1000</f>
        <v>0</v>
      </c>
      <c r="BS903" s="232">
        <f t="shared" si="796"/>
        <v>25</v>
      </c>
      <c r="BT903" s="230">
        <f t="shared" si="811"/>
        <v>38</v>
      </c>
      <c r="BU903" s="235">
        <f t="shared" si="812"/>
        <v>3.792954545454545</v>
      </c>
      <c r="BV903" s="235" cm="1">
        <f t="array" ref="BV903">$BI903 * IF($AH903&lt;=2,
SUMPRODUCT(INDEX($AR$67:$AT$71,,$AI903), INDEX($AU$67:$BA$71,,$AH903), 1 / ($BB$67:$BB$71*BU903 + (1-$BB$67:$BB$71)*BQ903), N($AQ$67:$AQ$71&gt;$AO903)),
SUMPRODUCT(INDEX($AR$57:$AT$66,,$AI903), INDEX($AU$57:$BA$66,,$AH903), 1 / ($BC$57:$BC$66*BU903 + (1-$BC$57:$BC$66)*BQ903), N($AQ$57:$AQ$66&gt;$AO903))
) / 1000</f>
        <v>0</v>
      </c>
      <c r="BW903" s="232">
        <f t="shared" si="797"/>
        <v>20</v>
      </c>
      <c r="BX903" s="230">
        <f t="shared" si="813"/>
        <v>33</v>
      </c>
      <c r="BY903" s="235">
        <f t="shared" si="814"/>
        <v>4.4702678571428569</v>
      </c>
      <c r="BZ903" s="235" cm="1">
        <f t="array" ref="BZ903">$BI903 * IF($AH903&lt;=2,
SUMPRODUCT(INDEX($AR$62:$AT$66,,$AI903), INDEX($AU$62:$BA$66,,$AH903), 1 / ($BB$62:$BB$66*BY903 + (1-$BB$62:$BB$66)*BU903), N($AQ$62:$AQ$66&gt;$AO903)),
SUMPRODUCT(INDEX($AR$47:$AT$56,,$AI903), INDEX($AU$47:$BA$56,,$AH903), 1 / ($BC$47:$BC$56*BY903 + (1-$BC$47:$BC$56)*BU903), N($AQ$47:$AQ$56&gt;$AO903))
) / 1000</f>
        <v>0</v>
      </c>
      <c r="CA903" s="235" cm="1">
        <f t="array" ref="CA903">$BI903 * IF($AH903&lt;=2,
SUMPRODUCT(INDEX($AR$23:$AT$61,,$AI903), INDEX($AU$23:$BA$61,,$AH903), 1 / ($BB$23:$BB$61*BY903), N($AQ$23:$AQ$61&gt;$AO903)),
SUMPRODUCT(INDEX($AR$23:$AT$46,,$AI903), INDEX($AU$23:$BA$46,,$AH903), 1 / ($BC$23:$BC$46*BY903), N($AQ$23:$AQ$46&gt;$AO903))
) / 1000</f>
        <v>0</v>
      </c>
      <c r="CB903" s="230">
        <f t="shared" si="815"/>
        <v>0</v>
      </c>
      <c r="CC903" s="238"/>
      <c r="CD903" s="229" cm="1">
        <f t="array" ref="CD903">IF(ISBLANK(Y903), INDEX(Use, $AH903, 4) - AN903*INDEX(Use, $AH903, 6) - (Q903-X903), Y903)</f>
        <v>7</v>
      </c>
      <c r="CE903" s="229">
        <f t="shared" si="816"/>
        <v>32</v>
      </c>
      <c r="CF903" s="230">
        <f t="shared" si="817"/>
        <v>0</v>
      </c>
      <c r="CG903" s="229">
        <v>35</v>
      </c>
      <c r="CH903" s="230">
        <f t="shared" si="818"/>
        <v>48</v>
      </c>
      <c r="CI903" s="235">
        <f t="shared" si="819"/>
        <v>3.0748170731707316</v>
      </c>
      <c r="CJ903" s="235" cm="1">
        <f t="array" ref="CJ903">$BI903 * SUMPRODUCT(INDEX($AR$77:$AT$82,,$AI903),INDEX($AU$77:$BA$82,,$AH903), N($AQ$77:$AQ$82&gt;$AO903)) / CI903 / 1000</f>
        <v>0</v>
      </c>
      <c r="CK903" s="232">
        <f t="shared" si="798"/>
        <v>30</v>
      </c>
      <c r="CL903" s="230">
        <f t="shared" si="820"/>
        <v>43</v>
      </c>
      <c r="CM903" s="235">
        <f t="shared" si="821"/>
        <v>3.5018750000000001</v>
      </c>
      <c r="CN903" s="235" cm="1">
        <f t="array" ref="CN903">$BI903 * IF($AH903&lt;=2,
SUMPRODUCT(INDEX($AR$72:$AT$76,,$AI903), INDEX($AU$72:$BA$76,,$AH903), 1 / ($BB$72:$BB$76*CM903 + (1-$BB$72:$BB$76)*CI903), N($AQ$72:$AQ$76&gt;$AO903)),
SUMPRODUCT(INDEX($AR$67:$AT$76,,$AI903), INDEX($AU$67:$BA$76,,$AH903), 1 / ($BC$67:$BC$76*CM903 + (1-$BC$67:$BC$76)*CI903), N($AQ$67:$AQ$76&gt;$AO903))
) / 1000</f>
        <v>0</v>
      </c>
      <c r="CO903" s="232">
        <f t="shared" si="799"/>
        <v>25</v>
      </c>
      <c r="CP903" s="230">
        <f t="shared" si="822"/>
        <v>38</v>
      </c>
      <c r="CQ903" s="235">
        <f t="shared" si="823"/>
        <v>4.0666935483870965</v>
      </c>
      <c r="CR903" s="235" cm="1">
        <f t="array" ref="CR903">$BI903 * IF($AH903&lt;=2,
SUMPRODUCT(INDEX($AR$67:$AT$71,,$AI903), INDEX($AU$67:$BA$71,,$AH903), 1 / ($BB$67:$BB$71*CQ903 + (1-$BB$67:$BB$71)*CM903), N($AQ$67:$AQ$71&gt;$AO903)),
SUMPRODUCT(INDEX($AR$57:$AT$66,,$AI903), INDEX($AU$57:$BA$66,,$AH903), 1 / ($BC$57:$BC$66*CQ903 + (1-$BC$57:$BC$66)*CM903), N($AQ$57:$AQ$66&gt;$AO903))
) / 1000</f>
        <v>0</v>
      </c>
      <c r="CS903" s="232">
        <f t="shared" si="800"/>
        <v>20</v>
      </c>
      <c r="CT903" s="230">
        <f t="shared" si="824"/>
        <v>33</v>
      </c>
      <c r="CU903" s="235">
        <f t="shared" si="825"/>
        <v>4.8487499999999999</v>
      </c>
      <c r="CV903" s="235" cm="1">
        <f t="array" ref="CV903">$BI903 * IF($AH903&lt;=2,
SUMPRODUCT(INDEX($AR$62:$AT$66,,$AI903), INDEX($AU$62:$BA$66,,$AH903), 1 / ($BB$62:$BB$66*CU903 + (1-$BB$62:$BB$66)*CQ903), N($AQ$62:$AQ$66&gt;$AO903)),
SUMPRODUCT(INDEX($AR$47:$AT$56,,$AI903), INDEX($AU$47:$BA$56,,$AH903), 1 / ($BC$47:$BC$56*CU903 + (1-$BC$47:$BC$56)*CQ903), N($AQ$47:$AQ$56&gt;$AO903))
) / 1000</f>
        <v>0</v>
      </c>
      <c r="CW903" s="235" cm="1">
        <f t="array" ref="CW903">$BI903 * IF($AH903&lt;=2,
SUMPRODUCT(INDEX($AR$23:$AT$61,,$AI903), INDEX($AU$23:$BA$61,,$AH903), 1 / ($BB$23:$BB$61*CU903), N($AQ$23:$AQ$61&gt;$AO903)),
SUMPRODUCT(INDEX($AR$23:$AT$46,,$AI903), INDEX($AU$23:$BA$46,,$AH903), 1 / ($BC$23:$BC$46*CU903), N($AQ$23:$AQ$46&gt;$AO903))
) / 1000</f>
        <v>0</v>
      </c>
      <c r="CX903" s="230">
        <f t="shared" si="826"/>
        <v>0</v>
      </c>
      <c r="CY903" s="238"/>
    </row>
    <row r="904" spans="1:103" s="76" customFormat="1" ht="14.25" customHeight="1" x14ac:dyDescent="0.2">
      <c r="A904" s="231" t="b">
        <f t="shared" si="792"/>
        <v>0</v>
      </c>
      <c r="B904" s="245">
        <v>882</v>
      </c>
      <c r="C904" s="258"/>
      <c r="D904" s="258"/>
      <c r="E904" s="246"/>
      <c r="F904" s="247" t="str">
        <f>IF(ISBLANK(E904), "", VLOOKUP(E904, Z!$A$2:$C$4127, 3, FALSE))</f>
        <v/>
      </c>
      <c r="G904" s="248"/>
      <c r="H904" s="248"/>
      <c r="I904" s="249"/>
      <c r="J904" s="250"/>
      <c r="K904" s="259"/>
      <c r="L904" s="260"/>
      <c r="M904" s="252" t="str" cm="1">
        <f t="array" ref="M904">INDEX(Trad, 53, $A$20)</f>
        <v>Verschmutzt</v>
      </c>
      <c r="N904" s="253"/>
      <c r="O904" s="253"/>
      <c r="P904" s="254"/>
      <c r="Q904" s="251"/>
      <c r="R904" s="251"/>
      <c r="S904" s="264">
        <f t="shared" si="801"/>
        <v>0</v>
      </c>
      <c r="T904" s="252" t="str" cm="1">
        <f t="array" ref="T904">INDEX(Trad, 52, $A$20)</f>
        <v>Sauber</v>
      </c>
      <c r="U904" s="253"/>
      <c r="V904" s="253"/>
      <c r="W904" s="254"/>
      <c r="X904" s="251"/>
      <c r="Y904" s="251"/>
      <c r="Z904" s="264">
        <f t="shared" si="802"/>
        <v>0</v>
      </c>
      <c r="AA904" s="261"/>
      <c r="AB904" s="258"/>
      <c r="AC904" s="246"/>
      <c r="AD904" s="247" t="str">
        <f>IF(ISBLANK(AC904), "", VLOOKUP(AC904, Z!$A$2:$C$4127, 3, FALSE))</f>
        <v/>
      </c>
      <c r="AE904" s="262"/>
      <c r="AF904" s="263">
        <f t="shared" si="803"/>
        <v>0</v>
      </c>
      <c r="AG904" s="238"/>
      <c r="AH904" s="229">
        <f t="shared" si="827"/>
        <v>1</v>
      </c>
      <c r="AI904" s="229">
        <f t="shared" si="828"/>
        <v>1</v>
      </c>
      <c r="AJ904" s="229">
        <f t="shared" si="829"/>
        <v>0</v>
      </c>
      <c r="AK904" s="229">
        <v>0</v>
      </c>
      <c r="AL904" s="229">
        <v>0</v>
      </c>
      <c r="AM904" s="229">
        <v>1</v>
      </c>
      <c r="AN904" s="229">
        <v>0</v>
      </c>
      <c r="AO904" s="229">
        <f t="shared" si="804"/>
        <v>-100</v>
      </c>
      <c r="AP904" s="238"/>
      <c r="AQ904" s="255"/>
      <c r="AR904" s="255"/>
      <c r="AS904" s="256"/>
      <c r="AT904" s="256"/>
      <c r="AU904" s="256"/>
      <c r="AV904" s="256"/>
      <c r="AW904" s="256"/>
      <c r="AX904" s="256"/>
      <c r="AY904" s="256"/>
      <c r="AZ904" s="256"/>
      <c r="BA904" s="256"/>
      <c r="BB904" s="256"/>
      <c r="BC904" s="256"/>
      <c r="BD904" s="238"/>
      <c r="BE904" s="229" cm="1">
        <f t="array" ref="BE904">IF(ISBLANK(R904), INDEX(Use, $AH904, 4) - AM904*INDEX(Use, $AH904, 6), R904)</f>
        <v>5</v>
      </c>
      <c r="BF904" s="229">
        <f t="shared" si="805"/>
        <v>30</v>
      </c>
      <c r="BG904" s="229">
        <f t="shared" si="793"/>
        <v>13</v>
      </c>
      <c r="BH904" s="229">
        <f t="shared" si="794"/>
        <v>0</v>
      </c>
      <c r="BI904" s="234" cm="1">
        <f t="array" ref="BI904">K904/IF($L904&gt;0, INDEX($AU$23:$BA$77, $L904+20, $AH904), 1)</f>
        <v>0</v>
      </c>
      <c r="BJ904" s="230">
        <f t="shared" si="806"/>
        <v>0</v>
      </c>
      <c r="BK904" s="229">
        <v>35</v>
      </c>
      <c r="BL904" s="230">
        <f t="shared" si="807"/>
        <v>48</v>
      </c>
      <c r="BM904" s="235">
        <f t="shared" si="808"/>
        <v>2.9108720930232557</v>
      </c>
      <c r="BN904" s="235" cm="1">
        <f t="array" ref="BN904">$BI904 * SUMPRODUCT(INDEX($AR$77:$AT$82,,$AI904),INDEX($AU$77:$BA$82,,$AH904), N($AQ$77:$AQ$82&gt;$AO904)) / BM904 / 1000</f>
        <v>0</v>
      </c>
      <c r="BO904" s="232">
        <f t="shared" si="795"/>
        <v>30</v>
      </c>
      <c r="BP904" s="230">
        <f t="shared" si="809"/>
        <v>43</v>
      </c>
      <c r="BQ904" s="235">
        <f t="shared" si="810"/>
        <v>3.2938815789473681</v>
      </c>
      <c r="BR904" s="235" cm="1">
        <f t="array" ref="BR904">$BI904 * IF($AH904&lt;=2,
SUMPRODUCT(INDEX($AR$72:$AT$76,,$AI904), INDEX($AU$72:$BA$76,,$AH904), 1 / ($BB$72:$BB$76*BQ904 + (1-$BB$72:$BB$76)*BM904), N($AQ$72:$AQ$76&gt;$AO904)),
SUMPRODUCT(INDEX($AR$67:$AT$76,,$AI904), INDEX($AU$67:$BA$76,,$AH904), 1 / ($BC$67:$BC$76*BQ904 + (1-$BC$67:$BC$76)*BM904), N($AQ$67:$AQ$76&gt;$AO904))
) / 1000</f>
        <v>0</v>
      </c>
      <c r="BS904" s="232">
        <f t="shared" si="796"/>
        <v>25</v>
      </c>
      <c r="BT904" s="230">
        <f t="shared" si="811"/>
        <v>38</v>
      </c>
      <c r="BU904" s="235">
        <f t="shared" si="812"/>
        <v>3.792954545454545</v>
      </c>
      <c r="BV904" s="235" cm="1">
        <f t="array" ref="BV904">$BI904 * IF($AH904&lt;=2,
SUMPRODUCT(INDEX($AR$67:$AT$71,,$AI904), INDEX($AU$67:$BA$71,,$AH904), 1 / ($BB$67:$BB$71*BU904 + (1-$BB$67:$BB$71)*BQ904), N($AQ$67:$AQ$71&gt;$AO904)),
SUMPRODUCT(INDEX($AR$57:$AT$66,,$AI904), INDEX($AU$57:$BA$66,,$AH904), 1 / ($BC$57:$BC$66*BU904 + (1-$BC$57:$BC$66)*BQ904), N($AQ$57:$AQ$66&gt;$AO904))
) / 1000</f>
        <v>0</v>
      </c>
      <c r="BW904" s="232">
        <f t="shared" si="797"/>
        <v>20</v>
      </c>
      <c r="BX904" s="230">
        <f t="shared" si="813"/>
        <v>33</v>
      </c>
      <c r="BY904" s="235">
        <f t="shared" si="814"/>
        <v>4.4702678571428569</v>
      </c>
      <c r="BZ904" s="235" cm="1">
        <f t="array" ref="BZ904">$BI904 * IF($AH904&lt;=2,
SUMPRODUCT(INDEX($AR$62:$AT$66,,$AI904), INDEX($AU$62:$BA$66,,$AH904), 1 / ($BB$62:$BB$66*BY904 + (1-$BB$62:$BB$66)*BU904), N($AQ$62:$AQ$66&gt;$AO904)),
SUMPRODUCT(INDEX($AR$47:$AT$56,,$AI904), INDEX($AU$47:$BA$56,,$AH904), 1 / ($BC$47:$BC$56*BY904 + (1-$BC$47:$BC$56)*BU904), N($AQ$47:$AQ$56&gt;$AO904))
) / 1000</f>
        <v>0</v>
      </c>
      <c r="CA904" s="235" cm="1">
        <f t="array" ref="CA904">$BI904 * IF($AH904&lt;=2,
SUMPRODUCT(INDEX($AR$23:$AT$61,,$AI904), INDEX($AU$23:$BA$61,,$AH904), 1 / ($BB$23:$BB$61*BY904), N($AQ$23:$AQ$61&gt;$AO904)),
SUMPRODUCT(INDEX($AR$23:$AT$46,,$AI904), INDEX($AU$23:$BA$46,,$AH904), 1 / ($BC$23:$BC$46*BY904), N($AQ$23:$AQ$46&gt;$AO904))
) / 1000</f>
        <v>0</v>
      </c>
      <c r="CB904" s="230">
        <f t="shared" si="815"/>
        <v>0</v>
      </c>
      <c r="CC904" s="238"/>
      <c r="CD904" s="229" cm="1">
        <f t="array" ref="CD904">IF(ISBLANK(Y904), INDEX(Use, $AH904, 4) - AN904*INDEX(Use, $AH904, 6) - (Q904-X904), Y904)</f>
        <v>7</v>
      </c>
      <c r="CE904" s="229">
        <f t="shared" si="816"/>
        <v>32</v>
      </c>
      <c r="CF904" s="230">
        <f t="shared" si="817"/>
        <v>0</v>
      </c>
      <c r="CG904" s="229">
        <v>35</v>
      </c>
      <c r="CH904" s="230">
        <f t="shared" si="818"/>
        <v>48</v>
      </c>
      <c r="CI904" s="235">
        <f t="shared" si="819"/>
        <v>3.0748170731707316</v>
      </c>
      <c r="CJ904" s="235" cm="1">
        <f t="array" ref="CJ904">$BI904 * SUMPRODUCT(INDEX($AR$77:$AT$82,,$AI904),INDEX($AU$77:$BA$82,,$AH904), N($AQ$77:$AQ$82&gt;$AO904)) / CI904 / 1000</f>
        <v>0</v>
      </c>
      <c r="CK904" s="232">
        <f t="shared" si="798"/>
        <v>30</v>
      </c>
      <c r="CL904" s="230">
        <f t="shared" si="820"/>
        <v>43</v>
      </c>
      <c r="CM904" s="235">
        <f t="shared" si="821"/>
        <v>3.5018750000000001</v>
      </c>
      <c r="CN904" s="235" cm="1">
        <f t="array" ref="CN904">$BI904 * IF($AH904&lt;=2,
SUMPRODUCT(INDEX($AR$72:$AT$76,,$AI904), INDEX($AU$72:$BA$76,,$AH904), 1 / ($BB$72:$BB$76*CM904 + (1-$BB$72:$BB$76)*CI904), N($AQ$72:$AQ$76&gt;$AO904)),
SUMPRODUCT(INDEX($AR$67:$AT$76,,$AI904), INDEX($AU$67:$BA$76,,$AH904), 1 / ($BC$67:$BC$76*CM904 + (1-$BC$67:$BC$76)*CI904), N($AQ$67:$AQ$76&gt;$AO904))
) / 1000</f>
        <v>0</v>
      </c>
      <c r="CO904" s="232">
        <f t="shared" si="799"/>
        <v>25</v>
      </c>
      <c r="CP904" s="230">
        <f t="shared" si="822"/>
        <v>38</v>
      </c>
      <c r="CQ904" s="235">
        <f t="shared" si="823"/>
        <v>4.0666935483870965</v>
      </c>
      <c r="CR904" s="235" cm="1">
        <f t="array" ref="CR904">$BI904 * IF($AH904&lt;=2,
SUMPRODUCT(INDEX($AR$67:$AT$71,,$AI904), INDEX($AU$67:$BA$71,,$AH904), 1 / ($BB$67:$BB$71*CQ904 + (1-$BB$67:$BB$71)*CM904), N($AQ$67:$AQ$71&gt;$AO904)),
SUMPRODUCT(INDEX($AR$57:$AT$66,,$AI904), INDEX($AU$57:$BA$66,,$AH904), 1 / ($BC$57:$BC$66*CQ904 + (1-$BC$57:$BC$66)*CM904), N($AQ$57:$AQ$66&gt;$AO904))
) / 1000</f>
        <v>0</v>
      </c>
      <c r="CS904" s="232">
        <f t="shared" si="800"/>
        <v>20</v>
      </c>
      <c r="CT904" s="230">
        <f t="shared" si="824"/>
        <v>33</v>
      </c>
      <c r="CU904" s="235">
        <f t="shared" si="825"/>
        <v>4.8487499999999999</v>
      </c>
      <c r="CV904" s="235" cm="1">
        <f t="array" ref="CV904">$BI904 * IF($AH904&lt;=2,
SUMPRODUCT(INDEX($AR$62:$AT$66,,$AI904), INDEX($AU$62:$BA$66,,$AH904), 1 / ($BB$62:$BB$66*CU904 + (1-$BB$62:$BB$66)*CQ904), N($AQ$62:$AQ$66&gt;$AO904)),
SUMPRODUCT(INDEX($AR$47:$AT$56,,$AI904), INDEX($AU$47:$BA$56,,$AH904), 1 / ($BC$47:$BC$56*CU904 + (1-$BC$47:$BC$56)*CQ904), N($AQ$47:$AQ$56&gt;$AO904))
) / 1000</f>
        <v>0</v>
      </c>
      <c r="CW904" s="235" cm="1">
        <f t="array" ref="CW904">$BI904 * IF($AH904&lt;=2,
SUMPRODUCT(INDEX($AR$23:$AT$61,,$AI904), INDEX($AU$23:$BA$61,,$AH904), 1 / ($BB$23:$BB$61*CU904), N($AQ$23:$AQ$61&gt;$AO904)),
SUMPRODUCT(INDEX($AR$23:$AT$46,,$AI904), INDEX($AU$23:$BA$46,,$AH904), 1 / ($BC$23:$BC$46*CU904), N($AQ$23:$AQ$46&gt;$AO904))
) / 1000</f>
        <v>0</v>
      </c>
      <c r="CX904" s="230">
        <f t="shared" si="826"/>
        <v>0</v>
      </c>
      <c r="CY904" s="238"/>
    </row>
    <row r="905" spans="1:103" s="76" customFormat="1" ht="14.25" customHeight="1" x14ac:dyDescent="0.2">
      <c r="A905" s="231" t="b">
        <f t="shared" si="792"/>
        <v>0</v>
      </c>
      <c r="B905" s="245">
        <v>883</v>
      </c>
      <c r="C905" s="258"/>
      <c r="D905" s="258"/>
      <c r="E905" s="246"/>
      <c r="F905" s="247" t="str">
        <f>IF(ISBLANK(E905), "", VLOOKUP(E905, Z!$A$2:$C$4127, 3, FALSE))</f>
        <v/>
      </c>
      <c r="G905" s="248"/>
      <c r="H905" s="248"/>
      <c r="I905" s="249"/>
      <c r="J905" s="250"/>
      <c r="K905" s="259"/>
      <c r="L905" s="260"/>
      <c r="M905" s="252" t="str" cm="1">
        <f t="array" ref="M905">INDEX(Trad, 53, $A$20)</f>
        <v>Verschmutzt</v>
      </c>
      <c r="N905" s="253"/>
      <c r="O905" s="253"/>
      <c r="P905" s="254"/>
      <c r="Q905" s="251"/>
      <c r="R905" s="251"/>
      <c r="S905" s="264">
        <f t="shared" si="801"/>
        <v>0</v>
      </c>
      <c r="T905" s="252" t="str" cm="1">
        <f t="array" ref="T905">INDEX(Trad, 52, $A$20)</f>
        <v>Sauber</v>
      </c>
      <c r="U905" s="253"/>
      <c r="V905" s="253"/>
      <c r="W905" s="254"/>
      <c r="X905" s="251"/>
      <c r="Y905" s="251"/>
      <c r="Z905" s="264">
        <f t="shared" si="802"/>
        <v>0</v>
      </c>
      <c r="AA905" s="261"/>
      <c r="AB905" s="258"/>
      <c r="AC905" s="246"/>
      <c r="AD905" s="247" t="str">
        <f>IF(ISBLANK(AC905), "", VLOOKUP(AC905, Z!$A$2:$C$4127, 3, FALSE))</f>
        <v/>
      </c>
      <c r="AE905" s="262"/>
      <c r="AF905" s="263">
        <f t="shared" si="803"/>
        <v>0</v>
      </c>
      <c r="AG905" s="238"/>
      <c r="AH905" s="229">
        <f t="shared" si="827"/>
        <v>1</v>
      </c>
      <c r="AI905" s="229">
        <f t="shared" si="828"/>
        <v>1</v>
      </c>
      <c r="AJ905" s="229">
        <f t="shared" si="829"/>
        <v>0</v>
      </c>
      <c r="AK905" s="229">
        <v>0</v>
      </c>
      <c r="AL905" s="229">
        <v>0</v>
      </c>
      <c r="AM905" s="229">
        <v>1</v>
      </c>
      <c r="AN905" s="229">
        <v>0</v>
      </c>
      <c r="AO905" s="229">
        <f t="shared" si="804"/>
        <v>-100</v>
      </c>
      <c r="AP905" s="238"/>
      <c r="AQ905" s="255"/>
      <c r="AR905" s="255"/>
      <c r="AS905" s="256"/>
      <c r="AT905" s="256"/>
      <c r="AU905" s="256"/>
      <c r="AV905" s="256"/>
      <c r="AW905" s="256"/>
      <c r="AX905" s="256"/>
      <c r="AY905" s="256"/>
      <c r="AZ905" s="256"/>
      <c r="BA905" s="256"/>
      <c r="BB905" s="256"/>
      <c r="BC905" s="256"/>
      <c r="BD905" s="238"/>
      <c r="BE905" s="229" cm="1">
        <f t="array" ref="BE905">IF(ISBLANK(R905), INDEX(Use, $AH905, 4) - AM905*INDEX(Use, $AH905, 6), R905)</f>
        <v>5</v>
      </c>
      <c r="BF905" s="229">
        <f t="shared" si="805"/>
        <v>30</v>
      </c>
      <c r="BG905" s="229">
        <f t="shared" si="793"/>
        <v>13</v>
      </c>
      <c r="BH905" s="229">
        <f t="shared" si="794"/>
        <v>0</v>
      </c>
      <c r="BI905" s="234" cm="1">
        <f t="array" ref="BI905">K905/IF($L905&gt;0, INDEX($AU$23:$BA$77, $L905+20, $AH905), 1)</f>
        <v>0</v>
      </c>
      <c r="BJ905" s="230">
        <f t="shared" si="806"/>
        <v>0</v>
      </c>
      <c r="BK905" s="229">
        <v>35</v>
      </c>
      <c r="BL905" s="230">
        <f t="shared" si="807"/>
        <v>48</v>
      </c>
      <c r="BM905" s="235">
        <f t="shared" si="808"/>
        <v>2.9108720930232557</v>
      </c>
      <c r="BN905" s="235" cm="1">
        <f t="array" ref="BN905">$BI905 * SUMPRODUCT(INDEX($AR$77:$AT$82,,$AI905),INDEX($AU$77:$BA$82,,$AH905), N($AQ$77:$AQ$82&gt;$AO905)) / BM905 / 1000</f>
        <v>0</v>
      </c>
      <c r="BO905" s="232">
        <f t="shared" si="795"/>
        <v>30</v>
      </c>
      <c r="BP905" s="230">
        <f t="shared" si="809"/>
        <v>43</v>
      </c>
      <c r="BQ905" s="235">
        <f t="shared" si="810"/>
        <v>3.2938815789473681</v>
      </c>
      <c r="BR905" s="235" cm="1">
        <f t="array" ref="BR905">$BI905 * IF($AH905&lt;=2,
SUMPRODUCT(INDEX($AR$72:$AT$76,,$AI905), INDEX($AU$72:$BA$76,,$AH905), 1 / ($BB$72:$BB$76*BQ905 + (1-$BB$72:$BB$76)*BM905), N($AQ$72:$AQ$76&gt;$AO905)),
SUMPRODUCT(INDEX($AR$67:$AT$76,,$AI905), INDEX($AU$67:$BA$76,,$AH905), 1 / ($BC$67:$BC$76*BQ905 + (1-$BC$67:$BC$76)*BM905), N($AQ$67:$AQ$76&gt;$AO905))
) / 1000</f>
        <v>0</v>
      </c>
      <c r="BS905" s="232">
        <f t="shared" si="796"/>
        <v>25</v>
      </c>
      <c r="BT905" s="230">
        <f t="shared" si="811"/>
        <v>38</v>
      </c>
      <c r="BU905" s="235">
        <f t="shared" si="812"/>
        <v>3.792954545454545</v>
      </c>
      <c r="BV905" s="235" cm="1">
        <f t="array" ref="BV905">$BI905 * IF($AH905&lt;=2,
SUMPRODUCT(INDEX($AR$67:$AT$71,,$AI905), INDEX($AU$67:$BA$71,,$AH905), 1 / ($BB$67:$BB$71*BU905 + (1-$BB$67:$BB$71)*BQ905), N($AQ$67:$AQ$71&gt;$AO905)),
SUMPRODUCT(INDEX($AR$57:$AT$66,,$AI905), INDEX($AU$57:$BA$66,,$AH905), 1 / ($BC$57:$BC$66*BU905 + (1-$BC$57:$BC$66)*BQ905), N($AQ$57:$AQ$66&gt;$AO905))
) / 1000</f>
        <v>0</v>
      </c>
      <c r="BW905" s="232">
        <f t="shared" si="797"/>
        <v>20</v>
      </c>
      <c r="BX905" s="230">
        <f t="shared" si="813"/>
        <v>33</v>
      </c>
      <c r="BY905" s="235">
        <f t="shared" si="814"/>
        <v>4.4702678571428569</v>
      </c>
      <c r="BZ905" s="235" cm="1">
        <f t="array" ref="BZ905">$BI905 * IF($AH905&lt;=2,
SUMPRODUCT(INDEX($AR$62:$AT$66,,$AI905), INDEX($AU$62:$BA$66,,$AH905), 1 / ($BB$62:$BB$66*BY905 + (1-$BB$62:$BB$66)*BU905), N($AQ$62:$AQ$66&gt;$AO905)),
SUMPRODUCT(INDEX($AR$47:$AT$56,,$AI905), INDEX($AU$47:$BA$56,,$AH905), 1 / ($BC$47:$BC$56*BY905 + (1-$BC$47:$BC$56)*BU905), N($AQ$47:$AQ$56&gt;$AO905))
) / 1000</f>
        <v>0</v>
      </c>
      <c r="CA905" s="235" cm="1">
        <f t="array" ref="CA905">$BI905 * IF($AH905&lt;=2,
SUMPRODUCT(INDEX($AR$23:$AT$61,,$AI905), INDEX($AU$23:$BA$61,,$AH905), 1 / ($BB$23:$BB$61*BY905), N($AQ$23:$AQ$61&gt;$AO905)),
SUMPRODUCT(INDEX($AR$23:$AT$46,,$AI905), INDEX($AU$23:$BA$46,,$AH905), 1 / ($BC$23:$BC$46*BY905), N($AQ$23:$AQ$46&gt;$AO905))
) / 1000</f>
        <v>0</v>
      </c>
      <c r="CB905" s="230">
        <f t="shared" si="815"/>
        <v>0</v>
      </c>
      <c r="CC905" s="238"/>
      <c r="CD905" s="229" cm="1">
        <f t="array" ref="CD905">IF(ISBLANK(Y905), INDEX(Use, $AH905, 4) - AN905*INDEX(Use, $AH905, 6) - (Q905-X905), Y905)</f>
        <v>7</v>
      </c>
      <c r="CE905" s="229">
        <f t="shared" si="816"/>
        <v>32</v>
      </c>
      <c r="CF905" s="230">
        <f t="shared" si="817"/>
        <v>0</v>
      </c>
      <c r="CG905" s="229">
        <v>35</v>
      </c>
      <c r="CH905" s="230">
        <f t="shared" si="818"/>
        <v>48</v>
      </c>
      <c r="CI905" s="235">
        <f t="shared" si="819"/>
        <v>3.0748170731707316</v>
      </c>
      <c r="CJ905" s="235" cm="1">
        <f t="array" ref="CJ905">$BI905 * SUMPRODUCT(INDEX($AR$77:$AT$82,,$AI905),INDEX($AU$77:$BA$82,,$AH905), N($AQ$77:$AQ$82&gt;$AO905)) / CI905 / 1000</f>
        <v>0</v>
      </c>
      <c r="CK905" s="232">
        <f t="shared" si="798"/>
        <v>30</v>
      </c>
      <c r="CL905" s="230">
        <f t="shared" si="820"/>
        <v>43</v>
      </c>
      <c r="CM905" s="235">
        <f t="shared" si="821"/>
        <v>3.5018750000000001</v>
      </c>
      <c r="CN905" s="235" cm="1">
        <f t="array" ref="CN905">$BI905 * IF($AH905&lt;=2,
SUMPRODUCT(INDEX($AR$72:$AT$76,,$AI905), INDEX($AU$72:$BA$76,,$AH905), 1 / ($BB$72:$BB$76*CM905 + (1-$BB$72:$BB$76)*CI905), N($AQ$72:$AQ$76&gt;$AO905)),
SUMPRODUCT(INDEX($AR$67:$AT$76,,$AI905), INDEX($AU$67:$BA$76,,$AH905), 1 / ($BC$67:$BC$76*CM905 + (1-$BC$67:$BC$76)*CI905), N($AQ$67:$AQ$76&gt;$AO905))
) / 1000</f>
        <v>0</v>
      </c>
      <c r="CO905" s="232">
        <f t="shared" si="799"/>
        <v>25</v>
      </c>
      <c r="CP905" s="230">
        <f t="shared" si="822"/>
        <v>38</v>
      </c>
      <c r="CQ905" s="235">
        <f t="shared" si="823"/>
        <v>4.0666935483870965</v>
      </c>
      <c r="CR905" s="235" cm="1">
        <f t="array" ref="CR905">$BI905 * IF($AH905&lt;=2,
SUMPRODUCT(INDEX($AR$67:$AT$71,,$AI905), INDEX($AU$67:$BA$71,,$AH905), 1 / ($BB$67:$BB$71*CQ905 + (1-$BB$67:$BB$71)*CM905), N($AQ$67:$AQ$71&gt;$AO905)),
SUMPRODUCT(INDEX($AR$57:$AT$66,,$AI905), INDEX($AU$57:$BA$66,,$AH905), 1 / ($BC$57:$BC$66*CQ905 + (1-$BC$57:$BC$66)*CM905), N($AQ$57:$AQ$66&gt;$AO905))
) / 1000</f>
        <v>0</v>
      </c>
      <c r="CS905" s="232">
        <f t="shared" si="800"/>
        <v>20</v>
      </c>
      <c r="CT905" s="230">
        <f t="shared" si="824"/>
        <v>33</v>
      </c>
      <c r="CU905" s="235">
        <f t="shared" si="825"/>
        <v>4.8487499999999999</v>
      </c>
      <c r="CV905" s="235" cm="1">
        <f t="array" ref="CV905">$BI905 * IF($AH905&lt;=2,
SUMPRODUCT(INDEX($AR$62:$AT$66,,$AI905), INDEX($AU$62:$BA$66,,$AH905), 1 / ($BB$62:$BB$66*CU905 + (1-$BB$62:$BB$66)*CQ905), N($AQ$62:$AQ$66&gt;$AO905)),
SUMPRODUCT(INDEX($AR$47:$AT$56,,$AI905), INDEX($AU$47:$BA$56,,$AH905), 1 / ($BC$47:$BC$56*CU905 + (1-$BC$47:$BC$56)*CQ905), N($AQ$47:$AQ$56&gt;$AO905))
) / 1000</f>
        <v>0</v>
      </c>
      <c r="CW905" s="235" cm="1">
        <f t="array" ref="CW905">$BI905 * IF($AH905&lt;=2,
SUMPRODUCT(INDEX($AR$23:$AT$61,,$AI905), INDEX($AU$23:$BA$61,,$AH905), 1 / ($BB$23:$BB$61*CU905), N($AQ$23:$AQ$61&gt;$AO905)),
SUMPRODUCT(INDEX($AR$23:$AT$46,,$AI905), INDEX($AU$23:$BA$46,,$AH905), 1 / ($BC$23:$BC$46*CU905), N($AQ$23:$AQ$46&gt;$AO905))
) / 1000</f>
        <v>0</v>
      </c>
      <c r="CX905" s="230">
        <f t="shared" si="826"/>
        <v>0</v>
      </c>
      <c r="CY905" s="238"/>
    </row>
    <row r="906" spans="1:103" s="76" customFormat="1" ht="14.25" customHeight="1" x14ac:dyDescent="0.2">
      <c r="A906" s="231" t="b">
        <f t="shared" si="792"/>
        <v>0</v>
      </c>
      <c r="B906" s="245">
        <v>884</v>
      </c>
      <c r="C906" s="258"/>
      <c r="D906" s="258"/>
      <c r="E906" s="246"/>
      <c r="F906" s="247" t="str">
        <f>IF(ISBLANK(E906), "", VLOOKUP(E906, Z!$A$2:$C$4127, 3, FALSE))</f>
        <v/>
      </c>
      <c r="G906" s="248"/>
      <c r="H906" s="248"/>
      <c r="I906" s="249"/>
      <c r="J906" s="250"/>
      <c r="K906" s="259"/>
      <c r="L906" s="260"/>
      <c r="M906" s="252" t="str" cm="1">
        <f t="array" ref="M906">INDEX(Trad, 53, $A$20)</f>
        <v>Verschmutzt</v>
      </c>
      <c r="N906" s="253"/>
      <c r="O906" s="253"/>
      <c r="P906" s="254"/>
      <c r="Q906" s="251"/>
      <c r="R906" s="251"/>
      <c r="S906" s="264">
        <f t="shared" si="801"/>
        <v>0</v>
      </c>
      <c r="T906" s="252" t="str" cm="1">
        <f t="array" ref="T906">INDEX(Trad, 52, $A$20)</f>
        <v>Sauber</v>
      </c>
      <c r="U906" s="253"/>
      <c r="V906" s="253"/>
      <c r="W906" s="254"/>
      <c r="X906" s="251"/>
      <c r="Y906" s="251"/>
      <c r="Z906" s="264">
        <f t="shared" si="802"/>
        <v>0</v>
      </c>
      <c r="AA906" s="261"/>
      <c r="AB906" s="258"/>
      <c r="AC906" s="246"/>
      <c r="AD906" s="247" t="str">
        <f>IF(ISBLANK(AC906), "", VLOOKUP(AC906, Z!$A$2:$C$4127, 3, FALSE))</f>
        <v/>
      </c>
      <c r="AE906" s="262"/>
      <c r="AF906" s="263">
        <f t="shared" si="803"/>
        <v>0</v>
      </c>
      <c r="AG906" s="238"/>
      <c r="AH906" s="229">
        <f t="shared" si="827"/>
        <v>1</v>
      </c>
      <c r="AI906" s="229">
        <f t="shared" si="828"/>
        <v>1</v>
      </c>
      <c r="AJ906" s="229">
        <f t="shared" si="829"/>
        <v>0</v>
      </c>
      <c r="AK906" s="229">
        <v>0</v>
      </c>
      <c r="AL906" s="229">
        <v>0</v>
      </c>
      <c r="AM906" s="229">
        <v>1</v>
      </c>
      <c r="AN906" s="229">
        <v>0</v>
      </c>
      <c r="AO906" s="229">
        <f t="shared" si="804"/>
        <v>-100</v>
      </c>
      <c r="AP906" s="238"/>
      <c r="AQ906" s="255"/>
      <c r="AR906" s="255"/>
      <c r="AS906" s="256"/>
      <c r="AT906" s="256"/>
      <c r="AU906" s="256"/>
      <c r="AV906" s="256"/>
      <c r="AW906" s="256"/>
      <c r="AX906" s="256"/>
      <c r="AY906" s="256"/>
      <c r="AZ906" s="256"/>
      <c r="BA906" s="256"/>
      <c r="BB906" s="256"/>
      <c r="BC906" s="256"/>
      <c r="BD906" s="238"/>
      <c r="BE906" s="229" cm="1">
        <f t="array" ref="BE906">IF(ISBLANK(R906), INDEX(Use, $AH906, 4) - AM906*INDEX(Use, $AH906, 6), R906)</f>
        <v>5</v>
      </c>
      <c r="BF906" s="229">
        <f t="shared" si="805"/>
        <v>30</v>
      </c>
      <c r="BG906" s="229">
        <f t="shared" si="793"/>
        <v>13</v>
      </c>
      <c r="BH906" s="229">
        <f t="shared" si="794"/>
        <v>0</v>
      </c>
      <c r="BI906" s="234" cm="1">
        <f t="array" ref="BI906">K906/IF($L906&gt;0, INDEX($AU$23:$BA$77, $L906+20, $AH906), 1)</f>
        <v>0</v>
      </c>
      <c r="BJ906" s="230">
        <f t="shared" si="806"/>
        <v>0</v>
      </c>
      <c r="BK906" s="229">
        <v>35</v>
      </c>
      <c r="BL906" s="230">
        <f t="shared" si="807"/>
        <v>48</v>
      </c>
      <c r="BM906" s="235">
        <f t="shared" si="808"/>
        <v>2.9108720930232557</v>
      </c>
      <c r="BN906" s="235" cm="1">
        <f t="array" ref="BN906">$BI906 * SUMPRODUCT(INDEX($AR$77:$AT$82,,$AI906),INDEX($AU$77:$BA$82,,$AH906), N($AQ$77:$AQ$82&gt;$AO906)) / BM906 / 1000</f>
        <v>0</v>
      </c>
      <c r="BO906" s="232">
        <f t="shared" si="795"/>
        <v>30</v>
      </c>
      <c r="BP906" s="230">
        <f t="shared" si="809"/>
        <v>43</v>
      </c>
      <c r="BQ906" s="235">
        <f t="shared" si="810"/>
        <v>3.2938815789473681</v>
      </c>
      <c r="BR906" s="235" cm="1">
        <f t="array" ref="BR906">$BI906 * IF($AH906&lt;=2,
SUMPRODUCT(INDEX($AR$72:$AT$76,,$AI906), INDEX($AU$72:$BA$76,,$AH906), 1 / ($BB$72:$BB$76*BQ906 + (1-$BB$72:$BB$76)*BM906), N($AQ$72:$AQ$76&gt;$AO906)),
SUMPRODUCT(INDEX($AR$67:$AT$76,,$AI906), INDEX($AU$67:$BA$76,,$AH906), 1 / ($BC$67:$BC$76*BQ906 + (1-$BC$67:$BC$76)*BM906), N($AQ$67:$AQ$76&gt;$AO906))
) / 1000</f>
        <v>0</v>
      </c>
      <c r="BS906" s="232">
        <f t="shared" si="796"/>
        <v>25</v>
      </c>
      <c r="BT906" s="230">
        <f t="shared" si="811"/>
        <v>38</v>
      </c>
      <c r="BU906" s="235">
        <f t="shared" si="812"/>
        <v>3.792954545454545</v>
      </c>
      <c r="BV906" s="235" cm="1">
        <f t="array" ref="BV906">$BI906 * IF($AH906&lt;=2,
SUMPRODUCT(INDEX($AR$67:$AT$71,,$AI906), INDEX($AU$67:$BA$71,,$AH906), 1 / ($BB$67:$BB$71*BU906 + (1-$BB$67:$BB$71)*BQ906), N($AQ$67:$AQ$71&gt;$AO906)),
SUMPRODUCT(INDEX($AR$57:$AT$66,,$AI906), INDEX($AU$57:$BA$66,,$AH906), 1 / ($BC$57:$BC$66*BU906 + (1-$BC$57:$BC$66)*BQ906), N($AQ$57:$AQ$66&gt;$AO906))
) / 1000</f>
        <v>0</v>
      </c>
      <c r="BW906" s="232">
        <f t="shared" si="797"/>
        <v>20</v>
      </c>
      <c r="BX906" s="230">
        <f t="shared" si="813"/>
        <v>33</v>
      </c>
      <c r="BY906" s="235">
        <f t="shared" si="814"/>
        <v>4.4702678571428569</v>
      </c>
      <c r="BZ906" s="235" cm="1">
        <f t="array" ref="BZ906">$BI906 * IF($AH906&lt;=2,
SUMPRODUCT(INDEX($AR$62:$AT$66,,$AI906), INDEX($AU$62:$BA$66,,$AH906), 1 / ($BB$62:$BB$66*BY906 + (1-$BB$62:$BB$66)*BU906), N($AQ$62:$AQ$66&gt;$AO906)),
SUMPRODUCT(INDEX($AR$47:$AT$56,,$AI906), INDEX($AU$47:$BA$56,,$AH906), 1 / ($BC$47:$BC$56*BY906 + (1-$BC$47:$BC$56)*BU906), N($AQ$47:$AQ$56&gt;$AO906))
) / 1000</f>
        <v>0</v>
      </c>
      <c r="CA906" s="235" cm="1">
        <f t="array" ref="CA906">$BI906 * IF($AH906&lt;=2,
SUMPRODUCT(INDEX($AR$23:$AT$61,,$AI906), INDEX($AU$23:$BA$61,,$AH906), 1 / ($BB$23:$BB$61*BY906), N($AQ$23:$AQ$61&gt;$AO906)),
SUMPRODUCT(INDEX($AR$23:$AT$46,,$AI906), INDEX($AU$23:$BA$46,,$AH906), 1 / ($BC$23:$BC$46*BY906), N($AQ$23:$AQ$46&gt;$AO906))
) / 1000</f>
        <v>0</v>
      </c>
      <c r="CB906" s="230">
        <f t="shared" si="815"/>
        <v>0</v>
      </c>
      <c r="CC906" s="238"/>
      <c r="CD906" s="229" cm="1">
        <f t="array" ref="CD906">IF(ISBLANK(Y906), INDEX(Use, $AH906, 4) - AN906*INDEX(Use, $AH906, 6) - (Q906-X906), Y906)</f>
        <v>7</v>
      </c>
      <c r="CE906" s="229">
        <f t="shared" si="816"/>
        <v>32</v>
      </c>
      <c r="CF906" s="230">
        <f t="shared" si="817"/>
        <v>0</v>
      </c>
      <c r="CG906" s="229">
        <v>35</v>
      </c>
      <c r="CH906" s="230">
        <f t="shared" si="818"/>
        <v>48</v>
      </c>
      <c r="CI906" s="235">
        <f t="shared" si="819"/>
        <v>3.0748170731707316</v>
      </c>
      <c r="CJ906" s="235" cm="1">
        <f t="array" ref="CJ906">$BI906 * SUMPRODUCT(INDEX($AR$77:$AT$82,,$AI906),INDEX($AU$77:$BA$82,,$AH906), N($AQ$77:$AQ$82&gt;$AO906)) / CI906 / 1000</f>
        <v>0</v>
      </c>
      <c r="CK906" s="232">
        <f t="shared" si="798"/>
        <v>30</v>
      </c>
      <c r="CL906" s="230">
        <f t="shared" si="820"/>
        <v>43</v>
      </c>
      <c r="CM906" s="235">
        <f t="shared" si="821"/>
        <v>3.5018750000000001</v>
      </c>
      <c r="CN906" s="235" cm="1">
        <f t="array" ref="CN906">$BI906 * IF($AH906&lt;=2,
SUMPRODUCT(INDEX($AR$72:$AT$76,,$AI906), INDEX($AU$72:$BA$76,,$AH906), 1 / ($BB$72:$BB$76*CM906 + (1-$BB$72:$BB$76)*CI906), N($AQ$72:$AQ$76&gt;$AO906)),
SUMPRODUCT(INDEX($AR$67:$AT$76,,$AI906), INDEX($AU$67:$BA$76,,$AH906), 1 / ($BC$67:$BC$76*CM906 + (1-$BC$67:$BC$76)*CI906), N($AQ$67:$AQ$76&gt;$AO906))
) / 1000</f>
        <v>0</v>
      </c>
      <c r="CO906" s="232">
        <f t="shared" si="799"/>
        <v>25</v>
      </c>
      <c r="CP906" s="230">
        <f t="shared" si="822"/>
        <v>38</v>
      </c>
      <c r="CQ906" s="235">
        <f t="shared" si="823"/>
        <v>4.0666935483870965</v>
      </c>
      <c r="CR906" s="235" cm="1">
        <f t="array" ref="CR906">$BI906 * IF($AH906&lt;=2,
SUMPRODUCT(INDEX($AR$67:$AT$71,,$AI906), INDEX($AU$67:$BA$71,,$AH906), 1 / ($BB$67:$BB$71*CQ906 + (1-$BB$67:$BB$71)*CM906), N($AQ$67:$AQ$71&gt;$AO906)),
SUMPRODUCT(INDEX($AR$57:$AT$66,,$AI906), INDEX($AU$57:$BA$66,,$AH906), 1 / ($BC$57:$BC$66*CQ906 + (1-$BC$57:$BC$66)*CM906), N($AQ$57:$AQ$66&gt;$AO906))
) / 1000</f>
        <v>0</v>
      </c>
      <c r="CS906" s="232">
        <f t="shared" si="800"/>
        <v>20</v>
      </c>
      <c r="CT906" s="230">
        <f t="shared" si="824"/>
        <v>33</v>
      </c>
      <c r="CU906" s="235">
        <f t="shared" si="825"/>
        <v>4.8487499999999999</v>
      </c>
      <c r="CV906" s="235" cm="1">
        <f t="array" ref="CV906">$BI906 * IF($AH906&lt;=2,
SUMPRODUCT(INDEX($AR$62:$AT$66,,$AI906), INDEX($AU$62:$BA$66,,$AH906), 1 / ($BB$62:$BB$66*CU906 + (1-$BB$62:$BB$66)*CQ906), N($AQ$62:$AQ$66&gt;$AO906)),
SUMPRODUCT(INDEX($AR$47:$AT$56,,$AI906), INDEX($AU$47:$BA$56,,$AH906), 1 / ($BC$47:$BC$56*CU906 + (1-$BC$47:$BC$56)*CQ906), N($AQ$47:$AQ$56&gt;$AO906))
) / 1000</f>
        <v>0</v>
      </c>
      <c r="CW906" s="235" cm="1">
        <f t="array" ref="CW906">$BI906 * IF($AH906&lt;=2,
SUMPRODUCT(INDEX($AR$23:$AT$61,,$AI906), INDEX($AU$23:$BA$61,,$AH906), 1 / ($BB$23:$BB$61*CU906), N($AQ$23:$AQ$61&gt;$AO906)),
SUMPRODUCT(INDEX($AR$23:$AT$46,,$AI906), INDEX($AU$23:$BA$46,,$AH906), 1 / ($BC$23:$BC$46*CU906), N($AQ$23:$AQ$46&gt;$AO906))
) / 1000</f>
        <v>0</v>
      </c>
      <c r="CX906" s="230">
        <f t="shared" si="826"/>
        <v>0</v>
      </c>
      <c r="CY906" s="238"/>
    </row>
    <row r="907" spans="1:103" s="76" customFormat="1" ht="14.25" customHeight="1" x14ac:dyDescent="0.2">
      <c r="A907" s="231" t="b">
        <f t="shared" si="792"/>
        <v>0</v>
      </c>
      <c r="B907" s="245">
        <v>885</v>
      </c>
      <c r="C907" s="258"/>
      <c r="D907" s="258"/>
      <c r="E907" s="246"/>
      <c r="F907" s="247" t="str">
        <f>IF(ISBLANK(E907), "", VLOOKUP(E907, Z!$A$2:$C$4127, 3, FALSE))</f>
        <v/>
      </c>
      <c r="G907" s="248"/>
      <c r="H907" s="248"/>
      <c r="I907" s="249"/>
      <c r="J907" s="250"/>
      <c r="K907" s="259"/>
      <c r="L907" s="260"/>
      <c r="M907" s="252" t="str" cm="1">
        <f t="array" ref="M907">INDEX(Trad, 53, $A$20)</f>
        <v>Verschmutzt</v>
      </c>
      <c r="N907" s="253"/>
      <c r="O907" s="253"/>
      <c r="P907" s="254"/>
      <c r="Q907" s="251"/>
      <c r="R907" s="251"/>
      <c r="S907" s="264">
        <f t="shared" si="801"/>
        <v>0</v>
      </c>
      <c r="T907" s="252" t="str" cm="1">
        <f t="array" ref="T907">INDEX(Trad, 52, $A$20)</f>
        <v>Sauber</v>
      </c>
      <c r="U907" s="253"/>
      <c r="V907" s="253"/>
      <c r="W907" s="254"/>
      <c r="X907" s="251"/>
      <c r="Y907" s="251"/>
      <c r="Z907" s="264">
        <f t="shared" si="802"/>
        <v>0</v>
      </c>
      <c r="AA907" s="261"/>
      <c r="AB907" s="258"/>
      <c r="AC907" s="246"/>
      <c r="AD907" s="247" t="str">
        <f>IF(ISBLANK(AC907), "", VLOOKUP(AC907, Z!$A$2:$C$4127, 3, FALSE))</f>
        <v/>
      </c>
      <c r="AE907" s="262"/>
      <c r="AF907" s="263">
        <f t="shared" si="803"/>
        <v>0</v>
      </c>
      <c r="AG907" s="238"/>
      <c r="AH907" s="229">
        <f t="shared" si="827"/>
        <v>1</v>
      </c>
      <c r="AI907" s="229">
        <f t="shared" si="828"/>
        <v>1</v>
      </c>
      <c r="AJ907" s="229">
        <f t="shared" si="829"/>
        <v>0</v>
      </c>
      <c r="AK907" s="229">
        <v>0</v>
      </c>
      <c r="AL907" s="229">
        <v>0</v>
      </c>
      <c r="AM907" s="229">
        <v>1</v>
      </c>
      <c r="AN907" s="229">
        <v>0</v>
      </c>
      <c r="AO907" s="229">
        <f t="shared" si="804"/>
        <v>-100</v>
      </c>
      <c r="AP907" s="238"/>
      <c r="AQ907" s="255"/>
      <c r="AR907" s="255"/>
      <c r="AS907" s="256"/>
      <c r="AT907" s="256"/>
      <c r="AU907" s="256"/>
      <c r="AV907" s="256"/>
      <c r="AW907" s="256"/>
      <c r="AX907" s="256"/>
      <c r="AY907" s="256"/>
      <c r="AZ907" s="256"/>
      <c r="BA907" s="256"/>
      <c r="BB907" s="256"/>
      <c r="BC907" s="256"/>
      <c r="BD907" s="238"/>
      <c r="BE907" s="229" cm="1">
        <f t="array" ref="BE907">IF(ISBLANK(R907), INDEX(Use, $AH907, 4) - AM907*INDEX(Use, $AH907, 6), R907)</f>
        <v>5</v>
      </c>
      <c r="BF907" s="229">
        <f t="shared" si="805"/>
        <v>30</v>
      </c>
      <c r="BG907" s="229">
        <f t="shared" si="793"/>
        <v>13</v>
      </c>
      <c r="BH907" s="229">
        <f t="shared" si="794"/>
        <v>0</v>
      </c>
      <c r="BI907" s="234" cm="1">
        <f t="array" ref="BI907">K907/IF($L907&gt;0, INDEX($AU$23:$BA$77, $L907+20, $AH907), 1)</f>
        <v>0</v>
      </c>
      <c r="BJ907" s="230">
        <f t="shared" si="806"/>
        <v>0</v>
      </c>
      <c r="BK907" s="229">
        <v>35</v>
      </c>
      <c r="BL907" s="230">
        <f t="shared" si="807"/>
        <v>48</v>
      </c>
      <c r="BM907" s="235">
        <f t="shared" si="808"/>
        <v>2.9108720930232557</v>
      </c>
      <c r="BN907" s="235" cm="1">
        <f t="array" ref="BN907">$BI907 * SUMPRODUCT(INDEX($AR$77:$AT$82,,$AI907),INDEX($AU$77:$BA$82,,$AH907), N($AQ$77:$AQ$82&gt;$AO907)) / BM907 / 1000</f>
        <v>0</v>
      </c>
      <c r="BO907" s="232">
        <f t="shared" si="795"/>
        <v>30</v>
      </c>
      <c r="BP907" s="230">
        <f t="shared" si="809"/>
        <v>43</v>
      </c>
      <c r="BQ907" s="235">
        <f t="shared" si="810"/>
        <v>3.2938815789473681</v>
      </c>
      <c r="BR907" s="235" cm="1">
        <f t="array" ref="BR907">$BI907 * IF($AH907&lt;=2,
SUMPRODUCT(INDEX($AR$72:$AT$76,,$AI907), INDEX($AU$72:$BA$76,,$AH907), 1 / ($BB$72:$BB$76*BQ907 + (1-$BB$72:$BB$76)*BM907), N($AQ$72:$AQ$76&gt;$AO907)),
SUMPRODUCT(INDEX($AR$67:$AT$76,,$AI907), INDEX($AU$67:$BA$76,,$AH907), 1 / ($BC$67:$BC$76*BQ907 + (1-$BC$67:$BC$76)*BM907), N($AQ$67:$AQ$76&gt;$AO907))
) / 1000</f>
        <v>0</v>
      </c>
      <c r="BS907" s="232">
        <f t="shared" si="796"/>
        <v>25</v>
      </c>
      <c r="BT907" s="230">
        <f t="shared" si="811"/>
        <v>38</v>
      </c>
      <c r="BU907" s="235">
        <f t="shared" si="812"/>
        <v>3.792954545454545</v>
      </c>
      <c r="BV907" s="235" cm="1">
        <f t="array" ref="BV907">$BI907 * IF($AH907&lt;=2,
SUMPRODUCT(INDEX($AR$67:$AT$71,,$AI907), INDEX($AU$67:$BA$71,,$AH907), 1 / ($BB$67:$BB$71*BU907 + (1-$BB$67:$BB$71)*BQ907), N($AQ$67:$AQ$71&gt;$AO907)),
SUMPRODUCT(INDEX($AR$57:$AT$66,,$AI907), INDEX($AU$57:$BA$66,,$AH907), 1 / ($BC$57:$BC$66*BU907 + (1-$BC$57:$BC$66)*BQ907), N($AQ$57:$AQ$66&gt;$AO907))
) / 1000</f>
        <v>0</v>
      </c>
      <c r="BW907" s="232">
        <f t="shared" si="797"/>
        <v>20</v>
      </c>
      <c r="BX907" s="230">
        <f t="shared" si="813"/>
        <v>33</v>
      </c>
      <c r="BY907" s="235">
        <f t="shared" si="814"/>
        <v>4.4702678571428569</v>
      </c>
      <c r="BZ907" s="235" cm="1">
        <f t="array" ref="BZ907">$BI907 * IF($AH907&lt;=2,
SUMPRODUCT(INDEX($AR$62:$AT$66,,$AI907), INDEX($AU$62:$BA$66,,$AH907), 1 / ($BB$62:$BB$66*BY907 + (1-$BB$62:$BB$66)*BU907), N($AQ$62:$AQ$66&gt;$AO907)),
SUMPRODUCT(INDEX($AR$47:$AT$56,,$AI907), INDEX($AU$47:$BA$56,,$AH907), 1 / ($BC$47:$BC$56*BY907 + (1-$BC$47:$BC$56)*BU907), N($AQ$47:$AQ$56&gt;$AO907))
) / 1000</f>
        <v>0</v>
      </c>
      <c r="CA907" s="235" cm="1">
        <f t="array" ref="CA907">$BI907 * IF($AH907&lt;=2,
SUMPRODUCT(INDEX($AR$23:$AT$61,,$AI907), INDEX($AU$23:$BA$61,,$AH907), 1 / ($BB$23:$BB$61*BY907), N($AQ$23:$AQ$61&gt;$AO907)),
SUMPRODUCT(INDEX($AR$23:$AT$46,,$AI907), INDEX($AU$23:$BA$46,,$AH907), 1 / ($BC$23:$BC$46*BY907), N($AQ$23:$AQ$46&gt;$AO907))
) / 1000</f>
        <v>0</v>
      </c>
      <c r="CB907" s="230">
        <f t="shared" si="815"/>
        <v>0</v>
      </c>
      <c r="CC907" s="238"/>
      <c r="CD907" s="229" cm="1">
        <f t="array" ref="CD907">IF(ISBLANK(Y907), INDEX(Use, $AH907, 4) - AN907*INDEX(Use, $AH907, 6) - (Q907-X907), Y907)</f>
        <v>7</v>
      </c>
      <c r="CE907" s="229">
        <f t="shared" si="816"/>
        <v>32</v>
      </c>
      <c r="CF907" s="230">
        <f t="shared" si="817"/>
        <v>0</v>
      </c>
      <c r="CG907" s="229">
        <v>35</v>
      </c>
      <c r="CH907" s="230">
        <f t="shared" si="818"/>
        <v>48</v>
      </c>
      <c r="CI907" s="235">
        <f t="shared" si="819"/>
        <v>3.0748170731707316</v>
      </c>
      <c r="CJ907" s="235" cm="1">
        <f t="array" ref="CJ907">$BI907 * SUMPRODUCT(INDEX($AR$77:$AT$82,,$AI907),INDEX($AU$77:$BA$82,,$AH907), N($AQ$77:$AQ$82&gt;$AO907)) / CI907 / 1000</f>
        <v>0</v>
      </c>
      <c r="CK907" s="232">
        <f t="shared" si="798"/>
        <v>30</v>
      </c>
      <c r="CL907" s="230">
        <f t="shared" si="820"/>
        <v>43</v>
      </c>
      <c r="CM907" s="235">
        <f t="shared" si="821"/>
        <v>3.5018750000000001</v>
      </c>
      <c r="CN907" s="235" cm="1">
        <f t="array" ref="CN907">$BI907 * IF($AH907&lt;=2,
SUMPRODUCT(INDEX($AR$72:$AT$76,,$AI907), INDEX($AU$72:$BA$76,,$AH907), 1 / ($BB$72:$BB$76*CM907 + (1-$BB$72:$BB$76)*CI907), N($AQ$72:$AQ$76&gt;$AO907)),
SUMPRODUCT(INDEX($AR$67:$AT$76,,$AI907), INDEX($AU$67:$BA$76,,$AH907), 1 / ($BC$67:$BC$76*CM907 + (1-$BC$67:$BC$76)*CI907), N($AQ$67:$AQ$76&gt;$AO907))
) / 1000</f>
        <v>0</v>
      </c>
      <c r="CO907" s="232">
        <f t="shared" si="799"/>
        <v>25</v>
      </c>
      <c r="CP907" s="230">
        <f t="shared" si="822"/>
        <v>38</v>
      </c>
      <c r="CQ907" s="235">
        <f t="shared" si="823"/>
        <v>4.0666935483870965</v>
      </c>
      <c r="CR907" s="235" cm="1">
        <f t="array" ref="CR907">$BI907 * IF($AH907&lt;=2,
SUMPRODUCT(INDEX($AR$67:$AT$71,,$AI907), INDEX($AU$67:$BA$71,,$AH907), 1 / ($BB$67:$BB$71*CQ907 + (1-$BB$67:$BB$71)*CM907), N($AQ$67:$AQ$71&gt;$AO907)),
SUMPRODUCT(INDEX($AR$57:$AT$66,,$AI907), INDEX($AU$57:$BA$66,,$AH907), 1 / ($BC$57:$BC$66*CQ907 + (1-$BC$57:$BC$66)*CM907), N($AQ$57:$AQ$66&gt;$AO907))
) / 1000</f>
        <v>0</v>
      </c>
      <c r="CS907" s="232">
        <f t="shared" si="800"/>
        <v>20</v>
      </c>
      <c r="CT907" s="230">
        <f t="shared" si="824"/>
        <v>33</v>
      </c>
      <c r="CU907" s="235">
        <f t="shared" si="825"/>
        <v>4.8487499999999999</v>
      </c>
      <c r="CV907" s="235" cm="1">
        <f t="array" ref="CV907">$BI907 * IF($AH907&lt;=2,
SUMPRODUCT(INDEX($AR$62:$AT$66,,$AI907), INDEX($AU$62:$BA$66,,$AH907), 1 / ($BB$62:$BB$66*CU907 + (1-$BB$62:$BB$66)*CQ907), N($AQ$62:$AQ$66&gt;$AO907)),
SUMPRODUCT(INDEX($AR$47:$AT$56,,$AI907), INDEX($AU$47:$BA$56,,$AH907), 1 / ($BC$47:$BC$56*CU907 + (1-$BC$47:$BC$56)*CQ907), N($AQ$47:$AQ$56&gt;$AO907))
) / 1000</f>
        <v>0</v>
      </c>
      <c r="CW907" s="235" cm="1">
        <f t="array" ref="CW907">$BI907 * IF($AH907&lt;=2,
SUMPRODUCT(INDEX($AR$23:$AT$61,,$AI907), INDEX($AU$23:$BA$61,,$AH907), 1 / ($BB$23:$BB$61*CU907), N($AQ$23:$AQ$61&gt;$AO907)),
SUMPRODUCT(INDEX($AR$23:$AT$46,,$AI907), INDEX($AU$23:$BA$46,,$AH907), 1 / ($BC$23:$BC$46*CU907), N($AQ$23:$AQ$46&gt;$AO907))
) / 1000</f>
        <v>0</v>
      </c>
      <c r="CX907" s="230">
        <f t="shared" si="826"/>
        <v>0</v>
      </c>
      <c r="CY907" s="238"/>
    </row>
    <row r="908" spans="1:103" s="76" customFormat="1" ht="14.25" customHeight="1" x14ac:dyDescent="0.2">
      <c r="A908" s="231" t="b">
        <f t="shared" si="792"/>
        <v>0</v>
      </c>
      <c r="B908" s="245">
        <v>886</v>
      </c>
      <c r="C908" s="258"/>
      <c r="D908" s="258"/>
      <c r="E908" s="246"/>
      <c r="F908" s="247" t="str">
        <f>IF(ISBLANK(E908), "", VLOOKUP(E908, Z!$A$2:$C$4127, 3, FALSE))</f>
        <v/>
      </c>
      <c r="G908" s="248"/>
      <c r="H908" s="248"/>
      <c r="I908" s="249"/>
      <c r="J908" s="250"/>
      <c r="K908" s="259"/>
      <c r="L908" s="260"/>
      <c r="M908" s="252" t="str" cm="1">
        <f t="array" ref="M908">INDEX(Trad, 53, $A$20)</f>
        <v>Verschmutzt</v>
      </c>
      <c r="N908" s="253"/>
      <c r="O908" s="253"/>
      <c r="P908" s="254"/>
      <c r="Q908" s="251"/>
      <c r="R908" s="251"/>
      <c r="S908" s="264">
        <f t="shared" si="801"/>
        <v>0</v>
      </c>
      <c r="T908" s="252" t="str" cm="1">
        <f t="array" ref="T908">INDEX(Trad, 52, $A$20)</f>
        <v>Sauber</v>
      </c>
      <c r="U908" s="253"/>
      <c r="V908" s="253"/>
      <c r="W908" s="254"/>
      <c r="X908" s="251"/>
      <c r="Y908" s="251"/>
      <c r="Z908" s="264">
        <f t="shared" si="802"/>
        <v>0</v>
      </c>
      <c r="AA908" s="261"/>
      <c r="AB908" s="258"/>
      <c r="AC908" s="246"/>
      <c r="AD908" s="247" t="str">
        <f>IF(ISBLANK(AC908), "", VLOOKUP(AC908, Z!$A$2:$C$4127, 3, FALSE))</f>
        <v/>
      </c>
      <c r="AE908" s="262"/>
      <c r="AF908" s="263">
        <f t="shared" si="803"/>
        <v>0</v>
      </c>
      <c r="AG908" s="238"/>
      <c r="AH908" s="229">
        <f t="shared" si="827"/>
        <v>1</v>
      </c>
      <c r="AI908" s="229">
        <f t="shared" si="828"/>
        <v>1</v>
      </c>
      <c r="AJ908" s="229">
        <f t="shared" si="829"/>
        <v>0</v>
      </c>
      <c r="AK908" s="229">
        <v>0</v>
      </c>
      <c r="AL908" s="229">
        <v>0</v>
      </c>
      <c r="AM908" s="229">
        <v>1</v>
      </c>
      <c r="AN908" s="229">
        <v>0</v>
      </c>
      <c r="AO908" s="229">
        <f t="shared" si="804"/>
        <v>-100</v>
      </c>
      <c r="AP908" s="238"/>
      <c r="AQ908" s="255"/>
      <c r="AR908" s="255"/>
      <c r="AS908" s="256"/>
      <c r="AT908" s="256"/>
      <c r="AU908" s="256"/>
      <c r="AV908" s="256"/>
      <c r="AW908" s="256"/>
      <c r="AX908" s="256"/>
      <c r="AY908" s="256"/>
      <c r="AZ908" s="256"/>
      <c r="BA908" s="256"/>
      <c r="BB908" s="256"/>
      <c r="BC908" s="256"/>
      <c r="BD908" s="238"/>
      <c r="BE908" s="229" cm="1">
        <f t="array" ref="BE908">IF(ISBLANK(R908), INDEX(Use, $AH908, 4) - AM908*INDEX(Use, $AH908, 6), R908)</f>
        <v>5</v>
      </c>
      <c r="BF908" s="229">
        <f t="shared" si="805"/>
        <v>30</v>
      </c>
      <c r="BG908" s="229">
        <f t="shared" si="793"/>
        <v>13</v>
      </c>
      <c r="BH908" s="229">
        <f t="shared" si="794"/>
        <v>0</v>
      </c>
      <c r="BI908" s="234" cm="1">
        <f t="array" ref="BI908">K908/IF($L908&gt;0, INDEX($AU$23:$BA$77, $L908+20, $AH908), 1)</f>
        <v>0</v>
      </c>
      <c r="BJ908" s="230">
        <f t="shared" si="806"/>
        <v>0</v>
      </c>
      <c r="BK908" s="229">
        <v>35</v>
      </c>
      <c r="BL908" s="230">
        <f t="shared" si="807"/>
        <v>48</v>
      </c>
      <c r="BM908" s="235">
        <f t="shared" si="808"/>
        <v>2.9108720930232557</v>
      </c>
      <c r="BN908" s="235" cm="1">
        <f t="array" ref="BN908">$BI908 * SUMPRODUCT(INDEX($AR$77:$AT$82,,$AI908),INDEX($AU$77:$BA$82,,$AH908), N($AQ$77:$AQ$82&gt;$AO908)) / BM908 / 1000</f>
        <v>0</v>
      </c>
      <c r="BO908" s="232">
        <f t="shared" si="795"/>
        <v>30</v>
      </c>
      <c r="BP908" s="230">
        <f t="shared" si="809"/>
        <v>43</v>
      </c>
      <c r="BQ908" s="235">
        <f t="shared" si="810"/>
        <v>3.2938815789473681</v>
      </c>
      <c r="BR908" s="235" cm="1">
        <f t="array" ref="BR908">$BI908 * IF($AH908&lt;=2,
SUMPRODUCT(INDEX($AR$72:$AT$76,,$AI908), INDEX($AU$72:$BA$76,,$AH908), 1 / ($BB$72:$BB$76*BQ908 + (1-$BB$72:$BB$76)*BM908), N($AQ$72:$AQ$76&gt;$AO908)),
SUMPRODUCT(INDEX($AR$67:$AT$76,,$AI908), INDEX($AU$67:$BA$76,,$AH908), 1 / ($BC$67:$BC$76*BQ908 + (1-$BC$67:$BC$76)*BM908), N($AQ$67:$AQ$76&gt;$AO908))
) / 1000</f>
        <v>0</v>
      </c>
      <c r="BS908" s="232">
        <f t="shared" si="796"/>
        <v>25</v>
      </c>
      <c r="BT908" s="230">
        <f t="shared" si="811"/>
        <v>38</v>
      </c>
      <c r="BU908" s="235">
        <f t="shared" si="812"/>
        <v>3.792954545454545</v>
      </c>
      <c r="BV908" s="235" cm="1">
        <f t="array" ref="BV908">$BI908 * IF($AH908&lt;=2,
SUMPRODUCT(INDEX($AR$67:$AT$71,,$AI908), INDEX($AU$67:$BA$71,,$AH908), 1 / ($BB$67:$BB$71*BU908 + (1-$BB$67:$BB$71)*BQ908), N($AQ$67:$AQ$71&gt;$AO908)),
SUMPRODUCT(INDEX($AR$57:$AT$66,,$AI908), INDEX($AU$57:$BA$66,,$AH908), 1 / ($BC$57:$BC$66*BU908 + (1-$BC$57:$BC$66)*BQ908), N($AQ$57:$AQ$66&gt;$AO908))
) / 1000</f>
        <v>0</v>
      </c>
      <c r="BW908" s="232">
        <f t="shared" si="797"/>
        <v>20</v>
      </c>
      <c r="BX908" s="230">
        <f t="shared" si="813"/>
        <v>33</v>
      </c>
      <c r="BY908" s="235">
        <f t="shared" si="814"/>
        <v>4.4702678571428569</v>
      </c>
      <c r="BZ908" s="235" cm="1">
        <f t="array" ref="BZ908">$BI908 * IF($AH908&lt;=2,
SUMPRODUCT(INDEX($AR$62:$AT$66,,$AI908), INDEX($AU$62:$BA$66,,$AH908), 1 / ($BB$62:$BB$66*BY908 + (1-$BB$62:$BB$66)*BU908), N($AQ$62:$AQ$66&gt;$AO908)),
SUMPRODUCT(INDEX($AR$47:$AT$56,,$AI908), INDEX($AU$47:$BA$56,,$AH908), 1 / ($BC$47:$BC$56*BY908 + (1-$BC$47:$BC$56)*BU908), N($AQ$47:$AQ$56&gt;$AO908))
) / 1000</f>
        <v>0</v>
      </c>
      <c r="CA908" s="235" cm="1">
        <f t="array" ref="CA908">$BI908 * IF($AH908&lt;=2,
SUMPRODUCT(INDEX($AR$23:$AT$61,,$AI908), INDEX($AU$23:$BA$61,,$AH908), 1 / ($BB$23:$BB$61*BY908), N($AQ$23:$AQ$61&gt;$AO908)),
SUMPRODUCT(INDEX($AR$23:$AT$46,,$AI908), INDEX($AU$23:$BA$46,,$AH908), 1 / ($BC$23:$BC$46*BY908), N($AQ$23:$AQ$46&gt;$AO908))
) / 1000</f>
        <v>0</v>
      </c>
      <c r="CB908" s="230">
        <f t="shared" si="815"/>
        <v>0</v>
      </c>
      <c r="CC908" s="238"/>
      <c r="CD908" s="229" cm="1">
        <f t="array" ref="CD908">IF(ISBLANK(Y908), INDEX(Use, $AH908, 4) - AN908*INDEX(Use, $AH908, 6) - (Q908-X908), Y908)</f>
        <v>7</v>
      </c>
      <c r="CE908" s="229">
        <f t="shared" si="816"/>
        <v>32</v>
      </c>
      <c r="CF908" s="230">
        <f t="shared" si="817"/>
        <v>0</v>
      </c>
      <c r="CG908" s="229">
        <v>35</v>
      </c>
      <c r="CH908" s="230">
        <f t="shared" si="818"/>
        <v>48</v>
      </c>
      <c r="CI908" s="235">
        <f t="shared" si="819"/>
        <v>3.0748170731707316</v>
      </c>
      <c r="CJ908" s="235" cm="1">
        <f t="array" ref="CJ908">$BI908 * SUMPRODUCT(INDEX($AR$77:$AT$82,,$AI908),INDEX($AU$77:$BA$82,,$AH908), N($AQ$77:$AQ$82&gt;$AO908)) / CI908 / 1000</f>
        <v>0</v>
      </c>
      <c r="CK908" s="232">
        <f t="shared" si="798"/>
        <v>30</v>
      </c>
      <c r="CL908" s="230">
        <f t="shared" si="820"/>
        <v>43</v>
      </c>
      <c r="CM908" s="235">
        <f t="shared" si="821"/>
        <v>3.5018750000000001</v>
      </c>
      <c r="CN908" s="235" cm="1">
        <f t="array" ref="CN908">$BI908 * IF($AH908&lt;=2,
SUMPRODUCT(INDEX($AR$72:$AT$76,,$AI908), INDEX($AU$72:$BA$76,,$AH908), 1 / ($BB$72:$BB$76*CM908 + (1-$BB$72:$BB$76)*CI908), N($AQ$72:$AQ$76&gt;$AO908)),
SUMPRODUCT(INDEX($AR$67:$AT$76,,$AI908), INDEX($AU$67:$BA$76,,$AH908), 1 / ($BC$67:$BC$76*CM908 + (1-$BC$67:$BC$76)*CI908), N($AQ$67:$AQ$76&gt;$AO908))
) / 1000</f>
        <v>0</v>
      </c>
      <c r="CO908" s="232">
        <f t="shared" si="799"/>
        <v>25</v>
      </c>
      <c r="CP908" s="230">
        <f t="shared" si="822"/>
        <v>38</v>
      </c>
      <c r="CQ908" s="235">
        <f t="shared" si="823"/>
        <v>4.0666935483870965</v>
      </c>
      <c r="CR908" s="235" cm="1">
        <f t="array" ref="CR908">$BI908 * IF($AH908&lt;=2,
SUMPRODUCT(INDEX($AR$67:$AT$71,,$AI908), INDEX($AU$67:$BA$71,,$AH908), 1 / ($BB$67:$BB$71*CQ908 + (1-$BB$67:$BB$71)*CM908), N($AQ$67:$AQ$71&gt;$AO908)),
SUMPRODUCT(INDEX($AR$57:$AT$66,,$AI908), INDEX($AU$57:$BA$66,,$AH908), 1 / ($BC$57:$BC$66*CQ908 + (1-$BC$57:$BC$66)*CM908), N($AQ$57:$AQ$66&gt;$AO908))
) / 1000</f>
        <v>0</v>
      </c>
      <c r="CS908" s="232">
        <f t="shared" si="800"/>
        <v>20</v>
      </c>
      <c r="CT908" s="230">
        <f t="shared" si="824"/>
        <v>33</v>
      </c>
      <c r="CU908" s="235">
        <f t="shared" si="825"/>
        <v>4.8487499999999999</v>
      </c>
      <c r="CV908" s="235" cm="1">
        <f t="array" ref="CV908">$BI908 * IF($AH908&lt;=2,
SUMPRODUCT(INDEX($AR$62:$AT$66,,$AI908), INDEX($AU$62:$BA$66,,$AH908), 1 / ($BB$62:$BB$66*CU908 + (1-$BB$62:$BB$66)*CQ908), N($AQ$62:$AQ$66&gt;$AO908)),
SUMPRODUCT(INDEX($AR$47:$AT$56,,$AI908), INDEX($AU$47:$BA$56,,$AH908), 1 / ($BC$47:$BC$56*CU908 + (1-$BC$47:$BC$56)*CQ908), N($AQ$47:$AQ$56&gt;$AO908))
) / 1000</f>
        <v>0</v>
      </c>
      <c r="CW908" s="235" cm="1">
        <f t="array" ref="CW908">$BI908 * IF($AH908&lt;=2,
SUMPRODUCT(INDEX($AR$23:$AT$61,,$AI908), INDEX($AU$23:$BA$61,,$AH908), 1 / ($BB$23:$BB$61*CU908), N($AQ$23:$AQ$61&gt;$AO908)),
SUMPRODUCT(INDEX($AR$23:$AT$46,,$AI908), INDEX($AU$23:$BA$46,,$AH908), 1 / ($BC$23:$BC$46*CU908), N($AQ$23:$AQ$46&gt;$AO908))
) / 1000</f>
        <v>0</v>
      </c>
      <c r="CX908" s="230">
        <f t="shared" si="826"/>
        <v>0</v>
      </c>
      <c r="CY908" s="238"/>
    </row>
    <row r="909" spans="1:103" s="76" customFormat="1" ht="14.25" customHeight="1" x14ac:dyDescent="0.2">
      <c r="A909" s="231" t="b">
        <f t="shared" si="792"/>
        <v>0</v>
      </c>
      <c r="B909" s="245">
        <v>887</v>
      </c>
      <c r="C909" s="258"/>
      <c r="D909" s="258"/>
      <c r="E909" s="246"/>
      <c r="F909" s="247" t="str">
        <f>IF(ISBLANK(E909), "", VLOOKUP(E909, Z!$A$2:$C$4127, 3, FALSE))</f>
        <v/>
      </c>
      <c r="G909" s="248"/>
      <c r="H909" s="248"/>
      <c r="I909" s="249"/>
      <c r="J909" s="250"/>
      <c r="K909" s="259"/>
      <c r="L909" s="260"/>
      <c r="M909" s="252" t="str" cm="1">
        <f t="array" ref="M909">INDEX(Trad, 53, $A$20)</f>
        <v>Verschmutzt</v>
      </c>
      <c r="N909" s="253"/>
      <c r="O909" s="253"/>
      <c r="P909" s="254"/>
      <c r="Q909" s="251"/>
      <c r="R909" s="251"/>
      <c r="S909" s="264">
        <f t="shared" si="801"/>
        <v>0</v>
      </c>
      <c r="T909" s="252" t="str" cm="1">
        <f t="array" ref="T909">INDEX(Trad, 52, $A$20)</f>
        <v>Sauber</v>
      </c>
      <c r="U909" s="253"/>
      <c r="V909" s="253"/>
      <c r="W909" s="254"/>
      <c r="X909" s="251"/>
      <c r="Y909" s="251"/>
      <c r="Z909" s="264">
        <f t="shared" si="802"/>
        <v>0</v>
      </c>
      <c r="AA909" s="261"/>
      <c r="AB909" s="258"/>
      <c r="AC909" s="246"/>
      <c r="AD909" s="247" t="str">
        <f>IF(ISBLANK(AC909), "", VLOOKUP(AC909, Z!$A$2:$C$4127, 3, FALSE))</f>
        <v/>
      </c>
      <c r="AE909" s="262"/>
      <c r="AF909" s="263">
        <f t="shared" si="803"/>
        <v>0</v>
      </c>
      <c r="AG909" s="238"/>
      <c r="AH909" s="229">
        <f t="shared" si="827"/>
        <v>1</v>
      </c>
      <c r="AI909" s="229">
        <f t="shared" si="828"/>
        <v>1</v>
      </c>
      <c r="AJ909" s="229">
        <f t="shared" si="829"/>
        <v>0</v>
      </c>
      <c r="AK909" s="229">
        <v>0</v>
      </c>
      <c r="AL909" s="229">
        <v>0</v>
      </c>
      <c r="AM909" s="229">
        <v>1</v>
      </c>
      <c r="AN909" s="229">
        <v>0</v>
      </c>
      <c r="AO909" s="229">
        <f t="shared" si="804"/>
        <v>-100</v>
      </c>
      <c r="AP909" s="238"/>
      <c r="AQ909" s="255"/>
      <c r="AR909" s="255"/>
      <c r="AS909" s="256"/>
      <c r="AT909" s="256"/>
      <c r="AU909" s="256"/>
      <c r="AV909" s="256"/>
      <c r="AW909" s="256"/>
      <c r="AX909" s="256"/>
      <c r="AY909" s="256"/>
      <c r="AZ909" s="256"/>
      <c r="BA909" s="256"/>
      <c r="BB909" s="256"/>
      <c r="BC909" s="256"/>
      <c r="BD909" s="238"/>
      <c r="BE909" s="229" cm="1">
        <f t="array" ref="BE909">IF(ISBLANK(R909), INDEX(Use, $AH909, 4) - AM909*INDEX(Use, $AH909, 6), R909)</f>
        <v>5</v>
      </c>
      <c r="BF909" s="229">
        <f t="shared" si="805"/>
        <v>30</v>
      </c>
      <c r="BG909" s="229">
        <f t="shared" si="793"/>
        <v>13</v>
      </c>
      <c r="BH909" s="229">
        <f t="shared" si="794"/>
        <v>0</v>
      </c>
      <c r="BI909" s="234" cm="1">
        <f t="array" ref="BI909">K909/IF($L909&gt;0, INDEX($AU$23:$BA$77, $L909+20, $AH909), 1)</f>
        <v>0</v>
      </c>
      <c r="BJ909" s="230">
        <f t="shared" si="806"/>
        <v>0</v>
      </c>
      <c r="BK909" s="229">
        <v>35</v>
      </c>
      <c r="BL909" s="230">
        <f t="shared" si="807"/>
        <v>48</v>
      </c>
      <c r="BM909" s="235">
        <f t="shared" si="808"/>
        <v>2.9108720930232557</v>
      </c>
      <c r="BN909" s="235" cm="1">
        <f t="array" ref="BN909">$BI909 * SUMPRODUCT(INDEX($AR$77:$AT$82,,$AI909),INDEX($AU$77:$BA$82,,$AH909), N($AQ$77:$AQ$82&gt;$AO909)) / BM909 / 1000</f>
        <v>0</v>
      </c>
      <c r="BO909" s="232">
        <f t="shared" si="795"/>
        <v>30</v>
      </c>
      <c r="BP909" s="230">
        <f t="shared" si="809"/>
        <v>43</v>
      </c>
      <c r="BQ909" s="235">
        <f t="shared" si="810"/>
        <v>3.2938815789473681</v>
      </c>
      <c r="BR909" s="235" cm="1">
        <f t="array" ref="BR909">$BI909 * IF($AH909&lt;=2,
SUMPRODUCT(INDEX($AR$72:$AT$76,,$AI909), INDEX($AU$72:$BA$76,,$AH909), 1 / ($BB$72:$BB$76*BQ909 + (1-$BB$72:$BB$76)*BM909), N($AQ$72:$AQ$76&gt;$AO909)),
SUMPRODUCT(INDEX($AR$67:$AT$76,,$AI909), INDEX($AU$67:$BA$76,,$AH909), 1 / ($BC$67:$BC$76*BQ909 + (1-$BC$67:$BC$76)*BM909), N($AQ$67:$AQ$76&gt;$AO909))
) / 1000</f>
        <v>0</v>
      </c>
      <c r="BS909" s="232">
        <f t="shared" si="796"/>
        <v>25</v>
      </c>
      <c r="BT909" s="230">
        <f t="shared" si="811"/>
        <v>38</v>
      </c>
      <c r="BU909" s="235">
        <f t="shared" si="812"/>
        <v>3.792954545454545</v>
      </c>
      <c r="BV909" s="235" cm="1">
        <f t="array" ref="BV909">$BI909 * IF($AH909&lt;=2,
SUMPRODUCT(INDEX($AR$67:$AT$71,,$AI909), INDEX($AU$67:$BA$71,,$AH909), 1 / ($BB$67:$BB$71*BU909 + (1-$BB$67:$BB$71)*BQ909), N($AQ$67:$AQ$71&gt;$AO909)),
SUMPRODUCT(INDEX($AR$57:$AT$66,,$AI909), INDEX($AU$57:$BA$66,,$AH909), 1 / ($BC$57:$BC$66*BU909 + (1-$BC$57:$BC$66)*BQ909), N($AQ$57:$AQ$66&gt;$AO909))
) / 1000</f>
        <v>0</v>
      </c>
      <c r="BW909" s="232">
        <f t="shared" si="797"/>
        <v>20</v>
      </c>
      <c r="BX909" s="230">
        <f t="shared" si="813"/>
        <v>33</v>
      </c>
      <c r="BY909" s="235">
        <f t="shared" si="814"/>
        <v>4.4702678571428569</v>
      </c>
      <c r="BZ909" s="235" cm="1">
        <f t="array" ref="BZ909">$BI909 * IF($AH909&lt;=2,
SUMPRODUCT(INDEX($AR$62:$AT$66,,$AI909), INDEX($AU$62:$BA$66,,$AH909), 1 / ($BB$62:$BB$66*BY909 + (1-$BB$62:$BB$66)*BU909), N($AQ$62:$AQ$66&gt;$AO909)),
SUMPRODUCT(INDEX($AR$47:$AT$56,,$AI909), INDEX($AU$47:$BA$56,,$AH909), 1 / ($BC$47:$BC$56*BY909 + (1-$BC$47:$BC$56)*BU909), N($AQ$47:$AQ$56&gt;$AO909))
) / 1000</f>
        <v>0</v>
      </c>
      <c r="CA909" s="235" cm="1">
        <f t="array" ref="CA909">$BI909 * IF($AH909&lt;=2,
SUMPRODUCT(INDEX($AR$23:$AT$61,,$AI909), INDEX($AU$23:$BA$61,,$AH909), 1 / ($BB$23:$BB$61*BY909), N($AQ$23:$AQ$61&gt;$AO909)),
SUMPRODUCT(INDEX($AR$23:$AT$46,,$AI909), INDEX($AU$23:$BA$46,,$AH909), 1 / ($BC$23:$BC$46*BY909), N($AQ$23:$AQ$46&gt;$AO909))
) / 1000</f>
        <v>0</v>
      </c>
      <c r="CB909" s="230">
        <f t="shared" si="815"/>
        <v>0</v>
      </c>
      <c r="CC909" s="238"/>
      <c r="CD909" s="229" cm="1">
        <f t="array" ref="CD909">IF(ISBLANK(Y909), INDEX(Use, $AH909, 4) - AN909*INDEX(Use, $AH909, 6) - (Q909-X909), Y909)</f>
        <v>7</v>
      </c>
      <c r="CE909" s="229">
        <f t="shared" si="816"/>
        <v>32</v>
      </c>
      <c r="CF909" s="230">
        <f t="shared" si="817"/>
        <v>0</v>
      </c>
      <c r="CG909" s="229">
        <v>35</v>
      </c>
      <c r="CH909" s="230">
        <f t="shared" si="818"/>
        <v>48</v>
      </c>
      <c r="CI909" s="235">
        <f t="shared" si="819"/>
        <v>3.0748170731707316</v>
      </c>
      <c r="CJ909" s="235" cm="1">
        <f t="array" ref="CJ909">$BI909 * SUMPRODUCT(INDEX($AR$77:$AT$82,,$AI909),INDEX($AU$77:$BA$82,,$AH909), N($AQ$77:$AQ$82&gt;$AO909)) / CI909 / 1000</f>
        <v>0</v>
      </c>
      <c r="CK909" s="232">
        <f t="shared" si="798"/>
        <v>30</v>
      </c>
      <c r="CL909" s="230">
        <f t="shared" si="820"/>
        <v>43</v>
      </c>
      <c r="CM909" s="235">
        <f t="shared" si="821"/>
        <v>3.5018750000000001</v>
      </c>
      <c r="CN909" s="235" cm="1">
        <f t="array" ref="CN909">$BI909 * IF($AH909&lt;=2,
SUMPRODUCT(INDEX($AR$72:$AT$76,,$AI909), INDEX($AU$72:$BA$76,,$AH909), 1 / ($BB$72:$BB$76*CM909 + (1-$BB$72:$BB$76)*CI909), N($AQ$72:$AQ$76&gt;$AO909)),
SUMPRODUCT(INDEX($AR$67:$AT$76,,$AI909), INDEX($AU$67:$BA$76,,$AH909), 1 / ($BC$67:$BC$76*CM909 + (1-$BC$67:$BC$76)*CI909), N($AQ$67:$AQ$76&gt;$AO909))
) / 1000</f>
        <v>0</v>
      </c>
      <c r="CO909" s="232">
        <f t="shared" si="799"/>
        <v>25</v>
      </c>
      <c r="CP909" s="230">
        <f t="shared" si="822"/>
        <v>38</v>
      </c>
      <c r="CQ909" s="235">
        <f t="shared" si="823"/>
        <v>4.0666935483870965</v>
      </c>
      <c r="CR909" s="235" cm="1">
        <f t="array" ref="CR909">$BI909 * IF($AH909&lt;=2,
SUMPRODUCT(INDEX($AR$67:$AT$71,,$AI909), INDEX($AU$67:$BA$71,,$AH909), 1 / ($BB$67:$BB$71*CQ909 + (1-$BB$67:$BB$71)*CM909), N($AQ$67:$AQ$71&gt;$AO909)),
SUMPRODUCT(INDEX($AR$57:$AT$66,,$AI909), INDEX($AU$57:$BA$66,,$AH909), 1 / ($BC$57:$BC$66*CQ909 + (1-$BC$57:$BC$66)*CM909), N($AQ$57:$AQ$66&gt;$AO909))
) / 1000</f>
        <v>0</v>
      </c>
      <c r="CS909" s="232">
        <f t="shared" si="800"/>
        <v>20</v>
      </c>
      <c r="CT909" s="230">
        <f t="shared" si="824"/>
        <v>33</v>
      </c>
      <c r="CU909" s="235">
        <f t="shared" si="825"/>
        <v>4.8487499999999999</v>
      </c>
      <c r="CV909" s="235" cm="1">
        <f t="array" ref="CV909">$BI909 * IF($AH909&lt;=2,
SUMPRODUCT(INDEX($AR$62:$AT$66,,$AI909), INDEX($AU$62:$BA$66,,$AH909), 1 / ($BB$62:$BB$66*CU909 + (1-$BB$62:$BB$66)*CQ909), N($AQ$62:$AQ$66&gt;$AO909)),
SUMPRODUCT(INDEX($AR$47:$AT$56,,$AI909), INDEX($AU$47:$BA$56,,$AH909), 1 / ($BC$47:$BC$56*CU909 + (1-$BC$47:$BC$56)*CQ909), N($AQ$47:$AQ$56&gt;$AO909))
) / 1000</f>
        <v>0</v>
      </c>
      <c r="CW909" s="235" cm="1">
        <f t="array" ref="CW909">$BI909 * IF($AH909&lt;=2,
SUMPRODUCT(INDEX($AR$23:$AT$61,,$AI909), INDEX($AU$23:$BA$61,,$AH909), 1 / ($BB$23:$BB$61*CU909), N($AQ$23:$AQ$61&gt;$AO909)),
SUMPRODUCT(INDEX($AR$23:$AT$46,,$AI909), INDEX($AU$23:$BA$46,,$AH909), 1 / ($BC$23:$BC$46*CU909), N($AQ$23:$AQ$46&gt;$AO909))
) / 1000</f>
        <v>0</v>
      </c>
      <c r="CX909" s="230">
        <f t="shared" si="826"/>
        <v>0</v>
      </c>
      <c r="CY909" s="238"/>
    </row>
    <row r="910" spans="1:103" s="76" customFormat="1" ht="14.25" customHeight="1" x14ac:dyDescent="0.2">
      <c r="A910" s="231" t="b">
        <f t="shared" si="792"/>
        <v>0</v>
      </c>
      <c r="B910" s="245">
        <v>888</v>
      </c>
      <c r="C910" s="258"/>
      <c r="D910" s="258"/>
      <c r="E910" s="246"/>
      <c r="F910" s="247" t="str">
        <f>IF(ISBLANK(E910), "", VLOOKUP(E910, Z!$A$2:$C$4127, 3, FALSE))</f>
        <v/>
      </c>
      <c r="G910" s="248"/>
      <c r="H910" s="248"/>
      <c r="I910" s="249"/>
      <c r="J910" s="250"/>
      <c r="K910" s="259"/>
      <c r="L910" s="260"/>
      <c r="M910" s="252" t="str" cm="1">
        <f t="array" ref="M910">INDEX(Trad, 53, $A$20)</f>
        <v>Verschmutzt</v>
      </c>
      <c r="N910" s="253"/>
      <c r="O910" s="253"/>
      <c r="P910" s="254"/>
      <c r="Q910" s="251"/>
      <c r="R910" s="251"/>
      <c r="S910" s="264">
        <f t="shared" si="801"/>
        <v>0</v>
      </c>
      <c r="T910" s="252" t="str" cm="1">
        <f t="array" ref="T910">INDEX(Trad, 52, $A$20)</f>
        <v>Sauber</v>
      </c>
      <c r="U910" s="253"/>
      <c r="V910" s="253"/>
      <c r="W910" s="254"/>
      <c r="X910" s="251"/>
      <c r="Y910" s="251"/>
      <c r="Z910" s="264">
        <f t="shared" si="802"/>
        <v>0</v>
      </c>
      <c r="AA910" s="261"/>
      <c r="AB910" s="258"/>
      <c r="AC910" s="246"/>
      <c r="AD910" s="247" t="str">
        <f>IF(ISBLANK(AC910), "", VLOOKUP(AC910, Z!$A$2:$C$4127, 3, FALSE))</f>
        <v/>
      </c>
      <c r="AE910" s="262"/>
      <c r="AF910" s="263">
        <f t="shared" si="803"/>
        <v>0</v>
      </c>
      <c r="AG910" s="238"/>
      <c r="AH910" s="229">
        <f t="shared" si="827"/>
        <v>1</v>
      </c>
      <c r="AI910" s="229">
        <f t="shared" si="828"/>
        <v>1</v>
      </c>
      <c r="AJ910" s="229">
        <f t="shared" si="829"/>
        <v>0</v>
      </c>
      <c r="AK910" s="229">
        <v>0</v>
      </c>
      <c r="AL910" s="229">
        <v>0</v>
      </c>
      <c r="AM910" s="229">
        <v>1</v>
      </c>
      <c r="AN910" s="229">
        <v>0</v>
      </c>
      <c r="AO910" s="229">
        <f t="shared" si="804"/>
        <v>-100</v>
      </c>
      <c r="AP910" s="238"/>
      <c r="AQ910" s="255"/>
      <c r="AR910" s="255"/>
      <c r="AS910" s="256"/>
      <c r="AT910" s="256"/>
      <c r="AU910" s="256"/>
      <c r="AV910" s="256"/>
      <c r="AW910" s="256"/>
      <c r="AX910" s="256"/>
      <c r="AY910" s="256"/>
      <c r="AZ910" s="256"/>
      <c r="BA910" s="256"/>
      <c r="BB910" s="256"/>
      <c r="BC910" s="256"/>
      <c r="BD910" s="238"/>
      <c r="BE910" s="229" cm="1">
        <f t="array" ref="BE910">IF(ISBLANK(R910), INDEX(Use, $AH910, 4) - AM910*INDEX(Use, $AH910, 6), R910)</f>
        <v>5</v>
      </c>
      <c r="BF910" s="229">
        <f t="shared" si="805"/>
        <v>30</v>
      </c>
      <c r="BG910" s="229">
        <f t="shared" si="793"/>
        <v>13</v>
      </c>
      <c r="BH910" s="229">
        <f t="shared" si="794"/>
        <v>0</v>
      </c>
      <c r="BI910" s="234" cm="1">
        <f t="array" ref="BI910">K910/IF($L910&gt;0, INDEX($AU$23:$BA$77, $L910+20, $AH910), 1)</f>
        <v>0</v>
      </c>
      <c r="BJ910" s="230">
        <f t="shared" si="806"/>
        <v>0</v>
      </c>
      <c r="BK910" s="229">
        <v>35</v>
      </c>
      <c r="BL910" s="230">
        <f t="shared" si="807"/>
        <v>48</v>
      </c>
      <c r="BM910" s="235">
        <f t="shared" si="808"/>
        <v>2.9108720930232557</v>
      </c>
      <c r="BN910" s="235" cm="1">
        <f t="array" ref="BN910">$BI910 * SUMPRODUCT(INDEX($AR$77:$AT$82,,$AI910),INDEX($AU$77:$BA$82,,$AH910), N($AQ$77:$AQ$82&gt;$AO910)) / BM910 / 1000</f>
        <v>0</v>
      </c>
      <c r="BO910" s="232">
        <f t="shared" si="795"/>
        <v>30</v>
      </c>
      <c r="BP910" s="230">
        <f t="shared" si="809"/>
        <v>43</v>
      </c>
      <c r="BQ910" s="235">
        <f t="shared" si="810"/>
        <v>3.2938815789473681</v>
      </c>
      <c r="BR910" s="235" cm="1">
        <f t="array" ref="BR910">$BI910 * IF($AH910&lt;=2,
SUMPRODUCT(INDEX($AR$72:$AT$76,,$AI910), INDEX($AU$72:$BA$76,,$AH910), 1 / ($BB$72:$BB$76*BQ910 + (1-$BB$72:$BB$76)*BM910), N($AQ$72:$AQ$76&gt;$AO910)),
SUMPRODUCT(INDEX($AR$67:$AT$76,,$AI910), INDEX($AU$67:$BA$76,,$AH910), 1 / ($BC$67:$BC$76*BQ910 + (1-$BC$67:$BC$76)*BM910), N($AQ$67:$AQ$76&gt;$AO910))
) / 1000</f>
        <v>0</v>
      </c>
      <c r="BS910" s="232">
        <f t="shared" si="796"/>
        <v>25</v>
      </c>
      <c r="BT910" s="230">
        <f t="shared" si="811"/>
        <v>38</v>
      </c>
      <c r="BU910" s="235">
        <f t="shared" si="812"/>
        <v>3.792954545454545</v>
      </c>
      <c r="BV910" s="235" cm="1">
        <f t="array" ref="BV910">$BI910 * IF($AH910&lt;=2,
SUMPRODUCT(INDEX($AR$67:$AT$71,,$AI910), INDEX($AU$67:$BA$71,,$AH910), 1 / ($BB$67:$BB$71*BU910 + (1-$BB$67:$BB$71)*BQ910), N($AQ$67:$AQ$71&gt;$AO910)),
SUMPRODUCT(INDEX($AR$57:$AT$66,,$AI910), INDEX($AU$57:$BA$66,,$AH910), 1 / ($BC$57:$BC$66*BU910 + (1-$BC$57:$BC$66)*BQ910), N($AQ$57:$AQ$66&gt;$AO910))
) / 1000</f>
        <v>0</v>
      </c>
      <c r="BW910" s="232">
        <f t="shared" si="797"/>
        <v>20</v>
      </c>
      <c r="BX910" s="230">
        <f t="shared" si="813"/>
        <v>33</v>
      </c>
      <c r="BY910" s="235">
        <f t="shared" si="814"/>
        <v>4.4702678571428569</v>
      </c>
      <c r="BZ910" s="235" cm="1">
        <f t="array" ref="BZ910">$BI910 * IF($AH910&lt;=2,
SUMPRODUCT(INDEX($AR$62:$AT$66,,$AI910), INDEX($AU$62:$BA$66,,$AH910), 1 / ($BB$62:$BB$66*BY910 + (1-$BB$62:$BB$66)*BU910), N($AQ$62:$AQ$66&gt;$AO910)),
SUMPRODUCT(INDEX($AR$47:$AT$56,,$AI910), INDEX($AU$47:$BA$56,,$AH910), 1 / ($BC$47:$BC$56*BY910 + (1-$BC$47:$BC$56)*BU910), N($AQ$47:$AQ$56&gt;$AO910))
) / 1000</f>
        <v>0</v>
      </c>
      <c r="CA910" s="235" cm="1">
        <f t="array" ref="CA910">$BI910 * IF($AH910&lt;=2,
SUMPRODUCT(INDEX($AR$23:$AT$61,,$AI910), INDEX($AU$23:$BA$61,,$AH910), 1 / ($BB$23:$BB$61*BY910), N($AQ$23:$AQ$61&gt;$AO910)),
SUMPRODUCT(INDEX($AR$23:$AT$46,,$AI910), INDEX($AU$23:$BA$46,,$AH910), 1 / ($BC$23:$BC$46*BY910), N($AQ$23:$AQ$46&gt;$AO910))
) / 1000</f>
        <v>0</v>
      </c>
      <c r="CB910" s="230">
        <f t="shared" si="815"/>
        <v>0</v>
      </c>
      <c r="CC910" s="238"/>
      <c r="CD910" s="229" cm="1">
        <f t="array" ref="CD910">IF(ISBLANK(Y910), INDEX(Use, $AH910, 4) - AN910*INDEX(Use, $AH910, 6) - (Q910-X910), Y910)</f>
        <v>7</v>
      </c>
      <c r="CE910" s="229">
        <f t="shared" si="816"/>
        <v>32</v>
      </c>
      <c r="CF910" s="230">
        <f t="shared" si="817"/>
        <v>0</v>
      </c>
      <c r="CG910" s="229">
        <v>35</v>
      </c>
      <c r="CH910" s="230">
        <f t="shared" si="818"/>
        <v>48</v>
      </c>
      <c r="CI910" s="235">
        <f t="shared" si="819"/>
        <v>3.0748170731707316</v>
      </c>
      <c r="CJ910" s="235" cm="1">
        <f t="array" ref="CJ910">$BI910 * SUMPRODUCT(INDEX($AR$77:$AT$82,,$AI910),INDEX($AU$77:$BA$82,,$AH910), N($AQ$77:$AQ$82&gt;$AO910)) / CI910 / 1000</f>
        <v>0</v>
      </c>
      <c r="CK910" s="232">
        <f t="shared" si="798"/>
        <v>30</v>
      </c>
      <c r="CL910" s="230">
        <f t="shared" si="820"/>
        <v>43</v>
      </c>
      <c r="CM910" s="235">
        <f t="shared" si="821"/>
        <v>3.5018750000000001</v>
      </c>
      <c r="CN910" s="235" cm="1">
        <f t="array" ref="CN910">$BI910 * IF($AH910&lt;=2,
SUMPRODUCT(INDEX($AR$72:$AT$76,,$AI910), INDEX($AU$72:$BA$76,,$AH910), 1 / ($BB$72:$BB$76*CM910 + (1-$BB$72:$BB$76)*CI910), N($AQ$72:$AQ$76&gt;$AO910)),
SUMPRODUCT(INDEX($AR$67:$AT$76,,$AI910), INDEX($AU$67:$BA$76,,$AH910), 1 / ($BC$67:$BC$76*CM910 + (1-$BC$67:$BC$76)*CI910), N($AQ$67:$AQ$76&gt;$AO910))
) / 1000</f>
        <v>0</v>
      </c>
      <c r="CO910" s="232">
        <f t="shared" si="799"/>
        <v>25</v>
      </c>
      <c r="CP910" s="230">
        <f t="shared" si="822"/>
        <v>38</v>
      </c>
      <c r="CQ910" s="235">
        <f t="shared" si="823"/>
        <v>4.0666935483870965</v>
      </c>
      <c r="CR910" s="235" cm="1">
        <f t="array" ref="CR910">$BI910 * IF($AH910&lt;=2,
SUMPRODUCT(INDEX($AR$67:$AT$71,,$AI910), INDEX($AU$67:$BA$71,,$AH910), 1 / ($BB$67:$BB$71*CQ910 + (1-$BB$67:$BB$71)*CM910), N($AQ$67:$AQ$71&gt;$AO910)),
SUMPRODUCT(INDEX($AR$57:$AT$66,,$AI910), INDEX($AU$57:$BA$66,,$AH910), 1 / ($BC$57:$BC$66*CQ910 + (1-$BC$57:$BC$66)*CM910), N($AQ$57:$AQ$66&gt;$AO910))
) / 1000</f>
        <v>0</v>
      </c>
      <c r="CS910" s="232">
        <f t="shared" si="800"/>
        <v>20</v>
      </c>
      <c r="CT910" s="230">
        <f t="shared" si="824"/>
        <v>33</v>
      </c>
      <c r="CU910" s="235">
        <f t="shared" si="825"/>
        <v>4.8487499999999999</v>
      </c>
      <c r="CV910" s="235" cm="1">
        <f t="array" ref="CV910">$BI910 * IF($AH910&lt;=2,
SUMPRODUCT(INDEX($AR$62:$AT$66,,$AI910), INDEX($AU$62:$BA$66,,$AH910), 1 / ($BB$62:$BB$66*CU910 + (1-$BB$62:$BB$66)*CQ910), N($AQ$62:$AQ$66&gt;$AO910)),
SUMPRODUCT(INDEX($AR$47:$AT$56,,$AI910), INDEX($AU$47:$BA$56,,$AH910), 1 / ($BC$47:$BC$56*CU910 + (1-$BC$47:$BC$56)*CQ910), N($AQ$47:$AQ$56&gt;$AO910))
) / 1000</f>
        <v>0</v>
      </c>
      <c r="CW910" s="235" cm="1">
        <f t="array" ref="CW910">$BI910 * IF($AH910&lt;=2,
SUMPRODUCT(INDEX($AR$23:$AT$61,,$AI910), INDEX($AU$23:$BA$61,,$AH910), 1 / ($BB$23:$BB$61*CU910), N($AQ$23:$AQ$61&gt;$AO910)),
SUMPRODUCT(INDEX($AR$23:$AT$46,,$AI910), INDEX($AU$23:$BA$46,,$AH910), 1 / ($BC$23:$BC$46*CU910), N($AQ$23:$AQ$46&gt;$AO910))
) / 1000</f>
        <v>0</v>
      </c>
      <c r="CX910" s="230">
        <f t="shared" si="826"/>
        <v>0</v>
      </c>
      <c r="CY910" s="238"/>
    </row>
    <row r="911" spans="1:103" s="76" customFormat="1" ht="14.25" customHeight="1" x14ac:dyDescent="0.2">
      <c r="A911" s="231" t="b">
        <f t="shared" si="792"/>
        <v>0</v>
      </c>
      <c r="B911" s="245">
        <v>889</v>
      </c>
      <c r="C911" s="258"/>
      <c r="D911" s="258"/>
      <c r="E911" s="246"/>
      <c r="F911" s="247" t="str">
        <f>IF(ISBLANK(E911), "", VLOOKUP(E911, Z!$A$2:$C$4127, 3, FALSE))</f>
        <v/>
      </c>
      <c r="G911" s="248"/>
      <c r="H911" s="248"/>
      <c r="I911" s="249"/>
      <c r="J911" s="250"/>
      <c r="K911" s="259"/>
      <c r="L911" s="260"/>
      <c r="M911" s="252" t="str" cm="1">
        <f t="array" ref="M911">INDEX(Trad, 53, $A$20)</f>
        <v>Verschmutzt</v>
      </c>
      <c r="N911" s="253"/>
      <c r="O911" s="253"/>
      <c r="P911" s="254"/>
      <c r="Q911" s="251"/>
      <c r="R911" s="251"/>
      <c r="S911" s="264">
        <f t="shared" si="801"/>
        <v>0</v>
      </c>
      <c r="T911" s="252" t="str" cm="1">
        <f t="array" ref="T911">INDEX(Trad, 52, $A$20)</f>
        <v>Sauber</v>
      </c>
      <c r="U911" s="253"/>
      <c r="V911" s="253"/>
      <c r="W911" s="254"/>
      <c r="X911" s="251"/>
      <c r="Y911" s="251"/>
      <c r="Z911" s="264">
        <f t="shared" si="802"/>
        <v>0</v>
      </c>
      <c r="AA911" s="261"/>
      <c r="AB911" s="258"/>
      <c r="AC911" s="246"/>
      <c r="AD911" s="247" t="str">
        <f>IF(ISBLANK(AC911), "", VLOOKUP(AC911, Z!$A$2:$C$4127, 3, FALSE))</f>
        <v/>
      </c>
      <c r="AE911" s="262"/>
      <c r="AF911" s="263">
        <f t="shared" si="803"/>
        <v>0</v>
      </c>
      <c r="AG911" s="238"/>
      <c r="AH911" s="229">
        <f t="shared" si="827"/>
        <v>1</v>
      </c>
      <c r="AI911" s="229">
        <f t="shared" si="828"/>
        <v>1</v>
      </c>
      <c r="AJ911" s="229">
        <f t="shared" si="829"/>
        <v>0</v>
      </c>
      <c r="AK911" s="229">
        <v>0</v>
      </c>
      <c r="AL911" s="229">
        <v>0</v>
      </c>
      <c r="AM911" s="229">
        <v>1</v>
      </c>
      <c r="AN911" s="229">
        <v>0</v>
      </c>
      <c r="AO911" s="229">
        <f t="shared" si="804"/>
        <v>-100</v>
      </c>
      <c r="AP911" s="238"/>
      <c r="AQ911" s="255"/>
      <c r="AR911" s="255"/>
      <c r="AS911" s="256"/>
      <c r="AT911" s="256"/>
      <c r="AU911" s="256"/>
      <c r="AV911" s="256"/>
      <c r="AW911" s="256"/>
      <c r="AX911" s="256"/>
      <c r="AY911" s="256"/>
      <c r="AZ911" s="256"/>
      <c r="BA911" s="256"/>
      <c r="BB911" s="256"/>
      <c r="BC911" s="256"/>
      <c r="BD911" s="238"/>
      <c r="BE911" s="229" cm="1">
        <f t="array" ref="BE911">IF(ISBLANK(R911), INDEX(Use, $AH911, 4) - AM911*INDEX(Use, $AH911, 6), R911)</f>
        <v>5</v>
      </c>
      <c r="BF911" s="229">
        <f t="shared" si="805"/>
        <v>30</v>
      </c>
      <c r="BG911" s="229">
        <f t="shared" si="793"/>
        <v>13</v>
      </c>
      <c r="BH911" s="229">
        <f t="shared" si="794"/>
        <v>0</v>
      </c>
      <c r="BI911" s="234" cm="1">
        <f t="array" ref="BI911">K911/IF($L911&gt;0, INDEX($AU$23:$BA$77, $L911+20, $AH911), 1)</f>
        <v>0</v>
      </c>
      <c r="BJ911" s="230">
        <f t="shared" si="806"/>
        <v>0</v>
      </c>
      <c r="BK911" s="229">
        <v>35</v>
      </c>
      <c r="BL911" s="230">
        <f t="shared" si="807"/>
        <v>48</v>
      </c>
      <c r="BM911" s="235">
        <f t="shared" si="808"/>
        <v>2.9108720930232557</v>
      </c>
      <c r="BN911" s="235" cm="1">
        <f t="array" ref="BN911">$BI911 * SUMPRODUCT(INDEX($AR$77:$AT$82,,$AI911),INDEX($AU$77:$BA$82,,$AH911), N($AQ$77:$AQ$82&gt;$AO911)) / BM911 / 1000</f>
        <v>0</v>
      </c>
      <c r="BO911" s="232">
        <f t="shared" si="795"/>
        <v>30</v>
      </c>
      <c r="BP911" s="230">
        <f t="shared" si="809"/>
        <v>43</v>
      </c>
      <c r="BQ911" s="235">
        <f t="shared" si="810"/>
        <v>3.2938815789473681</v>
      </c>
      <c r="BR911" s="235" cm="1">
        <f t="array" ref="BR911">$BI911 * IF($AH911&lt;=2,
SUMPRODUCT(INDEX($AR$72:$AT$76,,$AI911), INDEX($AU$72:$BA$76,,$AH911), 1 / ($BB$72:$BB$76*BQ911 + (1-$BB$72:$BB$76)*BM911), N($AQ$72:$AQ$76&gt;$AO911)),
SUMPRODUCT(INDEX($AR$67:$AT$76,,$AI911), INDEX($AU$67:$BA$76,,$AH911), 1 / ($BC$67:$BC$76*BQ911 + (1-$BC$67:$BC$76)*BM911), N($AQ$67:$AQ$76&gt;$AO911))
) / 1000</f>
        <v>0</v>
      </c>
      <c r="BS911" s="232">
        <f t="shared" si="796"/>
        <v>25</v>
      </c>
      <c r="BT911" s="230">
        <f t="shared" si="811"/>
        <v>38</v>
      </c>
      <c r="BU911" s="235">
        <f t="shared" si="812"/>
        <v>3.792954545454545</v>
      </c>
      <c r="BV911" s="235" cm="1">
        <f t="array" ref="BV911">$BI911 * IF($AH911&lt;=2,
SUMPRODUCT(INDEX($AR$67:$AT$71,,$AI911), INDEX($AU$67:$BA$71,,$AH911), 1 / ($BB$67:$BB$71*BU911 + (1-$BB$67:$BB$71)*BQ911), N($AQ$67:$AQ$71&gt;$AO911)),
SUMPRODUCT(INDEX($AR$57:$AT$66,,$AI911), INDEX($AU$57:$BA$66,,$AH911), 1 / ($BC$57:$BC$66*BU911 + (1-$BC$57:$BC$66)*BQ911), N($AQ$57:$AQ$66&gt;$AO911))
) / 1000</f>
        <v>0</v>
      </c>
      <c r="BW911" s="232">
        <f t="shared" si="797"/>
        <v>20</v>
      </c>
      <c r="BX911" s="230">
        <f t="shared" si="813"/>
        <v>33</v>
      </c>
      <c r="BY911" s="235">
        <f t="shared" si="814"/>
        <v>4.4702678571428569</v>
      </c>
      <c r="BZ911" s="235" cm="1">
        <f t="array" ref="BZ911">$BI911 * IF($AH911&lt;=2,
SUMPRODUCT(INDEX($AR$62:$AT$66,,$AI911), INDEX($AU$62:$BA$66,,$AH911), 1 / ($BB$62:$BB$66*BY911 + (1-$BB$62:$BB$66)*BU911), N($AQ$62:$AQ$66&gt;$AO911)),
SUMPRODUCT(INDEX($AR$47:$AT$56,,$AI911), INDEX($AU$47:$BA$56,,$AH911), 1 / ($BC$47:$BC$56*BY911 + (1-$BC$47:$BC$56)*BU911), N($AQ$47:$AQ$56&gt;$AO911))
) / 1000</f>
        <v>0</v>
      </c>
      <c r="CA911" s="235" cm="1">
        <f t="array" ref="CA911">$BI911 * IF($AH911&lt;=2,
SUMPRODUCT(INDEX($AR$23:$AT$61,,$AI911), INDEX($AU$23:$BA$61,,$AH911), 1 / ($BB$23:$BB$61*BY911), N($AQ$23:$AQ$61&gt;$AO911)),
SUMPRODUCT(INDEX($AR$23:$AT$46,,$AI911), INDEX($AU$23:$BA$46,,$AH911), 1 / ($BC$23:$BC$46*BY911), N($AQ$23:$AQ$46&gt;$AO911))
) / 1000</f>
        <v>0</v>
      </c>
      <c r="CB911" s="230">
        <f t="shared" si="815"/>
        <v>0</v>
      </c>
      <c r="CC911" s="238"/>
      <c r="CD911" s="229" cm="1">
        <f t="array" ref="CD911">IF(ISBLANK(Y911), INDEX(Use, $AH911, 4) - AN911*INDEX(Use, $AH911, 6) - (Q911-X911), Y911)</f>
        <v>7</v>
      </c>
      <c r="CE911" s="229">
        <f t="shared" si="816"/>
        <v>32</v>
      </c>
      <c r="CF911" s="230">
        <f t="shared" si="817"/>
        <v>0</v>
      </c>
      <c r="CG911" s="229">
        <v>35</v>
      </c>
      <c r="CH911" s="230">
        <f t="shared" si="818"/>
        <v>48</v>
      </c>
      <c r="CI911" s="235">
        <f t="shared" si="819"/>
        <v>3.0748170731707316</v>
      </c>
      <c r="CJ911" s="235" cm="1">
        <f t="array" ref="CJ911">$BI911 * SUMPRODUCT(INDEX($AR$77:$AT$82,,$AI911),INDEX($AU$77:$BA$82,,$AH911), N($AQ$77:$AQ$82&gt;$AO911)) / CI911 / 1000</f>
        <v>0</v>
      </c>
      <c r="CK911" s="232">
        <f t="shared" si="798"/>
        <v>30</v>
      </c>
      <c r="CL911" s="230">
        <f t="shared" si="820"/>
        <v>43</v>
      </c>
      <c r="CM911" s="235">
        <f t="shared" si="821"/>
        <v>3.5018750000000001</v>
      </c>
      <c r="CN911" s="235" cm="1">
        <f t="array" ref="CN911">$BI911 * IF($AH911&lt;=2,
SUMPRODUCT(INDEX($AR$72:$AT$76,,$AI911), INDEX($AU$72:$BA$76,,$AH911), 1 / ($BB$72:$BB$76*CM911 + (1-$BB$72:$BB$76)*CI911), N($AQ$72:$AQ$76&gt;$AO911)),
SUMPRODUCT(INDEX($AR$67:$AT$76,,$AI911), INDEX($AU$67:$BA$76,,$AH911), 1 / ($BC$67:$BC$76*CM911 + (1-$BC$67:$BC$76)*CI911), N($AQ$67:$AQ$76&gt;$AO911))
) / 1000</f>
        <v>0</v>
      </c>
      <c r="CO911" s="232">
        <f t="shared" si="799"/>
        <v>25</v>
      </c>
      <c r="CP911" s="230">
        <f t="shared" si="822"/>
        <v>38</v>
      </c>
      <c r="CQ911" s="235">
        <f t="shared" si="823"/>
        <v>4.0666935483870965</v>
      </c>
      <c r="CR911" s="235" cm="1">
        <f t="array" ref="CR911">$BI911 * IF($AH911&lt;=2,
SUMPRODUCT(INDEX($AR$67:$AT$71,,$AI911), INDEX($AU$67:$BA$71,,$AH911), 1 / ($BB$67:$BB$71*CQ911 + (1-$BB$67:$BB$71)*CM911), N($AQ$67:$AQ$71&gt;$AO911)),
SUMPRODUCT(INDEX($AR$57:$AT$66,,$AI911), INDEX($AU$57:$BA$66,,$AH911), 1 / ($BC$57:$BC$66*CQ911 + (1-$BC$57:$BC$66)*CM911), N($AQ$57:$AQ$66&gt;$AO911))
) / 1000</f>
        <v>0</v>
      </c>
      <c r="CS911" s="232">
        <f t="shared" si="800"/>
        <v>20</v>
      </c>
      <c r="CT911" s="230">
        <f t="shared" si="824"/>
        <v>33</v>
      </c>
      <c r="CU911" s="235">
        <f t="shared" si="825"/>
        <v>4.8487499999999999</v>
      </c>
      <c r="CV911" s="235" cm="1">
        <f t="array" ref="CV911">$BI911 * IF($AH911&lt;=2,
SUMPRODUCT(INDEX($AR$62:$AT$66,,$AI911), INDEX($AU$62:$BA$66,,$AH911), 1 / ($BB$62:$BB$66*CU911 + (1-$BB$62:$BB$66)*CQ911), N($AQ$62:$AQ$66&gt;$AO911)),
SUMPRODUCT(INDEX($AR$47:$AT$56,,$AI911), INDEX($AU$47:$BA$56,,$AH911), 1 / ($BC$47:$BC$56*CU911 + (1-$BC$47:$BC$56)*CQ911), N($AQ$47:$AQ$56&gt;$AO911))
) / 1000</f>
        <v>0</v>
      </c>
      <c r="CW911" s="235" cm="1">
        <f t="array" ref="CW911">$BI911 * IF($AH911&lt;=2,
SUMPRODUCT(INDEX($AR$23:$AT$61,,$AI911), INDEX($AU$23:$BA$61,,$AH911), 1 / ($BB$23:$BB$61*CU911), N($AQ$23:$AQ$61&gt;$AO911)),
SUMPRODUCT(INDEX($AR$23:$AT$46,,$AI911), INDEX($AU$23:$BA$46,,$AH911), 1 / ($BC$23:$BC$46*CU911), N($AQ$23:$AQ$46&gt;$AO911))
) / 1000</f>
        <v>0</v>
      </c>
      <c r="CX911" s="230">
        <f t="shared" si="826"/>
        <v>0</v>
      </c>
      <c r="CY911" s="238"/>
    </row>
    <row r="912" spans="1:103" s="76" customFormat="1" ht="14.25" customHeight="1" x14ac:dyDescent="0.2">
      <c r="A912" s="231" t="b">
        <f t="shared" si="792"/>
        <v>0</v>
      </c>
      <c r="B912" s="245">
        <v>890</v>
      </c>
      <c r="C912" s="258"/>
      <c r="D912" s="258"/>
      <c r="E912" s="246"/>
      <c r="F912" s="247" t="str">
        <f>IF(ISBLANK(E912), "", VLOOKUP(E912, Z!$A$2:$C$4127, 3, FALSE))</f>
        <v/>
      </c>
      <c r="G912" s="248"/>
      <c r="H912" s="248"/>
      <c r="I912" s="249"/>
      <c r="J912" s="250"/>
      <c r="K912" s="259"/>
      <c r="L912" s="260"/>
      <c r="M912" s="252" t="str" cm="1">
        <f t="array" ref="M912">INDEX(Trad, 53, $A$20)</f>
        <v>Verschmutzt</v>
      </c>
      <c r="N912" s="253"/>
      <c r="O912" s="253"/>
      <c r="P912" s="254"/>
      <c r="Q912" s="251"/>
      <c r="R912" s="251"/>
      <c r="S912" s="264">
        <f t="shared" si="801"/>
        <v>0</v>
      </c>
      <c r="T912" s="252" t="str" cm="1">
        <f t="array" ref="T912">INDEX(Trad, 52, $A$20)</f>
        <v>Sauber</v>
      </c>
      <c r="U912" s="253"/>
      <c r="V912" s="253"/>
      <c r="W912" s="254"/>
      <c r="X912" s="251"/>
      <c r="Y912" s="251"/>
      <c r="Z912" s="264">
        <f t="shared" si="802"/>
        <v>0</v>
      </c>
      <c r="AA912" s="261"/>
      <c r="AB912" s="258"/>
      <c r="AC912" s="246"/>
      <c r="AD912" s="247" t="str">
        <f>IF(ISBLANK(AC912), "", VLOOKUP(AC912, Z!$A$2:$C$4127, 3, FALSE))</f>
        <v/>
      </c>
      <c r="AE912" s="262"/>
      <c r="AF912" s="263">
        <f t="shared" si="803"/>
        <v>0</v>
      </c>
      <c r="AG912" s="238"/>
      <c r="AH912" s="229">
        <f t="shared" si="827"/>
        <v>1</v>
      </c>
      <c r="AI912" s="229">
        <f t="shared" si="828"/>
        <v>1</v>
      </c>
      <c r="AJ912" s="229">
        <f t="shared" si="829"/>
        <v>0</v>
      </c>
      <c r="AK912" s="229">
        <v>0</v>
      </c>
      <c r="AL912" s="229">
        <v>0</v>
      </c>
      <c r="AM912" s="229">
        <v>1</v>
      </c>
      <c r="AN912" s="229">
        <v>0</v>
      </c>
      <c r="AO912" s="229">
        <f t="shared" si="804"/>
        <v>-100</v>
      </c>
      <c r="AP912" s="238"/>
      <c r="AQ912" s="255"/>
      <c r="AR912" s="255"/>
      <c r="AS912" s="256"/>
      <c r="AT912" s="256"/>
      <c r="AU912" s="256"/>
      <c r="AV912" s="256"/>
      <c r="AW912" s="256"/>
      <c r="AX912" s="256"/>
      <c r="AY912" s="256"/>
      <c r="AZ912" s="256"/>
      <c r="BA912" s="256"/>
      <c r="BB912" s="256"/>
      <c r="BC912" s="256"/>
      <c r="BD912" s="238"/>
      <c r="BE912" s="229" cm="1">
        <f t="array" ref="BE912">IF(ISBLANK(R912), INDEX(Use, $AH912, 4) - AM912*INDEX(Use, $AH912, 6), R912)</f>
        <v>5</v>
      </c>
      <c r="BF912" s="229">
        <f t="shared" si="805"/>
        <v>30</v>
      </c>
      <c r="BG912" s="229">
        <f t="shared" si="793"/>
        <v>13</v>
      </c>
      <c r="BH912" s="229">
        <f t="shared" si="794"/>
        <v>0</v>
      </c>
      <c r="BI912" s="234" cm="1">
        <f t="array" ref="BI912">K912/IF($L912&gt;0, INDEX($AU$23:$BA$77, $L912+20, $AH912), 1)</f>
        <v>0</v>
      </c>
      <c r="BJ912" s="230">
        <f t="shared" si="806"/>
        <v>0</v>
      </c>
      <c r="BK912" s="229">
        <v>35</v>
      </c>
      <c r="BL912" s="230">
        <f t="shared" si="807"/>
        <v>48</v>
      </c>
      <c r="BM912" s="235">
        <f t="shared" si="808"/>
        <v>2.9108720930232557</v>
      </c>
      <c r="BN912" s="235" cm="1">
        <f t="array" ref="BN912">$BI912 * SUMPRODUCT(INDEX($AR$77:$AT$82,,$AI912),INDEX($AU$77:$BA$82,,$AH912), N($AQ$77:$AQ$82&gt;$AO912)) / BM912 / 1000</f>
        <v>0</v>
      </c>
      <c r="BO912" s="232">
        <f t="shared" si="795"/>
        <v>30</v>
      </c>
      <c r="BP912" s="230">
        <f t="shared" si="809"/>
        <v>43</v>
      </c>
      <c r="BQ912" s="235">
        <f t="shared" si="810"/>
        <v>3.2938815789473681</v>
      </c>
      <c r="BR912" s="235" cm="1">
        <f t="array" ref="BR912">$BI912 * IF($AH912&lt;=2,
SUMPRODUCT(INDEX($AR$72:$AT$76,,$AI912), INDEX($AU$72:$BA$76,,$AH912), 1 / ($BB$72:$BB$76*BQ912 + (1-$BB$72:$BB$76)*BM912), N($AQ$72:$AQ$76&gt;$AO912)),
SUMPRODUCT(INDEX($AR$67:$AT$76,,$AI912), INDEX($AU$67:$BA$76,,$AH912), 1 / ($BC$67:$BC$76*BQ912 + (1-$BC$67:$BC$76)*BM912), N($AQ$67:$AQ$76&gt;$AO912))
) / 1000</f>
        <v>0</v>
      </c>
      <c r="BS912" s="232">
        <f t="shared" si="796"/>
        <v>25</v>
      </c>
      <c r="BT912" s="230">
        <f t="shared" si="811"/>
        <v>38</v>
      </c>
      <c r="BU912" s="235">
        <f t="shared" si="812"/>
        <v>3.792954545454545</v>
      </c>
      <c r="BV912" s="235" cm="1">
        <f t="array" ref="BV912">$BI912 * IF($AH912&lt;=2,
SUMPRODUCT(INDEX($AR$67:$AT$71,,$AI912), INDEX($AU$67:$BA$71,,$AH912), 1 / ($BB$67:$BB$71*BU912 + (1-$BB$67:$BB$71)*BQ912), N($AQ$67:$AQ$71&gt;$AO912)),
SUMPRODUCT(INDEX($AR$57:$AT$66,,$AI912), INDEX($AU$57:$BA$66,,$AH912), 1 / ($BC$57:$BC$66*BU912 + (1-$BC$57:$BC$66)*BQ912), N($AQ$57:$AQ$66&gt;$AO912))
) / 1000</f>
        <v>0</v>
      </c>
      <c r="BW912" s="232">
        <f t="shared" si="797"/>
        <v>20</v>
      </c>
      <c r="BX912" s="230">
        <f t="shared" si="813"/>
        <v>33</v>
      </c>
      <c r="BY912" s="235">
        <f t="shared" si="814"/>
        <v>4.4702678571428569</v>
      </c>
      <c r="BZ912" s="235" cm="1">
        <f t="array" ref="BZ912">$BI912 * IF($AH912&lt;=2,
SUMPRODUCT(INDEX($AR$62:$AT$66,,$AI912), INDEX($AU$62:$BA$66,,$AH912), 1 / ($BB$62:$BB$66*BY912 + (1-$BB$62:$BB$66)*BU912), N($AQ$62:$AQ$66&gt;$AO912)),
SUMPRODUCT(INDEX($AR$47:$AT$56,,$AI912), INDEX($AU$47:$BA$56,,$AH912), 1 / ($BC$47:$BC$56*BY912 + (1-$BC$47:$BC$56)*BU912), N($AQ$47:$AQ$56&gt;$AO912))
) / 1000</f>
        <v>0</v>
      </c>
      <c r="CA912" s="235" cm="1">
        <f t="array" ref="CA912">$BI912 * IF($AH912&lt;=2,
SUMPRODUCT(INDEX($AR$23:$AT$61,,$AI912), INDEX($AU$23:$BA$61,,$AH912), 1 / ($BB$23:$BB$61*BY912), N($AQ$23:$AQ$61&gt;$AO912)),
SUMPRODUCT(INDEX($AR$23:$AT$46,,$AI912), INDEX($AU$23:$BA$46,,$AH912), 1 / ($BC$23:$BC$46*BY912), N($AQ$23:$AQ$46&gt;$AO912))
) / 1000</f>
        <v>0</v>
      </c>
      <c r="CB912" s="230">
        <f t="shared" si="815"/>
        <v>0</v>
      </c>
      <c r="CC912" s="238"/>
      <c r="CD912" s="229" cm="1">
        <f t="array" ref="CD912">IF(ISBLANK(Y912), INDEX(Use, $AH912, 4) - AN912*INDEX(Use, $AH912, 6) - (Q912-X912), Y912)</f>
        <v>7</v>
      </c>
      <c r="CE912" s="229">
        <f t="shared" si="816"/>
        <v>32</v>
      </c>
      <c r="CF912" s="230">
        <f t="shared" si="817"/>
        <v>0</v>
      </c>
      <c r="CG912" s="229">
        <v>35</v>
      </c>
      <c r="CH912" s="230">
        <f t="shared" si="818"/>
        <v>48</v>
      </c>
      <c r="CI912" s="235">
        <f t="shared" si="819"/>
        <v>3.0748170731707316</v>
      </c>
      <c r="CJ912" s="235" cm="1">
        <f t="array" ref="CJ912">$BI912 * SUMPRODUCT(INDEX($AR$77:$AT$82,,$AI912),INDEX($AU$77:$BA$82,,$AH912), N($AQ$77:$AQ$82&gt;$AO912)) / CI912 / 1000</f>
        <v>0</v>
      </c>
      <c r="CK912" s="232">
        <f t="shared" si="798"/>
        <v>30</v>
      </c>
      <c r="CL912" s="230">
        <f t="shared" si="820"/>
        <v>43</v>
      </c>
      <c r="CM912" s="235">
        <f t="shared" si="821"/>
        <v>3.5018750000000001</v>
      </c>
      <c r="CN912" s="235" cm="1">
        <f t="array" ref="CN912">$BI912 * IF($AH912&lt;=2,
SUMPRODUCT(INDEX($AR$72:$AT$76,,$AI912), INDEX($AU$72:$BA$76,,$AH912), 1 / ($BB$72:$BB$76*CM912 + (1-$BB$72:$BB$76)*CI912), N($AQ$72:$AQ$76&gt;$AO912)),
SUMPRODUCT(INDEX($AR$67:$AT$76,,$AI912), INDEX($AU$67:$BA$76,,$AH912), 1 / ($BC$67:$BC$76*CM912 + (1-$BC$67:$BC$76)*CI912), N($AQ$67:$AQ$76&gt;$AO912))
) / 1000</f>
        <v>0</v>
      </c>
      <c r="CO912" s="232">
        <f t="shared" si="799"/>
        <v>25</v>
      </c>
      <c r="CP912" s="230">
        <f t="shared" si="822"/>
        <v>38</v>
      </c>
      <c r="CQ912" s="235">
        <f t="shared" si="823"/>
        <v>4.0666935483870965</v>
      </c>
      <c r="CR912" s="235" cm="1">
        <f t="array" ref="CR912">$BI912 * IF($AH912&lt;=2,
SUMPRODUCT(INDEX($AR$67:$AT$71,,$AI912), INDEX($AU$67:$BA$71,,$AH912), 1 / ($BB$67:$BB$71*CQ912 + (1-$BB$67:$BB$71)*CM912), N($AQ$67:$AQ$71&gt;$AO912)),
SUMPRODUCT(INDEX($AR$57:$AT$66,,$AI912), INDEX($AU$57:$BA$66,,$AH912), 1 / ($BC$57:$BC$66*CQ912 + (1-$BC$57:$BC$66)*CM912), N($AQ$57:$AQ$66&gt;$AO912))
) / 1000</f>
        <v>0</v>
      </c>
      <c r="CS912" s="232">
        <f t="shared" si="800"/>
        <v>20</v>
      </c>
      <c r="CT912" s="230">
        <f t="shared" si="824"/>
        <v>33</v>
      </c>
      <c r="CU912" s="235">
        <f t="shared" si="825"/>
        <v>4.8487499999999999</v>
      </c>
      <c r="CV912" s="235" cm="1">
        <f t="array" ref="CV912">$BI912 * IF($AH912&lt;=2,
SUMPRODUCT(INDEX($AR$62:$AT$66,,$AI912), INDEX($AU$62:$BA$66,,$AH912), 1 / ($BB$62:$BB$66*CU912 + (1-$BB$62:$BB$66)*CQ912), N($AQ$62:$AQ$66&gt;$AO912)),
SUMPRODUCT(INDEX($AR$47:$AT$56,,$AI912), INDEX($AU$47:$BA$56,,$AH912), 1 / ($BC$47:$BC$56*CU912 + (1-$BC$47:$BC$56)*CQ912), N($AQ$47:$AQ$56&gt;$AO912))
) / 1000</f>
        <v>0</v>
      </c>
      <c r="CW912" s="235" cm="1">
        <f t="array" ref="CW912">$BI912 * IF($AH912&lt;=2,
SUMPRODUCT(INDEX($AR$23:$AT$61,,$AI912), INDEX($AU$23:$BA$61,,$AH912), 1 / ($BB$23:$BB$61*CU912), N($AQ$23:$AQ$61&gt;$AO912)),
SUMPRODUCT(INDEX($AR$23:$AT$46,,$AI912), INDEX($AU$23:$BA$46,,$AH912), 1 / ($BC$23:$BC$46*CU912), N($AQ$23:$AQ$46&gt;$AO912))
) / 1000</f>
        <v>0</v>
      </c>
      <c r="CX912" s="230">
        <f t="shared" si="826"/>
        <v>0</v>
      </c>
      <c r="CY912" s="238"/>
    </row>
    <row r="913" spans="1:103" s="76" customFormat="1" ht="14.25" customHeight="1" x14ac:dyDescent="0.2">
      <c r="A913" s="231" t="b">
        <f t="shared" si="792"/>
        <v>0</v>
      </c>
      <c r="B913" s="245">
        <v>891</v>
      </c>
      <c r="C913" s="258"/>
      <c r="D913" s="258"/>
      <c r="E913" s="246"/>
      <c r="F913" s="247" t="str">
        <f>IF(ISBLANK(E913), "", VLOOKUP(E913, Z!$A$2:$C$4127, 3, FALSE))</f>
        <v/>
      </c>
      <c r="G913" s="248"/>
      <c r="H913" s="248"/>
      <c r="I913" s="249"/>
      <c r="J913" s="250"/>
      <c r="K913" s="259"/>
      <c r="L913" s="260"/>
      <c r="M913" s="252" t="str" cm="1">
        <f t="array" ref="M913">INDEX(Trad, 53, $A$20)</f>
        <v>Verschmutzt</v>
      </c>
      <c r="N913" s="253"/>
      <c r="O913" s="253"/>
      <c r="P913" s="254"/>
      <c r="Q913" s="251"/>
      <c r="R913" s="251"/>
      <c r="S913" s="264">
        <f t="shared" si="801"/>
        <v>0</v>
      </c>
      <c r="T913" s="252" t="str" cm="1">
        <f t="array" ref="T913">INDEX(Trad, 52, $A$20)</f>
        <v>Sauber</v>
      </c>
      <c r="U913" s="253"/>
      <c r="V913" s="253"/>
      <c r="W913" s="254"/>
      <c r="X913" s="251"/>
      <c r="Y913" s="251"/>
      <c r="Z913" s="264">
        <f t="shared" si="802"/>
        <v>0</v>
      </c>
      <c r="AA913" s="261"/>
      <c r="AB913" s="258"/>
      <c r="AC913" s="246"/>
      <c r="AD913" s="247" t="str">
        <f>IF(ISBLANK(AC913), "", VLOOKUP(AC913, Z!$A$2:$C$4127, 3, FALSE))</f>
        <v/>
      </c>
      <c r="AE913" s="262"/>
      <c r="AF913" s="263">
        <f t="shared" si="803"/>
        <v>0</v>
      </c>
      <c r="AG913" s="238"/>
      <c r="AH913" s="229">
        <f t="shared" si="827"/>
        <v>1</v>
      </c>
      <c r="AI913" s="229">
        <f t="shared" si="828"/>
        <v>1</v>
      </c>
      <c r="AJ913" s="229">
        <f t="shared" si="829"/>
        <v>0</v>
      </c>
      <c r="AK913" s="229">
        <v>0</v>
      </c>
      <c r="AL913" s="229">
        <v>0</v>
      </c>
      <c r="AM913" s="229">
        <v>1</v>
      </c>
      <c r="AN913" s="229">
        <v>0</v>
      </c>
      <c r="AO913" s="229">
        <f t="shared" si="804"/>
        <v>-100</v>
      </c>
      <c r="AP913" s="238"/>
      <c r="AQ913" s="255"/>
      <c r="AR913" s="255"/>
      <c r="AS913" s="256"/>
      <c r="AT913" s="256"/>
      <c r="AU913" s="256"/>
      <c r="AV913" s="256"/>
      <c r="AW913" s="256"/>
      <c r="AX913" s="256"/>
      <c r="AY913" s="256"/>
      <c r="AZ913" s="256"/>
      <c r="BA913" s="256"/>
      <c r="BB913" s="256"/>
      <c r="BC913" s="256"/>
      <c r="BD913" s="238"/>
      <c r="BE913" s="229" cm="1">
        <f t="array" ref="BE913">IF(ISBLANK(R913), INDEX(Use, $AH913, 4) - AM913*INDEX(Use, $AH913, 6), R913)</f>
        <v>5</v>
      </c>
      <c r="BF913" s="229">
        <f t="shared" si="805"/>
        <v>30</v>
      </c>
      <c r="BG913" s="229">
        <f t="shared" si="793"/>
        <v>13</v>
      </c>
      <c r="BH913" s="229">
        <f t="shared" si="794"/>
        <v>0</v>
      </c>
      <c r="BI913" s="234" cm="1">
        <f t="array" ref="BI913">K913/IF($L913&gt;0, INDEX($AU$23:$BA$77, $L913+20, $AH913), 1)</f>
        <v>0</v>
      </c>
      <c r="BJ913" s="230">
        <f t="shared" si="806"/>
        <v>0</v>
      </c>
      <c r="BK913" s="229">
        <v>35</v>
      </c>
      <c r="BL913" s="230">
        <f t="shared" si="807"/>
        <v>48</v>
      </c>
      <c r="BM913" s="235">
        <f t="shared" si="808"/>
        <v>2.9108720930232557</v>
      </c>
      <c r="BN913" s="235" cm="1">
        <f t="array" ref="BN913">$BI913 * SUMPRODUCT(INDEX($AR$77:$AT$82,,$AI913),INDEX($AU$77:$BA$82,,$AH913), N($AQ$77:$AQ$82&gt;$AO913)) / BM913 / 1000</f>
        <v>0</v>
      </c>
      <c r="BO913" s="232">
        <f t="shared" si="795"/>
        <v>30</v>
      </c>
      <c r="BP913" s="230">
        <f t="shared" si="809"/>
        <v>43</v>
      </c>
      <c r="BQ913" s="235">
        <f t="shared" si="810"/>
        <v>3.2938815789473681</v>
      </c>
      <c r="BR913" s="235" cm="1">
        <f t="array" ref="BR913">$BI913 * IF($AH913&lt;=2,
SUMPRODUCT(INDEX($AR$72:$AT$76,,$AI913), INDEX($AU$72:$BA$76,,$AH913), 1 / ($BB$72:$BB$76*BQ913 + (1-$BB$72:$BB$76)*BM913), N($AQ$72:$AQ$76&gt;$AO913)),
SUMPRODUCT(INDEX($AR$67:$AT$76,,$AI913), INDEX($AU$67:$BA$76,,$AH913), 1 / ($BC$67:$BC$76*BQ913 + (1-$BC$67:$BC$76)*BM913), N($AQ$67:$AQ$76&gt;$AO913))
) / 1000</f>
        <v>0</v>
      </c>
      <c r="BS913" s="232">
        <f t="shared" si="796"/>
        <v>25</v>
      </c>
      <c r="BT913" s="230">
        <f t="shared" si="811"/>
        <v>38</v>
      </c>
      <c r="BU913" s="235">
        <f t="shared" si="812"/>
        <v>3.792954545454545</v>
      </c>
      <c r="BV913" s="235" cm="1">
        <f t="array" ref="BV913">$BI913 * IF($AH913&lt;=2,
SUMPRODUCT(INDEX($AR$67:$AT$71,,$AI913), INDEX($AU$67:$BA$71,,$AH913), 1 / ($BB$67:$BB$71*BU913 + (1-$BB$67:$BB$71)*BQ913), N($AQ$67:$AQ$71&gt;$AO913)),
SUMPRODUCT(INDEX($AR$57:$AT$66,,$AI913), INDEX($AU$57:$BA$66,,$AH913), 1 / ($BC$57:$BC$66*BU913 + (1-$BC$57:$BC$66)*BQ913), N($AQ$57:$AQ$66&gt;$AO913))
) / 1000</f>
        <v>0</v>
      </c>
      <c r="BW913" s="232">
        <f t="shared" si="797"/>
        <v>20</v>
      </c>
      <c r="BX913" s="230">
        <f t="shared" si="813"/>
        <v>33</v>
      </c>
      <c r="BY913" s="235">
        <f t="shared" si="814"/>
        <v>4.4702678571428569</v>
      </c>
      <c r="BZ913" s="235" cm="1">
        <f t="array" ref="BZ913">$BI913 * IF($AH913&lt;=2,
SUMPRODUCT(INDEX($AR$62:$AT$66,,$AI913), INDEX($AU$62:$BA$66,,$AH913), 1 / ($BB$62:$BB$66*BY913 + (1-$BB$62:$BB$66)*BU913), N($AQ$62:$AQ$66&gt;$AO913)),
SUMPRODUCT(INDEX($AR$47:$AT$56,,$AI913), INDEX($AU$47:$BA$56,,$AH913), 1 / ($BC$47:$BC$56*BY913 + (1-$BC$47:$BC$56)*BU913), N($AQ$47:$AQ$56&gt;$AO913))
) / 1000</f>
        <v>0</v>
      </c>
      <c r="CA913" s="235" cm="1">
        <f t="array" ref="CA913">$BI913 * IF($AH913&lt;=2,
SUMPRODUCT(INDEX($AR$23:$AT$61,,$AI913), INDEX($AU$23:$BA$61,,$AH913), 1 / ($BB$23:$BB$61*BY913), N($AQ$23:$AQ$61&gt;$AO913)),
SUMPRODUCT(INDEX($AR$23:$AT$46,,$AI913), INDEX($AU$23:$BA$46,,$AH913), 1 / ($BC$23:$BC$46*BY913), N($AQ$23:$AQ$46&gt;$AO913))
) / 1000</f>
        <v>0</v>
      </c>
      <c r="CB913" s="230">
        <f t="shared" si="815"/>
        <v>0</v>
      </c>
      <c r="CC913" s="238"/>
      <c r="CD913" s="229" cm="1">
        <f t="array" ref="CD913">IF(ISBLANK(Y913), INDEX(Use, $AH913, 4) - AN913*INDEX(Use, $AH913, 6) - (Q913-X913), Y913)</f>
        <v>7</v>
      </c>
      <c r="CE913" s="229">
        <f t="shared" si="816"/>
        <v>32</v>
      </c>
      <c r="CF913" s="230">
        <f t="shared" si="817"/>
        <v>0</v>
      </c>
      <c r="CG913" s="229">
        <v>35</v>
      </c>
      <c r="CH913" s="230">
        <f t="shared" si="818"/>
        <v>48</v>
      </c>
      <c r="CI913" s="235">
        <f t="shared" si="819"/>
        <v>3.0748170731707316</v>
      </c>
      <c r="CJ913" s="235" cm="1">
        <f t="array" ref="CJ913">$BI913 * SUMPRODUCT(INDEX($AR$77:$AT$82,,$AI913),INDEX($AU$77:$BA$82,,$AH913), N($AQ$77:$AQ$82&gt;$AO913)) / CI913 / 1000</f>
        <v>0</v>
      </c>
      <c r="CK913" s="232">
        <f t="shared" si="798"/>
        <v>30</v>
      </c>
      <c r="CL913" s="230">
        <f t="shared" si="820"/>
        <v>43</v>
      </c>
      <c r="CM913" s="235">
        <f t="shared" si="821"/>
        <v>3.5018750000000001</v>
      </c>
      <c r="CN913" s="235" cm="1">
        <f t="array" ref="CN913">$BI913 * IF($AH913&lt;=2,
SUMPRODUCT(INDEX($AR$72:$AT$76,,$AI913), INDEX($AU$72:$BA$76,,$AH913), 1 / ($BB$72:$BB$76*CM913 + (1-$BB$72:$BB$76)*CI913), N($AQ$72:$AQ$76&gt;$AO913)),
SUMPRODUCT(INDEX($AR$67:$AT$76,,$AI913), INDEX($AU$67:$BA$76,,$AH913), 1 / ($BC$67:$BC$76*CM913 + (1-$BC$67:$BC$76)*CI913), N($AQ$67:$AQ$76&gt;$AO913))
) / 1000</f>
        <v>0</v>
      </c>
      <c r="CO913" s="232">
        <f t="shared" si="799"/>
        <v>25</v>
      </c>
      <c r="CP913" s="230">
        <f t="shared" si="822"/>
        <v>38</v>
      </c>
      <c r="CQ913" s="235">
        <f t="shared" si="823"/>
        <v>4.0666935483870965</v>
      </c>
      <c r="CR913" s="235" cm="1">
        <f t="array" ref="CR913">$BI913 * IF($AH913&lt;=2,
SUMPRODUCT(INDEX($AR$67:$AT$71,,$AI913), INDEX($AU$67:$BA$71,,$AH913), 1 / ($BB$67:$BB$71*CQ913 + (1-$BB$67:$BB$71)*CM913), N($AQ$67:$AQ$71&gt;$AO913)),
SUMPRODUCT(INDEX($AR$57:$AT$66,,$AI913), INDEX($AU$57:$BA$66,,$AH913), 1 / ($BC$57:$BC$66*CQ913 + (1-$BC$57:$BC$66)*CM913), N($AQ$57:$AQ$66&gt;$AO913))
) / 1000</f>
        <v>0</v>
      </c>
      <c r="CS913" s="232">
        <f t="shared" si="800"/>
        <v>20</v>
      </c>
      <c r="CT913" s="230">
        <f t="shared" si="824"/>
        <v>33</v>
      </c>
      <c r="CU913" s="235">
        <f t="shared" si="825"/>
        <v>4.8487499999999999</v>
      </c>
      <c r="CV913" s="235" cm="1">
        <f t="array" ref="CV913">$BI913 * IF($AH913&lt;=2,
SUMPRODUCT(INDEX($AR$62:$AT$66,,$AI913), INDEX($AU$62:$BA$66,,$AH913), 1 / ($BB$62:$BB$66*CU913 + (1-$BB$62:$BB$66)*CQ913), N($AQ$62:$AQ$66&gt;$AO913)),
SUMPRODUCT(INDEX($AR$47:$AT$56,,$AI913), INDEX($AU$47:$BA$56,,$AH913), 1 / ($BC$47:$BC$56*CU913 + (1-$BC$47:$BC$56)*CQ913), N($AQ$47:$AQ$56&gt;$AO913))
) / 1000</f>
        <v>0</v>
      </c>
      <c r="CW913" s="235" cm="1">
        <f t="array" ref="CW913">$BI913 * IF($AH913&lt;=2,
SUMPRODUCT(INDEX($AR$23:$AT$61,,$AI913), INDEX($AU$23:$BA$61,,$AH913), 1 / ($BB$23:$BB$61*CU913), N($AQ$23:$AQ$61&gt;$AO913)),
SUMPRODUCT(INDEX($AR$23:$AT$46,,$AI913), INDEX($AU$23:$BA$46,,$AH913), 1 / ($BC$23:$BC$46*CU913), N($AQ$23:$AQ$46&gt;$AO913))
) / 1000</f>
        <v>0</v>
      </c>
      <c r="CX913" s="230">
        <f t="shared" si="826"/>
        <v>0</v>
      </c>
      <c r="CY913" s="238"/>
    </row>
    <row r="914" spans="1:103" s="76" customFormat="1" ht="14.25" customHeight="1" x14ac:dyDescent="0.2">
      <c r="A914" s="231" t="b">
        <f t="shared" si="792"/>
        <v>0</v>
      </c>
      <c r="B914" s="245">
        <v>892</v>
      </c>
      <c r="C914" s="258"/>
      <c r="D914" s="258"/>
      <c r="E914" s="246"/>
      <c r="F914" s="247" t="str">
        <f>IF(ISBLANK(E914), "", VLOOKUP(E914, Z!$A$2:$C$4127, 3, FALSE))</f>
        <v/>
      </c>
      <c r="G914" s="248"/>
      <c r="H914" s="248"/>
      <c r="I914" s="249"/>
      <c r="J914" s="250"/>
      <c r="K914" s="259"/>
      <c r="L914" s="260"/>
      <c r="M914" s="252" t="str" cm="1">
        <f t="array" ref="M914">INDEX(Trad, 53, $A$20)</f>
        <v>Verschmutzt</v>
      </c>
      <c r="N914" s="253"/>
      <c r="O914" s="253"/>
      <c r="P914" s="254"/>
      <c r="Q914" s="251"/>
      <c r="R914" s="251"/>
      <c r="S914" s="264">
        <f t="shared" si="801"/>
        <v>0</v>
      </c>
      <c r="T914" s="252" t="str" cm="1">
        <f t="array" ref="T914">INDEX(Trad, 52, $A$20)</f>
        <v>Sauber</v>
      </c>
      <c r="U914" s="253"/>
      <c r="V914" s="253"/>
      <c r="W914" s="254"/>
      <c r="X914" s="251"/>
      <c r="Y914" s="251"/>
      <c r="Z914" s="264">
        <f t="shared" si="802"/>
        <v>0</v>
      </c>
      <c r="AA914" s="261"/>
      <c r="AB914" s="258"/>
      <c r="AC914" s="246"/>
      <c r="AD914" s="247" t="str">
        <f>IF(ISBLANK(AC914), "", VLOOKUP(AC914, Z!$A$2:$C$4127, 3, FALSE))</f>
        <v/>
      </c>
      <c r="AE914" s="262"/>
      <c r="AF914" s="263">
        <f t="shared" si="803"/>
        <v>0</v>
      </c>
      <c r="AG914" s="238"/>
      <c r="AH914" s="229">
        <f t="shared" si="827"/>
        <v>1</v>
      </c>
      <c r="AI914" s="229">
        <f t="shared" si="828"/>
        <v>1</v>
      </c>
      <c r="AJ914" s="229">
        <f t="shared" si="829"/>
        <v>0</v>
      </c>
      <c r="AK914" s="229">
        <v>0</v>
      </c>
      <c r="AL914" s="229">
        <v>0</v>
      </c>
      <c r="AM914" s="229">
        <v>1</v>
      </c>
      <c r="AN914" s="229">
        <v>0</v>
      </c>
      <c r="AO914" s="229">
        <f t="shared" si="804"/>
        <v>-100</v>
      </c>
      <c r="AP914" s="238"/>
      <c r="AQ914" s="255"/>
      <c r="AR914" s="255"/>
      <c r="AS914" s="256"/>
      <c r="AT914" s="256"/>
      <c r="AU914" s="256"/>
      <c r="AV914" s="256"/>
      <c r="AW914" s="256"/>
      <c r="AX914" s="256"/>
      <c r="AY914" s="256"/>
      <c r="AZ914" s="256"/>
      <c r="BA914" s="256"/>
      <c r="BB914" s="256"/>
      <c r="BC914" s="256"/>
      <c r="BD914" s="238"/>
      <c r="BE914" s="229" cm="1">
        <f t="array" ref="BE914">IF(ISBLANK(R914), INDEX(Use, $AH914, 4) - AM914*INDEX(Use, $AH914, 6), R914)</f>
        <v>5</v>
      </c>
      <c r="BF914" s="229">
        <f t="shared" si="805"/>
        <v>30</v>
      </c>
      <c r="BG914" s="229">
        <f t="shared" si="793"/>
        <v>13</v>
      </c>
      <c r="BH914" s="229">
        <f t="shared" si="794"/>
        <v>0</v>
      </c>
      <c r="BI914" s="234" cm="1">
        <f t="array" ref="BI914">K914/IF($L914&gt;0, INDEX($AU$23:$BA$77, $L914+20, $AH914), 1)</f>
        <v>0</v>
      </c>
      <c r="BJ914" s="230">
        <f t="shared" si="806"/>
        <v>0</v>
      </c>
      <c r="BK914" s="229">
        <v>35</v>
      </c>
      <c r="BL914" s="230">
        <f t="shared" si="807"/>
        <v>48</v>
      </c>
      <c r="BM914" s="235">
        <f t="shared" si="808"/>
        <v>2.9108720930232557</v>
      </c>
      <c r="BN914" s="235" cm="1">
        <f t="array" ref="BN914">$BI914 * SUMPRODUCT(INDEX($AR$77:$AT$82,,$AI914),INDEX($AU$77:$BA$82,,$AH914), N($AQ$77:$AQ$82&gt;$AO914)) / BM914 / 1000</f>
        <v>0</v>
      </c>
      <c r="BO914" s="232">
        <f t="shared" si="795"/>
        <v>30</v>
      </c>
      <c r="BP914" s="230">
        <f t="shared" si="809"/>
        <v>43</v>
      </c>
      <c r="BQ914" s="235">
        <f t="shared" si="810"/>
        <v>3.2938815789473681</v>
      </c>
      <c r="BR914" s="235" cm="1">
        <f t="array" ref="BR914">$BI914 * IF($AH914&lt;=2,
SUMPRODUCT(INDEX($AR$72:$AT$76,,$AI914), INDEX($AU$72:$BA$76,,$AH914), 1 / ($BB$72:$BB$76*BQ914 + (1-$BB$72:$BB$76)*BM914), N($AQ$72:$AQ$76&gt;$AO914)),
SUMPRODUCT(INDEX($AR$67:$AT$76,,$AI914), INDEX($AU$67:$BA$76,,$AH914), 1 / ($BC$67:$BC$76*BQ914 + (1-$BC$67:$BC$76)*BM914), N($AQ$67:$AQ$76&gt;$AO914))
) / 1000</f>
        <v>0</v>
      </c>
      <c r="BS914" s="232">
        <f t="shared" si="796"/>
        <v>25</v>
      </c>
      <c r="BT914" s="230">
        <f t="shared" si="811"/>
        <v>38</v>
      </c>
      <c r="BU914" s="235">
        <f t="shared" si="812"/>
        <v>3.792954545454545</v>
      </c>
      <c r="BV914" s="235" cm="1">
        <f t="array" ref="BV914">$BI914 * IF($AH914&lt;=2,
SUMPRODUCT(INDEX($AR$67:$AT$71,,$AI914), INDEX($AU$67:$BA$71,,$AH914), 1 / ($BB$67:$BB$71*BU914 + (1-$BB$67:$BB$71)*BQ914), N($AQ$67:$AQ$71&gt;$AO914)),
SUMPRODUCT(INDEX($AR$57:$AT$66,,$AI914), INDEX($AU$57:$BA$66,,$AH914), 1 / ($BC$57:$BC$66*BU914 + (1-$BC$57:$BC$66)*BQ914), N($AQ$57:$AQ$66&gt;$AO914))
) / 1000</f>
        <v>0</v>
      </c>
      <c r="BW914" s="232">
        <f t="shared" si="797"/>
        <v>20</v>
      </c>
      <c r="BX914" s="230">
        <f t="shared" si="813"/>
        <v>33</v>
      </c>
      <c r="BY914" s="235">
        <f t="shared" si="814"/>
        <v>4.4702678571428569</v>
      </c>
      <c r="BZ914" s="235" cm="1">
        <f t="array" ref="BZ914">$BI914 * IF($AH914&lt;=2,
SUMPRODUCT(INDEX($AR$62:$AT$66,,$AI914), INDEX($AU$62:$BA$66,,$AH914), 1 / ($BB$62:$BB$66*BY914 + (1-$BB$62:$BB$66)*BU914), N($AQ$62:$AQ$66&gt;$AO914)),
SUMPRODUCT(INDEX($AR$47:$AT$56,,$AI914), INDEX($AU$47:$BA$56,,$AH914), 1 / ($BC$47:$BC$56*BY914 + (1-$BC$47:$BC$56)*BU914), N($AQ$47:$AQ$56&gt;$AO914))
) / 1000</f>
        <v>0</v>
      </c>
      <c r="CA914" s="235" cm="1">
        <f t="array" ref="CA914">$BI914 * IF($AH914&lt;=2,
SUMPRODUCT(INDEX($AR$23:$AT$61,,$AI914), INDEX($AU$23:$BA$61,,$AH914), 1 / ($BB$23:$BB$61*BY914), N($AQ$23:$AQ$61&gt;$AO914)),
SUMPRODUCT(INDEX($AR$23:$AT$46,,$AI914), INDEX($AU$23:$BA$46,,$AH914), 1 / ($BC$23:$BC$46*BY914), N($AQ$23:$AQ$46&gt;$AO914))
) / 1000</f>
        <v>0</v>
      </c>
      <c r="CB914" s="230">
        <f t="shared" si="815"/>
        <v>0</v>
      </c>
      <c r="CC914" s="238"/>
      <c r="CD914" s="229" cm="1">
        <f t="array" ref="CD914">IF(ISBLANK(Y914), INDEX(Use, $AH914, 4) - AN914*INDEX(Use, $AH914, 6) - (Q914-X914), Y914)</f>
        <v>7</v>
      </c>
      <c r="CE914" s="229">
        <f t="shared" si="816"/>
        <v>32</v>
      </c>
      <c r="CF914" s="230">
        <f t="shared" si="817"/>
        <v>0</v>
      </c>
      <c r="CG914" s="229">
        <v>35</v>
      </c>
      <c r="CH914" s="230">
        <f t="shared" si="818"/>
        <v>48</v>
      </c>
      <c r="CI914" s="235">
        <f t="shared" si="819"/>
        <v>3.0748170731707316</v>
      </c>
      <c r="CJ914" s="235" cm="1">
        <f t="array" ref="CJ914">$BI914 * SUMPRODUCT(INDEX($AR$77:$AT$82,,$AI914),INDEX($AU$77:$BA$82,,$AH914), N($AQ$77:$AQ$82&gt;$AO914)) / CI914 / 1000</f>
        <v>0</v>
      </c>
      <c r="CK914" s="232">
        <f t="shared" si="798"/>
        <v>30</v>
      </c>
      <c r="CL914" s="230">
        <f t="shared" si="820"/>
        <v>43</v>
      </c>
      <c r="CM914" s="235">
        <f t="shared" si="821"/>
        <v>3.5018750000000001</v>
      </c>
      <c r="CN914" s="235" cm="1">
        <f t="array" ref="CN914">$BI914 * IF($AH914&lt;=2,
SUMPRODUCT(INDEX($AR$72:$AT$76,,$AI914), INDEX($AU$72:$BA$76,,$AH914), 1 / ($BB$72:$BB$76*CM914 + (1-$BB$72:$BB$76)*CI914), N($AQ$72:$AQ$76&gt;$AO914)),
SUMPRODUCT(INDEX($AR$67:$AT$76,,$AI914), INDEX($AU$67:$BA$76,,$AH914), 1 / ($BC$67:$BC$76*CM914 + (1-$BC$67:$BC$76)*CI914), N($AQ$67:$AQ$76&gt;$AO914))
) / 1000</f>
        <v>0</v>
      </c>
      <c r="CO914" s="232">
        <f t="shared" si="799"/>
        <v>25</v>
      </c>
      <c r="CP914" s="230">
        <f t="shared" si="822"/>
        <v>38</v>
      </c>
      <c r="CQ914" s="235">
        <f t="shared" si="823"/>
        <v>4.0666935483870965</v>
      </c>
      <c r="CR914" s="235" cm="1">
        <f t="array" ref="CR914">$BI914 * IF($AH914&lt;=2,
SUMPRODUCT(INDEX($AR$67:$AT$71,,$AI914), INDEX($AU$67:$BA$71,,$AH914), 1 / ($BB$67:$BB$71*CQ914 + (1-$BB$67:$BB$71)*CM914), N($AQ$67:$AQ$71&gt;$AO914)),
SUMPRODUCT(INDEX($AR$57:$AT$66,,$AI914), INDEX($AU$57:$BA$66,,$AH914), 1 / ($BC$57:$BC$66*CQ914 + (1-$BC$57:$BC$66)*CM914), N($AQ$57:$AQ$66&gt;$AO914))
) / 1000</f>
        <v>0</v>
      </c>
      <c r="CS914" s="232">
        <f t="shared" si="800"/>
        <v>20</v>
      </c>
      <c r="CT914" s="230">
        <f t="shared" si="824"/>
        <v>33</v>
      </c>
      <c r="CU914" s="235">
        <f t="shared" si="825"/>
        <v>4.8487499999999999</v>
      </c>
      <c r="CV914" s="235" cm="1">
        <f t="array" ref="CV914">$BI914 * IF($AH914&lt;=2,
SUMPRODUCT(INDEX($AR$62:$AT$66,,$AI914), INDEX($AU$62:$BA$66,,$AH914), 1 / ($BB$62:$BB$66*CU914 + (1-$BB$62:$BB$66)*CQ914), N($AQ$62:$AQ$66&gt;$AO914)),
SUMPRODUCT(INDEX($AR$47:$AT$56,,$AI914), INDEX($AU$47:$BA$56,,$AH914), 1 / ($BC$47:$BC$56*CU914 + (1-$BC$47:$BC$56)*CQ914), N($AQ$47:$AQ$56&gt;$AO914))
) / 1000</f>
        <v>0</v>
      </c>
      <c r="CW914" s="235" cm="1">
        <f t="array" ref="CW914">$BI914 * IF($AH914&lt;=2,
SUMPRODUCT(INDEX($AR$23:$AT$61,,$AI914), INDEX($AU$23:$BA$61,,$AH914), 1 / ($BB$23:$BB$61*CU914), N($AQ$23:$AQ$61&gt;$AO914)),
SUMPRODUCT(INDEX($AR$23:$AT$46,,$AI914), INDEX($AU$23:$BA$46,,$AH914), 1 / ($BC$23:$BC$46*CU914), N($AQ$23:$AQ$46&gt;$AO914))
) / 1000</f>
        <v>0</v>
      </c>
      <c r="CX914" s="230">
        <f t="shared" si="826"/>
        <v>0</v>
      </c>
      <c r="CY914" s="238"/>
    </row>
    <row r="915" spans="1:103" s="76" customFormat="1" ht="14.25" customHeight="1" x14ac:dyDescent="0.2">
      <c r="A915" s="231" t="b">
        <f t="shared" si="792"/>
        <v>0</v>
      </c>
      <c r="B915" s="245">
        <v>893</v>
      </c>
      <c r="C915" s="258"/>
      <c r="D915" s="258"/>
      <c r="E915" s="246"/>
      <c r="F915" s="247" t="str">
        <f>IF(ISBLANK(E915), "", VLOOKUP(E915, Z!$A$2:$C$4127, 3, FALSE))</f>
        <v/>
      </c>
      <c r="G915" s="248"/>
      <c r="H915" s="248"/>
      <c r="I915" s="249"/>
      <c r="J915" s="250"/>
      <c r="K915" s="259"/>
      <c r="L915" s="260"/>
      <c r="M915" s="252" t="str" cm="1">
        <f t="array" ref="M915">INDEX(Trad, 53, $A$20)</f>
        <v>Verschmutzt</v>
      </c>
      <c r="N915" s="253"/>
      <c r="O915" s="253"/>
      <c r="P915" s="254"/>
      <c r="Q915" s="251"/>
      <c r="R915" s="251"/>
      <c r="S915" s="264">
        <f t="shared" si="801"/>
        <v>0</v>
      </c>
      <c r="T915" s="252" t="str" cm="1">
        <f t="array" ref="T915">INDEX(Trad, 52, $A$20)</f>
        <v>Sauber</v>
      </c>
      <c r="U915" s="253"/>
      <c r="V915" s="253"/>
      <c r="W915" s="254"/>
      <c r="X915" s="251"/>
      <c r="Y915" s="251"/>
      <c r="Z915" s="264">
        <f t="shared" si="802"/>
        <v>0</v>
      </c>
      <c r="AA915" s="261"/>
      <c r="AB915" s="258"/>
      <c r="AC915" s="246"/>
      <c r="AD915" s="247" t="str">
        <f>IF(ISBLANK(AC915), "", VLOOKUP(AC915, Z!$A$2:$C$4127, 3, FALSE))</f>
        <v/>
      </c>
      <c r="AE915" s="262"/>
      <c r="AF915" s="263">
        <f t="shared" si="803"/>
        <v>0</v>
      </c>
      <c r="AG915" s="238"/>
      <c r="AH915" s="229">
        <f t="shared" si="827"/>
        <v>1</v>
      </c>
      <c r="AI915" s="229">
        <f t="shared" si="828"/>
        <v>1</v>
      </c>
      <c r="AJ915" s="229">
        <f t="shared" si="829"/>
        <v>0</v>
      </c>
      <c r="AK915" s="229">
        <v>0</v>
      </c>
      <c r="AL915" s="229">
        <v>0</v>
      </c>
      <c r="AM915" s="229">
        <v>1</v>
      </c>
      <c r="AN915" s="229">
        <v>0</v>
      </c>
      <c r="AO915" s="229">
        <f t="shared" si="804"/>
        <v>-100</v>
      </c>
      <c r="AP915" s="238"/>
      <c r="AQ915" s="255"/>
      <c r="AR915" s="255"/>
      <c r="AS915" s="256"/>
      <c r="AT915" s="256"/>
      <c r="AU915" s="256"/>
      <c r="AV915" s="256"/>
      <c r="AW915" s="256"/>
      <c r="AX915" s="256"/>
      <c r="AY915" s="256"/>
      <c r="AZ915" s="256"/>
      <c r="BA915" s="256"/>
      <c r="BB915" s="256"/>
      <c r="BC915" s="256"/>
      <c r="BD915" s="238"/>
      <c r="BE915" s="229" cm="1">
        <f t="array" ref="BE915">IF(ISBLANK(R915), INDEX(Use, $AH915, 4) - AM915*INDEX(Use, $AH915, 6), R915)</f>
        <v>5</v>
      </c>
      <c r="BF915" s="229">
        <f t="shared" si="805"/>
        <v>30</v>
      </c>
      <c r="BG915" s="229">
        <f t="shared" si="793"/>
        <v>13</v>
      </c>
      <c r="BH915" s="229">
        <f t="shared" si="794"/>
        <v>0</v>
      </c>
      <c r="BI915" s="234" cm="1">
        <f t="array" ref="BI915">K915/IF($L915&gt;0, INDEX($AU$23:$BA$77, $L915+20, $AH915), 1)</f>
        <v>0</v>
      </c>
      <c r="BJ915" s="230">
        <f t="shared" si="806"/>
        <v>0</v>
      </c>
      <c r="BK915" s="229">
        <v>35</v>
      </c>
      <c r="BL915" s="230">
        <f t="shared" si="807"/>
        <v>48</v>
      </c>
      <c r="BM915" s="235">
        <f t="shared" si="808"/>
        <v>2.9108720930232557</v>
      </c>
      <c r="BN915" s="235" cm="1">
        <f t="array" ref="BN915">$BI915 * SUMPRODUCT(INDEX($AR$77:$AT$82,,$AI915),INDEX($AU$77:$BA$82,,$AH915), N($AQ$77:$AQ$82&gt;$AO915)) / BM915 / 1000</f>
        <v>0</v>
      </c>
      <c r="BO915" s="232">
        <f t="shared" si="795"/>
        <v>30</v>
      </c>
      <c r="BP915" s="230">
        <f t="shared" si="809"/>
        <v>43</v>
      </c>
      <c r="BQ915" s="235">
        <f t="shared" si="810"/>
        <v>3.2938815789473681</v>
      </c>
      <c r="BR915" s="235" cm="1">
        <f t="array" ref="BR915">$BI915 * IF($AH915&lt;=2,
SUMPRODUCT(INDEX($AR$72:$AT$76,,$AI915), INDEX($AU$72:$BA$76,,$AH915), 1 / ($BB$72:$BB$76*BQ915 + (1-$BB$72:$BB$76)*BM915), N($AQ$72:$AQ$76&gt;$AO915)),
SUMPRODUCT(INDEX($AR$67:$AT$76,,$AI915), INDEX($AU$67:$BA$76,,$AH915), 1 / ($BC$67:$BC$76*BQ915 + (1-$BC$67:$BC$76)*BM915), N($AQ$67:$AQ$76&gt;$AO915))
) / 1000</f>
        <v>0</v>
      </c>
      <c r="BS915" s="232">
        <f t="shared" si="796"/>
        <v>25</v>
      </c>
      <c r="BT915" s="230">
        <f t="shared" si="811"/>
        <v>38</v>
      </c>
      <c r="BU915" s="235">
        <f t="shared" si="812"/>
        <v>3.792954545454545</v>
      </c>
      <c r="BV915" s="235" cm="1">
        <f t="array" ref="BV915">$BI915 * IF($AH915&lt;=2,
SUMPRODUCT(INDEX($AR$67:$AT$71,,$AI915), INDEX($AU$67:$BA$71,,$AH915), 1 / ($BB$67:$BB$71*BU915 + (1-$BB$67:$BB$71)*BQ915), N($AQ$67:$AQ$71&gt;$AO915)),
SUMPRODUCT(INDEX($AR$57:$AT$66,,$AI915), INDEX($AU$57:$BA$66,,$AH915), 1 / ($BC$57:$BC$66*BU915 + (1-$BC$57:$BC$66)*BQ915), N($AQ$57:$AQ$66&gt;$AO915))
) / 1000</f>
        <v>0</v>
      </c>
      <c r="BW915" s="232">
        <f t="shared" si="797"/>
        <v>20</v>
      </c>
      <c r="BX915" s="230">
        <f t="shared" si="813"/>
        <v>33</v>
      </c>
      <c r="BY915" s="235">
        <f t="shared" si="814"/>
        <v>4.4702678571428569</v>
      </c>
      <c r="BZ915" s="235" cm="1">
        <f t="array" ref="BZ915">$BI915 * IF($AH915&lt;=2,
SUMPRODUCT(INDEX($AR$62:$AT$66,,$AI915), INDEX($AU$62:$BA$66,,$AH915), 1 / ($BB$62:$BB$66*BY915 + (1-$BB$62:$BB$66)*BU915), N($AQ$62:$AQ$66&gt;$AO915)),
SUMPRODUCT(INDEX($AR$47:$AT$56,,$AI915), INDEX($AU$47:$BA$56,,$AH915), 1 / ($BC$47:$BC$56*BY915 + (1-$BC$47:$BC$56)*BU915), N($AQ$47:$AQ$56&gt;$AO915))
) / 1000</f>
        <v>0</v>
      </c>
      <c r="CA915" s="235" cm="1">
        <f t="array" ref="CA915">$BI915 * IF($AH915&lt;=2,
SUMPRODUCT(INDEX($AR$23:$AT$61,,$AI915), INDEX($AU$23:$BA$61,,$AH915), 1 / ($BB$23:$BB$61*BY915), N($AQ$23:$AQ$61&gt;$AO915)),
SUMPRODUCT(INDEX($AR$23:$AT$46,,$AI915), INDEX($AU$23:$BA$46,,$AH915), 1 / ($BC$23:$BC$46*BY915), N($AQ$23:$AQ$46&gt;$AO915))
) / 1000</f>
        <v>0</v>
      </c>
      <c r="CB915" s="230">
        <f t="shared" si="815"/>
        <v>0</v>
      </c>
      <c r="CC915" s="238"/>
      <c r="CD915" s="229" cm="1">
        <f t="array" ref="CD915">IF(ISBLANK(Y915), INDEX(Use, $AH915, 4) - AN915*INDEX(Use, $AH915, 6) - (Q915-X915), Y915)</f>
        <v>7</v>
      </c>
      <c r="CE915" s="229">
        <f t="shared" si="816"/>
        <v>32</v>
      </c>
      <c r="CF915" s="230">
        <f t="shared" si="817"/>
        <v>0</v>
      </c>
      <c r="CG915" s="229">
        <v>35</v>
      </c>
      <c r="CH915" s="230">
        <f t="shared" si="818"/>
        <v>48</v>
      </c>
      <c r="CI915" s="235">
        <f t="shared" si="819"/>
        <v>3.0748170731707316</v>
      </c>
      <c r="CJ915" s="235" cm="1">
        <f t="array" ref="CJ915">$BI915 * SUMPRODUCT(INDEX($AR$77:$AT$82,,$AI915),INDEX($AU$77:$BA$82,,$AH915), N($AQ$77:$AQ$82&gt;$AO915)) / CI915 / 1000</f>
        <v>0</v>
      </c>
      <c r="CK915" s="232">
        <f t="shared" si="798"/>
        <v>30</v>
      </c>
      <c r="CL915" s="230">
        <f t="shared" si="820"/>
        <v>43</v>
      </c>
      <c r="CM915" s="235">
        <f t="shared" si="821"/>
        <v>3.5018750000000001</v>
      </c>
      <c r="CN915" s="235" cm="1">
        <f t="array" ref="CN915">$BI915 * IF($AH915&lt;=2,
SUMPRODUCT(INDEX($AR$72:$AT$76,,$AI915), INDEX($AU$72:$BA$76,,$AH915), 1 / ($BB$72:$BB$76*CM915 + (1-$BB$72:$BB$76)*CI915), N($AQ$72:$AQ$76&gt;$AO915)),
SUMPRODUCT(INDEX($AR$67:$AT$76,,$AI915), INDEX($AU$67:$BA$76,,$AH915), 1 / ($BC$67:$BC$76*CM915 + (1-$BC$67:$BC$76)*CI915), N($AQ$67:$AQ$76&gt;$AO915))
) / 1000</f>
        <v>0</v>
      </c>
      <c r="CO915" s="232">
        <f t="shared" si="799"/>
        <v>25</v>
      </c>
      <c r="CP915" s="230">
        <f t="shared" si="822"/>
        <v>38</v>
      </c>
      <c r="CQ915" s="235">
        <f t="shared" si="823"/>
        <v>4.0666935483870965</v>
      </c>
      <c r="CR915" s="235" cm="1">
        <f t="array" ref="CR915">$BI915 * IF($AH915&lt;=2,
SUMPRODUCT(INDEX($AR$67:$AT$71,,$AI915), INDEX($AU$67:$BA$71,,$AH915), 1 / ($BB$67:$BB$71*CQ915 + (1-$BB$67:$BB$71)*CM915), N($AQ$67:$AQ$71&gt;$AO915)),
SUMPRODUCT(INDEX($AR$57:$AT$66,,$AI915), INDEX($AU$57:$BA$66,,$AH915), 1 / ($BC$57:$BC$66*CQ915 + (1-$BC$57:$BC$66)*CM915), N($AQ$57:$AQ$66&gt;$AO915))
) / 1000</f>
        <v>0</v>
      </c>
      <c r="CS915" s="232">
        <f t="shared" si="800"/>
        <v>20</v>
      </c>
      <c r="CT915" s="230">
        <f t="shared" si="824"/>
        <v>33</v>
      </c>
      <c r="CU915" s="235">
        <f t="shared" si="825"/>
        <v>4.8487499999999999</v>
      </c>
      <c r="CV915" s="235" cm="1">
        <f t="array" ref="CV915">$BI915 * IF($AH915&lt;=2,
SUMPRODUCT(INDEX($AR$62:$AT$66,,$AI915), INDEX($AU$62:$BA$66,,$AH915), 1 / ($BB$62:$BB$66*CU915 + (1-$BB$62:$BB$66)*CQ915), N($AQ$62:$AQ$66&gt;$AO915)),
SUMPRODUCT(INDEX($AR$47:$AT$56,,$AI915), INDEX($AU$47:$BA$56,,$AH915), 1 / ($BC$47:$BC$56*CU915 + (1-$BC$47:$BC$56)*CQ915), N($AQ$47:$AQ$56&gt;$AO915))
) / 1000</f>
        <v>0</v>
      </c>
      <c r="CW915" s="235" cm="1">
        <f t="array" ref="CW915">$BI915 * IF($AH915&lt;=2,
SUMPRODUCT(INDEX($AR$23:$AT$61,,$AI915), INDEX($AU$23:$BA$61,,$AH915), 1 / ($BB$23:$BB$61*CU915), N($AQ$23:$AQ$61&gt;$AO915)),
SUMPRODUCT(INDEX($AR$23:$AT$46,,$AI915), INDEX($AU$23:$BA$46,,$AH915), 1 / ($BC$23:$BC$46*CU915), N($AQ$23:$AQ$46&gt;$AO915))
) / 1000</f>
        <v>0</v>
      </c>
      <c r="CX915" s="230">
        <f t="shared" si="826"/>
        <v>0</v>
      </c>
      <c r="CY915" s="238"/>
    </row>
    <row r="916" spans="1:103" s="76" customFormat="1" ht="14.25" customHeight="1" x14ac:dyDescent="0.2">
      <c r="A916" s="231" t="b">
        <f t="shared" si="792"/>
        <v>0</v>
      </c>
      <c r="B916" s="245">
        <v>894</v>
      </c>
      <c r="C916" s="258"/>
      <c r="D916" s="258"/>
      <c r="E916" s="246"/>
      <c r="F916" s="247" t="str">
        <f>IF(ISBLANK(E916), "", VLOOKUP(E916, Z!$A$2:$C$4127, 3, FALSE))</f>
        <v/>
      </c>
      <c r="G916" s="248"/>
      <c r="H916" s="248"/>
      <c r="I916" s="249"/>
      <c r="J916" s="250"/>
      <c r="K916" s="259"/>
      <c r="L916" s="260"/>
      <c r="M916" s="252" t="str" cm="1">
        <f t="array" ref="M916">INDEX(Trad, 53, $A$20)</f>
        <v>Verschmutzt</v>
      </c>
      <c r="N916" s="253"/>
      <c r="O916" s="253"/>
      <c r="P916" s="254"/>
      <c r="Q916" s="251"/>
      <c r="R916" s="251"/>
      <c r="S916" s="264">
        <f t="shared" si="801"/>
        <v>0</v>
      </c>
      <c r="T916" s="252" t="str" cm="1">
        <f t="array" ref="T916">INDEX(Trad, 52, $A$20)</f>
        <v>Sauber</v>
      </c>
      <c r="U916" s="253"/>
      <c r="V916" s="253"/>
      <c r="W916" s="254"/>
      <c r="X916" s="251"/>
      <c r="Y916" s="251"/>
      <c r="Z916" s="264">
        <f t="shared" si="802"/>
        <v>0</v>
      </c>
      <c r="AA916" s="261"/>
      <c r="AB916" s="258"/>
      <c r="AC916" s="246"/>
      <c r="AD916" s="247" t="str">
        <f>IF(ISBLANK(AC916), "", VLOOKUP(AC916, Z!$A$2:$C$4127, 3, FALSE))</f>
        <v/>
      </c>
      <c r="AE916" s="262"/>
      <c r="AF916" s="263">
        <f t="shared" si="803"/>
        <v>0</v>
      </c>
      <c r="AG916" s="238"/>
      <c r="AH916" s="229">
        <f t="shared" si="827"/>
        <v>1</v>
      </c>
      <c r="AI916" s="229">
        <f t="shared" si="828"/>
        <v>1</v>
      </c>
      <c r="AJ916" s="229">
        <f t="shared" si="829"/>
        <v>0</v>
      </c>
      <c r="AK916" s="229">
        <v>0</v>
      </c>
      <c r="AL916" s="229">
        <v>0</v>
      </c>
      <c r="AM916" s="229">
        <v>1</v>
      </c>
      <c r="AN916" s="229">
        <v>0</v>
      </c>
      <c r="AO916" s="229">
        <f t="shared" si="804"/>
        <v>-100</v>
      </c>
      <c r="AP916" s="238"/>
      <c r="AQ916" s="255"/>
      <c r="AR916" s="255"/>
      <c r="AS916" s="256"/>
      <c r="AT916" s="256"/>
      <c r="AU916" s="256"/>
      <c r="AV916" s="256"/>
      <c r="AW916" s="256"/>
      <c r="AX916" s="256"/>
      <c r="AY916" s="256"/>
      <c r="AZ916" s="256"/>
      <c r="BA916" s="256"/>
      <c r="BB916" s="256"/>
      <c r="BC916" s="256"/>
      <c r="BD916" s="238"/>
      <c r="BE916" s="229" cm="1">
        <f t="array" ref="BE916">IF(ISBLANK(R916), INDEX(Use, $AH916, 4) - AM916*INDEX(Use, $AH916, 6), R916)</f>
        <v>5</v>
      </c>
      <c r="BF916" s="229">
        <f t="shared" si="805"/>
        <v>30</v>
      </c>
      <c r="BG916" s="229">
        <f t="shared" si="793"/>
        <v>13</v>
      </c>
      <c r="BH916" s="229">
        <f t="shared" si="794"/>
        <v>0</v>
      </c>
      <c r="BI916" s="234" cm="1">
        <f t="array" ref="BI916">K916/IF($L916&gt;0, INDEX($AU$23:$BA$77, $L916+20, $AH916), 1)</f>
        <v>0</v>
      </c>
      <c r="BJ916" s="230">
        <f t="shared" si="806"/>
        <v>0</v>
      </c>
      <c r="BK916" s="229">
        <v>35</v>
      </c>
      <c r="BL916" s="230">
        <f t="shared" si="807"/>
        <v>48</v>
      </c>
      <c r="BM916" s="235">
        <f t="shared" si="808"/>
        <v>2.9108720930232557</v>
      </c>
      <c r="BN916" s="235" cm="1">
        <f t="array" ref="BN916">$BI916 * SUMPRODUCT(INDEX($AR$77:$AT$82,,$AI916),INDEX($AU$77:$BA$82,,$AH916), N($AQ$77:$AQ$82&gt;$AO916)) / BM916 / 1000</f>
        <v>0</v>
      </c>
      <c r="BO916" s="232">
        <f t="shared" si="795"/>
        <v>30</v>
      </c>
      <c r="BP916" s="230">
        <f t="shared" si="809"/>
        <v>43</v>
      </c>
      <c r="BQ916" s="235">
        <f t="shared" si="810"/>
        <v>3.2938815789473681</v>
      </c>
      <c r="BR916" s="235" cm="1">
        <f t="array" ref="BR916">$BI916 * IF($AH916&lt;=2,
SUMPRODUCT(INDEX($AR$72:$AT$76,,$AI916), INDEX($AU$72:$BA$76,,$AH916), 1 / ($BB$72:$BB$76*BQ916 + (1-$BB$72:$BB$76)*BM916), N($AQ$72:$AQ$76&gt;$AO916)),
SUMPRODUCT(INDEX($AR$67:$AT$76,,$AI916), INDEX($AU$67:$BA$76,,$AH916), 1 / ($BC$67:$BC$76*BQ916 + (1-$BC$67:$BC$76)*BM916), N($AQ$67:$AQ$76&gt;$AO916))
) / 1000</f>
        <v>0</v>
      </c>
      <c r="BS916" s="232">
        <f t="shared" si="796"/>
        <v>25</v>
      </c>
      <c r="BT916" s="230">
        <f t="shared" si="811"/>
        <v>38</v>
      </c>
      <c r="BU916" s="235">
        <f t="shared" si="812"/>
        <v>3.792954545454545</v>
      </c>
      <c r="BV916" s="235" cm="1">
        <f t="array" ref="BV916">$BI916 * IF($AH916&lt;=2,
SUMPRODUCT(INDEX($AR$67:$AT$71,,$AI916), INDEX($AU$67:$BA$71,,$AH916), 1 / ($BB$67:$BB$71*BU916 + (1-$BB$67:$BB$71)*BQ916), N($AQ$67:$AQ$71&gt;$AO916)),
SUMPRODUCT(INDEX($AR$57:$AT$66,,$AI916), INDEX($AU$57:$BA$66,,$AH916), 1 / ($BC$57:$BC$66*BU916 + (1-$BC$57:$BC$66)*BQ916), N($AQ$57:$AQ$66&gt;$AO916))
) / 1000</f>
        <v>0</v>
      </c>
      <c r="BW916" s="232">
        <f t="shared" si="797"/>
        <v>20</v>
      </c>
      <c r="BX916" s="230">
        <f t="shared" si="813"/>
        <v>33</v>
      </c>
      <c r="BY916" s="235">
        <f t="shared" si="814"/>
        <v>4.4702678571428569</v>
      </c>
      <c r="BZ916" s="235" cm="1">
        <f t="array" ref="BZ916">$BI916 * IF($AH916&lt;=2,
SUMPRODUCT(INDEX($AR$62:$AT$66,,$AI916), INDEX($AU$62:$BA$66,,$AH916), 1 / ($BB$62:$BB$66*BY916 + (1-$BB$62:$BB$66)*BU916), N($AQ$62:$AQ$66&gt;$AO916)),
SUMPRODUCT(INDEX($AR$47:$AT$56,,$AI916), INDEX($AU$47:$BA$56,,$AH916), 1 / ($BC$47:$BC$56*BY916 + (1-$BC$47:$BC$56)*BU916), N($AQ$47:$AQ$56&gt;$AO916))
) / 1000</f>
        <v>0</v>
      </c>
      <c r="CA916" s="235" cm="1">
        <f t="array" ref="CA916">$BI916 * IF($AH916&lt;=2,
SUMPRODUCT(INDEX($AR$23:$AT$61,,$AI916), INDEX($AU$23:$BA$61,,$AH916), 1 / ($BB$23:$BB$61*BY916), N($AQ$23:$AQ$61&gt;$AO916)),
SUMPRODUCT(INDEX($AR$23:$AT$46,,$AI916), INDEX($AU$23:$BA$46,,$AH916), 1 / ($BC$23:$BC$46*BY916), N($AQ$23:$AQ$46&gt;$AO916))
) / 1000</f>
        <v>0</v>
      </c>
      <c r="CB916" s="230">
        <f t="shared" si="815"/>
        <v>0</v>
      </c>
      <c r="CC916" s="238"/>
      <c r="CD916" s="229" cm="1">
        <f t="array" ref="CD916">IF(ISBLANK(Y916), INDEX(Use, $AH916, 4) - AN916*INDEX(Use, $AH916, 6) - (Q916-X916), Y916)</f>
        <v>7</v>
      </c>
      <c r="CE916" s="229">
        <f t="shared" si="816"/>
        <v>32</v>
      </c>
      <c r="CF916" s="230">
        <f t="shared" si="817"/>
        <v>0</v>
      </c>
      <c r="CG916" s="229">
        <v>35</v>
      </c>
      <c r="CH916" s="230">
        <f t="shared" si="818"/>
        <v>48</v>
      </c>
      <c r="CI916" s="235">
        <f t="shared" si="819"/>
        <v>3.0748170731707316</v>
      </c>
      <c r="CJ916" s="235" cm="1">
        <f t="array" ref="CJ916">$BI916 * SUMPRODUCT(INDEX($AR$77:$AT$82,,$AI916),INDEX($AU$77:$BA$82,,$AH916), N($AQ$77:$AQ$82&gt;$AO916)) / CI916 / 1000</f>
        <v>0</v>
      </c>
      <c r="CK916" s="232">
        <f t="shared" si="798"/>
        <v>30</v>
      </c>
      <c r="CL916" s="230">
        <f t="shared" si="820"/>
        <v>43</v>
      </c>
      <c r="CM916" s="235">
        <f t="shared" si="821"/>
        <v>3.5018750000000001</v>
      </c>
      <c r="CN916" s="235" cm="1">
        <f t="array" ref="CN916">$BI916 * IF($AH916&lt;=2,
SUMPRODUCT(INDEX($AR$72:$AT$76,,$AI916), INDEX($AU$72:$BA$76,,$AH916), 1 / ($BB$72:$BB$76*CM916 + (1-$BB$72:$BB$76)*CI916), N($AQ$72:$AQ$76&gt;$AO916)),
SUMPRODUCT(INDEX($AR$67:$AT$76,,$AI916), INDEX($AU$67:$BA$76,,$AH916), 1 / ($BC$67:$BC$76*CM916 + (1-$BC$67:$BC$76)*CI916), N($AQ$67:$AQ$76&gt;$AO916))
) / 1000</f>
        <v>0</v>
      </c>
      <c r="CO916" s="232">
        <f t="shared" si="799"/>
        <v>25</v>
      </c>
      <c r="CP916" s="230">
        <f t="shared" si="822"/>
        <v>38</v>
      </c>
      <c r="CQ916" s="235">
        <f t="shared" si="823"/>
        <v>4.0666935483870965</v>
      </c>
      <c r="CR916" s="235" cm="1">
        <f t="array" ref="CR916">$BI916 * IF($AH916&lt;=2,
SUMPRODUCT(INDEX($AR$67:$AT$71,,$AI916), INDEX($AU$67:$BA$71,,$AH916), 1 / ($BB$67:$BB$71*CQ916 + (1-$BB$67:$BB$71)*CM916), N($AQ$67:$AQ$71&gt;$AO916)),
SUMPRODUCT(INDEX($AR$57:$AT$66,,$AI916), INDEX($AU$57:$BA$66,,$AH916), 1 / ($BC$57:$BC$66*CQ916 + (1-$BC$57:$BC$66)*CM916), N($AQ$57:$AQ$66&gt;$AO916))
) / 1000</f>
        <v>0</v>
      </c>
      <c r="CS916" s="232">
        <f t="shared" si="800"/>
        <v>20</v>
      </c>
      <c r="CT916" s="230">
        <f t="shared" si="824"/>
        <v>33</v>
      </c>
      <c r="CU916" s="235">
        <f t="shared" si="825"/>
        <v>4.8487499999999999</v>
      </c>
      <c r="CV916" s="235" cm="1">
        <f t="array" ref="CV916">$BI916 * IF($AH916&lt;=2,
SUMPRODUCT(INDEX($AR$62:$AT$66,,$AI916), INDEX($AU$62:$BA$66,,$AH916), 1 / ($BB$62:$BB$66*CU916 + (1-$BB$62:$BB$66)*CQ916), N($AQ$62:$AQ$66&gt;$AO916)),
SUMPRODUCT(INDEX($AR$47:$AT$56,,$AI916), INDEX($AU$47:$BA$56,,$AH916), 1 / ($BC$47:$BC$56*CU916 + (1-$BC$47:$BC$56)*CQ916), N($AQ$47:$AQ$56&gt;$AO916))
) / 1000</f>
        <v>0</v>
      </c>
      <c r="CW916" s="235" cm="1">
        <f t="array" ref="CW916">$BI916 * IF($AH916&lt;=2,
SUMPRODUCT(INDEX($AR$23:$AT$61,,$AI916), INDEX($AU$23:$BA$61,,$AH916), 1 / ($BB$23:$BB$61*CU916), N($AQ$23:$AQ$61&gt;$AO916)),
SUMPRODUCT(INDEX($AR$23:$AT$46,,$AI916), INDEX($AU$23:$BA$46,,$AH916), 1 / ($BC$23:$BC$46*CU916), N($AQ$23:$AQ$46&gt;$AO916))
) / 1000</f>
        <v>0</v>
      </c>
      <c r="CX916" s="230">
        <f t="shared" si="826"/>
        <v>0</v>
      </c>
      <c r="CY916" s="238"/>
    </row>
    <row r="917" spans="1:103" s="76" customFormat="1" ht="14.25" customHeight="1" x14ac:dyDescent="0.2">
      <c r="A917" s="231" t="b">
        <f t="shared" si="792"/>
        <v>0</v>
      </c>
      <c r="B917" s="245">
        <v>895</v>
      </c>
      <c r="C917" s="258"/>
      <c r="D917" s="258"/>
      <c r="E917" s="246"/>
      <c r="F917" s="247" t="str">
        <f>IF(ISBLANK(E917), "", VLOOKUP(E917, Z!$A$2:$C$4127, 3, FALSE))</f>
        <v/>
      </c>
      <c r="G917" s="248"/>
      <c r="H917" s="248"/>
      <c r="I917" s="249"/>
      <c r="J917" s="250"/>
      <c r="K917" s="259"/>
      <c r="L917" s="260"/>
      <c r="M917" s="252" t="str" cm="1">
        <f t="array" ref="M917">INDEX(Trad, 53, $A$20)</f>
        <v>Verschmutzt</v>
      </c>
      <c r="N917" s="253"/>
      <c r="O917" s="253"/>
      <c r="P917" s="254"/>
      <c r="Q917" s="251"/>
      <c r="R917" s="251"/>
      <c r="S917" s="264">
        <f t="shared" si="801"/>
        <v>0</v>
      </c>
      <c r="T917" s="252" t="str" cm="1">
        <f t="array" ref="T917">INDEX(Trad, 52, $A$20)</f>
        <v>Sauber</v>
      </c>
      <c r="U917" s="253"/>
      <c r="V917" s="253"/>
      <c r="W917" s="254"/>
      <c r="X917" s="251"/>
      <c r="Y917" s="251"/>
      <c r="Z917" s="264">
        <f t="shared" si="802"/>
        <v>0</v>
      </c>
      <c r="AA917" s="261"/>
      <c r="AB917" s="258"/>
      <c r="AC917" s="246"/>
      <c r="AD917" s="247" t="str">
        <f>IF(ISBLANK(AC917), "", VLOOKUP(AC917, Z!$A$2:$C$4127, 3, FALSE))</f>
        <v/>
      </c>
      <c r="AE917" s="262"/>
      <c r="AF917" s="263">
        <f t="shared" si="803"/>
        <v>0</v>
      </c>
      <c r="AG917" s="238"/>
      <c r="AH917" s="229">
        <f t="shared" si="827"/>
        <v>1</v>
      </c>
      <c r="AI917" s="229">
        <f t="shared" si="828"/>
        <v>1</v>
      </c>
      <c r="AJ917" s="229">
        <f t="shared" si="829"/>
        <v>0</v>
      </c>
      <c r="AK917" s="229">
        <v>0</v>
      </c>
      <c r="AL917" s="229">
        <v>0</v>
      </c>
      <c r="AM917" s="229">
        <v>1</v>
      </c>
      <c r="AN917" s="229">
        <v>0</v>
      </c>
      <c r="AO917" s="229">
        <f t="shared" si="804"/>
        <v>-100</v>
      </c>
      <c r="AP917" s="238"/>
      <c r="AQ917" s="255"/>
      <c r="AR917" s="255"/>
      <c r="AS917" s="256"/>
      <c r="AT917" s="256"/>
      <c r="AU917" s="256"/>
      <c r="AV917" s="256"/>
      <c r="AW917" s="256"/>
      <c r="AX917" s="256"/>
      <c r="AY917" s="256"/>
      <c r="AZ917" s="256"/>
      <c r="BA917" s="256"/>
      <c r="BB917" s="256"/>
      <c r="BC917" s="256"/>
      <c r="BD917" s="238"/>
      <c r="BE917" s="229" cm="1">
        <f t="array" ref="BE917">IF(ISBLANK(R917), INDEX(Use, $AH917, 4) - AM917*INDEX(Use, $AH917, 6), R917)</f>
        <v>5</v>
      </c>
      <c r="BF917" s="229">
        <f t="shared" si="805"/>
        <v>30</v>
      </c>
      <c r="BG917" s="229">
        <f t="shared" si="793"/>
        <v>13</v>
      </c>
      <c r="BH917" s="229">
        <f t="shared" si="794"/>
        <v>0</v>
      </c>
      <c r="BI917" s="234" cm="1">
        <f t="array" ref="BI917">K917/IF($L917&gt;0, INDEX($AU$23:$BA$77, $L917+20, $AH917), 1)</f>
        <v>0</v>
      </c>
      <c r="BJ917" s="230">
        <f t="shared" si="806"/>
        <v>0</v>
      </c>
      <c r="BK917" s="229">
        <v>35</v>
      </c>
      <c r="BL917" s="230">
        <f t="shared" si="807"/>
        <v>48</v>
      </c>
      <c r="BM917" s="235">
        <f t="shared" si="808"/>
        <v>2.9108720930232557</v>
      </c>
      <c r="BN917" s="235" cm="1">
        <f t="array" ref="BN917">$BI917 * SUMPRODUCT(INDEX($AR$77:$AT$82,,$AI917),INDEX($AU$77:$BA$82,,$AH917), N($AQ$77:$AQ$82&gt;$AO917)) / BM917 / 1000</f>
        <v>0</v>
      </c>
      <c r="BO917" s="232">
        <f t="shared" si="795"/>
        <v>30</v>
      </c>
      <c r="BP917" s="230">
        <f t="shared" si="809"/>
        <v>43</v>
      </c>
      <c r="BQ917" s="235">
        <f t="shared" si="810"/>
        <v>3.2938815789473681</v>
      </c>
      <c r="BR917" s="235" cm="1">
        <f t="array" ref="BR917">$BI917 * IF($AH917&lt;=2,
SUMPRODUCT(INDEX($AR$72:$AT$76,,$AI917), INDEX($AU$72:$BA$76,,$AH917), 1 / ($BB$72:$BB$76*BQ917 + (1-$BB$72:$BB$76)*BM917), N($AQ$72:$AQ$76&gt;$AO917)),
SUMPRODUCT(INDEX($AR$67:$AT$76,,$AI917), INDEX($AU$67:$BA$76,,$AH917), 1 / ($BC$67:$BC$76*BQ917 + (1-$BC$67:$BC$76)*BM917), N($AQ$67:$AQ$76&gt;$AO917))
) / 1000</f>
        <v>0</v>
      </c>
      <c r="BS917" s="232">
        <f t="shared" si="796"/>
        <v>25</v>
      </c>
      <c r="BT917" s="230">
        <f t="shared" si="811"/>
        <v>38</v>
      </c>
      <c r="BU917" s="235">
        <f t="shared" si="812"/>
        <v>3.792954545454545</v>
      </c>
      <c r="BV917" s="235" cm="1">
        <f t="array" ref="BV917">$BI917 * IF($AH917&lt;=2,
SUMPRODUCT(INDEX($AR$67:$AT$71,,$AI917), INDEX($AU$67:$BA$71,,$AH917), 1 / ($BB$67:$BB$71*BU917 + (1-$BB$67:$BB$71)*BQ917), N($AQ$67:$AQ$71&gt;$AO917)),
SUMPRODUCT(INDEX($AR$57:$AT$66,,$AI917), INDEX($AU$57:$BA$66,,$AH917), 1 / ($BC$57:$BC$66*BU917 + (1-$BC$57:$BC$66)*BQ917), N($AQ$57:$AQ$66&gt;$AO917))
) / 1000</f>
        <v>0</v>
      </c>
      <c r="BW917" s="232">
        <f t="shared" si="797"/>
        <v>20</v>
      </c>
      <c r="BX917" s="230">
        <f t="shared" si="813"/>
        <v>33</v>
      </c>
      <c r="BY917" s="235">
        <f t="shared" si="814"/>
        <v>4.4702678571428569</v>
      </c>
      <c r="BZ917" s="235" cm="1">
        <f t="array" ref="BZ917">$BI917 * IF($AH917&lt;=2,
SUMPRODUCT(INDEX($AR$62:$AT$66,,$AI917), INDEX($AU$62:$BA$66,,$AH917), 1 / ($BB$62:$BB$66*BY917 + (1-$BB$62:$BB$66)*BU917), N($AQ$62:$AQ$66&gt;$AO917)),
SUMPRODUCT(INDEX($AR$47:$AT$56,,$AI917), INDEX($AU$47:$BA$56,,$AH917), 1 / ($BC$47:$BC$56*BY917 + (1-$BC$47:$BC$56)*BU917), N($AQ$47:$AQ$56&gt;$AO917))
) / 1000</f>
        <v>0</v>
      </c>
      <c r="CA917" s="235" cm="1">
        <f t="array" ref="CA917">$BI917 * IF($AH917&lt;=2,
SUMPRODUCT(INDEX($AR$23:$AT$61,,$AI917), INDEX($AU$23:$BA$61,,$AH917), 1 / ($BB$23:$BB$61*BY917), N($AQ$23:$AQ$61&gt;$AO917)),
SUMPRODUCT(INDEX($AR$23:$AT$46,,$AI917), INDEX($AU$23:$BA$46,,$AH917), 1 / ($BC$23:$BC$46*BY917), N($AQ$23:$AQ$46&gt;$AO917))
) / 1000</f>
        <v>0</v>
      </c>
      <c r="CB917" s="230">
        <f t="shared" si="815"/>
        <v>0</v>
      </c>
      <c r="CC917" s="238"/>
      <c r="CD917" s="229" cm="1">
        <f t="array" ref="CD917">IF(ISBLANK(Y917), INDEX(Use, $AH917, 4) - AN917*INDEX(Use, $AH917, 6) - (Q917-X917), Y917)</f>
        <v>7</v>
      </c>
      <c r="CE917" s="229">
        <f t="shared" si="816"/>
        <v>32</v>
      </c>
      <c r="CF917" s="230">
        <f t="shared" si="817"/>
        <v>0</v>
      </c>
      <c r="CG917" s="229">
        <v>35</v>
      </c>
      <c r="CH917" s="230">
        <f t="shared" si="818"/>
        <v>48</v>
      </c>
      <c r="CI917" s="235">
        <f t="shared" si="819"/>
        <v>3.0748170731707316</v>
      </c>
      <c r="CJ917" s="235" cm="1">
        <f t="array" ref="CJ917">$BI917 * SUMPRODUCT(INDEX($AR$77:$AT$82,,$AI917),INDEX($AU$77:$BA$82,,$AH917), N($AQ$77:$AQ$82&gt;$AO917)) / CI917 / 1000</f>
        <v>0</v>
      </c>
      <c r="CK917" s="232">
        <f t="shared" si="798"/>
        <v>30</v>
      </c>
      <c r="CL917" s="230">
        <f t="shared" si="820"/>
        <v>43</v>
      </c>
      <c r="CM917" s="235">
        <f t="shared" si="821"/>
        <v>3.5018750000000001</v>
      </c>
      <c r="CN917" s="235" cm="1">
        <f t="array" ref="CN917">$BI917 * IF($AH917&lt;=2,
SUMPRODUCT(INDEX($AR$72:$AT$76,,$AI917), INDEX($AU$72:$BA$76,,$AH917), 1 / ($BB$72:$BB$76*CM917 + (1-$BB$72:$BB$76)*CI917), N($AQ$72:$AQ$76&gt;$AO917)),
SUMPRODUCT(INDEX($AR$67:$AT$76,,$AI917), INDEX($AU$67:$BA$76,,$AH917), 1 / ($BC$67:$BC$76*CM917 + (1-$BC$67:$BC$76)*CI917), N($AQ$67:$AQ$76&gt;$AO917))
) / 1000</f>
        <v>0</v>
      </c>
      <c r="CO917" s="232">
        <f t="shared" si="799"/>
        <v>25</v>
      </c>
      <c r="CP917" s="230">
        <f t="shared" si="822"/>
        <v>38</v>
      </c>
      <c r="CQ917" s="235">
        <f t="shared" si="823"/>
        <v>4.0666935483870965</v>
      </c>
      <c r="CR917" s="235" cm="1">
        <f t="array" ref="CR917">$BI917 * IF($AH917&lt;=2,
SUMPRODUCT(INDEX($AR$67:$AT$71,,$AI917), INDEX($AU$67:$BA$71,,$AH917), 1 / ($BB$67:$BB$71*CQ917 + (1-$BB$67:$BB$71)*CM917), N($AQ$67:$AQ$71&gt;$AO917)),
SUMPRODUCT(INDEX($AR$57:$AT$66,,$AI917), INDEX($AU$57:$BA$66,,$AH917), 1 / ($BC$57:$BC$66*CQ917 + (1-$BC$57:$BC$66)*CM917), N($AQ$57:$AQ$66&gt;$AO917))
) / 1000</f>
        <v>0</v>
      </c>
      <c r="CS917" s="232">
        <f t="shared" si="800"/>
        <v>20</v>
      </c>
      <c r="CT917" s="230">
        <f t="shared" si="824"/>
        <v>33</v>
      </c>
      <c r="CU917" s="235">
        <f t="shared" si="825"/>
        <v>4.8487499999999999</v>
      </c>
      <c r="CV917" s="235" cm="1">
        <f t="array" ref="CV917">$BI917 * IF($AH917&lt;=2,
SUMPRODUCT(INDEX($AR$62:$AT$66,,$AI917), INDEX($AU$62:$BA$66,,$AH917), 1 / ($BB$62:$BB$66*CU917 + (1-$BB$62:$BB$66)*CQ917), N($AQ$62:$AQ$66&gt;$AO917)),
SUMPRODUCT(INDEX($AR$47:$AT$56,,$AI917), INDEX($AU$47:$BA$56,,$AH917), 1 / ($BC$47:$BC$56*CU917 + (1-$BC$47:$BC$56)*CQ917), N($AQ$47:$AQ$56&gt;$AO917))
) / 1000</f>
        <v>0</v>
      </c>
      <c r="CW917" s="235" cm="1">
        <f t="array" ref="CW917">$BI917 * IF($AH917&lt;=2,
SUMPRODUCT(INDEX($AR$23:$AT$61,,$AI917), INDEX($AU$23:$BA$61,,$AH917), 1 / ($BB$23:$BB$61*CU917), N($AQ$23:$AQ$61&gt;$AO917)),
SUMPRODUCT(INDEX($AR$23:$AT$46,,$AI917), INDEX($AU$23:$BA$46,,$AH917), 1 / ($BC$23:$BC$46*CU917), N($AQ$23:$AQ$46&gt;$AO917))
) / 1000</f>
        <v>0</v>
      </c>
      <c r="CX917" s="230">
        <f t="shared" si="826"/>
        <v>0</v>
      </c>
      <c r="CY917" s="238"/>
    </row>
    <row r="918" spans="1:103" s="76" customFormat="1" ht="14.25" customHeight="1" x14ac:dyDescent="0.2">
      <c r="A918" s="231" t="b">
        <f t="shared" ref="A918:A981" si="830">IF(OR(AND($K918&gt;80, $AH918=1), AND($K918&gt;40, $AH918=3), AND($K918&gt;30, $AH918=4),), TRUE, FALSE)</f>
        <v>0</v>
      </c>
      <c r="B918" s="245">
        <v>896</v>
      </c>
      <c r="C918" s="258"/>
      <c r="D918" s="258"/>
      <c r="E918" s="246"/>
      <c r="F918" s="247" t="str">
        <f>IF(ISBLANK(E918), "", VLOOKUP(E918, Z!$A$2:$C$4127, 3, FALSE))</f>
        <v/>
      </c>
      <c r="G918" s="248"/>
      <c r="H918" s="248"/>
      <c r="I918" s="249"/>
      <c r="J918" s="250"/>
      <c r="K918" s="259"/>
      <c r="L918" s="260"/>
      <c r="M918" s="252" t="str" cm="1">
        <f t="array" ref="M918">INDEX(Trad, 53, $A$20)</f>
        <v>Verschmutzt</v>
      </c>
      <c r="N918" s="253"/>
      <c r="O918" s="253"/>
      <c r="P918" s="254"/>
      <c r="Q918" s="251"/>
      <c r="R918" s="251"/>
      <c r="S918" s="264">
        <f t="shared" si="801"/>
        <v>0</v>
      </c>
      <c r="T918" s="252" t="str" cm="1">
        <f t="array" ref="T918">INDEX(Trad, 52, $A$20)</f>
        <v>Sauber</v>
      </c>
      <c r="U918" s="253"/>
      <c r="V918" s="253"/>
      <c r="W918" s="254"/>
      <c r="X918" s="251"/>
      <c r="Y918" s="251"/>
      <c r="Z918" s="264">
        <f t="shared" si="802"/>
        <v>0</v>
      </c>
      <c r="AA918" s="261"/>
      <c r="AB918" s="258"/>
      <c r="AC918" s="246"/>
      <c r="AD918" s="247" t="str">
        <f>IF(ISBLANK(AC918), "", VLOOKUP(AC918, Z!$A$2:$C$4127, 3, FALSE))</f>
        <v/>
      </c>
      <c r="AE918" s="262"/>
      <c r="AF918" s="263">
        <f t="shared" si="803"/>
        <v>0</v>
      </c>
      <c r="AG918" s="238"/>
      <c r="AH918" s="229">
        <f t="shared" si="827"/>
        <v>1</v>
      </c>
      <c r="AI918" s="229">
        <f t="shared" si="828"/>
        <v>1</v>
      </c>
      <c r="AJ918" s="229">
        <f t="shared" si="829"/>
        <v>0</v>
      </c>
      <c r="AK918" s="229">
        <v>0</v>
      </c>
      <c r="AL918" s="229">
        <v>0</v>
      </c>
      <c r="AM918" s="229">
        <v>1</v>
      </c>
      <c r="AN918" s="229">
        <v>0</v>
      </c>
      <c r="AO918" s="229">
        <f t="shared" si="804"/>
        <v>-100</v>
      </c>
      <c r="AP918" s="238"/>
      <c r="AQ918" s="255"/>
      <c r="AR918" s="255"/>
      <c r="AS918" s="256"/>
      <c r="AT918" s="256"/>
      <c r="AU918" s="256"/>
      <c r="AV918" s="256"/>
      <c r="AW918" s="256"/>
      <c r="AX918" s="256"/>
      <c r="AY918" s="256"/>
      <c r="AZ918" s="256"/>
      <c r="BA918" s="256"/>
      <c r="BB918" s="256"/>
      <c r="BC918" s="256"/>
      <c r="BD918" s="238"/>
      <c r="BE918" s="229" cm="1">
        <f t="array" ref="BE918">IF(ISBLANK(R918), INDEX(Use, $AH918, 4) - AM918*INDEX(Use, $AH918, 6), R918)</f>
        <v>5</v>
      </c>
      <c r="BF918" s="229">
        <f t="shared" si="805"/>
        <v>30</v>
      </c>
      <c r="BG918" s="229">
        <f t="shared" si="793"/>
        <v>13</v>
      </c>
      <c r="BH918" s="229">
        <f t="shared" si="794"/>
        <v>0</v>
      </c>
      <c r="BI918" s="234" cm="1">
        <f t="array" ref="BI918">K918/IF($L918&gt;0, INDEX($AU$23:$BA$77, $L918+20, $AH918), 1)</f>
        <v>0</v>
      </c>
      <c r="BJ918" s="230">
        <f t="shared" si="806"/>
        <v>0</v>
      </c>
      <c r="BK918" s="229">
        <v>35</v>
      </c>
      <c r="BL918" s="230">
        <f t="shared" si="807"/>
        <v>48</v>
      </c>
      <c r="BM918" s="235">
        <f t="shared" si="808"/>
        <v>2.9108720930232557</v>
      </c>
      <c r="BN918" s="235" cm="1">
        <f t="array" ref="BN918">$BI918 * SUMPRODUCT(INDEX($AR$77:$AT$82,,$AI918),INDEX($AU$77:$BA$82,,$AH918), N($AQ$77:$AQ$82&gt;$AO918)) / BM918 / 1000</f>
        <v>0</v>
      </c>
      <c r="BO918" s="232">
        <f t="shared" si="795"/>
        <v>30</v>
      </c>
      <c r="BP918" s="230">
        <f t="shared" si="809"/>
        <v>43</v>
      </c>
      <c r="BQ918" s="235">
        <f t="shared" si="810"/>
        <v>3.2938815789473681</v>
      </c>
      <c r="BR918" s="235" cm="1">
        <f t="array" ref="BR918">$BI918 * IF($AH918&lt;=2,
SUMPRODUCT(INDEX($AR$72:$AT$76,,$AI918), INDEX($AU$72:$BA$76,,$AH918), 1 / ($BB$72:$BB$76*BQ918 + (1-$BB$72:$BB$76)*BM918), N($AQ$72:$AQ$76&gt;$AO918)),
SUMPRODUCT(INDEX($AR$67:$AT$76,,$AI918), INDEX($AU$67:$BA$76,,$AH918), 1 / ($BC$67:$BC$76*BQ918 + (1-$BC$67:$BC$76)*BM918), N($AQ$67:$AQ$76&gt;$AO918))
) / 1000</f>
        <v>0</v>
      </c>
      <c r="BS918" s="232">
        <f t="shared" si="796"/>
        <v>25</v>
      </c>
      <c r="BT918" s="230">
        <f t="shared" si="811"/>
        <v>38</v>
      </c>
      <c r="BU918" s="235">
        <f t="shared" si="812"/>
        <v>3.792954545454545</v>
      </c>
      <c r="BV918" s="235" cm="1">
        <f t="array" ref="BV918">$BI918 * IF($AH918&lt;=2,
SUMPRODUCT(INDEX($AR$67:$AT$71,,$AI918), INDEX($AU$67:$BA$71,,$AH918), 1 / ($BB$67:$BB$71*BU918 + (1-$BB$67:$BB$71)*BQ918), N($AQ$67:$AQ$71&gt;$AO918)),
SUMPRODUCT(INDEX($AR$57:$AT$66,,$AI918), INDEX($AU$57:$BA$66,,$AH918), 1 / ($BC$57:$BC$66*BU918 + (1-$BC$57:$BC$66)*BQ918), N($AQ$57:$AQ$66&gt;$AO918))
) / 1000</f>
        <v>0</v>
      </c>
      <c r="BW918" s="232">
        <f t="shared" si="797"/>
        <v>20</v>
      </c>
      <c r="BX918" s="230">
        <f t="shared" si="813"/>
        <v>33</v>
      </c>
      <c r="BY918" s="235">
        <f t="shared" si="814"/>
        <v>4.4702678571428569</v>
      </c>
      <c r="BZ918" s="235" cm="1">
        <f t="array" ref="BZ918">$BI918 * IF($AH918&lt;=2,
SUMPRODUCT(INDEX($AR$62:$AT$66,,$AI918), INDEX($AU$62:$BA$66,,$AH918), 1 / ($BB$62:$BB$66*BY918 + (1-$BB$62:$BB$66)*BU918), N($AQ$62:$AQ$66&gt;$AO918)),
SUMPRODUCT(INDEX($AR$47:$AT$56,,$AI918), INDEX($AU$47:$BA$56,,$AH918), 1 / ($BC$47:$BC$56*BY918 + (1-$BC$47:$BC$56)*BU918), N($AQ$47:$AQ$56&gt;$AO918))
) / 1000</f>
        <v>0</v>
      </c>
      <c r="CA918" s="235" cm="1">
        <f t="array" ref="CA918">$BI918 * IF($AH918&lt;=2,
SUMPRODUCT(INDEX($AR$23:$AT$61,,$AI918), INDEX($AU$23:$BA$61,,$AH918), 1 / ($BB$23:$BB$61*BY918), N($AQ$23:$AQ$61&gt;$AO918)),
SUMPRODUCT(INDEX($AR$23:$AT$46,,$AI918), INDEX($AU$23:$BA$46,,$AH918), 1 / ($BC$23:$BC$46*BY918), N($AQ$23:$AQ$46&gt;$AO918))
) / 1000</f>
        <v>0</v>
      </c>
      <c r="CB918" s="230">
        <f t="shared" si="815"/>
        <v>0</v>
      </c>
      <c r="CC918" s="238"/>
      <c r="CD918" s="229" cm="1">
        <f t="array" ref="CD918">IF(ISBLANK(Y918), INDEX(Use, $AH918, 4) - AN918*INDEX(Use, $AH918, 6) - (Q918-X918), Y918)</f>
        <v>7</v>
      </c>
      <c r="CE918" s="229">
        <f t="shared" si="816"/>
        <v>32</v>
      </c>
      <c r="CF918" s="230">
        <f t="shared" si="817"/>
        <v>0</v>
      </c>
      <c r="CG918" s="229">
        <v>35</v>
      </c>
      <c r="CH918" s="230">
        <f t="shared" si="818"/>
        <v>48</v>
      </c>
      <c r="CI918" s="235">
        <f t="shared" si="819"/>
        <v>3.0748170731707316</v>
      </c>
      <c r="CJ918" s="235" cm="1">
        <f t="array" ref="CJ918">$BI918 * SUMPRODUCT(INDEX($AR$77:$AT$82,,$AI918),INDEX($AU$77:$BA$82,,$AH918), N($AQ$77:$AQ$82&gt;$AO918)) / CI918 / 1000</f>
        <v>0</v>
      </c>
      <c r="CK918" s="232">
        <f t="shared" si="798"/>
        <v>30</v>
      </c>
      <c r="CL918" s="230">
        <f t="shared" si="820"/>
        <v>43</v>
      </c>
      <c r="CM918" s="235">
        <f t="shared" si="821"/>
        <v>3.5018750000000001</v>
      </c>
      <c r="CN918" s="235" cm="1">
        <f t="array" ref="CN918">$BI918 * IF($AH918&lt;=2,
SUMPRODUCT(INDEX($AR$72:$AT$76,,$AI918), INDEX($AU$72:$BA$76,,$AH918), 1 / ($BB$72:$BB$76*CM918 + (1-$BB$72:$BB$76)*CI918), N($AQ$72:$AQ$76&gt;$AO918)),
SUMPRODUCT(INDEX($AR$67:$AT$76,,$AI918), INDEX($AU$67:$BA$76,,$AH918), 1 / ($BC$67:$BC$76*CM918 + (1-$BC$67:$BC$76)*CI918), N($AQ$67:$AQ$76&gt;$AO918))
) / 1000</f>
        <v>0</v>
      </c>
      <c r="CO918" s="232">
        <f t="shared" si="799"/>
        <v>25</v>
      </c>
      <c r="CP918" s="230">
        <f t="shared" si="822"/>
        <v>38</v>
      </c>
      <c r="CQ918" s="235">
        <f t="shared" si="823"/>
        <v>4.0666935483870965</v>
      </c>
      <c r="CR918" s="235" cm="1">
        <f t="array" ref="CR918">$BI918 * IF($AH918&lt;=2,
SUMPRODUCT(INDEX($AR$67:$AT$71,,$AI918), INDEX($AU$67:$BA$71,,$AH918), 1 / ($BB$67:$BB$71*CQ918 + (1-$BB$67:$BB$71)*CM918), N($AQ$67:$AQ$71&gt;$AO918)),
SUMPRODUCT(INDEX($AR$57:$AT$66,,$AI918), INDEX($AU$57:$BA$66,,$AH918), 1 / ($BC$57:$BC$66*CQ918 + (1-$BC$57:$BC$66)*CM918), N($AQ$57:$AQ$66&gt;$AO918))
) / 1000</f>
        <v>0</v>
      </c>
      <c r="CS918" s="232">
        <f t="shared" si="800"/>
        <v>20</v>
      </c>
      <c r="CT918" s="230">
        <f t="shared" si="824"/>
        <v>33</v>
      </c>
      <c r="CU918" s="235">
        <f t="shared" si="825"/>
        <v>4.8487499999999999</v>
      </c>
      <c r="CV918" s="235" cm="1">
        <f t="array" ref="CV918">$BI918 * IF($AH918&lt;=2,
SUMPRODUCT(INDEX($AR$62:$AT$66,,$AI918), INDEX($AU$62:$BA$66,,$AH918), 1 / ($BB$62:$BB$66*CU918 + (1-$BB$62:$BB$66)*CQ918), N($AQ$62:$AQ$66&gt;$AO918)),
SUMPRODUCT(INDEX($AR$47:$AT$56,,$AI918), INDEX($AU$47:$BA$56,,$AH918), 1 / ($BC$47:$BC$56*CU918 + (1-$BC$47:$BC$56)*CQ918), N($AQ$47:$AQ$56&gt;$AO918))
) / 1000</f>
        <v>0</v>
      </c>
      <c r="CW918" s="235" cm="1">
        <f t="array" ref="CW918">$BI918 * IF($AH918&lt;=2,
SUMPRODUCT(INDEX($AR$23:$AT$61,,$AI918), INDEX($AU$23:$BA$61,,$AH918), 1 / ($BB$23:$BB$61*CU918), N($AQ$23:$AQ$61&gt;$AO918)),
SUMPRODUCT(INDEX($AR$23:$AT$46,,$AI918), INDEX($AU$23:$BA$46,,$AH918), 1 / ($BC$23:$BC$46*CU918), N($AQ$23:$AQ$46&gt;$AO918))
) / 1000</f>
        <v>0</v>
      </c>
      <c r="CX918" s="230">
        <f t="shared" si="826"/>
        <v>0</v>
      </c>
      <c r="CY918" s="238"/>
    </row>
    <row r="919" spans="1:103" s="76" customFormat="1" ht="14.25" customHeight="1" x14ac:dyDescent="0.2">
      <c r="A919" s="231" t="b">
        <f t="shared" si="830"/>
        <v>0</v>
      </c>
      <c r="B919" s="245">
        <v>897</v>
      </c>
      <c r="C919" s="258"/>
      <c r="D919" s="258"/>
      <c r="E919" s="246"/>
      <c r="F919" s="247" t="str">
        <f>IF(ISBLANK(E919), "", VLOOKUP(E919, Z!$A$2:$C$4127, 3, FALSE))</f>
        <v/>
      </c>
      <c r="G919" s="248"/>
      <c r="H919" s="248"/>
      <c r="I919" s="249"/>
      <c r="J919" s="250"/>
      <c r="K919" s="259"/>
      <c r="L919" s="260"/>
      <c r="M919" s="252" t="str" cm="1">
        <f t="array" ref="M919">INDEX(Trad, 53, $A$20)</f>
        <v>Verschmutzt</v>
      </c>
      <c r="N919" s="253"/>
      <c r="O919" s="253"/>
      <c r="P919" s="254"/>
      <c r="Q919" s="251"/>
      <c r="R919" s="251"/>
      <c r="S919" s="264">
        <f t="shared" si="801"/>
        <v>0</v>
      </c>
      <c r="T919" s="252" t="str" cm="1">
        <f t="array" ref="T919">INDEX(Trad, 52, $A$20)</f>
        <v>Sauber</v>
      </c>
      <c r="U919" s="253"/>
      <c r="V919" s="253"/>
      <c r="W919" s="254"/>
      <c r="X919" s="251"/>
      <c r="Y919" s="251"/>
      <c r="Z919" s="264">
        <f t="shared" si="802"/>
        <v>0</v>
      </c>
      <c r="AA919" s="261"/>
      <c r="AB919" s="258"/>
      <c r="AC919" s="246"/>
      <c r="AD919" s="247" t="str">
        <f>IF(ISBLANK(AC919), "", VLOOKUP(AC919, Z!$A$2:$C$4127, 3, FALSE))</f>
        <v/>
      </c>
      <c r="AE919" s="262"/>
      <c r="AF919" s="263">
        <f t="shared" si="803"/>
        <v>0</v>
      </c>
      <c r="AG919" s="238"/>
      <c r="AH919" s="229">
        <f t="shared" si="827"/>
        <v>1</v>
      </c>
      <c r="AI919" s="229">
        <f t="shared" si="828"/>
        <v>1</v>
      </c>
      <c r="AJ919" s="229">
        <f t="shared" si="829"/>
        <v>0</v>
      </c>
      <c r="AK919" s="229">
        <v>0</v>
      </c>
      <c r="AL919" s="229">
        <v>0</v>
      </c>
      <c r="AM919" s="229">
        <v>1</v>
      </c>
      <c r="AN919" s="229">
        <v>0</v>
      </c>
      <c r="AO919" s="229">
        <f t="shared" si="804"/>
        <v>-100</v>
      </c>
      <c r="AP919" s="238"/>
      <c r="AQ919" s="255"/>
      <c r="AR919" s="255"/>
      <c r="AS919" s="256"/>
      <c r="AT919" s="256"/>
      <c r="AU919" s="256"/>
      <c r="AV919" s="256"/>
      <c r="AW919" s="256"/>
      <c r="AX919" s="256"/>
      <c r="AY919" s="256"/>
      <c r="AZ919" s="256"/>
      <c r="BA919" s="256"/>
      <c r="BB919" s="256"/>
      <c r="BC919" s="256"/>
      <c r="BD919" s="238"/>
      <c r="BE919" s="229" cm="1">
        <f t="array" ref="BE919">IF(ISBLANK(R919), INDEX(Use, $AH919, 4) - AM919*INDEX(Use, $AH919, 6), R919)</f>
        <v>5</v>
      </c>
      <c r="BF919" s="229">
        <f t="shared" si="805"/>
        <v>30</v>
      </c>
      <c r="BG919" s="229">
        <f t="shared" ref="BG919:BG982" si="831">IF($AJ919=1, 6, IF($AH919=4, 10, 13))</f>
        <v>13</v>
      </c>
      <c r="BH919" s="229">
        <f t="shared" ref="BH919:BH982" si="832">IF($AJ919=1, 9, 0)</f>
        <v>0</v>
      </c>
      <c r="BI919" s="234" cm="1">
        <f t="array" ref="BI919">K919/IF($L919&gt;0, INDEX($AU$23:$BA$77, $L919+20, $AH919), 1)</f>
        <v>0</v>
      </c>
      <c r="BJ919" s="230">
        <f t="shared" si="806"/>
        <v>0</v>
      </c>
      <c r="BK919" s="229">
        <v>35</v>
      </c>
      <c r="BL919" s="230">
        <f t="shared" si="807"/>
        <v>48</v>
      </c>
      <c r="BM919" s="235">
        <f t="shared" si="808"/>
        <v>2.9108720930232557</v>
      </c>
      <c r="BN919" s="235" cm="1">
        <f t="array" ref="BN919">$BI919 * SUMPRODUCT(INDEX($AR$77:$AT$82,,$AI919),INDEX($AU$77:$BA$82,,$AH919), N($AQ$77:$AQ$82&gt;$AO919)) / BM919 / 1000</f>
        <v>0</v>
      </c>
      <c r="BO919" s="232">
        <f t="shared" ref="BO919:BO982" si="833">IF($AH919&lt;=2, 30, 25)</f>
        <v>30</v>
      </c>
      <c r="BP919" s="230">
        <f t="shared" si="809"/>
        <v>43</v>
      </c>
      <c r="BQ919" s="235">
        <f t="shared" si="810"/>
        <v>3.2938815789473681</v>
      </c>
      <c r="BR919" s="235" cm="1">
        <f t="array" ref="BR919">$BI919 * IF($AH919&lt;=2,
SUMPRODUCT(INDEX($AR$72:$AT$76,,$AI919), INDEX($AU$72:$BA$76,,$AH919), 1 / ($BB$72:$BB$76*BQ919 + (1-$BB$72:$BB$76)*BM919), N($AQ$72:$AQ$76&gt;$AO919)),
SUMPRODUCT(INDEX($AR$67:$AT$76,,$AI919), INDEX($AU$67:$BA$76,,$AH919), 1 / ($BC$67:$BC$76*BQ919 + (1-$BC$67:$BC$76)*BM919), N($AQ$67:$AQ$76&gt;$AO919))
) / 1000</f>
        <v>0</v>
      </c>
      <c r="BS919" s="232">
        <f t="shared" ref="BS919:BS982" si="834">IF($AH919&lt;=2, 25, 15)</f>
        <v>25</v>
      </c>
      <c r="BT919" s="230">
        <f t="shared" si="811"/>
        <v>38</v>
      </c>
      <c r="BU919" s="235">
        <f t="shared" si="812"/>
        <v>3.792954545454545</v>
      </c>
      <c r="BV919" s="235" cm="1">
        <f t="array" ref="BV919">$BI919 * IF($AH919&lt;=2,
SUMPRODUCT(INDEX($AR$67:$AT$71,,$AI919), INDEX($AU$67:$BA$71,,$AH919), 1 / ($BB$67:$BB$71*BU919 + (1-$BB$67:$BB$71)*BQ919), N($AQ$67:$AQ$71&gt;$AO919)),
SUMPRODUCT(INDEX($AR$57:$AT$66,,$AI919), INDEX($AU$57:$BA$66,,$AH919), 1 / ($BC$57:$BC$66*BU919 + (1-$BC$57:$BC$66)*BQ919), N($AQ$57:$AQ$66&gt;$AO919))
) / 1000</f>
        <v>0</v>
      </c>
      <c r="BW919" s="232">
        <f t="shared" ref="BW919:BW982" si="835">IF($AH919&lt;=2, 20, 5)</f>
        <v>20</v>
      </c>
      <c r="BX919" s="230">
        <f t="shared" si="813"/>
        <v>33</v>
      </c>
      <c r="BY919" s="235">
        <f t="shared" si="814"/>
        <v>4.4702678571428569</v>
      </c>
      <c r="BZ919" s="235" cm="1">
        <f t="array" ref="BZ919">$BI919 * IF($AH919&lt;=2,
SUMPRODUCT(INDEX($AR$62:$AT$66,,$AI919), INDEX($AU$62:$BA$66,,$AH919), 1 / ($BB$62:$BB$66*BY919 + (1-$BB$62:$BB$66)*BU919), N($AQ$62:$AQ$66&gt;$AO919)),
SUMPRODUCT(INDEX($AR$47:$AT$56,,$AI919), INDEX($AU$47:$BA$56,,$AH919), 1 / ($BC$47:$BC$56*BY919 + (1-$BC$47:$BC$56)*BU919), N($AQ$47:$AQ$56&gt;$AO919))
) / 1000</f>
        <v>0</v>
      </c>
      <c r="CA919" s="235" cm="1">
        <f t="array" ref="CA919">$BI919 * IF($AH919&lt;=2,
SUMPRODUCT(INDEX($AR$23:$AT$61,,$AI919), INDEX($AU$23:$BA$61,,$AH919), 1 / ($BB$23:$BB$61*BY919), N($AQ$23:$AQ$61&gt;$AO919)),
SUMPRODUCT(INDEX($AR$23:$AT$46,,$AI919), INDEX($AU$23:$BA$46,,$AH919), 1 / ($BC$23:$BC$46*BY919), N($AQ$23:$AQ$46&gt;$AO919))
) / 1000</f>
        <v>0</v>
      </c>
      <c r="CB919" s="230">
        <f t="shared" si="815"/>
        <v>0</v>
      </c>
      <c r="CC919" s="238"/>
      <c r="CD919" s="229" cm="1">
        <f t="array" ref="CD919">IF(ISBLANK(Y919), INDEX(Use, $AH919, 4) - AN919*INDEX(Use, $AH919, 6) - (Q919-X919), Y919)</f>
        <v>7</v>
      </c>
      <c r="CE919" s="229">
        <f t="shared" si="816"/>
        <v>32</v>
      </c>
      <c r="CF919" s="230">
        <f t="shared" si="817"/>
        <v>0</v>
      </c>
      <c r="CG919" s="229">
        <v>35</v>
      </c>
      <c r="CH919" s="230">
        <f t="shared" si="818"/>
        <v>48</v>
      </c>
      <c r="CI919" s="235">
        <f t="shared" si="819"/>
        <v>3.0748170731707316</v>
      </c>
      <c r="CJ919" s="235" cm="1">
        <f t="array" ref="CJ919">$BI919 * SUMPRODUCT(INDEX($AR$77:$AT$82,,$AI919),INDEX($AU$77:$BA$82,,$AH919), N($AQ$77:$AQ$82&gt;$AO919)) / CI919 / 1000</f>
        <v>0</v>
      </c>
      <c r="CK919" s="232">
        <f t="shared" ref="CK919:CK982" si="836">IF($AH919&lt;=2, 30, 25)</f>
        <v>30</v>
      </c>
      <c r="CL919" s="230">
        <f t="shared" si="820"/>
        <v>43</v>
      </c>
      <c r="CM919" s="235">
        <f t="shared" si="821"/>
        <v>3.5018750000000001</v>
      </c>
      <c r="CN919" s="235" cm="1">
        <f t="array" ref="CN919">$BI919 * IF($AH919&lt;=2,
SUMPRODUCT(INDEX($AR$72:$AT$76,,$AI919), INDEX($AU$72:$BA$76,,$AH919), 1 / ($BB$72:$BB$76*CM919 + (1-$BB$72:$BB$76)*CI919), N($AQ$72:$AQ$76&gt;$AO919)),
SUMPRODUCT(INDEX($AR$67:$AT$76,,$AI919), INDEX($AU$67:$BA$76,,$AH919), 1 / ($BC$67:$BC$76*CM919 + (1-$BC$67:$BC$76)*CI919), N($AQ$67:$AQ$76&gt;$AO919))
) / 1000</f>
        <v>0</v>
      </c>
      <c r="CO919" s="232">
        <f t="shared" ref="CO919:CO982" si="837">IF($AH919&lt;=2, 25, 15)</f>
        <v>25</v>
      </c>
      <c r="CP919" s="230">
        <f t="shared" si="822"/>
        <v>38</v>
      </c>
      <c r="CQ919" s="235">
        <f t="shared" si="823"/>
        <v>4.0666935483870965</v>
      </c>
      <c r="CR919" s="235" cm="1">
        <f t="array" ref="CR919">$BI919 * IF($AH919&lt;=2,
SUMPRODUCT(INDEX($AR$67:$AT$71,,$AI919), INDEX($AU$67:$BA$71,,$AH919), 1 / ($BB$67:$BB$71*CQ919 + (1-$BB$67:$BB$71)*CM919), N($AQ$67:$AQ$71&gt;$AO919)),
SUMPRODUCT(INDEX($AR$57:$AT$66,,$AI919), INDEX($AU$57:$BA$66,,$AH919), 1 / ($BC$57:$BC$66*CQ919 + (1-$BC$57:$BC$66)*CM919), N($AQ$57:$AQ$66&gt;$AO919))
) / 1000</f>
        <v>0</v>
      </c>
      <c r="CS919" s="232">
        <f t="shared" ref="CS919:CS982" si="838">IF($AH919&lt;=2, 20, 5)</f>
        <v>20</v>
      </c>
      <c r="CT919" s="230">
        <f t="shared" si="824"/>
        <v>33</v>
      </c>
      <c r="CU919" s="235">
        <f t="shared" si="825"/>
        <v>4.8487499999999999</v>
      </c>
      <c r="CV919" s="235" cm="1">
        <f t="array" ref="CV919">$BI919 * IF($AH919&lt;=2,
SUMPRODUCT(INDEX($AR$62:$AT$66,,$AI919), INDEX($AU$62:$BA$66,,$AH919), 1 / ($BB$62:$BB$66*CU919 + (1-$BB$62:$BB$66)*CQ919), N($AQ$62:$AQ$66&gt;$AO919)),
SUMPRODUCT(INDEX($AR$47:$AT$56,,$AI919), INDEX($AU$47:$BA$56,,$AH919), 1 / ($BC$47:$BC$56*CU919 + (1-$BC$47:$BC$56)*CQ919), N($AQ$47:$AQ$56&gt;$AO919))
) / 1000</f>
        <v>0</v>
      </c>
      <c r="CW919" s="235" cm="1">
        <f t="array" ref="CW919">$BI919 * IF($AH919&lt;=2,
SUMPRODUCT(INDEX($AR$23:$AT$61,,$AI919), INDEX($AU$23:$BA$61,,$AH919), 1 / ($BB$23:$BB$61*CU919), N($AQ$23:$AQ$61&gt;$AO919)),
SUMPRODUCT(INDEX($AR$23:$AT$46,,$AI919), INDEX($AU$23:$BA$46,,$AH919), 1 / ($BC$23:$BC$46*CU919), N($AQ$23:$AQ$46&gt;$AO919))
) / 1000</f>
        <v>0</v>
      </c>
      <c r="CX919" s="230">
        <f t="shared" si="826"/>
        <v>0</v>
      </c>
      <c r="CY919" s="238"/>
    </row>
    <row r="920" spans="1:103" s="76" customFormat="1" ht="14.25" customHeight="1" x14ac:dyDescent="0.2">
      <c r="A920" s="231" t="b">
        <f t="shared" si="830"/>
        <v>0</v>
      </c>
      <c r="B920" s="245">
        <v>898</v>
      </c>
      <c r="C920" s="258"/>
      <c r="D920" s="258"/>
      <c r="E920" s="246"/>
      <c r="F920" s="247" t="str">
        <f>IF(ISBLANK(E920), "", VLOOKUP(E920, Z!$A$2:$C$4127, 3, FALSE))</f>
        <v/>
      </c>
      <c r="G920" s="248"/>
      <c r="H920" s="248"/>
      <c r="I920" s="249"/>
      <c r="J920" s="250"/>
      <c r="K920" s="259"/>
      <c r="L920" s="260"/>
      <c r="M920" s="252" t="str" cm="1">
        <f t="array" ref="M920">INDEX(Trad, 53, $A$20)</f>
        <v>Verschmutzt</v>
      </c>
      <c r="N920" s="253"/>
      <c r="O920" s="253"/>
      <c r="P920" s="254"/>
      <c r="Q920" s="251"/>
      <c r="R920" s="251"/>
      <c r="S920" s="264">
        <f t="shared" si="801"/>
        <v>0</v>
      </c>
      <c r="T920" s="252" t="str" cm="1">
        <f t="array" ref="T920">INDEX(Trad, 52, $A$20)</f>
        <v>Sauber</v>
      </c>
      <c r="U920" s="253"/>
      <c r="V920" s="253"/>
      <c r="W920" s="254"/>
      <c r="X920" s="251"/>
      <c r="Y920" s="251"/>
      <c r="Z920" s="264">
        <f t="shared" si="802"/>
        <v>0</v>
      </c>
      <c r="AA920" s="261"/>
      <c r="AB920" s="258"/>
      <c r="AC920" s="246"/>
      <c r="AD920" s="247" t="str">
        <f>IF(ISBLANK(AC920), "", VLOOKUP(AC920, Z!$A$2:$C$4127, 3, FALSE))</f>
        <v/>
      </c>
      <c r="AE920" s="262"/>
      <c r="AF920" s="263">
        <f t="shared" si="803"/>
        <v>0</v>
      </c>
      <c r="AG920" s="238"/>
      <c r="AH920" s="229">
        <f t="shared" si="827"/>
        <v>1</v>
      </c>
      <c r="AI920" s="229">
        <f t="shared" si="828"/>
        <v>1</v>
      </c>
      <c r="AJ920" s="229">
        <f t="shared" si="829"/>
        <v>0</v>
      </c>
      <c r="AK920" s="229">
        <v>0</v>
      </c>
      <c r="AL920" s="229">
        <v>0</v>
      </c>
      <c r="AM920" s="229">
        <v>1</v>
      </c>
      <c r="AN920" s="229">
        <v>0</v>
      </c>
      <c r="AO920" s="229">
        <f t="shared" si="804"/>
        <v>-100</v>
      </c>
      <c r="AP920" s="238"/>
      <c r="AQ920" s="255"/>
      <c r="AR920" s="255"/>
      <c r="AS920" s="256"/>
      <c r="AT920" s="256"/>
      <c r="AU920" s="256"/>
      <c r="AV920" s="256"/>
      <c r="AW920" s="256"/>
      <c r="AX920" s="256"/>
      <c r="AY920" s="256"/>
      <c r="AZ920" s="256"/>
      <c r="BA920" s="256"/>
      <c r="BB920" s="256"/>
      <c r="BC920" s="256"/>
      <c r="BD920" s="238"/>
      <c r="BE920" s="229" cm="1">
        <f t="array" ref="BE920">IF(ISBLANK(R920), INDEX(Use, $AH920, 4) - AM920*INDEX(Use, $AH920, 6), R920)</f>
        <v>5</v>
      </c>
      <c r="BF920" s="229">
        <f t="shared" si="805"/>
        <v>30</v>
      </c>
      <c r="BG920" s="229">
        <f t="shared" si="831"/>
        <v>13</v>
      </c>
      <c r="BH920" s="229">
        <f t="shared" si="832"/>
        <v>0</v>
      </c>
      <c r="BI920" s="234" cm="1">
        <f t="array" ref="BI920">K920/IF($L920&gt;0, INDEX($AU$23:$BA$77, $L920+20, $AH920), 1)</f>
        <v>0</v>
      </c>
      <c r="BJ920" s="230">
        <f t="shared" si="806"/>
        <v>0</v>
      </c>
      <c r="BK920" s="229">
        <v>35</v>
      </c>
      <c r="BL920" s="230">
        <f t="shared" si="807"/>
        <v>48</v>
      </c>
      <c r="BM920" s="235">
        <f t="shared" si="808"/>
        <v>2.9108720930232557</v>
      </c>
      <c r="BN920" s="235" cm="1">
        <f t="array" ref="BN920">$BI920 * SUMPRODUCT(INDEX($AR$77:$AT$82,,$AI920),INDEX($AU$77:$BA$82,,$AH920), N($AQ$77:$AQ$82&gt;$AO920)) / BM920 / 1000</f>
        <v>0</v>
      </c>
      <c r="BO920" s="232">
        <f t="shared" si="833"/>
        <v>30</v>
      </c>
      <c r="BP920" s="230">
        <f t="shared" si="809"/>
        <v>43</v>
      </c>
      <c r="BQ920" s="235">
        <f t="shared" si="810"/>
        <v>3.2938815789473681</v>
      </c>
      <c r="BR920" s="235" cm="1">
        <f t="array" ref="BR920">$BI920 * IF($AH920&lt;=2,
SUMPRODUCT(INDEX($AR$72:$AT$76,,$AI920), INDEX($AU$72:$BA$76,,$AH920), 1 / ($BB$72:$BB$76*BQ920 + (1-$BB$72:$BB$76)*BM920), N($AQ$72:$AQ$76&gt;$AO920)),
SUMPRODUCT(INDEX($AR$67:$AT$76,,$AI920), INDEX($AU$67:$BA$76,,$AH920), 1 / ($BC$67:$BC$76*BQ920 + (1-$BC$67:$BC$76)*BM920), N($AQ$67:$AQ$76&gt;$AO920))
) / 1000</f>
        <v>0</v>
      </c>
      <c r="BS920" s="232">
        <f t="shared" si="834"/>
        <v>25</v>
      </c>
      <c r="BT920" s="230">
        <f t="shared" si="811"/>
        <v>38</v>
      </c>
      <c r="BU920" s="235">
        <f t="shared" si="812"/>
        <v>3.792954545454545</v>
      </c>
      <c r="BV920" s="235" cm="1">
        <f t="array" ref="BV920">$BI920 * IF($AH920&lt;=2,
SUMPRODUCT(INDEX($AR$67:$AT$71,,$AI920), INDEX($AU$67:$BA$71,,$AH920), 1 / ($BB$67:$BB$71*BU920 + (1-$BB$67:$BB$71)*BQ920), N($AQ$67:$AQ$71&gt;$AO920)),
SUMPRODUCT(INDEX($AR$57:$AT$66,,$AI920), INDEX($AU$57:$BA$66,,$AH920), 1 / ($BC$57:$BC$66*BU920 + (1-$BC$57:$BC$66)*BQ920), N($AQ$57:$AQ$66&gt;$AO920))
) / 1000</f>
        <v>0</v>
      </c>
      <c r="BW920" s="232">
        <f t="shared" si="835"/>
        <v>20</v>
      </c>
      <c r="BX920" s="230">
        <f t="shared" si="813"/>
        <v>33</v>
      </c>
      <c r="BY920" s="235">
        <f t="shared" si="814"/>
        <v>4.4702678571428569</v>
      </c>
      <c r="BZ920" s="235" cm="1">
        <f t="array" ref="BZ920">$BI920 * IF($AH920&lt;=2,
SUMPRODUCT(INDEX($AR$62:$AT$66,,$AI920), INDEX($AU$62:$BA$66,,$AH920), 1 / ($BB$62:$BB$66*BY920 + (1-$BB$62:$BB$66)*BU920), N($AQ$62:$AQ$66&gt;$AO920)),
SUMPRODUCT(INDEX($AR$47:$AT$56,,$AI920), INDEX($AU$47:$BA$56,,$AH920), 1 / ($BC$47:$BC$56*BY920 + (1-$BC$47:$BC$56)*BU920), N($AQ$47:$AQ$56&gt;$AO920))
) / 1000</f>
        <v>0</v>
      </c>
      <c r="CA920" s="235" cm="1">
        <f t="array" ref="CA920">$BI920 * IF($AH920&lt;=2,
SUMPRODUCT(INDEX($AR$23:$AT$61,,$AI920), INDEX($AU$23:$BA$61,,$AH920), 1 / ($BB$23:$BB$61*BY920), N($AQ$23:$AQ$61&gt;$AO920)),
SUMPRODUCT(INDEX($AR$23:$AT$46,,$AI920), INDEX($AU$23:$BA$46,,$AH920), 1 / ($BC$23:$BC$46*BY920), N($AQ$23:$AQ$46&gt;$AO920))
) / 1000</f>
        <v>0</v>
      </c>
      <c r="CB920" s="230">
        <f t="shared" si="815"/>
        <v>0</v>
      </c>
      <c r="CC920" s="238"/>
      <c r="CD920" s="229" cm="1">
        <f t="array" ref="CD920">IF(ISBLANK(Y920), INDEX(Use, $AH920, 4) - AN920*INDEX(Use, $AH920, 6) - (Q920-X920), Y920)</f>
        <v>7</v>
      </c>
      <c r="CE920" s="229">
        <f t="shared" si="816"/>
        <v>32</v>
      </c>
      <c r="CF920" s="230">
        <f t="shared" si="817"/>
        <v>0</v>
      </c>
      <c r="CG920" s="229">
        <v>35</v>
      </c>
      <c r="CH920" s="230">
        <f t="shared" si="818"/>
        <v>48</v>
      </c>
      <c r="CI920" s="235">
        <f t="shared" si="819"/>
        <v>3.0748170731707316</v>
      </c>
      <c r="CJ920" s="235" cm="1">
        <f t="array" ref="CJ920">$BI920 * SUMPRODUCT(INDEX($AR$77:$AT$82,,$AI920),INDEX($AU$77:$BA$82,,$AH920), N($AQ$77:$AQ$82&gt;$AO920)) / CI920 / 1000</f>
        <v>0</v>
      </c>
      <c r="CK920" s="232">
        <f t="shared" si="836"/>
        <v>30</v>
      </c>
      <c r="CL920" s="230">
        <f t="shared" si="820"/>
        <v>43</v>
      </c>
      <c r="CM920" s="235">
        <f t="shared" si="821"/>
        <v>3.5018750000000001</v>
      </c>
      <c r="CN920" s="235" cm="1">
        <f t="array" ref="CN920">$BI920 * IF($AH920&lt;=2,
SUMPRODUCT(INDEX($AR$72:$AT$76,,$AI920), INDEX($AU$72:$BA$76,,$AH920), 1 / ($BB$72:$BB$76*CM920 + (1-$BB$72:$BB$76)*CI920), N($AQ$72:$AQ$76&gt;$AO920)),
SUMPRODUCT(INDEX($AR$67:$AT$76,,$AI920), INDEX($AU$67:$BA$76,,$AH920), 1 / ($BC$67:$BC$76*CM920 + (1-$BC$67:$BC$76)*CI920), N($AQ$67:$AQ$76&gt;$AO920))
) / 1000</f>
        <v>0</v>
      </c>
      <c r="CO920" s="232">
        <f t="shared" si="837"/>
        <v>25</v>
      </c>
      <c r="CP920" s="230">
        <f t="shared" si="822"/>
        <v>38</v>
      </c>
      <c r="CQ920" s="235">
        <f t="shared" si="823"/>
        <v>4.0666935483870965</v>
      </c>
      <c r="CR920" s="235" cm="1">
        <f t="array" ref="CR920">$BI920 * IF($AH920&lt;=2,
SUMPRODUCT(INDEX($AR$67:$AT$71,,$AI920), INDEX($AU$67:$BA$71,,$AH920), 1 / ($BB$67:$BB$71*CQ920 + (1-$BB$67:$BB$71)*CM920), N($AQ$67:$AQ$71&gt;$AO920)),
SUMPRODUCT(INDEX($AR$57:$AT$66,,$AI920), INDEX($AU$57:$BA$66,,$AH920), 1 / ($BC$57:$BC$66*CQ920 + (1-$BC$57:$BC$66)*CM920), N($AQ$57:$AQ$66&gt;$AO920))
) / 1000</f>
        <v>0</v>
      </c>
      <c r="CS920" s="232">
        <f t="shared" si="838"/>
        <v>20</v>
      </c>
      <c r="CT920" s="230">
        <f t="shared" si="824"/>
        <v>33</v>
      </c>
      <c r="CU920" s="235">
        <f t="shared" si="825"/>
        <v>4.8487499999999999</v>
      </c>
      <c r="CV920" s="235" cm="1">
        <f t="array" ref="CV920">$BI920 * IF($AH920&lt;=2,
SUMPRODUCT(INDEX($AR$62:$AT$66,,$AI920), INDEX($AU$62:$BA$66,,$AH920), 1 / ($BB$62:$BB$66*CU920 + (1-$BB$62:$BB$66)*CQ920), N($AQ$62:$AQ$66&gt;$AO920)),
SUMPRODUCT(INDEX($AR$47:$AT$56,,$AI920), INDEX($AU$47:$BA$56,,$AH920), 1 / ($BC$47:$BC$56*CU920 + (1-$BC$47:$BC$56)*CQ920), N($AQ$47:$AQ$56&gt;$AO920))
) / 1000</f>
        <v>0</v>
      </c>
      <c r="CW920" s="235" cm="1">
        <f t="array" ref="CW920">$BI920 * IF($AH920&lt;=2,
SUMPRODUCT(INDEX($AR$23:$AT$61,,$AI920), INDEX($AU$23:$BA$61,,$AH920), 1 / ($BB$23:$BB$61*CU920), N($AQ$23:$AQ$61&gt;$AO920)),
SUMPRODUCT(INDEX($AR$23:$AT$46,,$AI920), INDEX($AU$23:$BA$46,,$AH920), 1 / ($BC$23:$BC$46*CU920), N($AQ$23:$AQ$46&gt;$AO920))
) / 1000</f>
        <v>0</v>
      </c>
      <c r="CX920" s="230">
        <f t="shared" si="826"/>
        <v>0</v>
      </c>
      <c r="CY920" s="238"/>
    </row>
    <row r="921" spans="1:103" s="76" customFormat="1" ht="14.25" customHeight="1" x14ac:dyDescent="0.2">
      <c r="A921" s="231" t="b">
        <f t="shared" si="830"/>
        <v>0</v>
      </c>
      <c r="B921" s="245">
        <v>899</v>
      </c>
      <c r="C921" s="258"/>
      <c r="D921" s="258"/>
      <c r="E921" s="246"/>
      <c r="F921" s="247" t="str">
        <f>IF(ISBLANK(E921), "", VLOOKUP(E921, Z!$A$2:$C$4127, 3, FALSE))</f>
        <v/>
      </c>
      <c r="G921" s="248"/>
      <c r="H921" s="248"/>
      <c r="I921" s="249"/>
      <c r="J921" s="250"/>
      <c r="K921" s="259"/>
      <c r="L921" s="260"/>
      <c r="M921" s="252" t="str" cm="1">
        <f t="array" ref="M921">INDEX(Trad, 53, $A$20)</f>
        <v>Verschmutzt</v>
      </c>
      <c r="N921" s="253"/>
      <c r="O921" s="253"/>
      <c r="P921" s="254"/>
      <c r="Q921" s="251"/>
      <c r="R921" s="251"/>
      <c r="S921" s="264">
        <f t="shared" si="801"/>
        <v>0</v>
      </c>
      <c r="T921" s="252" t="str" cm="1">
        <f t="array" ref="T921">INDEX(Trad, 52, $A$20)</f>
        <v>Sauber</v>
      </c>
      <c r="U921" s="253"/>
      <c r="V921" s="253"/>
      <c r="W921" s="254"/>
      <c r="X921" s="251"/>
      <c r="Y921" s="251"/>
      <c r="Z921" s="264">
        <f t="shared" si="802"/>
        <v>0</v>
      </c>
      <c r="AA921" s="261"/>
      <c r="AB921" s="258"/>
      <c r="AC921" s="246"/>
      <c r="AD921" s="247" t="str">
        <f>IF(ISBLANK(AC921), "", VLOOKUP(AC921, Z!$A$2:$C$4127, 3, FALSE))</f>
        <v/>
      </c>
      <c r="AE921" s="262"/>
      <c r="AF921" s="263">
        <f t="shared" si="803"/>
        <v>0</v>
      </c>
      <c r="AG921" s="238"/>
      <c r="AH921" s="229">
        <f t="shared" si="827"/>
        <v>1</v>
      </c>
      <c r="AI921" s="229">
        <f t="shared" si="828"/>
        <v>1</v>
      </c>
      <c r="AJ921" s="229">
        <f t="shared" si="829"/>
        <v>0</v>
      </c>
      <c r="AK921" s="229">
        <v>0</v>
      </c>
      <c r="AL921" s="229">
        <v>0</v>
      </c>
      <c r="AM921" s="229">
        <v>1</v>
      </c>
      <c r="AN921" s="229">
        <v>0</v>
      </c>
      <c r="AO921" s="229">
        <f t="shared" si="804"/>
        <v>-100</v>
      </c>
      <c r="AP921" s="238"/>
      <c r="AQ921" s="255"/>
      <c r="AR921" s="255"/>
      <c r="AS921" s="256"/>
      <c r="AT921" s="256"/>
      <c r="AU921" s="256"/>
      <c r="AV921" s="256"/>
      <c r="AW921" s="256"/>
      <c r="AX921" s="256"/>
      <c r="AY921" s="256"/>
      <c r="AZ921" s="256"/>
      <c r="BA921" s="256"/>
      <c r="BB921" s="256"/>
      <c r="BC921" s="256"/>
      <c r="BD921" s="238"/>
      <c r="BE921" s="229" cm="1">
        <f t="array" ref="BE921">IF(ISBLANK(R921), INDEX(Use, $AH921, 4) - AM921*INDEX(Use, $AH921, 6), R921)</f>
        <v>5</v>
      </c>
      <c r="BF921" s="229">
        <f t="shared" si="805"/>
        <v>30</v>
      </c>
      <c r="BG921" s="229">
        <f t="shared" si="831"/>
        <v>13</v>
      </c>
      <c r="BH921" s="229">
        <f t="shared" si="832"/>
        <v>0</v>
      </c>
      <c r="BI921" s="234" cm="1">
        <f t="array" ref="BI921">K921/IF($L921&gt;0, INDEX($AU$23:$BA$77, $L921+20, $AH921), 1)</f>
        <v>0</v>
      </c>
      <c r="BJ921" s="230">
        <f t="shared" si="806"/>
        <v>0</v>
      </c>
      <c r="BK921" s="229">
        <v>35</v>
      </c>
      <c r="BL921" s="230">
        <f t="shared" si="807"/>
        <v>48</v>
      </c>
      <c r="BM921" s="235">
        <f t="shared" si="808"/>
        <v>2.9108720930232557</v>
      </c>
      <c r="BN921" s="235" cm="1">
        <f t="array" ref="BN921">$BI921 * SUMPRODUCT(INDEX($AR$77:$AT$82,,$AI921),INDEX($AU$77:$BA$82,,$AH921), N($AQ$77:$AQ$82&gt;$AO921)) / BM921 / 1000</f>
        <v>0</v>
      </c>
      <c r="BO921" s="232">
        <f t="shared" si="833"/>
        <v>30</v>
      </c>
      <c r="BP921" s="230">
        <f t="shared" si="809"/>
        <v>43</v>
      </c>
      <c r="BQ921" s="235">
        <f t="shared" si="810"/>
        <v>3.2938815789473681</v>
      </c>
      <c r="BR921" s="235" cm="1">
        <f t="array" ref="BR921">$BI921 * IF($AH921&lt;=2,
SUMPRODUCT(INDEX($AR$72:$AT$76,,$AI921), INDEX($AU$72:$BA$76,,$AH921), 1 / ($BB$72:$BB$76*BQ921 + (1-$BB$72:$BB$76)*BM921), N($AQ$72:$AQ$76&gt;$AO921)),
SUMPRODUCT(INDEX($AR$67:$AT$76,,$AI921), INDEX($AU$67:$BA$76,,$AH921), 1 / ($BC$67:$BC$76*BQ921 + (1-$BC$67:$BC$76)*BM921), N($AQ$67:$AQ$76&gt;$AO921))
) / 1000</f>
        <v>0</v>
      </c>
      <c r="BS921" s="232">
        <f t="shared" si="834"/>
        <v>25</v>
      </c>
      <c r="BT921" s="230">
        <f t="shared" si="811"/>
        <v>38</v>
      </c>
      <c r="BU921" s="235">
        <f t="shared" si="812"/>
        <v>3.792954545454545</v>
      </c>
      <c r="BV921" s="235" cm="1">
        <f t="array" ref="BV921">$BI921 * IF($AH921&lt;=2,
SUMPRODUCT(INDEX($AR$67:$AT$71,,$AI921), INDEX($AU$67:$BA$71,,$AH921), 1 / ($BB$67:$BB$71*BU921 + (1-$BB$67:$BB$71)*BQ921), N($AQ$67:$AQ$71&gt;$AO921)),
SUMPRODUCT(INDEX($AR$57:$AT$66,,$AI921), INDEX($AU$57:$BA$66,,$AH921), 1 / ($BC$57:$BC$66*BU921 + (1-$BC$57:$BC$66)*BQ921), N($AQ$57:$AQ$66&gt;$AO921))
) / 1000</f>
        <v>0</v>
      </c>
      <c r="BW921" s="232">
        <f t="shared" si="835"/>
        <v>20</v>
      </c>
      <c r="BX921" s="230">
        <f t="shared" si="813"/>
        <v>33</v>
      </c>
      <c r="BY921" s="235">
        <f t="shared" si="814"/>
        <v>4.4702678571428569</v>
      </c>
      <c r="BZ921" s="235" cm="1">
        <f t="array" ref="BZ921">$BI921 * IF($AH921&lt;=2,
SUMPRODUCT(INDEX($AR$62:$AT$66,,$AI921), INDEX($AU$62:$BA$66,,$AH921), 1 / ($BB$62:$BB$66*BY921 + (1-$BB$62:$BB$66)*BU921), N($AQ$62:$AQ$66&gt;$AO921)),
SUMPRODUCT(INDEX($AR$47:$AT$56,,$AI921), INDEX($AU$47:$BA$56,,$AH921), 1 / ($BC$47:$BC$56*BY921 + (1-$BC$47:$BC$56)*BU921), N($AQ$47:$AQ$56&gt;$AO921))
) / 1000</f>
        <v>0</v>
      </c>
      <c r="CA921" s="235" cm="1">
        <f t="array" ref="CA921">$BI921 * IF($AH921&lt;=2,
SUMPRODUCT(INDEX($AR$23:$AT$61,,$AI921), INDEX($AU$23:$BA$61,,$AH921), 1 / ($BB$23:$BB$61*BY921), N($AQ$23:$AQ$61&gt;$AO921)),
SUMPRODUCT(INDEX($AR$23:$AT$46,,$AI921), INDEX($AU$23:$BA$46,,$AH921), 1 / ($BC$23:$BC$46*BY921), N($AQ$23:$AQ$46&gt;$AO921))
) / 1000</f>
        <v>0</v>
      </c>
      <c r="CB921" s="230">
        <f t="shared" si="815"/>
        <v>0</v>
      </c>
      <c r="CC921" s="238"/>
      <c r="CD921" s="229" cm="1">
        <f t="array" ref="CD921">IF(ISBLANK(Y921), INDEX(Use, $AH921, 4) - AN921*INDEX(Use, $AH921, 6) - (Q921-X921), Y921)</f>
        <v>7</v>
      </c>
      <c r="CE921" s="229">
        <f t="shared" si="816"/>
        <v>32</v>
      </c>
      <c r="CF921" s="230">
        <f t="shared" si="817"/>
        <v>0</v>
      </c>
      <c r="CG921" s="229">
        <v>35</v>
      </c>
      <c r="CH921" s="230">
        <f t="shared" si="818"/>
        <v>48</v>
      </c>
      <c r="CI921" s="235">
        <f t="shared" si="819"/>
        <v>3.0748170731707316</v>
      </c>
      <c r="CJ921" s="235" cm="1">
        <f t="array" ref="CJ921">$BI921 * SUMPRODUCT(INDEX($AR$77:$AT$82,,$AI921),INDEX($AU$77:$BA$82,,$AH921), N($AQ$77:$AQ$82&gt;$AO921)) / CI921 / 1000</f>
        <v>0</v>
      </c>
      <c r="CK921" s="232">
        <f t="shared" si="836"/>
        <v>30</v>
      </c>
      <c r="CL921" s="230">
        <f t="shared" si="820"/>
        <v>43</v>
      </c>
      <c r="CM921" s="235">
        <f t="shared" si="821"/>
        <v>3.5018750000000001</v>
      </c>
      <c r="CN921" s="235" cm="1">
        <f t="array" ref="CN921">$BI921 * IF($AH921&lt;=2,
SUMPRODUCT(INDEX($AR$72:$AT$76,,$AI921), INDEX($AU$72:$BA$76,,$AH921), 1 / ($BB$72:$BB$76*CM921 + (1-$BB$72:$BB$76)*CI921), N($AQ$72:$AQ$76&gt;$AO921)),
SUMPRODUCT(INDEX($AR$67:$AT$76,,$AI921), INDEX($AU$67:$BA$76,,$AH921), 1 / ($BC$67:$BC$76*CM921 + (1-$BC$67:$BC$76)*CI921), N($AQ$67:$AQ$76&gt;$AO921))
) / 1000</f>
        <v>0</v>
      </c>
      <c r="CO921" s="232">
        <f t="shared" si="837"/>
        <v>25</v>
      </c>
      <c r="CP921" s="230">
        <f t="shared" si="822"/>
        <v>38</v>
      </c>
      <c r="CQ921" s="235">
        <f t="shared" si="823"/>
        <v>4.0666935483870965</v>
      </c>
      <c r="CR921" s="235" cm="1">
        <f t="array" ref="CR921">$BI921 * IF($AH921&lt;=2,
SUMPRODUCT(INDEX($AR$67:$AT$71,,$AI921), INDEX($AU$67:$BA$71,,$AH921), 1 / ($BB$67:$BB$71*CQ921 + (1-$BB$67:$BB$71)*CM921), N($AQ$67:$AQ$71&gt;$AO921)),
SUMPRODUCT(INDEX($AR$57:$AT$66,,$AI921), INDEX($AU$57:$BA$66,,$AH921), 1 / ($BC$57:$BC$66*CQ921 + (1-$BC$57:$BC$66)*CM921), N($AQ$57:$AQ$66&gt;$AO921))
) / 1000</f>
        <v>0</v>
      </c>
      <c r="CS921" s="232">
        <f t="shared" si="838"/>
        <v>20</v>
      </c>
      <c r="CT921" s="230">
        <f t="shared" si="824"/>
        <v>33</v>
      </c>
      <c r="CU921" s="235">
        <f t="shared" si="825"/>
        <v>4.8487499999999999</v>
      </c>
      <c r="CV921" s="235" cm="1">
        <f t="array" ref="CV921">$BI921 * IF($AH921&lt;=2,
SUMPRODUCT(INDEX($AR$62:$AT$66,,$AI921), INDEX($AU$62:$BA$66,,$AH921), 1 / ($BB$62:$BB$66*CU921 + (1-$BB$62:$BB$66)*CQ921), N($AQ$62:$AQ$66&gt;$AO921)),
SUMPRODUCT(INDEX($AR$47:$AT$56,,$AI921), INDEX($AU$47:$BA$56,,$AH921), 1 / ($BC$47:$BC$56*CU921 + (1-$BC$47:$BC$56)*CQ921), N($AQ$47:$AQ$56&gt;$AO921))
) / 1000</f>
        <v>0</v>
      </c>
      <c r="CW921" s="235" cm="1">
        <f t="array" ref="CW921">$BI921 * IF($AH921&lt;=2,
SUMPRODUCT(INDEX($AR$23:$AT$61,,$AI921), INDEX($AU$23:$BA$61,,$AH921), 1 / ($BB$23:$BB$61*CU921), N($AQ$23:$AQ$61&gt;$AO921)),
SUMPRODUCT(INDEX($AR$23:$AT$46,,$AI921), INDEX($AU$23:$BA$46,,$AH921), 1 / ($BC$23:$BC$46*CU921), N($AQ$23:$AQ$46&gt;$AO921))
) / 1000</f>
        <v>0</v>
      </c>
      <c r="CX921" s="230">
        <f t="shared" si="826"/>
        <v>0</v>
      </c>
      <c r="CY921" s="238"/>
    </row>
    <row r="922" spans="1:103" s="76" customFormat="1" ht="14.25" customHeight="1" x14ac:dyDescent="0.2">
      <c r="A922" s="231" t="b">
        <f t="shared" si="830"/>
        <v>0</v>
      </c>
      <c r="B922" s="245">
        <v>900</v>
      </c>
      <c r="C922" s="258"/>
      <c r="D922" s="258"/>
      <c r="E922" s="246"/>
      <c r="F922" s="247" t="str">
        <f>IF(ISBLANK(E922), "", VLOOKUP(E922, Z!$A$2:$C$4127, 3, FALSE))</f>
        <v/>
      </c>
      <c r="G922" s="248"/>
      <c r="H922" s="248"/>
      <c r="I922" s="249"/>
      <c r="J922" s="250"/>
      <c r="K922" s="259"/>
      <c r="L922" s="260"/>
      <c r="M922" s="252" t="str" cm="1">
        <f t="array" ref="M922">INDEX(Trad, 53, $A$20)</f>
        <v>Verschmutzt</v>
      </c>
      <c r="N922" s="253"/>
      <c r="O922" s="253"/>
      <c r="P922" s="254"/>
      <c r="Q922" s="251"/>
      <c r="R922" s="251"/>
      <c r="S922" s="264">
        <f t="shared" si="801"/>
        <v>0</v>
      </c>
      <c r="T922" s="252" t="str" cm="1">
        <f t="array" ref="T922">INDEX(Trad, 52, $A$20)</f>
        <v>Sauber</v>
      </c>
      <c r="U922" s="253"/>
      <c r="V922" s="253"/>
      <c r="W922" s="254"/>
      <c r="X922" s="251"/>
      <c r="Y922" s="251"/>
      <c r="Z922" s="264">
        <f t="shared" si="802"/>
        <v>0</v>
      </c>
      <c r="AA922" s="261"/>
      <c r="AB922" s="258"/>
      <c r="AC922" s="246"/>
      <c r="AD922" s="247" t="str">
        <f>IF(ISBLANK(AC922), "", VLOOKUP(AC922, Z!$A$2:$C$4127, 3, FALSE))</f>
        <v/>
      </c>
      <c r="AE922" s="262"/>
      <c r="AF922" s="263">
        <f t="shared" si="803"/>
        <v>0</v>
      </c>
      <c r="AG922" s="238"/>
      <c r="AH922" s="229">
        <f t="shared" si="827"/>
        <v>1</v>
      </c>
      <c r="AI922" s="229">
        <f t="shared" si="828"/>
        <v>1</v>
      </c>
      <c r="AJ922" s="229">
        <f t="shared" si="829"/>
        <v>0</v>
      </c>
      <c r="AK922" s="229">
        <v>0</v>
      </c>
      <c r="AL922" s="229">
        <v>0</v>
      </c>
      <c r="AM922" s="229">
        <v>1</v>
      </c>
      <c r="AN922" s="229">
        <v>0</v>
      </c>
      <c r="AO922" s="229">
        <f t="shared" si="804"/>
        <v>-100</v>
      </c>
      <c r="AP922" s="238"/>
      <c r="AQ922" s="255"/>
      <c r="AR922" s="255"/>
      <c r="AS922" s="256"/>
      <c r="AT922" s="256"/>
      <c r="AU922" s="256"/>
      <c r="AV922" s="256"/>
      <c r="AW922" s="256"/>
      <c r="AX922" s="256"/>
      <c r="AY922" s="256"/>
      <c r="AZ922" s="256"/>
      <c r="BA922" s="256"/>
      <c r="BB922" s="256"/>
      <c r="BC922" s="256"/>
      <c r="BD922" s="238"/>
      <c r="BE922" s="229" cm="1">
        <f t="array" ref="BE922">IF(ISBLANK(R922), INDEX(Use, $AH922, 4) - AM922*INDEX(Use, $AH922, 6), R922)</f>
        <v>5</v>
      </c>
      <c r="BF922" s="229">
        <f t="shared" si="805"/>
        <v>30</v>
      </c>
      <c r="BG922" s="229">
        <f t="shared" si="831"/>
        <v>13</v>
      </c>
      <c r="BH922" s="229">
        <f t="shared" si="832"/>
        <v>0</v>
      </c>
      <c r="BI922" s="234" cm="1">
        <f t="array" ref="BI922">K922/IF($L922&gt;0, INDEX($AU$23:$BA$77, $L922+20, $AH922), 1)</f>
        <v>0</v>
      </c>
      <c r="BJ922" s="230">
        <f t="shared" si="806"/>
        <v>0</v>
      </c>
      <c r="BK922" s="229">
        <v>35</v>
      </c>
      <c r="BL922" s="230">
        <f t="shared" si="807"/>
        <v>48</v>
      </c>
      <c r="BM922" s="235">
        <f t="shared" si="808"/>
        <v>2.9108720930232557</v>
      </c>
      <c r="BN922" s="235" cm="1">
        <f t="array" ref="BN922">$BI922 * SUMPRODUCT(INDEX($AR$77:$AT$82,,$AI922),INDEX($AU$77:$BA$82,,$AH922), N($AQ$77:$AQ$82&gt;$AO922)) / BM922 / 1000</f>
        <v>0</v>
      </c>
      <c r="BO922" s="232">
        <f t="shared" si="833"/>
        <v>30</v>
      </c>
      <c r="BP922" s="230">
        <f t="shared" si="809"/>
        <v>43</v>
      </c>
      <c r="BQ922" s="235">
        <f t="shared" si="810"/>
        <v>3.2938815789473681</v>
      </c>
      <c r="BR922" s="235" cm="1">
        <f t="array" ref="BR922">$BI922 * IF($AH922&lt;=2,
SUMPRODUCT(INDEX($AR$72:$AT$76,,$AI922), INDEX($AU$72:$BA$76,,$AH922), 1 / ($BB$72:$BB$76*BQ922 + (1-$BB$72:$BB$76)*BM922), N($AQ$72:$AQ$76&gt;$AO922)),
SUMPRODUCT(INDEX($AR$67:$AT$76,,$AI922), INDEX($AU$67:$BA$76,,$AH922), 1 / ($BC$67:$BC$76*BQ922 + (1-$BC$67:$BC$76)*BM922), N($AQ$67:$AQ$76&gt;$AO922))
) / 1000</f>
        <v>0</v>
      </c>
      <c r="BS922" s="232">
        <f t="shared" si="834"/>
        <v>25</v>
      </c>
      <c r="BT922" s="230">
        <f t="shared" si="811"/>
        <v>38</v>
      </c>
      <c r="BU922" s="235">
        <f t="shared" si="812"/>
        <v>3.792954545454545</v>
      </c>
      <c r="BV922" s="235" cm="1">
        <f t="array" ref="BV922">$BI922 * IF($AH922&lt;=2,
SUMPRODUCT(INDEX($AR$67:$AT$71,,$AI922), INDEX($AU$67:$BA$71,,$AH922), 1 / ($BB$67:$BB$71*BU922 + (1-$BB$67:$BB$71)*BQ922), N($AQ$67:$AQ$71&gt;$AO922)),
SUMPRODUCT(INDEX($AR$57:$AT$66,,$AI922), INDEX($AU$57:$BA$66,,$AH922), 1 / ($BC$57:$BC$66*BU922 + (1-$BC$57:$BC$66)*BQ922), N($AQ$57:$AQ$66&gt;$AO922))
) / 1000</f>
        <v>0</v>
      </c>
      <c r="BW922" s="232">
        <f t="shared" si="835"/>
        <v>20</v>
      </c>
      <c r="BX922" s="230">
        <f t="shared" si="813"/>
        <v>33</v>
      </c>
      <c r="BY922" s="235">
        <f t="shared" si="814"/>
        <v>4.4702678571428569</v>
      </c>
      <c r="BZ922" s="235" cm="1">
        <f t="array" ref="BZ922">$BI922 * IF($AH922&lt;=2,
SUMPRODUCT(INDEX($AR$62:$AT$66,,$AI922), INDEX($AU$62:$BA$66,,$AH922), 1 / ($BB$62:$BB$66*BY922 + (1-$BB$62:$BB$66)*BU922), N($AQ$62:$AQ$66&gt;$AO922)),
SUMPRODUCT(INDEX($AR$47:$AT$56,,$AI922), INDEX($AU$47:$BA$56,,$AH922), 1 / ($BC$47:$BC$56*BY922 + (1-$BC$47:$BC$56)*BU922), N($AQ$47:$AQ$56&gt;$AO922))
) / 1000</f>
        <v>0</v>
      </c>
      <c r="CA922" s="235" cm="1">
        <f t="array" ref="CA922">$BI922 * IF($AH922&lt;=2,
SUMPRODUCT(INDEX($AR$23:$AT$61,,$AI922), INDEX($AU$23:$BA$61,,$AH922), 1 / ($BB$23:$BB$61*BY922), N($AQ$23:$AQ$61&gt;$AO922)),
SUMPRODUCT(INDEX($AR$23:$AT$46,,$AI922), INDEX($AU$23:$BA$46,,$AH922), 1 / ($BC$23:$BC$46*BY922), N($AQ$23:$AQ$46&gt;$AO922))
) / 1000</f>
        <v>0</v>
      </c>
      <c r="CB922" s="230">
        <f t="shared" si="815"/>
        <v>0</v>
      </c>
      <c r="CC922" s="238"/>
      <c r="CD922" s="229" cm="1">
        <f t="array" ref="CD922">IF(ISBLANK(Y922), INDEX(Use, $AH922, 4) - AN922*INDEX(Use, $AH922, 6) - (Q922-X922), Y922)</f>
        <v>7</v>
      </c>
      <c r="CE922" s="229">
        <f t="shared" si="816"/>
        <v>32</v>
      </c>
      <c r="CF922" s="230">
        <f t="shared" si="817"/>
        <v>0</v>
      </c>
      <c r="CG922" s="229">
        <v>35</v>
      </c>
      <c r="CH922" s="230">
        <f t="shared" si="818"/>
        <v>48</v>
      </c>
      <c r="CI922" s="235">
        <f t="shared" si="819"/>
        <v>3.0748170731707316</v>
      </c>
      <c r="CJ922" s="235" cm="1">
        <f t="array" ref="CJ922">$BI922 * SUMPRODUCT(INDEX($AR$77:$AT$82,,$AI922),INDEX($AU$77:$BA$82,,$AH922), N($AQ$77:$AQ$82&gt;$AO922)) / CI922 / 1000</f>
        <v>0</v>
      </c>
      <c r="CK922" s="232">
        <f t="shared" si="836"/>
        <v>30</v>
      </c>
      <c r="CL922" s="230">
        <f t="shared" si="820"/>
        <v>43</v>
      </c>
      <c r="CM922" s="235">
        <f t="shared" si="821"/>
        <v>3.5018750000000001</v>
      </c>
      <c r="CN922" s="235" cm="1">
        <f t="array" ref="CN922">$BI922 * IF($AH922&lt;=2,
SUMPRODUCT(INDEX($AR$72:$AT$76,,$AI922), INDEX($AU$72:$BA$76,,$AH922), 1 / ($BB$72:$BB$76*CM922 + (1-$BB$72:$BB$76)*CI922), N($AQ$72:$AQ$76&gt;$AO922)),
SUMPRODUCT(INDEX($AR$67:$AT$76,,$AI922), INDEX($AU$67:$BA$76,,$AH922), 1 / ($BC$67:$BC$76*CM922 + (1-$BC$67:$BC$76)*CI922), N($AQ$67:$AQ$76&gt;$AO922))
) / 1000</f>
        <v>0</v>
      </c>
      <c r="CO922" s="232">
        <f t="shared" si="837"/>
        <v>25</v>
      </c>
      <c r="CP922" s="230">
        <f t="shared" si="822"/>
        <v>38</v>
      </c>
      <c r="CQ922" s="235">
        <f t="shared" si="823"/>
        <v>4.0666935483870965</v>
      </c>
      <c r="CR922" s="235" cm="1">
        <f t="array" ref="CR922">$BI922 * IF($AH922&lt;=2,
SUMPRODUCT(INDEX($AR$67:$AT$71,,$AI922), INDEX($AU$67:$BA$71,,$AH922), 1 / ($BB$67:$BB$71*CQ922 + (1-$BB$67:$BB$71)*CM922), N($AQ$67:$AQ$71&gt;$AO922)),
SUMPRODUCT(INDEX($AR$57:$AT$66,,$AI922), INDEX($AU$57:$BA$66,,$AH922), 1 / ($BC$57:$BC$66*CQ922 + (1-$BC$57:$BC$66)*CM922), N($AQ$57:$AQ$66&gt;$AO922))
) / 1000</f>
        <v>0</v>
      </c>
      <c r="CS922" s="232">
        <f t="shared" si="838"/>
        <v>20</v>
      </c>
      <c r="CT922" s="230">
        <f t="shared" si="824"/>
        <v>33</v>
      </c>
      <c r="CU922" s="235">
        <f t="shared" si="825"/>
        <v>4.8487499999999999</v>
      </c>
      <c r="CV922" s="235" cm="1">
        <f t="array" ref="CV922">$BI922 * IF($AH922&lt;=2,
SUMPRODUCT(INDEX($AR$62:$AT$66,,$AI922), INDEX($AU$62:$BA$66,,$AH922), 1 / ($BB$62:$BB$66*CU922 + (1-$BB$62:$BB$66)*CQ922), N($AQ$62:$AQ$66&gt;$AO922)),
SUMPRODUCT(INDEX($AR$47:$AT$56,,$AI922), INDEX($AU$47:$BA$56,,$AH922), 1 / ($BC$47:$BC$56*CU922 + (1-$BC$47:$BC$56)*CQ922), N($AQ$47:$AQ$56&gt;$AO922))
) / 1000</f>
        <v>0</v>
      </c>
      <c r="CW922" s="235" cm="1">
        <f t="array" ref="CW922">$BI922 * IF($AH922&lt;=2,
SUMPRODUCT(INDEX($AR$23:$AT$61,,$AI922), INDEX($AU$23:$BA$61,,$AH922), 1 / ($BB$23:$BB$61*CU922), N($AQ$23:$AQ$61&gt;$AO922)),
SUMPRODUCT(INDEX($AR$23:$AT$46,,$AI922), INDEX($AU$23:$BA$46,,$AH922), 1 / ($BC$23:$BC$46*CU922), N($AQ$23:$AQ$46&gt;$AO922))
) / 1000</f>
        <v>0</v>
      </c>
      <c r="CX922" s="230">
        <f t="shared" si="826"/>
        <v>0</v>
      </c>
      <c r="CY922" s="238"/>
    </row>
    <row r="923" spans="1:103" s="76" customFormat="1" ht="14.25" customHeight="1" x14ac:dyDescent="0.2">
      <c r="A923" s="231" t="b">
        <f t="shared" si="830"/>
        <v>0</v>
      </c>
      <c r="B923" s="245">
        <v>901</v>
      </c>
      <c r="C923" s="258"/>
      <c r="D923" s="258"/>
      <c r="E923" s="246"/>
      <c r="F923" s="247" t="str">
        <f>IF(ISBLANK(E923), "", VLOOKUP(E923, Z!$A$2:$C$4127, 3, FALSE))</f>
        <v/>
      </c>
      <c r="G923" s="248"/>
      <c r="H923" s="248"/>
      <c r="I923" s="249"/>
      <c r="J923" s="250"/>
      <c r="K923" s="259"/>
      <c r="L923" s="260"/>
      <c r="M923" s="252" t="str" cm="1">
        <f t="array" ref="M923">INDEX(Trad, 53, $A$20)</f>
        <v>Verschmutzt</v>
      </c>
      <c r="N923" s="253"/>
      <c r="O923" s="253"/>
      <c r="P923" s="254"/>
      <c r="Q923" s="251"/>
      <c r="R923" s="251"/>
      <c r="S923" s="264">
        <f t="shared" si="801"/>
        <v>0</v>
      </c>
      <c r="T923" s="252" t="str" cm="1">
        <f t="array" ref="T923">INDEX(Trad, 52, $A$20)</f>
        <v>Sauber</v>
      </c>
      <c r="U923" s="253"/>
      <c r="V923" s="253"/>
      <c r="W923" s="254"/>
      <c r="X923" s="251"/>
      <c r="Y923" s="251"/>
      <c r="Z923" s="264">
        <f t="shared" si="802"/>
        <v>0</v>
      </c>
      <c r="AA923" s="261"/>
      <c r="AB923" s="258"/>
      <c r="AC923" s="246"/>
      <c r="AD923" s="247" t="str">
        <f>IF(ISBLANK(AC923), "", VLOOKUP(AC923, Z!$A$2:$C$4127, 3, FALSE))</f>
        <v/>
      </c>
      <c r="AE923" s="262"/>
      <c r="AF923" s="263">
        <f t="shared" si="803"/>
        <v>0</v>
      </c>
      <c r="AG923" s="238"/>
      <c r="AH923" s="229">
        <f t="shared" si="827"/>
        <v>1</v>
      </c>
      <c r="AI923" s="229">
        <f t="shared" si="828"/>
        <v>1</v>
      </c>
      <c r="AJ923" s="229">
        <f t="shared" si="829"/>
        <v>0</v>
      </c>
      <c r="AK923" s="229">
        <v>0</v>
      </c>
      <c r="AL923" s="229">
        <v>0</v>
      </c>
      <c r="AM923" s="229">
        <v>1</v>
      </c>
      <c r="AN923" s="229">
        <v>0</v>
      </c>
      <c r="AO923" s="229">
        <f t="shared" si="804"/>
        <v>-100</v>
      </c>
      <c r="AP923" s="238"/>
      <c r="AQ923" s="255"/>
      <c r="AR923" s="255"/>
      <c r="AS923" s="256"/>
      <c r="AT923" s="256"/>
      <c r="AU923" s="256"/>
      <c r="AV923" s="256"/>
      <c r="AW923" s="256"/>
      <c r="AX923" s="256"/>
      <c r="AY923" s="256"/>
      <c r="AZ923" s="256"/>
      <c r="BA923" s="256"/>
      <c r="BB923" s="256"/>
      <c r="BC923" s="256"/>
      <c r="BD923" s="238"/>
      <c r="BE923" s="229" cm="1">
        <f t="array" ref="BE923">IF(ISBLANK(R923), INDEX(Use, $AH923, 4) - AM923*INDEX(Use, $AH923, 6), R923)</f>
        <v>5</v>
      </c>
      <c r="BF923" s="229">
        <f t="shared" si="805"/>
        <v>30</v>
      </c>
      <c r="BG923" s="229">
        <f t="shared" si="831"/>
        <v>13</v>
      </c>
      <c r="BH923" s="229">
        <f t="shared" si="832"/>
        <v>0</v>
      </c>
      <c r="BI923" s="234" cm="1">
        <f t="array" ref="BI923">K923/IF($L923&gt;0, INDEX($AU$23:$BA$77, $L923+20, $AH923), 1)</f>
        <v>0</v>
      </c>
      <c r="BJ923" s="230">
        <f t="shared" si="806"/>
        <v>0</v>
      </c>
      <c r="BK923" s="229">
        <v>35</v>
      </c>
      <c r="BL923" s="230">
        <f t="shared" si="807"/>
        <v>48</v>
      </c>
      <c r="BM923" s="235">
        <f t="shared" si="808"/>
        <v>2.9108720930232557</v>
      </c>
      <c r="BN923" s="235" cm="1">
        <f t="array" ref="BN923">$BI923 * SUMPRODUCT(INDEX($AR$77:$AT$82,,$AI923),INDEX($AU$77:$BA$82,,$AH923), N($AQ$77:$AQ$82&gt;$AO923)) / BM923 / 1000</f>
        <v>0</v>
      </c>
      <c r="BO923" s="232">
        <f t="shared" si="833"/>
        <v>30</v>
      </c>
      <c r="BP923" s="230">
        <f t="shared" si="809"/>
        <v>43</v>
      </c>
      <c r="BQ923" s="235">
        <f t="shared" si="810"/>
        <v>3.2938815789473681</v>
      </c>
      <c r="BR923" s="235" cm="1">
        <f t="array" ref="BR923">$BI923 * IF($AH923&lt;=2,
SUMPRODUCT(INDEX($AR$72:$AT$76,,$AI923), INDEX($AU$72:$BA$76,,$AH923), 1 / ($BB$72:$BB$76*BQ923 + (1-$BB$72:$BB$76)*BM923), N($AQ$72:$AQ$76&gt;$AO923)),
SUMPRODUCT(INDEX($AR$67:$AT$76,,$AI923), INDEX($AU$67:$BA$76,,$AH923), 1 / ($BC$67:$BC$76*BQ923 + (1-$BC$67:$BC$76)*BM923), N($AQ$67:$AQ$76&gt;$AO923))
) / 1000</f>
        <v>0</v>
      </c>
      <c r="BS923" s="232">
        <f t="shared" si="834"/>
        <v>25</v>
      </c>
      <c r="BT923" s="230">
        <f t="shared" si="811"/>
        <v>38</v>
      </c>
      <c r="BU923" s="235">
        <f t="shared" si="812"/>
        <v>3.792954545454545</v>
      </c>
      <c r="BV923" s="235" cm="1">
        <f t="array" ref="BV923">$BI923 * IF($AH923&lt;=2,
SUMPRODUCT(INDEX($AR$67:$AT$71,,$AI923), INDEX($AU$67:$BA$71,,$AH923), 1 / ($BB$67:$BB$71*BU923 + (1-$BB$67:$BB$71)*BQ923), N($AQ$67:$AQ$71&gt;$AO923)),
SUMPRODUCT(INDEX($AR$57:$AT$66,,$AI923), INDEX($AU$57:$BA$66,,$AH923), 1 / ($BC$57:$BC$66*BU923 + (1-$BC$57:$BC$66)*BQ923), N($AQ$57:$AQ$66&gt;$AO923))
) / 1000</f>
        <v>0</v>
      </c>
      <c r="BW923" s="232">
        <f t="shared" si="835"/>
        <v>20</v>
      </c>
      <c r="BX923" s="230">
        <f t="shared" si="813"/>
        <v>33</v>
      </c>
      <c r="BY923" s="235">
        <f t="shared" si="814"/>
        <v>4.4702678571428569</v>
      </c>
      <c r="BZ923" s="235" cm="1">
        <f t="array" ref="BZ923">$BI923 * IF($AH923&lt;=2,
SUMPRODUCT(INDEX($AR$62:$AT$66,,$AI923), INDEX($AU$62:$BA$66,,$AH923), 1 / ($BB$62:$BB$66*BY923 + (1-$BB$62:$BB$66)*BU923), N($AQ$62:$AQ$66&gt;$AO923)),
SUMPRODUCT(INDEX($AR$47:$AT$56,,$AI923), INDEX($AU$47:$BA$56,,$AH923), 1 / ($BC$47:$BC$56*BY923 + (1-$BC$47:$BC$56)*BU923), N($AQ$47:$AQ$56&gt;$AO923))
) / 1000</f>
        <v>0</v>
      </c>
      <c r="CA923" s="235" cm="1">
        <f t="array" ref="CA923">$BI923 * IF($AH923&lt;=2,
SUMPRODUCT(INDEX($AR$23:$AT$61,,$AI923), INDEX($AU$23:$BA$61,,$AH923), 1 / ($BB$23:$BB$61*BY923), N($AQ$23:$AQ$61&gt;$AO923)),
SUMPRODUCT(INDEX($AR$23:$AT$46,,$AI923), INDEX($AU$23:$BA$46,,$AH923), 1 / ($BC$23:$BC$46*BY923), N($AQ$23:$AQ$46&gt;$AO923))
) / 1000</f>
        <v>0</v>
      </c>
      <c r="CB923" s="230">
        <f t="shared" si="815"/>
        <v>0</v>
      </c>
      <c r="CC923" s="238"/>
      <c r="CD923" s="229" cm="1">
        <f t="array" ref="CD923">IF(ISBLANK(Y923), INDEX(Use, $AH923, 4) - AN923*INDEX(Use, $AH923, 6) - (Q923-X923), Y923)</f>
        <v>7</v>
      </c>
      <c r="CE923" s="229">
        <f t="shared" si="816"/>
        <v>32</v>
      </c>
      <c r="CF923" s="230">
        <f t="shared" si="817"/>
        <v>0</v>
      </c>
      <c r="CG923" s="229">
        <v>35</v>
      </c>
      <c r="CH923" s="230">
        <f t="shared" si="818"/>
        <v>48</v>
      </c>
      <c r="CI923" s="235">
        <f t="shared" si="819"/>
        <v>3.0748170731707316</v>
      </c>
      <c r="CJ923" s="235" cm="1">
        <f t="array" ref="CJ923">$BI923 * SUMPRODUCT(INDEX($AR$77:$AT$82,,$AI923),INDEX($AU$77:$BA$82,,$AH923), N($AQ$77:$AQ$82&gt;$AO923)) / CI923 / 1000</f>
        <v>0</v>
      </c>
      <c r="CK923" s="232">
        <f t="shared" si="836"/>
        <v>30</v>
      </c>
      <c r="CL923" s="230">
        <f t="shared" si="820"/>
        <v>43</v>
      </c>
      <c r="CM923" s="235">
        <f t="shared" si="821"/>
        <v>3.5018750000000001</v>
      </c>
      <c r="CN923" s="235" cm="1">
        <f t="array" ref="CN923">$BI923 * IF($AH923&lt;=2,
SUMPRODUCT(INDEX($AR$72:$AT$76,,$AI923), INDEX($AU$72:$BA$76,,$AH923), 1 / ($BB$72:$BB$76*CM923 + (1-$BB$72:$BB$76)*CI923), N($AQ$72:$AQ$76&gt;$AO923)),
SUMPRODUCT(INDEX($AR$67:$AT$76,,$AI923), INDEX($AU$67:$BA$76,,$AH923), 1 / ($BC$67:$BC$76*CM923 + (1-$BC$67:$BC$76)*CI923), N($AQ$67:$AQ$76&gt;$AO923))
) / 1000</f>
        <v>0</v>
      </c>
      <c r="CO923" s="232">
        <f t="shared" si="837"/>
        <v>25</v>
      </c>
      <c r="CP923" s="230">
        <f t="shared" si="822"/>
        <v>38</v>
      </c>
      <c r="CQ923" s="235">
        <f t="shared" si="823"/>
        <v>4.0666935483870965</v>
      </c>
      <c r="CR923" s="235" cm="1">
        <f t="array" ref="CR923">$BI923 * IF($AH923&lt;=2,
SUMPRODUCT(INDEX($AR$67:$AT$71,,$AI923), INDEX($AU$67:$BA$71,,$AH923), 1 / ($BB$67:$BB$71*CQ923 + (1-$BB$67:$BB$71)*CM923), N($AQ$67:$AQ$71&gt;$AO923)),
SUMPRODUCT(INDEX($AR$57:$AT$66,,$AI923), INDEX($AU$57:$BA$66,,$AH923), 1 / ($BC$57:$BC$66*CQ923 + (1-$BC$57:$BC$66)*CM923), N($AQ$57:$AQ$66&gt;$AO923))
) / 1000</f>
        <v>0</v>
      </c>
      <c r="CS923" s="232">
        <f t="shared" si="838"/>
        <v>20</v>
      </c>
      <c r="CT923" s="230">
        <f t="shared" si="824"/>
        <v>33</v>
      </c>
      <c r="CU923" s="235">
        <f t="shared" si="825"/>
        <v>4.8487499999999999</v>
      </c>
      <c r="CV923" s="235" cm="1">
        <f t="array" ref="CV923">$BI923 * IF($AH923&lt;=2,
SUMPRODUCT(INDEX($AR$62:$AT$66,,$AI923), INDEX($AU$62:$BA$66,,$AH923), 1 / ($BB$62:$BB$66*CU923 + (1-$BB$62:$BB$66)*CQ923), N($AQ$62:$AQ$66&gt;$AO923)),
SUMPRODUCT(INDEX($AR$47:$AT$56,,$AI923), INDEX($AU$47:$BA$56,,$AH923), 1 / ($BC$47:$BC$56*CU923 + (1-$BC$47:$BC$56)*CQ923), N($AQ$47:$AQ$56&gt;$AO923))
) / 1000</f>
        <v>0</v>
      </c>
      <c r="CW923" s="235" cm="1">
        <f t="array" ref="CW923">$BI923 * IF($AH923&lt;=2,
SUMPRODUCT(INDEX($AR$23:$AT$61,,$AI923), INDEX($AU$23:$BA$61,,$AH923), 1 / ($BB$23:$BB$61*CU923), N($AQ$23:$AQ$61&gt;$AO923)),
SUMPRODUCT(INDEX($AR$23:$AT$46,,$AI923), INDEX($AU$23:$BA$46,,$AH923), 1 / ($BC$23:$BC$46*CU923), N($AQ$23:$AQ$46&gt;$AO923))
) / 1000</f>
        <v>0</v>
      </c>
      <c r="CX923" s="230">
        <f t="shared" si="826"/>
        <v>0</v>
      </c>
      <c r="CY923" s="238"/>
    </row>
    <row r="924" spans="1:103" s="76" customFormat="1" ht="14.25" customHeight="1" x14ac:dyDescent="0.2">
      <c r="A924" s="231" t="b">
        <f t="shared" si="830"/>
        <v>0</v>
      </c>
      <c r="B924" s="245">
        <v>902</v>
      </c>
      <c r="C924" s="258"/>
      <c r="D924" s="258"/>
      <c r="E924" s="246"/>
      <c r="F924" s="247" t="str">
        <f>IF(ISBLANK(E924), "", VLOOKUP(E924, Z!$A$2:$C$4127, 3, FALSE))</f>
        <v/>
      </c>
      <c r="G924" s="248"/>
      <c r="H924" s="248"/>
      <c r="I924" s="249"/>
      <c r="J924" s="250"/>
      <c r="K924" s="259"/>
      <c r="L924" s="260"/>
      <c r="M924" s="252" t="str" cm="1">
        <f t="array" ref="M924">INDEX(Trad, 53, $A$20)</f>
        <v>Verschmutzt</v>
      </c>
      <c r="N924" s="253"/>
      <c r="O924" s="253"/>
      <c r="P924" s="254"/>
      <c r="Q924" s="251"/>
      <c r="R924" s="251"/>
      <c r="S924" s="264">
        <f t="shared" si="801"/>
        <v>0</v>
      </c>
      <c r="T924" s="252" t="str" cm="1">
        <f t="array" ref="T924">INDEX(Trad, 52, $A$20)</f>
        <v>Sauber</v>
      </c>
      <c r="U924" s="253"/>
      <c r="V924" s="253"/>
      <c r="W924" s="254"/>
      <c r="X924" s="251"/>
      <c r="Y924" s="251"/>
      <c r="Z924" s="264">
        <f t="shared" si="802"/>
        <v>0</v>
      </c>
      <c r="AA924" s="261"/>
      <c r="AB924" s="258"/>
      <c r="AC924" s="246"/>
      <c r="AD924" s="247" t="str">
        <f>IF(ISBLANK(AC924), "", VLOOKUP(AC924, Z!$A$2:$C$4127, 3, FALSE))</f>
        <v/>
      </c>
      <c r="AE924" s="262"/>
      <c r="AF924" s="263">
        <f t="shared" si="803"/>
        <v>0</v>
      </c>
      <c r="AG924" s="238"/>
      <c r="AH924" s="229">
        <f t="shared" si="827"/>
        <v>1</v>
      </c>
      <c r="AI924" s="229">
        <f t="shared" si="828"/>
        <v>1</v>
      </c>
      <c r="AJ924" s="229">
        <f t="shared" si="829"/>
        <v>0</v>
      </c>
      <c r="AK924" s="229">
        <v>0</v>
      </c>
      <c r="AL924" s="229">
        <v>0</v>
      </c>
      <c r="AM924" s="229">
        <v>1</v>
      </c>
      <c r="AN924" s="229">
        <v>0</v>
      </c>
      <c r="AO924" s="229">
        <f t="shared" si="804"/>
        <v>-100</v>
      </c>
      <c r="AP924" s="238"/>
      <c r="AQ924" s="255"/>
      <c r="AR924" s="255"/>
      <c r="AS924" s="256"/>
      <c r="AT924" s="256"/>
      <c r="AU924" s="256"/>
      <c r="AV924" s="256"/>
      <c r="AW924" s="256"/>
      <c r="AX924" s="256"/>
      <c r="AY924" s="256"/>
      <c r="AZ924" s="256"/>
      <c r="BA924" s="256"/>
      <c r="BB924" s="256"/>
      <c r="BC924" s="256"/>
      <c r="BD924" s="238"/>
      <c r="BE924" s="229" cm="1">
        <f t="array" ref="BE924">IF(ISBLANK(R924), INDEX(Use, $AH924, 4) - AM924*INDEX(Use, $AH924, 6), R924)</f>
        <v>5</v>
      </c>
      <c r="BF924" s="229">
        <f t="shared" si="805"/>
        <v>30</v>
      </c>
      <c r="BG924" s="229">
        <f t="shared" si="831"/>
        <v>13</v>
      </c>
      <c r="BH924" s="229">
        <f t="shared" si="832"/>
        <v>0</v>
      </c>
      <c r="BI924" s="234" cm="1">
        <f t="array" ref="BI924">K924/IF($L924&gt;0, INDEX($AU$23:$BA$77, $L924+20, $AH924), 1)</f>
        <v>0</v>
      </c>
      <c r="BJ924" s="230">
        <f t="shared" si="806"/>
        <v>0</v>
      </c>
      <c r="BK924" s="229">
        <v>35</v>
      </c>
      <c r="BL924" s="230">
        <f t="shared" si="807"/>
        <v>48</v>
      </c>
      <c r="BM924" s="235">
        <f t="shared" si="808"/>
        <v>2.9108720930232557</v>
      </c>
      <c r="BN924" s="235" cm="1">
        <f t="array" ref="BN924">$BI924 * SUMPRODUCT(INDEX($AR$77:$AT$82,,$AI924),INDEX($AU$77:$BA$82,,$AH924), N($AQ$77:$AQ$82&gt;$AO924)) / BM924 / 1000</f>
        <v>0</v>
      </c>
      <c r="BO924" s="232">
        <f t="shared" si="833"/>
        <v>30</v>
      </c>
      <c r="BP924" s="230">
        <f t="shared" si="809"/>
        <v>43</v>
      </c>
      <c r="BQ924" s="235">
        <f t="shared" si="810"/>
        <v>3.2938815789473681</v>
      </c>
      <c r="BR924" s="235" cm="1">
        <f t="array" ref="BR924">$BI924 * IF($AH924&lt;=2,
SUMPRODUCT(INDEX($AR$72:$AT$76,,$AI924), INDEX($AU$72:$BA$76,,$AH924), 1 / ($BB$72:$BB$76*BQ924 + (1-$BB$72:$BB$76)*BM924), N($AQ$72:$AQ$76&gt;$AO924)),
SUMPRODUCT(INDEX($AR$67:$AT$76,,$AI924), INDEX($AU$67:$BA$76,,$AH924), 1 / ($BC$67:$BC$76*BQ924 + (1-$BC$67:$BC$76)*BM924), N($AQ$67:$AQ$76&gt;$AO924))
) / 1000</f>
        <v>0</v>
      </c>
      <c r="BS924" s="232">
        <f t="shared" si="834"/>
        <v>25</v>
      </c>
      <c r="BT924" s="230">
        <f t="shared" si="811"/>
        <v>38</v>
      </c>
      <c r="BU924" s="235">
        <f t="shared" si="812"/>
        <v>3.792954545454545</v>
      </c>
      <c r="BV924" s="235" cm="1">
        <f t="array" ref="BV924">$BI924 * IF($AH924&lt;=2,
SUMPRODUCT(INDEX($AR$67:$AT$71,,$AI924), INDEX($AU$67:$BA$71,,$AH924), 1 / ($BB$67:$BB$71*BU924 + (1-$BB$67:$BB$71)*BQ924), N($AQ$67:$AQ$71&gt;$AO924)),
SUMPRODUCT(INDEX($AR$57:$AT$66,,$AI924), INDEX($AU$57:$BA$66,,$AH924), 1 / ($BC$57:$BC$66*BU924 + (1-$BC$57:$BC$66)*BQ924), N($AQ$57:$AQ$66&gt;$AO924))
) / 1000</f>
        <v>0</v>
      </c>
      <c r="BW924" s="232">
        <f t="shared" si="835"/>
        <v>20</v>
      </c>
      <c r="BX924" s="230">
        <f t="shared" si="813"/>
        <v>33</v>
      </c>
      <c r="BY924" s="235">
        <f t="shared" si="814"/>
        <v>4.4702678571428569</v>
      </c>
      <c r="BZ924" s="235" cm="1">
        <f t="array" ref="BZ924">$BI924 * IF($AH924&lt;=2,
SUMPRODUCT(INDEX($AR$62:$AT$66,,$AI924), INDEX($AU$62:$BA$66,,$AH924), 1 / ($BB$62:$BB$66*BY924 + (1-$BB$62:$BB$66)*BU924), N($AQ$62:$AQ$66&gt;$AO924)),
SUMPRODUCT(INDEX($AR$47:$AT$56,,$AI924), INDEX($AU$47:$BA$56,,$AH924), 1 / ($BC$47:$BC$56*BY924 + (1-$BC$47:$BC$56)*BU924), N($AQ$47:$AQ$56&gt;$AO924))
) / 1000</f>
        <v>0</v>
      </c>
      <c r="CA924" s="235" cm="1">
        <f t="array" ref="CA924">$BI924 * IF($AH924&lt;=2,
SUMPRODUCT(INDEX($AR$23:$AT$61,,$AI924), INDEX($AU$23:$BA$61,,$AH924), 1 / ($BB$23:$BB$61*BY924), N($AQ$23:$AQ$61&gt;$AO924)),
SUMPRODUCT(INDEX($AR$23:$AT$46,,$AI924), INDEX($AU$23:$BA$46,,$AH924), 1 / ($BC$23:$BC$46*BY924), N($AQ$23:$AQ$46&gt;$AO924))
) / 1000</f>
        <v>0</v>
      </c>
      <c r="CB924" s="230">
        <f t="shared" si="815"/>
        <v>0</v>
      </c>
      <c r="CC924" s="238"/>
      <c r="CD924" s="229" cm="1">
        <f t="array" ref="CD924">IF(ISBLANK(Y924), INDEX(Use, $AH924, 4) - AN924*INDEX(Use, $AH924, 6) - (Q924-X924), Y924)</f>
        <v>7</v>
      </c>
      <c r="CE924" s="229">
        <f t="shared" si="816"/>
        <v>32</v>
      </c>
      <c r="CF924" s="230">
        <f t="shared" si="817"/>
        <v>0</v>
      </c>
      <c r="CG924" s="229">
        <v>35</v>
      </c>
      <c r="CH924" s="230">
        <f t="shared" si="818"/>
        <v>48</v>
      </c>
      <c r="CI924" s="235">
        <f t="shared" si="819"/>
        <v>3.0748170731707316</v>
      </c>
      <c r="CJ924" s="235" cm="1">
        <f t="array" ref="CJ924">$BI924 * SUMPRODUCT(INDEX($AR$77:$AT$82,,$AI924),INDEX($AU$77:$BA$82,,$AH924), N($AQ$77:$AQ$82&gt;$AO924)) / CI924 / 1000</f>
        <v>0</v>
      </c>
      <c r="CK924" s="232">
        <f t="shared" si="836"/>
        <v>30</v>
      </c>
      <c r="CL924" s="230">
        <f t="shared" si="820"/>
        <v>43</v>
      </c>
      <c r="CM924" s="235">
        <f t="shared" si="821"/>
        <v>3.5018750000000001</v>
      </c>
      <c r="CN924" s="235" cm="1">
        <f t="array" ref="CN924">$BI924 * IF($AH924&lt;=2,
SUMPRODUCT(INDEX($AR$72:$AT$76,,$AI924), INDEX($AU$72:$BA$76,,$AH924), 1 / ($BB$72:$BB$76*CM924 + (1-$BB$72:$BB$76)*CI924), N($AQ$72:$AQ$76&gt;$AO924)),
SUMPRODUCT(INDEX($AR$67:$AT$76,,$AI924), INDEX($AU$67:$BA$76,,$AH924), 1 / ($BC$67:$BC$76*CM924 + (1-$BC$67:$BC$76)*CI924), N($AQ$67:$AQ$76&gt;$AO924))
) / 1000</f>
        <v>0</v>
      </c>
      <c r="CO924" s="232">
        <f t="shared" si="837"/>
        <v>25</v>
      </c>
      <c r="CP924" s="230">
        <f t="shared" si="822"/>
        <v>38</v>
      </c>
      <c r="CQ924" s="235">
        <f t="shared" si="823"/>
        <v>4.0666935483870965</v>
      </c>
      <c r="CR924" s="235" cm="1">
        <f t="array" ref="CR924">$BI924 * IF($AH924&lt;=2,
SUMPRODUCT(INDEX($AR$67:$AT$71,,$AI924), INDEX($AU$67:$BA$71,,$AH924), 1 / ($BB$67:$BB$71*CQ924 + (1-$BB$67:$BB$71)*CM924), N($AQ$67:$AQ$71&gt;$AO924)),
SUMPRODUCT(INDEX($AR$57:$AT$66,,$AI924), INDEX($AU$57:$BA$66,,$AH924), 1 / ($BC$57:$BC$66*CQ924 + (1-$BC$57:$BC$66)*CM924), N($AQ$57:$AQ$66&gt;$AO924))
) / 1000</f>
        <v>0</v>
      </c>
      <c r="CS924" s="232">
        <f t="shared" si="838"/>
        <v>20</v>
      </c>
      <c r="CT924" s="230">
        <f t="shared" si="824"/>
        <v>33</v>
      </c>
      <c r="CU924" s="235">
        <f t="shared" si="825"/>
        <v>4.8487499999999999</v>
      </c>
      <c r="CV924" s="235" cm="1">
        <f t="array" ref="CV924">$BI924 * IF($AH924&lt;=2,
SUMPRODUCT(INDEX($AR$62:$AT$66,,$AI924), INDEX($AU$62:$BA$66,,$AH924), 1 / ($BB$62:$BB$66*CU924 + (1-$BB$62:$BB$66)*CQ924), N($AQ$62:$AQ$66&gt;$AO924)),
SUMPRODUCT(INDEX($AR$47:$AT$56,,$AI924), INDEX($AU$47:$BA$56,,$AH924), 1 / ($BC$47:$BC$56*CU924 + (1-$BC$47:$BC$56)*CQ924), N($AQ$47:$AQ$56&gt;$AO924))
) / 1000</f>
        <v>0</v>
      </c>
      <c r="CW924" s="235" cm="1">
        <f t="array" ref="CW924">$BI924 * IF($AH924&lt;=2,
SUMPRODUCT(INDEX($AR$23:$AT$61,,$AI924), INDEX($AU$23:$BA$61,,$AH924), 1 / ($BB$23:$BB$61*CU924), N($AQ$23:$AQ$61&gt;$AO924)),
SUMPRODUCT(INDEX($AR$23:$AT$46,,$AI924), INDEX($AU$23:$BA$46,,$AH924), 1 / ($BC$23:$BC$46*CU924), N($AQ$23:$AQ$46&gt;$AO924))
) / 1000</f>
        <v>0</v>
      </c>
      <c r="CX924" s="230">
        <f t="shared" si="826"/>
        <v>0</v>
      </c>
      <c r="CY924" s="238"/>
    </row>
    <row r="925" spans="1:103" s="76" customFormat="1" ht="14.25" customHeight="1" x14ac:dyDescent="0.2">
      <c r="A925" s="231" t="b">
        <f t="shared" si="830"/>
        <v>0</v>
      </c>
      <c r="B925" s="245">
        <v>903</v>
      </c>
      <c r="C925" s="258"/>
      <c r="D925" s="258"/>
      <c r="E925" s="246"/>
      <c r="F925" s="247" t="str">
        <f>IF(ISBLANK(E925), "", VLOOKUP(E925, Z!$A$2:$C$4127, 3, FALSE))</f>
        <v/>
      </c>
      <c r="G925" s="248"/>
      <c r="H925" s="248"/>
      <c r="I925" s="249"/>
      <c r="J925" s="250"/>
      <c r="K925" s="259"/>
      <c r="L925" s="260"/>
      <c r="M925" s="252" t="str" cm="1">
        <f t="array" ref="M925">INDEX(Trad, 53, $A$20)</f>
        <v>Verschmutzt</v>
      </c>
      <c r="N925" s="253"/>
      <c r="O925" s="253"/>
      <c r="P925" s="254"/>
      <c r="Q925" s="251"/>
      <c r="R925" s="251"/>
      <c r="S925" s="264">
        <f t="shared" si="801"/>
        <v>0</v>
      </c>
      <c r="T925" s="252" t="str" cm="1">
        <f t="array" ref="T925">INDEX(Trad, 52, $A$20)</f>
        <v>Sauber</v>
      </c>
      <c r="U925" s="253"/>
      <c r="V925" s="253"/>
      <c r="W925" s="254"/>
      <c r="X925" s="251"/>
      <c r="Y925" s="251"/>
      <c r="Z925" s="264">
        <f t="shared" si="802"/>
        <v>0</v>
      </c>
      <c r="AA925" s="261"/>
      <c r="AB925" s="258"/>
      <c r="AC925" s="246"/>
      <c r="AD925" s="247" t="str">
        <f>IF(ISBLANK(AC925), "", VLOOKUP(AC925, Z!$A$2:$C$4127, 3, FALSE))</f>
        <v/>
      </c>
      <c r="AE925" s="262"/>
      <c r="AF925" s="263">
        <f t="shared" si="803"/>
        <v>0</v>
      </c>
      <c r="AG925" s="238"/>
      <c r="AH925" s="229">
        <f t="shared" si="827"/>
        <v>1</v>
      </c>
      <c r="AI925" s="229">
        <f t="shared" si="828"/>
        <v>1</v>
      </c>
      <c r="AJ925" s="229">
        <f t="shared" si="829"/>
        <v>0</v>
      </c>
      <c r="AK925" s="229">
        <v>0</v>
      </c>
      <c r="AL925" s="229">
        <v>0</v>
      </c>
      <c r="AM925" s="229">
        <v>1</v>
      </c>
      <c r="AN925" s="229">
        <v>0</v>
      </c>
      <c r="AO925" s="229">
        <f t="shared" si="804"/>
        <v>-100</v>
      </c>
      <c r="AP925" s="238"/>
      <c r="AQ925" s="255"/>
      <c r="AR925" s="255"/>
      <c r="AS925" s="256"/>
      <c r="AT925" s="256"/>
      <c r="AU925" s="256"/>
      <c r="AV925" s="256"/>
      <c r="AW925" s="256"/>
      <c r="AX925" s="256"/>
      <c r="AY925" s="256"/>
      <c r="AZ925" s="256"/>
      <c r="BA925" s="256"/>
      <c r="BB925" s="256"/>
      <c r="BC925" s="256"/>
      <c r="BD925" s="238"/>
      <c r="BE925" s="229" cm="1">
        <f t="array" ref="BE925">IF(ISBLANK(R925), INDEX(Use, $AH925, 4) - AM925*INDEX(Use, $AH925, 6), R925)</f>
        <v>5</v>
      </c>
      <c r="BF925" s="229">
        <f t="shared" si="805"/>
        <v>30</v>
      </c>
      <c r="BG925" s="229">
        <f t="shared" si="831"/>
        <v>13</v>
      </c>
      <c r="BH925" s="229">
        <f t="shared" si="832"/>
        <v>0</v>
      </c>
      <c r="BI925" s="234" cm="1">
        <f t="array" ref="BI925">K925/IF($L925&gt;0, INDEX($AU$23:$BA$77, $L925+20, $AH925), 1)</f>
        <v>0</v>
      </c>
      <c r="BJ925" s="230">
        <f t="shared" si="806"/>
        <v>0</v>
      </c>
      <c r="BK925" s="229">
        <v>35</v>
      </c>
      <c r="BL925" s="230">
        <f t="shared" si="807"/>
        <v>48</v>
      </c>
      <c r="BM925" s="235">
        <f t="shared" si="808"/>
        <v>2.9108720930232557</v>
      </c>
      <c r="BN925" s="235" cm="1">
        <f t="array" ref="BN925">$BI925 * SUMPRODUCT(INDEX($AR$77:$AT$82,,$AI925),INDEX($AU$77:$BA$82,,$AH925), N($AQ$77:$AQ$82&gt;$AO925)) / BM925 / 1000</f>
        <v>0</v>
      </c>
      <c r="BO925" s="232">
        <f t="shared" si="833"/>
        <v>30</v>
      </c>
      <c r="BP925" s="230">
        <f t="shared" si="809"/>
        <v>43</v>
      </c>
      <c r="BQ925" s="235">
        <f t="shared" si="810"/>
        <v>3.2938815789473681</v>
      </c>
      <c r="BR925" s="235" cm="1">
        <f t="array" ref="BR925">$BI925 * IF($AH925&lt;=2,
SUMPRODUCT(INDEX($AR$72:$AT$76,,$AI925), INDEX($AU$72:$BA$76,,$AH925), 1 / ($BB$72:$BB$76*BQ925 + (1-$BB$72:$BB$76)*BM925), N($AQ$72:$AQ$76&gt;$AO925)),
SUMPRODUCT(INDEX($AR$67:$AT$76,,$AI925), INDEX($AU$67:$BA$76,,$AH925), 1 / ($BC$67:$BC$76*BQ925 + (1-$BC$67:$BC$76)*BM925), N($AQ$67:$AQ$76&gt;$AO925))
) / 1000</f>
        <v>0</v>
      </c>
      <c r="BS925" s="232">
        <f t="shared" si="834"/>
        <v>25</v>
      </c>
      <c r="BT925" s="230">
        <f t="shared" si="811"/>
        <v>38</v>
      </c>
      <c r="BU925" s="235">
        <f t="shared" si="812"/>
        <v>3.792954545454545</v>
      </c>
      <c r="BV925" s="235" cm="1">
        <f t="array" ref="BV925">$BI925 * IF($AH925&lt;=2,
SUMPRODUCT(INDEX($AR$67:$AT$71,,$AI925), INDEX($AU$67:$BA$71,,$AH925), 1 / ($BB$67:$BB$71*BU925 + (1-$BB$67:$BB$71)*BQ925), N($AQ$67:$AQ$71&gt;$AO925)),
SUMPRODUCT(INDEX($AR$57:$AT$66,,$AI925), INDEX($AU$57:$BA$66,,$AH925), 1 / ($BC$57:$BC$66*BU925 + (1-$BC$57:$BC$66)*BQ925), N($AQ$57:$AQ$66&gt;$AO925))
) / 1000</f>
        <v>0</v>
      </c>
      <c r="BW925" s="232">
        <f t="shared" si="835"/>
        <v>20</v>
      </c>
      <c r="BX925" s="230">
        <f t="shared" si="813"/>
        <v>33</v>
      </c>
      <c r="BY925" s="235">
        <f t="shared" si="814"/>
        <v>4.4702678571428569</v>
      </c>
      <c r="BZ925" s="235" cm="1">
        <f t="array" ref="BZ925">$BI925 * IF($AH925&lt;=2,
SUMPRODUCT(INDEX($AR$62:$AT$66,,$AI925), INDEX($AU$62:$BA$66,,$AH925), 1 / ($BB$62:$BB$66*BY925 + (1-$BB$62:$BB$66)*BU925), N($AQ$62:$AQ$66&gt;$AO925)),
SUMPRODUCT(INDEX($AR$47:$AT$56,,$AI925), INDEX($AU$47:$BA$56,,$AH925), 1 / ($BC$47:$BC$56*BY925 + (1-$BC$47:$BC$56)*BU925), N($AQ$47:$AQ$56&gt;$AO925))
) / 1000</f>
        <v>0</v>
      </c>
      <c r="CA925" s="235" cm="1">
        <f t="array" ref="CA925">$BI925 * IF($AH925&lt;=2,
SUMPRODUCT(INDEX($AR$23:$AT$61,,$AI925), INDEX($AU$23:$BA$61,,$AH925), 1 / ($BB$23:$BB$61*BY925), N($AQ$23:$AQ$61&gt;$AO925)),
SUMPRODUCT(INDEX($AR$23:$AT$46,,$AI925), INDEX($AU$23:$BA$46,,$AH925), 1 / ($BC$23:$BC$46*BY925), N($AQ$23:$AQ$46&gt;$AO925))
) / 1000</f>
        <v>0</v>
      </c>
      <c r="CB925" s="230">
        <f t="shared" si="815"/>
        <v>0</v>
      </c>
      <c r="CC925" s="238"/>
      <c r="CD925" s="229" cm="1">
        <f t="array" ref="CD925">IF(ISBLANK(Y925), INDEX(Use, $AH925, 4) - AN925*INDEX(Use, $AH925, 6) - (Q925-X925), Y925)</f>
        <v>7</v>
      </c>
      <c r="CE925" s="229">
        <f t="shared" si="816"/>
        <v>32</v>
      </c>
      <c r="CF925" s="230">
        <f t="shared" si="817"/>
        <v>0</v>
      </c>
      <c r="CG925" s="229">
        <v>35</v>
      </c>
      <c r="CH925" s="230">
        <f t="shared" si="818"/>
        <v>48</v>
      </c>
      <c r="CI925" s="235">
        <f t="shared" si="819"/>
        <v>3.0748170731707316</v>
      </c>
      <c r="CJ925" s="235" cm="1">
        <f t="array" ref="CJ925">$BI925 * SUMPRODUCT(INDEX($AR$77:$AT$82,,$AI925),INDEX($AU$77:$BA$82,,$AH925), N($AQ$77:$AQ$82&gt;$AO925)) / CI925 / 1000</f>
        <v>0</v>
      </c>
      <c r="CK925" s="232">
        <f t="shared" si="836"/>
        <v>30</v>
      </c>
      <c r="CL925" s="230">
        <f t="shared" si="820"/>
        <v>43</v>
      </c>
      <c r="CM925" s="235">
        <f t="shared" si="821"/>
        <v>3.5018750000000001</v>
      </c>
      <c r="CN925" s="235" cm="1">
        <f t="array" ref="CN925">$BI925 * IF($AH925&lt;=2,
SUMPRODUCT(INDEX($AR$72:$AT$76,,$AI925), INDEX($AU$72:$BA$76,,$AH925), 1 / ($BB$72:$BB$76*CM925 + (1-$BB$72:$BB$76)*CI925), N($AQ$72:$AQ$76&gt;$AO925)),
SUMPRODUCT(INDEX($AR$67:$AT$76,,$AI925), INDEX($AU$67:$BA$76,,$AH925), 1 / ($BC$67:$BC$76*CM925 + (1-$BC$67:$BC$76)*CI925), N($AQ$67:$AQ$76&gt;$AO925))
) / 1000</f>
        <v>0</v>
      </c>
      <c r="CO925" s="232">
        <f t="shared" si="837"/>
        <v>25</v>
      </c>
      <c r="CP925" s="230">
        <f t="shared" si="822"/>
        <v>38</v>
      </c>
      <c r="CQ925" s="235">
        <f t="shared" si="823"/>
        <v>4.0666935483870965</v>
      </c>
      <c r="CR925" s="235" cm="1">
        <f t="array" ref="CR925">$BI925 * IF($AH925&lt;=2,
SUMPRODUCT(INDEX($AR$67:$AT$71,,$AI925), INDEX($AU$67:$BA$71,,$AH925), 1 / ($BB$67:$BB$71*CQ925 + (1-$BB$67:$BB$71)*CM925), N($AQ$67:$AQ$71&gt;$AO925)),
SUMPRODUCT(INDEX($AR$57:$AT$66,,$AI925), INDEX($AU$57:$BA$66,,$AH925), 1 / ($BC$57:$BC$66*CQ925 + (1-$BC$57:$BC$66)*CM925), N($AQ$57:$AQ$66&gt;$AO925))
) / 1000</f>
        <v>0</v>
      </c>
      <c r="CS925" s="232">
        <f t="shared" si="838"/>
        <v>20</v>
      </c>
      <c r="CT925" s="230">
        <f t="shared" si="824"/>
        <v>33</v>
      </c>
      <c r="CU925" s="235">
        <f t="shared" si="825"/>
        <v>4.8487499999999999</v>
      </c>
      <c r="CV925" s="235" cm="1">
        <f t="array" ref="CV925">$BI925 * IF($AH925&lt;=2,
SUMPRODUCT(INDEX($AR$62:$AT$66,,$AI925), INDEX($AU$62:$BA$66,,$AH925), 1 / ($BB$62:$BB$66*CU925 + (1-$BB$62:$BB$66)*CQ925), N($AQ$62:$AQ$66&gt;$AO925)),
SUMPRODUCT(INDEX($AR$47:$AT$56,,$AI925), INDEX($AU$47:$BA$56,,$AH925), 1 / ($BC$47:$BC$56*CU925 + (1-$BC$47:$BC$56)*CQ925), N($AQ$47:$AQ$56&gt;$AO925))
) / 1000</f>
        <v>0</v>
      </c>
      <c r="CW925" s="235" cm="1">
        <f t="array" ref="CW925">$BI925 * IF($AH925&lt;=2,
SUMPRODUCT(INDEX($AR$23:$AT$61,,$AI925), INDEX($AU$23:$BA$61,,$AH925), 1 / ($BB$23:$BB$61*CU925), N($AQ$23:$AQ$61&gt;$AO925)),
SUMPRODUCT(INDEX($AR$23:$AT$46,,$AI925), INDEX($AU$23:$BA$46,,$AH925), 1 / ($BC$23:$BC$46*CU925), N($AQ$23:$AQ$46&gt;$AO925))
) / 1000</f>
        <v>0</v>
      </c>
      <c r="CX925" s="230">
        <f t="shared" si="826"/>
        <v>0</v>
      </c>
      <c r="CY925" s="238"/>
    </row>
    <row r="926" spans="1:103" s="76" customFormat="1" ht="14.25" customHeight="1" x14ac:dyDescent="0.2">
      <c r="A926" s="231" t="b">
        <f t="shared" si="830"/>
        <v>0</v>
      </c>
      <c r="B926" s="245">
        <v>904</v>
      </c>
      <c r="C926" s="258"/>
      <c r="D926" s="258"/>
      <c r="E926" s="246"/>
      <c r="F926" s="247" t="str">
        <f>IF(ISBLANK(E926), "", VLOOKUP(E926, Z!$A$2:$C$4127, 3, FALSE))</f>
        <v/>
      </c>
      <c r="G926" s="248"/>
      <c r="H926" s="248"/>
      <c r="I926" s="249"/>
      <c r="J926" s="250"/>
      <c r="K926" s="259"/>
      <c r="L926" s="260"/>
      <c r="M926" s="252" t="str" cm="1">
        <f t="array" ref="M926">INDEX(Trad, 53, $A$20)</f>
        <v>Verschmutzt</v>
      </c>
      <c r="N926" s="253"/>
      <c r="O926" s="253"/>
      <c r="P926" s="254"/>
      <c r="Q926" s="251"/>
      <c r="R926" s="251"/>
      <c r="S926" s="264">
        <f t="shared" si="801"/>
        <v>0</v>
      </c>
      <c r="T926" s="252" t="str" cm="1">
        <f t="array" ref="T926">INDEX(Trad, 52, $A$20)</f>
        <v>Sauber</v>
      </c>
      <c r="U926" s="253"/>
      <c r="V926" s="253"/>
      <c r="W926" s="254"/>
      <c r="X926" s="251"/>
      <c r="Y926" s="251"/>
      <c r="Z926" s="264">
        <f t="shared" si="802"/>
        <v>0</v>
      </c>
      <c r="AA926" s="261"/>
      <c r="AB926" s="258"/>
      <c r="AC926" s="246"/>
      <c r="AD926" s="247" t="str">
        <f>IF(ISBLANK(AC926), "", VLOOKUP(AC926, Z!$A$2:$C$4127, 3, FALSE))</f>
        <v/>
      </c>
      <c r="AE926" s="262"/>
      <c r="AF926" s="263">
        <f t="shared" si="803"/>
        <v>0</v>
      </c>
      <c r="AG926" s="238"/>
      <c r="AH926" s="229">
        <f t="shared" si="827"/>
        <v>1</v>
      </c>
      <c r="AI926" s="229">
        <f t="shared" si="828"/>
        <v>1</v>
      </c>
      <c r="AJ926" s="229">
        <f t="shared" si="829"/>
        <v>0</v>
      </c>
      <c r="AK926" s="229">
        <v>0</v>
      </c>
      <c r="AL926" s="229">
        <v>0</v>
      </c>
      <c r="AM926" s="229">
        <v>1</v>
      </c>
      <c r="AN926" s="229">
        <v>0</v>
      </c>
      <c r="AO926" s="229">
        <f t="shared" si="804"/>
        <v>-100</v>
      </c>
      <c r="AP926" s="238"/>
      <c r="AQ926" s="255"/>
      <c r="AR926" s="255"/>
      <c r="AS926" s="256"/>
      <c r="AT926" s="256"/>
      <c r="AU926" s="256"/>
      <c r="AV926" s="256"/>
      <c r="AW926" s="256"/>
      <c r="AX926" s="256"/>
      <c r="AY926" s="256"/>
      <c r="AZ926" s="256"/>
      <c r="BA926" s="256"/>
      <c r="BB926" s="256"/>
      <c r="BC926" s="256"/>
      <c r="BD926" s="238"/>
      <c r="BE926" s="229" cm="1">
        <f t="array" ref="BE926">IF(ISBLANK(R926), INDEX(Use, $AH926, 4) - AM926*INDEX(Use, $AH926, 6), R926)</f>
        <v>5</v>
      </c>
      <c r="BF926" s="229">
        <f t="shared" si="805"/>
        <v>30</v>
      </c>
      <c r="BG926" s="229">
        <f t="shared" si="831"/>
        <v>13</v>
      </c>
      <c r="BH926" s="229">
        <f t="shared" si="832"/>
        <v>0</v>
      </c>
      <c r="BI926" s="234" cm="1">
        <f t="array" ref="BI926">K926/IF($L926&gt;0, INDEX($AU$23:$BA$77, $L926+20, $AH926), 1)</f>
        <v>0</v>
      </c>
      <c r="BJ926" s="230">
        <f t="shared" si="806"/>
        <v>0</v>
      </c>
      <c r="BK926" s="229">
        <v>35</v>
      </c>
      <c r="BL926" s="230">
        <f t="shared" si="807"/>
        <v>48</v>
      </c>
      <c r="BM926" s="235">
        <f t="shared" si="808"/>
        <v>2.9108720930232557</v>
      </c>
      <c r="BN926" s="235" cm="1">
        <f t="array" ref="BN926">$BI926 * SUMPRODUCT(INDEX($AR$77:$AT$82,,$AI926),INDEX($AU$77:$BA$82,,$AH926), N($AQ$77:$AQ$82&gt;$AO926)) / BM926 / 1000</f>
        <v>0</v>
      </c>
      <c r="BO926" s="232">
        <f t="shared" si="833"/>
        <v>30</v>
      </c>
      <c r="BP926" s="230">
        <f t="shared" si="809"/>
        <v>43</v>
      </c>
      <c r="BQ926" s="235">
        <f t="shared" si="810"/>
        <v>3.2938815789473681</v>
      </c>
      <c r="BR926" s="235" cm="1">
        <f t="array" ref="BR926">$BI926 * IF($AH926&lt;=2,
SUMPRODUCT(INDEX($AR$72:$AT$76,,$AI926), INDEX($AU$72:$BA$76,,$AH926), 1 / ($BB$72:$BB$76*BQ926 + (1-$BB$72:$BB$76)*BM926), N($AQ$72:$AQ$76&gt;$AO926)),
SUMPRODUCT(INDEX($AR$67:$AT$76,,$AI926), INDEX($AU$67:$BA$76,,$AH926), 1 / ($BC$67:$BC$76*BQ926 + (1-$BC$67:$BC$76)*BM926), N($AQ$67:$AQ$76&gt;$AO926))
) / 1000</f>
        <v>0</v>
      </c>
      <c r="BS926" s="232">
        <f t="shared" si="834"/>
        <v>25</v>
      </c>
      <c r="BT926" s="230">
        <f t="shared" si="811"/>
        <v>38</v>
      </c>
      <c r="BU926" s="235">
        <f t="shared" si="812"/>
        <v>3.792954545454545</v>
      </c>
      <c r="BV926" s="235" cm="1">
        <f t="array" ref="BV926">$BI926 * IF($AH926&lt;=2,
SUMPRODUCT(INDEX($AR$67:$AT$71,,$AI926), INDEX($AU$67:$BA$71,,$AH926), 1 / ($BB$67:$BB$71*BU926 + (1-$BB$67:$BB$71)*BQ926), N($AQ$67:$AQ$71&gt;$AO926)),
SUMPRODUCT(INDEX($AR$57:$AT$66,,$AI926), INDEX($AU$57:$BA$66,,$AH926), 1 / ($BC$57:$BC$66*BU926 + (1-$BC$57:$BC$66)*BQ926), N($AQ$57:$AQ$66&gt;$AO926))
) / 1000</f>
        <v>0</v>
      </c>
      <c r="BW926" s="232">
        <f t="shared" si="835"/>
        <v>20</v>
      </c>
      <c r="BX926" s="230">
        <f t="shared" si="813"/>
        <v>33</v>
      </c>
      <c r="BY926" s="235">
        <f t="shared" si="814"/>
        <v>4.4702678571428569</v>
      </c>
      <c r="BZ926" s="235" cm="1">
        <f t="array" ref="BZ926">$BI926 * IF($AH926&lt;=2,
SUMPRODUCT(INDEX($AR$62:$AT$66,,$AI926), INDEX($AU$62:$BA$66,,$AH926), 1 / ($BB$62:$BB$66*BY926 + (1-$BB$62:$BB$66)*BU926), N($AQ$62:$AQ$66&gt;$AO926)),
SUMPRODUCT(INDEX($AR$47:$AT$56,,$AI926), INDEX($AU$47:$BA$56,,$AH926), 1 / ($BC$47:$BC$56*BY926 + (1-$BC$47:$BC$56)*BU926), N($AQ$47:$AQ$56&gt;$AO926))
) / 1000</f>
        <v>0</v>
      </c>
      <c r="CA926" s="235" cm="1">
        <f t="array" ref="CA926">$BI926 * IF($AH926&lt;=2,
SUMPRODUCT(INDEX($AR$23:$AT$61,,$AI926), INDEX($AU$23:$BA$61,,$AH926), 1 / ($BB$23:$BB$61*BY926), N($AQ$23:$AQ$61&gt;$AO926)),
SUMPRODUCT(INDEX($AR$23:$AT$46,,$AI926), INDEX($AU$23:$BA$46,,$AH926), 1 / ($BC$23:$BC$46*BY926), N($AQ$23:$AQ$46&gt;$AO926))
) / 1000</f>
        <v>0</v>
      </c>
      <c r="CB926" s="230">
        <f t="shared" si="815"/>
        <v>0</v>
      </c>
      <c r="CC926" s="238"/>
      <c r="CD926" s="229" cm="1">
        <f t="array" ref="CD926">IF(ISBLANK(Y926), INDEX(Use, $AH926, 4) - AN926*INDEX(Use, $AH926, 6) - (Q926-X926), Y926)</f>
        <v>7</v>
      </c>
      <c r="CE926" s="229">
        <f t="shared" si="816"/>
        <v>32</v>
      </c>
      <c r="CF926" s="230">
        <f t="shared" si="817"/>
        <v>0</v>
      </c>
      <c r="CG926" s="229">
        <v>35</v>
      </c>
      <c r="CH926" s="230">
        <f t="shared" si="818"/>
        <v>48</v>
      </c>
      <c r="CI926" s="235">
        <f t="shared" si="819"/>
        <v>3.0748170731707316</v>
      </c>
      <c r="CJ926" s="235" cm="1">
        <f t="array" ref="CJ926">$BI926 * SUMPRODUCT(INDEX($AR$77:$AT$82,,$AI926),INDEX($AU$77:$BA$82,,$AH926), N($AQ$77:$AQ$82&gt;$AO926)) / CI926 / 1000</f>
        <v>0</v>
      </c>
      <c r="CK926" s="232">
        <f t="shared" si="836"/>
        <v>30</v>
      </c>
      <c r="CL926" s="230">
        <f t="shared" si="820"/>
        <v>43</v>
      </c>
      <c r="CM926" s="235">
        <f t="shared" si="821"/>
        <v>3.5018750000000001</v>
      </c>
      <c r="CN926" s="235" cm="1">
        <f t="array" ref="CN926">$BI926 * IF($AH926&lt;=2,
SUMPRODUCT(INDEX($AR$72:$AT$76,,$AI926), INDEX($AU$72:$BA$76,,$AH926), 1 / ($BB$72:$BB$76*CM926 + (1-$BB$72:$BB$76)*CI926), N($AQ$72:$AQ$76&gt;$AO926)),
SUMPRODUCT(INDEX($AR$67:$AT$76,,$AI926), INDEX($AU$67:$BA$76,,$AH926), 1 / ($BC$67:$BC$76*CM926 + (1-$BC$67:$BC$76)*CI926), N($AQ$67:$AQ$76&gt;$AO926))
) / 1000</f>
        <v>0</v>
      </c>
      <c r="CO926" s="232">
        <f t="shared" si="837"/>
        <v>25</v>
      </c>
      <c r="CP926" s="230">
        <f t="shared" si="822"/>
        <v>38</v>
      </c>
      <c r="CQ926" s="235">
        <f t="shared" si="823"/>
        <v>4.0666935483870965</v>
      </c>
      <c r="CR926" s="235" cm="1">
        <f t="array" ref="CR926">$BI926 * IF($AH926&lt;=2,
SUMPRODUCT(INDEX($AR$67:$AT$71,,$AI926), INDEX($AU$67:$BA$71,,$AH926), 1 / ($BB$67:$BB$71*CQ926 + (1-$BB$67:$BB$71)*CM926), N($AQ$67:$AQ$71&gt;$AO926)),
SUMPRODUCT(INDEX($AR$57:$AT$66,,$AI926), INDEX($AU$57:$BA$66,,$AH926), 1 / ($BC$57:$BC$66*CQ926 + (1-$BC$57:$BC$66)*CM926), N($AQ$57:$AQ$66&gt;$AO926))
) / 1000</f>
        <v>0</v>
      </c>
      <c r="CS926" s="232">
        <f t="shared" si="838"/>
        <v>20</v>
      </c>
      <c r="CT926" s="230">
        <f t="shared" si="824"/>
        <v>33</v>
      </c>
      <c r="CU926" s="235">
        <f t="shared" si="825"/>
        <v>4.8487499999999999</v>
      </c>
      <c r="CV926" s="235" cm="1">
        <f t="array" ref="CV926">$BI926 * IF($AH926&lt;=2,
SUMPRODUCT(INDEX($AR$62:$AT$66,,$AI926), INDEX($AU$62:$BA$66,,$AH926), 1 / ($BB$62:$BB$66*CU926 + (1-$BB$62:$BB$66)*CQ926), N($AQ$62:$AQ$66&gt;$AO926)),
SUMPRODUCT(INDEX($AR$47:$AT$56,,$AI926), INDEX($AU$47:$BA$56,,$AH926), 1 / ($BC$47:$BC$56*CU926 + (1-$BC$47:$BC$56)*CQ926), N($AQ$47:$AQ$56&gt;$AO926))
) / 1000</f>
        <v>0</v>
      </c>
      <c r="CW926" s="235" cm="1">
        <f t="array" ref="CW926">$BI926 * IF($AH926&lt;=2,
SUMPRODUCT(INDEX($AR$23:$AT$61,,$AI926), INDEX($AU$23:$BA$61,,$AH926), 1 / ($BB$23:$BB$61*CU926), N($AQ$23:$AQ$61&gt;$AO926)),
SUMPRODUCT(INDEX($AR$23:$AT$46,,$AI926), INDEX($AU$23:$BA$46,,$AH926), 1 / ($BC$23:$BC$46*CU926), N($AQ$23:$AQ$46&gt;$AO926))
) / 1000</f>
        <v>0</v>
      </c>
      <c r="CX926" s="230">
        <f t="shared" si="826"/>
        <v>0</v>
      </c>
      <c r="CY926" s="238"/>
    </row>
    <row r="927" spans="1:103" s="76" customFormat="1" ht="14.25" customHeight="1" x14ac:dyDescent="0.2">
      <c r="A927" s="231" t="b">
        <f t="shared" si="830"/>
        <v>0</v>
      </c>
      <c r="B927" s="245">
        <v>905</v>
      </c>
      <c r="C927" s="258"/>
      <c r="D927" s="258"/>
      <c r="E927" s="246"/>
      <c r="F927" s="247" t="str">
        <f>IF(ISBLANK(E927), "", VLOOKUP(E927, Z!$A$2:$C$4127, 3, FALSE))</f>
        <v/>
      </c>
      <c r="G927" s="248"/>
      <c r="H927" s="248"/>
      <c r="I927" s="249"/>
      <c r="J927" s="250"/>
      <c r="K927" s="259"/>
      <c r="L927" s="260"/>
      <c r="M927" s="252" t="str" cm="1">
        <f t="array" ref="M927">INDEX(Trad, 53, $A$20)</f>
        <v>Verschmutzt</v>
      </c>
      <c r="N927" s="253"/>
      <c r="O927" s="253"/>
      <c r="P927" s="254"/>
      <c r="Q927" s="251"/>
      <c r="R927" s="251"/>
      <c r="S927" s="264">
        <f t="shared" si="801"/>
        <v>0</v>
      </c>
      <c r="T927" s="252" t="str" cm="1">
        <f t="array" ref="T927">INDEX(Trad, 52, $A$20)</f>
        <v>Sauber</v>
      </c>
      <c r="U927" s="253"/>
      <c r="V927" s="253"/>
      <c r="W927" s="254"/>
      <c r="X927" s="251"/>
      <c r="Y927" s="251"/>
      <c r="Z927" s="264">
        <f t="shared" si="802"/>
        <v>0</v>
      </c>
      <c r="AA927" s="261"/>
      <c r="AB927" s="258"/>
      <c r="AC927" s="246"/>
      <c r="AD927" s="247" t="str">
        <f>IF(ISBLANK(AC927), "", VLOOKUP(AC927, Z!$A$2:$C$4127, 3, FALSE))</f>
        <v/>
      </c>
      <c r="AE927" s="262"/>
      <c r="AF927" s="263">
        <f t="shared" si="803"/>
        <v>0</v>
      </c>
      <c r="AG927" s="238"/>
      <c r="AH927" s="229">
        <f t="shared" si="827"/>
        <v>1</v>
      </c>
      <c r="AI927" s="229">
        <f t="shared" si="828"/>
        <v>1</v>
      </c>
      <c r="AJ927" s="229">
        <f t="shared" si="829"/>
        <v>0</v>
      </c>
      <c r="AK927" s="229">
        <v>0</v>
      </c>
      <c r="AL927" s="229">
        <v>0</v>
      </c>
      <c r="AM927" s="229">
        <v>1</v>
      </c>
      <c r="AN927" s="229">
        <v>0</v>
      </c>
      <c r="AO927" s="229">
        <f t="shared" si="804"/>
        <v>-100</v>
      </c>
      <c r="AP927" s="238"/>
      <c r="AQ927" s="255"/>
      <c r="AR927" s="255"/>
      <c r="AS927" s="256"/>
      <c r="AT927" s="256"/>
      <c r="AU927" s="256"/>
      <c r="AV927" s="256"/>
      <c r="AW927" s="256"/>
      <c r="AX927" s="256"/>
      <c r="AY927" s="256"/>
      <c r="AZ927" s="256"/>
      <c r="BA927" s="256"/>
      <c r="BB927" s="256"/>
      <c r="BC927" s="256"/>
      <c r="BD927" s="238"/>
      <c r="BE927" s="229" cm="1">
        <f t="array" ref="BE927">IF(ISBLANK(R927), INDEX(Use, $AH927, 4) - AM927*INDEX(Use, $AH927, 6), R927)</f>
        <v>5</v>
      </c>
      <c r="BF927" s="229">
        <f t="shared" si="805"/>
        <v>30</v>
      </c>
      <c r="BG927" s="229">
        <f t="shared" si="831"/>
        <v>13</v>
      </c>
      <c r="BH927" s="229">
        <f t="shared" si="832"/>
        <v>0</v>
      </c>
      <c r="BI927" s="234" cm="1">
        <f t="array" ref="BI927">K927/IF($L927&gt;0, INDEX($AU$23:$BA$77, $L927+20, $AH927), 1)</f>
        <v>0</v>
      </c>
      <c r="BJ927" s="230">
        <f t="shared" si="806"/>
        <v>0</v>
      </c>
      <c r="BK927" s="229">
        <v>35</v>
      </c>
      <c r="BL927" s="230">
        <f t="shared" si="807"/>
        <v>48</v>
      </c>
      <c r="BM927" s="235">
        <f t="shared" si="808"/>
        <v>2.9108720930232557</v>
      </c>
      <c r="BN927" s="235" cm="1">
        <f t="array" ref="BN927">$BI927 * SUMPRODUCT(INDEX($AR$77:$AT$82,,$AI927),INDEX($AU$77:$BA$82,,$AH927), N($AQ$77:$AQ$82&gt;$AO927)) / BM927 / 1000</f>
        <v>0</v>
      </c>
      <c r="BO927" s="232">
        <f t="shared" si="833"/>
        <v>30</v>
      </c>
      <c r="BP927" s="230">
        <f t="shared" si="809"/>
        <v>43</v>
      </c>
      <c r="BQ927" s="235">
        <f t="shared" si="810"/>
        <v>3.2938815789473681</v>
      </c>
      <c r="BR927" s="235" cm="1">
        <f t="array" ref="BR927">$BI927 * IF($AH927&lt;=2,
SUMPRODUCT(INDEX($AR$72:$AT$76,,$AI927), INDEX($AU$72:$BA$76,,$AH927), 1 / ($BB$72:$BB$76*BQ927 + (1-$BB$72:$BB$76)*BM927), N($AQ$72:$AQ$76&gt;$AO927)),
SUMPRODUCT(INDEX($AR$67:$AT$76,,$AI927), INDEX($AU$67:$BA$76,,$AH927), 1 / ($BC$67:$BC$76*BQ927 + (1-$BC$67:$BC$76)*BM927), N($AQ$67:$AQ$76&gt;$AO927))
) / 1000</f>
        <v>0</v>
      </c>
      <c r="BS927" s="232">
        <f t="shared" si="834"/>
        <v>25</v>
      </c>
      <c r="BT927" s="230">
        <f t="shared" si="811"/>
        <v>38</v>
      </c>
      <c r="BU927" s="235">
        <f t="shared" si="812"/>
        <v>3.792954545454545</v>
      </c>
      <c r="BV927" s="235" cm="1">
        <f t="array" ref="BV927">$BI927 * IF($AH927&lt;=2,
SUMPRODUCT(INDEX($AR$67:$AT$71,,$AI927), INDEX($AU$67:$BA$71,,$AH927), 1 / ($BB$67:$BB$71*BU927 + (1-$BB$67:$BB$71)*BQ927), N($AQ$67:$AQ$71&gt;$AO927)),
SUMPRODUCT(INDEX($AR$57:$AT$66,,$AI927), INDEX($AU$57:$BA$66,,$AH927), 1 / ($BC$57:$BC$66*BU927 + (1-$BC$57:$BC$66)*BQ927), N($AQ$57:$AQ$66&gt;$AO927))
) / 1000</f>
        <v>0</v>
      </c>
      <c r="BW927" s="232">
        <f t="shared" si="835"/>
        <v>20</v>
      </c>
      <c r="BX927" s="230">
        <f t="shared" si="813"/>
        <v>33</v>
      </c>
      <c r="BY927" s="235">
        <f t="shared" si="814"/>
        <v>4.4702678571428569</v>
      </c>
      <c r="BZ927" s="235" cm="1">
        <f t="array" ref="BZ927">$BI927 * IF($AH927&lt;=2,
SUMPRODUCT(INDEX($AR$62:$AT$66,,$AI927), INDEX($AU$62:$BA$66,,$AH927), 1 / ($BB$62:$BB$66*BY927 + (1-$BB$62:$BB$66)*BU927), N($AQ$62:$AQ$66&gt;$AO927)),
SUMPRODUCT(INDEX($AR$47:$AT$56,,$AI927), INDEX($AU$47:$BA$56,,$AH927), 1 / ($BC$47:$BC$56*BY927 + (1-$BC$47:$BC$56)*BU927), N($AQ$47:$AQ$56&gt;$AO927))
) / 1000</f>
        <v>0</v>
      </c>
      <c r="CA927" s="235" cm="1">
        <f t="array" ref="CA927">$BI927 * IF($AH927&lt;=2,
SUMPRODUCT(INDEX($AR$23:$AT$61,,$AI927), INDEX($AU$23:$BA$61,,$AH927), 1 / ($BB$23:$BB$61*BY927), N($AQ$23:$AQ$61&gt;$AO927)),
SUMPRODUCT(INDEX($AR$23:$AT$46,,$AI927), INDEX($AU$23:$BA$46,,$AH927), 1 / ($BC$23:$BC$46*BY927), N($AQ$23:$AQ$46&gt;$AO927))
) / 1000</f>
        <v>0</v>
      </c>
      <c r="CB927" s="230">
        <f t="shared" si="815"/>
        <v>0</v>
      </c>
      <c r="CC927" s="238"/>
      <c r="CD927" s="229" cm="1">
        <f t="array" ref="CD927">IF(ISBLANK(Y927), INDEX(Use, $AH927, 4) - AN927*INDEX(Use, $AH927, 6) - (Q927-X927), Y927)</f>
        <v>7</v>
      </c>
      <c r="CE927" s="229">
        <f t="shared" si="816"/>
        <v>32</v>
      </c>
      <c r="CF927" s="230">
        <f t="shared" si="817"/>
        <v>0</v>
      </c>
      <c r="CG927" s="229">
        <v>35</v>
      </c>
      <c r="CH927" s="230">
        <f t="shared" si="818"/>
        <v>48</v>
      </c>
      <c r="CI927" s="235">
        <f t="shared" si="819"/>
        <v>3.0748170731707316</v>
      </c>
      <c r="CJ927" s="235" cm="1">
        <f t="array" ref="CJ927">$BI927 * SUMPRODUCT(INDEX($AR$77:$AT$82,,$AI927),INDEX($AU$77:$BA$82,,$AH927), N($AQ$77:$AQ$82&gt;$AO927)) / CI927 / 1000</f>
        <v>0</v>
      </c>
      <c r="CK927" s="232">
        <f t="shared" si="836"/>
        <v>30</v>
      </c>
      <c r="CL927" s="230">
        <f t="shared" si="820"/>
        <v>43</v>
      </c>
      <c r="CM927" s="235">
        <f t="shared" si="821"/>
        <v>3.5018750000000001</v>
      </c>
      <c r="CN927" s="235" cm="1">
        <f t="array" ref="CN927">$BI927 * IF($AH927&lt;=2,
SUMPRODUCT(INDEX($AR$72:$AT$76,,$AI927), INDEX($AU$72:$BA$76,,$AH927), 1 / ($BB$72:$BB$76*CM927 + (1-$BB$72:$BB$76)*CI927), N($AQ$72:$AQ$76&gt;$AO927)),
SUMPRODUCT(INDEX($AR$67:$AT$76,,$AI927), INDEX($AU$67:$BA$76,,$AH927), 1 / ($BC$67:$BC$76*CM927 + (1-$BC$67:$BC$76)*CI927), N($AQ$67:$AQ$76&gt;$AO927))
) / 1000</f>
        <v>0</v>
      </c>
      <c r="CO927" s="232">
        <f t="shared" si="837"/>
        <v>25</v>
      </c>
      <c r="CP927" s="230">
        <f t="shared" si="822"/>
        <v>38</v>
      </c>
      <c r="CQ927" s="235">
        <f t="shared" si="823"/>
        <v>4.0666935483870965</v>
      </c>
      <c r="CR927" s="235" cm="1">
        <f t="array" ref="CR927">$BI927 * IF($AH927&lt;=2,
SUMPRODUCT(INDEX($AR$67:$AT$71,,$AI927), INDEX($AU$67:$BA$71,,$AH927), 1 / ($BB$67:$BB$71*CQ927 + (1-$BB$67:$BB$71)*CM927), N($AQ$67:$AQ$71&gt;$AO927)),
SUMPRODUCT(INDEX($AR$57:$AT$66,,$AI927), INDEX($AU$57:$BA$66,,$AH927), 1 / ($BC$57:$BC$66*CQ927 + (1-$BC$57:$BC$66)*CM927), N($AQ$57:$AQ$66&gt;$AO927))
) / 1000</f>
        <v>0</v>
      </c>
      <c r="CS927" s="232">
        <f t="shared" si="838"/>
        <v>20</v>
      </c>
      <c r="CT927" s="230">
        <f t="shared" si="824"/>
        <v>33</v>
      </c>
      <c r="CU927" s="235">
        <f t="shared" si="825"/>
        <v>4.8487499999999999</v>
      </c>
      <c r="CV927" s="235" cm="1">
        <f t="array" ref="CV927">$BI927 * IF($AH927&lt;=2,
SUMPRODUCT(INDEX($AR$62:$AT$66,,$AI927), INDEX($AU$62:$BA$66,,$AH927), 1 / ($BB$62:$BB$66*CU927 + (1-$BB$62:$BB$66)*CQ927), N($AQ$62:$AQ$66&gt;$AO927)),
SUMPRODUCT(INDEX($AR$47:$AT$56,,$AI927), INDEX($AU$47:$BA$56,,$AH927), 1 / ($BC$47:$BC$56*CU927 + (1-$BC$47:$BC$56)*CQ927), N($AQ$47:$AQ$56&gt;$AO927))
) / 1000</f>
        <v>0</v>
      </c>
      <c r="CW927" s="235" cm="1">
        <f t="array" ref="CW927">$BI927 * IF($AH927&lt;=2,
SUMPRODUCT(INDEX($AR$23:$AT$61,,$AI927), INDEX($AU$23:$BA$61,,$AH927), 1 / ($BB$23:$BB$61*CU927), N($AQ$23:$AQ$61&gt;$AO927)),
SUMPRODUCT(INDEX($AR$23:$AT$46,,$AI927), INDEX($AU$23:$BA$46,,$AH927), 1 / ($BC$23:$BC$46*CU927), N($AQ$23:$AQ$46&gt;$AO927))
) / 1000</f>
        <v>0</v>
      </c>
      <c r="CX927" s="230">
        <f t="shared" si="826"/>
        <v>0</v>
      </c>
      <c r="CY927" s="238"/>
    </row>
    <row r="928" spans="1:103" s="76" customFormat="1" ht="14.25" customHeight="1" x14ac:dyDescent="0.2">
      <c r="A928" s="231" t="b">
        <f t="shared" si="830"/>
        <v>0</v>
      </c>
      <c r="B928" s="245">
        <v>906</v>
      </c>
      <c r="C928" s="258"/>
      <c r="D928" s="258"/>
      <c r="E928" s="246"/>
      <c r="F928" s="247" t="str">
        <f>IF(ISBLANK(E928), "", VLOOKUP(E928, Z!$A$2:$C$4127, 3, FALSE))</f>
        <v/>
      </c>
      <c r="G928" s="248"/>
      <c r="H928" s="248"/>
      <c r="I928" s="249"/>
      <c r="J928" s="250"/>
      <c r="K928" s="259"/>
      <c r="L928" s="260"/>
      <c r="M928" s="252" t="str" cm="1">
        <f t="array" ref="M928">INDEX(Trad, 53, $A$20)</f>
        <v>Verschmutzt</v>
      </c>
      <c r="N928" s="253"/>
      <c r="O928" s="253"/>
      <c r="P928" s="254"/>
      <c r="Q928" s="251"/>
      <c r="R928" s="251"/>
      <c r="S928" s="264">
        <f t="shared" si="801"/>
        <v>0</v>
      </c>
      <c r="T928" s="252" t="str" cm="1">
        <f t="array" ref="T928">INDEX(Trad, 52, $A$20)</f>
        <v>Sauber</v>
      </c>
      <c r="U928" s="253"/>
      <c r="V928" s="253"/>
      <c r="W928" s="254"/>
      <c r="X928" s="251"/>
      <c r="Y928" s="251"/>
      <c r="Z928" s="264">
        <f t="shared" si="802"/>
        <v>0</v>
      </c>
      <c r="AA928" s="261"/>
      <c r="AB928" s="258"/>
      <c r="AC928" s="246"/>
      <c r="AD928" s="247" t="str">
        <f>IF(ISBLANK(AC928), "", VLOOKUP(AC928, Z!$A$2:$C$4127, 3, FALSE))</f>
        <v/>
      </c>
      <c r="AE928" s="262"/>
      <c r="AF928" s="263">
        <f t="shared" si="803"/>
        <v>0</v>
      </c>
      <c r="AG928" s="238"/>
      <c r="AH928" s="229">
        <f t="shared" si="827"/>
        <v>1</v>
      </c>
      <c r="AI928" s="229">
        <f t="shared" si="828"/>
        <v>1</v>
      </c>
      <c r="AJ928" s="229">
        <f t="shared" si="829"/>
        <v>0</v>
      </c>
      <c r="AK928" s="229">
        <v>0</v>
      </c>
      <c r="AL928" s="229">
        <v>0</v>
      </c>
      <c r="AM928" s="229">
        <v>1</v>
      </c>
      <c r="AN928" s="229">
        <v>0</v>
      </c>
      <c r="AO928" s="229">
        <f t="shared" si="804"/>
        <v>-100</v>
      </c>
      <c r="AP928" s="238"/>
      <c r="AQ928" s="255"/>
      <c r="AR928" s="255"/>
      <c r="AS928" s="256"/>
      <c r="AT928" s="256"/>
      <c r="AU928" s="256"/>
      <c r="AV928" s="256"/>
      <c r="AW928" s="256"/>
      <c r="AX928" s="256"/>
      <c r="AY928" s="256"/>
      <c r="AZ928" s="256"/>
      <c r="BA928" s="256"/>
      <c r="BB928" s="256"/>
      <c r="BC928" s="256"/>
      <c r="BD928" s="238"/>
      <c r="BE928" s="229" cm="1">
        <f t="array" ref="BE928">IF(ISBLANK(R928), INDEX(Use, $AH928, 4) - AM928*INDEX(Use, $AH928, 6), R928)</f>
        <v>5</v>
      </c>
      <c r="BF928" s="229">
        <f t="shared" si="805"/>
        <v>30</v>
      </c>
      <c r="BG928" s="229">
        <f t="shared" si="831"/>
        <v>13</v>
      </c>
      <c r="BH928" s="229">
        <f t="shared" si="832"/>
        <v>0</v>
      </c>
      <c r="BI928" s="234" cm="1">
        <f t="array" ref="BI928">K928/IF($L928&gt;0, INDEX($AU$23:$BA$77, $L928+20, $AH928), 1)</f>
        <v>0</v>
      </c>
      <c r="BJ928" s="230">
        <f t="shared" si="806"/>
        <v>0</v>
      </c>
      <c r="BK928" s="229">
        <v>35</v>
      </c>
      <c r="BL928" s="230">
        <f t="shared" si="807"/>
        <v>48</v>
      </c>
      <c r="BM928" s="235">
        <f t="shared" si="808"/>
        <v>2.9108720930232557</v>
      </c>
      <c r="BN928" s="235" cm="1">
        <f t="array" ref="BN928">$BI928 * SUMPRODUCT(INDEX($AR$77:$AT$82,,$AI928),INDEX($AU$77:$BA$82,,$AH928), N($AQ$77:$AQ$82&gt;$AO928)) / BM928 / 1000</f>
        <v>0</v>
      </c>
      <c r="BO928" s="232">
        <f t="shared" si="833"/>
        <v>30</v>
      </c>
      <c r="BP928" s="230">
        <f t="shared" si="809"/>
        <v>43</v>
      </c>
      <c r="BQ928" s="235">
        <f t="shared" si="810"/>
        <v>3.2938815789473681</v>
      </c>
      <c r="BR928" s="235" cm="1">
        <f t="array" ref="BR928">$BI928 * IF($AH928&lt;=2,
SUMPRODUCT(INDEX($AR$72:$AT$76,,$AI928), INDEX($AU$72:$BA$76,,$AH928), 1 / ($BB$72:$BB$76*BQ928 + (1-$BB$72:$BB$76)*BM928), N($AQ$72:$AQ$76&gt;$AO928)),
SUMPRODUCT(INDEX($AR$67:$AT$76,,$AI928), INDEX($AU$67:$BA$76,,$AH928), 1 / ($BC$67:$BC$76*BQ928 + (1-$BC$67:$BC$76)*BM928), N($AQ$67:$AQ$76&gt;$AO928))
) / 1000</f>
        <v>0</v>
      </c>
      <c r="BS928" s="232">
        <f t="shared" si="834"/>
        <v>25</v>
      </c>
      <c r="BT928" s="230">
        <f t="shared" si="811"/>
        <v>38</v>
      </c>
      <c r="BU928" s="235">
        <f t="shared" si="812"/>
        <v>3.792954545454545</v>
      </c>
      <c r="BV928" s="235" cm="1">
        <f t="array" ref="BV928">$BI928 * IF($AH928&lt;=2,
SUMPRODUCT(INDEX($AR$67:$AT$71,,$AI928), INDEX($AU$67:$BA$71,,$AH928), 1 / ($BB$67:$BB$71*BU928 + (1-$BB$67:$BB$71)*BQ928), N($AQ$67:$AQ$71&gt;$AO928)),
SUMPRODUCT(INDEX($AR$57:$AT$66,,$AI928), INDEX($AU$57:$BA$66,,$AH928), 1 / ($BC$57:$BC$66*BU928 + (1-$BC$57:$BC$66)*BQ928), N($AQ$57:$AQ$66&gt;$AO928))
) / 1000</f>
        <v>0</v>
      </c>
      <c r="BW928" s="232">
        <f t="shared" si="835"/>
        <v>20</v>
      </c>
      <c r="BX928" s="230">
        <f t="shared" si="813"/>
        <v>33</v>
      </c>
      <c r="BY928" s="235">
        <f t="shared" si="814"/>
        <v>4.4702678571428569</v>
      </c>
      <c r="BZ928" s="235" cm="1">
        <f t="array" ref="BZ928">$BI928 * IF($AH928&lt;=2,
SUMPRODUCT(INDEX($AR$62:$AT$66,,$AI928), INDEX($AU$62:$BA$66,,$AH928), 1 / ($BB$62:$BB$66*BY928 + (1-$BB$62:$BB$66)*BU928), N($AQ$62:$AQ$66&gt;$AO928)),
SUMPRODUCT(INDEX($AR$47:$AT$56,,$AI928), INDEX($AU$47:$BA$56,,$AH928), 1 / ($BC$47:$BC$56*BY928 + (1-$BC$47:$BC$56)*BU928), N($AQ$47:$AQ$56&gt;$AO928))
) / 1000</f>
        <v>0</v>
      </c>
      <c r="CA928" s="235" cm="1">
        <f t="array" ref="CA928">$BI928 * IF($AH928&lt;=2,
SUMPRODUCT(INDEX($AR$23:$AT$61,,$AI928), INDEX($AU$23:$BA$61,,$AH928), 1 / ($BB$23:$BB$61*BY928), N($AQ$23:$AQ$61&gt;$AO928)),
SUMPRODUCT(INDEX($AR$23:$AT$46,,$AI928), INDEX($AU$23:$BA$46,,$AH928), 1 / ($BC$23:$BC$46*BY928), N($AQ$23:$AQ$46&gt;$AO928))
) / 1000</f>
        <v>0</v>
      </c>
      <c r="CB928" s="230">
        <f t="shared" si="815"/>
        <v>0</v>
      </c>
      <c r="CC928" s="238"/>
      <c r="CD928" s="229" cm="1">
        <f t="array" ref="CD928">IF(ISBLANK(Y928), INDEX(Use, $AH928, 4) - AN928*INDEX(Use, $AH928, 6) - (Q928-X928), Y928)</f>
        <v>7</v>
      </c>
      <c r="CE928" s="229">
        <f t="shared" si="816"/>
        <v>32</v>
      </c>
      <c r="CF928" s="230">
        <f t="shared" si="817"/>
        <v>0</v>
      </c>
      <c r="CG928" s="229">
        <v>35</v>
      </c>
      <c r="CH928" s="230">
        <f t="shared" si="818"/>
        <v>48</v>
      </c>
      <c r="CI928" s="235">
        <f t="shared" si="819"/>
        <v>3.0748170731707316</v>
      </c>
      <c r="CJ928" s="235" cm="1">
        <f t="array" ref="CJ928">$BI928 * SUMPRODUCT(INDEX($AR$77:$AT$82,,$AI928),INDEX($AU$77:$BA$82,,$AH928), N($AQ$77:$AQ$82&gt;$AO928)) / CI928 / 1000</f>
        <v>0</v>
      </c>
      <c r="CK928" s="232">
        <f t="shared" si="836"/>
        <v>30</v>
      </c>
      <c r="CL928" s="230">
        <f t="shared" si="820"/>
        <v>43</v>
      </c>
      <c r="CM928" s="235">
        <f t="shared" si="821"/>
        <v>3.5018750000000001</v>
      </c>
      <c r="CN928" s="235" cm="1">
        <f t="array" ref="CN928">$BI928 * IF($AH928&lt;=2,
SUMPRODUCT(INDEX($AR$72:$AT$76,,$AI928), INDEX($AU$72:$BA$76,,$AH928), 1 / ($BB$72:$BB$76*CM928 + (1-$BB$72:$BB$76)*CI928), N($AQ$72:$AQ$76&gt;$AO928)),
SUMPRODUCT(INDEX($AR$67:$AT$76,,$AI928), INDEX($AU$67:$BA$76,,$AH928), 1 / ($BC$67:$BC$76*CM928 + (1-$BC$67:$BC$76)*CI928), N($AQ$67:$AQ$76&gt;$AO928))
) / 1000</f>
        <v>0</v>
      </c>
      <c r="CO928" s="232">
        <f t="shared" si="837"/>
        <v>25</v>
      </c>
      <c r="CP928" s="230">
        <f t="shared" si="822"/>
        <v>38</v>
      </c>
      <c r="CQ928" s="235">
        <f t="shared" si="823"/>
        <v>4.0666935483870965</v>
      </c>
      <c r="CR928" s="235" cm="1">
        <f t="array" ref="CR928">$BI928 * IF($AH928&lt;=2,
SUMPRODUCT(INDEX($AR$67:$AT$71,,$AI928), INDEX($AU$67:$BA$71,,$AH928), 1 / ($BB$67:$BB$71*CQ928 + (1-$BB$67:$BB$71)*CM928), N($AQ$67:$AQ$71&gt;$AO928)),
SUMPRODUCT(INDEX($AR$57:$AT$66,,$AI928), INDEX($AU$57:$BA$66,,$AH928), 1 / ($BC$57:$BC$66*CQ928 + (1-$BC$57:$BC$66)*CM928), N($AQ$57:$AQ$66&gt;$AO928))
) / 1000</f>
        <v>0</v>
      </c>
      <c r="CS928" s="232">
        <f t="shared" si="838"/>
        <v>20</v>
      </c>
      <c r="CT928" s="230">
        <f t="shared" si="824"/>
        <v>33</v>
      </c>
      <c r="CU928" s="235">
        <f t="shared" si="825"/>
        <v>4.8487499999999999</v>
      </c>
      <c r="CV928" s="235" cm="1">
        <f t="array" ref="CV928">$BI928 * IF($AH928&lt;=2,
SUMPRODUCT(INDEX($AR$62:$AT$66,,$AI928), INDEX($AU$62:$BA$66,,$AH928), 1 / ($BB$62:$BB$66*CU928 + (1-$BB$62:$BB$66)*CQ928), N($AQ$62:$AQ$66&gt;$AO928)),
SUMPRODUCT(INDEX($AR$47:$AT$56,,$AI928), INDEX($AU$47:$BA$56,,$AH928), 1 / ($BC$47:$BC$56*CU928 + (1-$BC$47:$BC$56)*CQ928), N($AQ$47:$AQ$56&gt;$AO928))
) / 1000</f>
        <v>0</v>
      </c>
      <c r="CW928" s="235" cm="1">
        <f t="array" ref="CW928">$BI928 * IF($AH928&lt;=2,
SUMPRODUCT(INDEX($AR$23:$AT$61,,$AI928), INDEX($AU$23:$BA$61,,$AH928), 1 / ($BB$23:$BB$61*CU928), N($AQ$23:$AQ$61&gt;$AO928)),
SUMPRODUCT(INDEX($AR$23:$AT$46,,$AI928), INDEX($AU$23:$BA$46,,$AH928), 1 / ($BC$23:$BC$46*CU928), N($AQ$23:$AQ$46&gt;$AO928))
) / 1000</f>
        <v>0</v>
      </c>
      <c r="CX928" s="230">
        <f t="shared" si="826"/>
        <v>0</v>
      </c>
      <c r="CY928" s="238"/>
    </row>
    <row r="929" spans="1:103" s="76" customFormat="1" ht="14.25" customHeight="1" x14ac:dyDescent="0.2">
      <c r="A929" s="231" t="b">
        <f t="shared" si="830"/>
        <v>0</v>
      </c>
      <c r="B929" s="245">
        <v>907</v>
      </c>
      <c r="C929" s="258"/>
      <c r="D929" s="258"/>
      <c r="E929" s="246"/>
      <c r="F929" s="247" t="str">
        <f>IF(ISBLANK(E929), "", VLOOKUP(E929, Z!$A$2:$C$4127, 3, FALSE))</f>
        <v/>
      </c>
      <c r="G929" s="248"/>
      <c r="H929" s="248"/>
      <c r="I929" s="249"/>
      <c r="J929" s="250"/>
      <c r="K929" s="259"/>
      <c r="L929" s="260"/>
      <c r="M929" s="252" t="str" cm="1">
        <f t="array" ref="M929">INDEX(Trad, 53, $A$20)</f>
        <v>Verschmutzt</v>
      </c>
      <c r="N929" s="253"/>
      <c r="O929" s="253"/>
      <c r="P929" s="254"/>
      <c r="Q929" s="251"/>
      <c r="R929" s="251"/>
      <c r="S929" s="264">
        <f t="shared" si="801"/>
        <v>0</v>
      </c>
      <c r="T929" s="252" t="str" cm="1">
        <f t="array" ref="T929">INDEX(Trad, 52, $A$20)</f>
        <v>Sauber</v>
      </c>
      <c r="U929" s="253"/>
      <c r="V929" s="253"/>
      <c r="W929" s="254"/>
      <c r="X929" s="251"/>
      <c r="Y929" s="251"/>
      <c r="Z929" s="264">
        <f t="shared" si="802"/>
        <v>0</v>
      </c>
      <c r="AA929" s="261"/>
      <c r="AB929" s="258"/>
      <c r="AC929" s="246"/>
      <c r="AD929" s="247" t="str">
        <f>IF(ISBLANK(AC929), "", VLOOKUP(AC929, Z!$A$2:$C$4127, 3, FALSE))</f>
        <v/>
      </c>
      <c r="AE929" s="262"/>
      <c r="AF929" s="263">
        <f t="shared" si="803"/>
        <v>0</v>
      </c>
      <c r="AG929" s="238"/>
      <c r="AH929" s="229">
        <f t="shared" si="827"/>
        <v>1</v>
      </c>
      <c r="AI929" s="229">
        <f t="shared" si="828"/>
        <v>1</v>
      </c>
      <c r="AJ929" s="229">
        <f t="shared" si="829"/>
        <v>0</v>
      </c>
      <c r="AK929" s="229">
        <v>0</v>
      </c>
      <c r="AL929" s="229">
        <v>0</v>
      </c>
      <c r="AM929" s="229">
        <v>1</v>
      </c>
      <c r="AN929" s="229">
        <v>0</v>
      </c>
      <c r="AO929" s="229">
        <f t="shared" si="804"/>
        <v>-100</v>
      </c>
      <c r="AP929" s="238"/>
      <c r="AQ929" s="255"/>
      <c r="AR929" s="255"/>
      <c r="AS929" s="256"/>
      <c r="AT929" s="256"/>
      <c r="AU929" s="256"/>
      <c r="AV929" s="256"/>
      <c r="AW929" s="256"/>
      <c r="AX929" s="256"/>
      <c r="AY929" s="256"/>
      <c r="AZ929" s="256"/>
      <c r="BA929" s="256"/>
      <c r="BB929" s="256"/>
      <c r="BC929" s="256"/>
      <c r="BD929" s="238"/>
      <c r="BE929" s="229" cm="1">
        <f t="array" ref="BE929">IF(ISBLANK(R929), INDEX(Use, $AH929, 4) - AM929*INDEX(Use, $AH929, 6), R929)</f>
        <v>5</v>
      </c>
      <c r="BF929" s="229">
        <f t="shared" si="805"/>
        <v>30</v>
      </c>
      <c r="BG929" s="229">
        <f t="shared" si="831"/>
        <v>13</v>
      </c>
      <c r="BH929" s="229">
        <f t="shared" si="832"/>
        <v>0</v>
      </c>
      <c r="BI929" s="234" cm="1">
        <f t="array" ref="BI929">K929/IF($L929&gt;0, INDEX($AU$23:$BA$77, $L929+20, $AH929), 1)</f>
        <v>0</v>
      </c>
      <c r="BJ929" s="230">
        <f t="shared" si="806"/>
        <v>0</v>
      </c>
      <c r="BK929" s="229">
        <v>35</v>
      </c>
      <c r="BL929" s="230">
        <f t="shared" si="807"/>
        <v>48</v>
      </c>
      <c r="BM929" s="235">
        <f t="shared" si="808"/>
        <v>2.9108720930232557</v>
      </c>
      <c r="BN929" s="235" cm="1">
        <f t="array" ref="BN929">$BI929 * SUMPRODUCT(INDEX($AR$77:$AT$82,,$AI929),INDEX($AU$77:$BA$82,,$AH929), N($AQ$77:$AQ$82&gt;$AO929)) / BM929 / 1000</f>
        <v>0</v>
      </c>
      <c r="BO929" s="232">
        <f t="shared" si="833"/>
        <v>30</v>
      </c>
      <c r="BP929" s="230">
        <f t="shared" si="809"/>
        <v>43</v>
      </c>
      <c r="BQ929" s="235">
        <f t="shared" si="810"/>
        <v>3.2938815789473681</v>
      </c>
      <c r="BR929" s="235" cm="1">
        <f t="array" ref="BR929">$BI929 * IF($AH929&lt;=2,
SUMPRODUCT(INDEX($AR$72:$AT$76,,$AI929), INDEX($AU$72:$BA$76,,$AH929), 1 / ($BB$72:$BB$76*BQ929 + (1-$BB$72:$BB$76)*BM929), N($AQ$72:$AQ$76&gt;$AO929)),
SUMPRODUCT(INDEX($AR$67:$AT$76,,$AI929), INDEX($AU$67:$BA$76,,$AH929), 1 / ($BC$67:$BC$76*BQ929 + (1-$BC$67:$BC$76)*BM929), N($AQ$67:$AQ$76&gt;$AO929))
) / 1000</f>
        <v>0</v>
      </c>
      <c r="BS929" s="232">
        <f t="shared" si="834"/>
        <v>25</v>
      </c>
      <c r="BT929" s="230">
        <f t="shared" si="811"/>
        <v>38</v>
      </c>
      <c r="BU929" s="235">
        <f t="shared" si="812"/>
        <v>3.792954545454545</v>
      </c>
      <c r="BV929" s="235" cm="1">
        <f t="array" ref="BV929">$BI929 * IF($AH929&lt;=2,
SUMPRODUCT(INDEX($AR$67:$AT$71,,$AI929), INDEX($AU$67:$BA$71,,$AH929), 1 / ($BB$67:$BB$71*BU929 + (1-$BB$67:$BB$71)*BQ929), N($AQ$67:$AQ$71&gt;$AO929)),
SUMPRODUCT(INDEX($AR$57:$AT$66,,$AI929), INDEX($AU$57:$BA$66,,$AH929), 1 / ($BC$57:$BC$66*BU929 + (1-$BC$57:$BC$66)*BQ929), N($AQ$57:$AQ$66&gt;$AO929))
) / 1000</f>
        <v>0</v>
      </c>
      <c r="BW929" s="232">
        <f t="shared" si="835"/>
        <v>20</v>
      </c>
      <c r="BX929" s="230">
        <f t="shared" si="813"/>
        <v>33</v>
      </c>
      <c r="BY929" s="235">
        <f t="shared" si="814"/>
        <v>4.4702678571428569</v>
      </c>
      <c r="BZ929" s="235" cm="1">
        <f t="array" ref="BZ929">$BI929 * IF($AH929&lt;=2,
SUMPRODUCT(INDEX($AR$62:$AT$66,,$AI929), INDEX($AU$62:$BA$66,,$AH929), 1 / ($BB$62:$BB$66*BY929 + (1-$BB$62:$BB$66)*BU929), N($AQ$62:$AQ$66&gt;$AO929)),
SUMPRODUCT(INDEX($AR$47:$AT$56,,$AI929), INDEX($AU$47:$BA$56,,$AH929), 1 / ($BC$47:$BC$56*BY929 + (1-$BC$47:$BC$56)*BU929), N($AQ$47:$AQ$56&gt;$AO929))
) / 1000</f>
        <v>0</v>
      </c>
      <c r="CA929" s="235" cm="1">
        <f t="array" ref="CA929">$BI929 * IF($AH929&lt;=2,
SUMPRODUCT(INDEX($AR$23:$AT$61,,$AI929), INDEX($AU$23:$BA$61,,$AH929), 1 / ($BB$23:$BB$61*BY929), N($AQ$23:$AQ$61&gt;$AO929)),
SUMPRODUCT(INDEX($AR$23:$AT$46,,$AI929), INDEX($AU$23:$BA$46,,$AH929), 1 / ($BC$23:$BC$46*BY929), N($AQ$23:$AQ$46&gt;$AO929))
) / 1000</f>
        <v>0</v>
      </c>
      <c r="CB929" s="230">
        <f t="shared" si="815"/>
        <v>0</v>
      </c>
      <c r="CC929" s="238"/>
      <c r="CD929" s="229" cm="1">
        <f t="array" ref="CD929">IF(ISBLANK(Y929), INDEX(Use, $AH929, 4) - AN929*INDEX(Use, $AH929, 6) - (Q929-X929), Y929)</f>
        <v>7</v>
      </c>
      <c r="CE929" s="229">
        <f t="shared" si="816"/>
        <v>32</v>
      </c>
      <c r="CF929" s="230">
        <f t="shared" si="817"/>
        <v>0</v>
      </c>
      <c r="CG929" s="229">
        <v>35</v>
      </c>
      <c r="CH929" s="230">
        <f t="shared" si="818"/>
        <v>48</v>
      </c>
      <c r="CI929" s="235">
        <f t="shared" si="819"/>
        <v>3.0748170731707316</v>
      </c>
      <c r="CJ929" s="235" cm="1">
        <f t="array" ref="CJ929">$BI929 * SUMPRODUCT(INDEX($AR$77:$AT$82,,$AI929),INDEX($AU$77:$BA$82,,$AH929), N($AQ$77:$AQ$82&gt;$AO929)) / CI929 / 1000</f>
        <v>0</v>
      </c>
      <c r="CK929" s="232">
        <f t="shared" si="836"/>
        <v>30</v>
      </c>
      <c r="CL929" s="230">
        <f t="shared" si="820"/>
        <v>43</v>
      </c>
      <c r="CM929" s="235">
        <f t="shared" si="821"/>
        <v>3.5018750000000001</v>
      </c>
      <c r="CN929" s="235" cm="1">
        <f t="array" ref="CN929">$BI929 * IF($AH929&lt;=2,
SUMPRODUCT(INDEX($AR$72:$AT$76,,$AI929), INDEX($AU$72:$BA$76,,$AH929), 1 / ($BB$72:$BB$76*CM929 + (1-$BB$72:$BB$76)*CI929), N($AQ$72:$AQ$76&gt;$AO929)),
SUMPRODUCT(INDEX($AR$67:$AT$76,,$AI929), INDEX($AU$67:$BA$76,,$AH929), 1 / ($BC$67:$BC$76*CM929 + (1-$BC$67:$BC$76)*CI929), N($AQ$67:$AQ$76&gt;$AO929))
) / 1000</f>
        <v>0</v>
      </c>
      <c r="CO929" s="232">
        <f t="shared" si="837"/>
        <v>25</v>
      </c>
      <c r="CP929" s="230">
        <f t="shared" si="822"/>
        <v>38</v>
      </c>
      <c r="CQ929" s="235">
        <f t="shared" si="823"/>
        <v>4.0666935483870965</v>
      </c>
      <c r="CR929" s="235" cm="1">
        <f t="array" ref="CR929">$BI929 * IF($AH929&lt;=2,
SUMPRODUCT(INDEX($AR$67:$AT$71,,$AI929), INDEX($AU$67:$BA$71,,$AH929), 1 / ($BB$67:$BB$71*CQ929 + (1-$BB$67:$BB$71)*CM929), N($AQ$67:$AQ$71&gt;$AO929)),
SUMPRODUCT(INDEX($AR$57:$AT$66,,$AI929), INDEX($AU$57:$BA$66,,$AH929), 1 / ($BC$57:$BC$66*CQ929 + (1-$BC$57:$BC$66)*CM929), N($AQ$57:$AQ$66&gt;$AO929))
) / 1000</f>
        <v>0</v>
      </c>
      <c r="CS929" s="232">
        <f t="shared" si="838"/>
        <v>20</v>
      </c>
      <c r="CT929" s="230">
        <f t="shared" si="824"/>
        <v>33</v>
      </c>
      <c r="CU929" s="235">
        <f t="shared" si="825"/>
        <v>4.8487499999999999</v>
      </c>
      <c r="CV929" s="235" cm="1">
        <f t="array" ref="CV929">$BI929 * IF($AH929&lt;=2,
SUMPRODUCT(INDEX($AR$62:$AT$66,,$AI929), INDEX($AU$62:$BA$66,,$AH929), 1 / ($BB$62:$BB$66*CU929 + (1-$BB$62:$BB$66)*CQ929), N($AQ$62:$AQ$66&gt;$AO929)),
SUMPRODUCT(INDEX($AR$47:$AT$56,,$AI929), INDEX($AU$47:$BA$56,,$AH929), 1 / ($BC$47:$BC$56*CU929 + (1-$BC$47:$BC$56)*CQ929), N($AQ$47:$AQ$56&gt;$AO929))
) / 1000</f>
        <v>0</v>
      </c>
      <c r="CW929" s="235" cm="1">
        <f t="array" ref="CW929">$BI929 * IF($AH929&lt;=2,
SUMPRODUCT(INDEX($AR$23:$AT$61,,$AI929), INDEX($AU$23:$BA$61,,$AH929), 1 / ($BB$23:$BB$61*CU929), N($AQ$23:$AQ$61&gt;$AO929)),
SUMPRODUCT(INDEX($AR$23:$AT$46,,$AI929), INDEX($AU$23:$BA$46,,$AH929), 1 / ($BC$23:$BC$46*CU929), N($AQ$23:$AQ$46&gt;$AO929))
) / 1000</f>
        <v>0</v>
      </c>
      <c r="CX929" s="230">
        <f t="shared" si="826"/>
        <v>0</v>
      </c>
      <c r="CY929" s="238"/>
    </row>
    <row r="930" spans="1:103" s="76" customFormat="1" ht="14.25" customHeight="1" x14ac:dyDescent="0.2">
      <c r="A930" s="231" t="b">
        <f t="shared" si="830"/>
        <v>0</v>
      </c>
      <c r="B930" s="245">
        <v>908</v>
      </c>
      <c r="C930" s="258"/>
      <c r="D930" s="258"/>
      <c r="E930" s="246"/>
      <c r="F930" s="247" t="str">
        <f>IF(ISBLANK(E930), "", VLOOKUP(E930, Z!$A$2:$C$4127, 3, FALSE))</f>
        <v/>
      </c>
      <c r="G930" s="248"/>
      <c r="H930" s="248"/>
      <c r="I930" s="249"/>
      <c r="J930" s="250"/>
      <c r="K930" s="259"/>
      <c r="L930" s="260"/>
      <c r="M930" s="252" t="str" cm="1">
        <f t="array" ref="M930">INDEX(Trad, 53, $A$20)</f>
        <v>Verschmutzt</v>
      </c>
      <c r="N930" s="253"/>
      <c r="O930" s="253"/>
      <c r="P930" s="254"/>
      <c r="Q930" s="251"/>
      <c r="R930" s="251"/>
      <c r="S930" s="264">
        <f t="shared" si="801"/>
        <v>0</v>
      </c>
      <c r="T930" s="252" t="str" cm="1">
        <f t="array" ref="T930">INDEX(Trad, 52, $A$20)</f>
        <v>Sauber</v>
      </c>
      <c r="U930" s="253"/>
      <c r="V930" s="253"/>
      <c r="W930" s="254"/>
      <c r="X930" s="251"/>
      <c r="Y930" s="251"/>
      <c r="Z930" s="264">
        <f t="shared" si="802"/>
        <v>0</v>
      </c>
      <c r="AA930" s="261"/>
      <c r="AB930" s="258"/>
      <c r="AC930" s="246"/>
      <c r="AD930" s="247" t="str">
        <f>IF(ISBLANK(AC930), "", VLOOKUP(AC930, Z!$A$2:$C$4127, 3, FALSE))</f>
        <v/>
      </c>
      <c r="AE930" s="262"/>
      <c r="AF930" s="263">
        <f t="shared" si="803"/>
        <v>0</v>
      </c>
      <c r="AG930" s="238"/>
      <c r="AH930" s="229">
        <f t="shared" si="827"/>
        <v>1</v>
      </c>
      <c r="AI930" s="229">
        <f t="shared" si="828"/>
        <v>1</v>
      </c>
      <c r="AJ930" s="229">
        <f t="shared" si="829"/>
        <v>0</v>
      </c>
      <c r="AK930" s="229">
        <v>0</v>
      </c>
      <c r="AL930" s="229">
        <v>0</v>
      </c>
      <c r="AM930" s="229">
        <v>1</v>
      </c>
      <c r="AN930" s="229">
        <v>0</v>
      </c>
      <c r="AO930" s="229">
        <f t="shared" si="804"/>
        <v>-100</v>
      </c>
      <c r="AP930" s="238"/>
      <c r="AQ930" s="255"/>
      <c r="AR930" s="255"/>
      <c r="AS930" s="256"/>
      <c r="AT930" s="256"/>
      <c r="AU930" s="256"/>
      <c r="AV930" s="256"/>
      <c r="AW930" s="256"/>
      <c r="AX930" s="256"/>
      <c r="AY930" s="256"/>
      <c r="AZ930" s="256"/>
      <c r="BA930" s="256"/>
      <c r="BB930" s="256"/>
      <c r="BC930" s="256"/>
      <c r="BD930" s="238"/>
      <c r="BE930" s="229" cm="1">
        <f t="array" ref="BE930">IF(ISBLANK(R930), INDEX(Use, $AH930, 4) - AM930*INDEX(Use, $AH930, 6), R930)</f>
        <v>5</v>
      </c>
      <c r="BF930" s="229">
        <f t="shared" si="805"/>
        <v>30</v>
      </c>
      <c r="BG930" s="229">
        <f t="shared" si="831"/>
        <v>13</v>
      </c>
      <c r="BH930" s="229">
        <f t="shared" si="832"/>
        <v>0</v>
      </c>
      <c r="BI930" s="234" cm="1">
        <f t="array" ref="BI930">K930/IF($L930&gt;0, INDEX($AU$23:$BA$77, $L930+20, $AH930), 1)</f>
        <v>0</v>
      </c>
      <c r="BJ930" s="230">
        <f t="shared" si="806"/>
        <v>0</v>
      </c>
      <c r="BK930" s="229">
        <v>35</v>
      </c>
      <c r="BL930" s="230">
        <f t="shared" si="807"/>
        <v>48</v>
      </c>
      <c r="BM930" s="235">
        <f t="shared" si="808"/>
        <v>2.9108720930232557</v>
      </c>
      <c r="BN930" s="235" cm="1">
        <f t="array" ref="BN930">$BI930 * SUMPRODUCT(INDEX($AR$77:$AT$82,,$AI930),INDEX($AU$77:$BA$82,,$AH930), N($AQ$77:$AQ$82&gt;$AO930)) / BM930 / 1000</f>
        <v>0</v>
      </c>
      <c r="BO930" s="232">
        <f t="shared" si="833"/>
        <v>30</v>
      </c>
      <c r="BP930" s="230">
        <f t="shared" si="809"/>
        <v>43</v>
      </c>
      <c r="BQ930" s="235">
        <f t="shared" si="810"/>
        <v>3.2938815789473681</v>
      </c>
      <c r="BR930" s="235" cm="1">
        <f t="array" ref="BR930">$BI930 * IF($AH930&lt;=2,
SUMPRODUCT(INDEX($AR$72:$AT$76,,$AI930), INDEX($AU$72:$BA$76,,$AH930), 1 / ($BB$72:$BB$76*BQ930 + (1-$BB$72:$BB$76)*BM930), N($AQ$72:$AQ$76&gt;$AO930)),
SUMPRODUCT(INDEX($AR$67:$AT$76,,$AI930), INDEX($AU$67:$BA$76,,$AH930), 1 / ($BC$67:$BC$76*BQ930 + (1-$BC$67:$BC$76)*BM930), N($AQ$67:$AQ$76&gt;$AO930))
) / 1000</f>
        <v>0</v>
      </c>
      <c r="BS930" s="232">
        <f t="shared" si="834"/>
        <v>25</v>
      </c>
      <c r="BT930" s="230">
        <f t="shared" si="811"/>
        <v>38</v>
      </c>
      <c r="BU930" s="235">
        <f t="shared" si="812"/>
        <v>3.792954545454545</v>
      </c>
      <c r="BV930" s="235" cm="1">
        <f t="array" ref="BV930">$BI930 * IF($AH930&lt;=2,
SUMPRODUCT(INDEX($AR$67:$AT$71,,$AI930), INDEX($AU$67:$BA$71,,$AH930), 1 / ($BB$67:$BB$71*BU930 + (1-$BB$67:$BB$71)*BQ930), N($AQ$67:$AQ$71&gt;$AO930)),
SUMPRODUCT(INDEX($AR$57:$AT$66,,$AI930), INDEX($AU$57:$BA$66,,$AH930), 1 / ($BC$57:$BC$66*BU930 + (1-$BC$57:$BC$66)*BQ930), N($AQ$57:$AQ$66&gt;$AO930))
) / 1000</f>
        <v>0</v>
      </c>
      <c r="BW930" s="232">
        <f t="shared" si="835"/>
        <v>20</v>
      </c>
      <c r="BX930" s="230">
        <f t="shared" si="813"/>
        <v>33</v>
      </c>
      <c r="BY930" s="235">
        <f t="shared" si="814"/>
        <v>4.4702678571428569</v>
      </c>
      <c r="BZ930" s="235" cm="1">
        <f t="array" ref="BZ930">$BI930 * IF($AH930&lt;=2,
SUMPRODUCT(INDEX($AR$62:$AT$66,,$AI930), INDEX($AU$62:$BA$66,,$AH930), 1 / ($BB$62:$BB$66*BY930 + (1-$BB$62:$BB$66)*BU930), N($AQ$62:$AQ$66&gt;$AO930)),
SUMPRODUCT(INDEX($AR$47:$AT$56,,$AI930), INDEX($AU$47:$BA$56,,$AH930), 1 / ($BC$47:$BC$56*BY930 + (1-$BC$47:$BC$56)*BU930), N($AQ$47:$AQ$56&gt;$AO930))
) / 1000</f>
        <v>0</v>
      </c>
      <c r="CA930" s="235" cm="1">
        <f t="array" ref="CA930">$BI930 * IF($AH930&lt;=2,
SUMPRODUCT(INDEX($AR$23:$AT$61,,$AI930), INDEX($AU$23:$BA$61,,$AH930), 1 / ($BB$23:$BB$61*BY930), N($AQ$23:$AQ$61&gt;$AO930)),
SUMPRODUCT(INDEX($AR$23:$AT$46,,$AI930), INDEX($AU$23:$BA$46,,$AH930), 1 / ($BC$23:$BC$46*BY930), N($AQ$23:$AQ$46&gt;$AO930))
) / 1000</f>
        <v>0</v>
      </c>
      <c r="CB930" s="230">
        <f t="shared" si="815"/>
        <v>0</v>
      </c>
      <c r="CC930" s="238"/>
      <c r="CD930" s="229" cm="1">
        <f t="array" ref="CD930">IF(ISBLANK(Y930), INDEX(Use, $AH930, 4) - AN930*INDEX(Use, $AH930, 6) - (Q930-X930), Y930)</f>
        <v>7</v>
      </c>
      <c r="CE930" s="229">
        <f t="shared" si="816"/>
        <v>32</v>
      </c>
      <c r="CF930" s="230">
        <f t="shared" si="817"/>
        <v>0</v>
      </c>
      <c r="CG930" s="229">
        <v>35</v>
      </c>
      <c r="CH930" s="230">
        <f t="shared" si="818"/>
        <v>48</v>
      </c>
      <c r="CI930" s="235">
        <f t="shared" si="819"/>
        <v>3.0748170731707316</v>
      </c>
      <c r="CJ930" s="235" cm="1">
        <f t="array" ref="CJ930">$BI930 * SUMPRODUCT(INDEX($AR$77:$AT$82,,$AI930),INDEX($AU$77:$BA$82,,$AH930), N($AQ$77:$AQ$82&gt;$AO930)) / CI930 / 1000</f>
        <v>0</v>
      </c>
      <c r="CK930" s="232">
        <f t="shared" si="836"/>
        <v>30</v>
      </c>
      <c r="CL930" s="230">
        <f t="shared" si="820"/>
        <v>43</v>
      </c>
      <c r="CM930" s="235">
        <f t="shared" si="821"/>
        <v>3.5018750000000001</v>
      </c>
      <c r="CN930" s="235" cm="1">
        <f t="array" ref="CN930">$BI930 * IF($AH930&lt;=2,
SUMPRODUCT(INDEX($AR$72:$AT$76,,$AI930), INDEX($AU$72:$BA$76,,$AH930), 1 / ($BB$72:$BB$76*CM930 + (1-$BB$72:$BB$76)*CI930), N($AQ$72:$AQ$76&gt;$AO930)),
SUMPRODUCT(INDEX($AR$67:$AT$76,,$AI930), INDEX($AU$67:$BA$76,,$AH930), 1 / ($BC$67:$BC$76*CM930 + (1-$BC$67:$BC$76)*CI930), N($AQ$67:$AQ$76&gt;$AO930))
) / 1000</f>
        <v>0</v>
      </c>
      <c r="CO930" s="232">
        <f t="shared" si="837"/>
        <v>25</v>
      </c>
      <c r="CP930" s="230">
        <f t="shared" si="822"/>
        <v>38</v>
      </c>
      <c r="CQ930" s="235">
        <f t="shared" si="823"/>
        <v>4.0666935483870965</v>
      </c>
      <c r="CR930" s="235" cm="1">
        <f t="array" ref="CR930">$BI930 * IF($AH930&lt;=2,
SUMPRODUCT(INDEX($AR$67:$AT$71,,$AI930), INDEX($AU$67:$BA$71,,$AH930), 1 / ($BB$67:$BB$71*CQ930 + (1-$BB$67:$BB$71)*CM930), N($AQ$67:$AQ$71&gt;$AO930)),
SUMPRODUCT(INDEX($AR$57:$AT$66,,$AI930), INDEX($AU$57:$BA$66,,$AH930), 1 / ($BC$57:$BC$66*CQ930 + (1-$BC$57:$BC$66)*CM930), N($AQ$57:$AQ$66&gt;$AO930))
) / 1000</f>
        <v>0</v>
      </c>
      <c r="CS930" s="232">
        <f t="shared" si="838"/>
        <v>20</v>
      </c>
      <c r="CT930" s="230">
        <f t="shared" si="824"/>
        <v>33</v>
      </c>
      <c r="CU930" s="235">
        <f t="shared" si="825"/>
        <v>4.8487499999999999</v>
      </c>
      <c r="CV930" s="235" cm="1">
        <f t="array" ref="CV930">$BI930 * IF($AH930&lt;=2,
SUMPRODUCT(INDEX($AR$62:$AT$66,,$AI930), INDEX($AU$62:$BA$66,,$AH930), 1 / ($BB$62:$BB$66*CU930 + (1-$BB$62:$BB$66)*CQ930), N($AQ$62:$AQ$66&gt;$AO930)),
SUMPRODUCT(INDEX($AR$47:$AT$56,,$AI930), INDEX($AU$47:$BA$56,,$AH930), 1 / ($BC$47:$BC$56*CU930 + (1-$BC$47:$BC$56)*CQ930), N($AQ$47:$AQ$56&gt;$AO930))
) / 1000</f>
        <v>0</v>
      </c>
      <c r="CW930" s="235" cm="1">
        <f t="array" ref="CW930">$BI930 * IF($AH930&lt;=2,
SUMPRODUCT(INDEX($AR$23:$AT$61,,$AI930), INDEX($AU$23:$BA$61,,$AH930), 1 / ($BB$23:$BB$61*CU930), N($AQ$23:$AQ$61&gt;$AO930)),
SUMPRODUCT(INDEX($AR$23:$AT$46,,$AI930), INDEX($AU$23:$BA$46,,$AH930), 1 / ($BC$23:$BC$46*CU930), N($AQ$23:$AQ$46&gt;$AO930))
) / 1000</f>
        <v>0</v>
      </c>
      <c r="CX930" s="230">
        <f t="shared" si="826"/>
        <v>0</v>
      </c>
      <c r="CY930" s="238"/>
    </row>
    <row r="931" spans="1:103" s="76" customFormat="1" ht="14.25" customHeight="1" x14ac:dyDescent="0.2">
      <c r="A931" s="231" t="b">
        <f t="shared" si="830"/>
        <v>0</v>
      </c>
      <c r="B931" s="245">
        <v>909</v>
      </c>
      <c r="C931" s="258"/>
      <c r="D931" s="258"/>
      <c r="E931" s="246"/>
      <c r="F931" s="247" t="str">
        <f>IF(ISBLANK(E931), "", VLOOKUP(E931, Z!$A$2:$C$4127, 3, FALSE))</f>
        <v/>
      </c>
      <c r="G931" s="248"/>
      <c r="H931" s="248"/>
      <c r="I931" s="249"/>
      <c r="J931" s="250"/>
      <c r="K931" s="259"/>
      <c r="L931" s="260"/>
      <c r="M931" s="252" t="str" cm="1">
        <f t="array" ref="M931">INDEX(Trad, 53, $A$20)</f>
        <v>Verschmutzt</v>
      </c>
      <c r="N931" s="253"/>
      <c r="O931" s="253"/>
      <c r="P931" s="254"/>
      <c r="Q931" s="251"/>
      <c r="R931" s="251"/>
      <c r="S931" s="264">
        <f t="shared" si="801"/>
        <v>0</v>
      </c>
      <c r="T931" s="252" t="str" cm="1">
        <f t="array" ref="T931">INDEX(Trad, 52, $A$20)</f>
        <v>Sauber</v>
      </c>
      <c r="U931" s="253"/>
      <c r="V931" s="253"/>
      <c r="W931" s="254"/>
      <c r="X931" s="251"/>
      <c r="Y931" s="251"/>
      <c r="Z931" s="264">
        <f t="shared" si="802"/>
        <v>0</v>
      </c>
      <c r="AA931" s="261"/>
      <c r="AB931" s="258"/>
      <c r="AC931" s="246"/>
      <c r="AD931" s="247" t="str">
        <f>IF(ISBLANK(AC931), "", VLOOKUP(AC931, Z!$A$2:$C$4127, 3, FALSE))</f>
        <v/>
      </c>
      <c r="AE931" s="262"/>
      <c r="AF931" s="263">
        <f t="shared" si="803"/>
        <v>0</v>
      </c>
      <c r="AG931" s="238"/>
      <c r="AH931" s="229">
        <f t="shared" si="827"/>
        <v>1</v>
      </c>
      <c r="AI931" s="229">
        <f t="shared" si="828"/>
        <v>1</v>
      </c>
      <c r="AJ931" s="229">
        <f t="shared" si="829"/>
        <v>0</v>
      </c>
      <c r="AK931" s="229">
        <v>0</v>
      </c>
      <c r="AL931" s="229">
        <v>0</v>
      </c>
      <c r="AM931" s="229">
        <v>1</v>
      </c>
      <c r="AN931" s="229">
        <v>0</v>
      </c>
      <c r="AO931" s="229">
        <f t="shared" si="804"/>
        <v>-100</v>
      </c>
      <c r="AP931" s="238"/>
      <c r="AQ931" s="255"/>
      <c r="AR931" s="255"/>
      <c r="AS931" s="256"/>
      <c r="AT931" s="256"/>
      <c r="AU931" s="256"/>
      <c r="AV931" s="256"/>
      <c r="AW931" s="256"/>
      <c r="AX931" s="256"/>
      <c r="AY931" s="256"/>
      <c r="AZ931" s="256"/>
      <c r="BA931" s="256"/>
      <c r="BB931" s="256"/>
      <c r="BC931" s="256"/>
      <c r="BD931" s="238"/>
      <c r="BE931" s="229" cm="1">
        <f t="array" ref="BE931">IF(ISBLANK(R931), INDEX(Use, $AH931, 4) - AM931*INDEX(Use, $AH931, 6), R931)</f>
        <v>5</v>
      </c>
      <c r="BF931" s="229">
        <f t="shared" si="805"/>
        <v>30</v>
      </c>
      <c r="BG931" s="229">
        <f t="shared" si="831"/>
        <v>13</v>
      </c>
      <c r="BH931" s="229">
        <f t="shared" si="832"/>
        <v>0</v>
      </c>
      <c r="BI931" s="234" cm="1">
        <f t="array" ref="BI931">K931/IF($L931&gt;0, INDEX($AU$23:$BA$77, $L931+20, $AH931), 1)</f>
        <v>0</v>
      </c>
      <c r="BJ931" s="230">
        <f t="shared" si="806"/>
        <v>0</v>
      </c>
      <c r="BK931" s="229">
        <v>35</v>
      </c>
      <c r="BL931" s="230">
        <f t="shared" si="807"/>
        <v>48</v>
      </c>
      <c r="BM931" s="235">
        <f t="shared" si="808"/>
        <v>2.9108720930232557</v>
      </c>
      <c r="BN931" s="235" cm="1">
        <f t="array" ref="BN931">$BI931 * SUMPRODUCT(INDEX($AR$77:$AT$82,,$AI931),INDEX($AU$77:$BA$82,,$AH931), N($AQ$77:$AQ$82&gt;$AO931)) / BM931 / 1000</f>
        <v>0</v>
      </c>
      <c r="BO931" s="232">
        <f t="shared" si="833"/>
        <v>30</v>
      </c>
      <c r="BP931" s="230">
        <f t="shared" si="809"/>
        <v>43</v>
      </c>
      <c r="BQ931" s="235">
        <f t="shared" si="810"/>
        <v>3.2938815789473681</v>
      </c>
      <c r="BR931" s="235" cm="1">
        <f t="array" ref="BR931">$BI931 * IF($AH931&lt;=2,
SUMPRODUCT(INDEX($AR$72:$AT$76,,$AI931), INDEX($AU$72:$BA$76,,$AH931), 1 / ($BB$72:$BB$76*BQ931 + (1-$BB$72:$BB$76)*BM931), N($AQ$72:$AQ$76&gt;$AO931)),
SUMPRODUCT(INDEX($AR$67:$AT$76,,$AI931), INDEX($AU$67:$BA$76,,$AH931), 1 / ($BC$67:$BC$76*BQ931 + (1-$BC$67:$BC$76)*BM931), N($AQ$67:$AQ$76&gt;$AO931))
) / 1000</f>
        <v>0</v>
      </c>
      <c r="BS931" s="232">
        <f t="shared" si="834"/>
        <v>25</v>
      </c>
      <c r="BT931" s="230">
        <f t="shared" si="811"/>
        <v>38</v>
      </c>
      <c r="BU931" s="235">
        <f t="shared" si="812"/>
        <v>3.792954545454545</v>
      </c>
      <c r="BV931" s="235" cm="1">
        <f t="array" ref="BV931">$BI931 * IF($AH931&lt;=2,
SUMPRODUCT(INDEX($AR$67:$AT$71,,$AI931), INDEX($AU$67:$BA$71,,$AH931), 1 / ($BB$67:$BB$71*BU931 + (1-$BB$67:$BB$71)*BQ931), N($AQ$67:$AQ$71&gt;$AO931)),
SUMPRODUCT(INDEX($AR$57:$AT$66,,$AI931), INDEX($AU$57:$BA$66,,$AH931), 1 / ($BC$57:$BC$66*BU931 + (1-$BC$57:$BC$66)*BQ931), N($AQ$57:$AQ$66&gt;$AO931))
) / 1000</f>
        <v>0</v>
      </c>
      <c r="BW931" s="232">
        <f t="shared" si="835"/>
        <v>20</v>
      </c>
      <c r="BX931" s="230">
        <f t="shared" si="813"/>
        <v>33</v>
      </c>
      <c r="BY931" s="235">
        <f t="shared" si="814"/>
        <v>4.4702678571428569</v>
      </c>
      <c r="BZ931" s="235" cm="1">
        <f t="array" ref="BZ931">$BI931 * IF($AH931&lt;=2,
SUMPRODUCT(INDEX($AR$62:$AT$66,,$AI931), INDEX($AU$62:$BA$66,,$AH931), 1 / ($BB$62:$BB$66*BY931 + (1-$BB$62:$BB$66)*BU931), N($AQ$62:$AQ$66&gt;$AO931)),
SUMPRODUCT(INDEX($AR$47:$AT$56,,$AI931), INDEX($AU$47:$BA$56,,$AH931), 1 / ($BC$47:$BC$56*BY931 + (1-$BC$47:$BC$56)*BU931), N($AQ$47:$AQ$56&gt;$AO931))
) / 1000</f>
        <v>0</v>
      </c>
      <c r="CA931" s="235" cm="1">
        <f t="array" ref="CA931">$BI931 * IF($AH931&lt;=2,
SUMPRODUCT(INDEX($AR$23:$AT$61,,$AI931), INDEX($AU$23:$BA$61,,$AH931), 1 / ($BB$23:$BB$61*BY931), N($AQ$23:$AQ$61&gt;$AO931)),
SUMPRODUCT(INDEX($AR$23:$AT$46,,$AI931), INDEX($AU$23:$BA$46,,$AH931), 1 / ($BC$23:$BC$46*BY931), N($AQ$23:$AQ$46&gt;$AO931))
) / 1000</f>
        <v>0</v>
      </c>
      <c r="CB931" s="230">
        <f t="shared" si="815"/>
        <v>0</v>
      </c>
      <c r="CC931" s="238"/>
      <c r="CD931" s="229" cm="1">
        <f t="array" ref="CD931">IF(ISBLANK(Y931), INDEX(Use, $AH931, 4) - AN931*INDEX(Use, $AH931, 6) - (Q931-X931), Y931)</f>
        <v>7</v>
      </c>
      <c r="CE931" s="229">
        <f t="shared" si="816"/>
        <v>32</v>
      </c>
      <c r="CF931" s="230">
        <f t="shared" si="817"/>
        <v>0</v>
      </c>
      <c r="CG931" s="229">
        <v>35</v>
      </c>
      <c r="CH931" s="230">
        <f t="shared" si="818"/>
        <v>48</v>
      </c>
      <c r="CI931" s="235">
        <f t="shared" si="819"/>
        <v>3.0748170731707316</v>
      </c>
      <c r="CJ931" s="235" cm="1">
        <f t="array" ref="CJ931">$BI931 * SUMPRODUCT(INDEX($AR$77:$AT$82,,$AI931),INDEX($AU$77:$BA$82,,$AH931), N($AQ$77:$AQ$82&gt;$AO931)) / CI931 / 1000</f>
        <v>0</v>
      </c>
      <c r="CK931" s="232">
        <f t="shared" si="836"/>
        <v>30</v>
      </c>
      <c r="CL931" s="230">
        <f t="shared" si="820"/>
        <v>43</v>
      </c>
      <c r="CM931" s="235">
        <f t="shared" si="821"/>
        <v>3.5018750000000001</v>
      </c>
      <c r="CN931" s="235" cm="1">
        <f t="array" ref="CN931">$BI931 * IF($AH931&lt;=2,
SUMPRODUCT(INDEX($AR$72:$AT$76,,$AI931), INDEX($AU$72:$BA$76,,$AH931), 1 / ($BB$72:$BB$76*CM931 + (1-$BB$72:$BB$76)*CI931), N($AQ$72:$AQ$76&gt;$AO931)),
SUMPRODUCT(INDEX($AR$67:$AT$76,,$AI931), INDEX($AU$67:$BA$76,,$AH931), 1 / ($BC$67:$BC$76*CM931 + (1-$BC$67:$BC$76)*CI931), N($AQ$67:$AQ$76&gt;$AO931))
) / 1000</f>
        <v>0</v>
      </c>
      <c r="CO931" s="232">
        <f t="shared" si="837"/>
        <v>25</v>
      </c>
      <c r="CP931" s="230">
        <f t="shared" si="822"/>
        <v>38</v>
      </c>
      <c r="CQ931" s="235">
        <f t="shared" si="823"/>
        <v>4.0666935483870965</v>
      </c>
      <c r="CR931" s="235" cm="1">
        <f t="array" ref="CR931">$BI931 * IF($AH931&lt;=2,
SUMPRODUCT(INDEX($AR$67:$AT$71,,$AI931), INDEX($AU$67:$BA$71,,$AH931), 1 / ($BB$67:$BB$71*CQ931 + (1-$BB$67:$BB$71)*CM931), N($AQ$67:$AQ$71&gt;$AO931)),
SUMPRODUCT(INDEX($AR$57:$AT$66,,$AI931), INDEX($AU$57:$BA$66,,$AH931), 1 / ($BC$57:$BC$66*CQ931 + (1-$BC$57:$BC$66)*CM931), N($AQ$57:$AQ$66&gt;$AO931))
) / 1000</f>
        <v>0</v>
      </c>
      <c r="CS931" s="232">
        <f t="shared" si="838"/>
        <v>20</v>
      </c>
      <c r="CT931" s="230">
        <f t="shared" si="824"/>
        <v>33</v>
      </c>
      <c r="CU931" s="235">
        <f t="shared" si="825"/>
        <v>4.8487499999999999</v>
      </c>
      <c r="CV931" s="235" cm="1">
        <f t="array" ref="CV931">$BI931 * IF($AH931&lt;=2,
SUMPRODUCT(INDEX($AR$62:$AT$66,,$AI931), INDEX($AU$62:$BA$66,,$AH931), 1 / ($BB$62:$BB$66*CU931 + (1-$BB$62:$BB$66)*CQ931), N($AQ$62:$AQ$66&gt;$AO931)),
SUMPRODUCT(INDEX($AR$47:$AT$56,,$AI931), INDEX($AU$47:$BA$56,,$AH931), 1 / ($BC$47:$BC$56*CU931 + (1-$BC$47:$BC$56)*CQ931), N($AQ$47:$AQ$56&gt;$AO931))
) / 1000</f>
        <v>0</v>
      </c>
      <c r="CW931" s="235" cm="1">
        <f t="array" ref="CW931">$BI931 * IF($AH931&lt;=2,
SUMPRODUCT(INDEX($AR$23:$AT$61,,$AI931), INDEX($AU$23:$BA$61,,$AH931), 1 / ($BB$23:$BB$61*CU931), N($AQ$23:$AQ$61&gt;$AO931)),
SUMPRODUCT(INDEX($AR$23:$AT$46,,$AI931), INDEX($AU$23:$BA$46,,$AH931), 1 / ($BC$23:$BC$46*CU931), N($AQ$23:$AQ$46&gt;$AO931))
) / 1000</f>
        <v>0</v>
      </c>
      <c r="CX931" s="230">
        <f t="shared" si="826"/>
        <v>0</v>
      </c>
      <c r="CY931" s="238"/>
    </row>
    <row r="932" spans="1:103" s="76" customFormat="1" ht="14.25" customHeight="1" x14ac:dyDescent="0.2">
      <c r="A932" s="231" t="b">
        <f t="shared" si="830"/>
        <v>0</v>
      </c>
      <c r="B932" s="245">
        <v>910</v>
      </c>
      <c r="C932" s="258"/>
      <c r="D932" s="258"/>
      <c r="E932" s="246"/>
      <c r="F932" s="247" t="str">
        <f>IF(ISBLANK(E932), "", VLOOKUP(E932, Z!$A$2:$C$4127, 3, FALSE))</f>
        <v/>
      </c>
      <c r="G932" s="248"/>
      <c r="H932" s="248"/>
      <c r="I932" s="249"/>
      <c r="J932" s="250"/>
      <c r="K932" s="259"/>
      <c r="L932" s="260"/>
      <c r="M932" s="252" t="str" cm="1">
        <f t="array" ref="M932">INDEX(Trad, 53, $A$20)</f>
        <v>Verschmutzt</v>
      </c>
      <c r="N932" s="253"/>
      <c r="O932" s="253"/>
      <c r="P932" s="254"/>
      <c r="Q932" s="251"/>
      <c r="R932" s="251"/>
      <c r="S932" s="264">
        <f t="shared" si="801"/>
        <v>0</v>
      </c>
      <c r="T932" s="252" t="str" cm="1">
        <f t="array" ref="T932">INDEX(Trad, 52, $A$20)</f>
        <v>Sauber</v>
      </c>
      <c r="U932" s="253"/>
      <c r="V932" s="253"/>
      <c r="W932" s="254"/>
      <c r="X932" s="251"/>
      <c r="Y932" s="251"/>
      <c r="Z932" s="264">
        <f t="shared" si="802"/>
        <v>0</v>
      </c>
      <c r="AA932" s="261"/>
      <c r="AB932" s="258"/>
      <c r="AC932" s="246"/>
      <c r="AD932" s="247" t="str">
        <f>IF(ISBLANK(AC932), "", VLOOKUP(AC932, Z!$A$2:$C$4127, 3, FALSE))</f>
        <v/>
      </c>
      <c r="AE932" s="262"/>
      <c r="AF932" s="263">
        <f t="shared" si="803"/>
        <v>0</v>
      </c>
      <c r="AG932" s="238"/>
      <c r="AH932" s="229">
        <f t="shared" si="827"/>
        <v>1</v>
      </c>
      <c r="AI932" s="229">
        <f t="shared" si="828"/>
        <v>1</v>
      </c>
      <c r="AJ932" s="229">
        <f t="shared" si="829"/>
        <v>0</v>
      </c>
      <c r="AK932" s="229">
        <v>0</v>
      </c>
      <c r="AL932" s="229">
        <v>0</v>
      </c>
      <c r="AM932" s="229">
        <v>1</v>
      </c>
      <c r="AN932" s="229">
        <v>0</v>
      </c>
      <c r="AO932" s="229">
        <f t="shared" si="804"/>
        <v>-100</v>
      </c>
      <c r="AP932" s="238"/>
      <c r="AQ932" s="255"/>
      <c r="AR932" s="255"/>
      <c r="AS932" s="256"/>
      <c r="AT932" s="256"/>
      <c r="AU932" s="256"/>
      <c r="AV932" s="256"/>
      <c r="AW932" s="256"/>
      <c r="AX932" s="256"/>
      <c r="AY932" s="256"/>
      <c r="AZ932" s="256"/>
      <c r="BA932" s="256"/>
      <c r="BB932" s="256"/>
      <c r="BC932" s="256"/>
      <c r="BD932" s="238"/>
      <c r="BE932" s="229" cm="1">
        <f t="array" ref="BE932">IF(ISBLANK(R932), INDEX(Use, $AH932, 4) - AM932*INDEX(Use, $AH932, 6), R932)</f>
        <v>5</v>
      </c>
      <c r="BF932" s="229">
        <f t="shared" si="805"/>
        <v>30</v>
      </c>
      <c r="BG932" s="229">
        <f t="shared" si="831"/>
        <v>13</v>
      </c>
      <c r="BH932" s="229">
        <f t="shared" si="832"/>
        <v>0</v>
      </c>
      <c r="BI932" s="234" cm="1">
        <f t="array" ref="BI932">K932/IF($L932&gt;0, INDEX($AU$23:$BA$77, $L932+20, $AH932), 1)</f>
        <v>0</v>
      </c>
      <c r="BJ932" s="230">
        <f t="shared" si="806"/>
        <v>0</v>
      </c>
      <c r="BK932" s="229">
        <v>35</v>
      </c>
      <c r="BL932" s="230">
        <f t="shared" si="807"/>
        <v>48</v>
      </c>
      <c r="BM932" s="235">
        <f t="shared" si="808"/>
        <v>2.9108720930232557</v>
      </c>
      <c r="BN932" s="235" cm="1">
        <f t="array" ref="BN932">$BI932 * SUMPRODUCT(INDEX($AR$77:$AT$82,,$AI932),INDEX($AU$77:$BA$82,,$AH932), N($AQ$77:$AQ$82&gt;$AO932)) / BM932 / 1000</f>
        <v>0</v>
      </c>
      <c r="BO932" s="232">
        <f t="shared" si="833"/>
        <v>30</v>
      </c>
      <c r="BP932" s="230">
        <f t="shared" si="809"/>
        <v>43</v>
      </c>
      <c r="BQ932" s="235">
        <f t="shared" si="810"/>
        <v>3.2938815789473681</v>
      </c>
      <c r="BR932" s="235" cm="1">
        <f t="array" ref="BR932">$BI932 * IF($AH932&lt;=2,
SUMPRODUCT(INDEX($AR$72:$AT$76,,$AI932), INDEX($AU$72:$BA$76,,$AH932), 1 / ($BB$72:$BB$76*BQ932 + (1-$BB$72:$BB$76)*BM932), N($AQ$72:$AQ$76&gt;$AO932)),
SUMPRODUCT(INDEX($AR$67:$AT$76,,$AI932), INDEX($AU$67:$BA$76,,$AH932), 1 / ($BC$67:$BC$76*BQ932 + (1-$BC$67:$BC$76)*BM932), N($AQ$67:$AQ$76&gt;$AO932))
) / 1000</f>
        <v>0</v>
      </c>
      <c r="BS932" s="232">
        <f t="shared" si="834"/>
        <v>25</v>
      </c>
      <c r="BT932" s="230">
        <f t="shared" si="811"/>
        <v>38</v>
      </c>
      <c r="BU932" s="235">
        <f t="shared" si="812"/>
        <v>3.792954545454545</v>
      </c>
      <c r="BV932" s="235" cm="1">
        <f t="array" ref="BV932">$BI932 * IF($AH932&lt;=2,
SUMPRODUCT(INDEX($AR$67:$AT$71,,$AI932), INDEX($AU$67:$BA$71,,$AH932), 1 / ($BB$67:$BB$71*BU932 + (1-$BB$67:$BB$71)*BQ932), N($AQ$67:$AQ$71&gt;$AO932)),
SUMPRODUCT(INDEX($AR$57:$AT$66,,$AI932), INDEX($AU$57:$BA$66,,$AH932), 1 / ($BC$57:$BC$66*BU932 + (1-$BC$57:$BC$66)*BQ932), N($AQ$57:$AQ$66&gt;$AO932))
) / 1000</f>
        <v>0</v>
      </c>
      <c r="BW932" s="232">
        <f t="shared" si="835"/>
        <v>20</v>
      </c>
      <c r="BX932" s="230">
        <f t="shared" si="813"/>
        <v>33</v>
      </c>
      <c r="BY932" s="235">
        <f t="shared" si="814"/>
        <v>4.4702678571428569</v>
      </c>
      <c r="BZ932" s="235" cm="1">
        <f t="array" ref="BZ932">$BI932 * IF($AH932&lt;=2,
SUMPRODUCT(INDEX($AR$62:$AT$66,,$AI932), INDEX($AU$62:$BA$66,,$AH932), 1 / ($BB$62:$BB$66*BY932 + (1-$BB$62:$BB$66)*BU932), N($AQ$62:$AQ$66&gt;$AO932)),
SUMPRODUCT(INDEX($AR$47:$AT$56,,$AI932), INDEX($AU$47:$BA$56,,$AH932), 1 / ($BC$47:$BC$56*BY932 + (1-$BC$47:$BC$56)*BU932), N($AQ$47:$AQ$56&gt;$AO932))
) / 1000</f>
        <v>0</v>
      </c>
      <c r="CA932" s="235" cm="1">
        <f t="array" ref="CA932">$BI932 * IF($AH932&lt;=2,
SUMPRODUCT(INDEX($AR$23:$AT$61,,$AI932), INDEX($AU$23:$BA$61,,$AH932), 1 / ($BB$23:$BB$61*BY932), N($AQ$23:$AQ$61&gt;$AO932)),
SUMPRODUCT(INDEX($AR$23:$AT$46,,$AI932), INDEX($AU$23:$BA$46,,$AH932), 1 / ($BC$23:$BC$46*BY932), N($AQ$23:$AQ$46&gt;$AO932))
) / 1000</f>
        <v>0</v>
      </c>
      <c r="CB932" s="230">
        <f t="shared" si="815"/>
        <v>0</v>
      </c>
      <c r="CC932" s="238"/>
      <c r="CD932" s="229" cm="1">
        <f t="array" ref="CD932">IF(ISBLANK(Y932), INDEX(Use, $AH932, 4) - AN932*INDEX(Use, $AH932, 6) - (Q932-X932), Y932)</f>
        <v>7</v>
      </c>
      <c r="CE932" s="229">
        <f t="shared" si="816"/>
        <v>32</v>
      </c>
      <c r="CF932" s="230">
        <f t="shared" si="817"/>
        <v>0</v>
      </c>
      <c r="CG932" s="229">
        <v>35</v>
      </c>
      <c r="CH932" s="230">
        <f t="shared" si="818"/>
        <v>48</v>
      </c>
      <c r="CI932" s="235">
        <f t="shared" si="819"/>
        <v>3.0748170731707316</v>
      </c>
      <c r="CJ932" s="235" cm="1">
        <f t="array" ref="CJ932">$BI932 * SUMPRODUCT(INDEX($AR$77:$AT$82,,$AI932),INDEX($AU$77:$BA$82,,$AH932), N($AQ$77:$AQ$82&gt;$AO932)) / CI932 / 1000</f>
        <v>0</v>
      </c>
      <c r="CK932" s="232">
        <f t="shared" si="836"/>
        <v>30</v>
      </c>
      <c r="CL932" s="230">
        <f t="shared" si="820"/>
        <v>43</v>
      </c>
      <c r="CM932" s="235">
        <f t="shared" si="821"/>
        <v>3.5018750000000001</v>
      </c>
      <c r="CN932" s="235" cm="1">
        <f t="array" ref="CN932">$BI932 * IF($AH932&lt;=2,
SUMPRODUCT(INDEX($AR$72:$AT$76,,$AI932), INDEX($AU$72:$BA$76,,$AH932), 1 / ($BB$72:$BB$76*CM932 + (1-$BB$72:$BB$76)*CI932), N($AQ$72:$AQ$76&gt;$AO932)),
SUMPRODUCT(INDEX($AR$67:$AT$76,,$AI932), INDEX($AU$67:$BA$76,,$AH932), 1 / ($BC$67:$BC$76*CM932 + (1-$BC$67:$BC$76)*CI932), N($AQ$67:$AQ$76&gt;$AO932))
) / 1000</f>
        <v>0</v>
      </c>
      <c r="CO932" s="232">
        <f t="shared" si="837"/>
        <v>25</v>
      </c>
      <c r="CP932" s="230">
        <f t="shared" si="822"/>
        <v>38</v>
      </c>
      <c r="CQ932" s="235">
        <f t="shared" si="823"/>
        <v>4.0666935483870965</v>
      </c>
      <c r="CR932" s="235" cm="1">
        <f t="array" ref="CR932">$BI932 * IF($AH932&lt;=2,
SUMPRODUCT(INDEX($AR$67:$AT$71,,$AI932), INDEX($AU$67:$BA$71,,$AH932), 1 / ($BB$67:$BB$71*CQ932 + (1-$BB$67:$BB$71)*CM932), N($AQ$67:$AQ$71&gt;$AO932)),
SUMPRODUCT(INDEX($AR$57:$AT$66,,$AI932), INDEX($AU$57:$BA$66,,$AH932), 1 / ($BC$57:$BC$66*CQ932 + (1-$BC$57:$BC$66)*CM932), N($AQ$57:$AQ$66&gt;$AO932))
) / 1000</f>
        <v>0</v>
      </c>
      <c r="CS932" s="232">
        <f t="shared" si="838"/>
        <v>20</v>
      </c>
      <c r="CT932" s="230">
        <f t="shared" si="824"/>
        <v>33</v>
      </c>
      <c r="CU932" s="235">
        <f t="shared" si="825"/>
        <v>4.8487499999999999</v>
      </c>
      <c r="CV932" s="235" cm="1">
        <f t="array" ref="CV932">$BI932 * IF($AH932&lt;=2,
SUMPRODUCT(INDEX($AR$62:$AT$66,,$AI932), INDEX($AU$62:$BA$66,,$AH932), 1 / ($BB$62:$BB$66*CU932 + (1-$BB$62:$BB$66)*CQ932), N($AQ$62:$AQ$66&gt;$AO932)),
SUMPRODUCT(INDEX($AR$47:$AT$56,,$AI932), INDEX($AU$47:$BA$56,,$AH932), 1 / ($BC$47:$BC$56*CU932 + (1-$BC$47:$BC$56)*CQ932), N($AQ$47:$AQ$56&gt;$AO932))
) / 1000</f>
        <v>0</v>
      </c>
      <c r="CW932" s="235" cm="1">
        <f t="array" ref="CW932">$BI932 * IF($AH932&lt;=2,
SUMPRODUCT(INDEX($AR$23:$AT$61,,$AI932), INDEX($AU$23:$BA$61,,$AH932), 1 / ($BB$23:$BB$61*CU932), N($AQ$23:$AQ$61&gt;$AO932)),
SUMPRODUCT(INDEX($AR$23:$AT$46,,$AI932), INDEX($AU$23:$BA$46,,$AH932), 1 / ($BC$23:$BC$46*CU932), N($AQ$23:$AQ$46&gt;$AO932))
) / 1000</f>
        <v>0</v>
      </c>
      <c r="CX932" s="230">
        <f t="shared" si="826"/>
        <v>0</v>
      </c>
      <c r="CY932" s="238"/>
    </row>
    <row r="933" spans="1:103" s="76" customFormat="1" ht="14.25" customHeight="1" x14ac:dyDescent="0.2">
      <c r="A933" s="231" t="b">
        <f t="shared" si="830"/>
        <v>0</v>
      </c>
      <c r="B933" s="245">
        <v>911</v>
      </c>
      <c r="C933" s="258"/>
      <c r="D933" s="258"/>
      <c r="E933" s="246"/>
      <c r="F933" s="247" t="str">
        <f>IF(ISBLANK(E933), "", VLOOKUP(E933, Z!$A$2:$C$4127, 3, FALSE))</f>
        <v/>
      </c>
      <c r="G933" s="248"/>
      <c r="H933" s="248"/>
      <c r="I933" s="249"/>
      <c r="J933" s="250"/>
      <c r="K933" s="259"/>
      <c r="L933" s="260"/>
      <c r="M933" s="252" t="str" cm="1">
        <f t="array" ref="M933">INDEX(Trad, 53, $A$20)</f>
        <v>Verschmutzt</v>
      </c>
      <c r="N933" s="253"/>
      <c r="O933" s="253"/>
      <c r="P933" s="254"/>
      <c r="Q933" s="251"/>
      <c r="R933" s="251"/>
      <c r="S933" s="264">
        <f t="shared" si="801"/>
        <v>0</v>
      </c>
      <c r="T933" s="252" t="str" cm="1">
        <f t="array" ref="T933">INDEX(Trad, 52, $A$20)</f>
        <v>Sauber</v>
      </c>
      <c r="U933" s="253"/>
      <c r="V933" s="253"/>
      <c r="W933" s="254"/>
      <c r="X933" s="251"/>
      <c r="Y933" s="251"/>
      <c r="Z933" s="264">
        <f t="shared" si="802"/>
        <v>0</v>
      </c>
      <c r="AA933" s="261"/>
      <c r="AB933" s="258"/>
      <c r="AC933" s="246"/>
      <c r="AD933" s="247" t="str">
        <f>IF(ISBLANK(AC933), "", VLOOKUP(AC933, Z!$A$2:$C$4127, 3, FALSE))</f>
        <v/>
      </c>
      <c r="AE933" s="262"/>
      <c r="AF933" s="263">
        <f t="shared" si="803"/>
        <v>0</v>
      </c>
      <c r="AG933" s="238"/>
      <c r="AH933" s="229">
        <f t="shared" si="827"/>
        <v>1</v>
      </c>
      <c r="AI933" s="229">
        <f t="shared" si="828"/>
        <v>1</v>
      </c>
      <c r="AJ933" s="229">
        <f t="shared" si="829"/>
        <v>0</v>
      </c>
      <c r="AK933" s="229">
        <v>0</v>
      </c>
      <c r="AL933" s="229">
        <v>0</v>
      </c>
      <c r="AM933" s="229">
        <v>1</v>
      </c>
      <c r="AN933" s="229">
        <v>0</v>
      </c>
      <c r="AO933" s="229">
        <f t="shared" si="804"/>
        <v>-100</v>
      </c>
      <c r="AP933" s="238"/>
      <c r="AQ933" s="255"/>
      <c r="AR933" s="255"/>
      <c r="AS933" s="256"/>
      <c r="AT933" s="256"/>
      <c r="AU933" s="256"/>
      <c r="AV933" s="256"/>
      <c r="AW933" s="256"/>
      <c r="AX933" s="256"/>
      <c r="AY933" s="256"/>
      <c r="AZ933" s="256"/>
      <c r="BA933" s="256"/>
      <c r="BB933" s="256"/>
      <c r="BC933" s="256"/>
      <c r="BD933" s="238"/>
      <c r="BE933" s="229" cm="1">
        <f t="array" ref="BE933">IF(ISBLANK(R933), INDEX(Use, $AH933, 4) - AM933*INDEX(Use, $AH933, 6), R933)</f>
        <v>5</v>
      </c>
      <c r="BF933" s="229">
        <f t="shared" si="805"/>
        <v>30</v>
      </c>
      <c r="BG933" s="229">
        <f t="shared" si="831"/>
        <v>13</v>
      </c>
      <c r="BH933" s="229">
        <f t="shared" si="832"/>
        <v>0</v>
      </c>
      <c r="BI933" s="234" cm="1">
        <f t="array" ref="BI933">K933/IF($L933&gt;0, INDEX($AU$23:$BA$77, $L933+20, $AH933), 1)</f>
        <v>0</v>
      </c>
      <c r="BJ933" s="230">
        <f t="shared" si="806"/>
        <v>0</v>
      </c>
      <c r="BK933" s="229">
        <v>35</v>
      </c>
      <c r="BL933" s="230">
        <f t="shared" si="807"/>
        <v>48</v>
      </c>
      <c r="BM933" s="235">
        <f t="shared" si="808"/>
        <v>2.9108720930232557</v>
      </c>
      <c r="BN933" s="235" cm="1">
        <f t="array" ref="BN933">$BI933 * SUMPRODUCT(INDEX($AR$77:$AT$82,,$AI933),INDEX($AU$77:$BA$82,,$AH933), N($AQ$77:$AQ$82&gt;$AO933)) / BM933 / 1000</f>
        <v>0</v>
      </c>
      <c r="BO933" s="232">
        <f t="shared" si="833"/>
        <v>30</v>
      </c>
      <c r="BP933" s="230">
        <f t="shared" si="809"/>
        <v>43</v>
      </c>
      <c r="BQ933" s="235">
        <f t="shared" si="810"/>
        <v>3.2938815789473681</v>
      </c>
      <c r="BR933" s="235" cm="1">
        <f t="array" ref="BR933">$BI933 * IF($AH933&lt;=2,
SUMPRODUCT(INDEX($AR$72:$AT$76,,$AI933), INDEX($AU$72:$BA$76,,$AH933), 1 / ($BB$72:$BB$76*BQ933 + (1-$BB$72:$BB$76)*BM933), N($AQ$72:$AQ$76&gt;$AO933)),
SUMPRODUCT(INDEX($AR$67:$AT$76,,$AI933), INDEX($AU$67:$BA$76,,$AH933), 1 / ($BC$67:$BC$76*BQ933 + (1-$BC$67:$BC$76)*BM933), N($AQ$67:$AQ$76&gt;$AO933))
) / 1000</f>
        <v>0</v>
      </c>
      <c r="BS933" s="232">
        <f t="shared" si="834"/>
        <v>25</v>
      </c>
      <c r="BT933" s="230">
        <f t="shared" si="811"/>
        <v>38</v>
      </c>
      <c r="BU933" s="235">
        <f t="shared" si="812"/>
        <v>3.792954545454545</v>
      </c>
      <c r="BV933" s="235" cm="1">
        <f t="array" ref="BV933">$BI933 * IF($AH933&lt;=2,
SUMPRODUCT(INDEX($AR$67:$AT$71,,$AI933), INDEX($AU$67:$BA$71,,$AH933), 1 / ($BB$67:$BB$71*BU933 + (1-$BB$67:$BB$71)*BQ933), N($AQ$67:$AQ$71&gt;$AO933)),
SUMPRODUCT(INDEX($AR$57:$AT$66,,$AI933), INDEX($AU$57:$BA$66,,$AH933), 1 / ($BC$57:$BC$66*BU933 + (1-$BC$57:$BC$66)*BQ933), N($AQ$57:$AQ$66&gt;$AO933))
) / 1000</f>
        <v>0</v>
      </c>
      <c r="BW933" s="232">
        <f t="shared" si="835"/>
        <v>20</v>
      </c>
      <c r="BX933" s="230">
        <f t="shared" si="813"/>
        <v>33</v>
      </c>
      <c r="BY933" s="235">
        <f t="shared" si="814"/>
        <v>4.4702678571428569</v>
      </c>
      <c r="BZ933" s="235" cm="1">
        <f t="array" ref="BZ933">$BI933 * IF($AH933&lt;=2,
SUMPRODUCT(INDEX($AR$62:$AT$66,,$AI933), INDEX($AU$62:$BA$66,,$AH933), 1 / ($BB$62:$BB$66*BY933 + (1-$BB$62:$BB$66)*BU933), N($AQ$62:$AQ$66&gt;$AO933)),
SUMPRODUCT(INDEX($AR$47:$AT$56,,$AI933), INDEX($AU$47:$BA$56,,$AH933), 1 / ($BC$47:$BC$56*BY933 + (1-$BC$47:$BC$56)*BU933), N($AQ$47:$AQ$56&gt;$AO933))
) / 1000</f>
        <v>0</v>
      </c>
      <c r="CA933" s="235" cm="1">
        <f t="array" ref="CA933">$BI933 * IF($AH933&lt;=2,
SUMPRODUCT(INDEX($AR$23:$AT$61,,$AI933), INDEX($AU$23:$BA$61,,$AH933), 1 / ($BB$23:$BB$61*BY933), N($AQ$23:$AQ$61&gt;$AO933)),
SUMPRODUCT(INDEX($AR$23:$AT$46,,$AI933), INDEX($AU$23:$BA$46,,$AH933), 1 / ($BC$23:$BC$46*BY933), N($AQ$23:$AQ$46&gt;$AO933))
) / 1000</f>
        <v>0</v>
      </c>
      <c r="CB933" s="230">
        <f t="shared" si="815"/>
        <v>0</v>
      </c>
      <c r="CC933" s="238"/>
      <c r="CD933" s="229" cm="1">
        <f t="array" ref="CD933">IF(ISBLANK(Y933), INDEX(Use, $AH933, 4) - AN933*INDEX(Use, $AH933, 6) - (Q933-X933), Y933)</f>
        <v>7</v>
      </c>
      <c r="CE933" s="229">
        <f t="shared" si="816"/>
        <v>32</v>
      </c>
      <c r="CF933" s="230">
        <f t="shared" si="817"/>
        <v>0</v>
      </c>
      <c r="CG933" s="229">
        <v>35</v>
      </c>
      <c r="CH933" s="230">
        <f t="shared" si="818"/>
        <v>48</v>
      </c>
      <c r="CI933" s="235">
        <f t="shared" si="819"/>
        <v>3.0748170731707316</v>
      </c>
      <c r="CJ933" s="235" cm="1">
        <f t="array" ref="CJ933">$BI933 * SUMPRODUCT(INDEX($AR$77:$AT$82,,$AI933),INDEX($AU$77:$BA$82,,$AH933), N($AQ$77:$AQ$82&gt;$AO933)) / CI933 / 1000</f>
        <v>0</v>
      </c>
      <c r="CK933" s="232">
        <f t="shared" si="836"/>
        <v>30</v>
      </c>
      <c r="CL933" s="230">
        <f t="shared" si="820"/>
        <v>43</v>
      </c>
      <c r="CM933" s="235">
        <f t="shared" si="821"/>
        <v>3.5018750000000001</v>
      </c>
      <c r="CN933" s="235" cm="1">
        <f t="array" ref="CN933">$BI933 * IF($AH933&lt;=2,
SUMPRODUCT(INDEX($AR$72:$AT$76,,$AI933), INDEX($AU$72:$BA$76,,$AH933), 1 / ($BB$72:$BB$76*CM933 + (1-$BB$72:$BB$76)*CI933), N($AQ$72:$AQ$76&gt;$AO933)),
SUMPRODUCT(INDEX($AR$67:$AT$76,,$AI933), INDEX($AU$67:$BA$76,,$AH933), 1 / ($BC$67:$BC$76*CM933 + (1-$BC$67:$BC$76)*CI933), N($AQ$67:$AQ$76&gt;$AO933))
) / 1000</f>
        <v>0</v>
      </c>
      <c r="CO933" s="232">
        <f t="shared" si="837"/>
        <v>25</v>
      </c>
      <c r="CP933" s="230">
        <f t="shared" si="822"/>
        <v>38</v>
      </c>
      <c r="CQ933" s="235">
        <f t="shared" si="823"/>
        <v>4.0666935483870965</v>
      </c>
      <c r="CR933" s="235" cm="1">
        <f t="array" ref="CR933">$BI933 * IF($AH933&lt;=2,
SUMPRODUCT(INDEX($AR$67:$AT$71,,$AI933), INDEX($AU$67:$BA$71,,$AH933), 1 / ($BB$67:$BB$71*CQ933 + (1-$BB$67:$BB$71)*CM933), N($AQ$67:$AQ$71&gt;$AO933)),
SUMPRODUCT(INDEX($AR$57:$AT$66,,$AI933), INDEX($AU$57:$BA$66,,$AH933), 1 / ($BC$57:$BC$66*CQ933 + (1-$BC$57:$BC$66)*CM933), N($AQ$57:$AQ$66&gt;$AO933))
) / 1000</f>
        <v>0</v>
      </c>
      <c r="CS933" s="232">
        <f t="shared" si="838"/>
        <v>20</v>
      </c>
      <c r="CT933" s="230">
        <f t="shared" si="824"/>
        <v>33</v>
      </c>
      <c r="CU933" s="235">
        <f t="shared" si="825"/>
        <v>4.8487499999999999</v>
      </c>
      <c r="CV933" s="235" cm="1">
        <f t="array" ref="CV933">$BI933 * IF($AH933&lt;=2,
SUMPRODUCT(INDEX($AR$62:$AT$66,,$AI933), INDEX($AU$62:$BA$66,,$AH933), 1 / ($BB$62:$BB$66*CU933 + (1-$BB$62:$BB$66)*CQ933), N($AQ$62:$AQ$66&gt;$AO933)),
SUMPRODUCT(INDEX($AR$47:$AT$56,,$AI933), INDEX($AU$47:$BA$56,,$AH933), 1 / ($BC$47:$BC$56*CU933 + (1-$BC$47:$BC$56)*CQ933), N($AQ$47:$AQ$56&gt;$AO933))
) / 1000</f>
        <v>0</v>
      </c>
      <c r="CW933" s="235" cm="1">
        <f t="array" ref="CW933">$BI933 * IF($AH933&lt;=2,
SUMPRODUCT(INDEX($AR$23:$AT$61,,$AI933), INDEX($AU$23:$BA$61,,$AH933), 1 / ($BB$23:$BB$61*CU933), N($AQ$23:$AQ$61&gt;$AO933)),
SUMPRODUCT(INDEX($AR$23:$AT$46,,$AI933), INDEX($AU$23:$BA$46,,$AH933), 1 / ($BC$23:$BC$46*CU933), N($AQ$23:$AQ$46&gt;$AO933))
) / 1000</f>
        <v>0</v>
      </c>
      <c r="CX933" s="230">
        <f t="shared" si="826"/>
        <v>0</v>
      </c>
      <c r="CY933" s="238"/>
    </row>
    <row r="934" spans="1:103" s="76" customFormat="1" ht="14.25" customHeight="1" x14ac:dyDescent="0.2">
      <c r="A934" s="231" t="b">
        <f t="shared" si="830"/>
        <v>0</v>
      </c>
      <c r="B934" s="245">
        <v>912</v>
      </c>
      <c r="C934" s="258"/>
      <c r="D934" s="258"/>
      <c r="E934" s="246"/>
      <c r="F934" s="247" t="str">
        <f>IF(ISBLANK(E934), "", VLOOKUP(E934, Z!$A$2:$C$4127, 3, FALSE))</f>
        <v/>
      </c>
      <c r="G934" s="248"/>
      <c r="H934" s="248"/>
      <c r="I934" s="249"/>
      <c r="J934" s="250"/>
      <c r="K934" s="259"/>
      <c r="L934" s="260"/>
      <c r="M934" s="252" t="str" cm="1">
        <f t="array" ref="M934">INDEX(Trad, 53, $A$20)</f>
        <v>Verschmutzt</v>
      </c>
      <c r="N934" s="253"/>
      <c r="O934" s="253"/>
      <c r="P934" s="254"/>
      <c r="Q934" s="251"/>
      <c r="R934" s="251"/>
      <c r="S934" s="264">
        <f t="shared" si="801"/>
        <v>0</v>
      </c>
      <c r="T934" s="252" t="str" cm="1">
        <f t="array" ref="T934">INDEX(Trad, 52, $A$20)</f>
        <v>Sauber</v>
      </c>
      <c r="U934" s="253"/>
      <c r="V934" s="253"/>
      <c r="W934" s="254"/>
      <c r="X934" s="251"/>
      <c r="Y934" s="251"/>
      <c r="Z934" s="264">
        <f t="shared" si="802"/>
        <v>0</v>
      </c>
      <c r="AA934" s="261"/>
      <c r="AB934" s="258"/>
      <c r="AC934" s="246"/>
      <c r="AD934" s="247" t="str">
        <f>IF(ISBLANK(AC934), "", VLOOKUP(AC934, Z!$A$2:$C$4127, 3, FALSE))</f>
        <v/>
      </c>
      <c r="AE934" s="262"/>
      <c r="AF934" s="263">
        <f t="shared" si="803"/>
        <v>0</v>
      </c>
      <c r="AG934" s="238"/>
      <c r="AH934" s="229">
        <f t="shared" si="827"/>
        <v>1</v>
      </c>
      <c r="AI934" s="229">
        <f t="shared" si="828"/>
        <v>1</v>
      </c>
      <c r="AJ934" s="229">
        <f t="shared" si="829"/>
        <v>0</v>
      </c>
      <c r="AK934" s="229">
        <v>0</v>
      </c>
      <c r="AL934" s="229">
        <v>0</v>
      </c>
      <c r="AM934" s="229">
        <v>1</v>
      </c>
      <c r="AN934" s="229">
        <v>0</v>
      </c>
      <c r="AO934" s="229">
        <f t="shared" si="804"/>
        <v>-100</v>
      </c>
      <c r="AP934" s="238"/>
      <c r="AQ934" s="255"/>
      <c r="AR934" s="255"/>
      <c r="AS934" s="256"/>
      <c r="AT934" s="256"/>
      <c r="AU934" s="256"/>
      <c r="AV934" s="256"/>
      <c r="AW934" s="256"/>
      <c r="AX934" s="256"/>
      <c r="AY934" s="256"/>
      <c r="AZ934" s="256"/>
      <c r="BA934" s="256"/>
      <c r="BB934" s="256"/>
      <c r="BC934" s="256"/>
      <c r="BD934" s="238"/>
      <c r="BE934" s="229" cm="1">
        <f t="array" ref="BE934">IF(ISBLANK(R934), INDEX(Use, $AH934, 4) - AM934*INDEX(Use, $AH934, 6), R934)</f>
        <v>5</v>
      </c>
      <c r="BF934" s="229">
        <f t="shared" si="805"/>
        <v>30</v>
      </c>
      <c r="BG934" s="229">
        <f t="shared" si="831"/>
        <v>13</v>
      </c>
      <c r="BH934" s="229">
        <f t="shared" si="832"/>
        <v>0</v>
      </c>
      <c r="BI934" s="234" cm="1">
        <f t="array" ref="BI934">K934/IF($L934&gt;0, INDEX($AU$23:$BA$77, $L934+20, $AH934), 1)</f>
        <v>0</v>
      </c>
      <c r="BJ934" s="230">
        <f t="shared" si="806"/>
        <v>0</v>
      </c>
      <c r="BK934" s="229">
        <v>35</v>
      </c>
      <c r="BL934" s="230">
        <f t="shared" si="807"/>
        <v>48</v>
      </c>
      <c r="BM934" s="235">
        <f t="shared" si="808"/>
        <v>2.9108720930232557</v>
      </c>
      <c r="BN934" s="235" cm="1">
        <f t="array" ref="BN934">$BI934 * SUMPRODUCT(INDEX($AR$77:$AT$82,,$AI934),INDEX($AU$77:$BA$82,,$AH934), N($AQ$77:$AQ$82&gt;$AO934)) / BM934 / 1000</f>
        <v>0</v>
      </c>
      <c r="BO934" s="232">
        <f t="shared" si="833"/>
        <v>30</v>
      </c>
      <c r="BP934" s="230">
        <f t="shared" si="809"/>
        <v>43</v>
      </c>
      <c r="BQ934" s="235">
        <f t="shared" si="810"/>
        <v>3.2938815789473681</v>
      </c>
      <c r="BR934" s="235" cm="1">
        <f t="array" ref="BR934">$BI934 * IF($AH934&lt;=2,
SUMPRODUCT(INDEX($AR$72:$AT$76,,$AI934), INDEX($AU$72:$BA$76,,$AH934), 1 / ($BB$72:$BB$76*BQ934 + (1-$BB$72:$BB$76)*BM934), N($AQ$72:$AQ$76&gt;$AO934)),
SUMPRODUCT(INDEX($AR$67:$AT$76,,$AI934), INDEX($AU$67:$BA$76,,$AH934), 1 / ($BC$67:$BC$76*BQ934 + (1-$BC$67:$BC$76)*BM934), N($AQ$67:$AQ$76&gt;$AO934))
) / 1000</f>
        <v>0</v>
      </c>
      <c r="BS934" s="232">
        <f t="shared" si="834"/>
        <v>25</v>
      </c>
      <c r="BT934" s="230">
        <f t="shared" si="811"/>
        <v>38</v>
      </c>
      <c r="BU934" s="235">
        <f t="shared" si="812"/>
        <v>3.792954545454545</v>
      </c>
      <c r="BV934" s="235" cm="1">
        <f t="array" ref="BV934">$BI934 * IF($AH934&lt;=2,
SUMPRODUCT(INDEX($AR$67:$AT$71,,$AI934), INDEX($AU$67:$BA$71,,$AH934), 1 / ($BB$67:$BB$71*BU934 + (1-$BB$67:$BB$71)*BQ934), N($AQ$67:$AQ$71&gt;$AO934)),
SUMPRODUCT(INDEX($AR$57:$AT$66,,$AI934), INDEX($AU$57:$BA$66,,$AH934), 1 / ($BC$57:$BC$66*BU934 + (1-$BC$57:$BC$66)*BQ934), N($AQ$57:$AQ$66&gt;$AO934))
) / 1000</f>
        <v>0</v>
      </c>
      <c r="BW934" s="232">
        <f t="shared" si="835"/>
        <v>20</v>
      </c>
      <c r="BX934" s="230">
        <f t="shared" si="813"/>
        <v>33</v>
      </c>
      <c r="BY934" s="235">
        <f t="shared" si="814"/>
        <v>4.4702678571428569</v>
      </c>
      <c r="BZ934" s="235" cm="1">
        <f t="array" ref="BZ934">$BI934 * IF($AH934&lt;=2,
SUMPRODUCT(INDEX($AR$62:$AT$66,,$AI934), INDEX($AU$62:$BA$66,,$AH934), 1 / ($BB$62:$BB$66*BY934 + (1-$BB$62:$BB$66)*BU934), N($AQ$62:$AQ$66&gt;$AO934)),
SUMPRODUCT(INDEX($AR$47:$AT$56,,$AI934), INDEX($AU$47:$BA$56,,$AH934), 1 / ($BC$47:$BC$56*BY934 + (1-$BC$47:$BC$56)*BU934), N($AQ$47:$AQ$56&gt;$AO934))
) / 1000</f>
        <v>0</v>
      </c>
      <c r="CA934" s="235" cm="1">
        <f t="array" ref="CA934">$BI934 * IF($AH934&lt;=2,
SUMPRODUCT(INDEX($AR$23:$AT$61,,$AI934), INDEX($AU$23:$BA$61,,$AH934), 1 / ($BB$23:$BB$61*BY934), N($AQ$23:$AQ$61&gt;$AO934)),
SUMPRODUCT(INDEX($AR$23:$AT$46,,$AI934), INDEX($AU$23:$BA$46,,$AH934), 1 / ($BC$23:$BC$46*BY934), N($AQ$23:$AQ$46&gt;$AO934))
) / 1000</f>
        <v>0</v>
      </c>
      <c r="CB934" s="230">
        <f t="shared" si="815"/>
        <v>0</v>
      </c>
      <c r="CC934" s="238"/>
      <c r="CD934" s="229" cm="1">
        <f t="array" ref="CD934">IF(ISBLANK(Y934), INDEX(Use, $AH934, 4) - AN934*INDEX(Use, $AH934, 6) - (Q934-X934), Y934)</f>
        <v>7</v>
      </c>
      <c r="CE934" s="229">
        <f t="shared" si="816"/>
        <v>32</v>
      </c>
      <c r="CF934" s="230">
        <f t="shared" si="817"/>
        <v>0</v>
      </c>
      <c r="CG934" s="229">
        <v>35</v>
      </c>
      <c r="CH934" s="230">
        <f t="shared" si="818"/>
        <v>48</v>
      </c>
      <c r="CI934" s="235">
        <f t="shared" si="819"/>
        <v>3.0748170731707316</v>
      </c>
      <c r="CJ934" s="235" cm="1">
        <f t="array" ref="CJ934">$BI934 * SUMPRODUCT(INDEX($AR$77:$AT$82,,$AI934),INDEX($AU$77:$BA$82,,$AH934), N($AQ$77:$AQ$82&gt;$AO934)) / CI934 / 1000</f>
        <v>0</v>
      </c>
      <c r="CK934" s="232">
        <f t="shared" si="836"/>
        <v>30</v>
      </c>
      <c r="CL934" s="230">
        <f t="shared" si="820"/>
        <v>43</v>
      </c>
      <c r="CM934" s="235">
        <f t="shared" si="821"/>
        <v>3.5018750000000001</v>
      </c>
      <c r="CN934" s="235" cm="1">
        <f t="array" ref="CN934">$BI934 * IF($AH934&lt;=2,
SUMPRODUCT(INDEX($AR$72:$AT$76,,$AI934), INDEX($AU$72:$BA$76,,$AH934), 1 / ($BB$72:$BB$76*CM934 + (1-$BB$72:$BB$76)*CI934), N($AQ$72:$AQ$76&gt;$AO934)),
SUMPRODUCT(INDEX($AR$67:$AT$76,,$AI934), INDEX($AU$67:$BA$76,,$AH934), 1 / ($BC$67:$BC$76*CM934 + (1-$BC$67:$BC$76)*CI934), N($AQ$67:$AQ$76&gt;$AO934))
) / 1000</f>
        <v>0</v>
      </c>
      <c r="CO934" s="232">
        <f t="shared" si="837"/>
        <v>25</v>
      </c>
      <c r="CP934" s="230">
        <f t="shared" si="822"/>
        <v>38</v>
      </c>
      <c r="CQ934" s="235">
        <f t="shared" si="823"/>
        <v>4.0666935483870965</v>
      </c>
      <c r="CR934" s="235" cm="1">
        <f t="array" ref="CR934">$BI934 * IF($AH934&lt;=2,
SUMPRODUCT(INDEX($AR$67:$AT$71,,$AI934), INDEX($AU$67:$BA$71,,$AH934), 1 / ($BB$67:$BB$71*CQ934 + (1-$BB$67:$BB$71)*CM934), N($AQ$67:$AQ$71&gt;$AO934)),
SUMPRODUCT(INDEX($AR$57:$AT$66,,$AI934), INDEX($AU$57:$BA$66,,$AH934), 1 / ($BC$57:$BC$66*CQ934 + (1-$BC$57:$BC$66)*CM934), N($AQ$57:$AQ$66&gt;$AO934))
) / 1000</f>
        <v>0</v>
      </c>
      <c r="CS934" s="232">
        <f t="shared" si="838"/>
        <v>20</v>
      </c>
      <c r="CT934" s="230">
        <f t="shared" si="824"/>
        <v>33</v>
      </c>
      <c r="CU934" s="235">
        <f t="shared" si="825"/>
        <v>4.8487499999999999</v>
      </c>
      <c r="CV934" s="235" cm="1">
        <f t="array" ref="CV934">$BI934 * IF($AH934&lt;=2,
SUMPRODUCT(INDEX($AR$62:$AT$66,,$AI934), INDEX($AU$62:$BA$66,,$AH934), 1 / ($BB$62:$BB$66*CU934 + (1-$BB$62:$BB$66)*CQ934), N($AQ$62:$AQ$66&gt;$AO934)),
SUMPRODUCT(INDEX($AR$47:$AT$56,,$AI934), INDEX($AU$47:$BA$56,,$AH934), 1 / ($BC$47:$BC$56*CU934 + (1-$BC$47:$BC$56)*CQ934), N($AQ$47:$AQ$56&gt;$AO934))
) / 1000</f>
        <v>0</v>
      </c>
      <c r="CW934" s="235" cm="1">
        <f t="array" ref="CW934">$BI934 * IF($AH934&lt;=2,
SUMPRODUCT(INDEX($AR$23:$AT$61,,$AI934), INDEX($AU$23:$BA$61,,$AH934), 1 / ($BB$23:$BB$61*CU934), N($AQ$23:$AQ$61&gt;$AO934)),
SUMPRODUCT(INDEX($AR$23:$AT$46,,$AI934), INDEX($AU$23:$BA$46,,$AH934), 1 / ($BC$23:$BC$46*CU934), N($AQ$23:$AQ$46&gt;$AO934))
) / 1000</f>
        <v>0</v>
      </c>
      <c r="CX934" s="230">
        <f t="shared" si="826"/>
        <v>0</v>
      </c>
      <c r="CY934" s="238"/>
    </row>
    <row r="935" spans="1:103" s="76" customFormat="1" ht="14.25" customHeight="1" x14ac:dyDescent="0.2">
      <c r="A935" s="231" t="b">
        <f t="shared" si="830"/>
        <v>0</v>
      </c>
      <c r="B935" s="245">
        <v>913</v>
      </c>
      <c r="C935" s="258"/>
      <c r="D935" s="258"/>
      <c r="E935" s="246"/>
      <c r="F935" s="247" t="str">
        <f>IF(ISBLANK(E935), "", VLOOKUP(E935, Z!$A$2:$C$4127, 3, FALSE))</f>
        <v/>
      </c>
      <c r="G935" s="248"/>
      <c r="H935" s="248"/>
      <c r="I935" s="249"/>
      <c r="J935" s="250"/>
      <c r="K935" s="259"/>
      <c r="L935" s="260"/>
      <c r="M935" s="252" t="str" cm="1">
        <f t="array" ref="M935">INDEX(Trad, 53, $A$20)</f>
        <v>Verschmutzt</v>
      </c>
      <c r="N935" s="253"/>
      <c r="O935" s="253"/>
      <c r="P935" s="254"/>
      <c r="Q935" s="251"/>
      <c r="R935" s="251"/>
      <c r="S935" s="264">
        <f t="shared" si="801"/>
        <v>0</v>
      </c>
      <c r="T935" s="252" t="str" cm="1">
        <f t="array" ref="T935">INDEX(Trad, 52, $A$20)</f>
        <v>Sauber</v>
      </c>
      <c r="U935" s="253"/>
      <c r="V935" s="253"/>
      <c r="W935" s="254"/>
      <c r="X935" s="251"/>
      <c r="Y935" s="251"/>
      <c r="Z935" s="264">
        <f t="shared" si="802"/>
        <v>0</v>
      </c>
      <c r="AA935" s="261"/>
      <c r="AB935" s="258"/>
      <c r="AC935" s="246"/>
      <c r="AD935" s="247" t="str">
        <f>IF(ISBLANK(AC935), "", VLOOKUP(AC935, Z!$A$2:$C$4127, 3, FALSE))</f>
        <v/>
      </c>
      <c r="AE935" s="262"/>
      <c r="AF935" s="263">
        <f t="shared" si="803"/>
        <v>0</v>
      </c>
      <c r="AG935" s="238"/>
      <c r="AH935" s="229">
        <f t="shared" si="827"/>
        <v>1</v>
      </c>
      <c r="AI935" s="229">
        <f t="shared" si="828"/>
        <v>1</v>
      </c>
      <c r="AJ935" s="229">
        <f t="shared" si="829"/>
        <v>0</v>
      </c>
      <c r="AK935" s="229">
        <v>0</v>
      </c>
      <c r="AL935" s="229">
        <v>0</v>
      </c>
      <c r="AM935" s="229">
        <v>1</v>
      </c>
      <c r="AN935" s="229">
        <v>0</v>
      </c>
      <c r="AO935" s="229">
        <f t="shared" si="804"/>
        <v>-100</v>
      </c>
      <c r="AP935" s="238"/>
      <c r="AQ935" s="255"/>
      <c r="AR935" s="255"/>
      <c r="AS935" s="256"/>
      <c r="AT935" s="256"/>
      <c r="AU935" s="256"/>
      <c r="AV935" s="256"/>
      <c r="AW935" s="256"/>
      <c r="AX935" s="256"/>
      <c r="AY935" s="256"/>
      <c r="AZ935" s="256"/>
      <c r="BA935" s="256"/>
      <c r="BB935" s="256"/>
      <c r="BC935" s="256"/>
      <c r="BD935" s="238"/>
      <c r="BE935" s="229" cm="1">
        <f t="array" ref="BE935">IF(ISBLANK(R935), INDEX(Use, $AH935, 4) - AM935*INDEX(Use, $AH935, 6), R935)</f>
        <v>5</v>
      </c>
      <c r="BF935" s="229">
        <f t="shared" si="805"/>
        <v>30</v>
      </c>
      <c r="BG935" s="229">
        <f t="shared" si="831"/>
        <v>13</v>
      </c>
      <c r="BH935" s="229">
        <f t="shared" si="832"/>
        <v>0</v>
      </c>
      <c r="BI935" s="234" cm="1">
        <f t="array" ref="BI935">K935/IF($L935&gt;0, INDEX($AU$23:$BA$77, $L935+20, $AH935), 1)</f>
        <v>0</v>
      </c>
      <c r="BJ935" s="230">
        <f t="shared" si="806"/>
        <v>0</v>
      </c>
      <c r="BK935" s="229">
        <v>35</v>
      </c>
      <c r="BL935" s="230">
        <f t="shared" si="807"/>
        <v>48</v>
      </c>
      <c r="BM935" s="235">
        <f t="shared" si="808"/>
        <v>2.9108720930232557</v>
      </c>
      <c r="BN935" s="235" cm="1">
        <f t="array" ref="BN935">$BI935 * SUMPRODUCT(INDEX($AR$77:$AT$82,,$AI935),INDEX($AU$77:$BA$82,,$AH935), N($AQ$77:$AQ$82&gt;$AO935)) / BM935 / 1000</f>
        <v>0</v>
      </c>
      <c r="BO935" s="232">
        <f t="shared" si="833"/>
        <v>30</v>
      </c>
      <c r="BP935" s="230">
        <f t="shared" si="809"/>
        <v>43</v>
      </c>
      <c r="BQ935" s="235">
        <f t="shared" si="810"/>
        <v>3.2938815789473681</v>
      </c>
      <c r="BR935" s="235" cm="1">
        <f t="array" ref="BR935">$BI935 * IF($AH935&lt;=2,
SUMPRODUCT(INDEX($AR$72:$AT$76,,$AI935), INDEX($AU$72:$BA$76,,$AH935), 1 / ($BB$72:$BB$76*BQ935 + (1-$BB$72:$BB$76)*BM935), N($AQ$72:$AQ$76&gt;$AO935)),
SUMPRODUCT(INDEX($AR$67:$AT$76,,$AI935), INDEX($AU$67:$BA$76,,$AH935), 1 / ($BC$67:$BC$76*BQ935 + (1-$BC$67:$BC$76)*BM935), N($AQ$67:$AQ$76&gt;$AO935))
) / 1000</f>
        <v>0</v>
      </c>
      <c r="BS935" s="232">
        <f t="shared" si="834"/>
        <v>25</v>
      </c>
      <c r="BT935" s="230">
        <f t="shared" si="811"/>
        <v>38</v>
      </c>
      <c r="BU935" s="235">
        <f t="shared" si="812"/>
        <v>3.792954545454545</v>
      </c>
      <c r="BV935" s="235" cm="1">
        <f t="array" ref="BV935">$BI935 * IF($AH935&lt;=2,
SUMPRODUCT(INDEX($AR$67:$AT$71,,$AI935), INDEX($AU$67:$BA$71,,$AH935), 1 / ($BB$67:$BB$71*BU935 + (1-$BB$67:$BB$71)*BQ935), N($AQ$67:$AQ$71&gt;$AO935)),
SUMPRODUCT(INDEX($AR$57:$AT$66,,$AI935), INDEX($AU$57:$BA$66,,$AH935), 1 / ($BC$57:$BC$66*BU935 + (1-$BC$57:$BC$66)*BQ935), N($AQ$57:$AQ$66&gt;$AO935))
) / 1000</f>
        <v>0</v>
      </c>
      <c r="BW935" s="232">
        <f t="shared" si="835"/>
        <v>20</v>
      </c>
      <c r="BX935" s="230">
        <f t="shared" si="813"/>
        <v>33</v>
      </c>
      <c r="BY935" s="235">
        <f t="shared" si="814"/>
        <v>4.4702678571428569</v>
      </c>
      <c r="BZ935" s="235" cm="1">
        <f t="array" ref="BZ935">$BI935 * IF($AH935&lt;=2,
SUMPRODUCT(INDEX($AR$62:$AT$66,,$AI935), INDEX($AU$62:$BA$66,,$AH935), 1 / ($BB$62:$BB$66*BY935 + (1-$BB$62:$BB$66)*BU935), N($AQ$62:$AQ$66&gt;$AO935)),
SUMPRODUCT(INDEX($AR$47:$AT$56,,$AI935), INDEX($AU$47:$BA$56,,$AH935), 1 / ($BC$47:$BC$56*BY935 + (1-$BC$47:$BC$56)*BU935), N($AQ$47:$AQ$56&gt;$AO935))
) / 1000</f>
        <v>0</v>
      </c>
      <c r="CA935" s="235" cm="1">
        <f t="array" ref="CA935">$BI935 * IF($AH935&lt;=2,
SUMPRODUCT(INDEX($AR$23:$AT$61,,$AI935), INDEX($AU$23:$BA$61,,$AH935), 1 / ($BB$23:$BB$61*BY935), N($AQ$23:$AQ$61&gt;$AO935)),
SUMPRODUCT(INDEX($AR$23:$AT$46,,$AI935), INDEX($AU$23:$BA$46,,$AH935), 1 / ($BC$23:$BC$46*BY935), N($AQ$23:$AQ$46&gt;$AO935))
) / 1000</f>
        <v>0</v>
      </c>
      <c r="CB935" s="230">
        <f t="shared" si="815"/>
        <v>0</v>
      </c>
      <c r="CC935" s="238"/>
      <c r="CD935" s="229" cm="1">
        <f t="array" ref="CD935">IF(ISBLANK(Y935), INDEX(Use, $AH935, 4) - AN935*INDEX(Use, $AH935, 6) - (Q935-X935), Y935)</f>
        <v>7</v>
      </c>
      <c r="CE935" s="229">
        <f t="shared" si="816"/>
        <v>32</v>
      </c>
      <c r="CF935" s="230">
        <f t="shared" si="817"/>
        <v>0</v>
      </c>
      <c r="CG935" s="229">
        <v>35</v>
      </c>
      <c r="CH935" s="230">
        <f t="shared" si="818"/>
        <v>48</v>
      </c>
      <c r="CI935" s="235">
        <f t="shared" si="819"/>
        <v>3.0748170731707316</v>
      </c>
      <c r="CJ935" s="235" cm="1">
        <f t="array" ref="CJ935">$BI935 * SUMPRODUCT(INDEX($AR$77:$AT$82,,$AI935),INDEX($AU$77:$BA$82,,$AH935), N($AQ$77:$AQ$82&gt;$AO935)) / CI935 / 1000</f>
        <v>0</v>
      </c>
      <c r="CK935" s="232">
        <f t="shared" si="836"/>
        <v>30</v>
      </c>
      <c r="CL935" s="230">
        <f t="shared" si="820"/>
        <v>43</v>
      </c>
      <c r="CM935" s="235">
        <f t="shared" si="821"/>
        <v>3.5018750000000001</v>
      </c>
      <c r="CN935" s="235" cm="1">
        <f t="array" ref="CN935">$BI935 * IF($AH935&lt;=2,
SUMPRODUCT(INDEX($AR$72:$AT$76,,$AI935), INDEX($AU$72:$BA$76,,$AH935), 1 / ($BB$72:$BB$76*CM935 + (1-$BB$72:$BB$76)*CI935), N($AQ$72:$AQ$76&gt;$AO935)),
SUMPRODUCT(INDEX($AR$67:$AT$76,,$AI935), INDEX($AU$67:$BA$76,,$AH935), 1 / ($BC$67:$BC$76*CM935 + (1-$BC$67:$BC$76)*CI935), N($AQ$67:$AQ$76&gt;$AO935))
) / 1000</f>
        <v>0</v>
      </c>
      <c r="CO935" s="232">
        <f t="shared" si="837"/>
        <v>25</v>
      </c>
      <c r="CP935" s="230">
        <f t="shared" si="822"/>
        <v>38</v>
      </c>
      <c r="CQ935" s="235">
        <f t="shared" si="823"/>
        <v>4.0666935483870965</v>
      </c>
      <c r="CR935" s="235" cm="1">
        <f t="array" ref="CR935">$BI935 * IF($AH935&lt;=2,
SUMPRODUCT(INDEX($AR$67:$AT$71,,$AI935), INDEX($AU$67:$BA$71,,$AH935), 1 / ($BB$67:$BB$71*CQ935 + (1-$BB$67:$BB$71)*CM935), N($AQ$67:$AQ$71&gt;$AO935)),
SUMPRODUCT(INDEX($AR$57:$AT$66,,$AI935), INDEX($AU$57:$BA$66,,$AH935), 1 / ($BC$57:$BC$66*CQ935 + (1-$BC$57:$BC$66)*CM935), N($AQ$57:$AQ$66&gt;$AO935))
) / 1000</f>
        <v>0</v>
      </c>
      <c r="CS935" s="232">
        <f t="shared" si="838"/>
        <v>20</v>
      </c>
      <c r="CT935" s="230">
        <f t="shared" si="824"/>
        <v>33</v>
      </c>
      <c r="CU935" s="235">
        <f t="shared" si="825"/>
        <v>4.8487499999999999</v>
      </c>
      <c r="CV935" s="235" cm="1">
        <f t="array" ref="CV935">$BI935 * IF($AH935&lt;=2,
SUMPRODUCT(INDEX($AR$62:$AT$66,,$AI935), INDEX($AU$62:$BA$66,,$AH935), 1 / ($BB$62:$BB$66*CU935 + (1-$BB$62:$BB$66)*CQ935), N($AQ$62:$AQ$66&gt;$AO935)),
SUMPRODUCT(INDEX($AR$47:$AT$56,,$AI935), INDEX($AU$47:$BA$56,,$AH935), 1 / ($BC$47:$BC$56*CU935 + (1-$BC$47:$BC$56)*CQ935), N($AQ$47:$AQ$56&gt;$AO935))
) / 1000</f>
        <v>0</v>
      </c>
      <c r="CW935" s="235" cm="1">
        <f t="array" ref="CW935">$BI935 * IF($AH935&lt;=2,
SUMPRODUCT(INDEX($AR$23:$AT$61,,$AI935), INDEX($AU$23:$BA$61,,$AH935), 1 / ($BB$23:$BB$61*CU935), N($AQ$23:$AQ$61&gt;$AO935)),
SUMPRODUCT(INDEX($AR$23:$AT$46,,$AI935), INDEX($AU$23:$BA$46,,$AH935), 1 / ($BC$23:$BC$46*CU935), N($AQ$23:$AQ$46&gt;$AO935))
) / 1000</f>
        <v>0</v>
      </c>
      <c r="CX935" s="230">
        <f t="shared" si="826"/>
        <v>0</v>
      </c>
      <c r="CY935" s="238"/>
    </row>
    <row r="936" spans="1:103" s="76" customFormat="1" ht="14.25" customHeight="1" x14ac:dyDescent="0.2">
      <c r="A936" s="231" t="b">
        <f t="shared" si="830"/>
        <v>0</v>
      </c>
      <c r="B936" s="245">
        <v>914</v>
      </c>
      <c r="C936" s="258"/>
      <c r="D936" s="258"/>
      <c r="E936" s="246"/>
      <c r="F936" s="247" t="str">
        <f>IF(ISBLANK(E936), "", VLOOKUP(E936, Z!$A$2:$C$4127, 3, FALSE))</f>
        <v/>
      </c>
      <c r="G936" s="248"/>
      <c r="H936" s="248"/>
      <c r="I936" s="249"/>
      <c r="J936" s="250"/>
      <c r="K936" s="259"/>
      <c r="L936" s="260"/>
      <c r="M936" s="252" t="str" cm="1">
        <f t="array" ref="M936">INDEX(Trad, 53, $A$20)</f>
        <v>Verschmutzt</v>
      </c>
      <c r="N936" s="253"/>
      <c r="O936" s="253"/>
      <c r="P936" s="254"/>
      <c r="Q936" s="251"/>
      <c r="R936" s="251"/>
      <c r="S936" s="264">
        <f t="shared" si="801"/>
        <v>0</v>
      </c>
      <c r="T936" s="252" t="str" cm="1">
        <f t="array" ref="T936">INDEX(Trad, 52, $A$20)</f>
        <v>Sauber</v>
      </c>
      <c r="U936" s="253"/>
      <c r="V936" s="253"/>
      <c r="W936" s="254"/>
      <c r="X936" s="251"/>
      <c r="Y936" s="251"/>
      <c r="Z936" s="264">
        <f t="shared" si="802"/>
        <v>0</v>
      </c>
      <c r="AA936" s="261"/>
      <c r="AB936" s="258"/>
      <c r="AC936" s="246"/>
      <c r="AD936" s="247" t="str">
        <f>IF(ISBLANK(AC936), "", VLOOKUP(AC936, Z!$A$2:$C$4127, 3, FALSE))</f>
        <v/>
      </c>
      <c r="AE936" s="262"/>
      <c r="AF936" s="263">
        <f t="shared" si="803"/>
        <v>0</v>
      </c>
      <c r="AG936" s="238"/>
      <c r="AH936" s="229">
        <f t="shared" si="827"/>
        <v>1</v>
      </c>
      <c r="AI936" s="229">
        <f t="shared" si="828"/>
        <v>1</v>
      </c>
      <c r="AJ936" s="229">
        <f t="shared" si="829"/>
        <v>0</v>
      </c>
      <c r="AK936" s="229">
        <v>0</v>
      </c>
      <c r="AL936" s="229">
        <v>0</v>
      </c>
      <c r="AM936" s="229">
        <v>1</v>
      </c>
      <c r="AN936" s="229">
        <v>0</v>
      </c>
      <c r="AO936" s="229">
        <f t="shared" si="804"/>
        <v>-100</v>
      </c>
      <c r="AP936" s="238"/>
      <c r="AQ936" s="255"/>
      <c r="AR936" s="255"/>
      <c r="AS936" s="256"/>
      <c r="AT936" s="256"/>
      <c r="AU936" s="256"/>
      <c r="AV936" s="256"/>
      <c r="AW936" s="256"/>
      <c r="AX936" s="256"/>
      <c r="AY936" s="256"/>
      <c r="AZ936" s="256"/>
      <c r="BA936" s="256"/>
      <c r="BB936" s="256"/>
      <c r="BC936" s="256"/>
      <c r="BD936" s="238"/>
      <c r="BE936" s="229" cm="1">
        <f t="array" ref="BE936">IF(ISBLANK(R936), INDEX(Use, $AH936, 4) - AM936*INDEX(Use, $AH936, 6), R936)</f>
        <v>5</v>
      </c>
      <c r="BF936" s="229">
        <f t="shared" si="805"/>
        <v>30</v>
      </c>
      <c r="BG936" s="229">
        <f t="shared" si="831"/>
        <v>13</v>
      </c>
      <c r="BH936" s="229">
        <f t="shared" si="832"/>
        <v>0</v>
      </c>
      <c r="BI936" s="234" cm="1">
        <f t="array" ref="BI936">K936/IF($L936&gt;0, INDEX($AU$23:$BA$77, $L936+20, $AH936), 1)</f>
        <v>0</v>
      </c>
      <c r="BJ936" s="230">
        <f t="shared" si="806"/>
        <v>0</v>
      </c>
      <c r="BK936" s="229">
        <v>35</v>
      </c>
      <c r="BL936" s="230">
        <f t="shared" si="807"/>
        <v>48</v>
      </c>
      <c r="BM936" s="235">
        <f t="shared" si="808"/>
        <v>2.9108720930232557</v>
      </c>
      <c r="BN936" s="235" cm="1">
        <f t="array" ref="BN936">$BI936 * SUMPRODUCT(INDEX($AR$77:$AT$82,,$AI936),INDEX($AU$77:$BA$82,,$AH936), N($AQ$77:$AQ$82&gt;$AO936)) / BM936 / 1000</f>
        <v>0</v>
      </c>
      <c r="BO936" s="232">
        <f t="shared" si="833"/>
        <v>30</v>
      </c>
      <c r="BP936" s="230">
        <f t="shared" si="809"/>
        <v>43</v>
      </c>
      <c r="BQ936" s="235">
        <f t="shared" si="810"/>
        <v>3.2938815789473681</v>
      </c>
      <c r="BR936" s="235" cm="1">
        <f t="array" ref="BR936">$BI936 * IF($AH936&lt;=2,
SUMPRODUCT(INDEX($AR$72:$AT$76,,$AI936), INDEX($AU$72:$BA$76,,$AH936), 1 / ($BB$72:$BB$76*BQ936 + (1-$BB$72:$BB$76)*BM936), N($AQ$72:$AQ$76&gt;$AO936)),
SUMPRODUCT(INDEX($AR$67:$AT$76,,$AI936), INDEX($AU$67:$BA$76,,$AH936), 1 / ($BC$67:$BC$76*BQ936 + (1-$BC$67:$BC$76)*BM936), N($AQ$67:$AQ$76&gt;$AO936))
) / 1000</f>
        <v>0</v>
      </c>
      <c r="BS936" s="232">
        <f t="shared" si="834"/>
        <v>25</v>
      </c>
      <c r="BT936" s="230">
        <f t="shared" si="811"/>
        <v>38</v>
      </c>
      <c r="BU936" s="235">
        <f t="shared" si="812"/>
        <v>3.792954545454545</v>
      </c>
      <c r="BV936" s="235" cm="1">
        <f t="array" ref="BV936">$BI936 * IF($AH936&lt;=2,
SUMPRODUCT(INDEX($AR$67:$AT$71,,$AI936), INDEX($AU$67:$BA$71,,$AH936), 1 / ($BB$67:$BB$71*BU936 + (1-$BB$67:$BB$71)*BQ936), N($AQ$67:$AQ$71&gt;$AO936)),
SUMPRODUCT(INDEX($AR$57:$AT$66,,$AI936), INDEX($AU$57:$BA$66,,$AH936), 1 / ($BC$57:$BC$66*BU936 + (1-$BC$57:$BC$66)*BQ936), N($AQ$57:$AQ$66&gt;$AO936))
) / 1000</f>
        <v>0</v>
      </c>
      <c r="BW936" s="232">
        <f t="shared" si="835"/>
        <v>20</v>
      </c>
      <c r="BX936" s="230">
        <f t="shared" si="813"/>
        <v>33</v>
      </c>
      <c r="BY936" s="235">
        <f t="shared" si="814"/>
        <v>4.4702678571428569</v>
      </c>
      <c r="BZ936" s="235" cm="1">
        <f t="array" ref="BZ936">$BI936 * IF($AH936&lt;=2,
SUMPRODUCT(INDEX($AR$62:$AT$66,,$AI936), INDEX($AU$62:$BA$66,,$AH936), 1 / ($BB$62:$BB$66*BY936 + (1-$BB$62:$BB$66)*BU936), N($AQ$62:$AQ$66&gt;$AO936)),
SUMPRODUCT(INDEX($AR$47:$AT$56,,$AI936), INDEX($AU$47:$BA$56,,$AH936), 1 / ($BC$47:$BC$56*BY936 + (1-$BC$47:$BC$56)*BU936), N($AQ$47:$AQ$56&gt;$AO936))
) / 1000</f>
        <v>0</v>
      </c>
      <c r="CA936" s="235" cm="1">
        <f t="array" ref="CA936">$BI936 * IF($AH936&lt;=2,
SUMPRODUCT(INDEX($AR$23:$AT$61,,$AI936), INDEX($AU$23:$BA$61,,$AH936), 1 / ($BB$23:$BB$61*BY936), N($AQ$23:$AQ$61&gt;$AO936)),
SUMPRODUCT(INDEX($AR$23:$AT$46,,$AI936), INDEX($AU$23:$BA$46,,$AH936), 1 / ($BC$23:$BC$46*BY936), N($AQ$23:$AQ$46&gt;$AO936))
) / 1000</f>
        <v>0</v>
      </c>
      <c r="CB936" s="230">
        <f t="shared" si="815"/>
        <v>0</v>
      </c>
      <c r="CC936" s="238"/>
      <c r="CD936" s="229" cm="1">
        <f t="array" ref="CD936">IF(ISBLANK(Y936), INDEX(Use, $AH936, 4) - AN936*INDEX(Use, $AH936, 6) - (Q936-X936), Y936)</f>
        <v>7</v>
      </c>
      <c r="CE936" s="229">
        <f t="shared" si="816"/>
        <v>32</v>
      </c>
      <c r="CF936" s="230">
        <f t="shared" si="817"/>
        <v>0</v>
      </c>
      <c r="CG936" s="229">
        <v>35</v>
      </c>
      <c r="CH936" s="230">
        <f t="shared" si="818"/>
        <v>48</v>
      </c>
      <c r="CI936" s="235">
        <f t="shared" si="819"/>
        <v>3.0748170731707316</v>
      </c>
      <c r="CJ936" s="235" cm="1">
        <f t="array" ref="CJ936">$BI936 * SUMPRODUCT(INDEX($AR$77:$AT$82,,$AI936),INDEX($AU$77:$BA$82,,$AH936), N($AQ$77:$AQ$82&gt;$AO936)) / CI936 / 1000</f>
        <v>0</v>
      </c>
      <c r="CK936" s="232">
        <f t="shared" si="836"/>
        <v>30</v>
      </c>
      <c r="CL936" s="230">
        <f t="shared" si="820"/>
        <v>43</v>
      </c>
      <c r="CM936" s="235">
        <f t="shared" si="821"/>
        <v>3.5018750000000001</v>
      </c>
      <c r="CN936" s="235" cm="1">
        <f t="array" ref="CN936">$BI936 * IF($AH936&lt;=2,
SUMPRODUCT(INDEX($AR$72:$AT$76,,$AI936), INDEX($AU$72:$BA$76,,$AH936), 1 / ($BB$72:$BB$76*CM936 + (1-$BB$72:$BB$76)*CI936), N($AQ$72:$AQ$76&gt;$AO936)),
SUMPRODUCT(INDEX($AR$67:$AT$76,,$AI936), INDEX($AU$67:$BA$76,,$AH936), 1 / ($BC$67:$BC$76*CM936 + (1-$BC$67:$BC$76)*CI936), N($AQ$67:$AQ$76&gt;$AO936))
) / 1000</f>
        <v>0</v>
      </c>
      <c r="CO936" s="232">
        <f t="shared" si="837"/>
        <v>25</v>
      </c>
      <c r="CP936" s="230">
        <f t="shared" si="822"/>
        <v>38</v>
      </c>
      <c r="CQ936" s="235">
        <f t="shared" si="823"/>
        <v>4.0666935483870965</v>
      </c>
      <c r="CR936" s="235" cm="1">
        <f t="array" ref="CR936">$BI936 * IF($AH936&lt;=2,
SUMPRODUCT(INDEX($AR$67:$AT$71,,$AI936), INDEX($AU$67:$BA$71,,$AH936), 1 / ($BB$67:$BB$71*CQ936 + (1-$BB$67:$BB$71)*CM936), N($AQ$67:$AQ$71&gt;$AO936)),
SUMPRODUCT(INDEX($AR$57:$AT$66,,$AI936), INDEX($AU$57:$BA$66,,$AH936), 1 / ($BC$57:$BC$66*CQ936 + (1-$BC$57:$BC$66)*CM936), N($AQ$57:$AQ$66&gt;$AO936))
) / 1000</f>
        <v>0</v>
      </c>
      <c r="CS936" s="232">
        <f t="shared" si="838"/>
        <v>20</v>
      </c>
      <c r="CT936" s="230">
        <f t="shared" si="824"/>
        <v>33</v>
      </c>
      <c r="CU936" s="235">
        <f t="shared" si="825"/>
        <v>4.8487499999999999</v>
      </c>
      <c r="CV936" s="235" cm="1">
        <f t="array" ref="CV936">$BI936 * IF($AH936&lt;=2,
SUMPRODUCT(INDEX($AR$62:$AT$66,,$AI936), INDEX($AU$62:$BA$66,,$AH936), 1 / ($BB$62:$BB$66*CU936 + (1-$BB$62:$BB$66)*CQ936), N($AQ$62:$AQ$66&gt;$AO936)),
SUMPRODUCT(INDEX($AR$47:$AT$56,,$AI936), INDEX($AU$47:$BA$56,,$AH936), 1 / ($BC$47:$BC$56*CU936 + (1-$BC$47:$BC$56)*CQ936), N($AQ$47:$AQ$56&gt;$AO936))
) / 1000</f>
        <v>0</v>
      </c>
      <c r="CW936" s="235" cm="1">
        <f t="array" ref="CW936">$BI936 * IF($AH936&lt;=2,
SUMPRODUCT(INDEX($AR$23:$AT$61,,$AI936), INDEX($AU$23:$BA$61,,$AH936), 1 / ($BB$23:$BB$61*CU936), N($AQ$23:$AQ$61&gt;$AO936)),
SUMPRODUCT(INDEX($AR$23:$AT$46,,$AI936), INDEX($AU$23:$BA$46,,$AH936), 1 / ($BC$23:$BC$46*CU936), N($AQ$23:$AQ$46&gt;$AO936))
) / 1000</f>
        <v>0</v>
      </c>
      <c r="CX936" s="230">
        <f t="shared" si="826"/>
        <v>0</v>
      </c>
      <c r="CY936" s="238"/>
    </row>
    <row r="937" spans="1:103" s="76" customFormat="1" ht="14.25" customHeight="1" x14ac:dyDescent="0.2">
      <c r="A937" s="231" t="b">
        <f t="shared" si="830"/>
        <v>0</v>
      </c>
      <c r="B937" s="245">
        <v>915</v>
      </c>
      <c r="C937" s="258"/>
      <c r="D937" s="258"/>
      <c r="E937" s="246"/>
      <c r="F937" s="247" t="str">
        <f>IF(ISBLANK(E937), "", VLOOKUP(E937, Z!$A$2:$C$4127, 3, FALSE))</f>
        <v/>
      </c>
      <c r="G937" s="248"/>
      <c r="H937" s="248"/>
      <c r="I937" s="249"/>
      <c r="J937" s="250"/>
      <c r="K937" s="259"/>
      <c r="L937" s="260"/>
      <c r="M937" s="252" t="str" cm="1">
        <f t="array" ref="M937">INDEX(Trad, 53, $A$20)</f>
        <v>Verschmutzt</v>
      </c>
      <c r="N937" s="253"/>
      <c r="O937" s="253"/>
      <c r="P937" s="254"/>
      <c r="Q937" s="251"/>
      <c r="R937" s="251"/>
      <c r="S937" s="264">
        <f t="shared" si="801"/>
        <v>0</v>
      </c>
      <c r="T937" s="252" t="str" cm="1">
        <f t="array" ref="T937">INDEX(Trad, 52, $A$20)</f>
        <v>Sauber</v>
      </c>
      <c r="U937" s="253"/>
      <c r="V937" s="253"/>
      <c r="W937" s="254"/>
      <c r="X937" s="251"/>
      <c r="Y937" s="251"/>
      <c r="Z937" s="264">
        <f t="shared" si="802"/>
        <v>0</v>
      </c>
      <c r="AA937" s="261"/>
      <c r="AB937" s="258"/>
      <c r="AC937" s="246"/>
      <c r="AD937" s="247" t="str">
        <f>IF(ISBLANK(AC937), "", VLOOKUP(AC937, Z!$A$2:$C$4127, 3, FALSE))</f>
        <v/>
      </c>
      <c r="AE937" s="262"/>
      <c r="AF937" s="263">
        <f t="shared" si="803"/>
        <v>0</v>
      </c>
      <c r="AG937" s="238"/>
      <c r="AH937" s="229">
        <f t="shared" si="827"/>
        <v>1</v>
      </c>
      <c r="AI937" s="229">
        <f t="shared" si="828"/>
        <v>1</v>
      </c>
      <c r="AJ937" s="229">
        <f t="shared" si="829"/>
        <v>0</v>
      </c>
      <c r="AK937" s="229">
        <v>0</v>
      </c>
      <c r="AL937" s="229">
        <v>0</v>
      </c>
      <c r="AM937" s="229">
        <v>1</v>
      </c>
      <c r="AN937" s="229">
        <v>0</v>
      </c>
      <c r="AO937" s="229">
        <f t="shared" si="804"/>
        <v>-100</v>
      </c>
      <c r="AP937" s="238"/>
      <c r="AQ937" s="255"/>
      <c r="AR937" s="255"/>
      <c r="AS937" s="256"/>
      <c r="AT937" s="256"/>
      <c r="AU937" s="256"/>
      <c r="AV937" s="256"/>
      <c r="AW937" s="256"/>
      <c r="AX937" s="256"/>
      <c r="AY937" s="256"/>
      <c r="AZ937" s="256"/>
      <c r="BA937" s="256"/>
      <c r="BB937" s="256"/>
      <c r="BC937" s="256"/>
      <c r="BD937" s="238"/>
      <c r="BE937" s="229" cm="1">
        <f t="array" ref="BE937">IF(ISBLANK(R937), INDEX(Use, $AH937, 4) - AM937*INDEX(Use, $AH937, 6), R937)</f>
        <v>5</v>
      </c>
      <c r="BF937" s="229">
        <f t="shared" si="805"/>
        <v>30</v>
      </c>
      <c r="BG937" s="229">
        <f t="shared" si="831"/>
        <v>13</v>
      </c>
      <c r="BH937" s="229">
        <f t="shared" si="832"/>
        <v>0</v>
      </c>
      <c r="BI937" s="234" cm="1">
        <f t="array" ref="BI937">K937/IF($L937&gt;0, INDEX($AU$23:$BA$77, $L937+20, $AH937), 1)</f>
        <v>0</v>
      </c>
      <c r="BJ937" s="230">
        <f t="shared" si="806"/>
        <v>0</v>
      </c>
      <c r="BK937" s="229">
        <v>35</v>
      </c>
      <c r="BL937" s="230">
        <f t="shared" si="807"/>
        <v>48</v>
      </c>
      <c r="BM937" s="235">
        <f t="shared" si="808"/>
        <v>2.9108720930232557</v>
      </c>
      <c r="BN937" s="235" cm="1">
        <f t="array" ref="BN937">$BI937 * SUMPRODUCT(INDEX($AR$77:$AT$82,,$AI937),INDEX($AU$77:$BA$82,,$AH937), N($AQ$77:$AQ$82&gt;$AO937)) / BM937 / 1000</f>
        <v>0</v>
      </c>
      <c r="BO937" s="232">
        <f t="shared" si="833"/>
        <v>30</v>
      </c>
      <c r="BP937" s="230">
        <f t="shared" si="809"/>
        <v>43</v>
      </c>
      <c r="BQ937" s="235">
        <f t="shared" si="810"/>
        <v>3.2938815789473681</v>
      </c>
      <c r="BR937" s="235" cm="1">
        <f t="array" ref="BR937">$BI937 * IF($AH937&lt;=2,
SUMPRODUCT(INDEX($AR$72:$AT$76,,$AI937), INDEX($AU$72:$BA$76,,$AH937), 1 / ($BB$72:$BB$76*BQ937 + (1-$BB$72:$BB$76)*BM937), N($AQ$72:$AQ$76&gt;$AO937)),
SUMPRODUCT(INDEX($AR$67:$AT$76,,$AI937), INDEX($AU$67:$BA$76,,$AH937), 1 / ($BC$67:$BC$76*BQ937 + (1-$BC$67:$BC$76)*BM937), N($AQ$67:$AQ$76&gt;$AO937))
) / 1000</f>
        <v>0</v>
      </c>
      <c r="BS937" s="232">
        <f t="shared" si="834"/>
        <v>25</v>
      </c>
      <c r="BT937" s="230">
        <f t="shared" si="811"/>
        <v>38</v>
      </c>
      <c r="BU937" s="235">
        <f t="shared" si="812"/>
        <v>3.792954545454545</v>
      </c>
      <c r="BV937" s="235" cm="1">
        <f t="array" ref="BV937">$BI937 * IF($AH937&lt;=2,
SUMPRODUCT(INDEX($AR$67:$AT$71,,$AI937), INDEX($AU$67:$BA$71,,$AH937), 1 / ($BB$67:$BB$71*BU937 + (1-$BB$67:$BB$71)*BQ937), N($AQ$67:$AQ$71&gt;$AO937)),
SUMPRODUCT(INDEX($AR$57:$AT$66,,$AI937), INDEX($AU$57:$BA$66,,$AH937), 1 / ($BC$57:$BC$66*BU937 + (1-$BC$57:$BC$66)*BQ937), N($AQ$57:$AQ$66&gt;$AO937))
) / 1000</f>
        <v>0</v>
      </c>
      <c r="BW937" s="232">
        <f t="shared" si="835"/>
        <v>20</v>
      </c>
      <c r="BX937" s="230">
        <f t="shared" si="813"/>
        <v>33</v>
      </c>
      <c r="BY937" s="235">
        <f t="shared" si="814"/>
        <v>4.4702678571428569</v>
      </c>
      <c r="BZ937" s="235" cm="1">
        <f t="array" ref="BZ937">$BI937 * IF($AH937&lt;=2,
SUMPRODUCT(INDEX($AR$62:$AT$66,,$AI937), INDEX($AU$62:$BA$66,,$AH937), 1 / ($BB$62:$BB$66*BY937 + (1-$BB$62:$BB$66)*BU937), N($AQ$62:$AQ$66&gt;$AO937)),
SUMPRODUCT(INDEX($AR$47:$AT$56,,$AI937), INDEX($AU$47:$BA$56,,$AH937), 1 / ($BC$47:$BC$56*BY937 + (1-$BC$47:$BC$56)*BU937), N($AQ$47:$AQ$56&gt;$AO937))
) / 1000</f>
        <v>0</v>
      </c>
      <c r="CA937" s="235" cm="1">
        <f t="array" ref="CA937">$BI937 * IF($AH937&lt;=2,
SUMPRODUCT(INDEX($AR$23:$AT$61,,$AI937), INDEX($AU$23:$BA$61,,$AH937), 1 / ($BB$23:$BB$61*BY937), N($AQ$23:$AQ$61&gt;$AO937)),
SUMPRODUCT(INDEX($AR$23:$AT$46,,$AI937), INDEX($AU$23:$BA$46,,$AH937), 1 / ($BC$23:$BC$46*BY937), N($AQ$23:$AQ$46&gt;$AO937))
) / 1000</f>
        <v>0</v>
      </c>
      <c r="CB937" s="230">
        <f t="shared" si="815"/>
        <v>0</v>
      </c>
      <c r="CC937" s="238"/>
      <c r="CD937" s="229" cm="1">
        <f t="array" ref="CD937">IF(ISBLANK(Y937), INDEX(Use, $AH937, 4) - AN937*INDEX(Use, $AH937, 6) - (Q937-X937), Y937)</f>
        <v>7</v>
      </c>
      <c r="CE937" s="229">
        <f t="shared" si="816"/>
        <v>32</v>
      </c>
      <c r="CF937" s="230">
        <f t="shared" si="817"/>
        <v>0</v>
      </c>
      <c r="CG937" s="229">
        <v>35</v>
      </c>
      <c r="CH937" s="230">
        <f t="shared" si="818"/>
        <v>48</v>
      </c>
      <c r="CI937" s="235">
        <f t="shared" si="819"/>
        <v>3.0748170731707316</v>
      </c>
      <c r="CJ937" s="235" cm="1">
        <f t="array" ref="CJ937">$BI937 * SUMPRODUCT(INDEX($AR$77:$AT$82,,$AI937),INDEX($AU$77:$BA$82,,$AH937), N($AQ$77:$AQ$82&gt;$AO937)) / CI937 / 1000</f>
        <v>0</v>
      </c>
      <c r="CK937" s="232">
        <f t="shared" si="836"/>
        <v>30</v>
      </c>
      <c r="CL937" s="230">
        <f t="shared" si="820"/>
        <v>43</v>
      </c>
      <c r="CM937" s="235">
        <f t="shared" si="821"/>
        <v>3.5018750000000001</v>
      </c>
      <c r="CN937" s="235" cm="1">
        <f t="array" ref="CN937">$BI937 * IF($AH937&lt;=2,
SUMPRODUCT(INDEX($AR$72:$AT$76,,$AI937), INDEX($AU$72:$BA$76,,$AH937), 1 / ($BB$72:$BB$76*CM937 + (1-$BB$72:$BB$76)*CI937), N($AQ$72:$AQ$76&gt;$AO937)),
SUMPRODUCT(INDEX($AR$67:$AT$76,,$AI937), INDEX($AU$67:$BA$76,,$AH937), 1 / ($BC$67:$BC$76*CM937 + (1-$BC$67:$BC$76)*CI937), N($AQ$67:$AQ$76&gt;$AO937))
) / 1000</f>
        <v>0</v>
      </c>
      <c r="CO937" s="232">
        <f t="shared" si="837"/>
        <v>25</v>
      </c>
      <c r="CP937" s="230">
        <f t="shared" si="822"/>
        <v>38</v>
      </c>
      <c r="CQ937" s="235">
        <f t="shared" si="823"/>
        <v>4.0666935483870965</v>
      </c>
      <c r="CR937" s="235" cm="1">
        <f t="array" ref="CR937">$BI937 * IF($AH937&lt;=2,
SUMPRODUCT(INDEX($AR$67:$AT$71,,$AI937), INDEX($AU$67:$BA$71,,$AH937), 1 / ($BB$67:$BB$71*CQ937 + (1-$BB$67:$BB$71)*CM937), N($AQ$67:$AQ$71&gt;$AO937)),
SUMPRODUCT(INDEX($AR$57:$AT$66,,$AI937), INDEX($AU$57:$BA$66,,$AH937), 1 / ($BC$57:$BC$66*CQ937 + (1-$BC$57:$BC$66)*CM937), N($AQ$57:$AQ$66&gt;$AO937))
) / 1000</f>
        <v>0</v>
      </c>
      <c r="CS937" s="232">
        <f t="shared" si="838"/>
        <v>20</v>
      </c>
      <c r="CT937" s="230">
        <f t="shared" si="824"/>
        <v>33</v>
      </c>
      <c r="CU937" s="235">
        <f t="shared" si="825"/>
        <v>4.8487499999999999</v>
      </c>
      <c r="CV937" s="235" cm="1">
        <f t="array" ref="CV937">$BI937 * IF($AH937&lt;=2,
SUMPRODUCT(INDEX($AR$62:$AT$66,,$AI937), INDEX($AU$62:$BA$66,,$AH937), 1 / ($BB$62:$BB$66*CU937 + (1-$BB$62:$BB$66)*CQ937), N($AQ$62:$AQ$66&gt;$AO937)),
SUMPRODUCT(INDEX($AR$47:$AT$56,,$AI937), INDEX($AU$47:$BA$56,,$AH937), 1 / ($BC$47:$BC$56*CU937 + (1-$BC$47:$BC$56)*CQ937), N($AQ$47:$AQ$56&gt;$AO937))
) / 1000</f>
        <v>0</v>
      </c>
      <c r="CW937" s="235" cm="1">
        <f t="array" ref="CW937">$BI937 * IF($AH937&lt;=2,
SUMPRODUCT(INDEX($AR$23:$AT$61,,$AI937), INDEX($AU$23:$BA$61,,$AH937), 1 / ($BB$23:$BB$61*CU937), N($AQ$23:$AQ$61&gt;$AO937)),
SUMPRODUCT(INDEX($AR$23:$AT$46,,$AI937), INDEX($AU$23:$BA$46,,$AH937), 1 / ($BC$23:$BC$46*CU937), N($AQ$23:$AQ$46&gt;$AO937))
) / 1000</f>
        <v>0</v>
      </c>
      <c r="CX937" s="230">
        <f t="shared" si="826"/>
        <v>0</v>
      </c>
      <c r="CY937" s="238"/>
    </row>
    <row r="938" spans="1:103" s="76" customFormat="1" ht="14.25" customHeight="1" x14ac:dyDescent="0.2">
      <c r="A938" s="231" t="b">
        <f t="shared" si="830"/>
        <v>0</v>
      </c>
      <c r="B938" s="245">
        <v>916</v>
      </c>
      <c r="C938" s="258"/>
      <c r="D938" s="258"/>
      <c r="E938" s="246"/>
      <c r="F938" s="247" t="str">
        <f>IF(ISBLANK(E938), "", VLOOKUP(E938, Z!$A$2:$C$4127, 3, FALSE))</f>
        <v/>
      </c>
      <c r="G938" s="248"/>
      <c r="H938" s="248"/>
      <c r="I938" s="249"/>
      <c r="J938" s="250"/>
      <c r="K938" s="259"/>
      <c r="L938" s="260"/>
      <c r="M938" s="252" t="str" cm="1">
        <f t="array" ref="M938">INDEX(Trad, 53, $A$20)</f>
        <v>Verschmutzt</v>
      </c>
      <c r="N938" s="253"/>
      <c r="O938" s="253"/>
      <c r="P938" s="254"/>
      <c r="Q938" s="251"/>
      <c r="R938" s="251"/>
      <c r="S938" s="264">
        <f t="shared" si="801"/>
        <v>0</v>
      </c>
      <c r="T938" s="252" t="str" cm="1">
        <f t="array" ref="T938">INDEX(Trad, 52, $A$20)</f>
        <v>Sauber</v>
      </c>
      <c r="U938" s="253"/>
      <c r="V938" s="253"/>
      <c r="W938" s="254"/>
      <c r="X938" s="251"/>
      <c r="Y938" s="251"/>
      <c r="Z938" s="264">
        <f t="shared" si="802"/>
        <v>0</v>
      </c>
      <c r="AA938" s="261"/>
      <c r="AB938" s="258"/>
      <c r="AC938" s="246"/>
      <c r="AD938" s="247" t="str">
        <f>IF(ISBLANK(AC938), "", VLOOKUP(AC938, Z!$A$2:$C$4127, 3, FALSE))</f>
        <v/>
      </c>
      <c r="AE938" s="262"/>
      <c r="AF938" s="263">
        <f t="shared" si="803"/>
        <v>0</v>
      </c>
      <c r="AG938" s="238"/>
      <c r="AH938" s="229">
        <f t="shared" si="827"/>
        <v>1</v>
      </c>
      <c r="AI938" s="229">
        <f t="shared" si="828"/>
        <v>1</v>
      </c>
      <c r="AJ938" s="229">
        <f t="shared" si="829"/>
        <v>0</v>
      </c>
      <c r="AK938" s="229">
        <v>0</v>
      </c>
      <c r="AL938" s="229">
        <v>0</v>
      </c>
      <c r="AM938" s="229">
        <v>1</v>
      </c>
      <c r="AN938" s="229">
        <v>0</v>
      </c>
      <c r="AO938" s="229">
        <f t="shared" si="804"/>
        <v>-100</v>
      </c>
      <c r="AP938" s="238"/>
      <c r="AQ938" s="255"/>
      <c r="AR938" s="255"/>
      <c r="AS938" s="256"/>
      <c r="AT938" s="256"/>
      <c r="AU938" s="256"/>
      <c r="AV938" s="256"/>
      <c r="AW938" s="256"/>
      <c r="AX938" s="256"/>
      <c r="AY938" s="256"/>
      <c r="AZ938" s="256"/>
      <c r="BA938" s="256"/>
      <c r="BB938" s="256"/>
      <c r="BC938" s="256"/>
      <c r="BD938" s="238"/>
      <c r="BE938" s="229" cm="1">
        <f t="array" ref="BE938">IF(ISBLANK(R938), INDEX(Use, $AH938, 4) - AM938*INDEX(Use, $AH938, 6), R938)</f>
        <v>5</v>
      </c>
      <c r="BF938" s="229">
        <f t="shared" si="805"/>
        <v>30</v>
      </c>
      <c r="BG938" s="229">
        <f t="shared" si="831"/>
        <v>13</v>
      </c>
      <c r="BH938" s="229">
        <f t="shared" si="832"/>
        <v>0</v>
      </c>
      <c r="BI938" s="234" cm="1">
        <f t="array" ref="BI938">K938/IF($L938&gt;0, INDEX($AU$23:$BA$77, $L938+20, $AH938), 1)</f>
        <v>0</v>
      </c>
      <c r="BJ938" s="230">
        <f t="shared" si="806"/>
        <v>0</v>
      </c>
      <c r="BK938" s="229">
        <v>35</v>
      </c>
      <c r="BL938" s="230">
        <f t="shared" si="807"/>
        <v>48</v>
      </c>
      <c r="BM938" s="235">
        <f t="shared" si="808"/>
        <v>2.9108720930232557</v>
      </c>
      <c r="BN938" s="235" cm="1">
        <f t="array" ref="BN938">$BI938 * SUMPRODUCT(INDEX($AR$77:$AT$82,,$AI938),INDEX($AU$77:$BA$82,,$AH938), N($AQ$77:$AQ$82&gt;$AO938)) / BM938 / 1000</f>
        <v>0</v>
      </c>
      <c r="BO938" s="232">
        <f t="shared" si="833"/>
        <v>30</v>
      </c>
      <c r="BP938" s="230">
        <f t="shared" si="809"/>
        <v>43</v>
      </c>
      <c r="BQ938" s="235">
        <f t="shared" si="810"/>
        <v>3.2938815789473681</v>
      </c>
      <c r="BR938" s="235" cm="1">
        <f t="array" ref="BR938">$BI938 * IF($AH938&lt;=2,
SUMPRODUCT(INDEX($AR$72:$AT$76,,$AI938), INDEX($AU$72:$BA$76,,$AH938), 1 / ($BB$72:$BB$76*BQ938 + (1-$BB$72:$BB$76)*BM938), N($AQ$72:$AQ$76&gt;$AO938)),
SUMPRODUCT(INDEX($AR$67:$AT$76,,$AI938), INDEX($AU$67:$BA$76,,$AH938), 1 / ($BC$67:$BC$76*BQ938 + (1-$BC$67:$BC$76)*BM938), N($AQ$67:$AQ$76&gt;$AO938))
) / 1000</f>
        <v>0</v>
      </c>
      <c r="BS938" s="232">
        <f t="shared" si="834"/>
        <v>25</v>
      </c>
      <c r="BT938" s="230">
        <f t="shared" si="811"/>
        <v>38</v>
      </c>
      <c r="BU938" s="235">
        <f t="shared" si="812"/>
        <v>3.792954545454545</v>
      </c>
      <c r="BV938" s="235" cm="1">
        <f t="array" ref="BV938">$BI938 * IF($AH938&lt;=2,
SUMPRODUCT(INDEX($AR$67:$AT$71,,$AI938), INDEX($AU$67:$BA$71,,$AH938), 1 / ($BB$67:$BB$71*BU938 + (1-$BB$67:$BB$71)*BQ938), N($AQ$67:$AQ$71&gt;$AO938)),
SUMPRODUCT(INDEX($AR$57:$AT$66,,$AI938), INDEX($AU$57:$BA$66,,$AH938), 1 / ($BC$57:$BC$66*BU938 + (1-$BC$57:$BC$66)*BQ938), N($AQ$57:$AQ$66&gt;$AO938))
) / 1000</f>
        <v>0</v>
      </c>
      <c r="BW938" s="232">
        <f t="shared" si="835"/>
        <v>20</v>
      </c>
      <c r="BX938" s="230">
        <f t="shared" si="813"/>
        <v>33</v>
      </c>
      <c r="BY938" s="235">
        <f t="shared" si="814"/>
        <v>4.4702678571428569</v>
      </c>
      <c r="BZ938" s="235" cm="1">
        <f t="array" ref="BZ938">$BI938 * IF($AH938&lt;=2,
SUMPRODUCT(INDEX($AR$62:$AT$66,,$AI938), INDEX($AU$62:$BA$66,,$AH938), 1 / ($BB$62:$BB$66*BY938 + (1-$BB$62:$BB$66)*BU938), N($AQ$62:$AQ$66&gt;$AO938)),
SUMPRODUCT(INDEX($AR$47:$AT$56,,$AI938), INDEX($AU$47:$BA$56,,$AH938), 1 / ($BC$47:$BC$56*BY938 + (1-$BC$47:$BC$56)*BU938), N($AQ$47:$AQ$56&gt;$AO938))
) / 1000</f>
        <v>0</v>
      </c>
      <c r="CA938" s="235" cm="1">
        <f t="array" ref="CA938">$BI938 * IF($AH938&lt;=2,
SUMPRODUCT(INDEX($AR$23:$AT$61,,$AI938), INDEX($AU$23:$BA$61,,$AH938), 1 / ($BB$23:$BB$61*BY938), N($AQ$23:$AQ$61&gt;$AO938)),
SUMPRODUCT(INDEX($AR$23:$AT$46,,$AI938), INDEX($AU$23:$BA$46,,$AH938), 1 / ($BC$23:$BC$46*BY938), N($AQ$23:$AQ$46&gt;$AO938))
) / 1000</f>
        <v>0</v>
      </c>
      <c r="CB938" s="230">
        <f t="shared" si="815"/>
        <v>0</v>
      </c>
      <c r="CC938" s="238"/>
      <c r="CD938" s="229" cm="1">
        <f t="array" ref="CD938">IF(ISBLANK(Y938), INDEX(Use, $AH938, 4) - AN938*INDEX(Use, $AH938, 6) - (Q938-X938), Y938)</f>
        <v>7</v>
      </c>
      <c r="CE938" s="229">
        <f t="shared" si="816"/>
        <v>32</v>
      </c>
      <c r="CF938" s="230">
        <f t="shared" si="817"/>
        <v>0</v>
      </c>
      <c r="CG938" s="229">
        <v>35</v>
      </c>
      <c r="CH938" s="230">
        <f t="shared" si="818"/>
        <v>48</v>
      </c>
      <c r="CI938" s="235">
        <f t="shared" si="819"/>
        <v>3.0748170731707316</v>
      </c>
      <c r="CJ938" s="235" cm="1">
        <f t="array" ref="CJ938">$BI938 * SUMPRODUCT(INDEX($AR$77:$AT$82,,$AI938),INDEX($AU$77:$BA$82,,$AH938), N($AQ$77:$AQ$82&gt;$AO938)) / CI938 / 1000</f>
        <v>0</v>
      </c>
      <c r="CK938" s="232">
        <f t="shared" si="836"/>
        <v>30</v>
      </c>
      <c r="CL938" s="230">
        <f t="shared" si="820"/>
        <v>43</v>
      </c>
      <c r="CM938" s="235">
        <f t="shared" si="821"/>
        <v>3.5018750000000001</v>
      </c>
      <c r="CN938" s="235" cm="1">
        <f t="array" ref="CN938">$BI938 * IF($AH938&lt;=2,
SUMPRODUCT(INDEX($AR$72:$AT$76,,$AI938), INDEX($AU$72:$BA$76,,$AH938), 1 / ($BB$72:$BB$76*CM938 + (1-$BB$72:$BB$76)*CI938), N($AQ$72:$AQ$76&gt;$AO938)),
SUMPRODUCT(INDEX($AR$67:$AT$76,,$AI938), INDEX($AU$67:$BA$76,,$AH938), 1 / ($BC$67:$BC$76*CM938 + (1-$BC$67:$BC$76)*CI938), N($AQ$67:$AQ$76&gt;$AO938))
) / 1000</f>
        <v>0</v>
      </c>
      <c r="CO938" s="232">
        <f t="shared" si="837"/>
        <v>25</v>
      </c>
      <c r="CP938" s="230">
        <f t="shared" si="822"/>
        <v>38</v>
      </c>
      <c r="CQ938" s="235">
        <f t="shared" si="823"/>
        <v>4.0666935483870965</v>
      </c>
      <c r="CR938" s="235" cm="1">
        <f t="array" ref="CR938">$BI938 * IF($AH938&lt;=2,
SUMPRODUCT(INDEX($AR$67:$AT$71,,$AI938), INDEX($AU$67:$BA$71,,$AH938), 1 / ($BB$67:$BB$71*CQ938 + (1-$BB$67:$BB$71)*CM938), N($AQ$67:$AQ$71&gt;$AO938)),
SUMPRODUCT(INDEX($AR$57:$AT$66,,$AI938), INDEX($AU$57:$BA$66,,$AH938), 1 / ($BC$57:$BC$66*CQ938 + (1-$BC$57:$BC$66)*CM938), N($AQ$57:$AQ$66&gt;$AO938))
) / 1000</f>
        <v>0</v>
      </c>
      <c r="CS938" s="232">
        <f t="shared" si="838"/>
        <v>20</v>
      </c>
      <c r="CT938" s="230">
        <f t="shared" si="824"/>
        <v>33</v>
      </c>
      <c r="CU938" s="235">
        <f t="shared" si="825"/>
        <v>4.8487499999999999</v>
      </c>
      <c r="CV938" s="235" cm="1">
        <f t="array" ref="CV938">$BI938 * IF($AH938&lt;=2,
SUMPRODUCT(INDEX($AR$62:$AT$66,,$AI938), INDEX($AU$62:$BA$66,,$AH938), 1 / ($BB$62:$BB$66*CU938 + (1-$BB$62:$BB$66)*CQ938), N($AQ$62:$AQ$66&gt;$AO938)),
SUMPRODUCT(INDEX($AR$47:$AT$56,,$AI938), INDEX($AU$47:$BA$56,,$AH938), 1 / ($BC$47:$BC$56*CU938 + (1-$BC$47:$BC$56)*CQ938), N($AQ$47:$AQ$56&gt;$AO938))
) / 1000</f>
        <v>0</v>
      </c>
      <c r="CW938" s="235" cm="1">
        <f t="array" ref="CW938">$BI938 * IF($AH938&lt;=2,
SUMPRODUCT(INDEX($AR$23:$AT$61,,$AI938), INDEX($AU$23:$BA$61,,$AH938), 1 / ($BB$23:$BB$61*CU938), N($AQ$23:$AQ$61&gt;$AO938)),
SUMPRODUCT(INDEX($AR$23:$AT$46,,$AI938), INDEX($AU$23:$BA$46,,$AH938), 1 / ($BC$23:$BC$46*CU938), N($AQ$23:$AQ$46&gt;$AO938))
) / 1000</f>
        <v>0</v>
      </c>
      <c r="CX938" s="230">
        <f t="shared" si="826"/>
        <v>0</v>
      </c>
      <c r="CY938" s="238"/>
    </row>
    <row r="939" spans="1:103" s="76" customFormat="1" ht="14.25" customHeight="1" x14ac:dyDescent="0.2">
      <c r="A939" s="231" t="b">
        <f t="shared" si="830"/>
        <v>0</v>
      </c>
      <c r="B939" s="245">
        <v>917</v>
      </c>
      <c r="C939" s="258"/>
      <c r="D939" s="258"/>
      <c r="E939" s="246"/>
      <c r="F939" s="247" t="str">
        <f>IF(ISBLANK(E939), "", VLOOKUP(E939, Z!$A$2:$C$4127, 3, FALSE))</f>
        <v/>
      </c>
      <c r="G939" s="248"/>
      <c r="H939" s="248"/>
      <c r="I939" s="249"/>
      <c r="J939" s="250"/>
      <c r="K939" s="259"/>
      <c r="L939" s="260"/>
      <c r="M939" s="252" t="str" cm="1">
        <f t="array" ref="M939">INDEX(Trad, 53, $A$20)</f>
        <v>Verschmutzt</v>
      </c>
      <c r="N939" s="253"/>
      <c r="O939" s="253"/>
      <c r="P939" s="254"/>
      <c r="Q939" s="251"/>
      <c r="R939" s="251"/>
      <c r="S939" s="264">
        <f t="shared" si="801"/>
        <v>0</v>
      </c>
      <c r="T939" s="252" t="str" cm="1">
        <f t="array" ref="T939">INDEX(Trad, 52, $A$20)</f>
        <v>Sauber</v>
      </c>
      <c r="U939" s="253"/>
      <c r="V939" s="253"/>
      <c r="W939" s="254"/>
      <c r="X939" s="251"/>
      <c r="Y939" s="251"/>
      <c r="Z939" s="264">
        <f t="shared" si="802"/>
        <v>0</v>
      </c>
      <c r="AA939" s="261"/>
      <c r="AB939" s="258"/>
      <c r="AC939" s="246"/>
      <c r="AD939" s="247" t="str">
        <f>IF(ISBLANK(AC939), "", VLOOKUP(AC939, Z!$A$2:$C$4127, 3, FALSE))</f>
        <v/>
      </c>
      <c r="AE939" s="262"/>
      <c r="AF939" s="263">
        <f t="shared" si="803"/>
        <v>0</v>
      </c>
      <c r="AG939" s="238"/>
      <c r="AH939" s="229">
        <f t="shared" si="827"/>
        <v>1</v>
      </c>
      <c r="AI939" s="229">
        <f t="shared" si="828"/>
        <v>1</v>
      </c>
      <c r="AJ939" s="229">
        <f t="shared" si="829"/>
        <v>0</v>
      </c>
      <c r="AK939" s="229">
        <v>0</v>
      </c>
      <c r="AL939" s="229">
        <v>0</v>
      </c>
      <c r="AM939" s="229">
        <v>1</v>
      </c>
      <c r="AN939" s="229">
        <v>0</v>
      </c>
      <c r="AO939" s="229">
        <f t="shared" si="804"/>
        <v>-100</v>
      </c>
      <c r="AP939" s="238"/>
      <c r="AQ939" s="255"/>
      <c r="AR939" s="255"/>
      <c r="AS939" s="256"/>
      <c r="AT939" s="256"/>
      <c r="AU939" s="256"/>
      <c r="AV939" s="256"/>
      <c r="AW939" s="256"/>
      <c r="AX939" s="256"/>
      <c r="AY939" s="256"/>
      <c r="AZ939" s="256"/>
      <c r="BA939" s="256"/>
      <c r="BB939" s="256"/>
      <c r="BC939" s="256"/>
      <c r="BD939" s="238"/>
      <c r="BE939" s="229" cm="1">
        <f t="array" ref="BE939">IF(ISBLANK(R939), INDEX(Use, $AH939, 4) - AM939*INDEX(Use, $AH939, 6), R939)</f>
        <v>5</v>
      </c>
      <c r="BF939" s="229">
        <f t="shared" si="805"/>
        <v>30</v>
      </c>
      <c r="BG939" s="229">
        <f t="shared" si="831"/>
        <v>13</v>
      </c>
      <c r="BH939" s="229">
        <f t="shared" si="832"/>
        <v>0</v>
      </c>
      <c r="BI939" s="234" cm="1">
        <f t="array" ref="BI939">K939/IF($L939&gt;0, INDEX($AU$23:$BA$77, $L939+20, $AH939), 1)</f>
        <v>0</v>
      </c>
      <c r="BJ939" s="230">
        <f t="shared" si="806"/>
        <v>0</v>
      </c>
      <c r="BK939" s="229">
        <v>35</v>
      </c>
      <c r="BL939" s="230">
        <f t="shared" si="807"/>
        <v>48</v>
      </c>
      <c r="BM939" s="235">
        <f t="shared" si="808"/>
        <v>2.9108720930232557</v>
      </c>
      <c r="BN939" s="235" cm="1">
        <f t="array" ref="BN939">$BI939 * SUMPRODUCT(INDEX($AR$77:$AT$82,,$AI939),INDEX($AU$77:$BA$82,,$AH939), N($AQ$77:$AQ$82&gt;$AO939)) / BM939 / 1000</f>
        <v>0</v>
      </c>
      <c r="BO939" s="232">
        <f t="shared" si="833"/>
        <v>30</v>
      </c>
      <c r="BP939" s="230">
        <f t="shared" si="809"/>
        <v>43</v>
      </c>
      <c r="BQ939" s="235">
        <f t="shared" si="810"/>
        <v>3.2938815789473681</v>
      </c>
      <c r="BR939" s="235" cm="1">
        <f t="array" ref="BR939">$BI939 * IF($AH939&lt;=2,
SUMPRODUCT(INDEX($AR$72:$AT$76,,$AI939), INDEX($AU$72:$BA$76,,$AH939), 1 / ($BB$72:$BB$76*BQ939 + (1-$BB$72:$BB$76)*BM939), N($AQ$72:$AQ$76&gt;$AO939)),
SUMPRODUCT(INDEX($AR$67:$AT$76,,$AI939), INDEX($AU$67:$BA$76,,$AH939), 1 / ($BC$67:$BC$76*BQ939 + (1-$BC$67:$BC$76)*BM939), N($AQ$67:$AQ$76&gt;$AO939))
) / 1000</f>
        <v>0</v>
      </c>
      <c r="BS939" s="232">
        <f t="shared" si="834"/>
        <v>25</v>
      </c>
      <c r="BT939" s="230">
        <f t="shared" si="811"/>
        <v>38</v>
      </c>
      <c r="BU939" s="235">
        <f t="shared" si="812"/>
        <v>3.792954545454545</v>
      </c>
      <c r="BV939" s="235" cm="1">
        <f t="array" ref="BV939">$BI939 * IF($AH939&lt;=2,
SUMPRODUCT(INDEX($AR$67:$AT$71,,$AI939), INDEX($AU$67:$BA$71,,$AH939), 1 / ($BB$67:$BB$71*BU939 + (1-$BB$67:$BB$71)*BQ939), N($AQ$67:$AQ$71&gt;$AO939)),
SUMPRODUCT(INDEX($AR$57:$AT$66,,$AI939), INDEX($AU$57:$BA$66,,$AH939), 1 / ($BC$57:$BC$66*BU939 + (1-$BC$57:$BC$66)*BQ939), N($AQ$57:$AQ$66&gt;$AO939))
) / 1000</f>
        <v>0</v>
      </c>
      <c r="BW939" s="232">
        <f t="shared" si="835"/>
        <v>20</v>
      </c>
      <c r="BX939" s="230">
        <f t="shared" si="813"/>
        <v>33</v>
      </c>
      <c r="BY939" s="235">
        <f t="shared" si="814"/>
        <v>4.4702678571428569</v>
      </c>
      <c r="BZ939" s="235" cm="1">
        <f t="array" ref="BZ939">$BI939 * IF($AH939&lt;=2,
SUMPRODUCT(INDEX($AR$62:$AT$66,,$AI939), INDEX($AU$62:$BA$66,,$AH939), 1 / ($BB$62:$BB$66*BY939 + (1-$BB$62:$BB$66)*BU939), N($AQ$62:$AQ$66&gt;$AO939)),
SUMPRODUCT(INDEX($AR$47:$AT$56,,$AI939), INDEX($AU$47:$BA$56,,$AH939), 1 / ($BC$47:$BC$56*BY939 + (1-$BC$47:$BC$56)*BU939), N($AQ$47:$AQ$56&gt;$AO939))
) / 1000</f>
        <v>0</v>
      </c>
      <c r="CA939" s="235" cm="1">
        <f t="array" ref="CA939">$BI939 * IF($AH939&lt;=2,
SUMPRODUCT(INDEX($AR$23:$AT$61,,$AI939), INDEX($AU$23:$BA$61,,$AH939), 1 / ($BB$23:$BB$61*BY939), N($AQ$23:$AQ$61&gt;$AO939)),
SUMPRODUCT(INDEX($AR$23:$AT$46,,$AI939), INDEX($AU$23:$BA$46,,$AH939), 1 / ($BC$23:$BC$46*BY939), N($AQ$23:$AQ$46&gt;$AO939))
) / 1000</f>
        <v>0</v>
      </c>
      <c r="CB939" s="230">
        <f t="shared" si="815"/>
        <v>0</v>
      </c>
      <c r="CC939" s="238"/>
      <c r="CD939" s="229" cm="1">
        <f t="array" ref="CD939">IF(ISBLANK(Y939), INDEX(Use, $AH939, 4) - AN939*INDEX(Use, $AH939, 6) - (Q939-X939), Y939)</f>
        <v>7</v>
      </c>
      <c r="CE939" s="229">
        <f t="shared" si="816"/>
        <v>32</v>
      </c>
      <c r="CF939" s="230">
        <f t="shared" si="817"/>
        <v>0</v>
      </c>
      <c r="CG939" s="229">
        <v>35</v>
      </c>
      <c r="CH939" s="230">
        <f t="shared" si="818"/>
        <v>48</v>
      </c>
      <c r="CI939" s="235">
        <f t="shared" si="819"/>
        <v>3.0748170731707316</v>
      </c>
      <c r="CJ939" s="235" cm="1">
        <f t="array" ref="CJ939">$BI939 * SUMPRODUCT(INDEX($AR$77:$AT$82,,$AI939),INDEX($AU$77:$BA$82,,$AH939), N($AQ$77:$AQ$82&gt;$AO939)) / CI939 / 1000</f>
        <v>0</v>
      </c>
      <c r="CK939" s="232">
        <f t="shared" si="836"/>
        <v>30</v>
      </c>
      <c r="CL939" s="230">
        <f t="shared" si="820"/>
        <v>43</v>
      </c>
      <c r="CM939" s="235">
        <f t="shared" si="821"/>
        <v>3.5018750000000001</v>
      </c>
      <c r="CN939" s="235" cm="1">
        <f t="array" ref="CN939">$BI939 * IF($AH939&lt;=2,
SUMPRODUCT(INDEX($AR$72:$AT$76,,$AI939), INDEX($AU$72:$BA$76,,$AH939), 1 / ($BB$72:$BB$76*CM939 + (1-$BB$72:$BB$76)*CI939), N($AQ$72:$AQ$76&gt;$AO939)),
SUMPRODUCT(INDEX($AR$67:$AT$76,,$AI939), INDEX($AU$67:$BA$76,,$AH939), 1 / ($BC$67:$BC$76*CM939 + (1-$BC$67:$BC$76)*CI939), N($AQ$67:$AQ$76&gt;$AO939))
) / 1000</f>
        <v>0</v>
      </c>
      <c r="CO939" s="232">
        <f t="shared" si="837"/>
        <v>25</v>
      </c>
      <c r="CP939" s="230">
        <f t="shared" si="822"/>
        <v>38</v>
      </c>
      <c r="CQ939" s="235">
        <f t="shared" si="823"/>
        <v>4.0666935483870965</v>
      </c>
      <c r="CR939" s="235" cm="1">
        <f t="array" ref="CR939">$BI939 * IF($AH939&lt;=2,
SUMPRODUCT(INDEX($AR$67:$AT$71,,$AI939), INDEX($AU$67:$BA$71,,$AH939), 1 / ($BB$67:$BB$71*CQ939 + (1-$BB$67:$BB$71)*CM939), N($AQ$67:$AQ$71&gt;$AO939)),
SUMPRODUCT(INDEX($AR$57:$AT$66,,$AI939), INDEX($AU$57:$BA$66,,$AH939), 1 / ($BC$57:$BC$66*CQ939 + (1-$BC$57:$BC$66)*CM939), N($AQ$57:$AQ$66&gt;$AO939))
) / 1000</f>
        <v>0</v>
      </c>
      <c r="CS939" s="232">
        <f t="shared" si="838"/>
        <v>20</v>
      </c>
      <c r="CT939" s="230">
        <f t="shared" si="824"/>
        <v>33</v>
      </c>
      <c r="CU939" s="235">
        <f t="shared" si="825"/>
        <v>4.8487499999999999</v>
      </c>
      <c r="CV939" s="235" cm="1">
        <f t="array" ref="CV939">$BI939 * IF($AH939&lt;=2,
SUMPRODUCT(INDEX($AR$62:$AT$66,,$AI939), INDEX($AU$62:$BA$66,,$AH939), 1 / ($BB$62:$BB$66*CU939 + (1-$BB$62:$BB$66)*CQ939), N($AQ$62:$AQ$66&gt;$AO939)),
SUMPRODUCT(INDEX($AR$47:$AT$56,,$AI939), INDEX($AU$47:$BA$56,,$AH939), 1 / ($BC$47:$BC$56*CU939 + (1-$BC$47:$BC$56)*CQ939), N($AQ$47:$AQ$56&gt;$AO939))
) / 1000</f>
        <v>0</v>
      </c>
      <c r="CW939" s="235" cm="1">
        <f t="array" ref="CW939">$BI939 * IF($AH939&lt;=2,
SUMPRODUCT(INDEX($AR$23:$AT$61,,$AI939), INDEX($AU$23:$BA$61,,$AH939), 1 / ($BB$23:$BB$61*CU939), N($AQ$23:$AQ$61&gt;$AO939)),
SUMPRODUCT(INDEX($AR$23:$AT$46,,$AI939), INDEX($AU$23:$BA$46,,$AH939), 1 / ($BC$23:$BC$46*CU939), N($AQ$23:$AQ$46&gt;$AO939))
) / 1000</f>
        <v>0</v>
      </c>
      <c r="CX939" s="230">
        <f t="shared" si="826"/>
        <v>0</v>
      </c>
      <c r="CY939" s="238"/>
    </row>
    <row r="940" spans="1:103" s="76" customFormat="1" ht="14.25" customHeight="1" x14ac:dyDescent="0.2">
      <c r="A940" s="231" t="b">
        <f t="shared" si="830"/>
        <v>0</v>
      </c>
      <c r="B940" s="245">
        <v>918</v>
      </c>
      <c r="C940" s="258"/>
      <c r="D940" s="258"/>
      <c r="E940" s="246"/>
      <c r="F940" s="247" t="str">
        <f>IF(ISBLANK(E940), "", VLOOKUP(E940, Z!$A$2:$C$4127, 3, FALSE))</f>
        <v/>
      </c>
      <c r="G940" s="248"/>
      <c r="H940" s="248"/>
      <c r="I940" s="249"/>
      <c r="J940" s="250"/>
      <c r="K940" s="259"/>
      <c r="L940" s="260"/>
      <c r="M940" s="252" t="str" cm="1">
        <f t="array" ref="M940">INDEX(Trad, 53, $A$20)</f>
        <v>Verschmutzt</v>
      </c>
      <c r="N940" s="253"/>
      <c r="O940" s="253"/>
      <c r="P940" s="254"/>
      <c r="Q940" s="251"/>
      <c r="R940" s="251"/>
      <c r="S940" s="264">
        <f t="shared" si="801"/>
        <v>0</v>
      </c>
      <c r="T940" s="252" t="str" cm="1">
        <f t="array" ref="T940">INDEX(Trad, 52, $A$20)</f>
        <v>Sauber</v>
      </c>
      <c r="U940" s="253"/>
      <c r="V940" s="253"/>
      <c r="W940" s="254"/>
      <c r="X940" s="251"/>
      <c r="Y940" s="251"/>
      <c r="Z940" s="264">
        <f t="shared" si="802"/>
        <v>0</v>
      </c>
      <c r="AA940" s="261"/>
      <c r="AB940" s="258"/>
      <c r="AC940" s="246"/>
      <c r="AD940" s="247" t="str">
        <f>IF(ISBLANK(AC940), "", VLOOKUP(AC940, Z!$A$2:$C$4127, 3, FALSE))</f>
        <v/>
      </c>
      <c r="AE940" s="262"/>
      <c r="AF940" s="263">
        <f t="shared" si="803"/>
        <v>0</v>
      </c>
      <c r="AG940" s="238"/>
      <c r="AH940" s="229">
        <f t="shared" si="827"/>
        <v>1</v>
      </c>
      <c r="AI940" s="229">
        <f t="shared" si="828"/>
        <v>1</v>
      </c>
      <c r="AJ940" s="229">
        <f t="shared" si="829"/>
        <v>0</v>
      </c>
      <c r="AK940" s="229">
        <v>0</v>
      </c>
      <c r="AL940" s="229">
        <v>0</v>
      </c>
      <c r="AM940" s="229">
        <v>1</v>
      </c>
      <c r="AN940" s="229">
        <v>0</v>
      </c>
      <c r="AO940" s="229">
        <f t="shared" si="804"/>
        <v>-100</v>
      </c>
      <c r="AP940" s="238"/>
      <c r="AQ940" s="255"/>
      <c r="AR940" s="255"/>
      <c r="AS940" s="256"/>
      <c r="AT940" s="256"/>
      <c r="AU940" s="256"/>
      <c r="AV940" s="256"/>
      <c r="AW940" s="256"/>
      <c r="AX940" s="256"/>
      <c r="AY940" s="256"/>
      <c r="AZ940" s="256"/>
      <c r="BA940" s="256"/>
      <c r="BB940" s="256"/>
      <c r="BC940" s="256"/>
      <c r="BD940" s="238"/>
      <c r="BE940" s="229" cm="1">
        <f t="array" ref="BE940">IF(ISBLANK(R940), INDEX(Use, $AH940, 4) - AM940*INDEX(Use, $AH940, 6), R940)</f>
        <v>5</v>
      </c>
      <c r="BF940" s="229">
        <f t="shared" si="805"/>
        <v>30</v>
      </c>
      <c r="BG940" s="229">
        <f t="shared" si="831"/>
        <v>13</v>
      </c>
      <c r="BH940" s="229">
        <f t="shared" si="832"/>
        <v>0</v>
      </c>
      <c r="BI940" s="234" cm="1">
        <f t="array" ref="BI940">K940/IF($L940&gt;0, INDEX($AU$23:$BA$77, $L940+20, $AH940), 1)</f>
        <v>0</v>
      </c>
      <c r="BJ940" s="230">
        <f t="shared" si="806"/>
        <v>0</v>
      </c>
      <c r="BK940" s="229">
        <v>35</v>
      </c>
      <c r="BL940" s="230">
        <f t="shared" si="807"/>
        <v>48</v>
      </c>
      <c r="BM940" s="235">
        <f t="shared" si="808"/>
        <v>2.9108720930232557</v>
      </c>
      <c r="BN940" s="235" cm="1">
        <f t="array" ref="BN940">$BI940 * SUMPRODUCT(INDEX($AR$77:$AT$82,,$AI940),INDEX($AU$77:$BA$82,,$AH940), N($AQ$77:$AQ$82&gt;$AO940)) / BM940 / 1000</f>
        <v>0</v>
      </c>
      <c r="BO940" s="232">
        <f t="shared" si="833"/>
        <v>30</v>
      </c>
      <c r="BP940" s="230">
        <f t="shared" si="809"/>
        <v>43</v>
      </c>
      <c r="BQ940" s="235">
        <f t="shared" si="810"/>
        <v>3.2938815789473681</v>
      </c>
      <c r="BR940" s="235" cm="1">
        <f t="array" ref="BR940">$BI940 * IF($AH940&lt;=2,
SUMPRODUCT(INDEX($AR$72:$AT$76,,$AI940), INDEX($AU$72:$BA$76,,$AH940), 1 / ($BB$72:$BB$76*BQ940 + (1-$BB$72:$BB$76)*BM940), N($AQ$72:$AQ$76&gt;$AO940)),
SUMPRODUCT(INDEX($AR$67:$AT$76,,$AI940), INDEX($AU$67:$BA$76,,$AH940), 1 / ($BC$67:$BC$76*BQ940 + (1-$BC$67:$BC$76)*BM940), N($AQ$67:$AQ$76&gt;$AO940))
) / 1000</f>
        <v>0</v>
      </c>
      <c r="BS940" s="232">
        <f t="shared" si="834"/>
        <v>25</v>
      </c>
      <c r="BT940" s="230">
        <f t="shared" si="811"/>
        <v>38</v>
      </c>
      <c r="BU940" s="235">
        <f t="shared" si="812"/>
        <v>3.792954545454545</v>
      </c>
      <c r="BV940" s="235" cm="1">
        <f t="array" ref="BV940">$BI940 * IF($AH940&lt;=2,
SUMPRODUCT(INDEX($AR$67:$AT$71,,$AI940), INDEX($AU$67:$BA$71,,$AH940), 1 / ($BB$67:$BB$71*BU940 + (1-$BB$67:$BB$71)*BQ940), N($AQ$67:$AQ$71&gt;$AO940)),
SUMPRODUCT(INDEX($AR$57:$AT$66,,$AI940), INDEX($AU$57:$BA$66,,$AH940), 1 / ($BC$57:$BC$66*BU940 + (1-$BC$57:$BC$66)*BQ940), N($AQ$57:$AQ$66&gt;$AO940))
) / 1000</f>
        <v>0</v>
      </c>
      <c r="BW940" s="232">
        <f t="shared" si="835"/>
        <v>20</v>
      </c>
      <c r="BX940" s="230">
        <f t="shared" si="813"/>
        <v>33</v>
      </c>
      <c r="BY940" s="235">
        <f t="shared" si="814"/>
        <v>4.4702678571428569</v>
      </c>
      <c r="BZ940" s="235" cm="1">
        <f t="array" ref="BZ940">$BI940 * IF($AH940&lt;=2,
SUMPRODUCT(INDEX($AR$62:$AT$66,,$AI940), INDEX($AU$62:$BA$66,,$AH940), 1 / ($BB$62:$BB$66*BY940 + (1-$BB$62:$BB$66)*BU940), N($AQ$62:$AQ$66&gt;$AO940)),
SUMPRODUCT(INDEX($AR$47:$AT$56,,$AI940), INDEX($AU$47:$BA$56,,$AH940), 1 / ($BC$47:$BC$56*BY940 + (1-$BC$47:$BC$56)*BU940), N($AQ$47:$AQ$56&gt;$AO940))
) / 1000</f>
        <v>0</v>
      </c>
      <c r="CA940" s="235" cm="1">
        <f t="array" ref="CA940">$BI940 * IF($AH940&lt;=2,
SUMPRODUCT(INDEX($AR$23:$AT$61,,$AI940), INDEX($AU$23:$BA$61,,$AH940), 1 / ($BB$23:$BB$61*BY940), N($AQ$23:$AQ$61&gt;$AO940)),
SUMPRODUCT(INDEX($AR$23:$AT$46,,$AI940), INDEX($AU$23:$BA$46,,$AH940), 1 / ($BC$23:$BC$46*BY940), N($AQ$23:$AQ$46&gt;$AO940))
) / 1000</f>
        <v>0</v>
      </c>
      <c r="CB940" s="230">
        <f t="shared" si="815"/>
        <v>0</v>
      </c>
      <c r="CC940" s="238"/>
      <c r="CD940" s="229" cm="1">
        <f t="array" ref="CD940">IF(ISBLANK(Y940), INDEX(Use, $AH940, 4) - AN940*INDEX(Use, $AH940, 6) - (Q940-X940), Y940)</f>
        <v>7</v>
      </c>
      <c r="CE940" s="229">
        <f t="shared" si="816"/>
        <v>32</v>
      </c>
      <c r="CF940" s="230">
        <f t="shared" si="817"/>
        <v>0</v>
      </c>
      <c r="CG940" s="229">
        <v>35</v>
      </c>
      <c r="CH940" s="230">
        <f t="shared" si="818"/>
        <v>48</v>
      </c>
      <c r="CI940" s="235">
        <f t="shared" si="819"/>
        <v>3.0748170731707316</v>
      </c>
      <c r="CJ940" s="235" cm="1">
        <f t="array" ref="CJ940">$BI940 * SUMPRODUCT(INDEX($AR$77:$AT$82,,$AI940),INDEX($AU$77:$BA$82,,$AH940), N($AQ$77:$AQ$82&gt;$AO940)) / CI940 / 1000</f>
        <v>0</v>
      </c>
      <c r="CK940" s="232">
        <f t="shared" si="836"/>
        <v>30</v>
      </c>
      <c r="CL940" s="230">
        <f t="shared" si="820"/>
        <v>43</v>
      </c>
      <c r="CM940" s="235">
        <f t="shared" si="821"/>
        <v>3.5018750000000001</v>
      </c>
      <c r="CN940" s="235" cm="1">
        <f t="array" ref="CN940">$BI940 * IF($AH940&lt;=2,
SUMPRODUCT(INDEX($AR$72:$AT$76,,$AI940), INDEX($AU$72:$BA$76,,$AH940), 1 / ($BB$72:$BB$76*CM940 + (1-$BB$72:$BB$76)*CI940), N($AQ$72:$AQ$76&gt;$AO940)),
SUMPRODUCT(INDEX($AR$67:$AT$76,,$AI940), INDEX($AU$67:$BA$76,,$AH940), 1 / ($BC$67:$BC$76*CM940 + (1-$BC$67:$BC$76)*CI940), N($AQ$67:$AQ$76&gt;$AO940))
) / 1000</f>
        <v>0</v>
      </c>
      <c r="CO940" s="232">
        <f t="shared" si="837"/>
        <v>25</v>
      </c>
      <c r="CP940" s="230">
        <f t="shared" si="822"/>
        <v>38</v>
      </c>
      <c r="CQ940" s="235">
        <f t="shared" si="823"/>
        <v>4.0666935483870965</v>
      </c>
      <c r="CR940" s="235" cm="1">
        <f t="array" ref="CR940">$BI940 * IF($AH940&lt;=2,
SUMPRODUCT(INDEX($AR$67:$AT$71,,$AI940), INDEX($AU$67:$BA$71,,$AH940), 1 / ($BB$67:$BB$71*CQ940 + (1-$BB$67:$BB$71)*CM940), N($AQ$67:$AQ$71&gt;$AO940)),
SUMPRODUCT(INDEX($AR$57:$AT$66,,$AI940), INDEX($AU$57:$BA$66,,$AH940), 1 / ($BC$57:$BC$66*CQ940 + (1-$BC$57:$BC$66)*CM940), N($AQ$57:$AQ$66&gt;$AO940))
) / 1000</f>
        <v>0</v>
      </c>
      <c r="CS940" s="232">
        <f t="shared" si="838"/>
        <v>20</v>
      </c>
      <c r="CT940" s="230">
        <f t="shared" si="824"/>
        <v>33</v>
      </c>
      <c r="CU940" s="235">
        <f t="shared" si="825"/>
        <v>4.8487499999999999</v>
      </c>
      <c r="CV940" s="235" cm="1">
        <f t="array" ref="CV940">$BI940 * IF($AH940&lt;=2,
SUMPRODUCT(INDEX($AR$62:$AT$66,,$AI940), INDEX($AU$62:$BA$66,,$AH940), 1 / ($BB$62:$BB$66*CU940 + (1-$BB$62:$BB$66)*CQ940), N($AQ$62:$AQ$66&gt;$AO940)),
SUMPRODUCT(INDEX($AR$47:$AT$56,,$AI940), INDEX($AU$47:$BA$56,,$AH940), 1 / ($BC$47:$BC$56*CU940 + (1-$BC$47:$BC$56)*CQ940), N($AQ$47:$AQ$56&gt;$AO940))
) / 1000</f>
        <v>0</v>
      </c>
      <c r="CW940" s="235" cm="1">
        <f t="array" ref="CW940">$BI940 * IF($AH940&lt;=2,
SUMPRODUCT(INDEX($AR$23:$AT$61,,$AI940), INDEX($AU$23:$BA$61,,$AH940), 1 / ($BB$23:$BB$61*CU940), N($AQ$23:$AQ$61&gt;$AO940)),
SUMPRODUCT(INDEX($AR$23:$AT$46,,$AI940), INDEX($AU$23:$BA$46,,$AH940), 1 / ($BC$23:$BC$46*CU940), N($AQ$23:$AQ$46&gt;$AO940))
) / 1000</f>
        <v>0</v>
      </c>
      <c r="CX940" s="230">
        <f t="shared" si="826"/>
        <v>0</v>
      </c>
      <c r="CY940" s="238"/>
    </row>
    <row r="941" spans="1:103" s="76" customFormat="1" ht="14.25" customHeight="1" x14ac:dyDescent="0.2">
      <c r="A941" s="231" t="b">
        <f t="shared" si="830"/>
        <v>0</v>
      </c>
      <c r="B941" s="245">
        <v>919</v>
      </c>
      <c r="C941" s="258"/>
      <c r="D941" s="258"/>
      <c r="E941" s="246"/>
      <c r="F941" s="247" t="str">
        <f>IF(ISBLANK(E941), "", VLOOKUP(E941, Z!$A$2:$C$4127, 3, FALSE))</f>
        <v/>
      </c>
      <c r="G941" s="248"/>
      <c r="H941" s="248"/>
      <c r="I941" s="249"/>
      <c r="J941" s="250"/>
      <c r="K941" s="259"/>
      <c r="L941" s="260"/>
      <c r="M941" s="252" t="str" cm="1">
        <f t="array" ref="M941">INDEX(Trad, 53, $A$20)</f>
        <v>Verschmutzt</v>
      </c>
      <c r="N941" s="253"/>
      <c r="O941" s="253"/>
      <c r="P941" s="254"/>
      <c r="Q941" s="251"/>
      <c r="R941" s="251"/>
      <c r="S941" s="264">
        <f t="shared" si="801"/>
        <v>0</v>
      </c>
      <c r="T941" s="252" t="str" cm="1">
        <f t="array" ref="T941">INDEX(Trad, 52, $A$20)</f>
        <v>Sauber</v>
      </c>
      <c r="U941" s="253"/>
      <c r="V941" s="253"/>
      <c r="W941" s="254"/>
      <c r="X941" s="251"/>
      <c r="Y941" s="251"/>
      <c r="Z941" s="264">
        <f t="shared" si="802"/>
        <v>0</v>
      </c>
      <c r="AA941" s="261"/>
      <c r="AB941" s="258"/>
      <c r="AC941" s="246"/>
      <c r="AD941" s="247" t="str">
        <f>IF(ISBLANK(AC941), "", VLOOKUP(AC941, Z!$A$2:$C$4127, 3, FALSE))</f>
        <v/>
      </c>
      <c r="AE941" s="262"/>
      <c r="AF941" s="263">
        <f t="shared" si="803"/>
        <v>0</v>
      </c>
      <c r="AG941" s="238"/>
      <c r="AH941" s="229">
        <f t="shared" si="827"/>
        <v>1</v>
      </c>
      <c r="AI941" s="229">
        <f t="shared" si="828"/>
        <v>1</v>
      </c>
      <c r="AJ941" s="229">
        <f t="shared" si="829"/>
        <v>0</v>
      </c>
      <c r="AK941" s="229">
        <v>0</v>
      </c>
      <c r="AL941" s="229">
        <v>0</v>
      </c>
      <c r="AM941" s="229">
        <v>1</v>
      </c>
      <c r="AN941" s="229">
        <v>0</v>
      </c>
      <c r="AO941" s="229">
        <f t="shared" si="804"/>
        <v>-100</v>
      </c>
      <c r="AP941" s="238"/>
      <c r="AQ941" s="255"/>
      <c r="AR941" s="255"/>
      <c r="AS941" s="256"/>
      <c r="AT941" s="256"/>
      <c r="AU941" s="256"/>
      <c r="AV941" s="256"/>
      <c r="AW941" s="256"/>
      <c r="AX941" s="256"/>
      <c r="AY941" s="256"/>
      <c r="AZ941" s="256"/>
      <c r="BA941" s="256"/>
      <c r="BB941" s="256"/>
      <c r="BC941" s="256"/>
      <c r="BD941" s="238"/>
      <c r="BE941" s="229" cm="1">
        <f t="array" ref="BE941">IF(ISBLANK(R941), INDEX(Use, $AH941, 4) - AM941*INDEX(Use, $AH941, 6), R941)</f>
        <v>5</v>
      </c>
      <c r="BF941" s="229">
        <f t="shared" si="805"/>
        <v>30</v>
      </c>
      <c r="BG941" s="229">
        <f t="shared" si="831"/>
        <v>13</v>
      </c>
      <c r="BH941" s="229">
        <f t="shared" si="832"/>
        <v>0</v>
      </c>
      <c r="BI941" s="234" cm="1">
        <f t="array" ref="BI941">K941/IF($L941&gt;0, INDEX($AU$23:$BA$77, $L941+20, $AH941), 1)</f>
        <v>0</v>
      </c>
      <c r="BJ941" s="230">
        <f t="shared" si="806"/>
        <v>0</v>
      </c>
      <c r="BK941" s="229">
        <v>35</v>
      </c>
      <c r="BL941" s="230">
        <f t="shared" si="807"/>
        <v>48</v>
      </c>
      <c r="BM941" s="235">
        <f t="shared" si="808"/>
        <v>2.9108720930232557</v>
      </c>
      <c r="BN941" s="235" cm="1">
        <f t="array" ref="BN941">$BI941 * SUMPRODUCT(INDEX($AR$77:$AT$82,,$AI941),INDEX($AU$77:$BA$82,,$AH941), N($AQ$77:$AQ$82&gt;$AO941)) / BM941 / 1000</f>
        <v>0</v>
      </c>
      <c r="BO941" s="232">
        <f t="shared" si="833"/>
        <v>30</v>
      </c>
      <c r="BP941" s="230">
        <f t="shared" si="809"/>
        <v>43</v>
      </c>
      <c r="BQ941" s="235">
        <f t="shared" si="810"/>
        <v>3.2938815789473681</v>
      </c>
      <c r="BR941" s="235" cm="1">
        <f t="array" ref="BR941">$BI941 * IF($AH941&lt;=2,
SUMPRODUCT(INDEX($AR$72:$AT$76,,$AI941), INDEX($AU$72:$BA$76,,$AH941), 1 / ($BB$72:$BB$76*BQ941 + (1-$BB$72:$BB$76)*BM941), N($AQ$72:$AQ$76&gt;$AO941)),
SUMPRODUCT(INDEX($AR$67:$AT$76,,$AI941), INDEX($AU$67:$BA$76,,$AH941), 1 / ($BC$67:$BC$76*BQ941 + (1-$BC$67:$BC$76)*BM941), N($AQ$67:$AQ$76&gt;$AO941))
) / 1000</f>
        <v>0</v>
      </c>
      <c r="BS941" s="232">
        <f t="shared" si="834"/>
        <v>25</v>
      </c>
      <c r="BT941" s="230">
        <f t="shared" si="811"/>
        <v>38</v>
      </c>
      <c r="BU941" s="235">
        <f t="shared" si="812"/>
        <v>3.792954545454545</v>
      </c>
      <c r="BV941" s="235" cm="1">
        <f t="array" ref="BV941">$BI941 * IF($AH941&lt;=2,
SUMPRODUCT(INDEX($AR$67:$AT$71,,$AI941), INDEX($AU$67:$BA$71,,$AH941), 1 / ($BB$67:$BB$71*BU941 + (1-$BB$67:$BB$71)*BQ941), N($AQ$67:$AQ$71&gt;$AO941)),
SUMPRODUCT(INDEX($AR$57:$AT$66,,$AI941), INDEX($AU$57:$BA$66,,$AH941), 1 / ($BC$57:$BC$66*BU941 + (1-$BC$57:$BC$66)*BQ941), N($AQ$57:$AQ$66&gt;$AO941))
) / 1000</f>
        <v>0</v>
      </c>
      <c r="BW941" s="232">
        <f t="shared" si="835"/>
        <v>20</v>
      </c>
      <c r="BX941" s="230">
        <f t="shared" si="813"/>
        <v>33</v>
      </c>
      <c r="BY941" s="235">
        <f t="shared" si="814"/>
        <v>4.4702678571428569</v>
      </c>
      <c r="BZ941" s="235" cm="1">
        <f t="array" ref="BZ941">$BI941 * IF($AH941&lt;=2,
SUMPRODUCT(INDEX($AR$62:$AT$66,,$AI941), INDEX($AU$62:$BA$66,,$AH941), 1 / ($BB$62:$BB$66*BY941 + (1-$BB$62:$BB$66)*BU941), N($AQ$62:$AQ$66&gt;$AO941)),
SUMPRODUCT(INDEX($AR$47:$AT$56,,$AI941), INDEX($AU$47:$BA$56,,$AH941), 1 / ($BC$47:$BC$56*BY941 + (1-$BC$47:$BC$56)*BU941), N($AQ$47:$AQ$56&gt;$AO941))
) / 1000</f>
        <v>0</v>
      </c>
      <c r="CA941" s="235" cm="1">
        <f t="array" ref="CA941">$BI941 * IF($AH941&lt;=2,
SUMPRODUCT(INDEX($AR$23:$AT$61,,$AI941), INDEX($AU$23:$BA$61,,$AH941), 1 / ($BB$23:$BB$61*BY941), N($AQ$23:$AQ$61&gt;$AO941)),
SUMPRODUCT(INDEX($AR$23:$AT$46,,$AI941), INDEX($AU$23:$BA$46,,$AH941), 1 / ($BC$23:$BC$46*BY941), N($AQ$23:$AQ$46&gt;$AO941))
) / 1000</f>
        <v>0</v>
      </c>
      <c r="CB941" s="230">
        <f t="shared" si="815"/>
        <v>0</v>
      </c>
      <c r="CC941" s="238"/>
      <c r="CD941" s="229" cm="1">
        <f t="array" ref="CD941">IF(ISBLANK(Y941), INDEX(Use, $AH941, 4) - AN941*INDEX(Use, $AH941, 6) - (Q941-X941), Y941)</f>
        <v>7</v>
      </c>
      <c r="CE941" s="229">
        <f t="shared" si="816"/>
        <v>32</v>
      </c>
      <c r="CF941" s="230">
        <f t="shared" si="817"/>
        <v>0</v>
      </c>
      <c r="CG941" s="229">
        <v>35</v>
      </c>
      <c r="CH941" s="230">
        <f t="shared" si="818"/>
        <v>48</v>
      </c>
      <c r="CI941" s="235">
        <f t="shared" si="819"/>
        <v>3.0748170731707316</v>
      </c>
      <c r="CJ941" s="235" cm="1">
        <f t="array" ref="CJ941">$BI941 * SUMPRODUCT(INDEX($AR$77:$AT$82,,$AI941),INDEX($AU$77:$BA$82,,$AH941), N($AQ$77:$AQ$82&gt;$AO941)) / CI941 / 1000</f>
        <v>0</v>
      </c>
      <c r="CK941" s="232">
        <f t="shared" si="836"/>
        <v>30</v>
      </c>
      <c r="CL941" s="230">
        <f t="shared" si="820"/>
        <v>43</v>
      </c>
      <c r="CM941" s="235">
        <f t="shared" si="821"/>
        <v>3.5018750000000001</v>
      </c>
      <c r="CN941" s="235" cm="1">
        <f t="array" ref="CN941">$BI941 * IF($AH941&lt;=2,
SUMPRODUCT(INDEX($AR$72:$AT$76,,$AI941), INDEX($AU$72:$BA$76,,$AH941), 1 / ($BB$72:$BB$76*CM941 + (1-$BB$72:$BB$76)*CI941), N($AQ$72:$AQ$76&gt;$AO941)),
SUMPRODUCT(INDEX($AR$67:$AT$76,,$AI941), INDEX($AU$67:$BA$76,,$AH941), 1 / ($BC$67:$BC$76*CM941 + (1-$BC$67:$BC$76)*CI941), N($AQ$67:$AQ$76&gt;$AO941))
) / 1000</f>
        <v>0</v>
      </c>
      <c r="CO941" s="232">
        <f t="shared" si="837"/>
        <v>25</v>
      </c>
      <c r="CP941" s="230">
        <f t="shared" si="822"/>
        <v>38</v>
      </c>
      <c r="CQ941" s="235">
        <f t="shared" si="823"/>
        <v>4.0666935483870965</v>
      </c>
      <c r="CR941" s="235" cm="1">
        <f t="array" ref="CR941">$BI941 * IF($AH941&lt;=2,
SUMPRODUCT(INDEX($AR$67:$AT$71,,$AI941), INDEX($AU$67:$BA$71,,$AH941), 1 / ($BB$67:$BB$71*CQ941 + (1-$BB$67:$BB$71)*CM941), N($AQ$67:$AQ$71&gt;$AO941)),
SUMPRODUCT(INDEX($AR$57:$AT$66,,$AI941), INDEX($AU$57:$BA$66,,$AH941), 1 / ($BC$57:$BC$66*CQ941 + (1-$BC$57:$BC$66)*CM941), N($AQ$57:$AQ$66&gt;$AO941))
) / 1000</f>
        <v>0</v>
      </c>
      <c r="CS941" s="232">
        <f t="shared" si="838"/>
        <v>20</v>
      </c>
      <c r="CT941" s="230">
        <f t="shared" si="824"/>
        <v>33</v>
      </c>
      <c r="CU941" s="235">
        <f t="shared" si="825"/>
        <v>4.8487499999999999</v>
      </c>
      <c r="CV941" s="235" cm="1">
        <f t="array" ref="CV941">$BI941 * IF($AH941&lt;=2,
SUMPRODUCT(INDEX($AR$62:$AT$66,,$AI941), INDEX($AU$62:$BA$66,,$AH941), 1 / ($BB$62:$BB$66*CU941 + (1-$BB$62:$BB$66)*CQ941), N($AQ$62:$AQ$66&gt;$AO941)),
SUMPRODUCT(INDEX($AR$47:$AT$56,,$AI941), INDEX($AU$47:$BA$56,,$AH941), 1 / ($BC$47:$BC$56*CU941 + (1-$BC$47:$BC$56)*CQ941), N($AQ$47:$AQ$56&gt;$AO941))
) / 1000</f>
        <v>0</v>
      </c>
      <c r="CW941" s="235" cm="1">
        <f t="array" ref="CW941">$BI941 * IF($AH941&lt;=2,
SUMPRODUCT(INDEX($AR$23:$AT$61,,$AI941), INDEX($AU$23:$BA$61,,$AH941), 1 / ($BB$23:$BB$61*CU941), N($AQ$23:$AQ$61&gt;$AO941)),
SUMPRODUCT(INDEX($AR$23:$AT$46,,$AI941), INDEX($AU$23:$BA$46,,$AH941), 1 / ($BC$23:$BC$46*CU941), N($AQ$23:$AQ$46&gt;$AO941))
) / 1000</f>
        <v>0</v>
      </c>
      <c r="CX941" s="230">
        <f t="shared" si="826"/>
        <v>0</v>
      </c>
      <c r="CY941" s="238"/>
    </row>
    <row r="942" spans="1:103" s="76" customFormat="1" ht="14.25" customHeight="1" x14ac:dyDescent="0.2">
      <c r="A942" s="231" t="b">
        <f t="shared" si="830"/>
        <v>0</v>
      </c>
      <c r="B942" s="245">
        <v>920</v>
      </c>
      <c r="C942" s="258"/>
      <c r="D942" s="258"/>
      <c r="E942" s="246"/>
      <c r="F942" s="247" t="str">
        <f>IF(ISBLANK(E942), "", VLOOKUP(E942, Z!$A$2:$C$4127, 3, FALSE))</f>
        <v/>
      </c>
      <c r="G942" s="248"/>
      <c r="H942" s="248"/>
      <c r="I942" s="249"/>
      <c r="J942" s="250"/>
      <c r="K942" s="259"/>
      <c r="L942" s="260"/>
      <c r="M942" s="252" t="str" cm="1">
        <f t="array" ref="M942">INDEX(Trad, 53, $A$20)</f>
        <v>Verschmutzt</v>
      </c>
      <c r="N942" s="253"/>
      <c r="O942" s="253"/>
      <c r="P942" s="254"/>
      <c r="Q942" s="251"/>
      <c r="R942" s="251"/>
      <c r="S942" s="264">
        <f t="shared" si="801"/>
        <v>0</v>
      </c>
      <c r="T942" s="252" t="str" cm="1">
        <f t="array" ref="T942">INDEX(Trad, 52, $A$20)</f>
        <v>Sauber</v>
      </c>
      <c r="U942" s="253"/>
      <c r="V942" s="253"/>
      <c r="W942" s="254"/>
      <c r="X942" s="251"/>
      <c r="Y942" s="251"/>
      <c r="Z942" s="264">
        <f t="shared" si="802"/>
        <v>0</v>
      </c>
      <c r="AA942" s="261"/>
      <c r="AB942" s="258"/>
      <c r="AC942" s="246"/>
      <c r="AD942" s="247" t="str">
        <f>IF(ISBLANK(AC942), "", VLOOKUP(AC942, Z!$A$2:$C$4127, 3, FALSE))</f>
        <v/>
      </c>
      <c r="AE942" s="262"/>
      <c r="AF942" s="263">
        <f t="shared" si="803"/>
        <v>0</v>
      </c>
      <c r="AG942" s="238"/>
      <c r="AH942" s="229">
        <f t="shared" si="827"/>
        <v>1</v>
      </c>
      <c r="AI942" s="229">
        <f t="shared" si="828"/>
        <v>1</v>
      </c>
      <c r="AJ942" s="229">
        <f t="shared" si="829"/>
        <v>0</v>
      </c>
      <c r="AK942" s="229">
        <v>0</v>
      </c>
      <c r="AL942" s="229">
        <v>0</v>
      </c>
      <c r="AM942" s="229">
        <v>1</v>
      </c>
      <c r="AN942" s="229">
        <v>0</v>
      </c>
      <c r="AO942" s="229">
        <f t="shared" si="804"/>
        <v>-100</v>
      </c>
      <c r="AP942" s="238"/>
      <c r="AQ942" s="255"/>
      <c r="AR942" s="255"/>
      <c r="AS942" s="256"/>
      <c r="AT942" s="256"/>
      <c r="AU942" s="256"/>
      <c r="AV942" s="256"/>
      <c r="AW942" s="256"/>
      <c r="AX942" s="256"/>
      <c r="AY942" s="256"/>
      <c r="AZ942" s="256"/>
      <c r="BA942" s="256"/>
      <c r="BB942" s="256"/>
      <c r="BC942" s="256"/>
      <c r="BD942" s="238"/>
      <c r="BE942" s="229" cm="1">
        <f t="array" ref="BE942">IF(ISBLANK(R942), INDEX(Use, $AH942, 4) - AM942*INDEX(Use, $AH942, 6), R942)</f>
        <v>5</v>
      </c>
      <c r="BF942" s="229">
        <f t="shared" si="805"/>
        <v>30</v>
      </c>
      <c r="BG942" s="229">
        <f t="shared" si="831"/>
        <v>13</v>
      </c>
      <c r="BH942" s="229">
        <f t="shared" si="832"/>
        <v>0</v>
      </c>
      <c r="BI942" s="234" cm="1">
        <f t="array" ref="BI942">K942/IF($L942&gt;0, INDEX($AU$23:$BA$77, $L942+20, $AH942), 1)</f>
        <v>0</v>
      </c>
      <c r="BJ942" s="230">
        <f t="shared" si="806"/>
        <v>0</v>
      </c>
      <c r="BK942" s="229">
        <v>35</v>
      </c>
      <c r="BL942" s="230">
        <f t="shared" si="807"/>
        <v>48</v>
      </c>
      <c r="BM942" s="235">
        <f t="shared" si="808"/>
        <v>2.9108720930232557</v>
      </c>
      <c r="BN942" s="235" cm="1">
        <f t="array" ref="BN942">$BI942 * SUMPRODUCT(INDEX($AR$77:$AT$82,,$AI942),INDEX($AU$77:$BA$82,,$AH942), N($AQ$77:$AQ$82&gt;$AO942)) / BM942 / 1000</f>
        <v>0</v>
      </c>
      <c r="BO942" s="232">
        <f t="shared" si="833"/>
        <v>30</v>
      </c>
      <c r="BP942" s="230">
        <f t="shared" si="809"/>
        <v>43</v>
      </c>
      <c r="BQ942" s="235">
        <f t="shared" si="810"/>
        <v>3.2938815789473681</v>
      </c>
      <c r="BR942" s="235" cm="1">
        <f t="array" ref="BR942">$BI942 * IF($AH942&lt;=2,
SUMPRODUCT(INDEX($AR$72:$AT$76,,$AI942), INDEX($AU$72:$BA$76,,$AH942), 1 / ($BB$72:$BB$76*BQ942 + (1-$BB$72:$BB$76)*BM942), N($AQ$72:$AQ$76&gt;$AO942)),
SUMPRODUCT(INDEX($AR$67:$AT$76,,$AI942), INDEX($AU$67:$BA$76,,$AH942), 1 / ($BC$67:$BC$76*BQ942 + (1-$BC$67:$BC$76)*BM942), N($AQ$67:$AQ$76&gt;$AO942))
) / 1000</f>
        <v>0</v>
      </c>
      <c r="BS942" s="232">
        <f t="shared" si="834"/>
        <v>25</v>
      </c>
      <c r="BT942" s="230">
        <f t="shared" si="811"/>
        <v>38</v>
      </c>
      <c r="BU942" s="235">
        <f t="shared" si="812"/>
        <v>3.792954545454545</v>
      </c>
      <c r="BV942" s="235" cm="1">
        <f t="array" ref="BV942">$BI942 * IF($AH942&lt;=2,
SUMPRODUCT(INDEX($AR$67:$AT$71,,$AI942), INDEX($AU$67:$BA$71,,$AH942), 1 / ($BB$67:$BB$71*BU942 + (1-$BB$67:$BB$71)*BQ942), N($AQ$67:$AQ$71&gt;$AO942)),
SUMPRODUCT(INDEX($AR$57:$AT$66,,$AI942), INDEX($AU$57:$BA$66,,$AH942), 1 / ($BC$57:$BC$66*BU942 + (1-$BC$57:$BC$66)*BQ942), N($AQ$57:$AQ$66&gt;$AO942))
) / 1000</f>
        <v>0</v>
      </c>
      <c r="BW942" s="232">
        <f t="shared" si="835"/>
        <v>20</v>
      </c>
      <c r="BX942" s="230">
        <f t="shared" si="813"/>
        <v>33</v>
      </c>
      <c r="BY942" s="235">
        <f t="shared" si="814"/>
        <v>4.4702678571428569</v>
      </c>
      <c r="BZ942" s="235" cm="1">
        <f t="array" ref="BZ942">$BI942 * IF($AH942&lt;=2,
SUMPRODUCT(INDEX($AR$62:$AT$66,,$AI942), INDEX($AU$62:$BA$66,,$AH942), 1 / ($BB$62:$BB$66*BY942 + (1-$BB$62:$BB$66)*BU942), N($AQ$62:$AQ$66&gt;$AO942)),
SUMPRODUCT(INDEX($AR$47:$AT$56,,$AI942), INDEX($AU$47:$BA$56,,$AH942), 1 / ($BC$47:$BC$56*BY942 + (1-$BC$47:$BC$56)*BU942), N($AQ$47:$AQ$56&gt;$AO942))
) / 1000</f>
        <v>0</v>
      </c>
      <c r="CA942" s="235" cm="1">
        <f t="array" ref="CA942">$BI942 * IF($AH942&lt;=2,
SUMPRODUCT(INDEX($AR$23:$AT$61,,$AI942), INDEX($AU$23:$BA$61,,$AH942), 1 / ($BB$23:$BB$61*BY942), N($AQ$23:$AQ$61&gt;$AO942)),
SUMPRODUCT(INDEX($AR$23:$AT$46,,$AI942), INDEX($AU$23:$BA$46,,$AH942), 1 / ($BC$23:$BC$46*BY942), N($AQ$23:$AQ$46&gt;$AO942))
) / 1000</f>
        <v>0</v>
      </c>
      <c r="CB942" s="230">
        <f t="shared" si="815"/>
        <v>0</v>
      </c>
      <c r="CC942" s="238"/>
      <c r="CD942" s="229" cm="1">
        <f t="array" ref="CD942">IF(ISBLANK(Y942), INDEX(Use, $AH942, 4) - AN942*INDEX(Use, $AH942, 6) - (Q942-X942), Y942)</f>
        <v>7</v>
      </c>
      <c r="CE942" s="229">
        <f t="shared" si="816"/>
        <v>32</v>
      </c>
      <c r="CF942" s="230">
        <f t="shared" si="817"/>
        <v>0</v>
      </c>
      <c r="CG942" s="229">
        <v>35</v>
      </c>
      <c r="CH942" s="230">
        <f t="shared" si="818"/>
        <v>48</v>
      </c>
      <c r="CI942" s="235">
        <f t="shared" si="819"/>
        <v>3.0748170731707316</v>
      </c>
      <c r="CJ942" s="235" cm="1">
        <f t="array" ref="CJ942">$BI942 * SUMPRODUCT(INDEX($AR$77:$AT$82,,$AI942),INDEX($AU$77:$BA$82,,$AH942), N($AQ$77:$AQ$82&gt;$AO942)) / CI942 / 1000</f>
        <v>0</v>
      </c>
      <c r="CK942" s="232">
        <f t="shared" si="836"/>
        <v>30</v>
      </c>
      <c r="CL942" s="230">
        <f t="shared" si="820"/>
        <v>43</v>
      </c>
      <c r="CM942" s="235">
        <f t="shared" si="821"/>
        <v>3.5018750000000001</v>
      </c>
      <c r="CN942" s="235" cm="1">
        <f t="array" ref="CN942">$BI942 * IF($AH942&lt;=2,
SUMPRODUCT(INDEX($AR$72:$AT$76,,$AI942), INDEX($AU$72:$BA$76,,$AH942), 1 / ($BB$72:$BB$76*CM942 + (1-$BB$72:$BB$76)*CI942), N($AQ$72:$AQ$76&gt;$AO942)),
SUMPRODUCT(INDEX($AR$67:$AT$76,,$AI942), INDEX($AU$67:$BA$76,,$AH942), 1 / ($BC$67:$BC$76*CM942 + (1-$BC$67:$BC$76)*CI942), N($AQ$67:$AQ$76&gt;$AO942))
) / 1000</f>
        <v>0</v>
      </c>
      <c r="CO942" s="232">
        <f t="shared" si="837"/>
        <v>25</v>
      </c>
      <c r="CP942" s="230">
        <f t="shared" si="822"/>
        <v>38</v>
      </c>
      <c r="CQ942" s="235">
        <f t="shared" si="823"/>
        <v>4.0666935483870965</v>
      </c>
      <c r="CR942" s="235" cm="1">
        <f t="array" ref="CR942">$BI942 * IF($AH942&lt;=2,
SUMPRODUCT(INDEX($AR$67:$AT$71,,$AI942), INDEX($AU$67:$BA$71,,$AH942), 1 / ($BB$67:$BB$71*CQ942 + (1-$BB$67:$BB$71)*CM942), N($AQ$67:$AQ$71&gt;$AO942)),
SUMPRODUCT(INDEX($AR$57:$AT$66,,$AI942), INDEX($AU$57:$BA$66,,$AH942), 1 / ($BC$57:$BC$66*CQ942 + (1-$BC$57:$BC$66)*CM942), N($AQ$57:$AQ$66&gt;$AO942))
) / 1000</f>
        <v>0</v>
      </c>
      <c r="CS942" s="232">
        <f t="shared" si="838"/>
        <v>20</v>
      </c>
      <c r="CT942" s="230">
        <f t="shared" si="824"/>
        <v>33</v>
      </c>
      <c r="CU942" s="235">
        <f t="shared" si="825"/>
        <v>4.8487499999999999</v>
      </c>
      <c r="CV942" s="235" cm="1">
        <f t="array" ref="CV942">$BI942 * IF($AH942&lt;=2,
SUMPRODUCT(INDEX($AR$62:$AT$66,,$AI942), INDEX($AU$62:$BA$66,,$AH942), 1 / ($BB$62:$BB$66*CU942 + (1-$BB$62:$BB$66)*CQ942), N($AQ$62:$AQ$66&gt;$AO942)),
SUMPRODUCT(INDEX($AR$47:$AT$56,,$AI942), INDEX($AU$47:$BA$56,,$AH942), 1 / ($BC$47:$BC$56*CU942 + (1-$BC$47:$BC$56)*CQ942), N($AQ$47:$AQ$56&gt;$AO942))
) / 1000</f>
        <v>0</v>
      </c>
      <c r="CW942" s="235" cm="1">
        <f t="array" ref="CW942">$BI942 * IF($AH942&lt;=2,
SUMPRODUCT(INDEX($AR$23:$AT$61,,$AI942), INDEX($AU$23:$BA$61,,$AH942), 1 / ($BB$23:$BB$61*CU942), N($AQ$23:$AQ$61&gt;$AO942)),
SUMPRODUCT(INDEX($AR$23:$AT$46,,$AI942), INDEX($AU$23:$BA$46,,$AH942), 1 / ($BC$23:$BC$46*CU942), N($AQ$23:$AQ$46&gt;$AO942))
) / 1000</f>
        <v>0</v>
      </c>
      <c r="CX942" s="230">
        <f t="shared" si="826"/>
        <v>0</v>
      </c>
      <c r="CY942" s="238"/>
    </row>
    <row r="943" spans="1:103" s="76" customFormat="1" ht="14.25" customHeight="1" x14ac:dyDescent="0.2">
      <c r="A943" s="231" t="b">
        <f t="shared" si="830"/>
        <v>0</v>
      </c>
      <c r="B943" s="245">
        <v>921</v>
      </c>
      <c r="C943" s="258"/>
      <c r="D943" s="258"/>
      <c r="E943" s="246"/>
      <c r="F943" s="247" t="str">
        <f>IF(ISBLANK(E943), "", VLOOKUP(E943, Z!$A$2:$C$4127, 3, FALSE))</f>
        <v/>
      </c>
      <c r="G943" s="248"/>
      <c r="H943" s="248"/>
      <c r="I943" s="249"/>
      <c r="J943" s="250"/>
      <c r="K943" s="259"/>
      <c r="L943" s="260"/>
      <c r="M943" s="252" t="str" cm="1">
        <f t="array" ref="M943">INDEX(Trad, 53, $A$20)</f>
        <v>Verschmutzt</v>
      </c>
      <c r="N943" s="253"/>
      <c r="O943" s="253"/>
      <c r="P943" s="254"/>
      <c r="Q943" s="251"/>
      <c r="R943" s="251"/>
      <c r="S943" s="264">
        <f t="shared" si="801"/>
        <v>0</v>
      </c>
      <c r="T943" s="252" t="str" cm="1">
        <f t="array" ref="T943">INDEX(Trad, 52, $A$20)</f>
        <v>Sauber</v>
      </c>
      <c r="U943" s="253"/>
      <c r="V943" s="253"/>
      <c r="W943" s="254"/>
      <c r="X943" s="251"/>
      <c r="Y943" s="251"/>
      <c r="Z943" s="264">
        <f t="shared" si="802"/>
        <v>0</v>
      </c>
      <c r="AA943" s="261"/>
      <c r="AB943" s="258"/>
      <c r="AC943" s="246"/>
      <c r="AD943" s="247" t="str">
        <f>IF(ISBLANK(AC943), "", VLOOKUP(AC943, Z!$A$2:$C$4127, 3, FALSE))</f>
        <v/>
      </c>
      <c r="AE943" s="262"/>
      <c r="AF943" s="263">
        <f t="shared" si="803"/>
        <v>0</v>
      </c>
      <c r="AG943" s="238"/>
      <c r="AH943" s="229">
        <f t="shared" si="827"/>
        <v>1</v>
      </c>
      <c r="AI943" s="229">
        <f t="shared" si="828"/>
        <v>1</v>
      </c>
      <c r="AJ943" s="229">
        <f t="shared" si="829"/>
        <v>0</v>
      </c>
      <c r="AK943" s="229">
        <v>0</v>
      </c>
      <c r="AL943" s="229">
        <v>0</v>
      </c>
      <c r="AM943" s="229">
        <v>1</v>
      </c>
      <c r="AN943" s="229">
        <v>0</v>
      </c>
      <c r="AO943" s="229">
        <f t="shared" si="804"/>
        <v>-100</v>
      </c>
      <c r="AP943" s="238"/>
      <c r="AQ943" s="255"/>
      <c r="AR943" s="255"/>
      <c r="AS943" s="256"/>
      <c r="AT943" s="256"/>
      <c r="AU943" s="256"/>
      <c r="AV943" s="256"/>
      <c r="AW943" s="256"/>
      <c r="AX943" s="256"/>
      <c r="AY943" s="256"/>
      <c r="AZ943" s="256"/>
      <c r="BA943" s="256"/>
      <c r="BB943" s="256"/>
      <c r="BC943" s="256"/>
      <c r="BD943" s="238"/>
      <c r="BE943" s="229" cm="1">
        <f t="array" ref="BE943">IF(ISBLANK(R943), INDEX(Use, $AH943, 4) - AM943*INDEX(Use, $AH943, 6), R943)</f>
        <v>5</v>
      </c>
      <c r="BF943" s="229">
        <f t="shared" si="805"/>
        <v>30</v>
      </c>
      <c r="BG943" s="229">
        <f t="shared" si="831"/>
        <v>13</v>
      </c>
      <c r="BH943" s="229">
        <f t="shared" si="832"/>
        <v>0</v>
      </c>
      <c r="BI943" s="234" cm="1">
        <f t="array" ref="BI943">K943/IF($L943&gt;0, INDEX($AU$23:$BA$77, $L943+20, $AH943), 1)</f>
        <v>0</v>
      </c>
      <c r="BJ943" s="230">
        <f t="shared" si="806"/>
        <v>0</v>
      </c>
      <c r="BK943" s="229">
        <v>35</v>
      </c>
      <c r="BL943" s="230">
        <f t="shared" si="807"/>
        <v>48</v>
      </c>
      <c r="BM943" s="235">
        <f t="shared" si="808"/>
        <v>2.9108720930232557</v>
      </c>
      <c r="BN943" s="235" cm="1">
        <f t="array" ref="BN943">$BI943 * SUMPRODUCT(INDEX($AR$77:$AT$82,,$AI943),INDEX($AU$77:$BA$82,,$AH943), N($AQ$77:$AQ$82&gt;$AO943)) / BM943 / 1000</f>
        <v>0</v>
      </c>
      <c r="BO943" s="232">
        <f t="shared" si="833"/>
        <v>30</v>
      </c>
      <c r="BP943" s="230">
        <f t="shared" si="809"/>
        <v>43</v>
      </c>
      <c r="BQ943" s="235">
        <f t="shared" si="810"/>
        <v>3.2938815789473681</v>
      </c>
      <c r="BR943" s="235" cm="1">
        <f t="array" ref="BR943">$BI943 * IF($AH943&lt;=2,
SUMPRODUCT(INDEX($AR$72:$AT$76,,$AI943), INDEX($AU$72:$BA$76,,$AH943), 1 / ($BB$72:$BB$76*BQ943 + (1-$BB$72:$BB$76)*BM943), N($AQ$72:$AQ$76&gt;$AO943)),
SUMPRODUCT(INDEX($AR$67:$AT$76,,$AI943), INDEX($AU$67:$BA$76,,$AH943), 1 / ($BC$67:$BC$76*BQ943 + (1-$BC$67:$BC$76)*BM943), N($AQ$67:$AQ$76&gt;$AO943))
) / 1000</f>
        <v>0</v>
      </c>
      <c r="BS943" s="232">
        <f t="shared" si="834"/>
        <v>25</v>
      </c>
      <c r="BT943" s="230">
        <f t="shared" si="811"/>
        <v>38</v>
      </c>
      <c r="BU943" s="235">
        <f t="shared" si="812"/>
        <v>3.792954545454545</v>
      </c>
      <c r="BV943" s="235" cm="1">
        <f t="array" ref="BV943">$BI943 * IF($AH943&lt;=2,
SUMPRODUCT(INDEX($AR$67:$AT$71,,$AI943), INDEX($AU$67:$BA$71,,$AH943), 1 / ($BB$67:$BB$71*BU943 + (1-$BB$67:$BB$71)*BQ943), N($AQ$67:$AQ$71&gt;$AO943)),
SUMPRODUCT(INDEX($AR$57:$AT$66,,$AI943), INDEX($AU$57:$BA$66,,$AH943), 1 / ($BC$57:$BC$66*BU943 + (1-$BC$57:$BC$66)*BQ943), N($AQ$57:$AQ$66&gt;$AO943))
) / 1000</f>
        <v>0</v>
      </c>
      <c r="BW943" s="232">
        <f t="shared" si="835"/>
        <v>20</v>
      </c>
      <c r="BX943" s="230">
        <f t="shared" si="813"/>
        <v>33</v>
      </c>
      <c r="BY943" s="235">
        <f t="shared" si="814"/>
        <v>4.4702678571428569</v>
      </c>
      <c r="BZ943" s="235" cm="1">
        <f t="array" ref="BZ943">$BI943 * IF($AH943&lt;=2,
SUMPRODUCT(INDEX($AR$62:$AT$66,,$AI943), INDEX($AU$62:$BA$66,,$AH943), 1 / ($BB$62:$BB$66*BY943 + (1-$BB$62:$BB$66)*BU943), N($AQ$62:$AQ$66&gt;$AO943)),
SUMPRODUCT(INDEX($AR$47:$AT$56,,$AI943), INDEX($AU$47:$BA$56,,$AH943), 1 / ($BC$47:$BC$56*BY943 + (1-$BC$47:$BC$56)*BU943), N($AQ$47:$AQ$56&gt;$AO943))
) / 1000</f>
        <v>0</v>
      </c>
      <c r="CA943" s="235" cm="1">
        <f t="array" ref="CA943">$BI943 * IF($AH943&lt;=2,
SUMPRODUCT(INDEX($AR$23:$AT$61,,$AI943), INDEX($AU$23:$BA$61,,$AH943), 1 / ($BB$23:$BB$61*BY943), N($AQ$23:$AQ$61&gt;$AO943)),
SUMPRODUCT(INDEX($AR$23:$AT$46,,$AI943), INDEX($AU$23:$BA$46,,$AH943), 1 / ($BC$23:$BC$46*BY943), N($AQ$23:$AQ$46&gt;$AO943))
) / 1000</f>
        <v>0</v>
      </c>
      <c r="CB943" s="230">
        <f t="shared" si="815"/>
        <v>0</v>
      </c>
      <c r="CC943" s="238"/>
      <c r="CD943" s="229" cm="1">
        <f t="array" ref="CD943">IF(ISBLANK(Y943), INDEX(Use, $AH943, 4) - AN943*INDEX(Use, $AH943, 6) - (Q943-X943), Y943)</f>
        <v>7</v>
      </c>
      <c r="CE943" s="229">
        <f t="shared" si="816"/>
        <v>32</v>
      </c>
      <c r="CF943" s="230">
        <f t="shared" si="817"/>
        <v>0</v>
      </c>
      <c r="CG943" s="229">
        <v>35</v>
      </c>
      <c r="CH943" s="230">
        <f t="shared" si="818"/>
        <v>48</v>
      </c>
      <c r="CI943" s="235">
        <f t="shared" si="819"/>
        <v>3.0748170731707316</v>
      </c>
      <c r="CJ943" s="235" cm="1">
        <f t="array" ref="CJ943">$BI943 * SUMPRODUCT(INDEX($AR$77:$AT$82,,$AI943),INDEX($AU$77:$BA$82,,$AH943), N($AQ$77:$AQ$82&gt;$AO943)) / CI943 / 1000</f>
        <v>0</v>
      </c>
      <c r="CK943" s="232">
        <f t="shared" si="836"/>
        <v>30</v>
      </c>
      <c r="CL943" s="230">
        <f t="shared" si="820"/>
        <v>43</v>
      </c>
      <c r="CM943" s="235">
        <f t="shared" si="821"/>
        <v>3.5018750000000001</v>
      </c>
      <c r="CN943" s="235" cm="1">
        <f t="array" ref="CN943">$BI943 * IF($AH943&lt;=2,
SUMPRODUCT(INDEX($AR$72:$AT$76,,$AI943), INDEX($AU$72:$BA$76,,$AH943), 1 / ($BB$72:$BB$76*CM943 + (1-$BB$72:$BB$76)*CI943), N($AQ$72:$AQ$76&gt;$AO943)),
SUMPRODUCT(INDEX($AR$67:$AT$76,,$AI943), INDEX($AU$67:$BA$76,,$AH943), 1 / ($BC$67:$BC$76*CM943 + (1-$BC$67:$BC$76)*CI943), N($AQ$67:$AQ$76&gt;$AO943))
) / 1000</f>
        <v>0</v>
      </c>
      <c r="CO943" s="232">
        <f t="shared" si="837"/>
        <v>25</v>
      </c>
      <c r="CP943" s="230">
        <f t="shared" si="822"/>
        <v>38</v>
      </c>
      <c r="CQ943" s="235">
        <f t="shared" si="823"/>
        <v>4.0666935483870965</v>
      </c>
      <c r="CR943" s="235" cm="1">
        <f t="array" ref="CR943">$BI943 * IF($AH943&lt;=2,
SUMPRODUCT(INDEX($AR$67:$AT$71,,$AI943), INDEX($AU$67:$BA$71,,$AH943), 1 / ($BB$67:$BB$71*CQ943 + (1-$BB$67:$BB$71)*CM943), N($AQ$67:$AQ$71&gt;$AO943)),
SUMPRODUCT(INDEX($AR$57:$AT$66,,$AI943), INDEX($AU$57:$BA$66,,$AH943), 1 / ($BC$57:$BC$66*CQ943 + (1-$BC$57:$BC$66)*CM943), N($AQ$57:$AQ$66&gt;$AO943))
) / 1000</f>
        <v>0</v>
      </c>
      <c r="CS943" s="232">
        <f t="shared" si="838"/>
        <v>20</v>
      </c>
      <c r="CT943" s="230">
        <f t="shared" si="824"/>
        <v>33</v>
      </c>
      <c r="CU943" s="235">
        <f t="shared" si="825"/>
        <v>4.8487499999999999</v>
      </c>
      <c r="CV943" s="235" cm="1">
        <f t="array" ref="CV943">$BI943 * IF($AH943&lt;=2,
SUMPRODUCT(INDEX($AR$62:$AT$66,,$AI943), INDEX($AU$62:$BA$66,,$AH943), 1 / ($BB$62:$BB$66*CU943 + (1-$BB$62:$BB$66)*CQ943), N($AQ$62:$AQ$66&gt;$AO943)),
SUMPRODUCT(INDEX($AR$47:$AT$56,,$AI943), INDEX($AU$47:$BA$56,,$AH943), 1 / ($BC$47:$BC$56*CU943 + (1-$BC$47:$BC$56)*CQ943), N($AQ$47:$AQ$56&gt;$AO943))
) / 1000</f>
        <v>0</v>
      </c>
      <c r="CW943" s="235" cm="1">
        <f t="array" ref="CW943">$BI943 * IF($AH943&lt;=2,
SUMPRODUCT(INDEX($AR$23:$AT$61,,$AI943), INDEX($AU$23:$BA$61,,$AH943), 1 / ($BB$23:$BB$61*CU943), N($AQ$23:$AQ$61&gt;$AO943)),
SUMPRODUCT(INDEX($AR$23:$AT$46,,$AI943), INDEX($AU$23:$BA$46,,$AH943), 1 / ($BC$23:$BC$46*CU943), N($AQ$23:$AQ$46&gt;$AO943))
) / 1000</f>
        <v>0</v>
      </c>
      <c r="CX943" s="230">
        <f t="shared" si="826"/>
        <v>0</v>
      </c>
      <c r="CY943" s="238"/>
    </row>
    <row r="944" spans="1:103" s="76" customFormat="1" ht="14.25" customHeight="1" x14ac:dyDescent="0.2">
      <c r="A944" s="231" t="b">
        <f t="shared" si="830"/>
        <v>0</v>
      </c>
      <c r="B944" s="245">
        <v>922</v>
      </c>
      <c r="C944" s="258"/>
      <c r="D944" s="258"/>
      <c r="E944" s="246"/>
      <c r="F944" s="247" t="str">
        <f>IF(ISBLANK(E944), "", VLOOKUP(E944, Z!$A$2:$C$4127, 3, FALSE))</f>
        <v/>
      </c>
      <c r="G944" s="248"/>
      <c r="H944" s="248"/>
      <c r="I944" s="249"/>
      <c r="J944" s="250"/>
      <c r="K944" s="259"/>
      <c r="L944" s="260"/>
      <c r="M944" s="252" t="str" cm="1">
        <f t="array" ref="M944">INDEX(Trad, 53, $A$20)</f>
        <v>Verschmutzt</v>
      </c>
      <c r="N944" s="253"/>
      <c r="O944" s="253"/>
      <c r="P944" s="254"/>
      <c r="Q944" s="251"/>
      <c r="R944" s="251"/>
      <c r="S944" s="264">
        <f t="shared" si="801"/>
        <v>0</v>
      </c>
      <c r="T944" s="252" t="str" cm="1">
        <f t="array" ref="T944">INDEX(Trad, 52, $A$20)</f>
        <v>Sauber</v>
      </c>
      <c r="U944" s="253"/>
      <c r="V944" s="253"/>
      <c r="W944" s="254"/>
      <c r="X944" s="251"/>
      <c r="Y944" s="251"/>
      <c r="Z944" s="264">
        <f t="shared" si="802"/>
        <v>0</v>
      </c>
      <c r="AA944" s="261"/>
      <c r="AB944" s="258"/>
      <c r="AC944" s="246"/>
      <c r="AD944" s="247" t="str">
        <f>IF(ISBLANK(AC944), "", VLOOKUP(AC944, Z!$A$2:$C$4127, 3, FALSE))</f>
        <v/>
      </c>
      <c r="AE944" s="262"/>
      <c r="AF944" s="263">
        <f t="shared" si="803"/>
        <v>0</v>
      </c>
      <c r="AG944" s="238"/>
      <c r="AH944" s="229">
        <f t="shared" si="827"/>
        <v>1</v>
      </c>
      <c r="AI944" s="229">
        <f t="shared" si="828"/>
        <v>1</v>
      </c>
      <c r="AJ944" s="229">
        <f t="shared" si="829"/>
        <v>0</v>
      </c>
      <c r="AK944" s="229">
        <v>0</v>
      </c>
      <c r="AL944" s="229">
        <v>0</v>
      </c>
      <c r="AM944" s="229">
        <v>1</v>
      </c>
      <c r="AN944" s="229">
        <v>0</v>
      </c>
      <c r="AO944" s="229">
        <f t="shared" si="804"/>
        <v>-100</v>
      </c>
      <c r="AP944" s="238"/>
      <c r="AQ944" s="255"/>
      <c r="AR944" s="255"/>
      <c r="AS944" s="256"/>
      <c r="AT944" s="256"/>
      <c r="AU944" s="256"/>
      <c r="AV944" s="256"/>
      <c r="AW944" s="256"/>
      <c r="AX944" s="256"/>
      <c r="AY944" s="256"/>
      <c r="AZ944" s="256"/>
      <c r="BA944" s="256"/>
      <c r="BB944" s="256"/>
      <c r="BC944" s="256"/>
      <c r="BD944" s="238"/>
      <c r="BE944" s="229" cm="1">
        <f t="array" ref="BE944">IF(ISBLANK(R944), INDEX(Use, $AH944, 4) - AM944*INDEX(Use, $AH944, 6), R944)</f>
        <v>5</v>
      </c>
      <c r="BF944" s="229">
        <f t="shared" si="805"/>
        <v>30</v>
      </c>
      <c r="BG944" s="229">
        <f t="shared" si="831"/>
        <v>13</v>
      </c>
      <c r="BH944" s="229">
        <f t="shared" si="832"/>
        <v>0</v>
      </c>
      <c r="BI944" s="234" cm="1">
        <f t="array" ref="BI944">K944/IF($L944&gt;0, INDEX($AU$23:$BA$77, $L944+20, $AH944), 1)</f>
        <v>0</v>
      </c>
      <c r="BJ944" s="230">
        <f t="shared" si="806"/>
        <v>0</v>
      </c>
      <c r="BK944" s="229">
        <v>35</v>
      </c>
      <c r="BL944" s="230">
        <f t="shared" si="807"/>
        <v>48</v>
      </c>
      <c r="BM944" s="235">
        <f t="shared" si="808"/>
        <v>2.9108720930232557</v>
      </c>
      <c r="BN944" s="235" cm="1">
        <f t="array" ref="BN944">$BI944 * SUMPRODUCT(INDEX($AR$77:$AT$82,,$AI944),INDEX($AU$77:$BA$82,,$AH944), N($AQ$77:$AQ$82&gt;$AO944)) / BM944 / 1000</f>
        <v>0</v>
      </c>
      <c r="BO944" s="232">
        <f t="shared" si="833"/>
        <v>30</v>
      </c>
      <c r="BP944" s="230">
        <f t="shared" si="809"/>
        <v>43</v>
      </c>
      <c r="BQ944" s="235">
        <f t="shared" si="810"/>
        <v>3.2938815789473681</v>
      </c>
      <c r="BR944" s="235" cm="1">
        <f t="array" ref="BR944">$BI944 * IF($AH944&lt;=2,
SUMPRODUCT(INDEX($AR$72:$AT$76,,$AI944), INDEX($AU$72:$BA$76,,$AH944), 1 / ($BB$72:$BB$76*BQ944 + (1-$BB$72:$BB$76)*BM944), N($AQ$72:$AQ$76&gt;$AO944)),
SUMPRODUCT(INDEX($AR$67:$AT$76,,$AI944), INDEX($AU$67:$BA$76,,$AH944), 1 / ($BC$67:$BC$76*BQ944 + (1-$BC$67:$BC$76)*BM944), N($AQ$67:$AQ$76&gt;$AO944))
) / 1000</f>
        <v>0</v>
      </c>
      <c r="BS944" s="232">
        <f t="shared" si="834"/>
        <v>25</v>
      </c>
      <c r="BT944" s="230">
        <f t="shared" si="811"/>
        <v>38</v>
      </c>
      <c r="BU944" s="235">
        <f t="shared" si="812"/>
        <v>3.792954545454545</v>
      </c>
      <c r="BV944" s="235" cm="1">
        <f t="array" ref="BV944">$BI944 * IF($AH944&lt;=2,
SUMPRODUCT(INDEX($AR$67:$AT$71,,$AI944), INDEX($AU$67:$BA$71,,$AH944), 1 / ($BB$67:$BB$71*BU944 + (1-$BB$67:$BB$71)*BQ944), N($AQ$67:$AQ$71&gt;$AO944)),
SUMPRODUCT(INDEX($AR$57:$AT$66,,$AI944), INDEX($AU$57:$BA$66,,$AH944), 1 / ($BC$57:$BC$66*BU944 + (1-$BC$57:$BC$66)*BQ944), N($AQ$57:$AQ$66&gt;$AO944))
) / 1000</f>
        <v>0</v>
      </c>
      <c r="BW944" s="232">
        <f t="shared" si="835"/>
        <v>20</v>
      </c>
      <c r="BX944" s="230">
        <f t="shared" si="813"/>
        <v>33</v>
      </c>
      <c r="BY944" s="235">
        <f t="shared" si="814"/>
        <v>4.4702678571428569</v>
      </c>
      <c r="BZ944" s="235" cm="1">
        <f t="array" ref="BZ944">$BI944 * IF($AH944&lt;=2,
SUMPRODUCT(INDEX($AR$62:$AT$66,,$AI944), INDEX($AU$62:$BA$66,,$AH944), 1 / ($BB$62:$BB$66*BY944 + (1-$BB$62:$BB$66)*BU944), N($AQ$62:$AQ$66&gt;$AO944)),
SUMPRODUCT(INDEX($AR$47:$AT$56,,$AI944), INDEX($AU$47:$BA$56,,$AH944), 1 / ($BC$47:$BC$56*BY944 + (1-$BC$47:$BC$56)*BU944), N($AQ$47:$AQ$56&gt;$AO944))
) / 1000</f>
        <v>0</v>
      </c>
      <c r="CA944" s="235" cm="1">
        <f t="array" ref="CA944">$BI944 * IF($AH944&lt;=2,
SUMPRODUCT(INDEX($AR$23:$AT$61,,$AI944), INDEX($AU$23:$BA$61,,$AH944), 1 / ($BB$23:$BB$61*BY944), N($AQ$23:$AQ$61&gt;$AO944)),
SUMPRODUCT(INDEX($AR$23:$AT$46,,$AI944), INDEX($AU$23:$BA$46,,$AH944), 1 / ($BC$23:$BC$46*BY944), N($AQ$23:$AQ$46&gt;$AO944))
) / 1000</f>
        <v>0</v>
      </c>
      <c r="CB944" s="230">
        <f t="shared" si="815"/>
        <v>0</v>
      </c>
      <c r="CC944" s="238"/>
      <c r="CD944" s="229" cm="1">
        <f t="array" ref="CD944">IF(ISBLANK(Y944), INDEX(Use, $AH944, 4) - AN944*INDEX(Use, $AH944, 6) - (Q944-X944), Y944)</f>
        <v>7</v>
      </c>
      <c r="CE944" s="229">
        <f t="shared" si="816"/>
        <v>32</v>
      </c>
      <c r="CF944" s="230">
        <f t="shared" si="817"/>
        <v>0</v>
      </c>
      <c r="CG944" s="229">
        <v>35</v>
      </c>
      <c r="CH944" s="230">
        <f t="shared" si="818"/>
        <v>48</v>
      </c>
      <c r="CI944" s="235">
        <f t="shared" si="819"/>
        <v>3.0748170731707316</v>
      </c>
      <c r="CJ944" s="235" cm="1">
        <f t="array" ref="CJ944">$BI944 * SUMPRODUCT(INDEX($AR$77:$AT$82,,$AI944),INDEX($AU$77:$BA$82,,$AH944), N($AQ$77:$AQ$82&gt;$AO944)) / CI944 / 1000</f>
        <v>0</v>
      </c>
      <c r="CK944" s="232">
        <f t="shared" si="836"/>
        <v>30</v>
      </c>
      <c r="CL944" s="230">
        <f t="shared" si="820"/>
        <v>43</v>
      </c>
      <c r="CM944" s="235">
        <f t="shared" si="821"/>
        <v>3.5018750000000001</v>
      </c>
      <c r="CN944" s="235" cm="1">
        <f t="array" ref="CN944">$BI944 * IF($AH944&lt;=2,
SUMPRODUCT(INDEX($AR$72:$AT$76,,$AI944), INDEX($AU$72:$BA$76,,$AH944), 1 / ($BB$72:$BB$76*CM944 + (1-$BB$72:$BB$76)*CI944), N($AQ$72:$AQ$76&gt;$AO944)),
SUMPRODUCT(INDEX($AR$67:$AT$76,,$AI944), INDEX($AU$67:$BA$76,,$AH944), 1 / ($BC$67:$BC$76*CM944 + (1-$BC$67:$BC$76)*CI944), N($AQ$67:$AQ$76&gt;$AO944))
) / 1000</f>
        <v>0</v>
      </c>
      <c r="CO944" s="232">
        <f t="shared" si="837"/>
        <v>25</v>
      </c>
      <c r="CP944" s="230">
        <f t="shared" si="822"/>
        <v>38</v>
      </c>
      <c r="CQ944" s="235">
        <f t="shared" si="823"/>
        <v>4.0666935483870965</v>
      </c>
      <c r="CR944" s="235" cm="1">
        <f t="array" ref="CR944">$BI944 * IF($AH944&lt;=2,
SUMPRODUCT(INDEX($AR$67:$AT$71,,$AI944), INDEX($AU$67:$BA$71,,$AH944), 1 / ($BB$67:$BB$71*CQ944 + (1-$BB$67:$BB$71)*CM944), N($AQ$67:$AQ$71&gt;$AO944)),
SUMPRODUCT(INDEX($AR$57:$AT$66,,$AI944), INDEX($AU$57:$BA$66,,$AH944), 1 / ($BC$57:$BC$66*CQ944 + (1-$BC$57:$BC$66)*CM944), N($AQ$57:$AQ$66&gt;$AO944))
) / 1000</f>
        <v>0</v>
      </c>
      <c r="CS944" s="232">
        <f t="shared" si="838"/>
        <v>20</v>
      </c>
      <c r="CT944" s="230">
        <f t="shared" si="824"/>
        <v>33</v>
      </c>
      <c r="CU944" s="235">
        <f t="shared" si="825"/>
        <v>4.8487499999999999</v>
      </c>
      <c r="CV944" s="235" cm="1">
        <f t="array" ref="CV944">$BI944 * IF($AH944&lt;=2,
SUMPRODUCT(INDEX($AR$62:$AT$66,,$AI944), INDEX($AU$62:$BA$66,,$AH944), 1 / ($BB$62:$BB$66*CU944 + (1-$BB$62:$BB$66)*CQ944), N($AQ$62:$AQ$66&gt;$AO944)),
SUMPRODUCT(INDEX($AR$47:$AT$56,,$AI944), INDEX($AU$47:$BA$56,,$AH944), 1 / ($BC$47:$BC$56*CU944 + (1-$BC$47:$BC$56)*CQ944), N($AQ$47:$AQ$56&gt;$AO944))
) / 1000</f>
        <v>0</v>
      </c>
      <c r="CW944" s="235" cm="1">
        <f t="array" ref="CW944">$BI944 * IF($AH944&lt;=2,
SUMPRODUCT(INDEX($AR$23:$AT$61,,$AI944), INDEX($AU$23:$BA$61,,$AH944), 1 / ($BB$23:$BB$61*CU944), N($AQ$23:$AQ$61&gt;$AO944)),
SUMPRODUCT(INDEX($AR$23:$AT$46,,$AI944), INDEX($AU$23:$BA$46,,$AH944), 1 / ($BC$23:$BC$46*CU944), N($AQ$23:$AQ$46&gt;$AO944))
) / 1000</f>
        <v>0</v>
      </c>
      <c r="CX944" s="230">
        <f t="shared" si="826"/>
        <v>0</v>
      </c>
      <c r="CY944" s="238"/>
    </row>
    <row r="945" spans="1:103" s="76" customFormat="1" ht="14.25" customHeight="1" x14ac:dyDescent="0.2">
      <c r="A945" s="231" t="b">
        <f t="shared" si="830"/>
        <v>0</v>
      </c>
      <c r="B945" s="245">
        <v>923</v>
      </c>
      <c r="C945" s="258"/>
      <c r="D945" s="258"/>
      <c r="E945" s="246"/>
      <c r="F945" s="247" t="str">
        <f>IF(ISBLANK(E945), "", VLOOKUP(E945, Z!$A$2:$C$4127, 3, FALSE))</f>
        <v/>
      </c>
      <c r="G945" s="248"/>
      <c r="H945" s="248"/>
      <c r="I945" s="249"/>
      <c r="J945" s="250"/>
      <c r="K945" s="259"/>
      <c r="L945" s="260"/>
      <c r="M945" s="252" t="str" cm="1">
        <f t="array" ref="M945">INDEX(Trad, 53, $A$20)</f>
        <v>Verschmutzt</v>
      </c>
      <c r="N945" s="253"/>
      <c r="O945" s="253"/>
      <c r="P945" s="254"/>
      <c r="Q945" s="251"/>
      <c r="R945" s="251"/>
      <c r="S945" s="264">
        <f t="shared" si="801"/>
        <v>0</v>
      </c>
      <c r="T945" s="252" t="str" cm="1">
        <f t="array" ref="T945">INDEX(Trad, 52, $A$20)</f>
        <v>Sauber</v>
      </c>
      <c r="U945" s="253"/>
      <c r="V945" s="253"/>
      <c r="W945" s="254"/>
      <c r="X945" s="251"/>
      <c r="Y945" s="251"/>
      <c r="Z945" s="264">
        <f t="shared" si="802"/>
        <v>0</v>
      </c>
      <c r="AA945" s="261"/>
      <c r="AB945" s="258"/>
      <c r="AC945" s="246"/>
      <c r="AD945" s="247" t="str">
        <f>IF(ISBLANK(AC945), "", VLOOKUP(AC945, Z!$A$2:$C$4127, 3, FALSE))</f>
        <v/>
      </c>
      <c r="AE945" s="262"/>
      <c r="AF945" s="263">
        <f t="shared" si="803"/>
        <v>0</v>
      </c>
      <c r="AG945" s="238"/>
      <c r="AH945" s="229">
        <f t="shared" si="827"/>
        <v>1</v>
      </c>
      <c r="AI945" s="229">
        <f t="shared" si="828"/>
        <v>1</v>
      </c>
      <c r="AJ945" s="229">
        <f t="shared" si="829"/>
        <v>0</v>
      </c>
      <c r="AK945" s="229">
        <v>0</v>
      </c>
      <c r="AL945" s="229">
        <v>0</v>
      </c>
      <c r="AM945" s="229">
        <v>1</v>
      </c>
      <c r="AN945" s="229">
        <v>0</v>
      </c>
      <c r="AO945" s="229">
        <f t="shared" si="804"/>
        <v>-100</v>
      </c>
      <c r="AP945" s="238"/>
      <c r="AQ945" s="255"/>
      <c r="AR945" s="255"/>
      <c r="AS945" s="256"/>
      <c r="AT945" s="256"/>
      <c r="AU945" s="256"/>
      <c r="AV945" s="256"/>
      <c r="AW945" s="256"/>
      <c r="AX945" s="256"/>
      <c r="AY945" s="256"/>
      <c r="AZ945" s="256"/>
      <c r="BA945" s="256"/>
      <c r="BB945" s="256"/>
      <c r="BC945" s="256"/>
      <c r="BD945" s="238"/>
      <c r="BE945" s="229" cm="1">
        <f t="array" ref="BE945">IF(ISBLANK(R945), INDEX(Use, $AH945, 4) - AM945*INDEX(Use, $AH945, 6), R945)</f>
        <v>5</v>
      </c>
      <c r="BF945" s="229">
        <f t="shared" si="805"/>
        <v>30</v>
      </c>
      <c r="BG945" s="229">
        <f t="shared" si="831"/>
        <v>13</v>
      </c>
      <c r="BH945" s="229">
        <f t="shared" si="832"/>
        <v>0</v>
      </c>
      <c r="BI945" s="234" cm="1">
        <f t="array" ref="BI945">K945/IF($L945&gt;0, INDEX($AU$23:$BA$77, $L945+20, $AH945), 1)</f>
        <v>0</v>
      </c>
      <c r="BJ945" s="230">
        <f t="shared" si="806"/>
        <v>0</v>
      </c>
      <c r="BK945" s="229">
        <v>35</v>
      </c>
      <c r="BL945" s="230">
        <f t="shared" si="807"/>
        <v>48</v>
      </c>
      <c r="BM945" s="235">
        <f t="shared" si="808"/>
        <v>2.9108720930232557</v>
      </c>
      <c r="BN945" s="235" cm="1">
        <f t="array" ref="BN945">$BI945 * SUMPRODUCT(INDEX($AR$77:$AT$82,,$AI945),INDEX($AU$77:$BA$82,,$AH945), N($AQ$77:$AQ$82&gt;$AO945)) / BM945 / 1000</f>
        <v>0</v>
      </c>
      <c r="BO945" s="232">
        <f t="shared" si="833"/>
        <v>30</v>
      </c>
      <c r="BP945" s="230">
        <f t="shared" si="809"/>
        <v>43</v>
      </c>
      <c r="BQ945" s="235">
        <f t="shared" si="810"/>
        <v>3.2938815789473681</v>
      </c>
      <c r="BR945" s="235" cm="1">
        <f t="array" ref="BR945">$BI945 * IF($AH945&lt;=2,
SUMPRODUCT(INDEX($AR$72:$AT$76,,$AI945), INDEX($AU$72:$BA$76,,$AH945), 1 / ($BB$72:$BB$76*BQ945 + (1-$BB$72:$BB$76)*BM945), N($AQ$72:$AQ$76&gt;$AO945)),
SUMPRODUCT(INDEX($AR$67:$AT$76,,$AI945), INDEX($AU$67:$BA$76,,$AH945), 1 / ($BC$67:$BC$76*BQ945 + (1-$BC$67:$BC$76)*BM945), N($AQ$67:$AQ$76&gt;$AO945))
) / 1000</f>
        <v>0</v>
      </c>
      <c r="BS945" s="232">
        <f t="shared" si="834"/>
        <v>25</v>
      </c>
      <c r="BT945" s="230">
        <f t="shared" si="811"/>
        <v>38</v>
      </c>
      <c r="BU945" s="235">
        <f t="shared" si="812"/>
        <v>3.792954545454545</v>
      </c>
      <c r="BV945" s="235" cm="1">
        <f t="array" ref="BV945">$BI945 * IF($AH945&lt;=2,
SUMPRODUCT(INDEX($AR$67:$AT$71,,$AI945), INDEX($AU$67:$BA$71,,$AH945), 1 / ($BB$67:$BB$71*BU945 + (1-$BB$67:$BB$71)*BQ945), N($AQ$67:$AQ$71&gt;$AO945)),
SUMPRODUCT(INDEX($AR$57:$AT$66,,$AI945), INDEX($AU$57:$BA$66,,$AH945), 1 / ($BC$57:$BC$66*BU945 + (1-$BC$57:$BC$66)*BQ945), N($AQ$57:$AQ$66&gt;$AO945))
) / 1000</f>
        <v>0</v>
      </c>
      <c r="BW945" s="232">
        <f t="shared" si="835"/>
        <v>20</v>
      </c>
      <c r="BX945" s="230">
        <f t="shared" si="813"/>
        <v>33</v>
      </c>
      <c r="BY945" s="235">
        <f t="shared" si="814"/>
        <v>4.4702678571428569</v>
      </c>
      <c r="BZ945" s="235" cm="1">
        <f t="array" ref="BZ945">$BI945 * IF($AH945&lt;=2,
SUMPRODUCT(INDEX($AR$62:$AT$66,,$AI945), INDEX($AU$62:$BA$66,,$AH945), 1 / ($BB$62:$BB$66*BY945 + (1-$BB$62:$BB$66)*BU945), N($AQ$62:$AQ$66&gt;$AO945)),
SUMPRODUCT(INDEX($AR$47:$AT$56,,$AI945), INDEX($AU$47:$BA$56,,$AH945), 1 / ($BC$47:$BC$56*BY945 + (1-$BC$47:$BC$56)*BU945), N($AQ$47:$AQ$56&gt;$AO945))
) / 1000</f>
        <v>0</v>
      </c>
      <c r="CA945" s="235" cm="1">
        <f t="array" ref="CA945">$BI945 * IF($AH945&lt;=2,
SUMPRODUCT(INDEX($AR$23:$AT$61,,$AI945), INDEX($AU$23:$BA$61,,$AH945), 1 / ($BB$23:$BB$61*BY945), N($AQ$23:$AQ$61&gt;$AO945)),
SUMPRODUCT(INDEX($AR$23:$AT$46,,$AI945), INDEX($AU$23:$BA$46,,$AH945), 1 / ($BC$23:$BC$46*BY945), N($AQ$23:$AQ$46&gt;$AO945))
) / 1000</f>
        <v>0</v>
      </c>
      <c r="CB945" s="230">
        <f t="shared" si="815"/>
        <v>0</v>
      </c>
      <c r="CC945" s="238"/>
      <c r="CD945" s="229" cm="1">
        <f t="array" ref="CD945">IF(ISBLANK(Y945), INDEX(Use, $AH945, 4) - AN945*INDEX(Use, $AH945, 6) - (Q945-X945), Y945)</f>
        <v>7</v>
      </c>
      <c r="CE945" s="229">
        <f t="shared" si="816"/>
        <v>32</v>
      </c>
      <c r="CF945" s="230">
        <f t="shared" si="817"/>
        <v>0</v>
      </c>
      <c r="CG945" s="229">
        <v>35</v>
      </c>
      <c r="CH945" s="230">
        <f t="shared" si="818"/>
        <v>48</v>
      </c>
      <c r="CI945" s="235">
        <f t="shared" si="819"/>
        <v>3.0748170731707316</v>
      </c>
      <c r="CJ945" s="235" cm="1">
        <f t="array" ref="CJ945">$BI945 * SUMPRODUCT(INDEX($AR$77:$AT$82,,$AI945),INDEX($AU$77:$BA$82,,$AH945), N($AQ$77:$AQ$82&gt;$AO945)) / CI945 / 1000</f>
        <v>0</v>
      </c>
      <c r="CK945" s="232">
        <f t="shared" si="836"/>
        <v>30</v>
      </c>
      <c r="CL945" s="230">
        <f t="shared" si="820"/>
        <v>43</v>
      </c>
      <c r="CM945" s="235">
        <f t="shared" si="821"/>
        <v>3.5018750000000001</v>
      </c>
      <c r="CN945" s="235" cm="1">
        <f t="array" ref="CN945">$BI945 * IF($AH945&lt;=2,
SUMPRODUCT(INDEX($AR$72:$AT$76,,$AI945), INDEX($AU$72:$BA$76,,$AH945), 1 / ($BB$72:$BB$76*CM945 + (1-$BB$72:$BB$76)*CI945), N($AQ$72:$AQ$76&gt;$AO945)),
SUMPRODUCT(INDEX($AR$67:$AT$76,,$AI945), INDEX($AU$67:$BA$76,,$AH945), 1 / ($BC$67:$BC$76*CM945 + (1-$BC$67:$BC$76)*CI945), N($AQ$67:$AQ$76&gt;$AO945))
) / 1000</f>
        <v>0</v>
      </c>
      <c r="CO945" s="232">
        <f t="shared" si="837"/>
        <v>25</v>
      </c>
      <c r="CP945" s="230">
        <f t="shared" si="822"/>
        <v>38</v>
      </c>
      <c r="CQ945" s="235">
        <f t="shared" si="823"/>
        <v>4.0666935483870965</v>
      </c>
      <c r="CR945" s="235" cm="1">
        <f t="array" ref="CR945">$BI945 * IF($AH945&lt;=2,
SUMPRODUCT(INDEX($AR$67:$AT$71,,$AI945), INDEX($AU$67:$BA$71,,$AH945), 1 / ($BB$67:$BB$71*CQ945 + (1-$BB$67:$BB$71)*CM945), N($AQ$67:$AQ$71&gt;$AO945)),
SUMPRODUCT(INDEX($AR$57:$AT$66,,$AI945), INDEX($AU$57:$BA$66,,$AH945), 1 / ($BC$57:$BC$66*CQ945 + (1-$BC$57:$BC$66)*CM945), N($AQ$57:$AQ$66&gt;$AO945))
) / 1000</f>
        <v>0</v>
      </c>
      <c r="CS945" s="232">
        <f t="shared" si="838"/>
        <v>20</v>
      </c>
      <c r="CT945" s="230">
        <f t="shared" si="824"/>
        <v>33</v>
      </c>
      <c r="CU945" s="235">
        <f t="shared" si="825"/>
        <v>4.8487499999999999</v>
      </c>
      <c r="CV945" s="235" cm="1">
        <f t="array" ref="CV945">$BI945 * IF($AH945&lt;=2,
SUMPRODUCT(INDEX($AR$62:$AT$66,,$AI945), INDEX($AU$62:$BA$66,,$AH945), 1 / ($BB$62:$BB$66*CU945 + (1-$BB$62:$BB$66)*CQ945), N($AQ$62:$AQ$66&gt;$AO945)),
SUMPRODUCT(INDEX($AR$47:$AT$56,,$AI945), INDEX($AU$47:$BA$56,,$AH945), 1 / ($BC$47:$BC$56*CU945 + (1-$BC$47:$BC$56)*CQ945), N($AQ$47:$AQ$56&gt;$AO945))
) / 1000</f>
        <v>0</v>
      </c>
      <c r="CW945" s="235" cm="1">
        <f t="array" ref="CW945">$BI945 * IF($AH945&lt;=2,
SUMPRODUCT(INDEX($AR$23:$AT$61,,$AI945), INDEX($AU$23:$BA$61,,$AH945), 1 / ($BB$23:$BB$61*CU945), N($AQ$23:$AQ$61&gt;$AO945)),
SUMPRODUCT(INDEX($AR$23:$AT$46,,$AI945), INDEX($AU$23:$BA$46,,$AH945), 1 / ($BC$23:$BC$46*CU945), N($AQ$23:$AQ$46&gt;$AO945))
) / 1000</f>
        <v>0</v>
      </c>
      <c r="CX945" s="230">
        <f t="shared" si="826"/>
        <v>0</v>
      </c>
      <c r="CY945" s="238"/>
    </row>
    <row r="946" spans="1:103" s="76" customFormat="1" ht="14.25" customHeight="1" x14ac:dyDescent="0.2">
      <c r="A946" s="231" t="b">
        <f t="shared" si="830"/>
        <v>0</v>
      </c>
      <c r="B946" s="245">
        <v>924</v>
      </c>
      <c r="C946" s="258"/>
      <c r="D946" s="258"/>
      <c r="E946" s="246"/>
      <c r="F946" s="247" t="str">
        <f>IF(ISBLANK(E946), "", VLOOKUP(E946, Z!$A$2:$C$4127, 3, FALSE))</f>
        <v/>
      </c>
      <c r="G946" s="248"/>
      <c r="H946" s="248"/>
      <c r="I946" s="249"/>
      <c r="J946" s="250"/>
      <c r="K946" s="259"/>
      <c r="L946" s="260"/>
      <c r="M946" s="252" t="str" cm="1">
        <f t="array" ref="M946">INDEX(Trad, 53, $A$20)</f>
        <v>Verschmutzt</v>
      </c>
      <c r="N946" s="253"/>
      <c r="O946" s="253"/>
      <c r="P946" s="254"/>
      <c r="Q946" s="251"/>
      <c r="R946" s="251"/>
      <c r="S946" s="264">
        <f t="shared" si="801"/>
        <v>0</v>
      </c>
      <c r="T946" s="252" t="str" cm="1">
        <f t="array" ref="T946">INDEX(Trad, 52, $A$20)</f>
        <v>Sauber</v>
      </c>
      <c r="U946" s="253"/>
      <c r="V946" s="253"/>
      <c r="W946" s="254"/>
      <c r="X946" s="251"/>
      <c r="Y946" s="251"/>
      <c r="Z946" s="264">
        <f t="shared" si="802"/>
        <v>0</v>
      </c>
      <c r="AA946" s="261"/>
      <c r="AB946" s="258"/>
      <c r="AC946" s="246"/>
      <c r="AD946" s="247" t="str">
        <f>IF(ISBLANK(AC946), "", VLOOKUP(AC946, Z!$A$2:$C$4127, 3, FALSE))</f>
        <v/>
      </c>
      <c r="AE946" s="262"/>
      <c r="AF946" s="263">
        <f t="shared" si="803"/>
        <v>0</v>
      </c>
      <c r="AG946" s="238"/>
      <c r="AH946" s="229">
        <f t="shared" si="827"/>
        <v>1</v>
      </c>
      <c r="AI946" s="229">
        <f t="shared" si="828"/>
        <v>1</v>
      </c>
      <c r="AJ946" s="229">
        <f t="shared" si="829"/>
        <v>0</v>
      </c>
      <c r="AK946" s="229">
        <v>0</v>
      </c>
      <c r="AL946" s="229">
        <v>0</v>
      </c>
      <c r="AM946" s="229">
        <v>1</v>
      </c>
      <c r="AN946" s="229">
        <v>0</v>
      </c>
      <c r="AO946" s="229">
        <f t="shared" si="804"/>
        <v>-100</v>
      </c>
      <c r="AP946" s="238"/>
      <c r="AQ946" s="255"/>
      <c r="AR946" s="255"/>
      <c r="AS946" s="256"/>
      <c r="AT946" s="256"/>
      <c r="AU946" s="256"/>
      <c r="AV946" s="256"/>
      <c r="AW946" s="256"/>
      <c r="AX946" s="256"/>
      <c r="AY946" s="256"/>
      <c r="AZ946" s="256"/>
      <c r="BA946" s="256"/>
      <c r="BB946" s="256"/>
      <c r="BC946" s="256"/>
      <c r="BD946" s="238"/>
      <c r="BE946" s="229" cm="1">
        <f t="array" ref="BE946">IF(ISBLANK(R946), INDEX(Use, $AH946, 4) - AM946*INDEX(Use, $AH946, 6), R946)</f>
        <v>5</v>
      </c>
      <c r="BF946" s="229">
        <f t="shared" si="805"/>
        <v>30</v>
      </c>
      <c r="BG946" s="229">
        <f t="shared" si="831"/>
        <v>13</v>
      </c>
      <c r="BH946" s="229">
        <f t="shared" si="832"/>
        <v>0</v>
      </c>
      <c r="BI946" s="234" cm="1">
        <f t="array" ref="BI946">K946/IF($L946&gt;0, INDEX($AU$23:$BA$77, $L946+20, $AH946), 1)</f>
        <v>0</v>
      </c>
      <c r="BJ946" s="230">
        <f t="shared" si="806"/>
        <v>0</v>
      </c>
      <c r="BK946" s="229">
        <v>35</v>
      </c>
      <c r="BL946" s="230">
        <f t="shared" si="807"/>
        <v>48</v>
      </c>
      <c r="BM946" s="235">
        <f t="shared" si="808"/>
        <v>2.9108720930232557</v>
      </c>
      <c r="BN946" s="235" cm="1">
        <f t="array" ref="BN946">$BI946 * SUMPRODUCT(INDEX($AR$77:$AT$82,,$AI946),INDEX($AU$77:$BA$82,,$AH946), N($AQ$77:$AQ$82&gt;$AO946)) / BM946 / 1000</f>
        <v>0</v>
      </c>
      <c r="BO946" s="232">
        <f t="shared" si="833"/>
        <v>30</v>
      </c>
      <c r="BP946" s="230">
        <f t="shared" si="809"/>
        <v>43</v>
      </c>
      <c r="BQ946" s="235">
        <f t="shared" si="810"/>
        <v>3.2938815789473681</v>
      </c>
      <c r="BR946" s="235" cm="1">
        <f t="array" ref="BR946">$BI946 * IF($AH946&lt;=2,
SUMPRODUCT(INDEX($AR$72:$AT$76,,$AI946), INDEX($AU$72:$BA$76,,$AH946), 1 / ($BB$72:$BB$76*BQ946 + (1-$BB$72:$BB$76)*BM946), N($AQ$72:$AQ$76&gt;$AO946)),
SUMPRODUCT(INDEX($AR$67:$AT$76,,$AI946), INDEX($AU$67:$BA$76,,$AH946), 1 / ($BC$67:$BC$76*BQ946 + (1-$BC$67:$BC$76)*BM946), N($AQ$67:$AQ$76&gt;$AO946))
) / 1000</f>
        <v>0</v>
      </c>
      <c r="BS946" s="232">
        <f t="shared" si="834"/>
        <v>25</v>
      </c>
      <c r="BT946" s="230">
        <f t="shared" si="811"/>
        <v>38</v>
      </c>
      <c r="BU946" s="235">
        <f t="shared" si="812"/>
        <v>3.792954545454545</v>
      </c>
      <c r="BV946" s="235" cm="1">
        <f t="array" ref="BV946">$BI946 * IF($AH946&lt;=2,
SUMPRODUCT(INDEX($AR$67:$AT$71,,$AI946), INDEX($AU$67:$BA$71,,$AH946), 1 / ($BB$67:$BB$71*BU946 + (1-$BB$67:$BB$71)*BQ946), N($AQ$67:$AQ$71&gt;$AO946)),
SUMPRODUCT(INDEX($AR$57:$AT$66,,$AI946), INDEX($AU$57:$BA$66,,$AH946), 1 / ($BC$57:$BC$66*BU946 + (1-$BC$57:$BC$66)*BQ946), N($AQ$57:$AQ$66&gt;$AO946))
) / 1000</f>
        <v>0</v>
      </c>
      <c r="BW946" s="232">
        <f t="shared" si="835"/>
        <v>20</v>
      </c>
      <c r="BX946" s="230">
        <f t="shared" si="813"/>
        <v>33</v>
      </c>
      <c r="BY946" s="235">
        <f t="shared" si="814"/>
        <v>4.4702678571428569</v>
      </c>
      <c r="BZ946" s="235" cm="1">
        <f t="array" ref="BZ946">$BI946 * IF($AH946&lt;=2,
SUMPRODUCT(INDEX($AR$62:$AT$66,,$AI946), INDEX($AU$62:$BA$66,,$AH946), 1 / ($BB$62:$BB$66*BY946 + (1-$BB$62:$BB$66)*BU946), N($AQ$62:$AQ$66&gt;$AO946)),
SUMPRODUCT(INDEX($AR$47:$AT$56,,$AI946), INDEX($AU$47:$BA$56,,$AH946), 1 / ($BC$47:$BC$56*BY946 + (1-$BC$47:$BC$56)*BU946), N($AQ$47:$AQ$56&gt;$AO946))
) / 1000</f>
        <v>0</v>
      </c>
      <c r="CA946" s="235" cm="1">
        <f t="array" ref="CA946">$BI946 * IF($AH946&lt;=2,
SUMPRODUCT(INDEX($AR$23:$AT$61,,$AI946), INDEX($AU$23:$BA$61,,$AH946), 1 / ($BB$23:$BB$61*BY946), N($AQ$23:$AQ$61&gt;$AO946)),
SUMPRODUCT(INDEX($AR$23:$AT$46,,$AI946), INDEX($AU$23:$BA$46,,$AH946), 1 / ($BC$23:$BC$46*BY946), N($AQ$23:$AQ$46&gt;$AO946))
) / 1000</f>
        <v>0</v>
      </c>
      <c r="CB946" s="230">
        <f t="shared" si="815"/>
        <v>0</v>
      </c>
      <c r="CC946" s="238"/>
      <c r="CD946" s="229" cm="1">
        <f t="array" ref="CD946">IF(ISBLANK(Y946), INDEX(Use, $AH946, 4) - AN946*INDEX(Use, $AH946, 6) - (Q946-X946), Y946)</f>
        <v>7</v>
      </c>
      <c r="CE946" s="229">
        <f t="shared" si="816"/>
        <v>32</v>
      </c>
      <c r="CF946" s="230">
        <f t="shared" si="817"/>
        <v>0</v>
      </c>
      <c r="CG946" s="229">
        <v>35</v>
      </c>
      <c r="CH946" s="230">
        <f t="shared" si="818"/>
        <v>48</v>
      </c>
      <c r="CI946" s="235">
        <f t="shared" si="819"/>
        <v>3.0748170731707316</v>
      </c>
      <c r="CJ946" s="235" cm="1">
        <f t="array" ref="CJ946">$BI946 * SUMPRODUCT(INDEX($AR$77:$AT$82,,$AI946),INDEX($AU$77:$BA$82,,$AH946), N($AQ$77:$AQ$82&gt;$AO946)) / CI946 / 1000</f>
        <v>0</v>
      </c>
      <c r="CK946" s="232">
        <f t="shared" si="836"/>
        <v>30</v>
      </c>
      <c r="CL946" s="230">
        <f t="shared" si="820"/>
        <v>43</v>
      </c>
      <c r="CM946" s="235">
        <f t="shared" si="821"/>
        <v>3.5018750000000001</v>
      </c>
      <c r="CN946" s="235" cm="1">
        <f t="array" ref="CN946">$BI946 * IF($AH946&lt;=2,
SUMPRODUCT(INDEX($AR$72:$AT$76,,$AI946), INDEX($AU$72:$BA$76,,$AH946), 1 / ($BB$72:$BB$76*CM946 + (1-$BB$72:$BB$76)*CI946), N($AQ$72:$AQ$76&gt;$AO946)),
SUMPRODUCT(INDEX($AR$67:$AT$76,,$AI946), INDEX($AU$67:$BA$76,,$AH946), 1 / ($BC$67:$BC$76*CM946 + (1-$BC$67:$BC$76)*CI946), N($AQ$67:$AQ$76&gt;$AO946))
) / 1000</f>
        <v>0</v>
      </c>
      <c r="CO946" s="232">
        <f t="shared" si="837"/>
        <v>25</v>
      </c>
      <c r="CP946" s="230">
        <f t="shared" si="822"/>
        <v>38</v>
      </c>
      <c r="CQ946" s="235">
        <f t="shared" si="823"/>
        <v>4.0666935483870965</v>
      </c>
      <c r="CR946" s="235" cm="1">
        <f t="array" ref="CR946">$BI946 * IF($AH946&lt;=2,
SUMPRODUCT(INDEX($AR$67:$AT$71,,$AI946), INDEX($AU$67:$BA$71,,$AH946), 1 / ($BB$67:$BB$71*CQ946 + (1-$BB$67:$BB$71)*CM946), N($AQ$67:$AQ$71&gt;$AO946)),
SUMPRODUCT(INDEX($AR$57:$AT$66,,$AI946), INDEX($AU$57:$BA$66,,$AH946), 1 / ($BC$57:$BC$66*CQ946 + (1-$BC$57:$BC$66)*CM946), N($AQ$57:$AQ$66&gt;$AO946))
) / 1000</f>
        <v>0</v>
      </c>
      <c r="CS946" s="232">
        <f t="shared" si="838"/>
        <v>20</v>
      </c>
      <c r="CT946" s="230">
        <f t="shared" si="824"/>
        <v>33</v>
      </c>
      <c r="CU946" s="235">
        <f t="shared" si="825"/>
        <v>4.8487499999999999</v>
      </c>
      <c r="CV946" s="235" cm="1">
        <f t="array" ref="CV946">$BI946 * IF($AH946&lt;=2,
SUMPRODUCT(INDEX($AR$62:$AT$66,,$AI946), INDEX($AU$62:$BA$66,,$AH946), 1 / ($BB$62:$BB$66*CU946 + (1-$BB$62:$BB$66)*CQ946), N($AQ$62:$AQ$66&gt;$AO946)),
SUMPRODUCT(INDEX($AR$47:$AT$56,,$AI946), INDEX($AU$47:$BA$56,,$AH946), 1 / ($BC$47:$BC$56*CU946 + (1-$BC$47:$BC$56)*CQ946), N($AQ$47:$AQ$56&gt;$AO946))
) / 1000</f>
        <v>0</v>
      </c>
      <c r="CW946" s="235" cm="1">
        <f t="array" ref="CW946">$BI946 * IF($AH946&lt;=2,
SUMPRODUCT(INDEX($AR$23:$AT$61,,$AI946), INDEX($AU$23:$BA$61,,$AH946), 1 / ($BB$23:$BB$61*CU946), N($AQ$23:$AQ$61&gt;$AO946)),
SUMPRODUCT(INDEX($AR$23:$AT$46,,$AI946), INDEX($AU$23:$BA$46,,$AH946), 1 / ($BC$23:$BC$46*CU946), N($AQ$23:$AQ$46&gt;$AO946))
) / 1000</f>
        <v>0</v>
      </c>
      <c r="CX946" s="230">
        <f t="shared" si="826"/>
        <v>0</v>
      </c>
      <c r="CY946" s="238"/>
    </row>
    <row r="947" spans="1:103" s="76" customFormat="1" ht="14.25" customHeight="1" x14ac:dyDescent="0.2">
      <c r="A947" s="231" t="b">
        <f t="shared" si="830"/>
        <v>0</v>
      </c>
      <c r="B947" s="245">
        <v>925</v>
      </c>
      <c r="C947" s="258"/>
      <c r="D947" s="258"/>
      <c r="E947" s="246"/>
      <c r="F947" s="247" t="str">
        <f>IF(ISBLANK(E947), "", VLOOKUP(E947, Z!$A$2:$C$4127, 3, FALSE))</f>
        <v/>
      </c>
      <c r="G947" s="248"/>
      <c r="H947" s="248"/>
      <c r="I947" s="249"/>
      <c r="J947" s="250"/>
      <c r="K947" s="259"/>
      <c r="L947" s="260"/>
      <c r="M947" s="252" t="str" cm="1">
        <f t="array" ref="M947">INDEX(Trad, 53, $A$20)</f>
        <v>Verschmutzt</v>
      </c>
      <c r="N947" s="253"/>
      <c r="O947" s="253"/>
      <c r="P947" s="254"/>
      <c r="Q947" s="251"/>
      <c r="R947" s="251"/>
      <c r="S947" s="264">
        <f t="shared" si="801"/>
        <v>0</v>
      </c>
      <c r="T947" s="252" t="str" cm="1">
        <f t="array" ref="T947">INDEX(Trad, 52, $A$20)</f>
        <v>Sauber</v>
      </c>
      <c r="U947" s="253"/>
      <c r="V947" s="253"/>
      <c r="W947" s="254"/>
      <c r="X947" s="251"/>
      <c r="Y947" s="251"/>
      <c r="Z947" s="264">
        <f t="shared" si="802"/>
        <v>0</v>
      </c>
      <c r="AA947" s="261"/>
      <c r="AB947" s="258"/>
      <c r="AC947" s="246"/>
      <c r="AD947" s="247" t="str">
        <f>IF(ISBLANK(AC947), "", VLOOKUP(AC947, Z!$A$2:$C$4127, 3, FALSE))</f>
        <v/>
      </c>
      <c r="AE947" s="262"/>
      <c r="AF947" s="263">
        <f t="shared" si="803"/>
        <v>0</v>
      </c>
      <c r="AG947" s="238"/>
      <c r="AH947" s="229">
        <f t="shared" si="827"/>
        <v>1</v>
      </c>
      <c r="AI947" s="229">
        <f t="shared" si="828"/>
        <v>1</v>
      </c>
      <c r="AJ947" s="229">
        <f t="shared" si="829"/>
        <v>0</v>
      </c>
      <c r="AK947" s="229">
        <v>0</v>
      </c>
      <c r="AL947" s="229">
        <v>0</v>
      </c>
      <c r="AM947" s="229">
        <v>1</v>
      </c>
      <c r="AN947" s="229">
        <v>0</v>
      </c>
      <c r="AO947" s="229">
        <f t="shared" si="804"/>
        <v>-100</v>
      </c>
      <c r="AP947" s="238"/>
      <c r="AQ947" s="255"/>
      <c r="AR947" s="255"/>
      <c r="AS947" s="256"/>
      <c r="AT947" s="256"/>
      <c r="AU947" s="256"/>
      <c r="AV947" s="256"/>
      <c r="AW947" s="256"/>
      <c r="AX947" s="256"/>
      <c r="AY947" s="256"/>
      <c r="AZ947" s="256"/>
      <c r="BA947" s="256"/>
      <c r="BB947" s="256"/>
      <c r="BC947" s="256"/>
      <c r="BD947" s="238"/>
      <c r="BE947" s="229" cm="1">
        <f t="array" ref="BE947">IF(ISBLANK(R947), INDEX(Use, $AH947, 4) - AM947*INDEX(Use, $AH947, 6), R947)</f>
        <v>5</v>
      </c>
      <c r="BF947" s="229">
        <f t="shared" si="805"/>
        <v>30</v>
      </c>
      <c r="BG947" s="229">
        <f t="shared" si="831"/>
        <v>13</v>
      </c>
      <c r="BH947" s="229">
        <f t="shared" si="832"/>
        <v>0</v>
      </c>
      <c r="BI947" s="234" cm="1">
        <f t="array" ref="BI947">K947/IF($L947&gt;0, INDEX($AU$23:$BA$77, $L947+20, $AH947), 1)</f>
        <v>0</v>
      </c>
      <c r="BJ947" s="230">
        <f t="shared" si="806"/>
        <v>0</v>
      </c>
      <c r="BK947" s="229">
        <v>35</v>
      </c>
      <c r="BL947" s="230">
        <f t="shared" si="807"/>
        <v>48</v>
      </c>
      <c r="BM947" s="235">
        <f t="shared" si="808"/>
        <v>2.9108720930232557</v>
      </c>
      <c r="BN947" s="235" cm="1">
        <f t="array" ref="BN947">$BI947 * SUMPRODUCT(INDEX($AR$77:$AT$82,,$AI947),INDEX($AU$77:$BA$82,,$AH947), N($AQ$77:$AQ$82&gt;$AO947)) / BM947 / 1000</f>
        <v>0</v>
      </c>
      <c r="BO947" s="232">
        <f t="shared" si="833"/>
        <v>30</v>
      </c>
      <c r="BP947" s="230">
        <f t="shared" si="809"/>
        <v>43</v>
      </c>
      <c r="BQ947" s="235">
        <f t="shared" si="810"/>
        <v>3.2938815789473681</v>
      </c>
      <c r="BR947" s="235" cm="1">
        <f t="array" ref="BR947">$BI947 * IF($AH947&lt;=2,
SUMPRODUCT(INDEX($AR$72:$AT$76,,$AI947), INDEX($AU$72:$BA$76,,$AH947), 1 / ($BB$72:$BB$76*BQ947 + (1-$BB$72:$BB$76)*BM947), N($AQ$72:$AQ$76&gt;$AO947)),
SUMPRODUCT(INDEX($AR$67:$AT$76,,$AI947), INDEX($AU$67:$BA$76,,$AH947), 1 / ($BC$67:$BC$76*BQ947 + (1-$BC$67:$BC$76)*BM947), N($AQ$67:$AQ$76&gt;$AO947))
) / 1000</f>
        <v>0</v>
      </c>
      <c r="BS947" s="232">
        <f t="shared" si="834"/>
        <v>25</v>
      </c>
      <c r="BT947" s="230">
        <f t="shared" si="811"/>
        <v>38</v>
      </c>
      <c r="BU947" s="235">
        <f t="shared" si="812"/>
        <v>3.792954545454545</v>
      </c>
      <c r="BV947" s="235" cm="1">
        <f t="array" ref="BV947">$BI947 * IF($AH947&lt;=2,
SUMPRODUCT(INDEX($AR$67:$AT$71,,$AI947), INDEX($AU$67:$BA$71,,$AH947), 1 / ($BB$67:$BB$71*BU947 + (1-$BB$67:$BB$71)*BQ947), N($AQ$67:$AQ$71&gt;$AO947)),
SUMPRODUCT(INDEX($AR$57:$AT$66,,$AI947), INDEX($AU$57:$BA$66,,$AH947), 1 / ($BC$57:$BC$66*BU947 + (1-$BC$57:$BC$66)*BQ947), N($AQ$57:$AQ$66&gt;$AO947))
) / 1000</f>
        <v>0</v>
      </c>
      <c r="BW947" s="232">
        <f t="shared" si="835"/>
        <v>20</v>
      </c>
      <c r="BX947" s="230">
        <f t="shared" si="813"/>
        <v>33</v>
      </c>
      <c r="BY947" s="235">
        <f t="shared" si="814"/>
        <v>4.4702678571428569</v>
      </c>
      <c r="BZ947" s="235" cm="1">
        <f t="array" ref="BZ947">$BI947 * IF($AH947&lt;=2,
SUMPRODUCT(INDEX($AR$62:$AT$66,,$AI947), INDEX($AU$62:$BA$66,,$AH947), 1 / ($BB$62:$BB$66*BY947 + (1-$BB$62:$BB$66)*BU947), N($AQ$62:$AQ$66&gt;$AO947)),
SUMPRODUCT(INDEX($AR$47:$AT$56,,$AI947), INDEX($AU$47:$BA$56,,$AH947), 1 / ($BC$47:$BC$56*BY947 + (1-$BC$47:$BC$56)*BU947), N($AQ$47:$AQ$56&gt;$AO947))
) / 1000</f>
        <v>0</v>
      </c>
      <c r="CA947" s="235" cm="1">
        <f t="array" ref="CA947">$BI947 * IF($AH947&lt;=2,
SUMPRODUCT(INDEX($AR$23:$AT$61,,$AI947), INDEX($AU$23:$BA$61,,$AH947), 1 / ($BB$23:$BB$61*BY947), N($AQ$23:$AQ$61&gt;$AO947)),
SUMPRODUCT(INDEX($AR$23:$AT$46,,$AI947), INDEX($AU$23:$BA$46,,$AH947), 1 / ($BC$23:$BC$46*BY947), N($AQ$23:$AQ$46&gt;$AO947))
) / 1000</f>
        <v>0</v>
      </c>
      <c r="CB947" s="230">
        <f t="shared" si="815"/>
        <v>0</v>
      </c>
      <c r="CC947" s="238"/>
      <c r="CD947" s="229" cm="1">
        <f t="array" ref="CD947">IF(ISBLANK(Y947), INDEX(Use, $AH947, 4) - AN947*INDEX(Use, $AH947, 6) - (Q947-X947), Y947)</f>
        <v>7</v>
      </c>
      <c r="CE947" s="229">
        <f t="shared" si="816"/>
        <v>32</v>
      </c>
      <c r="CF947" s="230">
        <f t="shared" si="817"/>
        <v>0</v>
      </c>
      <c r="CG947" s="229">
        <v>35</v>
      </c>
      <c r="CH947" s="230">
        <f t="shared" si="818"/>
        <v>48</v>
      </c>
      <c r="CI947" s="235">
        <f t="shared" si="819"/>
        <v>3.0748170731707316</v>
      </c>
      <c r="CJ947" s="235" cm="1">
        <f t="array" ref="CJ947">$BI947 * SUMPRODUCT(INDEX($AR$77:$AT$82,,$AI947),INDEX($AU$77:$BA$82,,$AH947), N($AQ$77:$AQ$82&gt;$AO947)) / CI947 / 1000</f>
        <v>0</v>
      </c>
      <c r="CK947" s="232">
        <f t="shared" si="836"/>
        <v>30</v>
      </c>
      <c r="CL947" s="230">
        <f t="shared" si="820"/>
        <v>43</v>
      </c>
      <c r="CM947" s="235">
        <f t="shared" si="821"/>
        <v>3.5018750000000001</v>
      </c>
      <c r="CN947" s="235" cm="1">
        <f t="array" ref="CN947">$BI947 * IF($AH947&lt;=2,
SUMPRODUCT(INDEX($AR$72:$AT$76,,$AI947), INDEX($AU$72:$BA$76,,$AH947), 1 / ($BB$72:$BB$76*CM947 + (1-$BB$72:$BB$76)*CI947), N($AQ$72:$AQ$76&gt;$AO947)),
SUMPRODUCT(INDEX($AR$67:$AT$76,,$AI947), INDEX($AU$67:$BA$76,,$AH947), 1 / ($BC$67:$BC$76*CM947 + (1-$BC$67:$BC$76)*CI947), N($AQ$67:$AQ$76&gt;$AO947))
) / 1000</f>
        <v>0</v>
      </c>
      <c r="CO947" s="232">
        <f t="shared" si="837"/>
        <v>25</v>
      </c>
      <c r="CP947" s="230">
        <f t="shared" si="822"/>
        <v>38</v>
      </c>
      <c r="CQ947" s="235">
        <f t="shared" si="823"/>
        <v>4.0666935483870965</v>
      </c>
      <c r="CR947" s="235" cm="1">
        <f t="array" ref="CR947">$BI947 * IF($AH947&lt;=2,
SUMPRODUCT(INDEX($AR$67:$AT$71,,$AI947), INDEX($AU$67:$BA$71,,$AH947), 1 / ($BB$67:$BB$71*CQ947 + (1-$BB$67:$BB$71)*CM947), N($AQ$67:$AQ$71&gt;$AO947)),
SUMPRODUCT(INDEX($AR$57:$AT$66,,$AI947), INDEX($AU$57:$BA$66,,$AH947), 1 / ($BC$57:$BC$66*CQ947 + (1-$BC$57:$BC$66)*CM947), N($AQ$57:$AQ$66&gt;$AO947))
) / 1000</f>
        <v>0</v>
      </c>
      <c r="CS947" s="232">
        <f t="shared" si="838"/>
        <v>20</v>
      </c>
      <c r="CT947" s="230">
        <f t="shared" si="824"/>
        <v>33</v>
      </c>
      <c r="CU947" s="235">
        <f t="shared" si="825"/>
        <v>4.8487499999999999</v>
      </c>
      <c r="CV947" s="235" cm="1">
        <f t="array" ref="CV947">$BI947 * IF($AH947&lt;=2,
SUMPRODUCT(INDEX($AR$62:$AT$66,,$AI947), INDEX($AU$62:$BA$66,,$AH947), 1 / ($BB$62:$BB$66*CU947 + (1-$BB$62:$BB$66)*CQ947), N($AQ$62:$AQ$66&gt;$AO947)),
SUMPRODUCT(INDEX($AR$47:$AT$56,,$AI947), INDEX($AU$47:$BA$56,,$AH947), 1 / ($BC$47:$BC$56*CU947 + (1-$BC$47:$BC$56)*CQ947), N($AQ$47:$AQ$56&gt;$AO947))
) / 1000</f>
        <v>0</v>
      </c>
      <c r="CW947" s="235" cm="1">
        <f t="array" ref="CW947">$BI947 * IF($AH947&lt;=2,
SUMPRODUCT(INDEX($AR$23:$AT$61,,$AI947), INDEX($AU$23:$BA$61,,$AH947), 1 / ($BB$23:$BB$61*CU947), N($AQ$23:$AQ$61&gt;$AO947)),
SUMPRODUCT(INDEX($AR$23:$AT$46,,$AI947), INDEX($AU$23:$BA$46,,$AH947), 1 / ($BC$23:$BC$46*CU947), N($AQ$23:$AQ$46&gt;$AO947))
) / 1000</f>
        <v>0</v>
      </c>
      <c r="CX947" s="230">
        <f t="shared" si="826"/>
        <v>0</v>
      </c>
      <c r="CY947" s="238"/>
    </row>
    <row r="948" spans="1:103" s="76" customFormat="1" ht="14.25" customHeight="1" x14ac:dyDescent="0.2">
      <c r="A948" s="231" t="b">
        <f t="shared" si="830"/>
        <v>0</v>
      </c>
      <c r="B948" s="245">
        <v>926</v>
      </c>
      <c r="C948" s="258"/>
      <c r="D948" s="258"/>
      <c r="E948" s="246"/>
      <c r="F948" s="247" t="str">
        <f>IF(ISBLANK(E948), "", VLOOKUP(E948, Z!$A$2:$C$4127, 3, FALSE))</f>
        <v/>
      </c>
      <c r="G948" s="248"/>
      <c r="H948" s="248"/>
      <c r="I948" s="249"/>
      <c r="J948" s="250"/>
      <c r="K948" s="259"/>
      <c r="L948" s="260"/>
      <c r="M948" s="252" t="str" cm="1">
        <f t="array" ref="M948">INDEX(Trad, 53, $A$20)</f>
        <v>Verschmutzt</v>
      </c>
      <c r="N948" s="253"/>
      <c r="O948" s="253"/>
      <c r="P948" s="254"/>
      <c r="Q948" s="251"/>
      <c r="R948" s="251"/>
      <c r="S948" s="264">
        <f t="shared" si="801"/>
        <v>0</v>
      </c>
      <c r="T948" s="252" t="str" cm="1">
        <f t="array" ref="T948">INDEX(Trad, 52, $A$20)</f>
        <v>Sauber</v>
      </c>
      <c r="U948" s="253"/>
      <c r="V948" s="253"/>
      <c r="W948" s="254"/>
      <c r="X948" s="251"/>
      <c r="Y948" s="251"/>
      <c r="Z948" s="264">
        <f t="shared" si="802"/>
        <v>0</v>
      </c>
      <c r="AA948" s="261"/>
      <c r="AB948" s="258"/>
      <c r="AC948" s="246"/>
      <c r="AD948" s="247" t="str">
        <f>IF(ISBLANK(AC948), "", VLOOKUP(AC948, Z!$A$2:$C$4127, 3, FALSE))</f>
        <v/>
      </c>
      <c r="AE948" s="262"/>
      <c r="AF948" s="263">
        <f t="shared" si="803"/>
        <v>0</v>
      </c>
      <c r="AG948" s="238"/>
      <c r="AH948" s="229">
        <f t="shared" si="827"/>
        <v>1</v>
      </c>
      <c r="AI948" s="229">
        <f t="shared" si="828"/>
        <v>1</v>
      </c>
      <c r="AJ948" s="229">
        <f t="shared" si="829"/>
        <v>0</v>
      </c>
      <c r="AK948" s="229">
        <v>0</v>
      </c>
      <c r="AL948" s="229">
        <v>0</v>
      </c>
      <c r="AM948" s="229">
        <v>1</v>
      </c>
      <c r="AN948" s="229">
        <v>0</v>
      </c>
      <c r="AO948" s="229">
        <f t="shared" si="804"/>
        <v>-100</v>
      </c>
      <c r="AP948" s="238"/>
      <c r="AQ948" s="255"/>
      <c r="AR948" s="255"/>
      <c r="AS948" s="256"/>
      <c r="AT948" s="256"/>
      <c r="AU948" s="256"/>
      <c r="AV948" s="256"/>
      <c r="AW948" s="256"/>
      <c r="AX948" s="256"/>
      <c r="AY948" s="256"/>
      <c r="AZ948" s="256"/>
      <c r="BA948" s="256"/>
      <c r="BB948" s="256"/>
      <c r="BC948" s="256"/>
      <c r="BD948" s="238"/>
      <c r="BE948" s="229" cm="1">
        <f t="array" ref="BE948">IF(ISBLANK(R948), INDEX(Use, $AH948, 4) - AM948*INDEX(Use, $AH948, 6), R948)</f>
        <v>5</v>
      </c>
      <c r="BF948" s="229">
        <f t="shared" si="805"/>
        <v>30</v>
      </c>
      <c r="BG948" s="229">
        <f t="shared" si="831"/>
        <v>13</v>
      </c>
      <c r="BH948" s="229">
        <f t="shared" si="832"/>
        <v>0</v>
      </c>
      <c r="BI948" s="234" cm="1">
        <f t="array" ref="BI948">K948/IF($L948&gt;0, INDEX($AU$23:$BA$77, $L948+20, $AH948), 1)</f>
        <v>0</v>
      </c>
      <c r="BJ948" s="230">
        <f t="shared" si="806"/>
        <v>0</v>
      </c>
      <c r="BK948" s="229">
        <v>35</v>
      </c>
      <c r="BL948" s="230">
        <f t="shared" si="807"/>
        <v>48</v>
      </c>
      <c r="BM948" s="235">
        <f t="shared" si="808"/>
        <v>2.9108720930232557</v>
      </c>
      <c r="BN948" s="235" cm="1">
        <f t="array" ref="BN948">$BI948 * SUMPRODUCT(INDEX($AR$77:$AT$82,,$AI948),INDEX($AU$77:$BA$82,,$AH948), N($AQ$77:$AQ$82&gt;$AO948)) / BM948 / 1000</f>
        <v>0</v>
      </c>
      <c r="BO948" s="232">
        <f t="shared" si="833"/>
        <v>30</v>
      </c>
      <c r="BP948" s="230">
        <f t="shared" si="809"/>
        <v>43</v>
      </c>
      <c r="BQ948" s="235">
        <f t="shared" si="810"/>
        <v>3.2938815789473681</v>
      </c>
      <c r="BR948" s="235" cm="1">
        <f t="array" ref="BR948">$BI948 * IF($AH948&lt;=2,
SUMPRODUCT(INDEX($AR$72:$AT$76,,$AI948), INDEX($AU$72:$BA$76,,$AH948), 1 / ($BB$72:$BB$76*BQ948 + (1-$BB$72:$BB$76)*BM948), N($AQ$72:$AQ$76&gt;$AO948)),
SUMPRODUCT(INDEX($AR$67:$AT$76,,$AI948), INDEX($AU$67:$BA$76,,$AH948), 1 / ($BC$67:$BC$76*BQ948 + (1-$BC$67:$BC$76)*BM948), N($AQ$67:$AQ$76&gt;$AO948))
) / 1000</f>
        <v>0</v>
      </c>
      <c r="BS948" s="232">
        <f t="shared" si="834"/>
        <v>25</v>
      </c>
      <c r="BT948" s="230">
        <f t="shared" si="811"/>
        <v>38</v>
      </c>
      <c r="BU948" s="235">
        <f t="shared" si="812"/>
        <v>3.792954545454545</v>
      </c>
      <c r="BV948" s="235" cm="1">
        <f t="array" ref="BV948">$BI948 * IF($AH948&lt;=2,
SUMPRODUCT(INDEX($AR$67:$AT$71,,$AI948), INDEX($AU$67:$BA$71,,$AH948), 1 / ($BB$67:$BB$71*BU948 + (1-$BB$67:$BB$71)*BQ948), N($AQ$67:$AQ$71&gt;$AO948)),
SUMPRODUCT(INDEX($AR$57:$AT$66,,$AI948), INDEX($AU$57:$BA$66,,$AH948), 1 / ($BC$57:$BC$66*BU948 + (1-$BC$57:$BC$66)*BQ948), N($AQ$57:$AQ$66&gt;$AO948))
) / 1000</f>
        <v>0</v>
      </c>
      <c r="BW948" s="232">
        <f t="shared" si="835"/>
        <v>20</v>
      </c>
      <c r="BX948" s="230">
        <f t="shared" si="813"/>
        <v>33</v>
      </c>
      <c r="BY948" s="235">
        <f t="shared" si="814"/>
        <v>4.4702678571428569</v>
      </c>
      <c r="BZ948" s="235" cm="1">
        <f t="array" ref="BZ948">$BI948 * IF($AH948&lt;=2,
SUMPRODUCT(INDEX($AR$62:$AT$66,,$AI948), INDEX($AU$62:$BA$66,,$AH948), 1 / ($BB$62:$BB$66*BY948 + (1-$BB$62:$BB$66)*BU948), N($AQ$62:$AQ$66&gt;$AO948)),
SUMPRODUCT(INDEX($AR$47:$AT$56,,$AI948), INDEX($AU$47:$BA$56,,$AH948), 1 / ($BC$47:$BC$56*BY948 + (1-$BC$47:$BC$56)*BU948), N($AQ$47:$AQ$56&gt;$AO948))
) / 1000</f>
        <v>0</v>
      </c>
      <c r="CA948" s="235" cm="1">
        <f t="array" ref="CA948">$BI948 * IF($AH948&lt;=2,
SUMPRODUCT(INDEX($AR$23:$AT$61,,$AI948), INDEX($AU$23:$BA$61,,$AH948), 1 / ($BB$23:$BB$61*BY948), N($AQ$23:$AQ$61&gt;$AO948)),
SUMPRODUCT(INDEX($AR$23:$AT$46,,$AI948), INDEX($AU$23:$BA$46,,$AH948), 1 / ($BC$23:$BC$46*BY948), N($AQ$23:$AQ$46&gt;$AO948))
) / 1000</f>
        <v>0</v>
      </c>
      <c r="CB948" s="230">
        <f t="shared" si="815"/>
        <v>0</v>
      </c>
      <c r="CC948" s="238"/>
      <c r="CD948" s="229" cm="1">
        <f t="array" ref="CD948">IF(ISBLANK(Y948), INDEX(Use, $AH948, 4) - AN948*INDEX(Use, $AH948, 6) - (Q948-X948), Y948)</f>
        <v>7</v>
      </c>
      <c r="CE948" s="229">
        <f t="shared" si="816"/>
        <v>32</v>
      </c>
      <c r="CF948" s="230">
        <f t="shared" si="817"/>
        <v>0</v>
      </c>
      <c r="CG948" s="229">
        <v>35</v>
      </c>
      <c r="CH948" s="230">
        <f t="shared" si="818"/>
        <v>48</v>
      </c>
      <c r="CI948" s="235">
        <f t="shared" si="819"/>
        <v>3.0748170731707316</v>
      </c>
      <c r="CJ948" s="235" cm="1">
        <f t="array" ref="CJ948">$BI948 * SUMPRODUCT(INDEX($AR$77:$AT$82,,$AI948),INDEX($AU$77:$BA$82,,$AH948), N($AQ$77:$AQ$82&gt;$AO948)) / CI948 / 1000</f>
        <v>0</v>
      </c>
      <c r="CK948" s="232">
        <f t="shared" si="836"/>
        <v>30</v>
      </c>
      <c r="CL948" s="230">
        <f t="shared" si="820"/>
        <v>43</v>
      </c>
      <c r="CM948" s="235">
        <f t="shared" si="821"/>
        <v>3.5018750000000001</v>
      </c>
      <c r="CN948" s="235" cm="1">
        <f t="array" ref="CN948">$BI948 * IF($AH948&lt;=2,
SUMPRODUCT(INDEX($AR$72:$AT$76,,$AI948), INDEX($AU$72:$BA$76,,$AH948), 1 / ($BB$72:$BB$76*CM948 + (1-$BB$72:$BB$76)*CI948), N($AQ$72:$AQ$76&gt;$AO948)),
SUMPRODUCT(INDEX($AR$67:$AT$76,,$AI948), INDEX($AU$67:$BA$76,,$AH948), 1 / ($BC$67:$BC$76*CM948 + (1-$BC$67:$BC$76)*CI948), N($AQ$67:$AQ$76&gt;$AO948))
) / 1000</f>
        <v>0</v>
      </c>
      <c r="CO948" s="232">
        <f t="shared" si="837"/>
        <v>25</v>
      </c>
      <c r="CP948" s="230">
        <f t="shared" si="822"/>
        <v>38</v>
      </c>
      <c r="CQ948" s="235">
        <f t="shared" si="823"/>
        <v>4.0666935483870965</v>
      </c>
      <c r="CR948" s="235" cm="1">
        <f t="array" ref="CR948">$BI948 * IF($AH948&lt;=2,
SUMPRODUCT(INDEX($AR$67:$AT$71,,$AI948), INDEX($AU$67:$BA$71,,$AH948), 1 / ($BB$67:$BB$71*CQ948 + (1-$BB$67:$BB$71)*CM948), N($AQ$67:$AQ$71&gt;$AO948)),
SUMPRODUCT(INDEX($AR$57:$AT$66,,$AI948), INDEX($AU$57:$BA$66,,$AH948), 1 / ($BC$57:$BC$66*CQ948 + (1-$BC$57:$BC$66)*CM948), N($AQ$57:$AQ$66&gt;$AO948))
) / 1000</f>
        <v>0</v>
      </c>
      <c r="CS948" s="232">
        <f t="shared" si="838"/>
        <v>20</v>
      </c>
      <c r="CT948" s="230">
        <f t="shared" si="824"/>
        <v>33</v>
      </c>
      <c r="CU948" s="235">
        <f t="shared" si="825"/>
        <v>4.8487499999999999</v>
      </c>
      <c r="CV948" s="235" cm="1">
        <f t="array" ref="CV948">$BI948 * IF($AH948&lt;=2,
SUMPRODUCT(INDEX($AR$62:$AT$66,,$AI948), INDEX($AU$62:$BA$66,,$AH948), 1 / ($BB$62:$BB$66*CU948 + (1-$BB$62:$BB$66)*CQ948), N($AQ$62:$AQ$66&gt;$AO948)),
SUMPRODUCT(INDEX($AR$47:$AT$56,,$AI948), INDEX($AU$47:$BA$56,,$AH948), 1 / ($BC$47:$BC$56*CU948 + (1-$BC$47:$BC$56)*CQ948), N($AQ$47:$AQ$56&gt;$AO948))
) / 1000</f>
        <v>0</v>
      </c>
      <c r="CW948" s="235" cm="1">
        <f t="array" ref="CW948">$BI948 * IF($AH948&lt;=2,
SUMPRODUCT(INDEX($AR$23:$AT$61,,$AI948), INDEX($AU$23:$BA$61,,$AH948), 1 / ($BB$23:$BB$61*CU948), N($AQ$23:$AQ$61&gt;$AO948)),
SUMPRODUCT(INDEX($AR$23:$AT$46,,$AI948), INDEX($AU$23:$BA$46,,$AH948), 1 / ($BC$23:$BC$46*CU948), N($AQ$23:$AQ$46&gt;$AO948))
) / 1000</f>
        <v>0</v>
      </c>
      <c r="CX948" s="230">
        <f t="shared" si="826"/>
        <v>0</v>
      </c>
      <c r="CY948" s="238"/>
    </row>
    <row r="949" spans="1:103" s="76" customFormat="1" ht="14.25" customHeight="1" x14ac:dyDescent="0.2">
      <c r="A949" s="231" t="b">
        <f t="shared" si="830"/>
        <v>0</v>
      </c>
      <c r="B949" s="245">
        <v>927</v>
      </c>
      <c r="C949" s="258"/>
      <c r="D949" s="258"/>
      <c r="E949" s="246"/>
      <c r="F949" s="247" t="str">
        <f>IF(ISBLANK(E949), "", VLOOKUP(E949, Z!$A$2:$C$4127, 3, FALSE))</f>
        <v/>
      </c>
      <c r="G949" s="248"/>
      <c r="H949" s="248"/>
      <c r="I949" s="249"/>
      <c r="J949" s="250"/>
      <c r="K949" s="259"/>
      <c r="L949" s="260"/>
      <c r="M949" s="252" t="str" cm="1">
        <f t="array" ref="M949">INDEX(Trad, 53, $A$20)</f>
        <v>Verschmutzt</v>
      </c>
      <c r="N949" s="253"/>
      <c r="O949" s="253"/>
      <c r="P949" s="254"/>
      <c r="Q949" s="251"/>
      <c r="R949" s="251"/>
      <c r="S949" s="264">
        <f t="shared" si="801"/>
        <v>0</v>
      </c>
      <c r="T949" s="252" t="str" cm="1">
        <f t="array" ref="T949">INDEX(Trad, 52, $A$20)</f>
        <v>Sauber</v>
      </c>
      <c r="U949" s="253"/>
      <c r="V949" s="253"/>
      <c r="W949" s="254"/>
      <c r="X949" s="251"/>
      <c r="Y949" s="251"/>
      <c r="Z949" s="264">
        <f t="shared" si="802"/>
        <v>0</v>
      </c>
      <c r="AA949" s="261"/>
      <c r="AB949" s="258"/>
      <c r="AC949" s="246"/>
      <c r="AD949" s="247" t="str">
        <f>IF(ISBLANK(AC949), "", VLOOKUP(AC949, Z!$A$2:$C$4127, 3, FALSE))</f>
        <v/>
      </c>
      <c r="AE949" s="262"/>
      <c r="AF949" s="263">
        <f t="shared" si="803"/>
        <v>0</v>
      </c>
      <c r="AG949" s="238"/>
      <c r="AH949" s="229">
        <f t="shared" si="827"/>
        <v>1</v>
      </c>
      <c r="AI949" s="229">
        <f t="shared" si="828"/>
        <v>1</v>
      </c>
      <c r="AJ949" s="229">
        <f t="shared" si="829"/>
        <v>0</v>
      </c>
      <c r="AK949" s="229">
        <v>0</v>
      </c>
      <c r="AL949" s="229">
        <v>0</v>
      </c>
      <c r="AM949" s="229">
        <v>1</v>
      </c>
      <c r="AN949" s="229">
        <v>0</v>
      </c>
      <c r="AO949" s="229">
        <f t="shared" si="804"/>
        <v>-100</v>
      </c>
      <c r="AP949" s="238"/>
      <c r="AQ949" s="255"/>
      <c r="AR949" s="255"/>
      <c r="AS949" s="256"/>
      <c r="AT949" s="256"/>
      <c r="AU949" s="256"/>
      <c r="AV949" s="256"/>
      <c r="AW949" s="256"/>
      <c r="AX949" s="256"/>
      <c r="AY949" s="256"/>
      <c r="AZ949" s="256"/>
      <c r="BA949" s="256"/>
      <c r="BB949" s="256"/>
      <c r="BC949" s="256"/>
      <c r="BD949" s="238"/>
      <c r="BE949" s="229" cm="1">
        <f t="array" ref="BE949">IF(ISBLANK(R949), INDEX(Use, $AH949, 4) - AM949*INDEX(Use, $AH949, 6), R949)</f>
        <v>5</v>
      </c>
      <c r="BF949" s="229">
        <f t="shared" si="805"/>
        <v>30</v>
      </c>
      <c r="BG949" s="229">
        <f t="shared" si="831"/>
        <v>13</v>
      </c>
      <c r="BH949" s="229">
        <f t="shared" si="832"/>
        <v>0</v>
      </c>
      <c r="BI949" s="234" cm="1">
        <f t="array" ref="BI949">K949/IF($L949&gt;0, INDEX($AU$23:$BA$77, $L949+20, $AH949), 1)</f>
        <v>0</v>
      </c>
      <c r="BJ949" s="230">
        <f t="shared" si="806"/>
        <v>0</v>
      </c>
      <c r="BK949" s="229">
        <v>35</v>
      </c>
      <c r="BL949" s="230">
        <f t="shared" si="807"/>
        <v>48</v>
      </c>
      <c r="BM949" s="235">
        <f t="shared" si="808"/>
        <v>2.9108720930232557</v>
      </c>
      <c r="BN949" s="235" cm="1">
        <f t="array" ref="BN949">$BI949 * SUMPRODUCT(INDEX($AR$77:$AT$82,,$AI949),INDEX($AU$77:$BA$82,,$AH949), N($AQ$77:$AQ$82&gt;$AO949)) / BM949 / 1000</f>
        <v>0</v>
      </c>
      <c r="BO949" s="232">
        <f t="shared" si="833"/>
        <v>30</v>
      </c>
      <c r="BP949" s="230">
        <f t="shared" si="809"/>
        <v>43</v>
      </c>
      <c r="BQ949" s="235">
        <f t="shared" si="810"/>
        <v>3.2938815789473681</v>
      </c>
      <c r="BR949" s="235" cm="1">
        <f t="array" ref="BR949">$BI949 * IF($AH949&lt;=2,
SUMPRODUCT(INDEX($AR$72:$AT$76,,$AI949), INDEX($AU$72:$BA$76,,$AH949), 1 / ($BB$72:$BB$76*BQ949 + (1-$BB$72:$BB$76)*BM949), N($AQ$72:$AQ$76&gt;$AO949)),
SUMPRODUCT(INDEX($AR$67:$AT$76,,$AI949), INDEX($AU$67:$BA$76,,$AH949), 1 / ($BC$67:$BC$76*BQ949 + (1-$BC$67:$BC$76)*BM949), N($AQ$67:$AQ$76&gt;$AO949))
) / 1000</f>
        <v>0</v>
      </c>
      <c r="BS949" s="232">
        <f t="shared" si="834"/>
        <v>25</v>
      </c>
      <c r="BT949" s="230">
        <f t="shared" si="811"/>
        <v>38</v>
      </c>
      <c r="BU949" s="235">
        <f t="shared" si="812"/>
        <v>3.792954545454545</v>
      </c>
      <c r="BV949" s="235" cm="1">
        <f t="array" ref="BV949">$BI949 * IF($AH949&lt;=2,
SUMPRODUCT(INDEX($AR$67:$AT$71,,$AI949), INDEX($AU$67:$BA$71,,$AH949), 1 / ($BB$67:$BB$71*BU949 + (1-$BB$67:$BB$71)*BQ949), N($AQ$67:$AQ$71&gt;$AO949)),
SUMPRODUCT(INDEX($AR$57:$AT$66,,$AI949), INDEX($AU$57:$BA$66,,$AH949), 1 / ($BC$57:$BC$66*BU949 + (1-$BC$57:$BC$66)*BQ949), N($AQ$57:$AQ$66&gt;$AO949))
) / 1000</f>
        <v>0</v>
      </c>
      <c r="BW949" s="232">
        <f t="shared" si="835"/>
        <v>20</v>
      </c>
      <c r="BX949" s="230">
        <f t="shared" si="813"/>
        <v>33</v>
      </c>
      <c r="BY949" s="235">
        <f t="shared" si="814"/>
        <v>4.4702678571428569</v>
      </c>
      <c r="BZ949" s="235" cm="1">
        <f t="array" ref="BZ949">$BI949 * IF($AH949&lt;=2,
SUMPRODUCT(INDEX($AR$62:$AT$66,,$AI949), INDEX($AU$62:$BA$66,,$AH949), 1 / ($BB$62:$BB$66*BY949 + (1-$BB$62:$BB$66)*BU949), N($AQ$62:$AQ$66&gt;$AO949)),
SUMPRODUCT(INDEX($AR$47:$AT$56,,$AI949), INDEX($AU$47:$BA$56,,$AH949), 1 / ($BC$47:$BC$56*BY949 + (1-$BC$47:$BC$56)*BU949), N($AQ$47:$AQ$56&gt;$AO949))
) / 1000</f>
        <v>0</v>
      </c>
      <c r="CA949" s="235" cm="1">
        <f t="array" ref="CA949">$BI949 * IF($AH949&lt;=2,
SUMPRODUCT(INDEX($AR$23:$AT$61,,$AI949), INDEX($AU$23:$BA$61,,$AH949), 1 / ($BB$23:$BB$61*BY949), N($AQ$23:$AQ$61&gt;$AO949)),
SUMPRODUCT(INDEX($AR$23:$AT$46,,$AI949), INDEX($AU$23:$BA$46,,$AH949), 1 / ($BC$23:$BC$46*BY949), N($AQ$23:$AQ$46&gt;$AO949))
) / 1000</f>
        <v>0</v>
      </c>
      <c r="CB949" s="230">
        <f t="shared" si="815"/>
        <v>0</v>
      </c>
      <c r="CC949" s="238"/>
      <c r="CD949" s="229" cm="1">
        <f t="array" ref="CD949">IF(ISBLANK(Y949), INDEX(Use, $AH949, 4) - AN949*INDEX(Use, $AH949, 6) - (Q949-X949), Y949)</f>
        <v>7</v>
      </c>
      <c r="CE949" s="229">
        <f t="shared" si="816"/>
        <v>32</v>
      </c>
      <c r="CF949" s="230">
        <f t="shared" si="817"/>
        <v>0</v>
      </c>
      <c r="CG949" s="229">
        <v>35</v>
      </c>
      <c r="CH949" s="230">
        <f t="shared" si="818"/>
        <v>48</v>
      </c>
      <c r="CI949" s="235">
        <f t="shared" si="819"/>
        <v>3.0748170731707316</v>
      </c>
      <c r="CJ949" s="235" cm="1">
        <f t="array" ref="CJ949">$BI949 * SUMPRODUCT(INDEX($AR$77:$AT$82,,$AI949),INDEX($AU$77:$BA$82,,$AH949), N($AQ$77:$AQ$82&gt;$AO949)) / CI949 / 1000</f>
        <v>0</v>
      </c>
      <c r="CK949" s="232">
        <f t="shared" si="836"/>
        <v>30</v>
      </c>
      <c r="CL949" s="230">
        <f t="shared" si="820"/>
        <v>43</v>
      </c>
      <c r="CM949" s="235">
        <f t="shared" si="821"/>
        <v>3.5018750000000001</v>
      </c>
      <c r="CN949" s="235" cm="1">
        <f t="array" ref="CN949">$BI949 * IF($AH949&lt;=2,
SUMPRODUCT(INDEX($AR$72:$AT$76,,$AI949), INDEX($AU$72:$BA$76,,$AH949), 1 / ($BB$72:$BB$76*CM949 + (1-$BB$72:$BB$76)*CI949), N($AQ$72:$AQ$76&gt;$AO949)),
SUMPRODUCT(INDEX($AR$67:$AT$76,,$AI949), INDEX($AU$67:$BA$76,,$AH949), 1 / ($BC$67:$BC$76*CM949 + (1-$BC$67:$BC$76)*CI949), N($AQ$67:$AQ$76&gt;$AO949))
) / 1000</f>
        <v>0</v>
      </c>
      <c r="CO949" s="232">
        <f t="shared" si="837"/>
        <v>25</v>
      </c>
      <c r="CP949" s="230">
        <f t="shared" si="822"/>
        <v>38</v>
      </c>
      <c r="CQ949" s="235">
        <f t="shared" si="823"/>
        <v>4.0666935483870965</v>
      </c>
      <c r="CR949" s="235" cm="1">
        <f t="array" ref="CR949">$BI949 * IF($AH949&lt;=2,
SUMPRODUCT(INDEX($AR$67:$AT$71,,$AI949), INDEX($AU$67:$BA$71,,$AH949), 1 / ($BB$67:$BB$71*CQ949 + (1-$BB$67:$BB$71)*CM949), N($AQ$67:$AQ$71&gt;$AO949)),
SUMPRODUCT(INDEX($AR$57:$AT$66,,$AI949), INDEX($AU$57:$BA$66,,$AH949), 1 / ($BC$57:$BC$66*CQ949 + (1-$BC$57:$BC$66)*CM949), N($AQ$57:$AQ$66&gt;$AO949))
) / 1000</f>
        <v>0</v>
      </c>
      <c r="CS949" s="232">
        <f t="shared" si="838"/>
        <v>20</v>
      </c>
      <c r="CT949" s="230">
        <f t="shared" si="824"/>
        <v>33</v>
      </c>
      <c r="CU949" s="235">
        <f t="shared" si="825"/>
        <v>4.8487499999999999</v>
      </c>
      <c r="CV949" s="235" cm="1">
        <f t="array" ref="CV949">$BI949 * IF($AH949&lt;=2,
SUMPRODUCT(INDEX($AR$62:$AT$66,,$AI949), INDEX($AU$62:$BA$66,,$AH949), 1 / ($BB$62:$BB$66*CU949 + (1-$BB$62:$BB$66)*CQ949), N($AQ$62:$AQ$66&gt;$AO949)),
SUMPRODUCT(INDEX($AR$47:$AT$56,,$AI949), INDEX($AU$47:$BA$56,,$AH949), 1 / ($BC$47:$BC$56*CU949 + (1-$BC$47:$BC$56)*CQ949), N($AQ$47:$AQ$56&gt;$AO949))
) / 1000</f>
        <v>0</v>
      </c>
      <c r="CW949" s="235" cm="1">
        <f t="array" ref="CW949">$BI949 * IF($AH949&lt;=2,
SUMPRODUCT(INDEX($AR$23:$AT$61,,$AI949), INDEX($AU$23:$BA$61,,$AH949), 1 / ($BB$23:$BB$61*CU949), N($AQ$23:$AQ$61&gt;$AO949)),
SUMPRODUCT(INDEX($AR$23:$AT$46,,$AI949), INDEX($AU$23:$BA$46,,$AH949), 1 / ($BC$23:$BC$46*CU949), N($AQ$23:$AQ$46&gt;$AO949))
) / 1000</f>
        <v>0</v>
      </c>
      <c r="CX949" s="230">
        <f t="shared" si="826"/>
        <v>0</v>
      </c>
      <c r="CY949" s="238"/>
    </row>
    <row r="950" spans="1:103" s="76" customFormat="1" ht="14.25" customHeight="1" x14ac:dyDescent="0.2">
      <c r="A950" s="231" t="b">
        <f t="shared" si="830"/>
        <v>0</v>
      </c>
      <c r="B950" s="245">
        <v>928</v>
      </c>
      <c r="C950" s="258"/>
      <c r="D950" s="258"/>
      <c r="E950" s="246"/>
      <c r="F950" s="247" t="str">
        <f>IF(ISBLANK(E950), "", VLOOKUP(E950, Z!$A$2:$C$4127, 3, FALSE))</f>
        <v/>
      </c>
      <c r="G950" s="248"/>
      <c r="H950" s="248"/>
      <c r="I950" s="249"/>
      <c r="J950" s="250"/>
      <c r="K950" s="259"/>
      <c r="L950" s="260"/>
      <c r="M950" s="252" t="str" cm="1">
        <f t="array" ref="M950">INDEX(Trad, 53, $A$20)</f>
        <v>Verschmutzt</v>
      </c>
      <c r="N950" s="253"/>
      <c r="O950" s="253"/>
      <c r="P950" s="254"/>
      <c r="Q950" s="251"/>
      <c r="R950" s="251"/>
      <c r="S950" s="264">
        <f t="shared" si="801"/>
        <v>0</v>
      </c>
      <c r="T950" s="252" t="str" cm="1">
        <f t="array" ref="T950">INDEX(Trad, 52, $A$20)</f>
        <v>Sauber</v>
      </c>
      <c r="U950" s="253"/>
      <c r="V950" s="253"/>
      <c r="W950" s="254"/>
      <c r="X950" s="251"/>
      <c r="Y950" s="251"/>
      <c r="Z950" s="264">
        <f t="shared" si="802"/>
        <v>0</v>
      </c>
      <c r="AA950" s="261"/>
      <c r="AB950" s="258"/>
      <c r="AC950" s="246"/>
      <c r="AD950" s="247" t="str">
        <f>IF(ISBLANK(AC950), "", VLOOKUP(AC950, Z!$A$2:$C$4127, 3, FALSE))</f>
        <v/>
      </c>
      <c r="AE950" s="262"/>
      <c r="AF950" s="263">
        <f t="shared" si="803"/>
        <v>0</v>
      </c>
      <c r="AG950" s="238"/>
      <c r="AH950" s="229">
        <f t="shared" si="827"/>
        <v>1</v>
      </c>
      <c r="AI950" s="229">
        <f t="shared" si="828"/>
        <v>1</v>
      </c>
      <c r="AJ950" s="229">
        <f t="shared" si="829"/>
        <v>0</v>
      </c>
      <c r="AK950" s="229">
        <v>0</v>
      </c>
      <c r="AL950" s="229">
        <v>0</v>
      </c>
      <c r="AM950" s="229">
        <v>1</v>
      </c>
      <c r="AN950" s="229">
        <v>0</v>
      </c>
      <c r="AO950" s="229">
        <f t="shared" si="804"/>
        <v>-100</v>
      </c>
      <c r="AP950" s="238"/>
      <c r="AQ950" s="255"/>
      <c r="AR950" s="255"/>
      <c r="AS950" s="256"/>
      <c r="AT950" s="256"/>
      <c r="AU950" s="256"/>
      <c r="AV950" s="256"/>
      <c r="AW950" s="256"/>
      <c r="AX950" s="256"/>
      <c r="AY950" s="256"/>
      <c r="AZ950" s="256"/>
      <c r="BA950" s="256"/>
      <c r="BB950" s="256"/>
      <c r="BC950" s="256"/>
      <c r="BD950" s="238"/>
      <c r="BE950" s="229" cm="1">
        <f t="array" ref="BE950">IF(ISBLANK(R950), INDEX(Use, $AH950, 4) - AM950*INDEX(Use, $AH950, 6), R950)</f>
        <v>5</v>
      </c>
      <c r="BF950" s="229">
        <f t="shared" si="805"/>
        <v>30</v>
      </c>
      <c r="BG950" s="229">
        <f t="shared" si="831"/>
        <v>13</v>
      </c>
      <c r="BH950" s="229">
        <f t="shared" si="832"/>
        <v>0</v>
      </c>
      <c r="BI950" s="234" cm="1">
        <f t="array" ref="BI950">K950/IF($L950&gt;0, INDEX($AU$23:$BA$77, $L950+20, $AH950), 1)</f>
        <v>0</v>
      </c>
      <c r="BJ950" s="230">
        <f t="shared" si="806"/>
        <v>0</v>
      </c>
      <c r="BK950" s="229">
        <v>35</v>
      </c>
      <c r="BL950" s="230">
        <f t="shared" si="807"/>
        <v>48</v>
      </c>
      <c r="BM950" s="235">
        <f t="shared" si="808"/>
        <v>2.9108720930232557</v>
      </c>
      <c r="BN950" s="235" cm="1">
        <f t="array" ref="BN950">$BI950 * SUMPRODUCT(INDEX($AR$77:$AT$82,,$AI950),INDEX($AU$77:$BA$82,,$AH950), N($AQ$77:$AQ$82&gt;$AO950)) / BM950 / 1000</f>
        <v>0</v>
      </c>
      <c r="BO950" s="232">
        <f t="shared" si="833"/>
        <v>30</v>
      </c>
      <c r="BP950" s="230">
        <f t="shared" si="809"/>
        <v>43</v>
      </c>
      <c r="BQ950" s="235">
        <f t="shared" si="810"/>
        <v>3.2938815789473681</v>
      </c>
      <c r="BR950" s="235" cm="1">
        <f t="array" ref="BR950">$BI950 * IF($AH950&lt;=2,
SUMPRODUCT(INDEX($AR$72:$AT$76,,$AI950), INDEX($AU$72:$BA$76,,$AH950), 1 / ($BB$72:$BB$76*BQ950 + (1-$BB$72:$BB$76)*BM950), N($AQ$72:$AQ$76&gt;$AO950)),
SUMPRODUCT(INDEX($AR$67:$AT$76,,$AI950), INDEX($AU$67:$BA$76,,$AH950), 1 / ($BC$67:$BC$76*BQ950 + (1-$BC$67:$BC$76)*BM950), N($AQ$67:$AQ$76&gt;$AO950))
) / 1000</f>
        <v>0</v>
      </c>
      <c r="BS950" s="232">
        <f t="shared" si="834"/>
        <v>25</v>
      </c>
      <c r="BT950" s="230">
        <f t="shared" si="811"/>
        <v>38</v>
      </c>
      <c r="BU950" s="235">
        <f t="shared" si="812"/>
        <v>3.792954545454545</v>
      </c>
      <c r="BV950" s="235" cm="1">
        <f t="array" ref="BV950">$BI950 * IF($AH950&lt;=2,
SUMPRODUCT(INDEX($AR$67:$AT$71,,$AI950), INDEX($AU$67:$BA$71,,$AH950), 1 / ($BB$67:$BB$71*BU950 + (1-$BB$67:$BB$71)*BQ950), N($AQ$67:$AQ$71&gt;$AO950)),
SUMPRODUCT(INDEX($AR$57:$AT$66,,$AI950), INDEX($AU$57:$BA$66,,$AH950), 1 / ($BC$57:$BC$66*BU950 + (1-$BC$57:$BC$66)*BQ950), N($AQ$57:$AQ$66&gt;$AO950))
) / 1000</f>
        <v>0</v>
      </c>
      <c r="BW950" s="232">
        <f t="shared" si="835"/>
        <v>20</v>
      </c>
      <c r="BX950" s="230">
        <f t="shared" si="813"/>
        <v>33</v>
      </c>
      <c r="BY950" s="235">
        <f t="shared" si="814"/>
        <v>4.4702678571428569</v>
      </c>
      <c r="BZ950" s="235" cm="1">
        <f t="array" ref="BZ950">$BI950 * IF($AH950&lt;=2,
SUMPRODUCT(INDEX($AR$62:$AT$66,,$AI950), INDEX($AU$62:$BA$66,,$AH950), 1 / ($BB$62:$BB$66*BY950 + (1-$BB$62:$BB$66)*BU950), N($AQ$62:$AQ$66&gt;$AO950)),
SUMPRODUCT(INDEX($AR$47:$AT$56,,$AI950), INDEX($AU$47:$BA$56,,$AH950), 1 / ($BC$47:$BC$56*BY950 + (1-$BC$47:$BC$56)*BU950), N($AQ$47:$AQ$56&gt;$AO950))
) / 1000</f>
        <v>0</v>
      </c>
      <c r="CA950" s="235" cm="1">
        <f t="array" ref="CA950">$BI950 * IF($AH950&lt;=2,
SUMPRODUCT(INDEX($AR$23:$AT$61,,$AI950), INDEX($AU$23:$BA$61,,$AH950), 1 / ($BB$23:$BB$61*BY950), N($AQ$23:$AQ$61&gt;$AO950)),
SUMPRODUCT(INDEX($AR$23:$AT$46,,$AI950), INDEX($AU$23:$BA$46,,$AH950), 1 / ($BC$23:$BC$46*BY950), N($AQ$23:$AQ$46&gt;$AO950))
) / 1000</f>
        <v>0</v>
      </c>
      <c r="CB950" s="230">
        <f t="shared" si="815"/>
        <v>0</v>
      </c>
      <c r="CC950" s="238"/>
      <c r="CD950" s="229" cm="1">
        <f t="array" ref="CD950">IF(ISBLANK(Y950), INDEX(Use, $AH950, 4) - AN950*INDEX(Use, $AH950, 6) - (Q950-X950), Y950)</f>
        <v>7</v>
      </c>
      <c r="CE950" s="229">
        <f t="shared" si="816"/>
        <v>32</v>
      </c>
      <c r="CF950" s="230">
        <f t="shared" si="817"/>
        <v>0</v>
      </c>
      <c r="CG950" s="229">
        <v>35</v>
      </c>
      <c r="CH950" s="230">
        <f t="shared" si="818"/>
        <v>48</v>
      </c>
      <c r="CI950" s="235">
        <f t="shared" si="819"/>
        <v>3.0748170731707316</v>
      </c>
      <c r="CJ950" s="235" cm="1">
        <f t="array" ref="CJ950">$BI950 * SUMPRODUCT(INDEX($AR$77:$AT$82,,$AI950),INDEX($AU$77:$BA$82,,$AH950), N($AQ$77:$AQ$82&gt;$AO950)) / CI950 / 1000</f>
        <v>0</v>
      </c>
      <c r="CK950" s="232">
        <f t="shared" si="836"/>
        <v>30</v>
      </c>
      <c r="CL950" s="230">
        <f t="shared" si="820"/>
        <v>43</v>
      </c>
      <c r="CM950" s="235">
        <f t="shared" si="821"/>
        <v>3.5018750000000001</v>
      </c>
      <c r="CN950" s="235" cm="1">
        <f t="array" ref="CN950">$BI950 * IF($AH950&lt;=2,
SUMPRODUCT(INDEX($AR$72:$AT$76,,$AI950), INDEX($AU$72:$BA$76,,$AH950), 1 / ($BB$72:$BB$76*CM950 + (1-$BB$72:$BB$76)*CI950), N($AQ$72:$AQ$76&gt;$AO950)),
SUMPRODUCT(INDEX($AR$67:$AT$76,,$AI950), INDEX($AU$67:$BA$76,,$AH950), 1 / ($BC$67:$BC$76*CM950 + (1-$BC$67:$BC$76)*CI950), N($AQ$67:$AQ$76&gt;$AO950))
) / 1000</f>
        <v>0</v>
      </c>
      <c r="CO950" s="232">
        <f t="shared" si="837"/>
        <v>25</v>
      </c>
      <c r="CP950" s="230">
        <f t="shared" si="822"/>
        <v>38</v>
      </c>
      <c r="CQ950" s="235">
        <f t="shared" si="823"/>
        <v>4.0666935483870965</v>
      </c>
      <c r="CR950" s="235" cm="1">
        <f t="array" ref="CR950">$BI950 * IF($AH950&lt;=2,
SUMPRODUCT(INDEX($AR$67:$AT$71,,$AI950), INDEX($AU$67:$BA$71,,$AH950), 1 / ($BB$67:$BB$71*CQ950 + (1-$BB$67:$BB$71)*CM950), N($AQ$67:$AQ$71&gt;$AO950)),
SUMPRODUCT(INDEX($AR$57:$AT$66,,$AI950), INDEX($AU$57:$BA$66,,$AH950), 1 / ($BC$57:$BC$66*CQ950 + (1-$BC$57:$BC$66)*CM950), N($AQ$57:$AQ$66&gt;$AO950))
) / 1000</f>
        <v>0</v>
      </c>
      <c r="CS950" s="232">
        <f t="shared" si="838"/>
        <v>20</v>
      </c>
      <c r="CT950" s="230">
        <f t="shared" si="824"/>
        <v>33</v>
      </c>
      <c r="CU950" s="235">
        <f t="shared" si="825"/>
        <v>4.8487499999999999</v>
      </c>
      <c r="CV950" s="235" cm="1">
        <f t="array" ref="CV950">$BI950 * IF($AH950&lt;=2,
SUMPRODUCT(INDEX($AR$62:$AT$66,,$AI950), INDEX($AU$62:$BA$66,,$AH950), 1 / ($BB$62:$BB$66*CU950 + (1-$BB$62:$BB$66)*CQ950), N($AQ$62:$AQ$66&gt;$AO950)),
SUMPRODUCT(INDEX($AR$47:$AT$56,,$AI950), INDEX($AU$47:$BA$56,,$AH950), 1 / ($BC$47:$BC$56*CU950 + (1-$BC$47:$BC$56)*CQ950), N($AQ$47:$AQ$56&gt;$AO950))
) / 1000</f>
        <v>0</v>
      </c>
      <c r="CW950" s="235" cm="1">
        <f t="array" ref="CW950">$BI950 * IF($AH950&lt;=2,
SUMPRODUCT(INDEX($AR$23:$AT$61,,$AI950), INDEX($AU$23:$BA$61,,$AH950), 1 / ($BB$23:$BB$61*CU950), N($AQ$23:$AQ$61&gt;$AO950)),
SUMPRODUCT(INDEX($AR$23:$AT$46,,$AI950), INDEX($AU$23:$BA$46,,$AH950), 1 / ($BC$23:$BC$46*CU950), N($AQ$23:$AQ$46&gt;$AO950))
) / 1000</f>
        <v>0</v>
      </c>
      <c r="CX950" s="230">
        <f t="shared" si="826"/>
        <v>0</v>
      </c>
      <c r="CY950" s="238"/>
    </row>
    <row r="951" spans="1:103" s="76" customFormat="1" ht="14.25" customHeight="1" x14ac:dyDescent="0.2">
      <c r="A951" s="231" t="b">
        <f t="shared" si="830"/>
        <v>0</v>
      </c>
      <c r="B951" s="245">
        <v>929</v>
      </c>
      <c r="C951" s="258"/>
      <c r="D951" s="258"/>
      <c r="E951" s="246"/>
      <c r="F951" s="247" t="str">
        <f>IF(ISBLANK(E951), "", VLOOKUP(E951, Z!$A$2:$C$4127, 3, FALSE))</f>
        <v/>
      </c>
      <c r="G951" s="248"/>
      <c r="H951" s="248"/>
      <c r="I951" s="249"/>
      <c r="J951" s="250"/>
      <c r="K951" s="259"/>
      <c r="L951" s="260"/>
      <c r="M951" s="252" t="str" cm="1">
        <f t="array" ref="M951">INDEX(Trad, 53, $A$20)</f>
        <v>Verschmutzt</v>
      </c>
      <c r="N951" s="253"/>
      <c r="O951" s="253"/>
      <c r="P951" s="254"/>
      <c r="Q951" s="251"/>
      <c r="R951" s="251"/>
      <c r="S951" s="264">
        <f t="shared" si="801"/>
        <v>0</v>
      </c>
      <c r="T951" s="252" t="str" cm="1">
        <f t="array" ref="T951">INDEX(Trad, 52, $A$20)</f>
        <v>Sauber</v>
      </c>
      <c r="U951" s="253"/>
      <c r="V951" s="253"/>
      <c r="W951" s="254"/>
      <c r="X951" s="251"/>
      <c r="Y951" s="251"/>
      <c r="Z951" s="264">
        <f t="shared" si="802"/>
        <v>0</v>
      </c>
      <c r="AA951" s="261"/>
      <c r="AB951" s="258"/>
      <c r="AC951" s="246"/>
      <c r="AD951" s="247" t="str">
        <f>IF(ISBLANK(AC951), "", VLOOKUP(AC951, Z!$A$2:$C$4127, 3, FALSE))</f>
        <v/>
      </c>
      <c r="AE951" s="262"/>
      <c r="AF951" s="263">
        <f t="shared" si="803"/>
        <v>0</v>
      </c>
      <c r="AG951" s="238"/>
      <c r="AH951" s="229">
        <f t="shared" si="827"/>
        <v>1</v>
      </c>
      <c r="AI951" s="229">
        <f t="shared" si="828"/>
        <v>1</v>
      </c>
      <c r="AJ951" s="229">
        <f t="shared" si="829"/>
        <v>0</v>
      </c>
      <c r="AK951" s="229">
        <v>0</v>
      </c>
      <c r="AL951" s="229">
        <v>0</v>
      </c>
      <c r="AM951" s="229">
        <v>1</v>
      </c>
      <c r="AN951" s="229">
        <v>0</v>
      </c>
      <c r="AO951" s="229">
        <f t="shared" si="804"/>
        <v>-100</v>
      </c>
      <c r="AP951" s="238"/>
      <c r="AQ951" s="255"/>
      <c r="AR951" s="255"/>
      <c r="AS951" s="256"/>
      <c r="AT951" s="256"/>
      <c r="AU951" s="256"/>
      <c r="AV951" s="256"/>
      <c r="AW951" s="256"/>
      <c r="AX951" s="256"/>
      <c r="AY951" s="256"/>
      <c r="AZ951" s="256"/>
      <c r="BA951" s="256"/>
      <c r="BB951" s="256"/>
      <c r="BC951" s="256"/>
      <c r="BD951" s="238"/>
      <c r="BE951" s="229" cm="1">
        <f t="array" ref="BE951">IF(ISBLANK(R951), INDEX(Use, $AH951, 4) - AM951*INDEX(Use, $AH951, 6), R951)</f>
        <v>5</v>
      </c>
      <c r="BF951" s="229">
        <f t="shared" si="805"/>
        <v>30</v>
      </c>
      <c r="BG951" s="229">
        <f t="shared" si="831"/>
        <v>13</v>
      </c>
      <c r="BH951" s="229">
        <f t="shared" si="832"/>
        <v>0</v>
      </c>
      <c r="BI951" s="234" cm="1">
        <f t="array" ref="BI951">K951/IF($L951&gt;0, INDEX($AU$23:$BA$77, $L951+20, $AH951), 1)</f>
        <v>0</v>
      </c>
      <c r="BJ951" s="230">
        <f t="shared" si="806"/>
        <v>0</v>
      </c>
      <c r="BK951" s="229">
        <v>35</v>
      </c>
      <c r="BL951" s="230">
        <f t="shared" si="807"/>
        <v>48</v>
      </c>
      <c r="BM951" s="235">
        <f t="shared" si="808"/>
        <v>2.9108720930232557</v>
      </c>
      <c r="BN951" s="235" cm="1">
        <f t="array" ref="BN951">$BI951 * SUMPRODUCT(INDEX($AR$77:$AT$82,,$AI951),INDEX($AU$77:$BA$82,,$AH951), N($AQ$77:$AQ$82&gt;$AO951)) / BM951 / 1000</f>
        <v>0</v>
      </c>
      <c r="BO951" s="232">
        <f t="shared" si="833"/>
        <v>30</v>
      </c>
      <c r="BP951" s="230">
        <f t="shared" si="809"/>
        <v>43</v>
      </c>
      <c r="BQ951" s="235">
        <f t="shared" si="810"/>
        <v>3.2938815789473681</v>
      </c>
      <c r="BR951" s="235" cm="1">
        <f t="array" ref="BR951">$BI951 * IF($AH951&lt;=2,
SUMPRODUCT(INDEX($AR$72:$AT$76,,$AI951), INDEX($AU$72:$BA$76,,$AH951), 1 / ($BB$72:$BB$76*BQ951 + (1-$BB$72:$BB$76)*BM951), N($AQ$72:$AQ$76&gt;$AO951)),
SUMPRODUCT(INDEX($AR$67:$AT$76,,$AI951), INDEX($AU$67:$BA$76,,$AH951), 1 / ($BC$67:$BC$76*BQ951 + (1-$BC$67:$BC$76)*BM951), N($AQ$67:$AQ$76&gt;$AO951))
) / 1000</f>
        <v>0</v>
      </c>
      <c r="BS951" s="232">
        <f t="shared" si="834"/>
        <v>25</v>
      </c>
      <c r="BT951" s="230">
        <f t="shared" si="811"/>
        <v>38</v>
      </c>
      <c r="BU951" s="235">
        <f t="shared" si="812"/>
        <v>3.792954545454545</v>
      </c>
      <c r="BV951" s="235" cm="1">
        <f t="array" ref="BV951">$BI951 * IF($AH951&lt;=2,
SUMPRODUCT(INDEX($AR$67:$AT$71,,$AI951), INDEX($AU$67:$BA$71,,$AH951), 1 / ($BB$67:$BB$71*BU951 + (1-$BB$67:$BB$71)*BQ951), N($AQ$67:$AQ$71&gt;$AO951)),
SUMPRODUCT(INDEX($AR$57:$AT$66,,$AI951), INDEX($AU$57:$BA$66,,$AH951), 1 / ($BC$57:$BC$66*BU951 + (1-$BC$57:$BC$66)*BQ951), N($AQ$57:$AQ$66&gt;$AO951))
) / 1000</f>
        <v>0</v>
      </c>
      <c r="BW951" s="232">
        <f t="shared" si="835"/>
        <v>20</v>
      </c>
      <c r="BX951" s="230">
        <f t="shared" si="813"/>
        <v>33</v>
      </c>
      <c r="BY951" s="235">
        <f t="shared" si="814"/>
        <v>4.4702678571428569</v>
      </c>
      <c r="BZ951" s="235" cm="1">
        <f t="array" ref="BZ951">$BI951 * IF($AH951&lt;=2,
SUMPRODUCT(INDEX($AR$62:$AT$66,,$AI951), INDEX($AU$62:$BA$66,,$AH951), 1 / ($BB$62:$BB$66*BY951 + (1-$BB$62:$BB$66)*BU951), N($AQ$62:$AQ$66&gt;$AO951)),
SUMPRODUCT(INDEX($AR$47:$AT$56,,$AI951), INDEX($AU$47:$BA$56,,$AH951), 1 / ($BC$47:$BC$56*BY951 + (1-$BC$47:$BC$56)*BU951), N($AQ$47:$AQ$56&gt;$AO951))
) / 1000</f>
        <v>0</v>
      </c>
      <c r="CA951" s="235" cm="1">
        <f t="array" ref="CA951">$BI951 * IF($AH951&lt;=2,
SUMPRODUCT(INDEX($AR$23:$AT$61,,$AI951), INDEX($AU$23:$BA$61,,$AH951), 1 / ($BB$23:$BB$61*BY951), N($AQ$23:$AQ$61&gt;$AO951)),
SUMPRODUCT(INDEX($AR$23:$AT$46,,$AI951), INDEX($AU$23:$BA$46,,$AH951), 1 / ($BC$23:$BC$46*BY951), N($AQ$23:$AQ$46&gt;$AO951))
) / 1000</f>
        <v>0</v>
      </c>
      <c r="CB951" s="230">
        <f t="shared" si="815"/>
        <v>0</v>
      </c>
      <c r="CC951" s="238"/>
      <c r="CD951" s="229" cm="1">
        <f t="array" ref="CD951">IF(ISBLANK(Y951), INDEX(Use, $AH951, 4) - AN951*INDEX(Use, $AH951, 6) - (Q951-X951), Y951)</f>
        <v>7</v>
      </c>
      <c r="CE951" s="229">
        <f t="shared" si="816"/>
        <v>32</v>
      </c>
      <c r="CF951" s="230">
        <f t="shared" si="817"/>
        <v>0</v>
      </c>
      <c r="CG951" s="229">
        <v>35</v>
      </c>
      <c r="CH951" s="230">
        <f t="shared" si="818"/>
        <v>48</v>
      </c>
      <c r="CI951" s="235">
        <f t="shared" si="819"/>
        <v>3.0748170731707316</v>
      </c>
      <c r="CJ951" s="235" cm="1">
        <f t="array" ref="CJ951">$BI951 * SUMPRODUCT(INDEX($AR$77:$AT$82,,$AI951),INDEX($AU$77:$BA$82,,$AH951), N($AQ$77:$AQ$82&gt;$AO951)) / CI951 / 1000</f>
        <v>0</v>
      </c>
      <c r="CK951" s="232">
        <f t="shared" si="836"/>
        <v>30</v>
      </c>
      <c r="CL951" s="230">
        <f t="shared" si="820"/>
        <v>43</v>
      </c>
      <c r="CM951" s="235">
        <f t="shared" si="821"/>
        <v>3.5018750000000001</v>
      </c>
      <c r="CN951" s="235" cm="1">
        <f t="array" ref="CN951">$BI951 * IF($AH951&lt;=2,
SUMPRODUCT(INDEX($AR$72:$AT$76,,$AI951), INDEX($AU$72:$BA$76,,$AH951), 1 / ($BB$72:$BB$76*CM951 + (1-$BB$72:$BB$76)*CI951), N($AQ$72:$AQ$76&gt;$AO951)),
SUMPRODUCT(INDEX($AR$67:$AT$76,,$AI951), INDEX($AU$67:$BA$76,,$AH951), 1 / ($BC$67:$BC$76*CM951 + (1-$BC$67:$BC$76)*CI951), N($AQ$67:$AQ$76&gt;$AO951))
) / 1000</f>
        <v>0</v>
      </c>
      <c r="CO951" s="232">
        <f t="shared" si="837"/>
        <v>25</v>
      </c>
      <c r="CP951" s="230">
        <f t="shared" si="822"/>
        <v>38</v>
      </c>
      <c r="CQ951" s="235">
        <f t="shared" si="823"/>
        <v>4.0666935483870965</v>
      </c>
      <c r="CR951" s="235" cm="1">
        <f t="array" ref="CR951">$BI951 * IF($AH951&lt;=2,
SUMPRODUCT(INDEX($AR$67:$AT$71,,$AI951), INDEX($AU$67:$BA$71,,$AH951), 1 / ($BB$67:$BB$71*CQ951 + (1-$BB$67:$BB$71)*CM951), N($AQ$67:$AQ$71&gt;$AO951)),
SUMPRODUCT(INDEX($AR$57:$AT$66,,$AI951), INDEX($AU$57:$BA$66,,$AH951), 1 / ($BC$57:$BC$66*CQ951 + (1-$BC$57:$BC$66)*CM951), N($AQ$57:$AQ$66&gt;$AO951))
) / 1000</f>
        <v>0</v>
      </c>
      <c r="CS951" s="232">
        <f t="shared" si="838"/>
        <v>20</v>
      </c>
      <c r="CT951" s="230">
        <f t="shared" si="824"/>
        <v>33</v>
      </c>
      <c r="CU951" s="235">
        <f t="shared" si="825"/>
        <v>4.8487499999999999</v>
      </c>
      <c r="CV951" s="235" cm="1">
        <f t="array" ref="CV951">$BI951 * IF($AH951&lt;=2,
SUMPRODUCT(INDEX($AR$62:$AT$66,,$AI951), INDEX($AU$62:$BA$66,,$AH951), 1 / ($BB$62:$BB$66*CU951 + (1-$BB$62:$BB$66)*CQ951), N($AQ$62:$AQ$66&gt;$AO951)),
SUMPRODUCT(INDEX($AR$47:$AT$56,,$AI951), INDEX($AU$47:$BA$56,,$AH951), 1 / ($BC$47:$BC$56*CU951 + (1-$BC$47:$BC$56)*CQ951), N($AQ$47:$AQ$56&gt;$AO951))
) / 1000</f>
        <v>0</v>
      </c>
      <c r="CW951" s="235" cm="1">
        <f t="array" ref="CW951">$BI951 * IF($AH951&lt;=2,
SUMPRODUCT(INDEX($AR$23:$AT$61,,$AI951), INDEX($AU$23:$BA$61,,$AH951), 1 / ($BB$23:$BB$61*CU951), N($AQ$23:$AQ$61&gt;$AO951)),
SUMPRODUCT(INDEX($AR$23:$AT$46,,$AI951), INDEX($AU$23:$BA$46,,$AH951), 1 / ($BC$23:$BC$46*CU951), N($AQ$23:$AQ$46&gt;$AO951))
) / 1000</f>
        <v>0</v>
      </c>
      <c r="CX951" s="230">
        <f t="shared" si="826"/>
        <v>0</v>
      </c>
      <c r="CY951" s="238"/>
    </row>
    <row r="952" spans="1:103" s="76" customFormat="1" ht="14.25" customHeight="1" x14ac:dyDescent="0.2">
      <c r="A952" s="231" t="b">
        <f t="shared" si="830"/>
        <v>0</v>
      </c>
      <c r="B952" s="245">
        <v>930</v>
      </c>
      <c r="C952" s="258"/>
      <c r="D952" s="258"/>
      <c r="E952" s="246"/>
      <c r="F952" s="247" t="str">
        <f>IF(ISBLANK(E952), "", VLOOKUP(E952, Z!$A$2:$C$4127, 3, FALSE))</f>
        <v/>
      </c>
      <c r="G952" s="248"/>
      <c r="H952" s="248"/>
      <c r="I952" s="249"/>
      <c r="J952" s="250"/>
      <c r="K952" s="259"/>
      <c r="L952" s="260"/>
      <c r="M952" s="252" t="str" cm="1">
        <f t="array" ref="M952">INDEX(Trad, 53, $A$20)</f>
        <v>Verschmutzt</v>
      </c>
      <c r="N952" s="253"/>
      <c r="O952" s="253"/>
      <c r="P952" s="254"/>
      <c r="Q952" s="251"/>
      <c r="R952" s="251"/>
      <c r="S952" s="264">
        <f t="shared" si="801"/>
        <v>0</v>
      </c>
      <c r="T952" s="252" t="str" cm="1">
        <f t="array" ref="T952">INDEX(Trad, 52, $A$20)</f>
        <v>Sauber</v>
      </c>
      <c r="U952" s="253"/>
      <c r="V952" s="253"/>
      <c r="W952" s="254"/>
      <c r="X952" s="251"/>
      <c r="Y952" s="251"/>
      <c r="Z952" s="264">
        <f t="shared" si="802"/>
        <v>0</v>
      </c>
      <c r="AA952" s="261"/>
      <c r="AB952" s="258"/>
      <c r="AC952" s="246"/>
      <c r="AD952" s="247" t="str">
        <f>IF(ISBLANK(AC952), "", VLOOKUP(AC952, Z!$A$2:$C$4127, 3, FALSE))</f>
        <v/>
      </c>
      <c r="AE952" s="262"/>
      <c r="AF952" s="263">
        <f t="shared" si="803"/>
        <v>0</v>
      </c>
      <c r="AG952" s="238"/>
      <c r="AH952" s="229">
        <f t="shared" si="827"/>
        <v>1</v>
      </c>
      <c r="AI952" s="229">
        <f t="shared" si="828"/>
        <v>1</v>
      </c>
      <c r="AJ952" s="229">
        <f t="shared" si="829"/>
        <v>0</v>
      </c>
      <c r="AK952" s="229">
        <v>0</v>
      </c>
      <c r="AL952" s="229">
        <v>0</v>
      </c>
      <c r="AM952" s="229">
        <v>1</v>
      </c>
      <c r="AN952" s="229">
        <v>0</v>
      </c>
      <c r="AO952" s="229">
        <f t="shared" si="804"/>
        <v>-100</v>
      </c>
      <c r="AP952" s="238"/>
      <c r="AQ952" s="255"/>
      <c r="AR952" s="255"/>
      <c r="AS952" s="256"/>
      <c r="AT952" s="256"/>
      <c r="AU952" s="256"/>
      <c r="AV952" s="256"/>
      <c r="AW952" s="256"/>
      <c r="AX952" s="256"/>
      <c r="AY952" s="256"/>
      <c r="AZ952" s="256"/>
      <c r="BA952" s="256"/>
      <c r="BB952" s="256"/>
      <c r="BC952" s="256"/>
      <c r="BD952" s="238"/>
      <c r="BE952" s="229" cm="1">
        <f t="array" ref="BE952">IF(ISBLANK(R952), INDEX(Use, $AH952, 4) - AM952*INDEX(Use, $AH952, 6), R952)</f>
        <v>5</v>
      </c>
      <c r="BF952" s="229">
        <f t="shared" si="805"/>
        <v>30</v>
      </c>
      <c r="BG952" s="229">
        <f t="shared" si="831"/>
        <v>13</v>
      </c>
      <c r="BH952" s="229">
        <f t="shared" si="832"/>
        <v>0</v>
      </c>
      <c r="BI952" s="234" cm="1">
        <f t="array" ref="BI952">K952/IF($L952&gt;0, INDEX($AU$23:$BA$77, $L952+20, $AH952), 1)</f>
        <v>0</v>
      </c>
      <c r="BJ952" s="230">
        <f t="shared" si="806"/>
        <v>0</v>
      </c>
      <c r="BK952" s="229">
        <v>35</v>
      </c>
      <c r="BL952" s="230">
        <f t="shared" si="807"/>
        <v>48</v>
      </c>
      <c r="BM952" s="235">
        <f t="shared" si="808"/>
        <v>2.9108720930232557</v>
      </c>
      <c r="BN952" s="235" cm="1">
        <f t="array" ref="BN952">$BI952 * SUMPRODUCT(INDEX($AR$77:$AT$82,,$AI952),INDEX($AU$77:$BA$82,,$AH952), N($AQ$77:$AQ$82&gt;$AO952)) / BM952 / 1000</f>
        <v>0</v>
      </c>
      <c r="BO952" s="232">
        <f t="shared" si="833"/>
        <v>30</v>
      </c>
      <c r="BP952" s="230">
        <f t="shared" si="809"/>
        <v>43</v>
      </c>
      <c r="BQ952" s="235">
        <f t="shared" si="810"/>
        <v>3.2938815789473681</v>
      </c>
      <c r="BR952" s="235" cm="1">
        <f t="array" ref="BR952">$BI952 * IF($AH952&lt;=2,
SUMPRODUCT(INDEX($AR$72:$AT$76,,$AI952), INDEX($AU$72:$BA$76,,$AH952), 1 / ($BB$72:$BB$76*BQ952 + (1-$BB$72:$BB$76)*BM952), N($AQ$72:$AQ$76&gt;$AO952)),
SUMPRODUCT(INDEX($AR$67:$AT$76,,$AI952), INDEX($AU$67:$BA$76,,$AH952), 1 / ($BC$67:$BC$76*BQ952 + (1-$BC$67:$BC$76)*BM952), N($AQ$67:$AQ$76&gt;$AO952))
) / 1000</f>
        <v>0</v>
      </c>
      <c r="BS952" s="232">
        <f t="shared" si="834"/>
        <v>25</v>
      </c>
      <c r="BT952" s="230">
        <f t="shared" si="811"/>
        <v>38</v>
      </c>
      <c r="BU952" s="235">
        <f t="shared" si="812"/>
        <v>3.792954545454545</v>
      </c>
      <c r="BV952" s="235" cm="1">
        <f t="array" ref="BV952">$BI952 * IF($AH952&lt;=2,
SUMPRODUCT(INDEX($AR$67:$AT$71,,$AI952), INDEX($AU$67:$BA$71,,$AH952), 1 / ($BB$67:$BB$71*BU952 + (1-$BB$67:$BB$71)*BQ952), N($AQ$67:$AQ$71&gt;$AO952)),
SUMPRODUCT(INDEX($AR$57:$AT$66,,$AI952), INDEX($AU$57:$BA$66,,$AH952), 1 / ($BC$57:$BC$66*BU952 + (1-$BC$57:$BC$66)*BQ952), N($AQ$57:$AQ$66&gt;$AO952))
) / 1000</f>
        <v>0</v>
      </c>
      <c r="BW952" s="232">
        <f t="shared" si="835"/>
        <v>20</v>
      </c>
      <c r="BX952" s="230">
        <f t="shared" si="813"/>
        <v>33</v>
      </c>
      <c r="BY952" s="235">
        <f t="shared" si="814"/>
        <v>4.4702678571428569</v>
      </c>
      <c r="BZ952" s="235" cm="1">
        <f t="array" ref="BZ952">$BI952 * IF($AH952&lt;=2,
SUMPRODUCT(INDEX($AR$62:$AT$66,,$AI952), INDEX($AU$62:$BA$66,,$AH952), 1 / ($BB$62:$BB$66*BY952 + (1-$BB$62:$BB$66)*BU952), N($AQ$62:$AQ$66&gt;$AO952)),
SUMPRODUCT(INDEX($AR$47:$AT$56,,$AI952), INDEX($AU$47:$BA$56,,$AH952), 1 / ($BC$47:$BC$56*BY952 + (1-$BC$47:$BC$56)*BU952), N($AQ$47:$AQ$56&gt;$AO952))
) / 1000</f>
        <v>0</v>
      </c>
      <c r="CA952" s="235" cm="1">
        <f t="array" ref="CA952">$BI952 * IF($AH952&lt;=2,
SUMPRODUCT(INDEX($AR$23:$AT$61,,$AI952), INDEX($AU$23:$BA$61,,$AH952), 1 / ($BB$23:$BB$61*BY952), N($AQ$23:$AQ$61&gt;$AO952)),
SUMPRODUCT(INDEX($AR$23:$AT$46,,$AI952), INDEX($AU$23:$BA$46,,$AH952), 1 / ($BC$23:$BC$46*BY952), N($AQ$23:$AQ$46&gt;$AO952))
) / 1000</f>
        <v>0</v>
      </c>
      <c r="CB952" s="230">
        <f t="shared" si="815"/>
        <v>0</v>
      </c>
      <c r="CC952" s="238"/>
      <c r="CD952" s="229" cm="1">
        <f t="array" ref="CD952">IF(ISBLANK(Y952), INDEX(Use, $AH952, 4) - AN952*INDEX(Use, $AH952, 6) - (Q952-X952), Y952)</f>
        <v>7</v>
      </c>
      <c r="CE952" s="229">
        <f t="shared" si="816"/>
        <v>32</v>
      </c>
      <c r="CF952" s="230">
        <f t="shared" si="817"/>
        <v>0</v>
      </c>
      <c r="CG952" s="229">
        <v>35</v>
      </c>
      <c r="CH952" s="230">
        <f t="shared" si="818"/>
        <v>48</v>
      </c>
      <c r="CI952" s="235">
        <f t="shared" si="819"/>
        <v>3.0748170731707316</v>
      </c>
      <c r="CJ952" s="235" cm="1">
        <f t="array" ref="CJ952">$BI952 * SUMPRODUCT(INDEX($AR$77:$AT$82,,$AI952),INDEX($AU$77:$BA$82,,$AH952), N($AQ$77:$AQ$82&gt;$AO952)) / CI952 / 1000</f>
        <v>0</v>
      </c>
      <c r="CK952" s="232">
        <f t="shared" si="836"/>
        <v>30</v>
      </c>
      <c r="CL952" s="230">
        <f t="shared" si="820"/>
        <v>43</v>
      </c>
      <c r="CM952" s="235">
        <f t="shared" si="821"/>
        <v>3.5018750000000001</v>
      </c>
      <c r="CN952" s="235" cm="1">
        <f t="array" ref="CN952">$BI952 * IF($AH952&lt;=2,
SUMPRODUCT(INDEX($AR$72:$AT$76,,$AI952), INDEX($AU$72:$BA$76,,$AH952), 1 / ($BB$72:$BB$76*CM952 + (1-$BB$72:$BB$76)*CI952), N($AQ$72:$AQ$76&gt;$AO952)),
SUMPRODUCT(INDEX($AR$67:$AT$76,,$AI952), INDEX($AU$67:$BA$76,,$AH952), 1 / ($BC$67:$BC$76*CM952 + (1-$BC$67:$BC$76)*CI952), N($AQ$67:$AQ$76&gt;$AO952))
) / 1000</f>
        <v>0</v>
      </c>
      <c r="CO952" s="232">
        <f t="shared" si="837"/>
        <v>25</v>
      </c>
      <c r="CP952" s="230">
        <f t="shared" si="822"/>
        <v>38</v>
      </c>
      <c r="CQ952" s="235">
        <f t="shared" si="823"/>
        <v>4.0666935483870965</v>
      </c>
      <c r="CR952" s="235" cm="1">
        <f t="array" ref="CR952">$BI952 * IF($AH952&lt;=2,
SUMPRODUCT(INDEX($AR$67:$AT$71,,$AI952), INDEX($AU$67:$BA$71,,$AH952), 1 / ($BB$67:$BB$71*CQ952 + (1-$BB$67:$BB$71)*CM952), N($AQ$67:$AQ$71&gt;$AO952)),
SUMPRODUCT(INDEX($AR$57:$AT$66,,$AI952), INDEX($AU$57:$BA$66,,$AH952), 1 / ($BC$57:$BC$66*CQ952 + (1-$BC$57:$BC$66)*CM952), N($AQ$57:$AQ$66&gt;$AO952))
) / 1000</f>
        <v>0</v>
      </c>
      <c r="CS952" s="232">
        <f t="shared" si="838"/>
        <v>20</v>
      </c>
      <c r="CT952" s="230">
        <f t="shared" si="824"/>
        <v>33</v>
      </c>
      <c r="CU952" s="235">
        <f t="shared" si="825"/>
        <v>4.8487499999999999</v>
      </c>
      <c r="CV952" s="235" cm="1">
        <f t="array" ref="CV952">$BI952 * IF($AH952&lt;=2,
SUMPRODUCT(INDEX($AR$62:$AT$66,,$AI952), INDEX($AU$62:$BA$66,,$AH952), 1 / ($BB$62:$BB$66*CU952 + (1-$BB$62:$BB$66)*CQ952), N($AQ$62:$AQ$66&gt;$AO952)),
SUMPRODUCT(INDEX($AR$47:$AT$56,,$AI952), INDEX($AU$47:$BA$56,,$AH952), 1 / ($BC$47:$BC$56*CU952 + (1-$BC$47:$BC$56)*CQ952), N($AQ$47:$AQ$56&gt;$AO952))
) / 1000</f>
        <v>0</v>
      </c>
      <c r="CW952" s="235" cm="1">
        <f t="array" ref="CW952">$BI952 * IF($AH952&lt;=2,
SUMPRODUCT(INDEX($AR$23:$AT$61,,$AI952), INDEX($AU$23:$BA$61,,$AH952), 1 / ($BB$23:$BB$61*CU952), N($AQ$23:$AQ$61&gt;$AO952)),
SUMPRODUCT(INDEX($AR$23:$AT$46,,$AI952), INDEX($AU$23:$BA$46,,$AH952), 1 / ($BC$23:$BC$46*CU952), N($AQ$23:$AQ$46&gt;$AO952))
) / 1000</f>
        <v>0</v>
      </c>
      <c r="CX952" s="230">
        <f t="shared" si="826"/>
        <v>0</v>
      </c>
      <c r="CY952" s="238"/>
    </row>
    <row r="953" spans="1:103" s="76" customFormat="1" ht="14.25" customHeight="1" x14ac:dyDescent="0.2">
      <c r="A953" s="231" t="b">
        <f t="shared" si="830"/>
        <v>0</v>
      </c>
      <c r="B953" s="245">
        <v>931</v>
      </c>
      <c r="C953" s="258"/>
      <c r="D953" s="258"/>
      <c r="E953" s="246"/>
      <c r="F953" s="247" t="str">
        <f>IF(ISBLANK(E953), "", VLOOKUP(E953, Z!$A$2:$C$4127, 3, FALSE))</f>
        <v/>
      </c>
      <c r="G953" s="248"/>
      <c r="H953" s="248"/>
      <c r="I953" s="249"/>
      <c r="J953" s="250"/>
      <c r="K953" s="259"/>
      <c r="L953" s="260"/>
      <c r="M953" s="252" t="str" cm="1">
        <f t="array" ref="M953">INDEX(Trad, 53, $A$20)</f>
        <v>Verschmutzt</v>
      </c>
      <c r="N953" s="253"/>
      <c r="O953" s="253"/>
      <c r="P953" s="254"/>
      <c r="Q953" s="251"/>
      <c r="R953" s="251"/>
      <c r="S953" s="264">
        <f t="shared" si="801"/>
        <v>0</v>
      </c>
      <c r="T953" s="252" t="str" cm="1">
        <f t="array" ref="T953">INDEX(Trad, 52, $A$20)</f>
        <v>Sauber</v>
      </c>
      <c r="U953" s="253"/>
      <c r="V953" s="253"/>
      <c r="W953" s="254"/>
      <c r="X953" s="251"/>
      <c r="Y953" s="251"/>
      <c r="Z953" s="264">
        <f t="shared" si="802"/>
        <v>0</v>
      </c>
      <c r="AA953" s="261"/>
      <c r="AB953" s="258"/>
      <c r="AC953" s="246"/>
      <c r="AD953" s="247" t="str">
        <f>IF(ISBLANK(AC953), "", VLOOKUP(AC953, Z!$A$2:$C$4127, 3, FALSE))</f>
        <v/>
      </c>
      <c r="AE953" s="262"/>
      <c r="AF953" s="263">
        <f t="shared" si="803"/>
        <v>0</v>
      </c>
      <c r="AG953" s="238"/>
      <c r="AH953" s="229">
        <f t="shared" si="827"/>
        <v>1</v>
      </c>
      <c r="AI953" s="229">
        <f t="shared" si="828"/>
        <v>1</v>
      </c>
      <c r="AJ953" s="229">
        <f t="shared" si="829"/>
        <v>0</v>
      </c>
      <c r="AK953" s="229">
        <v>0</v>
      </c>
      <c r="AL953" s="229">
        <v>0</v>
      </c>
      <c r="AM953" s="229">
        <v>1</v>
      </c>
      <c r="AN953" s="229">
        <v>0</v>
      </c>
      <c r="AO953" s="229">
        <f t="shared" si="804"/>
        <v>-100</v>
      </c>
      <c r="AP953" s="238"/>
      <c r="AQ953" s="255"/>
      <c r="AR953" s="255"/>
      <c r="AS953" s="256"/>
      <c r="AT953" s="256"/>
      <c r="AU953" s="256"/>
      <c r="AV953" s="256"/>
      <c r="AW953" s="256"/>
      <c r="AX953" s="256"/>
      <c r="AY953" s="256"/>
      <c r="AZ953" s="256"/>
      <c r="BA953" s="256"/>
      <c r="BB953" s="256"/>
      <c r="BC953" s="256"/>
      <c r="BD953" s="238"/>
      <c r="BE953" s="229" cm="1">
        <f t="array" ref="BE953">IF(ISBLANK(R953), INDEX(Use, $AH953, 4) - AM953*INDEX(Use, $AH953, 6), R953)</f>
        <v>5</v>
      </c>
      <c r="BF953" s="229">
        <f t="shared" si="805"/>
        <v>30</v>
      </c>
      <c r="BG953" s="229">
        <f t="shared" si="831"/>
        <v>13</v>
      </c>
      <c r="BH953" s="229">
        <f t="shared" si="832"/>
        <v>0</v>
      </c>
      <c r="BI953" s="234" cm="1">
        <f t="array" ref="BI953">K953/IF($L953&gt;0, INDEX($AU$23:$BA$77, $L953+20, $AH953), 1)</f>
        <v>0</v>
      </c>
      <c r="BJ953" s="230">
        <f t="shared" si="806"/>
        <v>0</v>
      </c>
      <c r="BK953" s="229">
        <v>35</v>
      </c>
      <c r="BL953" s="230">
        <f t="shared" si="807"/>
        <v>48</v>
      </c>
      <c r="BM953" s="235">
        <f t="shared" si="808"/>
        <v>2.9108720930232557</v>
      </c>
      <c r="BN953" s="235" cm="1">
        <f t="array" ref="BN953">$BI953 * SUMPRODUCT(INDEX($AR$77:$AT$82,,$AI953),INDEX($AU$77:$BA$82,,$AH953), N($AQ$77:$AQ$82&gt;$AO953)) / BM953 / 1000</f>
        <v>0</v>
      </c>
      <c r="BO953" s="232">
        <f t="shared" si="833"/>
        <v>30</v>
      </c>
      <c r="BP953" s="230">
        <f t="shared" si="809"/>
        <v>43</v>
      </c>
      <c r="BQ953" s="235">
        <f t="shared" si="810"/>
        <v>3.2938815789473681</v>
      </c>
      <c r="BR953" s="235" cm="1">
        <f t="array" ref="BR953">$BI953 * IF($AH953&lt;=2,
SUMPRODUCT(INDEX($AR$72:$AT$76,,$AI953), INDEX($AU$72:$BA$76,,$AH953), 1 / ($BB$72:$BB$76*BQ953 + (1-$BB$72:$BB$76)*BM953), N($AQ$72:$AQ$76&gt;$AO953)),
SUMPRODUCT(INDEX($AR$67:$AT$76,,$AI953), INDEX($AU$67:$BA$76,,$AH953), 1 / ($BC$67:$BC$76*BQ953 + (1-$BC$67:$BC$76)*BM953), N($AQ$67:$AQ$76&gt;$AO953))
) / 1000</f>
        <v>0</v>
      </c>
      <c r="BS953" s="232">
        <f t="shared" si="834"/>
        <v>25</v>
      </c>
      <c r="BT953" s="230">
        <f t="shared" si="811"/>
        <v>38</v>
      </c>
      <c r="BU953" s="235">
        <f t="shared" si="812"/>
        <v>3.792954545454545</v>
      </c>
      <c r="BV953" s="235" cm="1">
        <f t="array" ref="BV953">$BI953 * IF($AH953&lt;=2,
SUMPRODUCT(INDEX($AR$67:$AT$71,,$AI953), INDEX($AU$67:$BA$71,,$AH953), 1 / ($BB$67:$BB$71*BU953 + (1-$BB$67:$BB$71)*BQ953), N($AQ$67:$AQ$71&gt;$AO953)),
SUMPRODUCT(INDEX($AR$57:$AT$66,,$AI953), INDEX($AU$57:$BA$66,,$AH953), 1 / ($BC$57:$BC$66*BU953 + (1-$BC$57:$BC$66)*BQ953), N($AQ$57:$AQ$66&gt;$AO953))
) / 1000</f>
        <v>0</v>
      </c>
      <c r="BW953" s="232">
        <f t="shared" si="835"/>
        <v>20</v>
      </c>
      <c r="BX953" s="230">
        <f t="shared" si="813"/>
        <v>33</v>
      </c>
      <c r="BY953" s="235">
        <f t="shared" si="814"/>
        <v>4.4702678571428569</v>
      </c>
      <c r="BZ953" s="235" cm="1">
        <f t="array" ref="BZ953">$BI953 * IF($AH953&lt;=2,
SUMPRODUCT(INDEX($AR$62:$AT$66,,$AI953), INDEX($AU$62:$BA$66,,$AH953), 1 / ($BB$62:$BB$66*BY953 + (1-$BB$62:$BB$66)*BU953), N($AQ$62:$AQ$66&gt;$AO953)),
SUMPRODUCT(INDEX($AR$47:$AT$56,,$AI953), INDEX($AU$47:$BA$56,,$AH953), 1 / ($BC$47:$BC$56*BY953 + (1-$BC$47:$BC$56)*BU953), N($AQ$47:$AQ$56&gt;$AO953))
) / 1000</f>
        <v>0</v>
      </c>
      <c r="CA953" s="235" cm="1">
        <f t="array" ref="CA953">$BI953 * IF($AH953&lt;=2,
SUMPRODUCT(INDEX($AR$23:$AT$61,,$AI953), INDEX($AU$23:$BA$61,,$AH953), 1 / ($BB$23:$BB$61*BY953), N($AQ$23:$AQ$61&gt;$AO953)),
SUMPRODUCT(INDEX($AR$23:$AT$46,,$AI953), INDEX($AU$23:$BA$46,,$AH953), 1 / ($BC$23:$BC$46*BY953), N($AQ$23:$AQ$46&gt;$AO953))
) / 1000</f>
        <v>0</v>
      </c>
      <c r="CB953" s="230">
        <f t="shared" si="815"/>
        <v>0</v>
      </c>
      <c r="CC953" s="238"/>
      <c r="CD953" s="229" cm="1">
        <f t="array" ref="CD953">IF(ISBLANK(Y953), INDEX(Use, $AH953, 4) - AN953*INDEX(Use, $AH953, 6) - (Q953-X953), Y953)</f>
        <v>7</v>
      </c>
      <c r="CE953" s="229">
        <f t="shared" si="816"/>
        <v>32</v>
      </c>
      <c r="CF953" s="230">
        <f t="shared" si="817"/>
        <v>0</v>
      </c>
      <c r="CG953" s="229">
        <v>35</v>
      </c>
      <c r="CH953" s="230">
        <f t="shared" si="818"/>
        <v>48</v>
      </c>
      <c r="CI953" s="235">
        <f t="shared" si="819"/>
        <v>3.0748170731707316</v>
      </c>
      <c r="CJ953" s="235" cm="1">
        <f t="array" ref="CJ953">$BI953 * SUMPRODUCT(INDEX($AR$77:$AT$82,,$AI953),INDEX($AU$77:$BA$82,,$AH953), N($AQ$77:$AQ$82&gt;$AO953)) / CI953 / 1000</f>
        <v>0</v>
      </c>
      <c r="CK953" s="232">
        <f t="shared" si="836"/>
        <v>30</v>
      </c>
      <c r="CL953" s="230">
        <f t="shared" si="820"/>
        <v>43</v>
      </c>
      <c r="CM953" s="235">
        <f t="shared" si="821"/>
        <v>3.5018750000000001</v>
      </c>
      <c r="CN953" s="235" cm="1">
        <f t="array" ref="CN953">$BI953 * IF($AH953&lt;=2,
SUMPRODUCT(INDEX($AR$72:$AT$76,,$AI953), INDEX($AU$72:$BA$76,,$AH953), 1 / ($BB$72:$BB$76*CM953 + (1-$BB$72:$BB$76)*CI953), N($AQ$72:$AQ$76&gt;$AO953)),
SUMPRODUCT(INDEX($AR$67:$AT$76,,$AI953), INDEX($AU$67:$BA$76,,$AH953), 1 / ($BC$67:$BC$76*CM953 + (1-$BC$67:$BC$76)*CI953), N($AQ$67:$AQ$76&gt;$AO953))
) / 1000</f>
        <v>0</v>
      </c>
      <c r="CO953" s="232">
        <f t="shared" si="837"/>
        <v>25</v>
      </c>
      <c r="CP953" s="230">
        <f t="shared" si="822"/>
        <v>38</v>
      </c>
      <c r="CQ953" s="235">
        <f t="shared" si="823"/>
        <v>4.0666935483870965</v>
      </c>
      <c r="CR953" s="235" cm="1">
        <f t="array" ref="CR953">$BI953 * IF($AH953&lt;=2,
SUMPRODUCT(INDEX($AR$67:$AT$71,,$AI953), INDEX($AU$67:$BA$71,,$AH953), 1 / ($BB$67:$BB$71*CQ953 + (1-$BB$67:$BB$71)*CM953), N($AQ$67:$AQ$71&gt;$AO953)),
SUMPRODUCT(INDEX($AR$57:$AT$66,,$AI953), INDEX($AU$57:$BA$66,,$AH953), 1 / ($BC$57:$BC$66*CQ953 + (1-$BC$57:$BC$66)*CM953), N($AQ$57:$AQ$66&gt;$AO953))
) / 1000</f>
        <v>0</v>
      </c>
      <c r="CS953" s="232">
        <f t="shared" si="838"/>
        <v>20</v>
      </c>
      <c r="CT953" s="230">
        <f t="shared" si="824"/>
        <v>33</v>
      </c>
      <c r="CU953" s="235">
        <f t="shared" si="825"/>
        <v>4.8487499999999999</v>
      </c>
      <c r="CV953" s="235" cm="1">
        <f t="array" ref="CV953">$BI953 * IF($AH953&lt;=2,
SUMPRODUCT(INDEX($AR$62:$AT$66,,$AI953), INDEX($AU$62:$BA$66,,$AH953), 1 / ($BB$62:$BB$66*CU953 + (1-$BB$62:$BB$66)*CQ953), N($AQ$62:$AQ$66&gt;$AO953)),
SUMPRODUCT(INDEX($AR$47:$AT$56,,$AI953), INDEX($AU$47:$BA$56,,$AH953), 1 / ($BC$47:$BC$56*CU953 + (1-$BC$47:$BC$56)*CQ953), N($AQ$47:$AQ$56&gt;$AO953))
) / 1000</f>
        <v>0</v>
      </c>
      <c r="CW953" s="235" cm="1">
        <f t="array" ref="CW953">$BI953 * IF($AH953&lt;=2,
SUMPRODUCT(INDEX($AR$23:$AT$61,,$AI953), INDEX($AU$23:$BA$61,,$AH953), 1 / ($BB$23:$BB$61*CU953), N($AQ$23:$AQ$61&gt;$AO953)),
SUMPRODUCT(INDEX($AR$23:$AT$46,,$AI953), INDEX($AU$23:$BA$46,,$AH953), 1 / ($BC$23:$BC$46*CU953), N($AQ$23:$AQ$46&gt;$AO953))
) / 1000</f>
        <v>0</v>
      </c>
      <c r="CX953" s="230">
        <f t="shared" si="826"/>
        <v>0</v>
      </c>
      <c r="CY953" s="238"/>
    </row>
    <row r="954" spans="1:103" s="76" customFormat="1" ht="14.25" customHeight="1" x14ac:dyDescent="0.2">
      <c r="A954" s="231" t="b">
        <f t="shared" si="830"/>
        <v>0</v>
      </c>
      <c r="B954" s="245">
        <v>932</v>
      </c>
      <c r="C954" s="258"/>
      <c r="D954" s="258"/>
      <c r="E954" s="246"/>
      <c r="F954" s="247" t="str">
        <f>IF(ISBLANK(E954), "", VLOOKUP(E954, Z!$A$2:$C$4127, 3, FALSE))</f>
        <v/>
      </c>
      <c r="G954" s="248"/>
      <c r="H954" s="248"/>
      <c r="I954" s="249"/>
      <c r="J954" s="250"/>
      <c r="K954" s="259"/>
      <c r="L954" s="260"/>
      <c r="M954" s="252" t="str" cm="1">
        <f t="array" ref="M954">INDEX(Trad, 53, $A$20)</f>
        <v>Verschmutzt</v>
      </c>
      <c r="N954" s="253"/>
      <c r="O954" s="253"/>
      <c r="P954" s="254"/>
      <c r="Q954" s="251"/>
      <c r="R954" s="251"/>
      <c r="S954" s="264">
        <f t="shared" si="801"/>
        <v>0</v>
      </c>
      <c r="T954" s="252" t="str" cm="1">
        <f t="array" ref="T954">INDEX(Trad, 52, $A$20)</f>
        <v>Sauber</v>
      </c>
      <c r="U954" s="253"/>
      <c r="V954" s="253"/>
      <c r="W954" s="254"/>
      <c r="X954" s="251"/>
      <c r="Y954" s="251"/>
      <c r="Z954" s="264">
        <f t="shared" si="802"/>
        <v>0</v>
      </c>
      <c r="AA954" s="261"/>
      <c r="AB954" s="258"/>
      <c r="AC954" s="246"/>
      <c r="AD954" s="247" t="str">
        <f>IF(ISBLANK(AC954), "", VLOOKUP(AC954, Z!$A$2:$C$4127, 3, FALSE))</f>
        <v/>
      </c>
      <c r="AE954" s="262"/>
      <c r="AF954" s="263">
        <f t="shared" si="803"/>
        <v>0</v>
      </c>
      <c r="AG954" s="238"/>
      <c r="AH954" s="229">
        <f t="shared" si="827"/>
        <v>1</v>
      </c>
      <c r="AI954" s="229">
        <f t="shared" si="828"/>
        <v>1</v>
      </c>
      <c r="AJ954" s="229">
        <f t="shared" si="829"/>
        <v>0</v>
      </c>
      <c r="AK954" s="229">
        <v>0</v>
      </c>
      <c r="AL954" s="229">
        <v>0</v>
      </c>
      <c r="AM954" s="229">
        <v>1</v>
      </c>
      <c r="AN954" s="229">
        <v>0</v>
      </c>
      <c r="AO954" s="229">
        <f t="shared" si="804"/>
        <v>-100</v>
      </c>
      <c r="AP954" s="238"/>
      <c r="AQ954" s="255"/>
      <c r="AR954" s="255"/>
      <c r="AS954" s="256"/>
      <c r="AT954" s="256"/>
      <c r="AU954" s="256"/>
      <c r="AV954" s="256"/>
      <c r="AW954" s="256"/>
      <c r="AX954" s="256"/>
      <c r="AY954" s="256"/>
      <c r="AZ954" s="256"/>
      <c r="BA954" s="256"/>
      <c r="BB954" s="256"/>
      <c r="BC954" s="256"/>
      <c r="BD954" s="238"/>
      <c r="BE954" s="229" cm="1">
        <f t="array" ref="BE954">IF(ISBLANK(R954), INDEX(Use, $AH954, 4) - AM954*INDEX(Use, $AH954, 6), R954)</f>
        <v>5</v>
      </c>
      <c r="BF954" s="229">
        <f t="shared" si="805"/>
        <v>30</v>
      </c>
      <c r="BG954" s="229">
        <f t="shared" si="831"/>
        <v>13</v>
      </c>
      <c r="BH954" s="229">
        <f t="shared" si="832"/>
        <v>0</v>
      </c>
      <c r="BI954" s="234" cm="1">
        <f t="array" ref="BI954">K954/IF($L954&gt;0, INDEX($AU$23:$BA$77, $L954+20, $AH954), 1)</f>
        <v>0</v>
      </c>
      <c r="BJ954" s="230">
        <f t="shared" si="806"/>
        <v>0</v>
      </c>
      <c r="BK954" s="229">
        <v>35</v>
      </c>
      <c r="BL954" s="230">
        <f t="shared" si="807"/>
        <v>48</v>
      </c>
      <c r="BM954" s="235">
        <f t="shared" si="808"/>
        <v>2.9108720930232557</v>
      </c>
      <c r="BN954" s="235" cm="1">
        <f t="array" ref="BN954">$BI954 * SUMPRODUCT(INDEX($AR$77:$AT$82,,$AI954),INDEX($AU$77:$BA$82,,$AH954), N($AQ$77:$AQ$82&gt;$AO954)) / BM954 / 1000</f>
        <v>0</v>
      </c>
      <c r="BO954" s="232">
        <f t="shared" si="833"/>
        <v>30</v>
      </c>
      <c r="BP954" s="230">
        <f t="shared" si="809"/>
        <v>43</v>
      </c>
      <c r="BQ954" s="235">
        <f t="shared" si="810"/>
        <v>3.2938815789473681</v>
      </c>
      <c r="BR954" s="235" cm="1">
        <f t="array" ref="BR954">$BI954 * IF($AH954&lt;=2,
SUMPRODUCT(INDEX($AR$72:$AT$76,,$AI954), INDEX($AU$72:$BA$76,,$AH954), 1 / ($BB$72:$BB$76*BQ954 + (1-$BB$72:$BB$76)*BM954), N($AQ$72:$AQ$76&gt;$AO954)),
SUMPRODUCT(INDEX($AR$67:$AT$76,,$AI954), INDEX($AU$67:$BA$76,,$AH954), 1 / ($BC$67:$BC$76*BQ954 + (1-$BC$67:$BC$76)*BM954), N($AQ$67:$AQ$76&gt;$AO954))
) / 1000</f>
        <v>0</v>
      </c>
      <c r="BS954" s="232">
        <f t="shared" si="834"/>
        <v>25</v>
      </c>
      <c r="BT954" s="230">
        <f t="shared" si="811"/>
        <v>38</v>
      </c>
      <c r="BU954" s="235">
        <f t="shared" si="812"/>
        <v>3.792954545454545</v>
      </c>
      <c r="BV954" s="235" cm="1">
        <f t="array" ref="BV954">$BI954 * IF($AH954&lt;=2,
SUMPRODUCT(INDEX($AR$67:$AT$71,,$AI954), INDEX($AU$67:$BA$71,,$AH954), 1 / ($BB$67:$BB$71*BU954 + (1-$BB$67:$BB$71)*BQ954), N($AQ$67:$AQ$71&gt;$AO954)),
SUMPRODUCT(INDEX($AR$57:$AT$66,,$AI954), INDEX($AU$57:$BA$66,,$AH954), 1 / ($BC$57:$BC$66*BU954 + (1-$BC$57:$BC$66)*BQ954), N($AQ$57:$AQ$66&gt;$AO954))
) / 1000</f>
        <v>0</v>
      </c>
      <c r="BW954" s="232">
        <f t="shared" si="835"/>
        <v>20</v>
      </c>
      <c r="BX954" s="230">
        <f t="shared" si="813"/>
        <v>33</v>
      </c>
      <c r="BY954" s="235">
        <f t="shared" si="814"/>
        <v>4.4702678571428569</v>
      </c>
      <c r="BZ954" s="235" cm="1">
        <f t="array" ref="BZ954">$BI954 * IF($AH954&lt;=2,
SUMPRODUCT(INDEX($AR$62:$AT$66,,$AI954), INDEX($AU$62:$BA$66,,$AH954), 1 / ($BB$62:$BB$66*BY954 + (1-$BB$62:$BB$66)*BU954), N($AQ$62:$AQ$66&gt;$AO954)),
SUMPRODUCT(INDEX($AR$47:$AT$56,,$AI954), INDEX($AU$47:$BA$56,,$AH954), 1 / ($BC$47:$BC$56*BY954 + (1-$BC$47:$BC$56)*BU954), N($AQ$47:$AQ$56&gt;$AO954))
) / 1000</f>
        <v>0</v>
      </c>
      <c r="CA954" s="235" cm="1">
        <f t="array" ref="CA954">$BI954 * IF($AH954&lt;=2,
SUMPRODUCT(INDEX($AR$23:$AT$61,,$AI954), INDEX($AU$23:$BA$61,,$AH954), 1 / ($BB$23:$BB$61*BY954), N($AQ$23:$AQ$61&gt;$AO954)),
SUMPRODUCT(INDEX($AR$23:$AT$46,,$AI954), INDEX($AU$23:$BA$46,,$AH954), 1 / ($BC$23:$BC$46*BY954), N($AQ$23:$AQ$46&gt;$AO954))
) / 1000</f>
        <v>0</v>
      </c>
      <c r="CB954" s="230">
        <f t="shared" si="815"/>
        <v>0</v>
      </c>
      <c r="CC954" s="238"/>
      <c r="CD954" s="229" cm="1">
        <f t="array" ref="CD954">IF(ISBLANK(Y954), INDEX(Use, $AH954, 4) - AN954*INDEX(Use, $AH954, 6) - (Q954-X954), Y954)</f>
        <v>7</v>
      </c>
      <c r="CE954" s="229">
        <f t="shared" si="816"/>
        <v>32</v>
      </c>
      <c r="CF954" s="230">
        <f t="shared" si="817"/>
        <v>0</v>
      </c>
      <c r="CG954" s="229">
        <v>35</v>
      </c>
      <c r="CH954" s="230">
        <f t="shared" si="818"/>
        <v>48</v>
      </c>
      <c r="CI954" s="235">
        <f t="shared" si="819"/>
        <v>3.0748170731707316</v>
      </c>
      <c r="CJ954" s="235" cm="1">
        <f t="array" ref="CJ954">$BI954 * SUMPRODUCT(INDEX($AR$77:$AT$82,,$AI954),INDEX($AU$77:$BA$82,,$AH954), N($AQ$77:$AQ$82&gt;$AO954)) / CI954 / 1000</f>
        <v>0</v>
      </c>
      <c r="CK954" s="232">
        <f t="shared" si="836"/>
        <v>30</v>
      </c>
      <c r="CL954" s="230">
        <f t="shared" si="820"/>
        <v>43</v>
      </c>
      <c r="CM954" s="235">
        <f t="shared" si="821"/>
        <v>3.5018750000000001</v>
      </c>
      <c r="CN954" s="235" cm="1">
        <f t="array" ref="CN954">$BI954 * IF($AH954&lt;=2,
SUMPRODUCT(INDEX($AR$72:$AT$76,,$AI954), INDEX($AU$72:$BA$76,,$AH954), 1 / ($BB$72:$BB$76*CM954 + (1-$BB$72:$BB$76)*CI954), N($AQ$72:$AQ$76&gt;$AO954)),
SUMPRODUCT(INDEX($AR$67:$AT$76,,$AI954), INDEX($AU$67:$BA$76,,$AH954), 1 / ($BC$67:$BC$76*CM954 + (1-$BC$67:$BC$76)*CI954), N($AQ$67:$AQ$76&gt;$AO954))
) / 1000</f>
        <v>0</v>
      </c>
      <c r="CO954" s="232">
        <f t="shared" si="837"/>
        <v>25</v>
      </c>
      <c r="CP954" s="230">
        <f t="shared" si="822"/>
        <v>38</v>
      </c>
      <c r="CQ954" s="235">
        <f t="shared" si="823"/>
        <v>4.0666935483870965</v>
      </c>
      <c r="CR954" s="235" cm="1">
        <f t="array" ref="CR954">$BI954 * IF($AH954&lt;=2,
SUMPRODUCT(INDEX($AR$67:$AT$71,,$AI954), INDEX($AU$67:$BA$71,,$AH954), 1 / ($BB$67:$BB$71*CQ954 + (1-$BB$67:$BB$71)*CM954), N($AQ$67:$AQ$71&gt;$AO954)),
SUMPRODUCT(INDEX($AR$57:$AT$66,,$AI954), INDEX($AU$57:$BA$66,,$AH954), 1 / ($BC$57:$BC$66*CQ954 + (1-$BC$57:$BC$66)*CM954), N($AQ$57:$AQ$66&gt;$AO954))
) / 1000</f>
        <v>0</v>
      </c>
      <c r="CS954" s="232">
        <f t="shared" si="838"/>
        <v>20</v>
      </c>
      <c r="CT954" s="230">
        <f t="shared" si="824"/>
        <v>33</v>
      </c>
      <c r="CU954" s="235">
        <f t="shared" si="825"/>
        <v>4.8487499999999999</v>
      </c>
      <c r="CV954" s="235" cm="1">
        <f t="array" ref="CV954">$BI954 * IF($AH954&lt;=2,
SUMPRODUCT(INDEX($AR$62:$AT$66,,$AI954), INDEX($AU$62:$BA$66,,$AH954), 1 / ($BB$62:$BB$66*CU954 + (1-$BB$62:$BB$66)*CQ954), N($AQ$62:$AQ$66&gt;$AO954)),
SUMPRODUCT(INDEX($AR$47:$AT$56,,$AI954), INDEX($AU$47:$BA$56,,$AH954), 1 / ($BC$47:$BC$56*CU954 + (1-$BC$47:$BC$56)*CQ954), N($AQ$47:$AQ$56&gt;$AO954))
) / 1000</f>
        <v>0</v>
      </c>
      <c r="CW954" s="235" cm="1">
        <f t="array" ref="CW954">$BI954 * IF($AH954&lt;=2,
SUMPRODUCT(INDEX($AR$23:$AT$61,,$AI954), INDEX($AU$23:$BA$61,,$AH954), 1 / ($BB$23:$BB$61*CU954), N($AQ$23:$AQ$61&gt;$AO954)),
SUMPRODUCT(INDEX($AR$23:$AT$46,,$AI954), INDEX($AU$23:$BA$46,,$AH954), 1 / ($BC$23:$BC$46*CU954), N($AQ$23:$AQ$46&gt;$AO954))
) / 1000</f>
        <v>0</v>
      </c>
      <c r="CX954" s="230">
        <f t="shared" si="826"/>
        <v>0</v>
      </c>
      <c r="CY954" s="238"/>
    </row>
    <row r="955" spans="1:103" s="76" customFormat="1" ht="14.25" customHeight="1" x14ac:dyDescent="0.2">
      <c r="A955" s="231" t="b">
        <f t="shared" si="830"/>
        <v>0</v>
      </c>
      <c r="B955" s="245">
        <v>933</v>
      </c>
      <c r="C955" s="258"/>
      <c r="D955" s="258"/>
      <c r="E955" s="246"/>
      <c r="F955" s="247" t="str">
        <f>IF(ISBLANK(E955), "", VLOOKUP(E955, Z!$A$2:$C$4127, 3, FALSE))</f>
        <v/>
      </c>
      <c r="G955" s="248"/>
      <c r="H955" s="248"/>
      <c r="I955" s="249"/>
      <c r="J955" s="250"/>
      <c r="K955" s="259"/>
      <c r="L955" s="260"/>
      <c r="M955" s="252" t="str" cm="1">
        <f t="array" ref="M955">INDEX(Trad, 53, $A$20)</f>
        <v>Verschmutzt</v>
      </c>
      <c r="N955" s="253"/>
      <c r="O955" s="253"/>
      <c r="P955" s="254"/>
      <c r="Q955" s="251"/>
      <c r="R955" s="251"/>
      <c r="S955" s="264">
        <f t="shared" ref="S955:S1018" si="839">CB955*1000</f>
        <v>0</v>
      </c>
      <c r="T955" s="252" t="str" cm="1">
        <f t="array" ref="T955">INDEX(Trad, 52, $A$20)</f>
        <v>Sauber</v>
      </c>
      <c r="U955" s="253"/>
      <c r="V955" s="253"/>
      <c r="W955" s="254"/>
      <c r="X955" s="251"/>
      <c r="Y955" s="251"/>
      <c r="Z955" s="264">
        <f t="shared" ref="Z955:Z1018" si="840">CX955*1000</f>
        <v>0</v>
      </c>
      <c r="AA955" s="261"/>
      <c r="AB955" s="258"/>
      <c r="AC955" s="246"/>
      <c r="AD955" s="247" t="str">
        <f>IF(ISBLANK(AC955), "", VLOOKUP(AC955, Z!$A$2:$C$4127, 3, FALSE))</f>
        <v/>
      </c>
      <c r="AE955" s="262"/>
      <c r="AF955" s="263">
        <f t="shared" ref="AF955:AF1018" si="841">0.75*AP$23*(S955-Z955)</f>
        <v>0</v>
      </c>
      <c r="AG955" s="238"/>
      <c r="AH955" s="229">
        <f t="shared" si="827"/>
        <v>1</v>
      </c>
      <c r="AI955" s="229">
        <f t="shared" si="828"/>
        <v>1</v>
      </c>
      <c r="AJ955" s="229">
        <f t="shared" si="829"/>
        <v>0</v>
      </c>
      <c r="AK955" s="229">
        <v>0</v>
      </c>
      <c r="AL955" s="229">
        <v>0</v>
      </c>
      <c r="AM955" s="229">
        <v>1</v>
      </c>
      <c r="AN955" s="229">
        <v>0</v>
      </c>
      <c r="AO955" s="229">
        <f t="shared" ref="AO955:AO1018" si="842">IF(AND(J955="x", AH955=5), 11, IF(AND(J955="x", AH955=6), 19, -100))</f>
        <v>-100</v>
      </c>
      <c r="AP955" s="238"/>
      <c r="AQ955" s="255"/>
      <c r="AR955" s="255"/>
      <c r="AS955" s="256"/>
      <c r="AT955" s="256"/>
      <c r="AU955" s="256"/>
      <c r="AV955" s="256"/>
      <c r="AW955" s="256"/>
      <c r="AX955" s="256"/>
      <c r="AY955" s="256"/>
      <c r="AZ955" s="256"/>
      <c r="BA955" s="256"/>
      <c r="BB955" s="256"/>
      <c r="BC955" s="256"/>
      <c r="BD955" s="238"/>
      <c r="BE955" s="229" cm="1">
        <f t="array" ref="BE955">IF(ISBLANK(R955), INDEX(Use, $AH955, 4) - AM955*INDEX(Use, $AH955, 6), R955)</f>
        <v>5</v>
      </c>
      <c r="BF955" s="229">
        <f t="shared" ref="BF955:BF1018" si="843">MAX(25, BE955+25)</f>
        <v>30</v>
      </c>
      <c r="BG955" s="229">
        <f t="shared" si="831"/>
        <v>13</v>
      </c>
      <c r="BH955" s="229">
        <f t="shared" si="832"/>
        <v>0</v>
      </c>
      <c r="BI955" s="234" cm="1">
        <f t="array" ref="BI955">K955/IF($L955&gt;0, INDEX($AU$23:$BA$77, $L955+20, $AH955), 1)</f>
        <v>0</v>
      </c>
      <c r="BJ955" s="230">
        <f t="shared" ref="BJ955:BJ1018" si="844">P955 /  IF(AH955&lt;=2, 0.7 + 0.3 * (O955-20)/(35-20), 0.4 + 0.6 * (O955-5)/(35-5))</f>
        <v>0</v>
      </c>
      <c r="BK955" s="229">
        <v>35</v>
      </c>
      <c r="BL955" s="230">
        <f t="shared" ref="BL955:BL1018" si="845">MAX($N955, MAX($BF955, $BK955 + $BG955 + $BH955 + 0.35*$AK955*$BG955 + BJ955))</f>
        <v>48</v>
      </c>
      <c r="BM955" s="235">
        <f t="shared" ref="BM955:BM1018" si="846">0.45*($BE955+273.15)/(BL955-$BE955)</f>
        <v>2.9108720930232557</v>
      </c>
      <c r="BN955" s="235" cm="1">
        <f t="array" ref="BN955">$BI955 * SUMPRODUCT(INDEX($AR$77:$AT$82,,$AI955),INDEX($AU$77:$BA$82,,$AH955), N($AQ$77:$AQ$82&gt;$AO955)) / BM955 / 1000</f>
        <v>0</v>
      </c>
      <c r="BO955" s="232">
        <f t="shared" si="833"/>
        <v>30</v>
      </c>
      <c r="BP955" s="230">
        <f t="shared" ref="BP955:BP1018" si="847">MAX($N955, MAX($BF955, BO955 + $BG955 + $BH955 + IF($AH955&lt;=2, (BO955-20)/(35-20), 0.6+0.4*(BO955-5)/(35-5))*0.35*$AK955*$BG955) + IF($AH955&lt;=2,0.9,0.8)*$BJ955)</f>
        <v>43</v>
      </c>
      <c r="BQ955" s="235">
        <f t="shared" ref="BQ955:BQ1018" si="848">0.45*($BE955+273.15)/(BP955-$BE955)</f>
        <v>3.2938815789473681</v>
      </c>
      <c r="BR955" s="235" cm="1">
        <f t="array" ref="BR955">$BI955 * IF($AH955&lt;=2,
SUMPRODUCT(INDEX($AR$72:$AT$76,,$AI955), INDEX($AU$72:$BA$76,,$AH955), 1 / ($BB$72:$BB$76*BQ955 + (1-$BB$72:$BB$76)*BM955), N($AQ$72:$AQ$76&gt;$AO955)),
SUMPRODUCT(INDEX($AR$67:$AT$76,,$AI955), INDEX($AU$67:$BA$76,,$AH955), 1 / ($BC$67:$BC$76*BQ955 + (1-$BC$67:$BC$76)*BM955), N($AQ$67:$AQ$76&gt;$AO955))
) / 1000</f>
        <v>0</v>
      </c>
      <c r="BS955" s="232">
        <f t="shared" si="834"/>
        <v>25</v>
      </c>
      <c r="BT955" s="230">
        <f t="shared" ref="BT955:BT1018" si="849">MAX($N955, MAX($BF955, BS955 + $BG955 + $BH955 + IF($AH955&lt;=2, (BS955-20)/(35-20), 0.6+0.4*(BS955-5)/(35-5))*0.35*$AK955*$BG955) + IF($AH955&lt;=2,0.8,0.6)*$BJ955)</f>
        <v>38</v>
      </c>
      <c r="BU955" s="235">
        <f t="shared" ref="BU955:BU1018" si="850">0.45*($BE955+273.15)/(BT955-$BE955)</f>
        <v>3.792954545454545</v>
      </c>
      <c r="BV955" s="235" cm="1">
        <f t="array" ref="BV955">$BI955 * IF($AH955&lt;=2,
SUMPRODUCT(INDEX($AR$67:$AT$71,,$AI955), INDEX($AU$67:$BA$71,,$AH955), 1 / ($BB$67:$BB$71*BU955 + (1-$BB$67:$BB$71)*BQ955), N($AQ$67:$AQ$71&gt;$AO955)),
SUMPRODUCT(INDEX($AR$57:$AT$66,,$AI955), INDEX($AU$57:$BA$66,,$AH955), 1 / ($BC$57:$BC$66*BU955 + (1-$BC$57:$BC$66)*BQ955), N($AQ$57:$AQ$66&gt;$AO955))
) / 1000</f>
        <v>0</v>
      </c>
      <c r="BW955" s="232">
        <f t="shared" si="835"/>
        <v>20</v>
      </c>
      <c r="BX955" s="230">
        <f t="shared" ref="BX955:BX1018" si="851">MAX($N955, MAX($BF955, BW955 + $BG955 + $BH955 + IF($AH955&lt;=2, (BW955-20)/(35-20), 0.6+0.4*(BW955-5)/(35-5))*0.35*$AK955*$BG955) + IF($AH955&lt;=2,0.7,0.4)*$BJ955)</f>
        <v>33</v>
      </c>
      <c r="BY955" s="235">
        <f t="shared" ref="BY955:BY1018" si="852">0.45*($BE955+273.15)/(BX955-$BE955)</f>
        <v>4.4702678571428569</v>
      </c>
      <c r="BZ955" s="235" cm="1">
        <f t="array" ref="BZ955">$BI955 * IF($AH955&lt;=2,
SUMPRODUCT(INDEX($AR$62:$AT$66,,$AI955), INDEX($AU$62:$BA$66,,$AH955), 1 / ($BB$62:$BB$66*BY955 + (1-$BB$62:$BB$66)*BU955), N($AQ$62:$AQ$66&gt;$AO955)),
SUMPRODUCT(INDEX($AR$47:$AT$56,,$AI955), INDEX($AU$47:$BA$56,,$AH955), 1 / ($BC$47:$BC$56*BY955 + (1-$BC$47:$BC$56)*BU955), N($AQ$47:$AQ$56&gt;$AO955))
) / 1000</f>
        <v>0</v>
      </c>
      <c r="CA955" s="235" cm="1">
        <f t="array" ref="CA955">$BI955 * IF($AH955&lt;=2,
SUMPRODUCT(INDEX($AR$23:$AT$61,,$AI955), INDEX($AU$23:$BA$61,,$AH955), 1 / ($BB$23:$BB$61*BY955), N($AQ$23:$AQ$61&gt;$AO955)),
SUMPRODUCT(INDEX($AR$23:$AT$46,,$AI955), INDEX($AU$23:$BA$46,,$AH955), 1 / ($BC$23:$BC$46*BY955), N($AQ$23:$AQ$46&gt;$AO955))
) / 1000</f>
        <v>0</v>
      </c>
      <c r="CB955" s="230">
        <f t="shared" ref="CB955:CB1018" si="853">BN955+BR955+BV955+BZ955+CA955</f>
        <v>0</v>
      </c>
      <c r="CC955" s="238"/>
      <c r="CD955" s="229" cm="1">
        <f t="array" ref="CD955">IF(ISBLANK(Y955), INDEX(Use, $AH955, 4) - AN955*INDEX(Use, $AH955, 6) - (Q955-X955), Y955)</f>
        <v>7</v>
      </c>
      <c r="CE955" s="229">
        <f t="shared" ref="CE955:CE1018" si="854">MAX(25, CD955+25)</f>
        <v>32</v>
      </c>
      <c r="CF955" s="230">
        <f t="shared" ref="CF955:CF1018" si="855">W955 /  IF(AH955&lt;=2, 0.7 + 0.3 * (V955-20)/(35-20), 0.4 + 0.6 * (V955-5)/(35-5))</f>
        <v>0</v>
      </c>
      <c r="CG955" s="229">
        <v>35</v>
      </c>
      <c r="CH955" s="230">
        <f t="shared" ref="CH955:CH1018" si="856">MAX($U955, MAX($CE955, $BK955 + $BG955 + $BH955 + 0.35*$AL955*$BG955 + CF955))</f>
        <v>48</v>
      </c>
      <c r="CI955" s="235">
        <f t="shared" ref="CI955:CI1018" si="857">0.45*($CD955+273.15)/(CH955-$CD955)</f>
        <v>3.0748170731707316</v>
      </c>
      <c r="CJ955" s="235" cm="1">
        <f t="array" ref="CJ955">$BI955 * SUMPRODUCT(INDEX($AR$77:$AT$82,,$AI955),INDEX($AU$77:$BA$82,,$AH955), N($AQ$77:$AQ$82&gt;$AO955)) / CI955 / 1000</f>
        <v>0</v>
      </c>
      <c r="CK955" s="232">
        <f t="shared" si="836"/>
        <v>30</v>
      </c>
      <c r="CL955" s="230">
        <f t="shared" ref="CL955:CL1018" si="858">MAX($U955, MAX($CE955, CK955 + $BG955 + $BH955 + IF($AH955&lt;=2, (CK955-20)/(35-20), 0.6+0.4*(CK955-5)/(35-5))*0.35*$AL955*$BG955) + IF($AH955&lt;=2,0.9,0.8)*$CF955)</f>
        <v>43</v>
      </c>
      <c r="CM955" s="235">
        <f t="shared" ref="CM955:CM1018" si="859">0.45*($CD955+273.15)/(CL955-$CD955)</f>
        <v>3.5018750000000001</v>
      </c>
      <c r="CN955" s="235" cm="1">
        <f t="array" ref="CN955">$BI955 * IF($AH955&lt;=2,
SUMPRODUCT(INDEX($AR$72:$AT$76,,$AI955), INDEX($AU$72:$BA$76,,$AH955), 1 / ($BB$72:$BB$76*CM955 + (1-$BB$72:$BB$76)*CI955), N($AQ$72:$AQ$76&gt;$AO955)),
SUMPRODUCT(INDEX($AR$67:$AT$76,,$AI955), INDEX($AU$67:$BA$76,,$AH955), 1 / ($BC$67:$BC$76*CM955 + (1-$BC$67:$BC$76)*CI955), N($AQ$67:$AQ$76&gt;$AO955))
) / 1000</f>
        <v>0</v>
      </c>
      <c r="CO955" s="232">
        <f t="shared" si="837"/>
        <v>25</v>
      </c>
      <c r="CP955" s="230">
        <f t="shared" ref="CP955:CP1018" si="860">MAX($U955, MAX($CE955, CO955 + $BG955 + $BH955 + IF($AH955&lt;=2, (CO955-20)/(35-20), 0.6+0.4*(CO955-5)/(35-5))*0.35*$AL955*$BG955) + IF($AH955&lt;=2,0.8,0.6)*$CF955)</f>
        <v>38</v>
      </c>
      <c r="CQ955" s="235">
        <f t="shared" ref="CQ955:CQ1018" si="861">0.45*($CD955+273.15)/(CP955-$CD955)</f>
        <v>4.0666935483870965</v>
      </c>
      <c r="CR955" s="235" cm="1">
        <f t="array" ref="CR955">$BI955 * IF($AH955&lt;=2,
SUMPRODUCT(INDEX($AR$67:$AT$71,,$AI955), INDEX($AU$67:$BA$71,,$AH955), 1 / ($BB$67:$BB$71*CQ955 + (1-$BB$67:$BB$71)*CM955), N($AQ$67:$AQ$71&gt;$AO955)),
SUMPRODUCT(INDEX($AR$57:$AT$66,,$AI955), INDEX($AU$57:$BA$66,,$AH955), 1 / ($BC$57:$BC$66*CQ955 + (1-$BC$57:$BC$66)*CM955), N($AQ$57:$AQ$66&gt;$AO955))
) / 1000</f>
        <v>0</v>
      </c>
      <c r="CS955" s="232">
        <f t="shared" si="838"/>
        <v>20</v>
      </c>
      <c r="CT955" s="230">
        <f t="shared" ref="CT955:CT1018" si="862">MAX($U955, MAX($CE955, CS955 + $BG955 + $BH955 + IF($AH955&lt;=2, (CS955-20)/(35-20), 0.6+0.4*(CS955-5)/(35-5))*0.35*$AL955*$BG955) + IF($AH955&lt;=2,0.7,0.4)*$CF955)</f>
        <v>33</v>
      </c>
      <c r="CU955" s="235">
        <f t="shared" ref="CU955:CU1018" si="863">0.45*($CD955+273.15)/(CT955-$CD955)</f>
        <v>4.8487499999999999</v>
      </c>
      <c r="CV955" s="235" cm="1">
        <f t="array" ref="CV955">$BI955 * IF($AH955&lt;=2,
SUMPRODUCT(INDEX($AR$62:$AT$66,,$AI955), INDEX($AU$62:$BA$66,,$AH955), 1 / ($BB$62:$BB$66*CU955 + (1-$BB$62:$BB$66)*CQ955), N($AQ$62:$AQ$66&gt;$AO955)),
SUMPRODUCT(INDEX($AR$47:$AT$56,,$AI955), INDEX($AU$47:$BA$56,,$AH955), 1 / ($BC$47:$BC$56*CU955 + (1-$BC$47:$BC$56)*CQ955), N($AQ$47:$AQ$56&gt;$AO955))
) / 1000</f>
        <v>0</v>
      </c>
      <c r="CW955" s="235" cm="1">
        <f t="array" ref="CW955">$BI955 * IF($AH955&lt;=2,
SUMPRODUCT(INDEX($AR$23:$AT$61,,$AI955), INDEX($AU$23:$BA$61,,$AH955), 1 / ($BB$23:$BB$61*CU955), N($AQ$23:$AQ$61&gt;$AO955)),
SUMPRODUCT(INDEX($AR$23:$AT$46,,$AI955), INDEX($AU$23:$BA$46,,$AH955), 1 / ($BC$23:$BC$46*CU955), N($AQ$23:$AQ$46&gt;$AO955))
) / 1000</f>
        <v>0</v>
      </c>
      <c r="CX955" s="230">
        <f t="shared" ref="CX955:CX1018" si="864">CJ955+CN955+CR955+CV955+CW955</f>
        <v>0</v>
      </c>
      <c r="CY955" s="238"/>
    </row>
    <row r="956" spans="1:103" s="76" customFormat="1" ht="14.25" customHeight="1" x14ac:dyDescent="0.2">
      <c r="A956" s="231" t="b">
        <f t="shared" si="830"/>
        <v>0</v>
      </c>
      <c r="B956" s="245">
        <v>934</v>
      </c>
      <c r="C956" s="258"/>
      <c r="D956" s="258"/>
      <c r="E956" s="246"/>
      <c r="F956" s="247" t="str">
        <f>IF(ISBLANK(E956), "", VLOOKUP(E956, Z!$A$2:$C$4127, 3, FALSE))</f>
        <v/>
      </c>
      <c r="G956" s="248"/>
      <c r="H956" s="248"/>
      <c r="I956" s="249"/>
      <c r="J956" s="250"/>
      <c r="K956" s="259"/>
      <c r="L956" s="260"/>
      <c r="M956" s="252" t="str" cm="1">
        <f t="array" ref="M956">INDEX(Trad, 53, $A$20)</f>
        <v>Verschmutzt</v>
      </c>
      <c r="N956" s="253"/>
      <c r="O956" s="253"/>
      <c r="P956" s="254"/>
      <c r="Q956" s="251"/>
      <c r="R956" s="251"/>
      <c r="S956" s="264">
        <f t="shared" si="839"/>
        <v>0</v>
      </c>
      <c r="T956" s="252" t="str" cm="1">
        <f t="array" ref="T956">INDEX(Trad, 52, $A$20)</f>
        <v>Sauber</v>
      </c>
      <c r="U956" s="253"/>
      <c r="V956" s="253"/>
      <c r="W956" s="254"/>
      <c r="X956" s="251"/>
      <c r="Y956" s="251"/>
      <c r="Z956" s="264">
        <f t="shared" si="840"/>
        <v>0</v>
      </c>
      <c r="AA956" s="261"/>
      <c r="AB956" s="258"/>
      <c r="AC956" s="246"/>
      <c r="AD956" s="247" t="str">
        <f>IF(ISBLANK(AC956), "", VLOOKUP(AC956, Z!$A$2:$C$4127, 3, FALSE))</f>
        <v/>
      </c>
      <c r="AE956" s="262"/>
      <c r="AF956" s="263">
        <f t="shared" si="841"/>
        <v>0</v>
      </c>
      <c r="AG956" s="238"/>
      <c r="AH956" s="229">
        <f t="shared" ref="AH956:AH1019" si="865">IF(ISBLANK(H956), 1, IFERROR(MATCH(H956, INDEX(Use,,1), 0), IFERROR(MATCH(H956, INDEX(Use,,2), 0), MATCH(H956, INDEX(Use,,3), 0))))</f>
        <v>1</v>
      </c>
      <c r="AI956" s="229">
        <f t="shared" ref="AI956:AI1019" si="866">IF(ISBLANK(G956), 1, IFERROR(MATCH(G956, INDEX(Loc,,1), 0), IFERROR(MATCH(G956, INDEX(Loc,,2), 0), MATCH(G956, INDEX(Loc,,3), 0))))</f>
        <v>1</v>
      </c>
      <c r="AJ956" s="229">
        <f t="shared" ref="AJ956:AJ1019" si="867">_xlfn.IFNA(IF(IFERROR(MATCH(I956, INDEX(Medium,,1), 0), IFERROR(MATCH(I956, INDEX(Medium,,2), 0), MATCH(I956, INDEX(Medium,,3), 0))) = 2, 1, 0), 0)</f>
        <v>0</v>
      </c>
      <c r="AK956" s="229">
        <v>0</v>
      </c>
      <c r="AL956" s="229">
        <v>0</v>
      </c>
      <c r="AM956" s="229">
        <v>1</v>
      </c>
      <c r="AN956" s="229">
        <v>0</v>
      </c>
      <c r="AO956" s="229">
        <f t="shared" si="842"/>
        <v>-100</v>
      </c>
      <c r="AP956" s="238"/>
      <c r="AQ956" s="255"/>
      <c r="AR956" s="255"/>
      <c r="AS956" s="256"/>
      <c r="AT956" s="256"/>
      <c r="AU956" s="256"/>
      <c r="AV956" s="256"/>
      <c r="AW956" s="256"/>
      <c r="AX956" s="256"/>
      <c r="AY956" s="256"/>
      <c r="AZ956" s="256"/>
      <c r="BA956" s="256"/>
      <c r="BB956" s="256"/>
      <c r="BC956" s="256"/>
      <c r="BD956" s="238"/>
      <c r="BE956" s="229" cm="1">
        <f t="array" ref="BE956">IF(ISBLANK(R956), INDEX(Use, $AH956, 4) - AM956*INDEX(Use, $AH956, 6), R956)</f>
        <v>5</v>
      </c>
      <c r="BF956" s="229">
        <f t="shared" si="843"/>
        <v>30</v>
      </c>
      <c r="BG956" s="229">
        <f t="shared" si="831"/>
        <v>13</v>
      </c>
      <c r="BH956" s="229">
        <f t="shared" si="832"/>
        <v>0</v>
      </c>
      <c r="BI956" s="234" cm="1">
        <f t="array" ref="BI956">K956/IF($L956&gt;0, INDEX($AU$23:$BA$77, $L956+20, $AH956), 1)</f>
        <v>0</v>
      </c>
      <c r="BJ956" s="230">
        <f t="shared" si="844"/>
        <v>0</v>
      </c>
      <c r="BK956" s="229">
        <v>35</v>
      </c>
      <c r="BL956" s="230">
        <f t="shared" si="845"/>
        <v>48</v>
      </c>
      <c r="BM956" s="235">
        <f t="shared" si="846"/>
        <v>2.9108720930232557</v>
      </c>
      <c r="BN956" s="235" cm="1">
        <f t="array" ref="BN956">$BI956 * SUMPRODUCT(INDEX($AR$77:$AT$82,,$AI956),INDEX($AU$77:$BA$82,,$AH956), N($AQ$77:$AQ$82&gt;$AO956)) / BM956 / 1000</f>
        <v>0</v>
      </c>
      <c r="BO956" s="232">
        <f t="shared" si="833"/>
        <v>30</v>
      </c>
      <c r="BP956" s="230">
        <f t="shared" si="847"/>
        <v>43</v>
      </c>
      <c r="BQ956" s="235">
        <f t="shared" si="848"/>
        <v>3.2938815789473681</v>
      </c>
      <c r="BR956" s="235" cm="1">
        <f t="array" ref="BR956">$BI956 * IF($AH956&lt;=2,
SUMPRODUCT(INDEX($AR$72:$AT$76,,$AI956), INDEX($AU$72:$BA$76,,$AH956), 1 / ($BB$72:$BB$76*BQ956 + (1-$BB$72:$BB$76)*BM956), N($AQ$72:$AQ$76&gt;$AO956)),
SUMPRODUCT(INDEX($AR$67:$AT$76,,$AI956), INDEX($AU$67:$BA$76,,$AH956), 1 / ($BC$67:$BC$76*BQ956 + (1-$BC$67:$BC$76)*BM956), N($AQ$67:$AQ$76&gt;$AO956))
) / 1000</f>
        <v>0</v>
      </c>
      <c r="BS956" s="232">
        <f t="shared" si="834"/>
        <v>25</v>
      </c>
      <c r="BT956" s="230">
        <f t="shared" si="849"/>
        <v>38</v>
      </c>
      <c r="BU956" s="235">
        <f t="shared" si="850"/>
        <v>3.792954545454545</v>
      </c>
      <c r="BV956" s="235" cm="1">
        <f t="array" ref="BV956">$BI956 * IF($AH956&lt;=2,
SUMPRODUCT(INDEX($AR$67:$AT$71,,$AI956), INDEX($AU$67:$BA$71,,$AH956), 1 / ($BB$67:$BB$71*BU956 + (1-$BB$67:$BB$71)*BQ956), N($AQ$67:$AQ$71&gt;$AO956)),
SUMPRODUCT(INDEX($AR$57:$AT$66,,$AI956), INDEX($AU$57:$BA$66,,$AH956), 1 / ($BC$57:$BC$66*BU956 + (1-$BC$57:$BC$66)*BQ956), N($AQ$57:$AQ$66&gt;$AO956))
) / 1000</f>
        <v>0</v>
      </c>
      <c r="BW956" s="232">
        <f t="shared" si="835"/>
        <v>20</v>
      </c>
      <c r="BX956" s="230">
        <f t="shared" si="851"/>
        <v>33</v>
      </c>
      <c r="BY956" s="235">
        <f t="shared" si="852"/>
        <v>4.4702678571428569</v>
      </c>
      <c r="BZ956" s="235" cm="1">
        <f t="array" ref="BZ956">$BI956 * IF($AH956&lt;=2,
SUMPRODUCT(INDEX($AR$62:$AT$66,,$AI956), INDEX($AU$62:$BA$66,,$AH956), 1 / ($BB$62:$BB$66*BY956 + (1-$BB$62:$BB$66)*BU956), N($AQ$62:$AQ$66&gt;$AO956)),
SUMPRODUCT(INDEX($AR$47:$AT$56,,$AI956), INDEX($AU$47:$BA$56,,$AH956), 1 / ($BC$47:$BC$56*BY956 + (1-$BC$47:$BC$56)*BU956), N($AQ$47:$AQ$56&gt;$AO956))
) / 1000</f>
        <v>0</v>
      </c>
      <c r="CA956" s="235" cm="1">
        <f t="array" ref="CA956">$BI956 * IF($AH956&lt;=2,
SUMPRODUCT(INDEX($AR$23:$AT$61,,$AI956), INDEX($AU$23:$BA$61,,$AH956), 1 / ($BB$23:$BB$61*BY956), N($AQ$23:$AQ$61&gt;$AO956)),
SUMPRODUCT(INDEX($AR$23:$AT$46,,$AI956), INDEX($AU$23:$BA$46,,$AH956), 1 / ($BC$23:$BC$46*BY956), N($AQ$23:$AQ$46&gt;$AO956))
) / 1000</f>
        <v>0</v>
      </c>
      <c r="CB956" s="230">
        <f t="shared" si="853"/>
        <v>0</v>
      </c>
      <c r="CC956" s="238"/>
      <c r="CD956" s="229" cm="1">
        <f t="array" ref="CD956">IF(ISBLANK(Y956), INDEX(Use, $AH956, 4) - AN956*INDEX(Use, $AH956, 6) - (Q956-X956), Y956)</f>
        <v>7</v>
      </c>
      <c r="CE956" s="229">
        <f t="shared" si="854"/>
        <v>32</v>
      </c>
      <c r="CF956" s="230">
        <f t="shared" si="855"/>
        <v>0</v>
      </c>
      <c r="CG956" s="229">
        <v>35</v>
      </c>
      <c r="CH956" s="230">
        <f t="shared" si="856"/>
        <v>48</v>
      </c>
      <c r="CI956" s="235">
        <f t="shared" si="857"/>
        <v>3.0748170731707316</v>
      </c>
      <c r="CJ956" s="235" cm="1">
        <f t="array" ref="CJ956">$BI956 * SUMPRODUCT(INDEX($AR$77:$AT$82,,$AI956),INDEX($AU$77:$BA$82,,$AH956), N($AQ$77:$AQ$82&gt;$AO956)) / CI956 / 1000</f>
        <v>0</v>
      </c>
      <c r="CK956" s="232">
        <f t="shared" si="836"/>
        <v>30</v>
      </c>
      <c r="CL956" s="230">
        <f t="shared" si="858"/>
        <v>43</v>
      </c>
      <c r="CM956" s="235">
        <f t="shared" si="859"/>
        <v>3.5018750000000001</v>
      </c>
      <c r="CN956" s="235" cm="1">
        <f t="array" ref="CN956">$BI956 * IF($AH956&lt;=2,
SUMPRODUCT(INDEX($AR$72:$AT$76,,$AI956), INDEX($AU$72:$BA$76,,$AH956), 1 / ($BB$72:$BB$76*CM956 + (1-$BB$72:$BB$76)*CI956), N($AQ$72:$AQ$76&gt;$AO956)),
SUMPRODUCT(INDEX($AR$67:$AT$76,,$AI956), INDEX($AU$67:$BA$76,,$AH956), 1 / ($BC$67:$BC$76*CM956 + (1-$BC$67:$BC$76)*CI956), N($AQ$67:$AQ$76&gt;$AO956))
) / 1000</f>
        <v>0</v>
      </c>
      <c r="CO956" s="232">
        <f t="shared" si="837"/>
        <v>25</v>
      </c>
      <c r="CP956" s="230">
        <f t="shared" si="860"/>
        <v>38</v>
      </c>
      <c r="CQ956" s="235">
        <f t="shared" si="861"/>
        <v>4.0666935483870965</v>
      </c>
      <c r="CR956" s="235" cm="1">
        <f t="array" ref="CR956">$BI956 * IF($AH956&lt;=2,
SUMPRODUCT(INDEX($AR$67:$AT$71,,$AI956), INDEX($AU$67:$BA$71,,$AH956), 1 / ($BB$67:$BB$71*CQ956 + (1-$BB$67:$BB$71)*CM956), N($AQ$67:$AQ$71&gt;$AO956)),
SUMPRODUCT(INDEX($AR$57:$AT$66,,$AI956), INDEX($AU$57:$BA$66,,$AH956), 1 / ($BC$57:$BC$66*CQ956 + (1-$BC$57:$BC$66)*CM956), N($AQ$57:$AQ$66&gt;$AO956))
) / 1000</f>
        <v>0</v>
      </c>
      <c r="CS956" s="232">
        <f t="shared" si="838"/>
        <v>20</v>
      </c>
      <c r="CT956" s="230">
        <f t="shared" si="862"/>
        <v>33</v>
      </c>
      <c r="CU956" s="235">
        <f t="shared" si="863"/>
        <v>4.8487499999999999</v>
      </c>
      <c r="CV956" s="235" cm="1">
        <f t="array" ref="CV956">$BI956 * IF($AH956&lt;=2,
SUMPRODUCT(INDEX($AR$62:$AT$66,,$AI956), INDEX($AU$62:$BA$66,,$AH956), 1 / ($BB$62:$BB$66*CU956 + (1-$BB$62:$BB$66)*CQ956), N($AQ$62:$AQ$66&gt;$AO956)),
SUMPRODUCT(INDEX($AR$47:$AT$56,,$AI956), INDEX($AU$47:$BA$56,,$AH956), 1 / ($BC$47:$BC$56*CU956 + (1-$BC$47:$BC$56)*CQ956), N($AQ$47:$AQ$56&gt;$AO956))
) / 1000</f>
        <v>0</v>
      </c>
      <c r="CW956" s="235" cm="1">
        <f t="array" ref="CW956">$BI956 * IF($AH956&lt;=2,
SUMPRODUCT(INDEX($AR$23:$AT$61,,$AI956), INDEX($AU$23:$BA$61,,$AH956), 1 / ($BB$23:$BB$61*CU956), N($AQ$23:$AQ$61&gt;$AO956)),
SUMPRODUCT(INDEX($AR$23:$AT$46,,$AI956), INDEX($AU$23:$BA$46,,$AH956), 1 / ($BC$23:$BC$46*CU956), N($AQ$23:$AQ$46&gt;$AO956))
) / 1000</f>
        <v>0</v>
      </c>
      <c r="CX956" s="230">
        <f t="shared" si="864"/>
        <v>0</v>
      </c>
      <c r="CY956" s="238"/>
    </row>
    <row r="957" spans="1:103" s="76" customFormat="1" ht="14.25" customHeight="1" x14ac:dyDescent="0.2">
      <c r="A957" s="231" t="b">
        <f t="shared" si="830"/>
        <v>0</v>
      </c>
      <c r="B957" s="245">
        <v>935</v>
      </c>
      <c r="C957" s="258"/>
      <c r="D957" s="258"/>
      <c r="E957" s="246"/>
      <c r="F957" s="247" t="str">
        <f>IF(ISBLANK(E957), "", VLOOKUP(E957, Z!$A$2:$C$4127, 3, FALSE))</f>
        <v/>
      </c>
      <c r="G957" s="248"/>
      <c r="H957" s="248"/>
      <c r="I957" s="249"/>
      <c r="J957" s="250"/>
      <c r="K957" s="259"/>
      <c r="L957" s="260"/>
      <c r="M957" s="252" t="str" cm="1">
        <f t="array" ref="M957">INDEX(Trad, 53, $A$20)</f>
        <v>Verschmutzt</v>
      </c>
      <c r="N957" s="253"/>
      <c r="O957" s="253"/>
      <c r="P957" s="254"/>
      <c r="Q957" s="251"/>
      <c r="R957" s="251"/>
      <c r="S957" s="264">
        <f t="shared" si="839"/>
        <v>0</v>
      </c>
      <c r="T957" s="252" t="str" cm="1">
        <f t="array" ref="T957">INDEX(Trad, 52, $A$20)</f>
        <v>Sauber</v>
      </c>
      <c r="U957" s="253"/>
      <c r="V957" s="253"/>
      <c r="W957" s="254"/>
      <c r="X957" s="251"/>
      <c r="Y957" s="251"/>
      <c r="Z957" s="264">
        <f t="shared" si="840"/>
        <v>0</v>
      </c>
      <c r="AA957" s="261"/>
      <c r="AB957" s="258"/>
      <c r="AC957" s="246"/>
      <c r="AD957" s="247" t="str">
        <f>IF(ISBLANK(AC957), "", VLOOKUP(AC957, Z!$A$2:$C$4127, 3, FALSE))</f>
        <v/>
      </c>
      <c r="AE957" s="262"/>
      <c r="AF957" s="263">
        <f t="shared" si="841"/>
        <v>0</v>
      </c>
      <c r="AG957" s="238"/>
      <c r="AH957" s="229">
        <f t="shared" si="865"/>
        <v>1</v>
      </c>
      <c r="AI957" s="229">
        <f t="shared" si="866"/>
        <v>1</v>
      </c>
      <c r="AJ957" s="229">
        <f t="shared" si="867"/>
        <v>0</v>
      </c>
      <c r="AK957" s="229">
        <v>0</v>
      </c>
      <c r="AL957" s="229">
        <v>0</v>
      </c>
      <c r="AM957" s="229">
        <v>1</v>
      </c>
      <c r="AN957" s="229">
        <v>0</v>
      </c>
      <c r="AO957" s="229">
        <f t="shared" si="842"/>
        <v>-100</v>
      </c>
      <c r="AP957" s="238"/>
      <c r="AQ957" s="255"/>
      <c r="AR957" s="255"/>
      <c r="AS957" s="256"/>
      <c r="AT957" s="256"/>
      <c r="AU957" s="256"/>
      <c r="AV957" s="256"/>
      <c r="AW957" s="256"/>
      <c r="AX957" s="256"/>
      <c r="AY957" s="256"/>
      <c r="AZ957" s="256"/>
      <c r="BA957" s="256"/>
      <c r="BB957" s="256"/>
      <c r="BC957" s="256"/>
      <c r="BD957" s="238"/>
      <c r="BE957" s="229" cm="1">
        <f t="array" ref="BE957">IF(ISBLANK(R957), INDEX(Use, $AH957, 4) - AM957*INDEX(Use, $AH957, 6), R957)</f>
        <v>5</v>
      </c>
      <c r="BF957" s="229">
        <f t="shared" si="843"/>
        <v>30</v>
      </c>
      <c r="BG957" s="229">
        <f t="shared" si="831"/>
        <v>13</v>
      </c>
      <c r="BH957" s="229">
        <f t="shared" si="832"/>
        <v>0</v>
      </c>
      <c r="BI957" s="234" cm="1">
        <f t="array" ref="BI957">K957/IF($L957&gt;0, INDEX($AU$23:$BA$77, $L957+20, $AH957), 1)</f>
        <v>0</v>
      </c>
      <c r="BJ957" s="230">
        <f t="shared" si="844"/>
        <v>0</v>
      </c>
      <c r="BK957" s="229">
        <v>35</v>
      </c>
      <c r="BL957" s="230">
        <f t="shared" si="845"/>
        <v>48</v>
      </c>
      <c r="BM957" s="235">
        <f t="shared" si="846"/>
        <v>2.9108720930232557</v>
      </c>
      <c r="BN957" s="235" cm="1">
        <f t="array" ref="BN957">$BI957 * SUMPRODUCT(INDEX($AR$77:$AT$82,,$AI957),INDEX($AU$77:$BA$82,,$AH957), N($AQ$77:$AQ$82&gt;$AO957)) / BM957 / 1000</f>
        <v>0</v>
      </c>
      <c r="BO957" s="232">
        <f t="shared" si="833"/>
        <v>30</v>
      </c>
      <c r="BP957" s="230">
        <f t="shared" si="847"/>
        <v>43</v>
      </c>
      <c r="BQ957" s="235">
        <f t="shared" si="848"/>
        <v>3.2938815789473681</v>
      </c>
      <c r="BR957" s="235" cm="1">
        <f t="array" ref="BR957">$BI957 * IF($AH957&lt;=2,
SUMPRODUCT(INDEX($AR$72:$AT$76,,$AI957), INDEX($AU$72:$BA$76,,$AH957), 1 / ($BB$72:$BB$76*BQ957 + (1-$BB$72:$BB$76)*BM957), N($AQ$72:$AQ$76&gt;$AO957)),
SUMPRODUCT(INDEX($AR$67:$AT$76,,$AI957), INDEX($AU$67:$BA$76,,$AH957), 1 / ($BC$67:$BC$76*BQ957 + (1-$BC$67:$BC$76)*BM957), N($AQ$67:$AQ$76&gt;$AO957))
) / 1000</f>
        <v>0</v>
      </c>
      <c r="BS957" s="232">
        <f t="shared" si="834"/>
        <v>25</v>
      </c>
      <c r="BT957" s="230">
        <f t="shared" si="849"/>
        <v>38</v>
      </c>
      <c r="BU957" s="235">
        <f t="shared" si="850"/>
        <v>3.792954545454545</v>
      </c>
      <c r="BV957" s="235" cm="1">
        <f t="array" ref="BV957">$BI957 * IF($AH957&lt;=2,
SUMPRODUCT(INDEX($AR$67:$AT$71,,$AI957), INDEX($AU$67:$BA$71,,$AH957), 1 / ($BB$67:$BB$71*BU957 + (1-$BB$67:$BB$71)*BQ957), N($AQ$67:$AQ$71&gt;$AO957)),
SUMPRODUCT(INDEX($AR$57:$AT$66,,$AI957), INDEX($AU$57:$BA$66,,$AH957), 1 / ($BC$57:$BC$66*BU957 + (1-$BC$57:$BC$66)*BQ957), N($AQ$57:$AQ$66&gt;$AO957))
) / 1000</f>
        <v>0</v>
      </c>
      <c r="BW957" s="232">
        <f t="shared" si="835"/>
        <v>20</v>
      </c>
      <c r="BX957" s="230">
        <f t="shared" si="851"/>
        <v>33</v>
      </c>
      <c r="BY957" s="235">
        <f t="shared" si="852"/>
        <v>4.4702678571428569</v>
      </c>
      <c r="BZ957" s="235" cm="1">
        <f t="array" ref="BZ957">$BI957 * IF($AH957&lt;=2,
SUMPRODUCT(INDEX($AR$62:$AT$66,,$AI957), INDEX($AU$62:$BA$66,,$AH957), 1 / ($BB$62:$BB$66*BY957 + (1-$BB$62:$BB$66)*BU957), N($AQ$62:$AQ$66&gt;$AO957)),
SUMPRODUCT(INDEX($AR$47:$AT$56,,$AI957), INDEX($AU$47:$BA$56,,$AH957), 1 / ($BC$47:$BC$56*BY957 + (1-$BC$47:$BC$56)*BU957), N($AQ$47:$AQ$56&gt;$AO957))
) / 1000</f>
        <v>0</v>
      </c>
      <c r="CA957" s="235" cm="1">
        <f t="array" ref="CA957">$BI957 * IF($AH957&lt;=2,
SUMPRODUCT(INDEX($AR$23:$AT$61,,$AI957), INDEX($AU$23:$BA$61,,$AH957), 1 / ($BB$23:$BB$61*BY957), N($AQ$23:$AQ$61&gt;$AO957)),
SUMPRODUCT(INDEX($AR$23:$AT$46,,$AI957), INDEX($AU$23:$BA$46,,$AH957), 1 / ($BC$23:$BC$46*BY957), N($AQ$23:$AQ$46&gt;$AO957))
) / 1000</f>
        <v>0</v>
      </c>
      <c r="CB957" s="230">
        <f t="shared" si="853"/>
        <v>0</v>
      </c>
      <c r="CC957" s="238"/>
      <c r="CD957" s="229" cm="1">
        <f t="array" ref="CD957">IF(ISBLANK(Y957), INDEX(Use, $AH957, 4) - AN957*INDEX(Use, $AH957, 6) - (Q957-X957), Y957)</f>
        <v>7</v>
      </c>
      <c r="CE957" s="229">
        <f t="shared" si="854"/>
        <v>32</v>
      </c>
      <c r="CF957" s="230">
        <f t="shared" si="855"/>
        <v>0</v>
      </c>
      <c r="CG957" s="229">
        <v>35</v>
      </c>
      <c r="CH957" s="230">
        <f t="shared" si="856"/>
        <v>48</v>
      </c>
      <c r="CI957" s="235">
        <f t="shared" si="857"/>
        <v>3.0748170731707316</v>
      </c>
      <c r="CJ957" s="235" cm="1">
        <f t="array" ref="CJ957">$BI957 * SUMPRODUCT(INDEX($AR$77:$AT$82,,$AI957),INDEX($AU$77:$BA$82,,$AH957), N($AQ$77:$AQ$82&gt;$AO957)) / CI957 / 1000</f>
        <v>0</v>
      </c>
      <c r="CK957" s="232">
        <f t="shared" si="836"/>
        <v>30</v>
      </c>
      <c r="CL957" s="230">
        <f t="shared" si="858"/>
        <v>43</v>
      </c>
      <c r="CM957" s="235">
        <f t="shared" si="859"/>
        <v>3.5018750000000001</v>
      </c>
      <c r="CN957" s="235" cm="1">
        <f t="array" ref="CN957">$BI957 * IF($AH957&lt;=2,
SUMPRODUCT(INDEX($AR$72:$AT$76,,$AI957), INDEX($AU$72:$BA$76,,$AH957), 1 / ($BB$72:$BB$76*CM957 + (1-$BB$72:$BB$76)*CI957), N($AQ$72:$AQ$76&gt;$AO957)),
SUMPRODUCT(INDEX($AR$67:$AT$76,,$AI957), INDEX($AU$67:$BA$76,,$AH957), 1 / ($BC$67:$BC$76*CM957 + (1-$BC$67:$BC$76)*CI957), N($AQ$67:$AQ$76&gt;$AO957))
) / 1000</f>
        <v>0</v>
      </c>
      <c r="CO957" s="232">
        <f t="shared" si="837"/>
        <v>25</v>
      </c>
      <c r="CP957" s="230">
        <f t="shared" si="860"/>
        <v>38</v>
      </c>
      <c r="CQ957" s="235">
        <f t="shared" si="861"/>
        <v>4.0666935483870965</v>
      </c>
      <c r="CR957" s="235" cm="1">
        <f t="array" ref="CR957">$BI957 * IF($AH957&lt;=2,
SUMPRODUCT(INDEX($AR$67:$AT$71,,$AI957), INDEX($AU$67:$BA$71,,$AH957), 1 / ($BB$67:$BB$71*CQ957 + (1-$BB$67:$BB$71)*CM957), N($AQ$67:$AQ$71&gt;$AO957)),
SUMPRODUCT(INDEX($AR$57:$AT$66,,$AI957), INDEX($AU$57:$BA$66,,$AH957), 1 / ($BC$57:$BC$66*CQ957 + (1-$BC$57:$BC$66)*CM957), N($AQ$57:$AQ$66&gt;$AO957))
) / 1000</f>
        <v>0</v>
      </c>
      <c r="CS957" s="232">
        <f t="shared" si="838"/>
        <v>20</v>
      </c>
      <c r="CT957" s="230">
        <f t="shared" si="862"/>
        <v>33</v>
      </c>
      <c r="CU957" s="235">
        <f t="shared" si="863"/>
        <v>4.8487499999999999</v>
      </c>
      <c r="CV957" s="235" cm="1">
        <f t="array" ref="CV957">$BI957 * IF($AH957&lt;=2,
SUMPRODUCT(INDEX($AR$62:$AT$66,,$AI957), INDEX($AU$62:$BA$66,,$AH957), 1 / ($BB$62:$BB$66*CU957 + (1-$BB$62:$BB$66)*CQ957), N($AQ$62:$AQ$66&gt;$AO957)),
SUMPRODUCT(INDEX($AR$47:$AT$56,,$AI957), INDEX($AU$47:$BA$56,,$AH957), 1 / ($BC$47:$BC$56*CU957 + (1-$BC$47:$BC$56)*CQ957), N($AQ$47:$AQ$56&gt;$AO957))
) / 1000</f>
        <v>0</v>
      </c>
      <c r="CW957" s="235" cm="1">
        <f t="array" ref="CW957">$BI957 * IF($AH957&lt;=2,
SUMPRODUCT(INDEX($AR$23:$AT$61,,$AI957), INDEX($AU$23:$BA$61,,$AH957), 1 / ($BB$23:$BB$61*CU957), N($AQ$23:$AQ$61&gt;$AO957)),
SUMPRODUCT(INDEX($AR$23:$AT$46,,$AI957), INDEX($AU$23:$BA$46,,$AH957), 1 / ($BC$23:$BC$46*CU957), N($AQ$23:$AQ$46&gt;$AO957))
) / 1000</f>
        <v>0</v>
      </c>
      <c r="CX957" s="230">
        <f t="shared" si="864"/>
        <v>0</v>
      </c>
      <c r="CY957" s="238"/>
    </row>
    <row r="958" spans="1:103" s="76" customFormat="1" ht="14.25" customHeight="1" x14ac:dyDescent="0.2">
      <c r="A958" s="231" t="b">
        <f t="shared" si="830"/>
        <v>0</v>
      </c>
      <c r="B958" s="245">
        <v>936</v>
      </c>
      <c r="C958" s="258"/>
      <c r="D958" s="258"/>
      <c r="E958" s="246"/>
      <c r="F958" s="247" t="str">
        <f>IF(ISBLANK(E958), "", VLOOKUP(E958, Z!$A$2:$C$4127, 3, FALSE))</f>
        <v/>
      </c>
      <c r="G958" s="248"/>
      <c r="H958" s="248"/>
      <c r="I958" s="249"/>
      <c r="J958" s="250"/>
      <c r="K958" s="259"/>
      <c r="L958" s="260"/>
      <c r="M958" s="252" t="str" cm="1">
        <f t="array" ref="M958">INDEX(Trad, 53, $A$20)</f>
        <v>Verschmutzt</v>
      </c>
      <c r="N958" s="253"/>
      <c r="O958" s="253"/>
      <c r="P958" s="254"/>
      <c r="Q958" s="251"/>
      <c r="R958" s="251"/>
      <c r="S958" s="264">
        <f t="shared" si="839"/>
        <v>0</v>
      </c>
      <c r="T958" s="252" t="str" cm="1">
        <f t="array" ref="T958">INDEX(Trad, 52, $A$20)</f>
        <v>Sauber</v>
      </c>
      <c r="U958" s="253"/>
      <c r="V958" s="253"/>
      <c r="W958" s="254"/>
      <c r="X958" s="251"/>
      <c r="Y958" s="251"/>
      <c r="Z958" s="264">
        <f t="shared" si="840"/>
        <v>0</v>
      </c>
      <c r="AA958" s="261"/>
      <c r="AB958" s="258"/>
      <c r="AC958" s="246"/>
      <c r="AD958" s="247" t="str">
        <f>IF(ISBLANK(AC958), "", VLOOKUP(AC958, Z!$A$2:$C$4127, 3, FALSE))</f>
        <v/>
      </c>
      <c r="AE958" s="262"/>
      <c r="AF958" s="263">
        <f t="shared" si="841"/>
        <v>0</v>
      </c>
      <c r="AG958" s="238"/>
      <c r="AH958" s="229">
        <f t="shared" si="865"/>
        <v>1</v>
      </c>
      <c r="AI958" s="229">
        <f t="shared" si="866"/>
        <v>1</v>
      </c>
      <c r="AJ958" s="229">
        <f t="shared" si="867"/>
        <v>0</v>
      </c>
      <c r="AK958" s="229">
        <v>0</v>
      </c>
      <c r="AL958" s="229">
        <v>0</v>
      </c>
      <c r="AM958" s="229">
        <v>1</v>
      </c>
      <c r="AN958" s="229">
        <v>0</v>
      </c>
      <c r="AO958" s="229">
        <f t="shared" si="842"/>
        <v>-100</v>
      </c>
      <c r="AP958" s="238"/>
      <c r="AQ958" s="255"/>
      <c r="AR958" s="255"/>
      <c r="AS958" s="256"/>
      <c r="AT958" s="256"/>
      <c r="AU958" s="256"/>
      <c r="AV958" s="256"/>
      <c r="AW958" s="256"/>
      <c r="AX958" s="256"/>
      <c r="AY958" s="256"/>
      <c r="AZ958" s="256"/>
      <c r="BA958" s="256"/>
      <c r="BB958" s="256"/>
      <c r="BC958" s="256"/>
      <c r="BD958" s="238"/>
      <c r="BE958" s="229" cm="1">
        <f t="array" ref="BE958">IF(ISBLANK(R958), INDEX(Use, $AH958, 4) - AM958*INDEX(Use, $AH958, 6), R958)</f>
        <v>5</v>
      </c>
      <c r="BF958" s="229">
        <f t="shared" si="843"/>
        <v>30</v>
      </c>
      <c r="BG958" s="229">
        <f t="shared" si="831"/>
        <v>13</v>
      </c>
      <c r="BH958" s="229">
        <f t="shared" si="832"/>
        <v>0</v>
      </c>
      <c r="BI958" s="234" cm="1">
        <f t="array" ref="BI958">K958/IF($L958&gt;0, INDEX($AU$23:$BA$77, $L958+20, $AH958), 1)</f>
        <v>0</v>
      </c>
      <c r="BJ958" s="230">
        <f t="shared" si="844"/>
        <v>0</v>
      </c>
      <c r="BK958" s="229">
        <v>35</v>
      </c>
      <c r="BL958" s="230">
        <f t="shared" si="845"/>
        <v>48</v>
      </c>
      <c r="BM958" s="235">
        <f t="shared" si="846"/>
        <v>2.9108720930232557</v>
      </c>
      <c r="BN958" s="235" cm="1">
        <f t="array" ref="BN958">$BI958 * SUMPRODUCT(INDEX($AR$77:$AT$82,,$AI958),INDEX($AU$77:$BA$82,,$AH958), N($AQ$77:$AQ$82&gt;$AO958)) / BM958 / 1000</f>
        <v>0</v>
      </c>
      <c r="BO958" s="232">
        <f t="shared" si="833"/>
        <v>30</v>
      </c>
      <c r="BP958" s="230">
        <f t="shared" si="847"/>
        <v>43</v>
      </c>
      <c r="BQ958" s="235">
        <f t="shared" si="848"/>
        <v>3.2938815789473681</v>
      </c>
      <c r="BR958" s="235" cm="1">
        <f t="array" ref="BR958">$BI958 * IF($AH958&lt;=2,
SUMPRODUCT(INDEX($AR$72:$AT$76,,$AI958), INDEX($AU$72:$BA$76,,$AH958), 1 / ($BB$72:$BB$76*BQ958 + (1-$BB$72:$BB$76)*BM958), N($AQ$72:$AQ$76&gt;$AO958)),
SUMPRODUCT(INDEX($AR$67:$AT$76,,$AI958), INDEX($AU$67:$BA$76,,$AH958), 1 / ($BC$67:$BC$76*BQ958 + (1-$BC$67:$BC$76)*BM958), N($AQ$67:$AQ$76&gt;$AO958))
) / 1000</f>
        <v>0</v>
      </c>
      <c r="BS958" s="232">
        <f t="shared" si="834"/>
        <v>25</v>
      </c>
      <c r="BT958" s="230">
        <f t="shared" si="849"/>
        <v>38</v>
      </c>
      <c r="BU958" s="235">
        <f t="shared" si="850"/>
        <v>3.792954545454545</v>
      </c>
      <c r="BV958" s="235" cm="1">
        <f t="array" ref="BV958">$BI958 * IF($AH958&lt;=2,
SUMPRODUCT(INDEX($AR$67:$AT$71,,$AI958), INDEX($AU$67:$BA$71,,$AH958), 1 / ($BB$67:$BB$71*BU958 + (1-$BB$67:$BB$71)*BQ958), N($AQ$67:$AQ$71&gt;$AO958)),
SUMPRODUCT(INDEX($AR$57:$AT$66,,$AI958), INDEX($AU$57:$BA$66,,$AH958), 1 / ($BC$57:$BC$66*BU958 + (1-$BC$57:$BC$66)*BQ958), N($AQ$57:$AQ$66&gt;$AO958))
) / 1000</f>
        <v>0</v>
      </c>
      <c r="BW958" s="232">
        <f t="shared" si="835"/>
        <v>20</v>
      </c>
      <c r="BX958" s="230">
        <f t="shared" si="851"/>
        <v>33</v>
      </c>
      <c r="BY958" s="235">
        <f t="shared" si="852"/>
        <v>4.4702678571428569</v>
      </c>
      <c r="BZ958" s="235" cm="1">
        <f t="array" ref="BZ958">$BI958 * IF($AH958&lt;=2,
SUMPRODUCT(INDEX($AR$62:$AT$66,,$AI958), INDEX($AU$62:$BA$66,,$AH958), 1 / ($BB$62:$BB$66*BY958 + (1-$BB$62:$BB$66)*BU958), N($AQ$62:$AQ$66&gt;$AO958)),
SUMPRODUCT(INDEX($AR$47:$AT$56,,$AI958), INDEX($AU$47:$BA$56,,$AH958), 1 / ($BC$47:$BC$56*BY958 + (1-$BC$47:$BC$56)*BU958), N($AQ$47:$AQ$56&gt;$AO958))
) / 1000</f>
        <v>0</v>
      </c>
      <c r="CA958" s="235" cm="1">
        <f t="array" ref="CA958">$BI958 * IF($AH958&lt;=2,
SUMPRODUCT(INDEX($AR$23:$AT$61,,$AI958), INDEX($AU$23:$BA$61,,$AH958), 1 / ($BB$23:$BB$61*BY958), N($AQ$23:$AQ$61&gt;$AO958)),
SUMPRODUCT(INDEX($AR$23:$AT$46,,$AI958), INDEX($AU$23:$BA$46,,$AH958), 1 / ($BC$23:$BC$46*BY958), N($AQ$23:$AQ$46&gt;$AO958))
) / 1000</f>
        <v>0</v>
      </c>
      <c r="CB958" s="230">
        <f t="shared" si="853"/>
        <v>0</v>
      </c>
      <c r="CC958" s="238"/>
      <c r="CD958" s="229" cm="1">
        <f t="array" ref="CD958">IF(ISBLANK(Y958), INDEX(Use, $AH958, 4) - AN958*INDEX(Use, $AH958, 6) - (Q958-X958), Y958)</f>
        <v>7</v>
      </c>
      <c r="CE958" s="229">
        <f t="shared" si="854"/>
        <v>32</v>
      </c>
      <c r="CF958" s="230">
        <f t="shared" si="855"/>
        <v>0</v>
      </c>
      <c r="CG958" s="229">
        <v>35</v>
      </c>
      <c r="CH958" s="230">
        <f t="shared" si="856"/>
        <v>48</v>
      </c>
      <c r="CI958" s="235">
        <f t="shared" si="857"/>
        <v>3.0748170731707316</v>
      </c>
      <c r="CJ958" s="235" cm="1">
        <f t="array" ref="CJ958">$BI958 * SUMPRODUCT(INDEX($AR$77:$AT$82,,$AI958),INDEX($AU$77:$BA$82,,$AH958), N($AQ$77:$AQ$82&gt;$AO958)) / CI958 / 1000</f>
        <v>0</v>
      </c>
      <c r="CK958" s="232">
        <f t="shared" si="836"/>
        <v>30</v>
      </c>
      <c r="CL958" s="230">
        <f t="shared" si="858"/>
        <v>43</v>
      </c>
      <c r="CM958" s="235">
        <f t="shared" si="859"/>
        <v>3.5018750000000001</v>
      </c>
      <c r="CN958" s="235" cm="1">
        <f t="array" ref="CN958">$BI958 * IF($AH958&lt;=2,
SUMPRODUCT(INDEX($AR$72:$AT$76,,$AI958), INDEX($AU$72:$BA$76,,$AH958), 1 / ($BB$72:$BB$76*CM958 + (1-$BB$72:$BB$76)*CI958), N($AQ$72:$AQ$76&gt;$AO958)),
SUMPRODUCT(INDEX($AR$67:$AT$76,,$AI958), INDEX($AU$67:$BA$76,,$AH958), 1 / ($BC$67:$BC$76*CM958 + (1-$BC$67:$BC$76)*CI958), N($AQ$67:$AQ$76&gt;$AO958))
) / 1000</f>
        <v>0</v>
      </c>
      <c r="CO958" s="232">
        <f t="shared" si="837"/>
        <v>25</v>
      </c>
      <c r="CP958" s="230">
        <f t="shared" si="860"/>
        <v>38</v>
      </c>
      <c r="CQ958" s="235">
        <f t="shared" si="861"/>
        <v>4.0666935483870965</v>
      </c>
      <c r="CR958" s="235" cm="1">
        <f t="array" ref="CR958">$BI958 * IF($AH958&lt;=2,
SUMPRODUCT(INDEX($AR$67:$AT$71,,$AI958), INDEX($AU$67:$BA$71,,$AH958), 1 / ($BB$67:$BB$71*CQ958 + (1-$BB$67:$BB$71)*CM958), N($AQ$67:$AQ$71&gt;$AO958)),
SUMPRODUCT(INDEX($AR$57:$AT$66,,$AI958), INDEX($AU$57:$BA$66,,$AH958), 1 / ($BC$57:$BC$66*CQ958 + (1-$BC$57:$BC$66)*CM958), N($AQ$57:$AQ$66&gt;$AO958))
) / 1000</f>
        <v>0</v>
      </c>
      <c r="CS958" s="232">
        <f t="shared" si="838"/>
        <v>20</v>
      </c>
      <c r="CT958" s="230">
        <f t="shared" si="862"/>
        <v>33</v>
      </c>
      <c r="CU958" s="235">
        <f t="shared" si="863"/>
        <v>4.8487499999999999</v>
      </c>
      <c r="CV958" s="235" cm="1">
        <f t="array" ref="CV958">$BI958 * IF($AH958&lt;=2,
SUMPRODUCT(INDEX($AR$62:$AT$66,,$AI958), INDEX($AU$62:$BA$66,,$AH958), 1 / ($BB$62:$BB$66*CU958 + (1-$BB$62:$BB$66)*CQ958), N($AQ$62:$AQ$66&gt;$AO958)),
SUMPRODUCT(INDEX($AR$47:$AT$56,,$AI958), INDEX($AU$47:$BA$56,,$AH958), 1 / ($BC$47:$BC$56*CU958 + (1-$BC$47:$BC$56)*CQ958), N($AQ$47:$AQ$56&gt;$AO958))
) / 1000</f>
        <v>0</v>
      </c>
      <c r="CW958" s="235" cm="1">
        <f t="array" ref="CW958">$BI958 * IF($AH958&lt;=2,
SUMPRODUCT(INDEX($AR$23:$AT$61,,$AI958), INDEX($AU$23:$BA$61,,$AH958), 1 / ($BB$23:$BB$61*CU958), N($AQ$23:$AQ$61&gt;$AO958)),
SUMPRODUCT(INDEX($AR$23:$AT$46,,$AI958), INDEX($AU$23:$BA$46,,$AH958), 1 / ($BC$23:$BC$46*CU958), N($AQ$23:$AQ$46&gt;$AO958))
) / 1000</f>
        <v>0</v>
      </c>
      <c r="CX958" s="230">
        <f t="shared" si="864"/>
        <v>0</v>
      </c>
      <c r="CY958" s="238"/>
    </row>
    <row r="959" spans="1:103" s="76" customFormat="1" ht="14.25" customHeight="1" x14ac:dyDescent="0.2">
      <c r="A959" s="231" t="b">
        <f t="shared" si="830"/>
        <v>0</v>
      </c>
      <c r="B959" s="245">
        <v>937</v>
      </c>
      <c r="C959" s="258"/>
      <c r="D959" s="258"/>
      <c r="E959" s="246"/>
      <c r="F959" s="247" t="str">
        <f>IF(ISBLANK(E959), "", VLOOKUP(E959, Z!$A$2:$C$4127, 3, FALSE))</f>
        <v/>
      </c>
      <c r="G959" s="248"/>
      <c r="H959" s="248"/>
      <c r="I959" s="249"/>
      <c r="J959" s="250"/>
      <c r="K959" s="259"/>
      <c r="L959" s="260"/>
      <c r="M959" s="252" t="str" cm="1">
        <f t="array" ref="M959">INDEX(Trad, 53, $A$20)</f>
        <v>Verschmutzt</v>
      </c>
      <c r="N959" s="253"/>
      <c r="O959" s="253"/>
      <c r="P959" s="254"/>
      <c r="Q959" s="251"/>
      <c r="R959" s="251"/>
      <c r="S959" s="264">
        <f t="shared" si="839"/>
        <v>0</v>
      </c>
      <c r="T959" s="252" t="str" cm="1">
        <f t="array" ref="T959">INDEX(Trad, 52, $A$20)</f>
        <v>Sauber</v>
      </c>
      <c r="U959" s="253"/>
      <c r="V959" s="253"/>
      <c r="W959" s="254"/>
      <c r="X959" s="251"/>
      <c r="Y959" s="251"/>
      <c r="Z959" s="264">
        <f t="shared" si="840"/>
        <v>0</v>
      </c>
      <c r="AA959" s="261"/>
      <c r="AB959" s="258"/>
      <c r="AC959" s="246"/>
      <c r="AD959" s="247" t="str">
        <f>IF(ISBLANK(AC959), "", VLOOKUP(AC959, Z!$A$2:$C$4127, 3, FALSE))</f>
        <v/>
      </c>
      <c r="AE959" s="262"/>
      <c r="AF959" s="263">
        <f t="shared" si="841"/>
        <v>0</v>
      </c>
      <c r="AG959" s="238"/>
      <c r="AH959" s="229">
        <f t="shared" si="865"/>
        <v>1</v>
      </c>
      <c r="AI959" s="229">
        <f t="shared" si="866"/>
        <v>1</v>
      </c>
      <c r="AJ959" s="229">
        <f t="shared" si="867"/>
        <v>0</v>
      </c>
      <c r="AK959" s="229">
        <v>0</v>
      </c>
      <c r="AL959" s="229">
        <v>0</v>
      </c>
      <c r="AM959" s="229">
        <v>1</v>
      </c>
      <c r="AN959" s="229">
        <v>0</v>
      </c>
      <c r="AO959" s="229">
        <f t="shared" si="842"/>
        <v>-100</v>
      </c>
      <c r="AP959" s="238"/>
      <c r="AQ959" s="255"/>
      <c r="AR959" s="255"/>
      <c r="AS959" s="256"/>
      <c r="AT959" s="256"/>
      <c r="AU959" s="256"/>
      <c r="AV959" s="256"/>
      <c r="AW959" s="256"/>
      <c r="AX959" s="256"/>
      <c r="AY959" s="256"/>
      <c r="AZ959" s="256"/>
      <c r="BA959" s="256"/>
      <c r="BB959" s="256"/>
      <c r="BC959" s="256"/>
      <c r="BD959" s="238"/>
      <c r="BE959" s="229" cm="1">
        <f t="array" ref="BE959">IF(ISBLANK(R959), INDEX(Use, $AH959, 4) - AM959*INDEX(Use, $AH959, 6), R959)</f>
        <v>5</v>
      </c>
      <c r="BF959" s="229">
        <f t="shared" si="843"/>
        <v>30</v>
      </c>
      <c r="BG959" s="229">
        <f t="shared" si="831"/>
        <v>13</v>
      </c>
      <c r="BH959" s="229">
        <f t="shared" si="832"/>
        <v>0</v>
      </c>
      <c r="BI959" s="234" cm="1">
        <f t="array" ref="BI959">K959/IF($L959&gt;0, INDEX($AU$23:$BA$77, $L959+20, $AH959), 1)</f>
        <v>0</v>
      </c>
      <c r="BJ959" s="230">
        <f t="shared" si="844"/>
        <v>0</v>
      </c>
      <c r="BK959" s="229">
        <v>35</v>
      </c>
      <c r="BL959" s="230">
        <f t="shared" si="845"/>
        <v>48</v>
      </c>
      <c r="BM959" s="235">
        <f t="shared" si="846"/>
        <v>2.9108720930232557</v>
      </c>
      <c r="BN959" s="235" cm="1">
        <f t="array" ref="BN959">$BI959 * SUMPRODUCT(INDEX($AR$77:$AT$82,,$AI959),INDEX($AU$77:$BA$82,,$AH959), N($AQ$77:$AQ$82&gt;$AO959)) / BM959 / 1000</f>
        <v>0</v>
      </c>
      <c r="BO959" s="232">
        <f t="shared" si="833"/>
        <v>30</v>
      </c>
      <c r="BP959" s="230">
        <f t="shared" si="847"/>
        <v>43</v>
      </c>
      <c r="BQ959" s="235">
        <f t="shared" si="848"/>
        <v>3.2938815789473681</v>
      </c>
      <c r="BR959" s="235" cm="1">
        <f t="array" ref="BR959">$BI959 * IF($AH959&lt;=2,
SUMPRODUCT(INDEX($AR$72:$AT$76,,$AI959), INDEX($AU$72:$BA$76,,$AH959), 1 / ($BB$72:$BB$76*BQ959 + (1-$BB$72:$BB$76)*BM959), N($AQ$72:$AQ$76&gt;$AO959)),
SUMPRODUCT(INDEX($AR$67:$AT$76,,$AI959), INDEX($AU$67:$BA$76,,$AH959), 1 / ($BC$67:$BC$76*BQ959 + (1-$BC$67:$BC$76)*BM959), N($AQ$67:$AQ$76&gt;$AO959))
) / 1000</f>
        <v>0</v>
      </c>
      <c r="BS959" s="232">
        <f t="shared" si="834"/>
        <v>25</v>
      </c>
      <c r="BT959" s="230">
        <f t="shared" si="849"/>
        <v>38</v>
      </c>
      <c r="BU959" s="235">
        <f t="shared" si="850"/>
        <v>3.792954545454545</v>
      </c>
      <c r="BV959" s="235" cm="1">
        <f t="array" ref="BV959">$BI959 * IF($AH959&lt;=2,
SUMPRODUCT(INDEX($AR$67:$AT$71,,$AI959), INDEX($AU$67:$BA$71,,$AH959), 1 / ($BB$67:$BB$71*BU959 + (1-$BB$67:$BB$71)*BQ959), N($AQ$67:$AQ$71&gt;$AO959)),
SUMPRODUCT(INDEX($AR$57:$AT$66,,$AI959), INDEX($AU$57:$BA$66,,$AH959), 1 / ($BC$57:$BC$66*BU959 + (1-$BC$57:$BC$66)*BQ959), N($AQ$57:$AQ$66&gt;$AO959))
) / 1000</f>
        <v>0</v>
      </c>
      <c r="BW959" s="232">
        <f t="shared" si="835"/>
        <v>20</v>
      </c>
      <c r="BX959" s="230">
        <f t="shared" si="851"/>
        <v>33</v>
      </c>
      <c r="BY959" s="235">
        <f t="shared" si="852"/>
        <v>4.4702678571428569</v>
      </c>
      <c r="BZ959" s="235" cm="1">
        <f t="array" ref="BZ959">$BI959 * IF($AH959&lt;=2,
SUMPRODUCT(INDEX($AR$62:$AT$66,,$AI959), INDEX($AU$62:$BA$66,,$AH959), 1 / ($BB$62:$BB$66*BY959 + (1-$BB$62:$BB$66)*BU959), N($AQ$62:$AQ$66&gt;$AO959)),
SUMPRODUCT(INDEX($AR$47:$AT$56,,$AI959), INDEX($AU$47:$BA$56,,$AH959), 1 / ($BC$47:$BC$56*BY959 + (1-$BC$47:$BC$56)*BU959), N($AQ$47:$AQ$56&gt;$AO959))
) / 1000</f>
        <v>0</v>
      </c>
      <c r="CA959" s="235" cm="1">
        <f t="array" ref="CA959">$BI959 * IF($AH959&lt;=2,
SUMPRODUCT(INDEX($AR$23:$AT$61,,$AI959), INDEX($AU$23:$BA$61,,$AH959), 1 / ($BB$23:$BB$61*BY959), N($AQ$23:$AQ$61&gt;$AO959)),
SUMPRODUCT(INDEX($AR$23:$AT$46,,$AI959), INDEX($AU$23:$BA$46,,$AH959), 1 / ($BC$23:$BC$46*BY959), N($AQ$23:$AQ$46&gt;$AO959))
) / 1000</f>
        <v>0</v>
      </c>
      <c r="CB959" s="230">
        <f t="shared" si="853"/>
        <v>0</v>
      </c>
      <c r="CC959" s="238"/>
      <c r="CD959" s="229" cm="1">
        <f t="array" ref="CD959">IF(ISBLANK(Y959), INDEX(Use, $AH959, 4) - AN959*INDEX(Use, $AH959, 6) - (Q959-X959), Y959)</f>
        <v>7</v>
      </c>
      <c r="CE959" s="229">
        <f t="shared" si="854"/>
        <v>32</v>
      </c>
      <c r="CF959" s="230">
        <f t="shared" si="855"/>
        <v>0</v>
      </c>
      <c r="CG959" s="229">
        <v>35</v>
      </c>
      <c r="CH959" s="230">
        <f t="shared" si="856"/>
        <v>48</v>
      </c>
      <c r="CI959" s="235">
        <f t="shared" si="857"/>
        <v>3.0748170731707316</v>
      </c>
      <c r="CJ959" s="235" cm="1">
        <f t="array" ref="CJ959">$BI959 * SUMPRODUCT(INDEX($AR$77:$AT$82,,$AI959),INDEX($AU$77:$BA$82,,$AH959), N($AQ$77:$AQ$82&gt;$AO959)) / CI959 / 1000</f>
        <v>0</v>
      </c>
      <c r="CK959" s="232">
        <f t="shared" si="836"/>
        <v>30</v>
      </c>
      <c r="CL959" s="230">
        <f t="shared" si="858"/>
        <v>43</v>
      </c>
      <c r="CM959" s="235">
        <f t="shared" si="859"/>
        <v>3.5018750000000001</v>
      </c>
      <c r="CN959" s="235" cm="1">
        <f t="array" ref="CN959">$BI959 * IF($AH959&lt;=2,
SUMPRODUCT(INDEX($AR$72:$AT$76,,$AI959), INDEX($AU$72:$BA$76,,$AH959), 1 / ($BB$72:$BB$76*CM959 + (1-$BB$72:$BB$76)*CI959), N($AQ$72:$AQ$76&gt;$AO959)),
SUMPRODUCT(INDEX($AR$67:$AT$76,,$AI959), INDEX($AU$67:$BA$76,,$AH959), 1 / ($BC$67:$BC$76*CM959 + (1-$BC$67:$BC$76)*CI959), N($AQ$67:$AQ$76&gt;$AO959))
) / 1000</f>
        <v>0</v>
      </c>
      <c r="CO959" s="232">
        <f t="shared" si="837"/>
        <v>25</v>
      </c>
      <c r="CP959" s="230">
        <f t="shared" si="860"/>
        <v>38</v>
      </c>
      <c r="CQ959" s="235">
        <f t="shared" si="861"/>
        <v>4.0666935483870965</v>
      </c>
      <c r="CR959" s="235" cm="1">
        <f t="array" ref="CR959">$BI959 * IF($AH959&lt;=2,
SUMPRODUCT(INDEX($AR$67:$AT$71,,$AI959), INDEX($AU$67:$BA$71,,$AH959), 1 / ($BB$67:$BB$71*CQ959 + (1-$BB$67:$BB$71)*CM959), N($AQ$67:$AQ$71&gt;$AO959)),
SUMPRODUCT(INDEX($AR$57:$AT$66,,$AI959), INDEX($AU$57:$BA$66,,$AH959), 1 / ($BC$57:$BC$66*CQ959 + (1-$BC$57:$BC$66)*CM959), N($AQ$57:$AQ$66&gt;$AO959))
) / 1000</f>
        <v>0</v>
      </c>
      <c r="CS959" s="232">
        <f t="shared" si="838"/>
        <v>20</v>
      </c>
      <c r="CT959" s="230">
        <f t="shared" si="862"/>
        <v>33</v>
      </c>
      <c r="CU959" s="235">
        <f t="shared" si="863"/>
        <v>4.8487499999999999</v>
      </c>
      <c r="CV959" s="235" cm="1">
        <f t="array" ref="CV959">$BI959 * IF($AH959&lt;=2,
SUMPRODUCT(INDEX($AR$62:$AT$66,,$AI959), INDEX($AU$62:$BA$66,,$AH959), 1 / ($BB$62:$BB$66*CU959 + (1-$BB$62:$BB$66)*CQ959), N($AQ$62:$AQ$66&gt;$AO959)),
SUMPRODUCT(INDEX($AR$47:$AT$56,,$AI959), INDEX($AU$47:$BA$56,,$AH959), 1 / ($BC$47:$BC$56*CU959 + (1-$BC$47:$BC$56)*CQ959), N($AQ$47:$AQ$56&gt;$AO959))
) / 1000</f>
        <v>0</v>
      </c>
      <c r="CW959" s="235" cm="1">
        <f t="array" ref="CW959">$BI959 * IF($AH959&lt;=2,
SUMPRODUCT(INDEX($AR$23:$AT$61,,$AI959), INDEX($AU$23:$BA$61,,$AH959), 1 / ($BB$23:$BB$61*CU959), N($AQ$23:$AQ$61&gt;$AO959)),
SUMPRODUCT(INDEX($AR$23:$AT$46,,$AI959), INDEX($AU$23:$BA$46,,$AH959), 1 / ($BC$23:$BC$46*CU959), N($AQ$23:$AQ$46&gt;$AO959))
) / 1000</f>
        <v>0</v>
      </c>
      <c r="CX959" s="230">
        <f t="shared" si="864"/>
        <v>0</v>
      </c>
      <c r="CY959" s="238"/>
    </row>
    <row r="960" spans="1:103" s="76" customFormat="1" ht="14.25" customHeight="1" x14ac:dyDescent="0.2">
      <c r="A960" s="231" t="b">
        <f t="shared" si="830"/>
        <v>0</v>
      </c>
      <c r="B960" s="245">
        <v>938</v>
      </c>
      <c r="C960" s="258"/>
      <c r="D960" s="258"/>
      <c r="E960" s="246"/>
      <c r="F960" s="247" t="str">
        <f>IF(ISBLANK(E960), "", VLOOKUP(E960, Z!$A$2:$C$4127, 3, FALSE))</f>
        <v/>
      </c>
      <c r="G960" s="248"/>
      <c r="H960" s="248"/>
      <c r="I960" s="249"/>
      <c r="J960" s="250"/>
      <c r="K960" s="259"/>
      <c r="L960" s="260"/>
      <c r="M960" s="252" t="str" cm="1">
        <f t="array" ref="M960">INDEX(Trad, 53, $A$20)</f>
        <v>Verschmutzt</v>
      </c>
      <c r="N960" s="253"/>
      <c r="O960" s="253"/>
      <c r="P960" s="254"/>
      <c r="Q960" s="251"/>
      <c r="R960" s="251"/>
      <c r="S960" s="264">
        <f t="shared" si="839"/>
        <v>0</v>
      </c>
      <c r="T960" s="252" t="str" cm="1">
        <f t="array" ref="T960">INDEX(Trad, 52, $A$20)</f>
        <v>Sauber</v>
      </c>
      <c r="U960" s="253"/>
      <c r="V960" s="253"/>
      <c r="W960" s="254"/>
      <c r="X960" s="251"/>
      <c r="Y960" s="251"/>
      <c r="Z960" s="264">
        <f t="shared" si="840"/>
        <v>0</v>
      </c>
      <c r="AA960" s="261"/>
      <c r="AB960" s="258"/>
      <c r="AC960" s="246"/>
      <c r="AD960" s="247" t="str">
        <f>IF(ISBLANK(AC960), "", VLOOKUP(AC960, Z!$A$2:$C$4127, 3, FALSE))</f>
        <v/>
      </c>
      <c r="AE960" s="262"/>
      <c r="AF960" s="263">
        <f t="shared" si="841"/>
        <v>0</v>
      </c>
      <c r="AG960" s="238"/>
      <c r="AH960" s="229">
        <f t="shared" si="865"/>
        <v>1</v>
      </c>
      <c r="AI960" s="229">
        <f t="shared" si="866"/>
        <v>1</v>
      </c>
      <c r="AJ960" s="229">
        <f t="shared" si="867"/>
        <v>0</v>
      </c>
      <c r="AK960" s="229">
        <v>0</v>
      </c>
      <c r="AL960" s="229">
        <v>0</v>
      </c>
      <c r="AM960" s="229">
        <v>1</v>
      </c>
      <c r="AN960" s="229">
        <v>0</v>
      </c>
      <c r="AO960" s="229">
        <f t="shared" si="842"/>
        <v>-100</v>
      </c>
      <c r="AP960" s="238"/>
      <c r="AQ960" s="255"/>
      <c r="AR960" s="255"/>
      <c r="AS960" s="256"/>
      <c r="AT960" s="256"/>
      <c r="AU960" s="256"/>
      <c r="AV960" s="256"/>
      <c r="AW960" s="256"/>
      <c r="AX960" s="256"/>
      <c r="AY960" s="256"/>
      <c r="AZ960" s="256"/>
      <c r="BA960" s="256"/>
      <c r="BB960" s="256"/>
      <c r="BC960" s="256"/>
      <c r="BD960" s="238"/>
      <c r="BE960" s="229" cm="1">
        <f t="array" ref="BE960">IF(ISBLANK(R960), INDEX(Use, $AH960, 4) - AM960*INDEX(Use, $AH960, 6), R960)</f>
        <v>5</v>
      </c>
      <c r="BF960" s="229">
        <f t="shared" si="843"/>
        <v>30</v>
      </c>
      <c r="BG960" s="229">
        <f t="shared" si="831"/>
        <v>13</v>
      </c>
      <c r="BH960" s="229">
        <f t="shared" si="832"/>
        <v>0</v>
      </c>
      <c r="BI960" s="234" cm="1">
        <f t="array" ref="BI960">K960/IF($L960&gt;0, INDEX($AU$23:$BA$77, $L960+20, $AH960), 1)</f>
        <v>0</v>
      </c>
      <c r="BJ960" s="230">
        <f t="shared" si="844"/>
        <v>0</v>
      </c>
      <c r="BK960" s="229">
        <v>35</v>
      </c>
      <c r="BL960" s="230">
        <f t="shared" si="845"/>
        <v>48</v>
      </c>
      <c r="BM960" s="235">
        <f t="shared" si="846"/>
        <v>2.9108720930232557</v>
      </c>
      <c r="BN960" s="235" cm="1">
        <f t="array" ref="BN960">$BI960 * SUMPRODUCT(INDEX($AR$77:$AT$82,,$AI960),INDEX($AU$77:$BA$82,,$AH960), N($AQ$77:$AQ$82&gt;$AO960)) / BM960 / 1000</f>
        <v>0</v>
      </c>
      <c r="BO960" s="232">
        <f t="shared" si="833"/>
        <v>30</v>
      </c>
      <c r="BP960" s="230">
        <f t="shared" si="847"/>
        <v>43</v>
      </c>
      <c r="BQ960" s="235">
        <f t="shared" si="848"/>
        <v>3.2938815789473681</v>
      </c>
      <c r="BR960" s="235" cm="1">
        <f t="array" ref="BR960">$BI960 * IF($AH960&lt;=2,
SUMPRODUCT(INDEX($AR$72:$AT$76,,$AI960), INDEX($AU$72:$BA$76,,$AH960), 1 / ($BB$72:$BB$76*BQ960 + (1-$BB$72:$BB$76)*BM960), N($AQ$72:$AQ$76&gt;$AO960)),
SUMPRODUCT(INDEX($AR$67:$AT$76,,$AI960), INDEX($AU$67:$BA$76,,$AH960), 1 / ($BC$67:$BC$76*BQ960 + (1-$BC$67:$BC$76)*BM960), N($AQ$67:$AQ$76&gt;$AO960))
) / 1000</f>
        <v>0</v>
      </c>
      <c r="BS960" s="232">
        <f t="shared" si="834"/>
        <v>25</v>
      </c>
      <c r="BT960" s="230">
        <f t="shared" si="849"/>
        <v>38</v>
      </c>
      <c r="BU960" s="235">
        <f t="shared" si="850"/>
        <v>3.792954545454545</v>
      </c>
      <c r="BV960" s="235" cm="1">
        <f t="array" ref="BV960">$BI960 * IF($AH960&lt;=2,
SUMPRODUCT(INDEX($AR$67:$AT$71,,$AI960), INDEX($AU$67:$BA$71,,$AH960), 1 / ($BB$67:$BB$71*BU960 + (1-$BB$67:$BB$71)*BQ960), N($AQ$67:$AQ$71&gt;$AO960)),
SUMPRODUCT(INDEX($AR$57:$AT$66,,$AI960), INDEX($AU$57:$BA$66,,$AH960), 1 / ($BC$57:$BC$66*BU960 + (1-$BC$57:$BC$66)*BQ960), N($AQ$57:$AQ$66&gt;$AO960))
) / 1000</f>
        <v>0</v>
      </c>
      <c r="BW960" s="232">
        <f t="shared" si="835"/>
        <v>20</v>
      </c>
      <c r="BX960" s="230">
        <f t="shared" si="851"/>
        <v>33</v>
      </c>
      <c r="BY960" s="235">
        <f t="shared" si="852"/>
        <v>4.4702678571428569</v>
      </c>
      <c r="BZ960" s="235" cm="1">
        <f t="array" ref="BZ960">$BI960 * IF($AH960&lt;=2,
SUMPRODUCT(INDEX($AR$62:$AT$66,,$AI960), INDEX($AU$62:$BA$66,,$AH960), 1 / ($BB$62:$BB$66*BY960 + (1-$BB$62:$BB$66)*BU960), N($AQ$62:$AQ$66&gt;$AO960)),
SUMPRODUCT(INDEX($AR$47:$AT$56,,$AI960), INDEX($AU$47:$BA$56,,$AH960), 1 / ($BC$47:$BC$56*BY960 + (1-$BC$47:$BC$56)*BU960), N($AQ$47:$AQ$56&gt;$AO960))
) / 1000</f>
        <v>0</v>
      </c>
      <c r="CA960" s="235" cm="1">
        <f t="array" ref="CA960">$BI960 * IF($AH960&lt;=2,
SUMPRODUCT(INDEX($AR$23:$AT$61,,$AI960), INDEX($AU$23:$BA$61,,$AH960), 1 / ($BB$23:$BB$61*BY960), N($AQ$23:$AQ$61&gt;$AO960)),
SUMPRODUCT(INDEX($AR$23:$AT$46,,$AI960), INDEX($AU$23:$BA$46,,$AH960), 1 / ($BC$23:$BC$46*BY960), N($AQ$23:$AQ$46&gt;$AO960))
) / 1000</f>
        <v>0</v>
      </c>
      <c r="CB960" s="230">
        <f t="shared" si="853"/>
        <v>0</v>
      </c>
      <c r="CC960" s="238"/>
      <c r="CD960" s="229" cm="1">
        <f t="array" ref="CD960">IF(ISBLANK(Y960), INDEX(Use, $AH960, 4) - AN960*INDEX(Use, $AH960, 6) - (Q960-X960), Y960)</f>
        <v>7</v>
      </c>
      <c r="CE960" s="229">
        <f t="shared" si="854"/>
        <v>32</v>
      </c>
      <c r="CF960" s="230">
        <f t="shared" si="855"/>
        <v>0</v>
      </c>
      <c r="CG960" s="229">
        <v>35</v>
      </c>
      <c r="CH960" s="230">
        <f t="shared" si="856"/>
        <v>48</v>
      </c>
      <c r="CI960" s="235">
        <f t="shared" si="857"/>
        <v>3.0748170731707316</v>
      </c>
      <c r="CJ960" s="235" cm="1">
        <f t="array" ref="CJ960">$BI960 * SUMPRODUCT(INDEX($AR$77:$AT$82,,$AI960),INDEX($AU$77:$BA$82,,$AH960), N($AQ$77:$AQ$82&gt;$AO960)) / CI960 / 1000</f>
        <v>0</v>
      </c>
      <c r="CK960" s="232">
        <f t="shared" si="836"/>
        <v>30</v>
      </c>
      <c r="CL960" s="230">
        <f t="shared" si="858"/>
        <v>43</v>
      </c>
      <c r="CM960" s="235">
        <f t="shared" si="859"/>
        <v>3.5018750000000001</v>
      </c>
      <c r="CN960" s="235" cm="1">
        <f t="array" ref="CN960">$BI960 * IF($AH960&lt;=2,
SUMPRODUCT(INDEX($AR$72:$AT$76,,$AI960), INDEX($AU$72:$BA$76,,$AH960), 1 / ($BB$72:$BB$76*CM960 + (1-$BB$72:$BB$76)*CI960), N($AQ$72:$AQ$76&gt;$AO960)),
SUMPRODUCT(INDEX($AR$67:$AT$76,,$AI960), INDEX($AU$67:$BA$76,,$AH960), 1 / ($BC$67:$BC$76*CM960 + (1-$BC$67:$BC$76)*CI960), N($AQ$67:$AQ$76&gt;$AO960))
) / 1000</f>
        <v>0</v>
      </c>
      <c r="CO960" s="232">
        <f t="shared" si="837"/>
        <v>25</v>
      </c>
      <c r="CP960" s="230">
        <f t="shared" si="860"/>
        <v>38</v>
      </c>
      <c r="CQ960" s="235">
        <f t="shared" si="861"/>
        <v>4.0666935483870965</v>
      </c>
      <c r="CR960" s="235" cm="1">
        <f t="array" ref="CR960">$BI960 * IF($AH960&lt;=2,
SUMPRODUCT(INDEX($AR$67:$AT$71,,$AI960), INDEX($AU$67:$BA$71,,$AH960), 1 / ($BB$67:$BB$71*CQ960 + (1-$BB$67:$BB$71)*CM960), N($AQ$67:$AQ$71&gt;$AO960)),
SUMPRODUCT(INDEX($AR$57:$AT$66,,$AI960), INDEX($AU$57:$BA$66,,$AH960), 1 / ($BC$57:$BC$66*CQ960 + (1-$BC$57:$BC$66)*CM960), N($AQ$57:$AQ$66&gt;$AO960))
) / 1000</f>
        <v>0</v>
      </c>
      <c r="CS960" s="232">
        <f t="shared" si="838"/>
        <v>20</v>
      </c>
      <c r="CT960" s="230">
        <f t="shared" si="862"/>
        <v>33</v>
      </c>
      <c r="CU960" s="235">
        <f t="shared" si="863"/>
        <v>4.8487499999999999</v>
      </c>
      <c r="CV960" s="235" cm="1">
        <f t="array" ref="CV960">$BI960 * IF($AH960&lt;=2,
SUMPRODUCT(INDEX($AR$62:$AT$66,,$AI960), INDEX($AU$62:$BA$66,,$AH960), 1 / ($BB$62:$BB$66*CU960 + (1-$BB$62:$BB$66)*CQ960), N($AQ$62:$AQ$66&gt;$AO960)),
SUMPRODUCT(INDEX($AR$47:$AT$56,,$AI960), INDEX($AU$47:$BA$56,,$AH960), 1 / ($BC$47:$BC$56*CU960 + (1-$BC$47:$BC$56)*CQ960), N($AQ$47:$AQ$56&gt;$AO960))
) / 1000</f>
        <v>0</v>
      </c>
      <c r="CW960" s="235" cm="1">
        <f t="array" ref="CW960">$BI960 * IF($AH960&lt;=2,
SUMPRODUCT(INDEX($AR$23:$AT$61,,$AI960), INDEX($AU$23:$BA$61,,$AH960), 1 / ($BB$23:$BB$61*CU960), N($AQ$23:$AQ$61&gt;$AO960)),
SUMPRODUCT(INDEX($AR$23:$AT$46,,$AI960), INDEX($AU$23:$BA$46,,$AH960), 1 / ($BC$23:$BC$46*CU960), N($AQ$23:$AQ$46&gt;$AO960))
) / 1000</f>
        <v>0</v>
      </c>
      <c r="CX960" s="230">
        <f t="shared" si="864"/>
        <v>0</v>
      </c>
      <c r="CY960" s="238"/>
    </row>
    <row r="961" spans="1:103" s="76" customFormat="1" ht="14.25" customHeight="1" x14ac:dyDescent="0.2">
      <c r="A961" s="231" t="b">
        <f t="shared" si="830"/>
        <v>0</v>
      </c>
      <c r="B961" s="245">
        <v>939</v>
      </c>
      <c r="C961" s="258"/>
      <c r="D961" s="258"/>
      <c r="E961" s="246"/>
      <c r="F961" s="247" t="str">
        <f>IF(ISBLANK(E961), "", VLOOKUP(E961, Z!$A$2:$C$4127, 3, FALSE))</f>
        <v/>
      </c>
      <c r="G961" s="248"/>
      <c r="H961" s="248"/>
      <c r="I961" s="249"/>
      <c r="J961" s="250"/>
      <c r="K961" s="259"/>
      <c r="L961" s="260"/>
      <c r="M961" s="252" t="str" cm="1">
        <f t="array" ref="M961">INDEX(Trad, 53, $A$20)</f>
        <v>Verschmutzt</v>
      </c>
      <c r="N961" s="253"/>
      <c r="O961" s="253"/>
      <c r="P961" s="254"/>
      <c r="Q961" s="251"/>
      <c r="R961" s="251"/>
      <c r="S961" s="264">
        <f t="shared" si="839"/>
        <v>0</v>
      </c>
      <c r="T961" s="252" t="str" cm="1">
        <f t="array" ref="T961">INDEX(Trad, 52, $A$20)</f>
        <v>Sauber</v>
      </c>
      <c r="U961" s="253"/>
      <c r="V961" s="253"/>
      <c r="W961" s="254"/>
      <c r="X961" s="251"/>
      <c r="Y961" s="251"/>
      <c r="Z961" s="264">
        <f t="shared" si="840"/>
        <v>0</v>
      </c>
      <c r="AA961" s="261"/>
      <c r="AB961" s="258"/>
      <c r="AC961" s="246"/>
      <c r="AD961" s="247" t="str">
        <f>IF(ISBLANK(AC961), "", VLOOKUP(AC961, Z!$A$2:$C$4127, 3, FALSE))</f>
        <v/>
      </c>
      <c r="AE961" s="262"/>
      <c r="AF961" s="263">
        <f t="shared" si="841"/>
        <v>0</v>
      </c>
      <c r="AG961" s="238"/>
      <c r="AH961" s="229">
        <f t="shared" si="865"/>
        <v>1</v>
      </c>
      <c r="AI961" s="229">
        <f t="shared" si="866"/>
        <v>1</v>
      </c>
      <c r="AJ961" s="229">
        <f t="shared" si="867"/>
        <v>0</v>
      </c>
      <c r="AK961" s="229">
        <v>0</v>
      </c>
      <c r="AL961" s="229">
        <v>0</v>
      </c>
      <c r="AM961" s="229">
        <v>1</v>
      </c>
      <c r="AN961" s="229">
        <v>0</v>
      </c>
      <c r="AO961" s="229">
        <f t="shared" si="842"/>
        <v>-100</v>
      </c>
      <c r="AP961" s="238"/>
      <c r="AQ961" s="255"/>
      <c r="AR961" s="255"/>
      <c r="AS961" s="256"/>
      <c r="AT961" s="256"/>
      <c r="AU961" s="256"/>
      <c r="AV961" s="256"/>
      <c r="AW961" s="256"/>
      <c r="AX961" s="256"/>
      <c r="AY961" s="256"/>
      <c r="AZ961" s="256"/>
      <c r="BA961" s="256"/>
      <c r="BB961" s="256"/>
      <c r="BC961" s="256"/>
      <c r="BD961" s="238"/>
      <c r="BE961" s="229" cm="1">
        <f t="array" ref="BE961">IF(ISBLANK(R961), INDEX(Use, $AH961, 4) - AM961*INDEX(Use, $AH961, 6), R961)</f>
        <v>5</v>
      </c>
      <c r="BF961" s="229">
        <f t="shared" si="843"/>
        <v>30</v>
      </c>
      <c r="BG961" s="229">
        <f t="shared" si="831"/>
        <v>13</v>
      </c>
      <c r="BH961" s="229">
        <f t="shared" si="832"/>
        <v>0</v>
      </c>
      <c r="BI961" s="234" cm="1">
        <f t="array" ref="BI961">K961/IF($L961&gt;0, INDEX($AU$23:$BA$77, $L961+20, $AH961), 1)</f>
        <v>0</v>
      </c>
      <c r="BJ961" s="230">
        <f t="shared" si="844"/>
        <v>0</v>
      </c>
      <c r="BK961" s="229">
        <v>35</v>
      </c>
      <c r="BL961" s="230">
        <f t="shared" si="845"/>
        <v>48</v>
      </c>
      <c r="BM961" s="235">
        <f t="shared" si="846"/>
        <v>2.9108720930232557</v>
      </c>
      <c r="BN961" s="235" cm="1">
        <f t="array" ref="BN961">$BI961 * SUMPRODUCT(INDEX($AR$77:$AT$82,,$AI961),INDEX($AU$77:$BA$82,,$AH961), N($AQ$77:$AQ$82&gt;$AO961)) / BM961 / 1000</f>
        <v>0</v>
      </c>
      <c r="BO961" s="232">
        <f t="shared" si="833"/>
        <v>30</v>
      </c>
      <c r="BP961" s="230">
        <f t="shared" si="847"/>
        <v>43</v>
      </c>
      <c r="BQ961" s="235">
        <f t="shared" si="848"/>
        <v>3.2938815789473681</v>
      </c>
      <c r="BR961" s="235" cm="1">
        <f t="array" ref="BR961">$BI961 * IF($AH961&lt;=2,
SUMPRODUCT(INDEX($AR$72:$AT$76,,$AI961), INDEX($AU$72:$BA$76,,$AH961), 1 / ($BB$72:$BB$76*BQ961 + (1-$BB$72:$BB$76)*BM961), N($AQ$72:$AQ$76&gt;$AO961)),
SUMPRODUCT(INDEX($AR$67:$AT$76,,$AI961), INDEX($AU$67:$BA$76,,$AH961), 1 / ($BC$67:$BC$76*BQ961 + (1-$BC$67:$BC$76)*BM961), N($AQ$67:$AQ$76&gt;$AO961))
) / 1000</f>
        <v>0</v>
      </c>
      <c r="BS961" s="232">
        <f t="shared" si="834"/>
        <v>25</v>
      </c>
      <c r="BT961" s="230">
        <f t="shared" si="849"/>
        <v>38</v>
      </c>
      <c r="BU961" s="235">
        <f t="shared" si="850"/>
        <v>3.792954545454545</v>
      </c>
      <c r="BV961" s="235" cm="1">
        <f t="array" ref="BV961">$BI961 * IF($AH961&lt;=2,
SUMPRODUCT(INDEX($AR$67:$AT$71,,$AI961), INDEX($AU$67:$BA$71,,$AH961), 1 / ($BB$67:$BB$71*BU961 + (1-$BB$67:$BB$71)*BQ961), N($AQ$67:$AQ$71&gt;$AO961)),
SUMPRODUCT(INDEX($AR$57:$AT$66,,$AI961), INDEX($AU$57:$BA$66,,$AH961), 1 / ($BC$57:$BC$66*BU961 + (1-$BC$57:$BC$66)*BQ961), N($AQ$57:$AQ$66&gt;$AO961))
) / 1000</f>
        <v>0</v>
      </c>
      <c r="BW961" s="232">
        <f t="shared" si="835"/>
        <v>20</v>
      </c>
      <c r="BX961" s="230">
        <f t="shared" si="851"/>
        <v>33</v>
      </c>
      <c r="BY961" s="235">
        <f t="shared" si="852"/>
        <v>4.4702678571428569</v>
      </c>
      <c r="BZ961" s="235" cm="1">
        <f t="array" ref="BZ961">$BI961 * IF($AH961&lt;=2,
SUMPRODUCT(INDEX($AR$62:$AT$66,,$AI961), INDEX($AU$62:$BA$66,,$AH961), 1 / ($BB$62:$BB$66*BY961 + (1-$BB$62:$BB$66)*BU961), N($AQ$62:$AQ$66&gt;$AO961)),
SUMPRODUCT(INDEX($AR$47:$AT$56,,$AI961), INDEX($AU$47:$BA$56,,$AH961), 1 / ($BC$47:$BC$56*BY961 + (1-$BC$47:$BC$56)*BU961), N($AQ$47:$AQ$56&gt;$AO961))
) / 1000</f>
        <v>0</v>
      </c>
      <c r="CA961" s="235" cm="1">
        <f t="array" ref="CA961">$BI961 * IF($AH961&lt;=2,
SUMPRODUCT(INDEX($AR$23:$AT$61,,$AI961), INDEX($AU$23:$BA$61,,$AH961), 1 / ($BB$23:$BB$61*BY961), N($AQ$23:$AQ$61&gt;$AO961)),
SUMPRODUCT(INDEX($AR$23:$AT$46,,$AI961), INDEX($AU$23:$BA$46,,$AH961), 1 / ($BC$23:$BC$46*BY961), N($AQ$23:$AQ$46&gt;$AO961))
) / 1000</f>
        <v>0</v>
      </c>
      <c r="CB961" s="230">
        <f t="shared" si="853"/>
        <v>0</v>
      </c>
      <c r="CC961" s="238"/>
      <c r="CD961" s="229" cm="1">
        <f t="array" ref="CD961">IF(ISBLANK(Y961), INDEX(Use, $AH961, 4) - AN961*INDEX(Use, $AH961, 6) - (Q961-X961), Y961)</f>
        <v>7</v>
      </c>
      <c r="CE961" s="229">
        <f t="shared" si="854"/>
        <v>32</v>
      </c>
      <c r="CF961" s="230">
        <f t="shared" si="855"/>
        <v>0</v>
      </c>
      <c r="CG961" s="229">
        <v>35</v>
      </c>
      <c r="CH961" s="230">
        <f t="shared" si="856"/>
        <v>48</v>
      </c>
      <c r="CI961" s="235">
        <f t="shared" si="857"/>
        <v>3.0748170731707316</v>
      </c>
      <c r="CJ961" s="235" cm="1">
        <f t="array" ref="CJ961">$BI961 * SUMPRODUCT(INDEX($AR$77:$AT$82,,$AI961),INDEX($AU$77:$BA$82,,$AH961), N($AQ$77:$AQ$82&gt;$AO961)) / CI961 / 1000</f>
        <v>0</v>
      </c>
      <c r="CK961" s="232">
        <f t="shared" si="836"/>
        <v>30</v>
      </c>
      <c r="CL961" s="230">
        <f t="shared" si="858"/>
        <v>43</v>
      </c>
      <c r="CM961" s="235">
        <f t="shared" si="859"/>
        <v>3.5018750000000001</v>
      </c>
      <c r="CN961" s="235" cm="1">
        <f t="array" ref="CN961">$BI961 * IF($AH961&lt;=2,
SUMPRODUCT(INDEX($AR$72:$AT$76,,$AI961), INDEX($AU$72:$BA$76,,$AH961), 1 / ($BB$72:$BB$76*CM961 + (1-$BB$72:$BB$76)*CI961), N($AQ$72:$AQ$76&gt;$AO961)),
SUMPRODUCT(INDEX($AR$67:$AT$76,,$AI961), INDEX($AU$67:$BA$76,,$AH961), 1 / ($BC$67:$BC$76*CM961 + (1-$BC$67:$BC$76)*CI961), N($AQ$67:$AQ$76&gt;$AO961))
) / 1000</f>
        <v>0</v>
      </c>
      <c r="CO961" s="232">
        <f t="shared" si="837"/>
        <v>25</v>
      </c>
      <c r="CP961" s="230">
        <f t="shared" si="860"/>
        <v>38</v>
      </c>
      <c r="CQ961" s="235">
        <f t="shared" si="861"/>
        <v>4.0666935483870965</v>
      </c>
      <c r="CR961" s="235" cm="1">
        <f t="array" ref="CR961">$BI961 * IF($AH961&lt;=2,
SUMPRODUCT(INDEX($AR$67:$AT$71,,$AI961), INDEX($AU$67:$BA$71,,$AH961), 1 / ($BB$67:$BB$71*CQ961 + (1-$BB$67:$BB$71)*CM961), N($AQ$67:$AQ$71&gt;$AO961)),
SUMPRODUCT(INDEX($AR$57:$AT$66,,$AI961), INDEX($AU$57:$BA$66,,$AH961), 1 / ($BC$57:$BC$66*CQ961 + (1-$BC$57:$BC$66)*CM961), N($AQ$57:$AQ$66&gt;$AO961))
) / 1000</f>
        <v>0</v>
      </c>
      <c r="CS961" s="232">
        <f t="shared" si="838"/>
        <v>20</v>
      </c>
      <c r="CT961" s="230">
        <f t="shared" si="862"/>
        <v>33</v>
      </c>
      <c r="CU961" s="235">
        <f t="shared" si="863"/>
        <v>4.8487499999999999</v>
      </c>
      <c r="CV961" s="235" cm="1">
        <f t="array" ref="CV961">$BI961 * IF($AH961&lt;=2,
SUMPRODUCT(INDEX($AR$62:$AT$66,,$AI961), INDEX($AU$62:$BA$66,,$AH961), 1 / ($BB$62:$BB$66*CU961 + (1-$BB$62:$BB$66)*CQ961), N($AQ$62:$AQ$66&gt;$AO961)),
SUMPRODUCT(INDEX($AR$47:$AT$56,,$AI961), INDEX($AU$47:$BA$56,,$AH961), 1 / ($BC$47:$BC$56*CU961 + (1-$BC$47:$BC$56)*CQ961), N($AQ$47:$AQ$56&gt;$AO961))
) / 1000</f>
        <v>0</v>
      </c>
      <c r="CW961" s="235" cm="1">
        <f t="array" ref="CW961">$BI961 * IF($AH961&lt;=2,
SUMPRODUCT(INDEX($AR$23:$AT$61,,$AI961), INDEX($AU$23:$BA$61,,$AH961), 1 / ($BB$23:$BB$61*CU961), N($AQ$23:$AQ$61&gt;$AO961)),
SUMPRODUCT(INDEX($AR$23:$AT$46,,$AI961), INDEX($AU$23:$BA$46,,$AH961), 1 / ($BC$23:$BC$46*CU961), N($AQ$23:$AQ$46&gt;$AO961))
) / 1000</f>
        <v>0</v>
      </c>
      <c r="CX961" s="230">
        <f t="shared" si="864"/>
        <v>0</v>
      </c>
      <c r="CY961" s="238"/>
    </row>
    <row r="962" spans="1:103" s="76" customFormat="1" ht="14.25" customHeight="1" x14ac:dyDescent="0.2">
      <c r="A962" s="231" t="b">
        <f t="shared" si="830"/>
        <v>0</v>
      </c>
      <c r="B962" s="245">
        <v>940</v>
      </c>
      <c r="C962" s="258"/>
      <c r="D962" s="258"/>
      <c r="E962" s="246"/>
      <c r="F962" s="247" t="str">
        <f>IF(ISBLANK(E962), "", VLOOKUP(E962, Z!$A$2:$C$4127, 3, FALSE))</f>
        <v/>
      </c>
      <c r="G962" s="248"/>
      <c r="H962" s="248"/>
      <c r="I962" s="249"/>
      <c r="J962" s="250"/>
      <c r="K962" s="259"/>
      <c r="L962" s="260"/>
      <c r="M962" s="252" t="str" cm="1">
        <f t="array" ref="M962">INDEX(Trad, 53, $A$20)</f>
        <v>Verschmutzt</v>
      </c>
      <c r="N962" s="253"/>
      <c r="O962" s="253"/>
      <c r="P962" s="254"/>
      <c r="Q962" s="251"/>
      <c r="R962" s="251"/>
      <c r="S962" s="264">
        <f t="shared" si="839"/>
        <v>0</v>
      </c>
      <c r="T962" s="252" t="str" cm="1">
        <f t="array" ref="T962">INDEX(Trad, 52, $A$20)</f>
        <v>Sauber</v>
      </c>
      <c r="U962" s="253"/>
      <c r="V962" s="253"/>
      <c r="W962" s="254"/>
      <c r="X962" s="251"/>
      <c r="Y962" s="251"/>
      <c r="Z962" s="264">
        <f t="shared" si="840"/>
        <v>0</v>
      </c>
      <c r="AA962" s="261"/>
      <c r="AB962" s="258"/>
      <c r="AC962" s="246"/>
      <c r="AD962" s="247" t="str">
        <f>IF(ISBLANK(AC962), "", VLOOKUP(AC962, Z!$A$2:$C$4127, 3, FALSE))</f>
        <v/>
      </c>
      <c r="AE962" s="262"/>
      <c r="AF962" s="263">
        <f t="shared" si="841"/>
        <v>0</v>
      </c>
      <c r="AG962" s="238"/>
      <c r="AH962" s="229">
        <f t="shared" si="865"/>
        <v>1</v>
      </c>
      <c r="AI962" s="229">
        <f t="shared" si="866"/>
        <v>1</v>
      </c>
      <c r="AJ962" s="229">
        <f t="shared" si="867"/>
        <v>0</v>
      </c>
      <c r="AK962" s="229">
        <v>0</v>
      </c>
      <c r="AL962" s="229">
        <v>0</v>
      </c>
      <c r="AM962" s="229">
        <v>1</v>
      </c>
      <c r="AN962" s="229">
        <v>0</v>
      </c>
      <c r="AO962" s="229">
        <f t="shared" si="842"/>
        <v>-100</v>
      </c>
      <c r="AP962" s="238"/>
      <c r="AQ962" s="255"/>
      <c r="AR962" s="255"/>
      <c r="AS962" s="256"/>
      <c r="AT962" s="256"/>
      <c r="AU962" s="256"/>
      <c r="AV962" s="256"/>
      <c r="AW962" s="256"/>
      <c r="AX962" s="256"/>
      <c r="AY962" s="256"/>
      <c r="AZ962" s="256"/>
      <c r="BA962" s="256"/>
      <c r="BB962" s="256"/>
      <c r="BC962" s="256"/>
      <c r="BD962" s="238"/>
      <c r="BE962" s="229" cm="1">
        <f t="array" ref="BE962">IF(ISBLANK(R962), INDEX(Use, $AH962, 4) - AM962*INDEX(Use, $AH962, 6), R962)</f>
        <v>5</v>
      </c>
      <c r="BF962" s="229">
        <f t="shared" si="843"/>
        <v>30</v>
      </c>
      <c r="BG962" s="229">
        <f t="shared" si="831"/>
        <v>13</v>
      </c>
      <c r="BH962" s="229">
        <f t="shared" si="832"/>
        <v>0</v>
      </c>
      <c r="BI962" s="234" cm="1">
        <f t="array" ref="BI962">K962/IF($L962&gt;0, INDEX($AU$23:$BA$77, $L962+20, $AH962), 1)</f>
        <v>0</v>
      </c>
      <c r="BJ962" s="230">
        <f t="shared" si="844"/>
        <v>0</v>
      </c>
      <c r="BK962" s="229">
        <v>35</v>
      </c>
      <c r="BL962" s="230">
        <f t="shared" si="845"/>
        <v>48</v>
      </c>
      <c r="BM962" s="235">
        <f t="shared" si="846"/>
        <v>2.9108720930232557</v>
      </c>
      <c r="BN962" s="235" cm="1">
        <f t="array" ref="BN962">$BI962 * SUMPRODUCT(INDEX($AR$77:$AT$82,,$AI962),INDEX($AU$77:$BA$82,,$AH962), N($AQ$77:$AQ$82&gt;$AO962)) / BM962 / 1000</f>
        <v>0</v>
      </c>
      <c r="BO962" s="232">
        <f t="shared" si="833"/>
        <v>30</v>
      </c>
      <c r="BP962" s="230">
        <f t="shared" si="847"/>
        <v>43</v>
      </c>
      <c r="BQ962" s="235">
        <f t="shared" si="848"/>
        <v>3.2938815789473681</v>
      </c>
      <c r="BR962" s="235" cm="1">
        <f t="array" ref="BR962">$BI962 * IF($AH962&lt;=2,
SUMPRODUCT(INDEX($AR$72:$AT$76,,$AI962), INDEX($AU$72:$BA$76,,$AH962), 1 / ($BB$72:$BB$76*BQ962 + (1-$BB$72:$BB$76)*BM962), N($AQ$72:$AQ$76&gt;$AO962)),
SUMPRODUCT(INDEX($AR$67:$AT$76,,$AI962), INDEX($AU$67:$BA$76,,$AH962), 1 / ($BC$67:$BC$76*BQ962 + (1-$BC$67:$BC$76)*BM962), N($AQ$67:$AQ$76&gt;$AO962))
) / 1000</f>
        <v>0</v>
      </c>
      <c r="BS962" s="232">
        <f t="shared" si="834"/>
        <v>25</v>
      </c>
      <c r="BT962" s="230">
        <f t="shared" si="849"/>
        <v>38</v>
      </c>
      <c r="BU962" s="235">
        <f t="shared" si="850"/>
        <v>3.792954545454545</v>
      </c>
      <c r="BV962" s="235" cm="1">
        <f t="array" ref="BV962">$BI962 * IF($AH962&lt;=2,
SUMPRODUCT(INDEX($AR$67:$AT$71,,$AI962), INDEX($AU$67:$BA$71,,$AH962), 1 / ($BB$67:$BB$71*BU962 + (1-$BB$67:$BB$71)*BQ962), N($AQ$67:$AQ$71&gt;$AO962)),
SUMPRODUCT(INDEX($AR$57:$AT$66,,$AI962), INDEX($AU$57:$BA$66,,$AH962), 1 / ($BC$57:$BC$66*BU962 + (1-$BC$57:$BC$66)*BQ962), N($AQ$57:$AQ$66&gt;$AO962))
) / 1000</f>
        <v>0</v>
      </c>
      <c r="BW962" s="232">
        <f t="shared" si="835"/>
        <v>20</v>
      </c>
      <c r="BX962" s="230">
        <f t="shared" si="851"/>
        <v>33</v>
      </c>
      <c r="BY962" s="235">
        <f t="shared" si="852"/>
        <v>4.4702678571428569</v>
      </c>
      <c r="BZ962" s="235" cm="1">
        <f t="array" ref="BZ962">$BI962 * IF($AH962&lt;=2,
SUMPRODUCT(INDEX($AR$62:$AT$66,,$AI962), INDEX($AU$62:$BA$66,,$AH962), 1 / ($BB$62:$BB$66*BY962 + (1-$BB$62:$BB$66)*BU962), N($AQ$62:$AQ$66&gt;$AO962)),
SUMPRODUCT(INDEX($AR$47:$AT$56,,$AI962), INDEX($AU$47:$BA$56,,$AH962), 1 / ($BC$47:$BC$56*BY962 + (1-$BC$47:$BC$56)*BU962), N($AQ$47:$AQ$56&gt;$AO962))
) / 1000</f>
        <v>0</v>
      </c>
      <c r="CA962" s="235" cm="1">
        <f t="array" ref="CA962">$BI962 * IF($AH962&lt;=2,
SUMPRODUCT(INDEX($AR$23:$AT$61,,$AI962), INDEX($AU$23:$BA$61,,$AH962), 1 / ($BB$23:$BB$61*BY962), N($AQ$23:$AQ$61&gt;$AO962)),
SUMPRODUCT(INDEX($AR$23:$AT$46,,$AI962), INDEX($AU$23:$BA$46,,$AH962), 1 / ($BC$23:$BC$46*BY962), N($AQ$23:$AQ$46&gt;$AO962))
) / 1000</f>
        <v>0</v>
      </c>
      <c r="CB962" s="230">
        <f t="shared" si="853"/>
        <v>0</v>
      </c>
      <c r="CC962" s="238"/>
      <c r="CD962" s="229" cm="1">
        <f t="array" ref="CD962">IF(ISBLANK(Y962), INDEX(Use, $AH962, 4) - AN962*INDEX(Use, $AH962, 6) - (Q962-X962), Y962)</f>
        <v>7</v>
      </c>
      <c r="CE962" s="229">
        <f t="shared" si="854"/>
        <v>32</v>
      </c>
      <c r="CF962" s="230">
        <f t="shared" si="855"/>
        <v>0</v>
      </c>
      <c r="CG962" s="229">
        <v>35</v>
      </c>
      <c r="CH962" s="230">
        <f t="shared" si="856"/>
        <v>48</v>
      </c>
      <c r="CI962" s="235">
        <f t="shared" si="857"/>
        <v>3.0748170731707316</v>
      </c>
      <c r="CJ962" s="235" cm="1">
        <f t="array" ref="CJ962">$BI962 * SUMPRODUCT(INDEX($AR$77:$AT$82,,$AI962),INDEX($AU$77:$BA$82,,$AH962), N($AQ$77:$AQ$82&gt;$AO962)) / CI962 / 1000</f>
        <v>0</v>
      </c>
      <c r="CK962" s="232">
        <f t="shared" si="836"/>
        <v>30</v>
      </c>
      <c r="CL962" s="230">
        <f t="shared" si="858"/>
        <v>43</v>
      </c>
      <c r="CM962" s="235">
        <f t="shared" si="859"/>
        <v>3.5018750000000001</v>
      </c>
      <c r="CN962" s="235" cm="1">
        <f t="array" ref="CN962">$BI962 * IF($AH962&lt;=2,
SUMPRODUCT(INDEX($AR$72:$AT$76,,$AI962), INDEX($AU$72:$BA$76,,$AH962), 1 / ($BB$72:$BB$76*CM962 + (1-$BB$72:$BB$76)*CI962), N($AQ$72:$AQ$76&gt;$AO962)),
SUMPRODUCT(INDEX($AR$67:$AT$76,,$AI962), INDEX($AU$67:$BA$76,,$AH962), 1 / ($BC$67:$BC$76*CM962 + (1-$BC$67:$BC$76)*CI962), N($AQ$67:$AQ$76&gt;$AO962))
) / 1000</f>
        <v>0</v>
      </c>
      <c r="CO962" s="232">
        <f t="shared" si="837"/>
        <v>25</v>
      </c>
      <c r="CP962" s="230">
        <f t="shared" si="860"/>
        <v>38</v>
      </c>
      <c r="CQ962" s="235">
        <f t="shared" si="861"/>
        <v>4.0666935483870965</v>
      </c>
      <c r="CR962" s="235" cm="1">
        <f t="array" ref="CR962">$BI962 * IF($AH962&lt;=2,
SUMPRODUCT(INDEX($AR$67:$AT$71,,$AI962), INDEX($AU$67:$BA$71,,$AH962), 1 / ($BB$67:$BB$71*CQ962 + (1-$BB$67:$BB$71)*CM962), N($AQ$67:$AQ$71&gt;$AO962)),
SUMPRODUCT(INDEX($AR$57:$AT$66,,$AI962), INDEX($AU$57:$BA$66,,$AH962), 1 / ($BC$57:$BC$66*CQ962 + (1-$BC$57:$BC$66)*CM962), N($AQ$57:$AQ$66&gt;$AO962))
) / 1000</f>
        <v>0</v>
      </c>
      <c r="CS962" s="232">
        <f t="shared" si="838"/>
        <v>20</v>
      </c>
      <c r="CT962" s="230">
        <f t="shared" si="862"/>
        <v>33</v>
      </c>
      <c r="CU962" s="235">
        <f t="shared" si="863"/>
        <v>4.8487499999999999</v>
      </c>
      <c r="CV962" s="235" cm="1">
        <f t="array" ref="CV962">$BI962 * IF($AH962&lt;=2,
SUMPRODUCT(INDEX($AR$62:$AT$66,,$AI962), INDEX($AU$62:$BA$66,,$AH962), 1 / ($BB$62:$BB$66*CU962 + (1-$BB$62:$BB$66)*CQ962), N($AQ$62:$AQ$66&gt;$AO962)),
SUMPRODUCT(INDEX($AR$47:$AT$56,,$AI962), INDEX($AU$47:$BA$56,,$AH962), 1 / ($BC$47:$BC$56*CU962 + (1-$BC$47:$BC$56)*CQ962), N($AQ$47:$AQ$56&gt;$AO962))
) / 1000</f>
        <v>0</v>
      </c>
      <c r="CW962" s="235" cm="1">
        <f t="array" ref="CW962">$BI962 * IF($AH962&lt;=2,
SUMPRODUCT(INDEX($AR$23:$AT$61,,$AI962), INDEX($AU$23:$BA$61,,$AH962), 1 / ($BB$23:$BB$61*CU962), N($AQ$23:$AQ$61&gt;$AO962)),
SUMPRODUCT(INDEX($AR$23:$AT$46,,$AI962), INDEX($AU$23:$BA$46,,$AH962), 1 / ($BC$23:$BC$46*CU962), N($AQ$23:$AQ$46&gt;$AO962))
) / 1000</f>
        <v>0</v>
      </c>
      <c r="CX962" s="230">
        <f t="shared" si="864"/>
        <v>0</v>
      </c>
      <c r="CY962" s="238"/>
    </row>
    <row r="963" spans="1:103" s="76" customFormat="1" ht="14.25" customHeight="1" x14ac:dyDescent="0.2">
      <c r="A963" s="231" t="b">
        <f t="shared" si="830"/>
        <v>0</v>
      </c>
      <c r="B963" s="245">
        <v>941</v>
      </c>
      <c r="C963" s="258"/>
      <c r="D963" s="258"/>
      <c r="E963" s="246"/>
      <c r="F963" s="247" t="str">
        <f>IF(ISBLANK(E963), "", VLOOKUP(E963, Z!$A$2:$C$4127, 3, FALSE))</f>
        <v/>
      </c>
      <c r="G963" s="248"/>
      <c r="H963" s="248"/>
      <c r="I963" s="249"/>
      <c r="J963" s="250"/>
      <c r="K963" s="259"/>
      <c r="L963" s="260"/>
      <c r="M963" s="252" t="str" cm="1">
        <f t="array" ref="M963">INDEX(Trad, 53, $A$20)</f>
        <v>Verschmutzt</v>
      </c>
      <c r="N963" s="253"/>
      <c r="O963" s="253"/>
      <c r="P963" s="254"/>
      <c r="Q963" s="251"/>
      <c r="R963" s="251"/>
      <c r="S963" s="264">
        <f t="shared" si="839"/>
        <v>0</v>
      </c>
      <c r="T963" s="252" t="str" cm="1">
        <f t="array" ref="T963">INDEX(Trad, 52, $A$20)</f>
        <v>Sauber</v>
      </c>
      <c r="U963" s="253"/>
      <c r="V963" s="253"/>
      <c r="W963" s="254"/>
      <c r="X963" s="251"/>
      <c r="Y963" s="251"/>
      <c r="Z963" s="264">
        <f t="shared" si="840"/>
        <v>0</v>
      </c>
      <c r="AA963" s="261"/>
      <c r="AB963" s="258"/>
      <c r="AC963" s="246"/>
      <c r="AD963" s="247" t="str">
        <f>IF(ISBLANK(AC963), "", VLOOKUP(AC963, Z!$A$2:$C$4127, 3, FALSE))</f>
        <v/>
      </c>
      <c r="AE963" s="262"/>
      <c r="AF963" s="263">
        <f t="shared" si="841"/>
        <v>0</v>
      </c>
      <c r="AG963" s="238"/>
      <c r="AH963" s="229">
        <f t="shared" si="865"/>
        <v>1</v>
      </c>
      <c r="AI963" s="229">
        <f t="shared" si="866"/>
        <v>1</v>
      </c>
      <c r="AJ963" s="229">
        <f t="shared" si="867"/>
        <v>0</v>
      </c>
      <c r="AK963" s="229">
        <v>0</v>
      </c>
      <c r="AL963" s="229">
        <v>0</v>
      </c>
      <c r="AM963" s="229">
        <v>1</v>
      </c>
      <c r="AN963" s="229">
        <v>0</v>
      </c>
      <c r="AO963" s="229">
        <f t="shared" si="842"/>
        <v>-100</v>
      </c>
      <c r="AP963" s="238"/>
      <c r="AQ963" s="255"/>
      <c r="AR963" s="255"/>
      <c r="AS963" s="256"/>
      <c r="AT963" s="256"/>
      <c r="AU963" s="256"/>
      <c r="AV963" s="256"/>
      <c r="AW963" s="256"/>
      <c r="AX963" s="256"/>
      <c r="AY963" s="256"/>
      <c r="AZ963" s="256"/>
      <c r="BA963" s="256"/>
      <c r="BB963" s="256"/>
      <c r="BC963" s="256"/>
      <c r="BD963" s="238"/>
      <c r="BE963" s="229" cm="1">
        <f t="array" ref="BE963">IF(ISBLANK(R963), INDEX(Use, $AH963, 4) - AM963*INDEX(Use, $AH963, 6), R963)</f>
        <v>5</v>
      </c>
      <c r="BF963" s="229">
        <f t="shared" si="843"/>
        <v>30</v>
      </c>
      <c r="BG963" s="229">
        <f t="shared" si="831"/>
        <v>13</v>
      </c>
      <c r="BH963" s="229">
        <f t="shared" si="832"/>
        <v>0</v>
      </c>
      <c r="BI963" s="234" cm="1">
        <f t="array" ref="BI963">K963/IF($L963&gt;0, INDEX($AU$23:$BA$77, $L963+20, $AH963), 1)</f>
        <v>0</v>
      </c>
      <c r="BJ963" s="230">
        <f t="shared" si="844"/>
        <v>0</v>
      </c>
      <c r="BK963" s="229">
        <v>35</v>
      </c>
      <c r="BL963" s="230">
        <f t="shared" si="845"/>
        <v>48</v>
      </c>
      <c r="BM963" s="235">
        <f t="shared" si="846"/>
        <v>2.9108720930232557</v>
      </c>
      <c r="BN963" s="235" cm="1">
        <f t="array" ref="BN963">$BI963 * SUMPRODUCT(INDEX($AR$77:$AT$82,,$AI963),INDEX($AU$77:$BA$82,,$AH963), N($AQ$77:$AQ$82&gt;$AO963)) / BM963 / 1000</f>
        <v>0</v>
      </c>
      <c r="BO963" s="232">
        <f t="shared" si="833"/>
        <v>30</v>
      </c>
      <c r="BP963" s="230">
        <f t="shared" si="847"/>
        <v>43</v>
      </c>
      <c r="BQ963" s="235">
        <f t="shared" si="848"/>
        <v>3.2938815789473681</v>
      </c>
      <c r="BR963" s="235" cm="1">
        <f t="array" ref="BR963">$BI963 * IF($AH963&lt;=2,
SUMPRODUCT(INDEX($AR$72:$AT$76,,$AI963), INDEX($AU$72:$BA$76,,$AH963), 1 / ($BB$72:$BB$76*BQ963 + (1-$BB$72:$BB$76)*BM963), N($AQ$72:$AQ$76&gt;$AO963)),
SUMPRODUCT(INDEX($AR$67:$AT$76,,$AI963), INDEX($AU$67:$BA$76,,$AH963), 1 / ($BC$67:$BC$76*BQ963 + (1-$BC$67:$BC$76)*BM963), N($AQ$67:$AQ$76&gt;$AO963))
) / 1000</f>
        <v>0</v>
      </c>
      <c r="BS963" s="232">
        <f t="shared" si="834"/>
        <v>25</v>
      </c>
      <c r="BT963" s="230">
        <f t="shared" si="849"/>
        <v>38</v>
      </c>
      <c r="BU963" s="235">
        <f t="shared" si="850"/>
        <v>3.792954545454545</v>
      </c>
      <c r="BV963" s="235" cm="1">
        <f t="array" ref="BV963">$BI963 * IF($AH963&lt;=2,
SUMPRODUCT(INDEX($AR$67:$AT$71,,$AI963), INDEX($AU$67:$BA$71,,$AH963), 1 / ($BB$67:$BB$71*BU963 + (1-$BB$67:$BB$71)*BQ963), N($AQ$67:$AQ$71&gt;$AO963)),
SUMPRODUCT(INDEX($AR$57:$AT$66,,$AI963), INDEX($AU$57:$BA$66,,$AH963), 1 / ($BC$57:$BC$66*BU963 + (1-$BC$57:$BC$66)*BQ963), N($AQ$57:$AQ$66&gt;$AO963))
) / 1000</f>
        <v>0</v>
      </c>
      <c r="BW963" s="232">
        <f t="shared" si="835"/>
        <v>20</v>
      </c>
      <c r="BX963" s="230">
        <f t="shared" si="851"/>
        <v>33</v>
      </c>
      <c r="BY963" s="235">
        <f t="shared" si="852"/>
        <v>4.4702678571428569</v>
      </c>
      <c r="BZ963" s="235" cm="1">
        <f t="array" ref="BZ963">$BI963 * IF($AH963&lt;=2,
SUMPRODUCT(INDEX($AR$62:$AT$66,,$AI963), INDEX($AU$62:$BA$66,,$AH963), 1 / ($BB$62:$BB$66*BY963 + (1-$BB$62:$BB$66)*BU963), N($AQ$62:$AQ$66&gt;$AO963)),
SUMPRODUCT(INDEX($AR$47:$AT$56,,$AI963), INDEX($AU$47:$BA$56,,$AH963), 1 / ($BC$47:$BC$56*BY963 + (1-$BC$47:$BC$56)*BU963), N($AQ$47:$AQ$56&gt;$AO963))
) / 1000</f>
        <v>0</v>
      </c>
      <c r="CA963" s="235" cm="1">
        <f t="array" ref="CA963">$BI963 * IF($AH963&lt;=2,
SUMPRODUCT(INDEX($AR$23:$AT$61,,$AI963), INDEX($AU$23:$BA$61,,$AH963), 1 / ($BB$23:$BB$61*BY963), N($AQ$23:$AQ$61&gt;$AO963)),
SUMPRODUCT(INDEX($AR$23:$AT$46,,$AI963), INDEX($AU$23:$BA$46,,$AH963), 1 / ($BC$23:$BC$46*BY963), N($AQ$23:$AQ$46&gt;$AO963))
) / 1000</f>
        <v>0</v>
      </c>
      <c r="CB963" s="230">
        <f t="shared" si="853"/>
        <v>0</v>
      </c>
      <c r="CC963" s="238"/>
      <c r="CD963" s="229" cm="1">
        <f t="array" ref="CD963">IF(ISBLANK(Y963), INDEX(Use, $AH963, 4) - AN963*INDEX(Use, $AH963, 6) - (Q963-X963), Y963)</f>
        <v>7</v>
      </c>
      <c r="CE963" s="229">
        <f t="shared" si="854"/>
        <v>32</v>
      </c>
      <c r="CF963" s="230">
        <f t="shared" si="855"/>
        <v>0</v>
      </c>
      <c r="CG963" s="229">
        <v>35</v>
      </c>
      <c r="CH963" s="230">
        <f t="shared" si="856"/>
        <v>48</v>
      </c>
      <c r="CI963" s="235">
        <f t="shared" si="857"/>
        <v>3.0748170731707316</v>
      </c>
      <c r="CJ963" s="235" cm="1">
        <f t="array" ref="CJ963">$BI963 * SUMPRODUCT(INDEX($AR$77:$AT$82,,$AI963),INDEX($AU$77:$BA$82,,$AH963), N($AQ$77:$AQ$82&gt;$AO963)) / CI963 / 1000</f>
        <v>0</v>
      </c>
      <c r="CK963" s="232">
        <f t="shared" si="836"/>
        <v>30</v>
      </c>
      <c r="CL963" s="230">
        <f t="shared" si="858"/>
        <v>43</v>
      </c>
      <c r="CM963" s="235">
        <f t="shared" si="859"/>
        <v>3.5018750000000001</v>
      </c>
      <c r="CN963" s="235" cm="1">
        <f t="array" ref="CN963">$BI963 * IF($AH963&lt;=2,
SUMPRODUCT(INDEX($AR$72:$AT$76,,$AI963), INDEX($AU$72:$BA$76,,$AH963), 1 / ($BB$72:$BB$76*CM963 + (1-$BB$72:$BB$76)*CI963), N($AQ$72:$AQ$76&gt;$AO963)),
SUMPRODUCT(INDEX($AR$67:$AT$76,,$AI963), INDEX($AU$67:$BA$76,,$AH963), 1 / ($BC$67:$BC$76*CM963 + (1-$BC$67:$BC$76)*CI963), N($AQ$67:$AQ$76&gt;$AO963))
) / 1000</f>
        <v>0</v>
      </c>
      <c r="CO963" s="232">
        <f t="shared" si="837"/>
        <v>25</v>
      </c>
      <c r="CP963" s="230">
        <f t="shared" si="860"/>
        <v>38</v>
      </c>
      <c r="CQ963" s="235">
        <f t="shared" si="861"/>
        <v>4.0666935483870965</v>
      </c>
      <c r="CR963" s="235" cm="1">
        <f t="array" ref="CR963">$BI963 * IF($AH963&lt;=2,
SUMPRODUCT(INDEX($AR$67:$AT$71,,$AI963), INDEX($AU$67:$BA$71,,$AH963), 1 / ($BB$67:$BB$71*CQ963 + (1-$BB$67:$BB$71)*CM963), N($AQ$67:$AQ$71&gt;$AO963)),
SUMPRODUCT(INDEX($AR$57:$AT$66,,$AI963), INDEX($AU$57:$BA$66,,$AH963), 1 / ($BC$57:$BC$66*CQ963 + (1-$BC$57:$BC$66)*CM963), N($AQ$57:$AQ$66&gt;$AO963))
) / 1000</f>
        <v>0</v>
      </c>
      <c r="CS963" s="232">
        <f t="shared" si="838"/>
        <v>20</v>
      </c>
      <c r="CT963" s="230">
        <f t="shared" si="862"/>
        <v>33</v>
      </c>
      <c r="CU963" s="235">
        <f t="shared" si="863"/>
        <v>4.8487499999999999</v>
      </c>
      <c r="CV963" s="235" cm="1">
        <f t="array" ref="CV963">$BI963 * IF($AH963&lt;=2,
SUMPRODUCT(INDEX($AR$62:$AT$66,,$AI963), INDEX($AU$62:$BA$66,,$AH963), 1 / ($BB$62:$BB$66*CU963 + (1-$BB$62:$BB$66)*CQ963), N($AQ$62:$AQ$66&gt;$AO963)),
SUMPRODUCT(INDEX($AR$47:$AT$56,,$AI963), INDEX($AU$47:$BA$56,,$AH963), 1 / ($BC$47:$BC$56*CU963 + (1-$BC$47:$BC$56)*CQ963), N($AQ$47:$AQ$56&gt;$AO963))
) / 1000</f>
        <v>0</v>
      </c>
      <c r="CW963" s="235" cm="1">
        <f t="array" ref="CW963">$BI963 * IF($AH963&lt;=2,
SUMPRODUCT(INDEX($AR$23:$AT$61,,$AI963), INDEX($AU$23:$BA$61,,$AH963), 1 / ($BB$23:$BB$61*CU963), N($AQ$23:$AQ$61&gt;$AO963)),
SUMPRODUCT(INDEX($AR$23:$AT$46,,$AI963), INDEX($AU$23:$BA$46,,$AH963), 1 / ($BC$23:$BC$46*CU963), N($AQ$23:$AQ$46&gt;$AO963))
) / 1000</f>
        <v>0</v>
      </c>
      <c r="CX963" s="230">
        <f t="shared" si="864"/>
        <v>0</v>
      </c>
      <c r="CY963" s="238"/>
    </row>
    <row r="964" spans="1:103" s="76" customFormat="1" ht="14.25" customHeight="1" x14ac:dyDescent="0.2">
      <c r="A964" s="231" t="b">
        <f t="shared" si="830"/>
        <v>0</v>
      </c>
      <c r="B964" s="245">
        <v>942</v>
      </c>
      <c r="C964" s="258"/>
      <c r="D964" s="258"/>
      <c r="E964" s="246"/>
      <c r="F964" s="247" t="str">
        <f>IF(ISBLANK(E964), "", VLOOKUP(E964, Z!$A$2:$C$4127, 3, FALSE))</f>
        <v/>
      </c>
      <c r="G964" s="248"/>
      <c r="H964" s="248"/>
      <c r="I964" s="249"/>
      <c r="J964" s="250"/>
      <c r="K964" s="259"/>
      <c r="L964" s="260"/>
      <c r="M964" s="252" t="str" cm="1">
        <f t="array" ref="M964">INDEX(Trad, 53, $A$20)</f>
        <v>Verschmutzt</v>
      </c>
      <c r="N964" s="253"/>
      <c r="O964" s="253"/>
      <c r="P964" s="254"/>
      <c r="Q964" s="251"/>
      <c r="R964" s="251"/>
      <c r="S964" s="264">
        <f t="shared" si="839"/>
        <v>0</v>
      </c>
      <c r="T964" s="252" t="str" cm="1">
        <f t="array" ref="T964">INDEX(Trad, 52, $A$20)</f>
        <v>Sauber</v>
      </c>
      <c r="U964" s="253"/>
      <c r="V964" s="253"/>
      <c r="W964" s="254"/>
      <c r="X964" s="251"/>
      <c r="Y964" s="251"/>
      <c r="Z964" s="264">
        <f t="shared" si="840"/>
        <v>0</v>
      </c>
      <c r="AA964" s="261"/>
      <c r="AB964" s="258"/>
      <c r="AC964" s="246"/>
      <c r="AD964" s="247" t="str">
        <f>IF(ISBLANK(AC964), "", VLOOKUP(AC964, Z!$A$2:$C$4127, 3, FALSE))</f>
        <v/>
      </c>
      <c r="AE964" s="262"/>
      <c r="AF964" s="263">
        <f t="shared" si="841"/>
        <v>0</v>
      </c>
      <c r="AG964" s="238"/>
      <c r="AH964" s="229">
        <f t="shared" si="865"/>
        <v>1</v>
      </c>
      <c r="AI964" s="229">
        <f t="shared" si="866"/>
        <v>1</v>
      </c>
      <c r="AJ964" s="229">
        <f t="shared" si="867"/>
        <v>0</v>
      </c>
      <c r="AK964" s="229">
        <v>0</v>
      </c>
      <c r="AL964" s="229">
        <v>0</v>
      </c>
      <c r="AM964" s="229">
        <v>1</v>
      </c>
      <c r="AN964" s="229">
        <v>0</v>
      </c>
      <c r="AO964" s="229">
        <f t="shared" si="842"/>
        <v>-100</v>
      </c>
      <c r="AP964" s="238"/>
      <c r="AQ964" s="255"/>
      <c r="AR964" s="255"/>
      <c r="AS964" s="256"/>
      <c r="AT964" s="256"/>
      <c r="AU964" s="256"/>
      <c r="AV964" s="256"/>
      <c r="AW964" s="256"/>
      <c r="AX964" s="256"/>
      <c r="AY964" s="256"/>
      <c r="AZ964" s="256"/>
      <c r="BA964" s="256"/>
      <c r="BB964" s="256"/>
      <c r="BC964" s="256"/>
      <c r="BD964" s="238"/>
      <c r="BE964" s="229" cm="1">
        <f t="array" ref="BE964">IF(ISBLANK(R964), INDEX(Use, $AH964, 4) - AM964*INDEX(Use, $AH964, 6), R964)</f>
        <v>5</v>
      </c>
      <c r="BF964" s="229">
        <f t="shared" si="843"/>
        <v>30</v>
      </c>
      <c r="BG964" s="229">
        <f t="shared" si="831"/>
        <v>13</v>
      </c>
      <c r="BH964" s="229">
        <f t="shared" si="832"/>
        <v>0</v>
      </c>
      <c r="BI964" s="234" cm="1">
        <f t="array" ref="BI964">K964/IF($L964&gt;0, INDEX($AU$23:$BA$77, $L964+20, $AH964), 1)</f>
        <v>0</v>
      </c>
      <c r="BJ964" s="230">
        <f t="shared" si="844"/>
        <v>0</v>
      </c>
      <c r="BK964" s="229">
        <v>35</v>
      </c>
      <c r="BL964" s="230">
        <f t="shared" si="845"/>
        <v>48</v>
      </c>
      <c r="BM964" s="235">
        <f t="shared" si="846"/>
        <v>2.9108720930232557</v>
      </c>
      <c r="BN964" s="235" cm="1">
        <f t="array" ref="BN964">$BI964 * SUMPRODUCT(INDEX($AR$77:$AT$82,,$AI964),INDEX($AU$77:$BA$82,,$AH964), N($AQ$77:$AQ$82&gt;$AO964)) / BM964 / 1000</f>
        <v>0</v>
      </c>
      <c r="BO964" s="232">
        <f t="shared" si="833"/>
        <v>30</v>
      </c>
      <c r="BP964" s="230">
        <f t="shared" si="847"/>
        <v>43</v>
      </c>
      <c r="BQ964" s="235">
        <f t="shared" si="848"/>
        <v>3.2938815789473681</v>
      </c>
      <c r="BR964" s="235" cm="1">
        <f t="array" ref="BR964">$BI964 * IF($AH964&lt;=2,
SUMPRODUCT(INDEX($AR$72:$AT$76,,$AI964), INDEX($AU$72:$BA$76,,$AH964), 1 / ($BB$72:$BB$76*BQ964 + (1-$BB$72:$BB$76)*BM964), N($AQ$72:$AQ$76&gt;$AO964)),
SUMPRODUCT(INDEX($AR$67:$AT$76,,$AI964), INDEX($AU$67:$BA$76,,$AH964), 1 / ($BC$67:$BC$76*BQ964 + (1-$BC$67:$BC$76)*BM964), N($AQ$67:$AQ$76&gt;$AO964))
) / 1000</f>
        <v>0</v>
      </c>
      <c r="BS964" s="232">
        <f t="shared" si="834"/>
        <v>25</v>
      </c>
      <c r="BT964" s="230">
        <f t="shared" si="849"/>
        <v>38</v>
      </c>
      <c r="BU964" s="235">
        <f t="shared" si="850"/>
        <v>3.792954545454545</v>
      </c>
      <c r="BV964" s="235" cm="1">
        <f t="array" ref="BV964">$BI964 * IF($AH964&lt;=2,
SUMPRODUCT(INDEX($AR$67:$AT$71,,$AI964), INDEX($AU$67:$BA$71,,$AH964), 1 / ($BB$67:$BB$71*BU964 + (1-$BB$67:$BB$71)*BQ964), N($AQ$67:$AQ$71&gt;$AO964)),
SUMPRODUCT(INDEX($AR$57:$AT$66,,$AI964), INDEX($AU$57:$BA$66,,$AH964), 1 / ($BC$57:$BC$66*BU964 + (1-$BC$57:$BC$66)*BQ964), N($AQ$57:$AQ$66&gt;$AO964))
) / 1000</f>
        <v>0</v>
      </c>
      <c r="BW964" s="232">
        <f t="shared" si="835"/>
        <v>20</v>
      </c>
      <c r="BX964" s="230">
        <f t="shared" si="851"/>
        <v>33</v>
      </c>
      <c r="BY964" s="235">
        <f t="shared" si="852"/>
        <v>4.4702678571428569</v>
      </c>
      <c r="BZ964" s="235" cm="1">
        <f t="array" ref="BZ964">$BI964 * IF($AH964&lt;=2,
SUMPRODUCT(INDEX($AR$62:$AT$66,,$AI964), INDEX($AU$62:$BA$66,,$AH964), 1 / ($BB$62:$BB$66*BY964 + (1-$BB$62:$BB$66)*BU964), N($AQ$62:$AQ$66&gt;$AO964)),
SUMPRODUCT(INDEX($AR$47:$AT$56,,$AI964), INDEX($AU$47:$BA$56,,$AH964), 1 / ($BC$47:$BC$56*BY964 + (1-$BC$47:$BC$56)*BU964), N($AQ$47:$AQ$56&gt;$AO964))
) / 1000</f>
        <v>0</v>
      </c>
      <c r="CA964" s="235" cm="1">
        <f t="array" ref="CA964">$BI964 * IF($AH964&lt;=2,
SUMPRODUCT(INDEX($AR$23:$AT$61,,$AI964), INDEX($AU$23:$BA$61,,$AH964), 1 / ($BB$23:$BB$61*BY964), N($AQ$23:$AQ$61&gt;$AO964)),
SUMPRODUCT(INDEX($AR$23:$AT$46,,$AI964), INDEX($AU$23:$BA$46,,$AH964), 1 / ($BC$23:$BC$46*BY964), N($AQ$23:$AQ$46&gt;$AO964))
) / 1000</f>
        <v>0</v>
      </c>
      <c r="CB964" s="230">
        <f t="shared" si="853"/>
        <v>0</v>
      </c>
      <c r="CC964" s="238"/>
      <c r="CD964" s="229" cm="1">
        <f t="array" ref="CD964">IF(ISBLANK(Y964), INDEX(Use, $AH964, 4) - AN964*INDEX(Use, $AH964, 6) - (Q964-X964), Y964)</f>
        <v>7</v>
      </c>
      <c r="CE964" s="229">
        <f t="shared" si="854"/>
        <v>32</v>
      </c>
      <c r="CF964" s="230">
        <f t="shared" si="855"/>
        <v>0</v>
      </c>
      <c r="CG964" s="229">
        <v>35</v>
      </c>
      <c r="CH964" s="230">
        <f t="shared" si="856"/>
        <v>48</v>
      </c>
      <c r="CI964" s="235">
        <f t="shared" si="857"/>
        <v>3.0748170731707316</v>
      </c>
      <c r="CJ964" s="235" cm="1">
        <f t="array" ref="CJ964">$BI964 * SUMPRODUCT(INDEX($AR$77:$AT$82,,$AI964),INDEX($AU$77:$BA$82,,$AH964), N($AQ$77:$AQ$82&gt;$AO964)) / CI964 / 1000</f>
        <v>0</v>
      </c>
      <c r="CK964" s="232">
        <f t="shared" si="836"/>
        <v>30</v>
      </c>
      <c r="CL964" s="230">
        <f t="shared" si="858"/>
        <v>43</v>
      </c>
      <c r="CM964" s="235">
        <f t="shared" si="859"/>
        <v>3.5018750000000001</v>
      </c>
      <c r="CN964" s="235" cm="1">
        <f t="array" ref="CN964">$BI964 * IF($AH964&lt;=2,
SUMPRODUCT(INDEX($AR$72:$AT$76,,$AI964), INDEX($AU$72:$BA$76,,$AH964), 1 / ($BB$72:$BB$76*CM964 + (1-$BB$72:$BB$76)*CI964), N($AQ$72:$AQ$76&gt;$AO964)),
SUMPRODUCT(INDEX($AR$67:$AT$76,,$AI964), INDEX($AU$67:$BA$76,,$AH964), 1 / ($BC$67:$BC$76*CM964 + (1-$BC$67:$BC$76)*CI964), N($AQ$67:$AQ$76&gt;$AO964))
) / 1000</f>
        <v>0</v>
      </c>
      <c r="CO964" s="232">
        <f t="shared" si="837"/>
        <v>25</v>
      </c>
      <c r="CP964" s="230">
        <f t="shared" si="860"/>
        <v>38</v>
      </c>
      <c r="CQ964" s="235">
        <f t="shared" si="861"/>
        <v>4.0666935483870965</v>
      </c>
      <c r="CR964" s="235" cm="1">
        <f t="array" ref="CR964">$BI964 * IF($AH964&lt;=2,
SUMPRODUCT(INDEX($AR$67:$AT$71,,$AI964), INDEX($AU$67:$BA$71,,$AH964), 1 / ($BB$67:$BB$71*CQ964 + (1-$BB$67:$BB$71)*CM964), N($AQ$67:$AQ$71&gt;$AO964)),
SUMPRODUCT(INDEX($AR$57:$AT$66,,$AI964), INDEX($AU$57:$BA$66,,$AH964), 1 / ($BC$57:$BC$66*CQ964 + (1-$BC$57:$BC$66)*CM964), N($AQ$57:$AQ$66&gt;$AO964))
) / 1000</f>
        <v>0</v>
      </c>
      <c r="CS964" s="232">
        <f t="shared" si="838"/>
        <v>20</v>
      </c>
      <c r="CT964" s="230">
        <f t="shared" si="862"/>
        <v>33</v>
      </c>
      <c r="CU964" s="235">
        <f t="shared" si="863"/>
        <v>4.8487499999999999</v>
      </c>
      <c r="CV964" s="235" cm="1">
        <f t="array" ref="CV964">$BI964 * IF($AH964&lt;=2,
SUMPRODUCT(INDEX($AR$62:$AT$66,,$AI964), INDEX($AU$62:$BA$66,,$AH964), 1 / ($BB$62:$BB$66*CU964 + (1-$BB$62:$BB$66)*CQ964), N($AQ$62:$AQ$66&gt;$AO964)),
SUMPRODUCT(INDEX($AR$47:$AT$56,,$AI964), INDEX($AU$47:$BA$56,,$AH964), 1 / ($BC$47:$BC$56*CU964 + (1-$BC$47:$BC$56)*CQ964), N($AQ$47:$AQ$56&gt;$AO964))
) / 1000</f>
        <v>0</v>
      </c>
      <c r="CW964" s="235" cm="1">
        <f t="array" ref="CW964">$BI964 * IF($AH964&lt;=2,
SUMPRODUCT(INDEX($AR$23:$AT$61,,$AI964), INDEX($AU$23:$BA$61,,$AH964), 1 / ($BB$23:$BB$61*CU964), N($AQ$23:$AQ$61&gt;$AO964)),
SUMPRODUCT(INDEX($AR$23:$AT$46,,$AI964), INDEX($AU$23:$BA$46,,$AH964), 1 / ($BC$23:$BC$46*CU964), N($AQ$23:$AQ$46&gt;$AO964))
) / 1000</f>
        <v>0</v>
      </c>
      <c r="CX964" s="230">
        <f t="shared" si="864"/>
        <v>0</v>
      </c>
      <c r="CY964" s="238"/>
    </row>
    <row r="965" spans="1:103" s="76" customFormat="1" ht="14.25" customHeight="1" x14ac:dyDescent="0.2">
      <c r="A965" s="231" t="b">
        <f t="shared" si="830"/>
        <v>0</v>
      </c>
      <c r="B965" s="245">
        <v>943</v>
      </c>
      <c r="C965" s="258"/>
      <c r="D965" s="258"/>
      <c r="E965" s="246"/>
      <c r="F965" s="247" t="str">
        <f>IF(ISBLANK(E965), "", VLOOKUP(E965, Z!$A$2:$C$4127, 3, FALSE))</f>
        <v/>
      </c>
      <c r="G965" s="248"/>
      <c r="H965" s="248"/>
      <c r="I965" s="249"/>
      <c r="J965" s="250"/>
      <c r="K965" s="259"/>
      <c r="L965" s="260"/>
      <c r="M965" s="252" t="str" cm="1">
        <f t="array" ref="M965">INDEX(Trad, 53, $A$20)</f>
        <v>Verschmutzt</v>
      </c>
      <c r="N965" s="253"/>
      <c r="O965" s="253"/>
      <c r="P965" s="254"/>
      <c r="Q965" s="251"/>
      <c r="R965" s="251"/>
      <c r="S965" s="264">
        <f t="shared" si="839"/>
        <v>0</v>
      </c>
      <c r="T965" s="252" t="str" cm="1">
        <f t="array" ref="T965">INDEX(Trad, 52, $A$20)</f>
        <v>Sauber</v>
      </c>
      <c r="U965" s="253"/>
      <c r="V965" s="253"/>
      <c r="W965" s="254"/>
      <c r="X965" s="251"/>
      <c r="Y965" s="251"/>
      <c r="Z965" s="264">
        <f t="shared" si="840"/>
        <v>0</v>
      </c>
      <c r="AA965" s="261"/>
      <c r="AB965" s="258"/>
      <c r="AC965" s="246"/>
      <c r="AD965" s="247" t="str">
        <f>IF(ISBLANK(AC965), "", VLOOKUP(AC965, Z!$A$2:$C$4127, 3, FALSE))</f>
        <v/>
      </c>
      <c r="AE965" s="262"/>
      <c r="AF965" s="263">
        <f t="shared" si="841"/>
        <v>0</v>
      </c>
      <c r="AG965" s="238"/>
      <c r="AH965" s="229">
        <f t="shared" si="865"/>
        <v>1</v>
      </c>
      <c r="AI965" s="229">
        <f t="shared" si="866"/>
        <v>1</v>
      </c>
      <c r="AJ965" s="229">
        <f t="shared" si="867"/>
        <v>0</v>
      </c>
      <c r="AK965" s="229">
        <v>0</v>
      </c>
      <c r="AL965" s="229">
        <v>0</v>
      </c>
      <c r="AM965" s="229">
        <v>1</v>
      </c>
      <c r="AN965" s="229">
        <v>0</v>
      </c>
      <c r="AO965" s="229">
        <f t="shared" si="842"/>
        <v>-100</v>
      </c>
      <c r="AP965" s="238"/>
      <c r="AQ965" s="255"/>
      <c r="AR965" s="255"/>
      <c r="AS965" s="256"/>
      <c r="AT965" s="256"/>
      <c r="AU965" s="256"/>
      <c r="AV965" s="256"/>
      <c r="AW965" s="256"/>
      <c r="AX965" s="256"/>
      <c r="AY965" s="256"/>
      <c r="AZ965" s="256"/>
      <c r="BA965" s="256"/>
      <c r="BB965" s="256"/>
      <c r="BC965" s="256"/>
      <c r="BD965" s="238"/>
      <c r="BE965" s="229" cm="1">
        <f t="array" ref="BE965">IF(ISBLANK(R965), INDEX(Use, $AH965, 4) - AM965*INDEX(Use, $AH965, 6), R965)</f>
        <v>5</v>
      </c>
      <c r="BF965" s="229">
        <f t="shared" si="843"/>
        <v>30</v>
      </c>
      <c r="BG965" s="229">
        <f t="shared" si="831"/>
        <v>13</v>
      </c>
      <c r="BH965" s="229">
        <f t="shared" si="832"/>
        <v>0</v>
      </c>
      <c r="BI965" s="234" cm="1">
        <f t="array" ref="BI965">K965/IF($L965&gt;0, INDEX($AU$23:$BA$77, $L965+20, $AH965), 1)</f>
        <v>0</v>
      </c>
      <c r="BJ965" s="230">
        <f t="shared" si="844"/>
        <v>0</v>
      </c>
      <c r="BK965" s="229">
        <v>35</v>
      </c>
      <c r="BL965" s="230">
        <f t="shared" si="845"/>
        <v>48</v>
      </c>
      <c r="BM965" s="235">
        <f t="shared" si="846"/>
        <v>2.9108720930232557</v>
      </c>
      <c r="BN965" s="235" cm="1">
        <f t="array" ref="BN965">$BI965 * SUMPRODUCT(INDEX($AR$77:$AT$82,,$AI965),INDEX($AU$77:$BA$82,,$AH965), N($AQ$77:$AQ$82&gt;$AO965)) / BM965 / 1000</f>
        <v>0</v>
      </c>
      <c r="BO965" s="232">
        <f t="shared" si="833"/>
        <v>30</v>
      </c>
      <c r="BP965" s="230">
        <f t="shared" si="847"/>
        <v>43</v>
      </c>
      <c r="BQ965" s="235">
        <f t="shared" si="848"/>
        <v>3.2938815789473681</v>
      </c>
      <c r="BR965" s="235" cm="1">
        <f t="array" ref="BR965">$BI965 * IF($AH965&lt;=2,
SUMPRODUCT(INDEX($AR$72:$AT$76,,$AI965), INDEX($AU$72:$BA$76,,$AH965), 1 / ($BB$72:$BB$76*BQ965 + (1-$BB$72:$BB$76)*BM965), N($AQ$72:$AQ$76&gt;$AO965)),
SUMPRODUCT(INDEX($AR$67:$AT$76,,$AI965), INDEX($AU$67:$BA$76,,$AH965), 1 / ($BC$67:$BC$76*BQ965 + (1-$BC$67:$BC$76)*BM965), N($AQ$67:$AQ$76&gt;$AO965))
) / 1000</f>
        <v>0</v>
      </c>
      <c r="BS965" s="232">
        <f t="shared" si="834"/>
        <v>25</v>
      </c>
      <c r="BT965" s="230">
        <f t="shared" si="849"/>
        <v>38</v>
      </c>
      <c r="BU965" s="235">
        <f t="shared" si="850"/>
        <v>3.792954545454545</v>
      </c>
      <c r="BV965" s="235" cm="1">
        <f t="array" ref="BV965">$BI965 * IF($AH965&lt;=2,
SUMPRODUCT(INDEX($AR$67:$AT$71,,$AI965), INDEX($AU$67:$BA$71,,$AH965), 1 / ($BB$67:$BB$71*BU965 + (1-$BB$67:$BB$71)*BQ965), N($AQ$67:$AQ$71&gt;$AO965)),
SUMPRODUCT(INDEX($AR$57:$AT$66,,$AI965), INDEX($AU$57:$BA$66,,$AH965), 1 / ($BC$57:$BC$66*BU965 + (1-$BC$57:$BC$66)*BQ965), N($AQ$57:$AQ$66&gt;$AO965))
) / 1000</f>
        <v>0</v>
      </c>
      <c r="BW965" s="232">
        <f t="shared" si="835"/>
        <v>20</v>
      </c>
      <c r="BX965" s="230">
        <f t="shared" si="851"/>
        <v>33</v>
      </c>
      <c r="BY965" s="235">
        <f t="shared" si="852"/>
        <v>4.4702678571428569</v>
      </c>
      <c r="BZ965" s="235" cm="1">
        <f t="array" ref="BZ965">$BI965 * IF($AH965&lt;=2,
SUMPRODUCT(INDEX($AR$62:$AT$66,,$AI965), INDEX($AU$62:$BA$66,,$AH965), 1 / ($BB$62:$BB$66*BY965 + (1-$BB$62:$BB$66)*BU965), N($AQ$62:$AQ$66&gt;$AO965)),
SUMPRODUCT(INDEX($AR$47:$AT$56,,$AI965), INDEX($AU$47:$BA$56,,$AH965), 1 / ($BC$47:$BC$56*BY965 + (1-$BC$47:$BC$56)*BU965), N($AQ$47:$AQ$56&gt;$AO965))
) / 1000</f>
        <v>0</v>
      </c>
      <c r="CA965" s="235" cm="1">
        <f t="array" ref="CA965">$BI965 * IF($AH965&lt;=2,
SUMPRODUCT(INDEX($AR$23:$AT$61,,$AI965), INDEX($AU$23:$BA$61,,$AH965), 1 / ($BB$23:$BB$61*BY965), N($AQ$23:$AQ$61&gt;$AO965)),
SUMPRODUCT(INDEX($AR$23:$AT$46,,$AI965), INDEX($AU$23:$BA$46,,$AH965), 1 / ($BC$23:$BC$46*BY965), N($AQ$23:$AQ$46&gt;$AO965))
) / 1000</f>
        <v>0</v>
      </c>
      <c r="CB965" s="230">
        <f t="shared" si="853"/>
        <v>0</v>
      </c>
      <c r="CC965" s="238"/>
      <c r="CD965" s="229" cm="1">
        <f t="array" ref="CD965">IF(ISBLANK(Y965), INDEX(Use, $AH965, 4) - AN965*INDEX(Use, $AH965, 6) - (Q965-X965), Y965)</f>
        <v>7</v>
      </c>
      <c r="CE965" s="229">
        <f t="shared" si="854"/>
        <v>32</v>
      </c>
      <c r="CF965" s="230">
        <f t="shared" si="855"/>
        <v>0</v>
      </c>
      <c r="CG965" s="229">
        <v>35</v>
      </c>
      <c r="CH965" s="230">
        <f t="shared" si="856"/>
        <v>48</v>
      </c>
      <c r="CI965" s="235">
        <f t="shared" si="857"/>
        <v>3.0748170731707316</v>
      </c>
      <c r="CJ965" s="235" cm="1">
        <f t="array" ref="CJ965">$BI965 * SUMPRODUCT(INDEX($AR$77:$AT$82,,$AI965),INDEX($AU$77:$BA$82,,$AH965), N($AQ$77:$AQ$82&gt;$AO965)) / CI965 / 1000</f>
        <v>0</v>
      </c>
      <c r="CK965" s="232">
        <f t="shared" si="836"/>
        <v>30</v>
      </c>
      <c r="CL965" s="230">
        <f t="shared" si="858"/>
        <v>43</v>
      </c>
      <c r="CM965" s="235">
        <f t="shared" si="859"/>
        <v>3.5018750000000001</v>
      </c>
      <c r="CN965" s="235" cm="1">
        <f t="array" ref="CN965">$BI965 * IF($AH965&lt;=2,
SUMPRODUCT(INDEX($AR$72:$AT$76,,$AI965), INDEX($AU$72:$BA$76,,$AH965), 1 / ($BB$72:$BB$76*CM965 + (1-$BB$72:$BB$76)*CI965), N($AQ$72:$AQ$76&gt;$AO965)),
SUMPRODUCT(INDEX($AR$67:$AT$76,,$AI965), INDEX($AU$67:$BA$76,,$AH965), 1 / ($BC$67:$BC$76*CM965 + (1-$BC$67:$BC$76)*CI965), N($AQ$67:$AQ$76&gt;$AO965))
) / 1000</f>
        <v>0</v>
      </c>
      <c r="CO965" s="232">
        <f t="shared" si="837"/>
        <v>25</v>
      </c>
      <c r="CP965" s="230">
        <f t="shared" si="860"/>
        <v>38</v>
      </c>
      <c r="CQ965" s="235">
        <f t="shared" si="861"/>
        <v>4.0666935483870965</v>
      </c>
      <c r="CR965" s="235" cm="1">
        <f t="array" ref="CR965">$BI965 * IF($AH965&lt;=2,
SUMPRODUCT(INDEX($AR$67:$AT$71,,$AI965), INDEX($AU$67:$BA$71,,$AH965), 1 / ($BB$67:$BB$71*CQ965 + (1-$BB$67:$BB$71)*CM965), N($AQ$67:$AQ$71&gt;$AO965)),
SUMPRODUCT(INDEX($AR$57:$AT$66,,$AI965), INDEX($AU$57:$BA$66,,$AH965), 1 / ($BC$57:$BC$66*CQ965 + (1-$BC$57:$BC$66)*CM965), N($AQ$57:$AQ$66&gt;$AO965))
) / 1000</f>
        <v>0</v>
      </c>
      <c r="CS965" s="232">
        <f t="shared" si="838"/>
        <v>20</v>
      </c>
      <c r="CT965" s="230">
        <f t="shared" si="862"/>
        <v>33</v>
      </c>
      <c r="CU965" s="235">
        <f t="shared" si="863"/>
        <v>4.8487499999999999</v>
      </c>
      <c r="CV965" s="235" cm="1">
        <f t="array" ref="CV965">$BI965 * IF($AH965&lt;=2,
SUMPRODUCT(INDEX($AR$62:$AT$66,,$AI965), INDEX($AU$62:$BA$66,,$AH965), 1 / ($BB$62:$BB$66*CU965 + (1-$BB$62:$BB$66)*CQ965), N($AQ$62:$AQ$66&gt;$AO965)),
SUMPRODUCT(INDEX($AR$47:$AT$56,,$AI965), INDEX($AU$47:$BA$56,,$AH965), 1 / ($BC$47:$BC$56*CU965 + (1-$BC$47:$BC$56)*CQ965), N($AQ$47:$AQ$56&gt;$AO965))
) / 1000</f>
        <v>0</v>
      </c>
      <c r="CW965" s="235" cm="1">
        <f t="array" ref="CW965">$BI965 * IF($AH965&lt;=2,
SUMPRODUCT(INDEX($AR$23:$AT$61,,$AI965), INDEX($AU$23:$BA$61,,$AH965), 1 / ($BB$23:$BB$61*CU965), N($AQ$23:$AQ$61&gt;$AO965)),
SUMPRODUCT(INDEX($AR$23:$AT$46,,$AI965), INDEX($AU$23:$BA$46,,$AH965), 1 / ($BC$23:$BC$46*CU965), N($AQ$23:$AQ$46&gt;$AO965))
) / 1000</f>
        <v>0</v>
      </c>
      <c r="CX965" s="230">
        <f t="shared" si="864"/>
        <v>0</v>
      </c>
      <c r="CY965" s="238"/>
    </row>
    <row r="966" spans="1:103" s="76" customFormat="1" ht="14.25" customHeight="1" x14ac:dyDescent="0.2">
      <c r="A966" s="231" t="b">
        <f t="shared" si="830"/>
        <v>0</v>
      </c>
      <c r="B966" s="245">
        <v>944</v>
      </c>
      <c r="C966" s="258"/>
      <c r="D966" s="258"/>
      <c r="E966" s="246"/>
      <c r="F966" s="247" t="str">
        <f>IF(ISBLANK(E966), "", VLOOKUP(E966, Z!$A$2:$C$4127, 3, FALSE))</f>
        <v/>
      </c>
      <c r="G966" s="248"/>
      <c r="H966" s="248"/>
      <c r="I966" s="249"/>
      <c r="J966" s="250"/>
      <c r="K966" s="259"/>
      <c r="L966" s="260"/>
      <c r="M966" s="252" t="str" cm="1">
        <f t="array" ref="M966">INDEX(Trad, 53, $A$20)</f>
        <v>Verschmutzt</v>
      </c>
      <c r="N966" s="253"/>
      <c r="O966" s="253"/>
      <c r="P966" s="254"/>
      <c r="Q966" s="251"/>
      <c r="R966" s="251"/>
      <c r="S966" s="264">
        <f t="shared" si="839"/>
        <v>0</v>
      </c>
      <c r="T966" s="252" t="str" cm="1">
        <f t="array" ref="T966">INDEX(Trad, 52, $A$20)</f>
        <v>Sauber</v>
      </c>
      <c r="U966" s="253"/>
      <c r="V966" s="253"/>
      <c r="W966" s="254"/>
      <c r="X966" s="251"/>
      <c r="Y966" s="251"/>
      <c r="Z966" s="264">
        <f t="shared" si="840"/>
        <v>0</v>
      </c>
      <c r="AA966" s="261"/>
      <c r="AB966" s="258"/>
      <c r="AC966" s="246"/>
      <c r="AD966" s="247" t="str">
        <f>IF(ISBLANK(AC966), "", VLOOKUP(AC966, Z!$A$2:$C$4127, 3, FALSE))</f>
        <v/>
      </c>
      <c r="AE966" s="262"/>
      <c r="AF966" s="263">
        <f t="shared" si="841"/>
        <v>0</v>
      </c>
      <c r="AG966" s="238"/>
      <c r="AH966" s="229">
        <f t="shared" si="865"/>
        <v>1</v>
      </c>
      <c r="AI966" s="229">
        <f t="shared" si="866"/>
        <v>1</v>
      </c>
      <c r="AJ966" s="229">
        <f t="shared" si="867"/>
        <v>0</v>
      </c>
      <c r="AK966" s="229">
        <v>0</v>
      </c>
      <c r="AL966" s="229">
        <v>0</v>
      </c>
      <c r="AM966" s="229">
        <v>1</v>
      </c>
      <c r="AN966" s="229">
        <v>0</v>
      </c>
      <c r="AO966" s="229">
        <f t="shared" si="842"/>
        <v>-100</v>
      </c>
      <c r="AP966" s="238"/>
      <c r="AQ966" s="255"/>
      <c r="AR966" s="255"/>
      <c r="AS966" s="256"/>
      <c r="AT966" s="256"/>
      <c r="AU966" s="256"/>
      <c r="AV966" s="256"/>
      <c r="AW966" s="256"/>
      <c r="AX966" s="256"/>
      <c r="AY966" s="256"/>
      <c r="AZ966" s="256"/>
      <c r="BA966" s="256"/>
      <c r="BB966" s="256"/>
      <c r="BC966" s="256"/>
      <c r="BD966" s="238"/>
      <c r="BE966" s="229" cm="1">
        <f t="array" ref="BE966">IF(ISBLANK(R966), INDEX(Use, $AH966, 4) - AM966*INDEX(Use, $AH966, 6), R966)</f>
        <v>5</v>
      </c>
      <c r="BF966" s="229">
        <f t="shared" si="843"/>
        <v>30</v>
      </c>
      <c r="BG966" s="229">
        <f t="shared" si="831"/>
        <v>13</v>
      </c>
      <c r="BH966" s="229">
        <f t="shared" si="832"/>
        <v>0</v>
      </c>
      <c r="BI966" s="234" cm="1">
        <f t="array" ref="BI966">K966/IF($L966&gt;0, INDEX($AU$23:$BA$77, $L966+20, $AH966), 1)</f>
        <v>0</v>
      </c>
      <c r="BJ966" s="230">
        <f t="shared" si="844"/>
        <v>0</v>
      </c>
      <c r="BK966" s="229">
        <v>35</v>
      </c>
      <c r="BL966" s="230">
        <f t="shared" si="845"/>
        <v>48</v>
      </c>
      <c r="BM966" s="235">
        <f t="shared" si="846"/>
        <v>2.9108720930232557</v>
      </c>
      <c r="BN966" s="235" cm="1">
        <f t="array" ref="BN966">$BI966 * SUMPRODUCT(INDEX($AR$77:$AT$82,,$AI966),INDEX($AU$77:$BA$82,,$AH966), N($AQ$77:$AQ$82&gt;$AO966)) / BM966 / 1000</f>
        <v>0</v>
      </c>
      <c r="BO966" s="232">
        <f t="shared" si="833"/>
        <v>30</v>
      </c>
      <c r="BP966" s="230">
        <f t="shared" si="847"/>
        <v>43</v>
      </c>
      <c r="BQ966" s="235">
        <f t="shared" si="848"/>
        <v>3.2938815789473681</v>
      </c>
      <c r="BR966" s="235" cm="1">
        <f t="array" ref="BR966">$BI966 * IF($AH966&lt;=2,
SUMPRODUCT(INDEX($AR$72:$AT$76,,$AI966), INDEX($AU$72:$BA$76,,$AH966), 1 / ($BB$72:$BB$76*BQ966 + (1-$BB$72:$BB$76)*BM966), N($AQ$72:$AQ$76&gt;$AO966)),
SUMPRODUCT(INDEX($AR$67:$AT$76,,$AI966), INDEX($AU$67:$BA$76,,$AH966), 1 / ($BC$67:$BC$76*BQ966 + (1-$BC$67:$BC$76)*BM966), N($AQ$67:$AQ$76&gt;$AO966))
) / 1000</f>
        <v>0</v>
      </c>
      <c r="BS966" s="232">
        <f t="shared" si="834"/>
        <v>25</v>
      </c>
      <c r="BT966" s="230">
        <f t="shared" si="849"/>
        <v>38</v>
      </c>
      <c r="BU966" s="235">
        <f t="shared" si="850"/>
        <v>3.792954545454545</v>
      </c>
      <c r="BV966" s="235" cm="1">
        <f t="array" ref="BV966">$BI966 * IF($AH966&lt;=2,
SUMPRODUCT(INDEX($AR$67:$AT$71,,$AI966), INDEX($AU$67:$BA$71,,$AH966), 1 / ($BB$67:$BB$71*BU966 + (1-$BB$67:$BB$71)*BQ966), N($AQ$67:$AQ$71&gt;$AO966)),
SUMPRODUCT(INDEX($AR$57:$AT$66,,$AI966), INDEX($AU$57:$BA$66,,$AH966), 1 / ($BC$57:$BC$66*BU966 + (1-$BC$57:$BC$66)*BQ966), N($AQ$57:$AQ$66&gt;$AO966))
) / 1000</f>
        <v>0</v>
      </c>
      <c r="BW966" s="232">
        <f t="shared" si="835"/>
        <v>20</v>
      </c>
      <c r="BX966" s="230">
        <f t="shared" si="851"/>
        <v>33</v>
      </c>
      <c r="BY966" s="235">
        <f t="shared" si="852"/>
        <v>4.4702678571428569</v>
      </c>
      <c r="BZ966" s="235" cm="1">
        <f t="array" ref="BZ966">$BI966 * IF($AH966&lt;=2,
SUMPRODUCT(INDEX($AR$62:$AT$66,,$AI966), INDEX($AU$62:$BA$66,,$AH966), 1 / ($BB$62:$BB$66*BY966 + (1-$BB$62:$BB$66)*BU966), N($AQ$62:$AQ$66&gt;$AO966)),
SUMPRODUCT(INDEX($AR$47:$AT$56,,$AI966), INDEX($AU$47:$BA$56,,$AH966), 1 / ($BC$47:$BC$56*BY966 + (1-$BC$47:$BC$56)*BU966), N($AQ$47:$AQ$56&gt;$AO966))
) / 1000</f>
        <v>0</v>
      </c>
      <c r="CA966" s="235" cm="1">
        <f t="array" ref="CA966">$BI966 * IF($AH966&lt;=2,
SUMPRODUCT(INDEX($AR$23:$AT$61,,$AI966), INDEX($AU$23:$BA$61,,$AH966), 1 / ($BB$23:$BB$61*BY966), N($AQ$23:$AQ$61&gt;$AO966)),
SUMPRODUCT(INDEX($AR$23:$AT$46,,$AI966), INDEX($AU$23:$BA$46,,$AH966), 1 / ($BC$23:$BC$46*BY966), N($AQ$23:$AQ$46&gt;$AO966))
) / 1000</f>
        <v>0</v>
      </c>
      <c r="CB966" s="230">
        <f t="shared" si="853"/>
        <v>0</v>
      </c>
      <c r="CC966" s="238"/>
      <c r="CD966" s="229" cm="1">
        <f t="array" ref="CD966">IF(ISBLANK(Y966), INDEX(Use, $AH966, 4) - AN966*INDEX(Use, $AH966, 6) - (Q966-X966), Y966)</f>
        <v>7</v>
      </c>
      <c r="CE966" s="229">
        <f t="shared" si="854"/>
        <v>32</v>
      </c>
      <c r="CF966" s="230">
        <f t="shared" si="855"/>
        <v>0</v>
      </c>
      <c r="CG966" s="229">
        <v>35</v>
      </c>
      <c r="CH966" s="230">
        <f t="shared" si="856"/>
        <v>48</v>
      </c>
      <c r="CI966" s="235">
        <f t="shared" si="857"/>
        <v>3.0748170731707316</v>
      </c>
      <c r="CJ966" s="235" cm="1">
        <f t="array" ref="CJ966">$BI966 * SUMPRODUCT(INDEX($AR$77:$AT$82,,$AI966),INDEX($AU$77:$BA$82,,$AH966), N($AQ$77:$AQ$82&gt;$AO966)) / CI966 / 1000</f>
        <v>0</v>
      </c>
      <c r="CK966" s="232">
        <f t="shared" si="836"/>
        <v>30</v>
      </c>
      <c r="CL966" s="230">
        <f t="shared" si="858"/>
        <v>43</v>
      </c>
      <c r="CM966" s="235">
        <f t="shared" si="859"/>
        <v>3.5018750000000001</v>
      </c>
      <c r="CN966" s="235" cm="1">
        <f t="array" ref="CN966">$BI966 * IF($AH966&lt;=2,
SUMPRODUCT(INDEX($AR$72:$AT$76,,$AI966), INDEX($AU$72:$BA$76,,$AH966), 1 / ($BB$72:$BB$76*CM966 + (1-$BB$72:$BB$76)*CI966), N($AQ$72:$AQ$76&gt;$AO966)),
SUMPRODUCT(INDEX($AR$67:$AT$76,,$AI966), INDEX($AU$67:$BA$76,,$AH966), 1 / ($BC$67:$BC$76*CM966 + (1-$BC$67:$BC$76)*CI966), N($AQ$67:$AQ$76&gt;$AO966))
) / 1000</f>
        <v>0</v>
      </c>
      <c r="CO966" s="232">
        <f t="shared" si="837"/>
        <v>25</v>
      </c>
      <c r="CP966" s="230">
        <f t="shared" si="860"/>
        <v>38</v>
      </c>
      <c r="CQ966" s="235">
        <f t="shared" si="861"/>
        <v>4.0666935483870965</v>
      </c>
      <c r="CR966" s="235" cm="1">
        <f t="array" ref="CR966">$BI966 * IF($AH966&lt;=2,
SUMPRODUCT(INDEX($AR$67:$AT$71,,$AI966), INDEX($AU$67:$BA$71,,$AH966), 1 / ($BB$67:$BB$71*CQ966 + (1-$BB$67:$BB$71)*CM966), N($AQ$67:$AQ$71&gt;$AO966)),
SUMPRODUCT(INDEX($AR$57:$AT$66,,$AI966), INDEX($AU$57:$BA$66,,$AH966), 1 / ($BC$57:$BC$66*CQ966 + (1-$BC$57:$BC$66)*CM966), N($AQ$57:$AQ$66&gt;$AO966))
) / 1000</f>
        <v>0</v>
      </c>
      <c r="CS966" s="232">
        <f t="shared" si="838"/>
        <v>20</v>
      </c>
      <c r="CT966" s="230">
        <f t="shared" si="862"/>
        <v>33</v>
      </c>
      <c r="CU966" s="235">
        <f t="shared" si="863"/>
        <v>4.8487499999999999</v>
      </c>
      <c r="CV966" s="235" cm="1">
        <f t="array" ref="CV966">$BI966 * IF($AH966&lt;=2,
SUMPRODUCT(INDEX($AR$62:$AT$66,,$AI966), INDEX($AU$62:$BA$66,,$AH966), 1 / ($BB$62:$BB$66*CU966 + (1-$BB$62:$BB$66)*CQ966), N($AQ$62:$AQ$66&gt;$AO966)),
SUMPRODUCT(INDEX($AR$47:$AT$56,,$AI966), INDEX($AU$47:$BA$56,,$AH966), 1 / ($BC$47:$BC$56*CU966 + (1-$BC$47:$BC$56)*CQ966), N($AQ$47:$AQ$56&gt;$AO966))
) / 1000</f>
        <v>0</v>
      </c>
      <c r="CW966" s="235" cm="1">
        <f t="array" ref="CW966">$BI966 * IF($AH966&lt;=2,
SUMPRODUCT(INDEX($AR$23:$AT$61,,$AI966), INDEX($AU$23:$BA$61,,$AH966), 1 / ($BB$23:$BB$61*CU966), N($AQ$23:$AQ$61&gt;$AO966)),
SUMPRODUCT(INDEX($AR$23:$AT$46,,$AI966), INDEX($AU$23:$BA$46,,$AH966), 1 / ($BC$23:$BC$46*CU966), N($AQ$23:$AQ$46&gt;$AO966))
) / 1000</f>
        <v>0</v>
      </c>
      <c r="CX966" s="230">
        <f t="shared" si="864"/>
        <v>0</v>
      </c>
      <c r="CY966" s="238"/>
    </row>
    <row r="967" spans="1:103" s="76" customFormat="1" ht="14.25" customHeight="1" x14ac:dyDescent="0.2">
      <c r="A967" s="231" t="b">
        <f t="shared" si="830"/>
        <v>0</v>
      </c>
      <c r="B967" s="245">
        <v>945</v>
      </c>
      <c r="C967" s="258"/>
      <c r="D967" s="258"/>
      <c r="E967" s="246"/>
      <c r="F967" s="247" t="str">
        <f>IF(ISBLANK(E967), "", VLOOKUP(E967, Z!$A$2:$C$4127, 3, FALSE))</f>
        <v/>
      </c>
      <c r="G967" s="248"/>
      <c r="H967" s="248"/>
      <c r="I967" s="249"/>
      <c r="J967" s="250"/>
      <c r="K967" s="259"/>
      <c r="L967" s="260"/>
      <c r="M967" s="252" t="str" cm="1">
        <f t="array" ref="M967">INDEX(Trad, 53, $A$20)</f>
        <v>Verschmutzt</v>
      </c>
      <c r="N967" s="253"/>
      <c r="O967" s="253"/>
      <c r="P967" s="254"/>
      <c r="Q967" s="251"/>
      <c r="R967" s="251"/>
      <c r="S967" s="264">
        <f t="shared" si="839"/>
        <v>0</v>
      </c>
      <c r="T967" s="252" t="str" cm="1">
        <f t="array" ref="T967">INDEX(Trad, 52, $A$20)</f>
        <v>Sauber</v>
      </c>
      <c r="U967" s="253"/>
      <c r="V967" s="253"/>
      <c r="W967" s="254"/>
      <c r="X967" s="251"/>
      <c r="Y967" s="251"/>
      <c r="Z967" s="264">
        <f t="shared" si="840"/>
        <v>0</v>
      </c>
      <c r="AA967" s="261"/>
      <c r="AB967" s="258"/>
      <c r="AC967" s="246"/>
      <c r="AD967" s="247" t="str">
        <f>IF(ISBLANK(AC967), "", VLOOKUP(AC967, Z!$A$2:$C$4127, 3, FALSE))</f>
        <v/>
      </c>
      <c r="AE967" s="262"/>
      <c r="AF967" s="263">
        <f t="shared" si="841"/>
        <v>0</v>
      </c>
      <c r="AG967" s="238"/>
      <c r="AH967" s="229">
        <f t="shared" si="865"/>
        <v>1</v>
      </c>
      <c r="AI967" s="229">
        <f t="shared" si="866"/>
        <v>1</v>
      </c>
      <c r="AJ967" s="229">
        <f t="shared" si="867"/>
        <v>0</v>
      </c>
      <c r="AK967" s="229">
        <v>0</v>
      </c>
      <c r="AL967" s="229">
        <v>0</v>
      </c>
      <c r="AM967" s="229">
        <v>1</v>
      </c>
      <c r="AN967" s="229">
        <v>0</v>
      </c>
      <c r="AO967" s="229">
        <f t="shared" si="842"/>
        <v>-100</v>
      </c>
      <c r="AP967" s="238"/>
      <c r="AQ967" s="255"/>
      <c r="AR967" s="255"/>
      <c r="AS967" s="256"/>
      <c r="AT967" s="256"/>
      <c r="AU967" s="256"/>
      <c r="AV967" s="256"/>
      <c r="AW967" s="256"/>
      <c r="AX967" s="256"/>
      <c r="AY967" s="256"/>
      <c r="AZ967" s="256"/>
      <c r="BA967" s="256"/>
      <c r="BB967" s="256"/>
      <c r="BC967" s="256"/>
      <c r="BD967" s="238"/>
      <c r="BE967" s="229" cm="1">
        <f t="array" ref="BE967">IF(ISBLANK(R967), INDEX(Use, $AH967, 4) - AM967*INDEX(Use, $AH967, 6), R967)</f>
        <v>5</v>
      </c>
      <c r="BF967" s="229">
        <f t="shared" si="843"/>
        <v>30</v>
      </c>
      <c r="BG967" s="229">
        <f t="shared" si="831"/>
        <v>13</v>
      </c>
      <c r="BH967" s="229">
        <f t="shared" si="832"/>
        <v>0</v>
      </c>
      <c r="BI967" s="234" cm="1">
        <f t="array" ref="BI967">K967/IF($L967&gt;0, INDEX($AU$23:$BA$77, $L967+20, $AH967), 1)</f>
        <v>0</v>
      </c>
      <c r="BJ967" s="230">
        <f t="shared" si="844"/>
        <v>0</v>
      </c>
      <c r="BK967" s="229">
        <v>35</v>
      </c>
      <c r="BL967" s="230">
        <f t="shared" si="845"/>
        <v>48</v>
      </c>
      <c r="BM967" s="235">
        <f t="shared" si="846"/>
        <v>2.9108720930232557</v>
      </c>
      <c r="BN967" s="235" cm="1">
        <f t="array" ref="BN967">$BI967 * SUMPRODUCT(INDEX($AR$77:$AT$82,,$AI967),INDEX($AU$77:$BA$82,,$AH967), N($AQ$77:$AQ$82&gt;$AO967)) / BM967 / 1000</f>
        <v>0</v>
      </c>
      <c r="BO967" s="232">
        <f t="shared" si="833"/>
        <v>30</v>
      </c>
      <c r="BP967" s="230">
        <f t="shared" si="847"/>
        <v>43</v>
      </c>
      <c r="BQ967" s="235">
        <f t="shared" si="848"/>
        <v>3.2938815789473681</v>
      </c>
      <c r="BR967" s="235" cm="1">
        <f t="array" ref="BR967">$BI967 * IF($AH967&lt;=2,
SUMPRODUCT(INDEX($AR$72:$AT$76,,$AI967), INDEX($AU$72:$BA$76,,$AH967), 1 / ($BB$72:$BB$76*BQ967 + (1-$BB$72:$BB$76)*BM967), N($AQ$72:$AQ$76&gt;$AO967)),
SUMPRODUCT(INDEX($AR$67:$AT$76,,$AI967), INDEX($AU$67:$BA$76,,$AH967), 1 / ($BC$67:$BC$76*BQ967 + (1-$BC$67:$BC$76)*BM967), N($AQ$67:$AQ$76&gt;$AO967))
) / 1000</f>
        <v>0</v>
      </c>
      <c r="BS967" s="232">
        <f t="shared" si="834"/>
        <v>25</v>
      </c>
      <c r="BT967" s="230">
        <f t="shared" si="849"/>
        <v>38</v>
      </c>
      <c r="BU967" s="235">
        <f t="shared" si="850"/>
        <v>3.792954545454545</v>
      </c>
      <c r="BV967" s="235" cm="1">
        <f t="array" ref="BV967">$BI967 * IF($AH967&lt;=2,
SUMPRODUCT(INDEX($AR$67:$AT$71,,$AI967), INDEX($AU$67:$BA$71,,$AH967), 1 / ($BB$67:$BB$71*BU967 + (1-$BB$67:$BB$71)*BQ967), N($AQ$67:$AQ$71&gt;$AO967)),
SUMPRODUCT(INDEX($AR$57:$AT$66,,$AI967), INDEX($AU$57:$BA$66,,$AH967), 1 / ($BC$57:$BC$66*BU967 + (1-$BC$57:$BC$66)*BQ967), N($AQ$57:$AQ$66&gt;$AO967))
) / 1000</f>
        <v>0</v>
      </c>
      <c r="BW967" s="232">
        <f t="shared" si="835"/>
        <v>20</v>
      </c>
      <c r="BX967" s="230">
        <f t="shared" si="851"/>
        <v>33</v>
      </c>
      <c r="BY967" s="235">
        <f t="shared" si="852"/>
        <v>4.4702678571428569</v>
      </c>
      <c r="BZ967" s="235" cm="1">
        <f t="array" ref="BZ967">$BI967 * IF($AH967&lt;=2,
SUMPRODUCT(INDEX($AR$62:$AT$66,,$AI967), INDEX($AU$62:$BA$66,,$AH967), 1 / ($BB$62:$BB$66*BY967 + (1-$BB$62:$BB$66)*BU967), N($AQ$62:$AQ$66&gt;$AO967)),
SUMPRODUCT(INDEX($AR$47:$AT$56,,$AI967), INDEX($AU$47:$BA$56,,$AH967), 1 / ($BC$47:$BC$56*BY967 + (1-$BC$47:$BC$56)*BU967), N($AQ$47:$AQ$56&gt;$AO967))
) / 1000</f>
        <v>0</v>
      </c>
      <c r="CA967" s="235" cm="1">
        <f t="array" ref="CA967">$BI967 * IF($AH967&lt;=2,
SUMPRODUCT(INDEX($AR$23:$AT$61,,$AI967), INDEX($AU$23:$BA$61,,$AH967), 1 / ($BB$23:$BB$61*BY967), N($AQ$23:$AQ$61&gt;$AO967)),
SUMPRODUCT(INDEX($AR$23:$AT$46,,$AI967), INDEX($AU$23:$BA$46,,$AH967), 1 / ($BC$23:$BC$46*BY967), N($AQ$23:$AQ$46&gt;$AO967))
) / 1000</f>
        <v>0</v>
      </c>
      <c r="CB967" s="230">
        <f t="shared" si="853"/>
        <v>0</v>
      </c>
      <c r="CC967" s="238"/>
      <c r="CD967" s="229" cm="1">
        <f t="array" ref="CD967">IF(ISBLANK(Y967), INDEX(Use, $AH967, 4) - AN967*INDEX(Use, $AH967, 6) - (Q967-X967), Y967)</f>
        <v>7</v>
      </c>
      <c r="CE967" s="229">
        <f t="shared" si="854"/>
        <v>32</v>
      </c>
      <c r="CF967" s="230">
        <f t="shared" si="855"/>
        <v>0</v>
      </c>
      <c r="CG967" s="229">
        <v>35</v>
      </c>
      <c r="CH967" s="230">
        <f t="shared" si="856"/>
        <v>48</v>
      </c>
      <c r="CI967" s="235">
        <f t="shared" si="857"/>
        <v>3.0748170731707316</v>
      </c>
      <c r="CJ967" s="235" cm="1">
        <f t="array" ref="CJ967">$BI967 * SUMPRODUCT(INDEX($AR$77:$AT$82,,$AI967),INDEX($AU$77:$BA$82,,$AH967), N($AQ$77:$AQ$82&gt;$AO967)) / CI967 / 1000</f>
        <v>0</v>
      </c>
      <c r="CK967" s="232">
        <f t="shared" si="836"/>
        <v>30</v>
      </c>
      <c r="CL967" s="230">
        <f t="shared" si="858"/>
        <v>43</v>
      </c>
      <c r="CM967" s="235">
        <f t="shared" si="859"/>
        <v>3.5018750000000001</v>
      </c>
      <c r="CN967" s="235" cm="1">
        <f t="array" ref="CN967">$BI967 * IF($AH967&lt;=2,
SUMPRODUCT(INDEX($AR$72:$AT$76,,$AI967), INDEX($AU$72:$BA$76,,$AH967), 1 / ($BB$72:$BB$76*CM967 + (1-$BB$72:$BB$76)*CI967), N($AQ$72:$AQ$76&gt;$AO967)),
SUMPRODUCT(INDEX($AR$67:$AT$76,,$AI967), INDEX($AU$67:$BA$76,,$AH967), 1 / ($BC$67:$BC$76*CM967 + (1-$BC$67:$BC$76)*CI967), N($AQ$67:$AQ$76&gt;$AO967))
) / 1000</f>
        <v>0</v>
      </c>
      <c r="CO967" s="232">
        <f t="shared" si="837"/>
        <v>25</v>
      </c>
      <c r="CP967" s="230">
        <f t="shared" si="860"/>
        <v>38</v>
      </c>
      <c r="CQ967" s="235">
        <f t="shared" si="861"/>
        <v>4.0666935483870965</v>
      </c>
      <c r="CR967" s="235" cm="1">
        <f t="array" ref="CR967">$BI967 * IF($AH967&lt;=2,
SUMPRODUCT(INDEX($AR$67:$AT$71,,$AI967), INDEX($AU$67:$BA$71,,$AH967), 1 / ($BB$67:$BB$71*CQ967 + (1-$BB$67:$BB$71)*CM967), N($AQ$67:$AQ$71&gt;$AO967)),
SUMPRODUCT(INDEX($AR$57:$AT$66,,$AI967), INDEX($AU$57:$BA$66,,$AH967), 1 / ($BC$57:$BC$66*CQ967 + (1-$BC$57:$BC$66)*CM967), N($AQ$57:$AQ$66&gt;$AO967))
) / 1000</f>
        <v>0</v>
      </c>
      <c r="CS967" s="232">
        <f t="shared" si="838"/>
        <v>20</v>
      </c>
      <c r="CT967" s="230">
        <f t="shared" si="862"/>
        <v>33</v>
      </c>
      <c r="CU967" s="235">
        <f t="shared" si="863"/>
        <v>4.8487499999999999</v>
      </c>
      <c r="CV967" s="235" cm="1">
        <f t="array" ref="CV967">$BI967 * IF($AH967&lt;=2,
SUMPRODUCT(INDEX($AR$62:$AT$66,,$AI967), INDEX($AU$62:$BA$66,,$AH967), 1 / ($BB$62:$BB$66*CU967 + (1-$BB$62:$BB$66)*CQ967), N($AQ$62:$AQ$66&gt;$AO967)),
SUMPRODUCT(INDEX($AR$47:$AT$56,,$AI967), INDEX($AU$47:$BA$56,,$AH967), 1 / ($BC$47:$BC$56*CU967 + (1-$BC$47:$BC$56)*CQ967), N($AQ$47:$AQ$56&gt;$AO967))
) / 1000</f>
        <v>0</v>
      </c>
      <c r="CW967" s="235" cm="1">
        <f t="array" ref="CW967">$BI967 * IF($AH967&lt;=2,
SUMPRODUCT(INDEX($AR$23:$AT$61,,$AI967), INDEX($AU$23:$BA$61,,$AH967), 1 / ($BB$23:$BB$61*CU967), N($AQ$23:$AQ$61&gt;$AO967)),
SUMPRODUCT(INDEX($AR$23:$AT$46,,$AI967), INDEX($AU$23:$BA$46,,$AH967), 1 / ($BC$23:$BC$46*CU967), N($AQ$23:$AQ$46&gt;$AO967))
) / 1000</f>
        <v>0</v>
      </c>
      <c r="CX967" s="230">
        <f t="shared" si="864"/>
        <v>0</v>
      </c>
      <c r="CY967" s="238"/>
    </row>
    <row r="968" spans="1:103" s="76" customFormat="1" ht="14.25" customHeight="1" x14ac:dyDescent="0.2">
      <c r="A968" s="231" t="b">
        <f t="shared" si="830"/>
        <v>0</v>
      </c>
      <c r="B968" s="245">
        <v>946</v>
      </c>
      <c r="C968" s="258"/>
      <c r="D968" s="258"/>
      <c r="E968" s="246"/>
      <c r="F968" s="247" t="str">
        <f>IF(ISBLANK(E968), "", VLOOKUP(E968, Z!$A$2:$C$4127, 3, FALSE))</f>
        <v/>
      </c>
      <c r="G968" s="248"/>
      <c r="H968" s="248"/>
      <c r="I968" s="249"/>
      <c r="J968" s="250"/>
      <c r="K968" s="259"/>
      <c r="L968" s="260"/>
      <c r="M968" s="252" t="str" cm="1">
        <f t="array" ref="M968">INDEX(Trad, 53, $A$20)</f>
        <v>Verschmutzt</v>
      </c>
      <c r="N968" s="253"/>
      <c r="O968" s="253"/>
      <c r="P968" s="254"/>
      <c r="Q968" s="251"/>
      <c r="R968" s="251"/>
      <c r="S968" s="264">
        <f t="shared" si="839"/>
        <v>0</v>
      </c>
      <c r="T968" s="252" t="str" cm="1">
        <f t="array" ref="T968">INDEX(Trad, 52, $A$20)</f>
        <v>Sauber</v>
      </c>
      <c r="U968" s="253"/>
      <c r="V968" s="253"/>
      <c r="W968" s="254"/>
      <c r="X968" s="251"/>
      <c r="Y968" s="251"/>
      <c r="Z968" s="264">
        <f t="shared" si="840"/>
        <v>0</v>
      </c>
      <c r="AA968" s="261"/>
      <c r="AB968" s="258"/>
      <c r="AC968" s="246"/>
      <c r="AD968" s="247" t="str">
        <f>IF(ISBLANK(AC968), "", VLOOKUP(AC968, Z!$A$2:$C$4127, 3, FALSE))</f>
        <v/>
      </c>
      <c r="AE968" s="262"/>
      <c r="AF968" s="263">
        <f t="shared" si="841"/>
        <v>0</v>
      </c>
      <c r="AG968" s="238"/>
      <c r="AH968" s="229">
        <f t="shared" si="865"/>
        <v>1</v>
      </c>
      <c r="AI968" s="229">
        <f t="shared" si="866"/>
        <v>1</v>
      </c>
      <c r="AJ968" s="229">
        <f t="shared" si="867"/>
        <v>0</v>
      </c>
      <c r="AK968" s="229">
        <v>0</v>
      </c>
      <c r="AL968" s="229">
        <v>0</v>
      </c>
      <c r="AM968" s="229">
        <v>1</v>
      </c>
      <c r="AN968" s="229">
        <v>0</v>
      </c>
      <c r="AO968" s="229">
        <f t="shared" si="842"/>
        <v>-100</v>
      </c>
      <c r="AP968" s="238"/>
      <c r="AQ968" s="255"/>
      <c r="AR968" s="255"/>
      <c r="AS968" s="256"/>
      <c r="AT968" s="256"/>
      <c r="AU968" s="256"/>
      <c r="AV968" s="256"/>
      <c r="AW968" s="256"/>
      <c r="AX968" s="256"/>
      <c r="AY968" s="256"/>
      <c r="AZ968" s="256"/>
      <c r="BA968" s="256"/>
      <c r="BB968" s="256"/>
      <c r="BC968" s="256"/>
      <c r="BD968" s="238"/>
      <c r="BE968" s="229" cm="1">
        <f t="array" ref="BE968">IF(ISBLANK(R968), INDEX(Use, $AH968, 4) - AM968*INDEX(Use, $AH968, 6), R968)</f>
        <v>5</v>
      </c>
      <c r="BF968" s="229">
        <f t="shared" si="843"/>
        <v>30</v>
      </c>
      <c r="BG968" s="229">
        <f t="shared" si="831"/>
        <v>13</v>
      </c>
      <c r="BH968" s="229">
        <f t="shared" si="832"/>
        <v>0</v>
      </c>
      <c r="BI968" s="234" cm="1">
        <f t="array" ref="BI968">K968/IF($L968&gt;0, INDEX($AU$23:$BA$77, $L968+20, $AH968), 1)</f>
        <v>0</v>
      </c>
      <c r="BJ968" s="230">
        <f t="shared" si="844"/>
        <v>0</v>
      </c>
      <c r="BK968" s="229">
        <v>35</v>
      </c>
      <c r="BL968" s="230">
        <f t="shared" si="845"/>
        <v>48</v>
      </c>
      <c r="BM968" s="235">
        <f t="shared" si="846"/>
        <v>2.9108720930232557</v>
      </c>
      <c r="BN968" s="235" cm="1">
        <f t="array" ref="BN968">$BI968 * SUMPRODUCT(INDEX($AR$77:$AT$82,,$AI968),INDEX($AU$77:$BA$82,,$AH968), N($AQ$77:$AQ$82&gt;$AO968)) / BM968 / 1000</f>
        <v>0</v>
      </c>
      <c r="BO968" s="232">
        <f t="shared" si="833"/>
        <v>30</v>
      </c>
      <c r="BP968" s="230">
        <f t="shared" si="847"/>
        <v>43</v>
      </c>
      <c r="BQ968" s="235">
        <f t="shared" si="848"/>
        <v>3.2938815789473681</v>
      </c>
      <c r="BR968" s="235" cm="1">
        <f t="array" ref="BR968">$BI968 * IF($AH968&lt;=2,
SUMPRODUCT(INDEX($AR$72:$AT$76,,$AI968), INDEX($AU$72:$BA$76,,$AH968), 1 / ($BB$72:$BB$76*BQ968 + (1-$BB$72:$BB$76)*BM968), N($AQ$72:$AQ$76&gt;$AO968)),
SUMPRODUCT(INDEX($AR$67:$AT$76,,$AI968), INDEX($AU$67:$BA$76,,$AH968), 1 / ($BC$67:$BC$76*BQ968 + (1-$BC$67:$BC$76)*BM968), N($AQ$67:$AQ$76&gt;$AO968))
) / 1000</f>
        <v>0</v>
      </c>
      <c r="BS968" s="232">
        <f t="shared" si="834"/>
        <v>25</v>
      </c>
      <c r="BT968" s="230">
        <f t="shared" si="849"/>
        <v>38</v>
      </c>
      <c r="BU968" s="235">
        <f t="shared" si="850"/>
        <v>3.792954545454545</v>
      </c>
      <c r="BV968" s="235" cm="1">
        <f t="array" ref="BV968">$BI968 * IF($AH968&lt;=2,
SUMPRODUCT(INDEX($AR$67:$AT$71,,$AI968), INDEX($AU$67:$BA$71,,$AH968), 1 / ($BB$67:$BB$71*BU968 + (1-$BB$67:$BB$71)*BQ968), N($AQ$67:$AQ$71&gt;$AO968)),
SUMPRODUCT(INDEX($AR$57:$AT$66,,$AI968), INDEX($AU$57:$BA$66,,$AH968), 1 / ($BC$57:$BC$66*BU968 + (1-$BC$57:$BC$66)*BQ968), N($AQ$57:$AQ$66&gt;$AO968))
) / 1000</f>
        <v>0</v>
      </c>
      <c r="BW968" s="232">
        <f t="shared" si="835"/>
        <v>20</v>
      </c>
      <c r="BX968" s="230">
        <f t="shared" si="851"/>
        <v>33</v>
      </c>
      <c r="BY968" s="235">
        <f t="shared" si="852"/>
        <v>4.4702678571428569</v>
      </c>
      <c r="BZ968" s="235" cm="1">
        <f t="array" ref="BZ968">$BI968 * IF($AH968&lt;=2,
SUMPRODUCT(INDEX($AR$62:$AT$66,,$AI968), INDEX($AU$62:$BA$66,,$AH968), 1 / ($BB$62:$BB$66*BY968 + (1-$BB$62:$BB$66)*BU968), N($AQ$62:$AQ$66&gt;$AO968)),
SUMPRODUCT(INDEX($AR$47:$AT$56,,$AI968), INDEX($AU$47:$BA$56,,$AH968), 1 / ($BC$47:$BC$56*BY968 + (1-$BC$47:$BC$56)*BU968), N($AQ$47:$AQ$56&gt;$AO968))
) / 1000</f>
        <v>0</v>
      </c>
      <c r="CA968" s="235" cm="1">
        <f t="array" ref="CA968">$BI968 * IF($AH968&lt;=2,
SUMPRODUCT(INDEX($AR$23:$AT$61,,$AI968), INDEX($AU$23:$BA$61,,$AH968), 1 / ($BB$23:$BB$61*BY968), N($AQ$23:$AQ$61&gt;$AO968)),
SUMPRODUCT(INDEX($AR$23:$AT$46,,$AI968), INDEX($AU$23:$BA$46,,$AH968), 1 / ($BC$23:$BC$46*BY968), N($AQ$23:$AQ$46&gt;$AO968))
) / 1000</f>
        <v>0</v>
      </c>
      <c r="CB968" s="230">
        <f t="shared" si="853"/>
        <v>0</v>
      </c>
      <c r="CC968" s="238"/>
      <c r="CD968" s="229" cm="1">
        <f t="array" ref="CD968">IF(ISBLANK(Y968), INDEX(Use, $AH968, 4) - AN968*INDEX(Use, $AH968, 6) - (Q968-X968), Y968)</f>
        <v>7</v>
      </c>
      <c r="CE968" s="229">
        <f t="shared" si="854"/>
        <v>32</v>
      </c>
      <c r="CF968" s="230">
        <f t="shared" si="855"/>
        <v>0</v>
      </c>
      <c r="CG968" s="229">
        <v>35</v>
      </c>
      <c r="CH968" s="230">
        <f t="shared" si="856"/>
        <v>48</v>
      </c>
      <c r="CI968" s="235">
        <f t="shared" si="857"/>
        <v>3.0748170731707316</v>
      </c>
      <c r="CJ968" s="235" cm="1">
        <f t="array" ref="CJ968">$BI968 * SUMPRODUCT(INDEX($AR$77:$AT$82,,$AI968),INDEX($AU$77:$BA$82,,$AH968), N($AQ$77:$AQ$82&gt;$AO968)) / CI968 / 1000</f>
        <v>0</v>
      </c>
      <c r="CK968" s="232">
        <f t="shared" si="836"/>
        <v>30</v>
      </c>
      <c r="CL968" s="230">
        <f t="shared" si="858"/>
        <v>43</v>
      </c>
      <c r="CM968" s="235">
        <f t="shared" si="859"/>
        <v>3.5018750000000001</v>
      </c>
      <c r="CN968" s="235" cm="1">
        <f t="array" ref="CN968">$BI968 * IF($AH968&lt;=2,
SUMPRODUCT(INDEX($AR$72:$AT$76,,$AI968), INDEX($AU$72:$BA$76,,$AH968), 1 / ($BB$72:$BB$76*CM968 + (1-$BB$72:$BB$76)*CI968), N($AQ$72:$AQ$76&gt;$AO968)),
SUMPRODUCT(INDEX($AR$67:$AT$76,,$AI968), INDEX($AU$67:$BA$76,,$AH968), 1 / ($BC$67:$BC$76*CM968 + (1-$BC$67:$BC$76)*CI968), N($AQ$67:$AQ$76&gt;$AO968))
) / 1000</f>
        <v>0</v>
      </c>
      <c r="CO968" s="232">
        <f t="shared" si="837"/>
        <v>25</v>
      </c>
      <c r="CP968" s="230">
        <f t="shared" si="860"/>
        <v>38</v>
      </c>
      <c r="CQ968" s="235">
        <f t="shared" si="861"/>
        <v>4.0666935483870965</v>
      </c>
      <c r="CR968" s="235" cm="1">
        <f t="array" ref="CR968">$BI968 * IF($AH968&lt;=2,
SUMPRODUCT(INDEX($AR$67:$AT$71,,$AI968), INDEX($AU$67:$BA$71,,$AH968), 1 / ($BB$67:$BB$71*CQ968 + (1-$BB$67:$BB$71)*CM968), N($AQ$67:$AQ$71&gt;$AO968)),
SUMPRODUCT(INDEX($AR$57:$AT$66,,$AI968), INDEX($AU$57:$BA$66,,$AH968), 1 / ($BC$57:$BC$66*CQ968 + (1-$BC$57:$BC$66)*CM968), N($AQ$57:$AQ$66&gt;$AO968))
) / 1000</f>
        <v>0</v>
      </c>
      <c r="CS968" s="232">
        <f t="shared" si="838"/>
        <v>20</v>
      </c>
      <c r="CT968" s="230">
        <f t="shared" si="862"/>
        <v>33</v>
      </c>
      <c r="CU968" s="235">
        <f t="shared" si="863"/>
        <v>4.8487499999999999</v>
      </c>
      <c r="CV968" s="235" cm="1">
        <f t="array" ref="CV968">$BI968 * IF($AH968&lt;=2,
SUMPRODUCT(INDEX($AR$62:$AT$66,,$AI968), INDEX($AU$62:$BA$66,,$AH968), 1 / ($BB$62:$BB$66*CU968 + (1-$BB$62:$BB$66)*CQ968), N($AQ$62:$AQ$66&gt;$AO968)),
SUMPRODUCT(INDEX($AR$47:$AT$56,,$AI968), INDEX($AU$47:$BA$56,,$AH968), 1 / ($BC$47:$BC$56*CU968 + (1-$BC$47:$BC$56)*CQ968), N($AQ$47:$AQ$56&gt;$AO968))
) / 1000</f>
        <v>0</v>
      </c>
      <c r="CW968" s="235" cm="1">
        <f t="array" ref="CW968">$BI968 * IF($AH968&lt;=2,
SUMPRODUCT(INDEX($AR$23:$AT$61,,$AI968), INDEX($AU$23:$BA$61,,$AH968), 1 / ($BB$23:$BB$61*CU968), N($AQ$23:$AQ$61&gt;$AO968)),
SUMPRODUCT(INDEX($AR$23:$AT$46,,$AI968), INDEX($AU$23:$BA$46,,$AH968), 1 / ($BC$23:$BC$46*CU968), N($AQ$23:$AQ$46&gt;$AO968))
) / 1000</f>
        <v>0</v>
      </c>
      <c r="CX968" s="230">
        <f t="shared" si="864"/>
        <v>0</v>
      </c>
      <c r="CY968" s="238"/>
    </row>
    <row r="969" spans="1:103" s="76" customFormat="1" ht="14.25" customHeight="1" x14ac:dyDescent="0.2">
      <c r="A969" s="231" t="b">
        <f t="shared" si="830"/>
        <v>0</v>
      </c>
      <c r="B969" s="245">
        <v>947</v>
      </c>
      <c r="C969" s="258"/>
      <c r="D969" s="258"/>
      <c r="E969" s="246"/>
      <c r="F969" s="247" t="str">
        <f>IF(ISBLANK(E969), "", VLOOKUP(E969, Z!$A$2:$C$4127, 3, FALSE))</f>
        <v/>
      </c>
      <c r="G969" s="248"/>
      <c r="H969" s="248"/>
      <c r="I969" s="249"/>
      <c r="J969" s="250"/>
      <c r="K969" s="259"/>
      <c r="L969" s="260"/>
      <c r="M969" s="252" t="str" cm="1">
        <f t="array" ref="M969">INDEX(Trad, 53, $A$20)</f>
        <v>Verschmutzt</v>
      </c>
      <c r="N969" s="253"/>
      <c r="O969" s="253"/>
      <c r="P969" s="254"/>
      <c r="Q969" s="251"/>
      <c r="R969" s="251"/>
      <c r="S969" s="264">
        <f t="shared" si="839"/>
        <v>0</v>
      </c>
      <c r="T969" s="252" t="str" cm="1">
        <f t="array" ref="T969">INDEX(Trad, 52, $A$20)</f>
        <v>Sauber</v>
      </c>
      <c r="U969" s="253"/>
      <c r="V969" s="253"/>
      <c r="W969" s="254"/>
      <c r="X969" s="251"/>
      <c r="Y969" s="251"/>
      <c r="Z969" s="264">
        <f t="shared" si="840"/>
        <v>0</v>
      </c>
      <c r="AA969" s="261"/>
      <c r="AB969" s="258"/>
      <c r="AC969" s="246"/>
      <c r="AD969" s="247" t="str">
        <f>IF(ISBLANK(AC969), "", VLOOKUP(AC969, Z!$A$2:$C$4127, 3, FALSE))</f>
        <v/>
      </c>
      <c r="AE969" s="262"/>
      <c r="AF969" s="263">
        <f t="shared" si="841"/>
        <v>0</v>
      </c>
      <c r="AG969" s="238"/>
      <c r="AH969" s="229">
        <f t="shared" si="865"/>
        <v>1</v>
      </c>
      <c r="AI969" s="229">
        <f t="shared" si="866"/>
        <v>1</v>
      </c>
      <c r="AJ969" s="229">
        <f t="shared" si="867"/>
        <v>0</v>
      </c>
      <c r="AK969" s="229">
        <v>0</v>
      </c>
      <c r="AL969" s="229">
        <v>0</v>
      </c>
      <c r="AM969" s="229">
        <v>1</v>
      </c>
      <c r="AN969" s="229">
        <v>0</v>
      </c>
      <c r="AO969" s="229">
        <f t="shared" si="842"/>
        <v>-100</v>
      </c>
      <c r="AP969" s="238"/>
      <c r="AQ969" s="255"/>
      <c r="AR969" s="255"/>
      <c r="AS969" s="256"/>
      <c r="AT969" s="256"/>
      <c r="AU969" s="256"/>
      <c r="AV969" s="256"/>
      <c r="AW969" s="256"/>
      <c r="AX969" s="256"/>
      <c r="AY969" s="256"/>
      <c r="AZ969" s="256"/>
      <c r="BA969" s="256"/>
      <c r="BB969" s="256"/>
      <c r="BC969" s="256"/>
      <c r="BD969" s="238"/>
      <c r="BE969" s="229" cm="1">
        <f t="array" ref="BE969">IF(ISBLANK(R969), INDEX(Use, $AH969, 4) - AM969*INDEX(Use, $AH969, 6), R969)</f>
        <v>5</v>
      </c>
      <c r="BF969" s="229">
        <f t="shared" si="843"/>
        <v>30</v>
      </c>
      <c r="BG969" s="229">
        <f t="shared" si="831"/>
        <v>13</v>
      </c>
      <c r="BH969" s="229">
        <f t="shared" si="832"/>
        <v>0</v>
      </c>
      <c r="BI969" s="234" cm="1">
        <f t="array" ref="BI969">K969/IF($L969&gt;0, INDEX($AU$23:$BA$77, $L969+20, $AH969), 1)</f>
        <v>0</v>
      </c>
      <c r="BJ969" s="230">
        <f t="shared" si="844"/>
        <v>0</v>
      </c>
      <c r="BK969" s="229">
        <v>35</v>
      </c>
      <c r="BL969" s="230">
        <f t="shared" si="845"/>
        <v>48</v>
      </c>
      <c r="BM969" s="235">
        <f t="shared" si="846"/>
        <v>2.9108720930232557</v>
      </c>
      <c r="BN969" s="235" cm="1">
        <f t="array" ref="BN969">$BI969 * SUMPRODUCT(INDEX($AR$77:$AT$82,,$AI969),INDEX($AU$77:$BA$82,,$AH969), N($AQ$77:$AQ$82&gt;$AO969)) / BM969 / 1000</f>
        <v>0</v>
      </c>
      <c r="BO969" s="232">
        <f t="shared" si="833"/>
        <v>30</v>
      </c>
      <c r="BP969" s="230">
        <f t="shared" si="847"/>
        <v>43</v>
      </c>
      <c r="BQ969" s="235">
        <f t="shared" si="848"/>
        <v>3.2938815789473681</v>
      </c>
      <c r="BR969" s="235" cm="1">
        <f t="array" ref="BR969">$BI969 * IF($AH969&lt;=2,
SUMPRODUCT(INDEX($AR$72:$AT$76,,$AI969), INDEX($AU$72:$BA$76,,$AH969), 1 / ($BB$72:$BB$76*BQ969 + (1-$BB$72:$BB$76)*BM969), N($AQ$72:$AQ$76&gt;$AO969)),
SUMPRODUCT(INDEX($AR$67:$AT$76,,$AI969), INDEX($AU$67:$BA$76,,$AH969), 1 / ($BC$67:$BC$76*BQ969 + (1-$BC$67:$BC$76)*BM969), N($AQ$67:$AQ$76&gt;$AO969))
) / 1000</f>
        <v>0</v>
      </c>
      <c r="BS969" s="232">
        <f t="shared" si="834"/>
        <v>25</v>
      </c>
      <c r="BT969" s="230">
        <f t="shared" si="849"/>
        <v>38</v>
      </c>
      <c r="BU969" s="235">
        <f t="shared" si="850"/>
        <v>3.792954545454545</v>
      </c>
      <c r="BV969" s="235" cm="1">
        <f t="array" ref="BV969">$BI969 * IF($AH969&lt;=2,
SUMPRODUCT(INDEX($AR$67:$AT$71,,$AI969), INDEX($AU$67:$BA$71,,$AH969), 1 / ($BB$67:$BB$71*BU969 + (1-$BB$67:$BB$71)*BQ969), N($AQ$67:$AQ$71&gt;$AO969)),
SUMPRODUCT(INDEX($AR$57:$AT$66,,$AI969), INDEX($AU$57:$BA$66,,$AH969), 1 / ($BC$57:$BC$66*BU969 + (1-$BC$57:$BC$66)*BQ969), N($AQ$57:$AQ$66&gt;$AO969))
) / 1000</f>
        <v>0</v>
      </c>
      <c r="BW969" s="232">
        <f t="shared" si="835"/>
        <v>20</v>
      </c>
      <c r="BX969" s="230">
        <f t="shared" si="851"/>
        <v>33</v>
      </c>
      <c r="BY969" s="235">
        <f t="shared" si="852"/>
        <v>4.4702678571428569</v>
      </c>
      <c r="BZ969" s="235" cm="1">
        <f t="array" ref="BZ969">$BI969 * IF($AH969&lt;=2,
SUMPRODUCT(INDEX($AR$62:$AT$66,,$AI969), INDEX($AU$62:$BA$66,,$AH969), 1 / ($BB$62:$BB$66*BY969 + (1-$BB$62:$BB$66)*BU969), N($AQ$62:$AQ$66&gt;$AO969)),
SUMPRODUCT(INDEX($AR$47:$AT$56,,$AI969), INDEX($AU$47:$BA$56,,$AH969), 1 / ($BC$47:$BC$56*BY969 + (1-$BC$47:$BC$56)*BU969), N($AQ$47:$AQ$56&gt;$AO969))
) / 1000</f>
        <v>0</v>
      </c>
      <c r="CA969" s="235" cm="1">
        <f t="array" ref="CA969">$BI969 * IF($AH969&lt;=2,
SUMPRODUCT(INDEX($AR$23:$AT$61,,$AI969), INDEX($AU$23:$BA$61,,$AH969), 1 / ($BB$23:$BB$61*BY969), N($AQ$23:$AQ$61&gt;$AO969)),
SUMPRODUCT(INDEX($AR$23:$AT$46,,$AI969), INDEX($AU$23:$BA$46,,$AH969), 1 / ($BC$23:$BC$46*BY969), N($AQ$23:$AQ$46&gt;$AO969))
) / 1000</f>
        <v>0</v>
      </c>
      <c r="CB969" s="230">
        <f t="shared" si="853"/>
        <v>0</v>
      </c>
      <c r="CC969" s="238"/>
      <c r="CD969" s="229" cm="1">
        <f t="array" ref="CD969">IF(ISBLANK(Y969), INDEX(Use, $AH969, 4) - AN969*INDEX(Use, $AH969, 6) - (Q969-X969), Y969)</f>
        <v>7</v>
      </c>
      <c r="CE969" s="229">
        <f t="shared" si="854"/>
        <v>32</v>
      </c>
      <c r="CF969" s="230">
        <f t="shared" si="855"/>
        <v>0</v>
      </c>
      <c r="CG969" s="229">
        <v>35</v>
      </c>
      <c r="CH969" s="230">
        <f t="shared" si="856"/>
        <v>48</v>
      </c>
      <c r="CI969" s="235">
        <f t="shared" si="857"/>
        <v>3.0748170731707316</v>
      </c>
      <c r="CJ969" s="235" cm="1">
        <f t="array" ref="CJ969">$BI969 * SUMPRODUCT(INDEX($AR$77:$AT$82,,$AI969),INDEX($AU$77:$BA$82,,$AH969), N($AQ$77:$AQ$82&gt;$AO969)) / CI969 / 1000</f>
        <v>0</v>
      </c>
      <c r="CK969" s="232">
        <f t="shared" si="836"/>
        <v>30</v>
      </c>
      <c r="CL969" s="230">
        <f t="shared" si="858"/>
        <v>43</v>
      </c>
      <c r="CM969" s="235">
        <f t="shared" si="859"/>
        <v>3.5018750000000001</v>
      </c>
      <c r="CN969" s="235" cm="1">
        <f t="array" ref="CN969">$BI969 * IF($AH969&lt;=2,
SUMPRODUCT(INDEX($AR$72:$AT$76,,$AI969), INDEX($AU$72:$BA$76,,$AH969), 1 / ($BB$72:$BB$76*CM969 + (1-$BB$72:$BB$76)*CI969), N($AQ$72:$AQ$76&gt;$AO969)),
SUMPRODUCT(INDEX($AR$67:$AT$76,,$AI969), INDEX($AU$67:$BA$76,,$AH969), 1 / ($BC$67:$BC$76*CM969 + (1-$BC$67:$BC$76)*CI969), N($AQ$67:$AQ$76&gt;$AO969))
) / 1000</f>
        <v>0</v>
      </c>
      <c r="CO969" s="232">
        <f t="shared" si="837"/>
        <v>25</v>
      </c>
      <c r="CP969" s="230">
        <f t="shared" si="860"/>
        <v>38</v>
      </c>
      <c r="CQ969" s="235">
        <f t="shared" si="861"/>
        <v>4.0666935483870965</v>
      </c>
      <c r="CR969" s="235" cm="1">
        <f t="array" ref="CR969">$BI969 * IF($AH969&lt;=2,
SUMPRODUCT(INDEX($AR$67:$AT$71,,$AI969), INDEX($AU$67:$BA$71,,$AH969), 1 / ($BB$67:$BB$71*CQ969 + (1-$BB$67:$BB$71)*CM969), N($AQ$67:$AQ$71&gt;$AO969)),
SUMPRODUCT(INDEX($AR$57:$AT$66,,$AI969), INDEX($AU$57:$BA$66,,$AH969), 1 / ($BC$57:$BC$66*CQ969 + (1-$BC$57:$BC$66)*CM969), N($AQ$57:$AQ$66&gt;$AO969))
) / 1000</f>
        <v>0</v>
      </c>
      <c r="CS969" s="232">
        <f t="shared" si="838"/>
        <v>20</v>
      </c>
      <c r="CT969" s="230">
        <f t="shared" si="862"/>
        <v>33</v>
      </c>
      <c r="CU969" s="235">
        <f t="shared" si="863"/>
        <v>4.8487499999999999</v>
      </c>
      <c r="CV969" s="235" cm="1">
        <f t="array" ref="CV969">$BI969 * IF($AH969&lt;=2,
SUMPRODUCT(INDEX($AR$62:$AT$66,,$AI969), INDEX($AU$62:$BA$66,,$AH969), 1 / ($BB$62:$BB$66*CU969 + (1-$BB$62:$BB$66)*CQ969), N($AQ$62:$AQ$66&gt;$AO969)),
SUMPRODUCT(INDEX($AR$47:$AT$56,,$AI969), INDEX($AU$47:$BA$56,,$AH969), 1 / ($BC$47:$BC$56*CU969 + (1-$BC$47:$BC$56)*CQ969), N($AQ$47:$AQ$56&gt;$AO969))
) / 1000</f>
        <v>0</v>
      </c>
      <c r="CW969" s="235" cm="1">
        <f t="array" ref="CW969">$BI969 * IF($AH969&lt;=2,
SUMPRODUCT(INDEX($AR$23:$AT$61,,$AI969), INDEX($AU$23:$BA$61,,$AH969), 1 / ($BB$23:$BB$61*CU969), N($AQ$23:$AQ$61&gt;$AO969)),
SUMPRODUCT(INDEX($AR$23:$AT$46,,$AI969), INDEX($AU$23:$BA$46,,$AH969), 1 / ($BC$23:$BC$46*CU969), N($AQ$23:$AQ$46&gt;$AO969))
) / 1000</f>
        <v>0</v>
      </c>
      <c r="CX969" s="230">
        <f t="shared" si="864"/>
        <v>0</v>
      </c>
      <c r="CY969" s="238"/>
    </row>
    <row r="970" spans="1:103" s="76" customFormat="1" ht="14.25" customHeight="1" x14ac:dyDescent="0.2">
      <c r="A970" s="231" t="b">
        <f t="shared" si="830"/>
        <v>0</v>
      </c>
      <c r="B970" s="245">
        <v>948</v>
      </c>
      <c r="C970" s="258"/>
      <c r="D970" s="258"/>
      <c r="E970" s="246"/>
      <c r="F970" s="247" t="str">
        <f>IF(ISBLANK(E970), "", VLOOKUP(E970, Z!$A$2:$C$4127, 3, FALSE))</f>
        <v/>
      </c>
      <c r="G970" s="248"/>
      <c r="H970" s="248"/>
      <c r="I970" s="249"/>
      <c r="J970" s="250"/>
      <c r="K970" s="259"/>
      <c r="L970" s="260"/>
      <c r="M970" s="252" t="str" cm="1">
        <f t="array" ref="M970">INDEX(Trad, 53, $A$20)</f>
        <v>Verschmutzt</v>
      </c>
      <c r="N970" s="253"/>
      <c r="O970" s="253"/>
      <c r="P970" s="254"/>
      <c r="Q970" s="251"/>
      <c r="R970" s="251"/>
      <c r="S970" s="264">
        <f t="shared" si="839"/>
        <v>0</v>
      </c>
      <c r="T970" s="252" t="str" cm="1">
        <f t="array" ref="T970">INDEX(Trad, 52, $A$20)</f>
        <v>Sauber</v>
      </c>
      <c r="U970" s="253"/>
      <c r="V970" s="253"/>
      <c r="W970" s="254"/>
      <c r="X970" s="251"/>
      <c r="Y970" s="251"/>
      <c r="Z970" s="264">
        <f t="shared" si="840"/>
        <v>0</v>
      </c>
      <c r="AA970" s="261"/>
      <c r="AB970" s="258"/>
      <c r="AC970" s="246"/>
      <c r="AD970" s="247" t="str">
        <f>IF(ISBLANK(AC970), "", VLOOKUP(AC970, Z!$A$2:$C$4127, 3, FALSE))</f>
        <v/>
      </c>
      <c r="AE970" s="262"/>
      <c r="AF970" s="263">
        <f t="shared" si="841"/>
        <v>0</v>
      </c>
      <c r="AG970" s="238"/>
      <c r="AH970" s="229">
        <f t="shared" si="865"/>
        <v>1</v>
      </c>
      <c r="AI970" s="229">
        <f t="shared" si="866"/>
        <v>1</v>
      </c>
      <c r="AJ970" s="229">
        <f t="shared" si="867"/>
        <v>0</v>
      </c>
      <c r="AK970" s="229">
        <v>0</v>
      </c>
      <c r="AL970" s="229">
        <v>0</v>
      </c>
      <c r="AM970" s="229">
        <v>1</v>
      </c>
      <c r="AN970" s="229">
        <v>0</v>
      </c>
      <c r="AO970" s="229">
        <f t="shared" si="842"/>
        <v>-100</v>
      </c>
      <c r="AP970" s="238"/>
      <c r="AQ970" s="255"/>
      <c r="AR970" s="255"/>
      <c r="AS970" s="256"/>
      <c r="AT970" s="256"/>
      <c r="AU970" s="256"/>
      <c r="AV970" s="256"/>
      <c r="AW970" s="256"/>
      <c r="AX970" s="256"/>
      <c r="AY970" s="256"/>
      <c r="AZ970" s="256"/>
      <c r="BA970" s="256"/>
      <c r="BB970" s="256"/>
      <c r="BC970" s="256"/>
      <c r="BD970" s="238"/>
      <c r="BE970" s="229" cm="1">
        <f t="array" ref="BE970">IF(ISBLANK(R970), INDEX(Use, $AH970, 4) - AM970*INDEX(Use, $AH970, 6), R970)</f>
        <v>5</v>
      </c>
      <c r="BF970" s="229">
        <f t="shared" si="843"/>
        <v>30</v>
      </c>
      <c r="BG970" s="229">
        <f t="shared" si="831"/>
        <v>13</v>
      </c>
      <c r="BH970" s="229">
        <f t="shared" si="832"/>
        <v>0</v>
      </c>
      <c r="BI970" s="234" cm="1">
        <f t="array" ref="BI970">K970/IF($L970&gt;0, INDEX($AU$23:$BA$77, $L970+20, $AH970), 1)</f>
        <v>0</v>
      </c>
      <c r="BJ970" s="230">
        <f t="shared" si="844"/>
        <v>0</v>
      </c>
      <c r="BK970" s="229">
        <v>35</v>
      </c>
      <c r="BL970" s="230">
        <f t="shared" si="845"/>
        <v>48</v>
      </c>
      <c r="BM970" s="235">
        <f t="shared" si="846"/>
        <v>2.9108720930232557</v>
      </c>
      <c r="BN970" s="235" cm="1">
        <f t="array" ref="BN970">$BI970 * SUMPRODUCT(INDEX($AR$77:$AT$82,,$AI970),INDEX($AU$77:$BA$82,,$AH970), N($AQ$77:$AQ$82&gt;$AO970)) / BM970 / 1000</f>
        <v>0</v>
      </c>
      <c r="BO970" s="232">
        <f t="shared" si="833"/>
        <v>30</v>
      </c>
      <c r="BP970" s="230">
        <f t="shared" si="847"/>
        <v>43</v>
      </c>
      <c r="BQ970" s="235">
        <f t="shared" si="848"/>
        <v>3.2938815789473681</v>
      </c>
      <c r="BR970" s="235" cm="1">
        <f t="array" ref="BR970">$BI970 * IF($AH970&lt;=2,
SUMPRODUCT(INDEX($AR$72:$AT$76,,$AI970), INDEX($AU$72:$BA$76,,$AH970), 1 / ($BB$72:$BB$76*BQ970 + (1-$BB$72:$BB$76)*BM970), N($AQ$72:$AQ$76&gt;$AO970)),
SUMPRODUCT(INDEX($AR$67:$AT$76,,$AI970), INDEX($AU$67:$BA$76,,$AH970), 1 / ($BC$67:$BC$76*BQ970 + (1-$BC$67:$BC$76)*BM970), N($AQ$67:$AQ$76&gt;$AO970))
) / 1000</f>
        <v>0</v>
      </c>
      <c r="BS970" s="232">
        <f t="shared" si="834"/>
        <v>25</v>
      </c>
      <c r="BT970" s="230">
        <f t="shared" si="849"/>
        <v>38</v>
      </c>
      <c r="BU970" s="235">
        <f t="shared" si="850"/>
        <v>3.792954545454545</v>
      </c>
      <c r="BV970" s="235" cm="1">
        <f t="array" ref="BV970">$BI970 * IF($AH970&lt;=2,
SUMPRODUCT(INDEX($AR$67:$AT$71,,$AI970), INDEX($AU$67:$BA$71,,$AH970), 1 / ($BB$67:$BB$71*BU970 + (1-$BB$67:$BB$71)*BQ970), N($AQ$67:$AQ$71&gt;$AO970)),
SUMPRODUCT(INDEX($AR$57:$AT$66,,$AI970), INDEX($AU$57:$BA$66,,$AH970), 1 / ($BC$57:$BC$66*BU970 + (1-$BC$57:$BC$66)*BQ970), N($AQ$57:$AQ$66&gt;$AO970))
) / 1000</f>
        <v>0</v>
      </c>
      <c r="BW970" s="232">
        <f t="shared" si="835"/>
        <v>20</v>
      </c>
      <c r="BX970" s="230">
        <f t="shared" si="851"/>
        <v>33</v>
      </c>
      <c r="BY970" s="235">
        <f t="shared" si="852"/>
        <v>4.4702678571428569</v>
      </c>
      <c r="BZ970" s="235" cm="1">
        <f t="array" ref="BZ970">$BI970 * IF($AH970&lt;=2,
SUMPRODUCT(INDEX($AR$62:$AT$66,,$AI970), INDEX($AU$62:$BA$66,,$AH970), 1 / ($BB$62:$BB$66*BY970 + (1-$BB$62:$BB$66)*BU970), N($AQ$62:$AQ$66&gt;$AO970)),
SUMPRODUCT(INDEX($AR$47:$AT$56,,$AI970), INDEX($AU$47:$BA$56,,$AH970), 1 / ($BC$47:$BC$56*BY970 + (1-$BC$47:$BC$56)*BU970), N($AQ$47:$AQ$56&gt;$AO970))
) / 1000</f>
        <v>0</v>
      </c>
      <c r="CA970" s="235" cm="1">
        <f t="array" ref="CA970">$BI970 * IF($AH970&lt;=2,
SUMPRODUCT(INDEX($AR$23:$AT$61,,$AI970), INDEX($AU$23:$BA$61,,$AH970), 1 / ($BB$23:$BB$61*BY970), N($AQ$23:$AQ$61&gt;$AO970)),
SUMPRODUCT(INDEX($AR$23:$AT$46,,$AI970), INDEX($AU$23:$BA$46,,$AH970), 1 / ($BC$23:$BC$46*BY970), N($AQ$23:$AQ$46&gt;$AO970))
) / 1000</f>
        <v>0</v>
      </c>
      <c r="CB970" s="230">
        <f t="shared" si="853"/>
        <v>0</v>
      </c>
      <c r="CC970" s="238"/>
      <c r="CD970" s="229" cm="1">
        <f t="array" ref="CD970">IF(ISBLANK(Y970), INDEX(Use, $AH970, 4) - AN970*INDEX(Use, $AH970, 6) - (Q970-X970), Y970)</f>
        <v>7</v>
      </c>
      <c r="CE970" s="229">
        <f t="shared" si="854"/>
        <v>32</v>
      </c>
      <c r="CF970" s="230">
        <f t="shared" si="855"/>
        <v>0</v>
      </c>
      <c r="CG970" s="229">
        <v>35</v>
      </c>
      <c r="CH970" s="230">
        <f t="shared" si="856"/>
        <v>48</v>
      </c>
      <c r="CI970" s="235">
        <f t="shared" si="857"/>
        <v>3.0748170731707316</v>
      </c>
      <c r="CJ970" s="235" cm="1">
        <f t="array" ref="CJ970">$BI970 * SUMPRODUCT(INDEX($AR$77:$AT$82,,$AI970),INDEX($AU$77:$BA$82,,$AH970), N($AQ$77:$AQ$82&gt;$AO970)) / CI970 / 1000</f>
        <v>0</v>
      </c>
      <c r="CK970" s="232">
        <f t="shared" si="836"/>
        <v>30</v>
      </c>
      <c r="CL970" s="230">
        <f t="shared" si="858"/>
        <v>43</v>
      </c>
      <c r="CM970" s="235">
        <f t="shared" si="859"/>
        <v>3.5018750000000001</v>
      </c>
      <c r="CN970" s="235" cm="1">
        <f t="array" ref="CN970">$BI970 * IF($AH970&lt;=2,
SUMPRODUCT(INDEX($AR$72:$AT$76,,$AI970), INDEX($AU$72:$BA$76,,$AH970), 1 / ($BB$72:$BB$76*CM970 + (1-$BB$72:$BB$76)*CI970), N($AQ$72:$AQ$76&gt;$AO970)),
SUMPRODUCT(INDEX($AR$67:$AT$76,,$AI970), INDEX($AU$67:$BA$76,,$AH970), 1 / ($BC$67:$BC$76*CM970 + (1-$BC$67:$BC$76)*CI970), N($AQ$67:$AQ$76&gt;$AO970))
) / 1000</f>
        <v>0</v>
      </c>
      <c r="CO970" s="232">
        <f t="shared" si="837"/>
        <v>25</v>
      </c>
      <c r="CP970" s="230">
        <f t="shared" si="860"/>
        <v>38</v>
      </c>
      <c r="CQ970" s="235">
        <f t="shared" si="861"/>
        <v>4.0666935483870965</v>
      </c>
      <c r="CR970" s="235" cm="1">
        <f t="array" ref="CR970">$BI970 * IF($AH970&lt;=2,
SUMPRODUCT(INDEX($AR$67:$AT$71,,$AI970), INDEX($AU$67:$BA$71,,$AH970), 1 / ($BB$67:$BB$71*CQ970 + (1-$BB$67:$BB$71)*CM970), N($AQ$67:$AQ$71&gt;$AO970)),
SUMPRODUCT(INDEX($AR$57:$AT$66,,$AI970), INDEX($AU$57:$BA$66,,$AH970), 1 / ($BC$57:$BC$66*CQ970 + (1-$BC$57:$BC$66)*CM970), N($AQ$57:$AQ$66&gt;$AO970))
) / 1000</f>
        <v>0</v>
      </c>
      <c r="CS970" s="232">
        <f t="shared" si="838"/>
        <v>20</v>
      </c>
      <c r="CT970" s="230">
        <f t="shared" si="862"/>
        <v>33</v>
      </c>
      <c r="CU970" s="235">
        <f t="shared" si="863"/>
        <v>4.8487499999999999</v>
      </c>
      <c r="CV970" s="235" cm="1">
        <f t="array" ref="CV970">$BI970 * IF($AH970&lt;=2,
SUMPRODUCT(INDEX($AR$62:$AT$66,,$AI970), INDEX($AU$62:$BA$66,,$AH970), 1 / ($BB$62:$BB$66*CU970 + (1-$BB$62:$BB$66)*CQ970), N($AQ$62:$AQ$66&gt;$AO970)),
SUMPRODUCT(INDEX($AR$47:$AT$56,,$AI970), INDEX($AU$47:$BA$56,,$AH970), 1 / ($BC$47:$BC$56*CU970 + (1-$BC$47:$BC$56)*CQ970), N($AQ$47:$AQ$56&gt;$AO970))
) / 1000</f>
        <v>0</v>
      </c>
      <c r="CW970" s="235" cm="1">
        <f t="array" ref="CW970">$BI970 * IF($AH970&lt;=2,
SUMPRODUCT(INDEX($AR$23:$AT$61,,$AI970), INDEX($AU$23:$BA$61,,$AH970), 1 / ($BB$23:$BB$61*CU970), N($AQ$23:$AQ$61&gt;$AO970)),
SUMPRODUCT(INDEX($AR$23:$AT$46,,$AI970), INDEX($AU$23:$BA$46,,$AH970), 1 / ($BC$23:$BC$46*CU970), N($AQ$23:$AQ$46&gt;$AO970))
) / 1000</f>
        <v>0</v>
      </c>
      <c r="CX970" s="230">
        <f t="shared" si="864"/>
        <v>0</v>
      </c>
      <c r="CY970" s="238"/>
    </row>
    <row r="971" spans="1:103" s="76" customFormat="1" ht="14.25" customHeight="1" x14ac:dyDescent="0.2">
      <c r="A971" s="231" t="b">
        <f t="shared" si="830"/>
        <v>0</v>
      </c>
      <c r="B971" s="245">
        <v>949</v>
      </c>
      <c r="C971" s="258"/>
      <c r="D971" s="258"/>
      <c r="E971" s="246"/>
      <c r="F971" s="247" t="str">
        <f>IF(ISBLANK(E971), "", VLOOKUP(E971, Z!$A$2:$C$4127, 3, FALSE))</f>
        <v/>
      </c>
      <c r="G971" s="248"/>
      <c r="H971" s="248"/>
      <c r="I971" s="249"/>
      <c r="J971" s="250"/>
      <c r="K971" s="259"/>
      <c r="L971" s="260"/>
      <c r="M971" s="252" t="str" cm="1">
        <f t="array" ref="M971">INDEX(Trad, 53, $A$20)</f>
        <v>Verschmutzt</v>
      </c>
      <c r="N971" s="253"/>
      <c r="O971" s="253"/>
      <c r="P971" s="254"/>
      <c r="Q971" s="251"/>
      <c r="R971" s="251"/>
      <c r="S971" s="264">
        <f t="shared" si="839"/>
        <v>0</v>
      </c>
      <c r="T971" s="252" t="str" cm="1">
        <f t="array" ref="T971">INDEX(Trad, 52, $A$20)</f>
        <v>Sauber</v>
      </c>
      <c r="U971" s="253"/>
      <c r="V971" s="253"/>
      <c r="W971" s="254"/>
      <c r="X971" s="251"/>
      <c r="Y971" s="251"/>
      <c r="Z971" s="264">
        <f t="shared" si="840"/>
        <v>0</v>
      </c>
      <c r="AA971" s="261"/>
      <c r="AB971" s="258"/>
      <c r="AC971" s="246"/>
      <c r="AD971" s="247" t="str">
        <f>IF(ISBLANK(AC971), "", VLOOKUP(AC971, Z!$A$2:$C$4127, 3, FALSE))</f>
        <v/>
      </c>
      <c r="AE971" s="262"/>
      <c r="AF971" s="263">
        <f t="shared" si="841"/>
        <v>0</v>
      </c>
      <c r="AG971" s="238"/>
      <c r="AH971" s="229">
        <f t="shared" si="865"/>
        <v>1</v>
      </c>
      <c r="AI971" s="229">
        <f t="shared" si="866"/>
        <v>1</v>
      </c>
      <c r="AJ971" s="229">
        <f t="shared" si="867"/>
        <v>0</v>
      </c>
      <c r="AK971" s="229">
        <v>0</v>
      </c>
      <c r="AL971" s="229">
        <v>0</v>
      </c>
      <c r="AM971" s="229">
        <v>1</v>
      </c>
      <c r="AN971" s="229">
        <v>0</v>
      </c>
      <c r="AO971" s="229">
        <f t="shared" si="842"/>
        <v>-100</v>
      </c>
      <c r="AP971" s="238"/>
      <c r="AQ971" s="255"/>
      <c r="AR971" s="255"/>
      <c r="AS971" s="256"/>
      <c r="AT971" s="256"/>
      <c r="AU971" s="256"/>
      <c r="AV971" s="256"/>
      <c r="AW971" s="256"/>
      <c r="AX971" s="256"/>
      <c r="AY971" s="256"/>
      <c r="AZ971" s="256"/>
      <c r="BA971" s="256"/>
      <c r="BB971" s="256"/>
      <c r="BC971" s="256"/>
      <c r="BD971" s="238"/>
      <c r="BE971" s="229" cm="1">
        <f t="array" ref="BE971">IF(ISBLANK(R971), INDEX(Use, $AH971, 4) - AM971*INDEX(Use, $AH971, 6), R971)</f>
        <v>5</v>
      </c>
      <c r="BF971" s="229">
        <f t="shared" si="843"/>
        <v>30</v>
      </c>
      <c r="BG971" s="229">
        <f t="shared" si="831"/>
        <v>13</v>
      </c>
      <c r="BH971" s="229">
        <f t="shared" si="832"/>
        <v>0</v>
      </c>
      <c r="BI971" s="234" cm="1">
        <f t="array" ref="BI971">K971/IF($L971&gt;0, INDEX($AU$23:$BA$77, $L971+20, $AH971), 1)</f>
        <v>0</v>
      </c>
      <c r="BJ971" s="230">
        <f t="shared" si="844"/>
        <v>0</v>
      </c>
      <c r="BK971" s="229">
        <v>35</v>
      </c>
      <c r="BL971" s="230">
        <f t="shared" si="845"/>
        <v>48</v>
      </c>
      <c r="BM971" s="235">
        <f t="shared" si="846"/>
        <v>2.9108720930232557</v>
      </c>
      <c r="BN971" s="235" cm="1">
        <f t="array" ref="BN971">$BI971 * SUMPRODUCT(INDEX($AR$77:$AT$82,,$AI971),INDEX($AU$77:$BA$82,,$AH971), N($AQ$77:$AQ$82&gt;$AO971)) / BM971 / 1000</f>
        <v>0</v>
      </c>
      <c r="BO971" s="232">
        <f t="shared" si="833"/>
        <v>30</v>
      </c>
      <c r="BP971" s="230">
        <f t="shared" si="847"/>
        <v>43</v>
      </c>
      <c r="BQ971" s="235">
        <f t="shared" si="848"/>
        <v>3.2938815789473681</v>
      </c>
      <c r="BR971" s="235" cm="1">
        <f t="array" ref="BR971">$BI971 * IF($AH971&lt;=2,
SUMPRODUCT(INDEX($AR$72:$AT$76,,$AI971), INDEX($AU$72:$BA$76,,$AH971), 1 / ($BB$72:$BB$76*BQ971 + (1-$BB$72:$BB$76)*BM971), N($AQ$72:$AQ$76&gt;$AO971)),
SUMPRODUCT(INDEX($AR$67:$AT$76,,$AI971), INDEX($AU$67:$BA$76,,$AH971), 1 / ($BC$67:$BC$76*BQ971 + (1-$BC$67:$BC$76)*BM971), N($AQ$67:$AQ$76&gt;$AO971))
) / 1000</f>
        <v>0</v>
      </c>
      <c r="BS971" s="232">
        <f t="shared" si="834"/>
        <v>25</v>
      </c>
      <c r="BT971" s="230">
        <f t="shared" si="849"/>
        <v>38</v>
      </c>
      <c r="BU971" s="235">
        <f t="shared" si="850"/>
        <v>3.792954545454545</v>
      </c>
      <c r="BV971" s="235" cm="1">
        <f t="array" ref="BV971">$BI971 * IF($AH971&lt;=2,
SUMPRODUCT(INDEX($AR$67:$AT$71,,$AI971), INDEX($AU$67:$BA$71,,$AH971), 1 / ($BB$67:$BB$71*BU971 + (1-$BB$67:$BB$71)*BQ971), N($AQ$67:$AQ$71&gt;$AO971)),
SUMPRODUCT(INDEX($AR$57:$AT$66,,$AI971), INDEX($AU$57:$BA$66,,$AH971), 1 / ($BC$57:$BC$66*BU971 + (1-$BC$57:$BC$66)*BQ971), N($AQ$57:$AQ$66&gt;$AO971))
) / 1000</f>
        <v>0</v>
      </c>
      <c r="BW971" s="232">
        <f t="shared" si="835"/>
        <v>20</v>
      </c>
      <c r="BX971" s="230">
        <f t="shared" si="851"/>
        <v>33</v>
      </c>
      <c r="BY971" s="235">
        <f t="shared" si="852"/>
        <v>4.4702678571428569</v>
      </c>
      <c r="BZ971" s="235" cm="1">
        <f t="array" ref="BZ971">$BI971 * IF($AH971&lt;=2,
SUMPRODUCT(INDEX($AR$62:$AT$66,,$AI971), INDEX($AU$62:$BA$66,,$AH971), 1 / ($BB$62:$BB$66*BY971 + (1-$BB$62:$BB$66)*BU971), N($AQ$62:$AQ$66&gt;$AO971)),
SUMPRODUCT(INDEX($AR$47:$AT$56,,$AI971), INDEX($AU$47:$BA$56,,$AH971), 1 / ($BC$47:$BC$56*BY971 + (1-$BC$47:$BC$56)*BU971), N($AQ$47:$AQ$56&gt;$AO971))
) / 1000</f>
        <v>0</v>
      </c>
      <c r="CA971" s="235" cm="1">
        <f t="array" ref="CA971">$BI971 * IF($AH971&lt;=2,
SUMPRODUCT(INDEX($AR$23:$AT$61,,$AI971), INDEX($AU$23:$BA$61,,$AH971), 1 / ($BB$23:$BB$61*BY971), N($AQ$23:$AQ$61&gt;$AO971)),
SUMPRODUCT(INDEX($AR$23:$AT$46,,$AI971), INDEX($AU$23:$BA$46,,$AH971), 1 / ($BC$23:$BC$46*BY971), N($AQ$23:$AQ$46&gt;$AO971))
) / 1000</f>
        <v>0</v>
      </c>
      <c r="CB971" s="230">
        <f t="shared" si="853"/>
        <v>0</v>
      </c>
      <c r="CC971" s="238"/>
      <c r="CD971" s="229" cm="1">
        <f t="array" ref="CD971">IF(ISBLANK(Y971), INDEX(Use, $AH971, 4) - AN971*INDEX(Use, $AH971, 6) - (Q971-X971), Y971)</f>
        <v>7</v>
      </c>
      <c r="CE971" s="229">
        <f t="shared" si="854"/>
        <v>32</v>
      </c>
      <c r="CF971" s="230">
        <f t="shared" si="855"/>
        <v>0</v>
      </c>
      <c r="CG971" s="229">
        <v>35</v>
      </c>
      <c r="CH971" s="230">
        <f t="shared" si="856"/>
        <v>48</v>
      </c>
      <c r="CI971" s="235">
        <f t="shared" si="857"/>
        <v>3.0748170731707316</v>
      </c>
      <c r="CJ971" s="235" cm="1">
        <f t="array" ref="CJ971">$BI971 * SUMPRODUCT(INDEX($AR$77:$AT$82,,$AI971),INDEX($AU$77:$BA$82,,$AH971), N($AQ$77:$AQ$82&gt;$AO971)) / CI971 / 1000</f>
        <v>0</v>
      </c>
      <c r="CK971" s="232">
        <f t="shared" si="836"/>
        <v>30</v>
      </c>
      <c r="CL971" s="230">
        <f t="shared" si="858"/>
        <v>43</v>
      </c>
      <c r="CM971" s="235">
        <f t="shared" si="859"/>
        <v>3.5018750000000001</v>
      </c>
      <c r="CN971" s="235" cm="1">
        <f t="array" ref="CN971">$BI971 * IF($AH971&lt;=2,
SUMPRODUCT(INDEX($AR$72:$AT$76,,$AI971), INDEX($AU$72:$BA$76,,$AH971), 1 / ($BB$72:$BB$76*CM971 + (1-$BB$72:$BB$76)*CI971), N($AQ$72:$AQ$76&gt;$AO971)),
SUMPRODUCT(INDEX($AR$67:$AT$76,,$AI971), INDEX($AU$67:$BA$76,,$AH971), 1 / ($BC$67:$BC$76*CM971 + (1-$BC$67:$BC$76)*CI971), N($AQ$67:$AQ$76&gt;$AO971))
) / 1000</f>
        <v>0</v>
      </c>
      <c r="CO971" s="232">
        <f t="shared" si="837"/>
        <v>25</v>
      </c>
      <c r="CP971" s="230">
        <f t="shared" si="860"/>
        <v>38</v>
      </c>
      <c r="CQ971" s="235">
        <f t="shared" si="861"/>
        <v>4.0666935483870965</v>
      </c>
      <c r="CR971" s="235" cm="1">
        <f t="array" ref="CR971">$BI971 * IF($AH971&lt;=2,
SUMPRODUCT(INDEX($AR$67:$AT$71,,$AI971), INDEX($AU$67:$BA$71,,$AH971), 1 / ($BB$67:$BB$71*CQ971 + (1-$BB$67:$BB$71)*CM971), N($AQ$67:$AQ$71&gt;$AO971)),
SUMPRODUCT(INDEX($AR$57:$AT$66,,$AI971), INDEX($AU$57:$BA$66,,$AH971), 1 / ($BC$57:$BC$66*CQ971 + (1-$BC$57:$BC$66)*CM971), N($AQ$57:$AQ$66&gt;$AO971))
) / 1000</f>
        <v>0</v>
      </c>
      <c r="CS971" s="232">
        <f t="shared" si="838"/>
        <v>20</v>
      </c>
      <c r="CT971" s="230">
        <f t="shared" si="862"/>
        <v>33</v>
      </c>
      <c r="CU971" s="235">
        <f t="shared" si="863"/>
        <v>4.8487499999999999</v>
      </c>
      <c r="CV971" s="235" cm="1">
        <f t="array" ref="CV971">$BI971 * IF($AH971&lt;=2,
SUMPRODUCT(INDEX($AR$62:$AT$66,,$AI971), INDEX($AU$62:$BA$66,,$AH971), 1 / ($BB$62:$BB$66*CU971 + (1-$BB$62:$BB$66)*CQ971), N($AQ$62:$AQ$66&gt;$AO971)),
SUMPRODUCT(INDEX($AR$47:$AT$56,,$AI971), INDEX($AU$47:$BA$56,,$AH971), 1 / ($BC$47:$BC$56*CU971 + (1-$BC$47:$BC$56)*CQ971), N($AQ$47:$AQ$56&gt;$AO971))
) / 1000</f>
        <v>0</v>
      </c>
      <c r="CW971" s="235" cm="1">
        <f t="array" ref="CW971">$BI971 * IF($AH971&lt;=2,
SUMPRODUCT(INDEX($AR$23:$AT$61,,$AI971), INDEX($AU$23:$BA$61,,$AH971), 1 / ($BB$23:$BB$61*CU971), N($AQ$23:$AQ$61&gt;$AO971)),
SUMPRODUCT(INDEX($AR$23:$AT$46,,$AI971), INDEX($AU$23:$BA$46,,$AH971), 1 / ($BC$23:$BC$46*CU971), N($AQ$23:$AQ$46&gt;$AO971))
) / 1000</f>
        <v>0</v>
      </c>
      <c r="CX971" s="230">
        <f t="shared" si="864"/>
        <v>0</v>
      </c>
      <c r="CY971" s="238"/>
    </row>
    <row r="972" spans="1:103" s="76" customFormat="1" ht="14.25" customHeight="1" x14ac:dyDescent="0.2">
      <c r="A972" s="231" t="b">
        <f t="shared" si="830"/>
        <v>0</v>
      </c>
      <c r="B972" s="245">
        <v>950</v>
      </c>
      <c r="C972" s="258"/>
      <c r="D972" s="258"/>
      <c r="E972" s="246"/>
      <c r="F972" s="247" t="str">
        <f>IF(ISBLANK(E972), "", VLOOKUP(E972, Z!$A$2:$C$4127, 3, FALSE))</f>
        <v/>
      </c>
      <c r="G972" s="248"/>
      <c r="H972" s="248"/>
      <c r="I972" s="249"/>
      <c r="J972" s="250"/>
      <c r="K972" s="259"/>
      <c r="L972" s="260"/>
      <c r="M972" s="252" t="str" cm="1">
        <f t="array" ref="M972">INDEX(Trad, 53, $A$20)</f>
        <v>Verschmutzt</v>
      </c>
      <c r="N972" s="253"/>
      <c r="O972" s="253"/>
      <c r="P972" s="254"/>
      <c r="Q972" s="251"/>
      <c r="R972" s="251"/>
      <c r="S972" s="264">
        <f t="shared" si="839"/>
        <v>0</v>
      </c>
      <c r="T972" s="252" t="str" cm="1">
        <f t="array" ref="T972">INDEX(Trad, 52, $A$20)</f>
        <v>Sauber</v>
      </c>
      <c r="U972" s="253"/>
      <c r="V972" s="253"/>
      <c r="W972" s="254"/>
      <c r="X972" s="251"/>
      <c r="Y972" s="251"/>
      <c r="Z972" s="264">
        <f t="shared" si="840"/>
        <v>0</v>
      </c>
      <c r="AA972" s="261"/>
      <c r="AB972" s="258"/>
      <c r="AC972" s="246"/>
      <c r="AD972" s="247" t="str">
        <f>IF(ISBLANK(AC972), "", VLOOKUP(AC972, Z!$A$2:$C$4127, 3, FALSE))</f>
        <v/>
      </c>
      <c r="AE972" s="262"/>
      <c r="AF972" s="263">
        <f t="shared" si="841"/>
        <v>0</v>
      </c>
      <c r="AG972" s="238"/>
      <c r="AH972" s="229">
        <f t="shared" si="865"/>
        <v>1</v>
      </c>
      <c r="AI972" s="229">
        <f t="shared" si="866"/>
        <v>1</v>
      </c>
      <c r="AJ972" s="229">
        <f t="shared" si="867"/>
        <v>0</v>
      </c>
      <c r="AK972" s="229">
        <v>0</v>
      </c>
      <c r="AL972" s="229">
        <v>0</v>
      </c>
      <c r="AM972" s="229">
        <v>1</v>
      </c>
      <c r="AN972" s="229">
        <v>0</v>
      </c>
      <c r="AO972" s="229">
        <f t="shared" si="842"/>
        <v>-100</v>
      </c>
      <c r="AP972" s="238"/>
      <c r="AQ972" s="255"/>
      <c r="AR972" s="255"/>
      <c r="AS972" s="256"/>
      <c r="AT972" s="256"/>
      <c r="AU972" s="256"/>
      <c r="AV972" s="256"/>
      <c r="AW972" s="256"/>
      <c r="AX972" s="256"/>
      <c r="AY972" s="256"/>
      <c r="AZ972" s="256"/>
      <c r="BA972" s="256"/>
      <c r="BB972" s="256"/>
      <c r="BC972" s="256"/>
      <c r="BD972" s="238"/>
      <c r="BE972" s="229" cm="1">
        <f t="array" ref="BE972">IF(ISBLANK(R972), INDEX(Use, $AH972, 4) - AM972*INDEX(Use, $AH972, 6), R972)</f>
        <v>5</v>
      </c>
      <c r="BF972" s="229">
        <f t="shared" si="843"/>
        <v>30</v>
      </c>
      <c r="BG972" s="229">
        <f t="shared" si="831"/>
        <v>13</v>
      </c>
      <c r="BH972" s="229">
        <f t="shared" si="832"/>
        <v>0</v>
      </c>
      <c r="BI972" s="234" cm="1">
        <f t="array" ref="BI972">K972/IF($L972&gt;0, INDEX($AU$23:$BA$77, $L972+20, $AH972), 1)</f>
        <v>0</v>
      </c>
      <c r="BJ972" s="230">
        <f t="shared" si="844"/>
        <v>0</v>
      </c>
      <c r="BK972" s="229">
        <v>35</v>
      </c>
      <c r="BL972" s="230">
        <f t="shared" si="845"/>
        <v>48</v>
      </c>
      <c r="BM972" s="235">
        <f t="shared" si="846"/>
        <v>2.9108720930232557</v>
      </c>
      <c r="BN972" s="235" cm="1">
        <f t="array" ref="BN972">$BI972 * SUMPRODUCT(INDEX($AR$77:$AT$82,,$AI972),INDEX($AU$77:$BA$82,,$AH972), N($AQ$77:$AQ$82&gt;$AO972)) / BM972 / 1000</f>
        <v>0</v>
      </c>
      <c r="BO972" s="232">
        <f t="shared" si="833"/>
        <v>30</v>
      </c>
      <c r="BP972" s="230">
        <f t="shared" si="847"/>
        <v>43</v>
      </c>
      <c r="BQ972" s="235">
        <f t="shared" si="848"/>
        <v>3.2938815789473681</v>
      </c>
      <c r="BR972" s="235" cm="1">
        <f t="array" ref="BR972">$BI972 * IF($AH972&lt;=2,
SUMPRODUCT(INDEX($AR$72:$AT$76,,$AI972), INDEX($AU$72:$BA$76,,$AH972), 1 / ($BB$72:$BB$76*BQ972 + (1-$BB$72:$BB$76)*BM972), N($AQ$72:$AQ$76&gt;$AO972)),
SUMPRODUCT(INDEX($AR$67:$AT$76,,$AI972), INDEX($AU$67:$BA$76,,$AH972), 1 / ($BC$67:$BC$76*BQ972 + (1-$BC$67:$BC$76)*BM972), N($AQ$67:$AQ$76&gt;$AO972))
) / 1000</f>
        <v>0</v>
      </c>
      <c r="BS972" s="232">
        <f t="shared" si="834"/>
        <v>25</v>
      </c>
      <c r="BT972" s="230">
        <f t="shared" si="849"/>
        <v>38</v>
      </c>
      <c r="BU972" s="235">
        <f t="shared" si="850"/>
        <v>3.792954545454545</v>
      </c>
      <c r="BV972" s="235" cm="1">
        <f t="array" ref="BV972">$BI972 * IF($AH972&lt;=2,
SUMPRODUCT(INDEX($AR$67:$AT$71,,$AI972), INDEX($AU$67:$BA$71,,$AH972), 1 / ($BB$67:$BB$71*BU972 + (1-$BB$67:$BB$71)*BQ972), N($AQ$67:$AQ$71&gt;$AO972)),
SUMPRODUCT(INDEX($AR$57:$AT$66,,$AI972), INDEX($AU$57:$BA$66,,$AH972), 1 / ($BC$57:$BC$66*BU972 + (1-$BC$57:$BC$66)*BQ972), N($AQ$57:$AQ$66&gt;$AO972))
) / 1000</f>
        <v>0</v>
      </c>
      <c r="BW972" s="232">
        <f t="shared" si="835"/>
        <v>20</v>
      </c>
      <c r="BX972" s="230">
        <f t="shared" si="851"/>
        <v>33</v>
      </c>
      <c r="BY972" s="235">
        <f t="shared" si="852"/>
        <v>4.4702678571428569</v>
      </c>
      <c r="BZ972" s="235" cm="1">
        <f t="array" ref="BZ972">$BI972 * IF($AH972&lt;=2,
SUMPRODUCT(INDEX($AR$62:$AT$66,,$AI972), INDEX($AU$62:$BA$66,,$AH972), 1 / ($BB$62:$BB$66*BY972 + (1-$BB$62:$BB$66)*BU972), N($AQ$62:$AQ$66&gt;$AO972)),
SUMPRODUCT(INDEX($AR$47:$AT$56,,$AI972), INDEX($AU$47:$BA$56,,$AH972), 1 / ($BC$47:$BC$56*BY972 + (1-$BC$47:$BC$56)*BU972), N($AQ$47:$AQ$56&gt;$AO972))
) / 1000</f>
        <v>0</v>
      </c>
      <c r="CA972" s="235" cm="1">
        <f t="array" ref="CA972">$BI972 * IF($AH972&lt;=2,
SUMPRODUCT(INDEX($AR$23:$AT$61,,$AI972), INDEX($AU$23:$BA$61,,$AH972), 1 / ($BB$23:$BB$61*BY972), N($AQ$23:$AQ$61&gt;$AO972)),
SUMPRODUCT(INDEX($AR$23:$AT$46,,$AI972), INDEX($AU$23:$BA$46,,$AH972), 1 / ($BC$23:$BC$46*BY972), N($AQ$23:$AQ$46&gt;$AO972))
) / 1000</f>
        <v>0</v>
      </c>
      <c r="CB972" s="230">
        <f t="shared" si="853"/>
        <v>0</v>
      </c>
      <c r="CC972" s="238"/>
      <c r="CD972" s="229" cm="1">
        <f t="array" ref="CD972">IF(ISBLANK(Y972), INDEX(Use, $AH972, 4) - AN972*INDEX(Use, $AH972, 6) - (Q972-X972), Y972)</f>
        <v>7</v>
      </c>
      <c r="CE972" s="229">
        <f t="shared" si="854"/>
        <v>32</v>
      </c>
      <c r="CF972" s="230">
        <f t="shared" si="855"/>
        <v>0</v>
      </c>
      <c r="CG972" s="229">
        <v>35</v>
      </c>
      <c r="CH972" s="230">
        <f t="shared" si="856"/>
        <v>48</v>
      </c>
      <c r="CI972" s="235">
        <f t="shared" si="857"/>
        <v>3.0748170731707316</v>
      </c>
      <c r="CJ972" s="235" cm="1">
        <f t="array" ref="CJ972">$BI972 * SUMPRODUCT(INDEX($AR$77:$AT$82,,$AI972),INDEX($AU$77:$BA$82,,$AH972), N($AQ$77:$AQ$82&gt;$AO972)) / CI972 / 1000</f>
        <v>0</v>
      </c>
      <c r="CK972" s="232">
        <f t="shared" si="836"/>
        <v>30</v>
      </c>
      <c r="CL972" s="230">
        <f t="shared" si="858"/>
        <v>43</v>
      </c>
      <c r="CM972" s="235">
        <f t="shared" si="859"/>
        <v>3.5018750000000001</v>
      </c>
      <c r="CN972" s="235" cm="1">
        <f t="array" ref="CN972">$BI972 * IF($AH972&lt;=2,
SUMPRODUCT(INDEX($AR$72:$AT$76,,$AI972), INDEX($AU$72:$BA$76,,$AH972), 1 / ($BB$72:$BB$76*CM972 + (1-$BB$72:$BB$76)*CI972), N($AQ$72:$AQ$76&gt;$AO972)),
SUMPRODUCT(INDEX($AR$67:$AT$76,,$AI972), INDEX($AU$67:$BA$76,,$AH972), 1 / ($BC$67:$BC$76*CM972 + (1-$BC$67:$BC$76)*CI972), N($AQ$67:$AQ$76&gt;$AO972))
) / 1000</f>
        <v>0</v>
      </c>
      <c r="CO972" s="232">
        <f t="shared" si="837"/>
        <v>25</v>
      </c>
      <c r="CP972" s="230">
        <f t="shared" si="860"/>
        <v>38</v>
      </c>
      <c r="CQ972" s="235">
        <f t="shared" si="861"/>
        <v>4.0666935483870965</v>
      </c>
      <c r="CR972" s="235" cm="1">
        <f t="array" ref="CR972">$BI972 * IF($AH972&lt;=2,
SUMPRODUCT(INDEX($AR$67:$AT$71,,$AI972), INDEX($AU$67:$BA$71,,$AH972), 1 / ($BB$67:$BB$71*CQ972 + (1-$BB$67:$BB$71)*CM972), N($AQ$67:$AQ$71&gt;$AO972)),
SUMPRODUCT(INDEX($AR$57:$AT$66,,$AI972), INDEX($AU$57:$BA$66,,$AH972), 1 / ($BC$57:$BC$66*CQ972 + (1-$BC$57:$BC$66)*CM972), N($AQ$57:$AQ$66&gt;$AO972))
) / 1000</f>
        <v>0</v>
      </c>
      <c r="CS972" s="232">
        <f t="shared" si="838"/>
        <v>20</v>
      </c>
      <c r="CT972" s="230">
        <f t="shared" si="862"/>
        <v>33</v>
      </c>
      <c r="CU972" s="235">
        <f t="shared" si="863"/>
        <v>4.8487499999999999</v>
      </c>
      <c r="CV972" s="235" cm="1">
        <f t="array" ref="CV972">$BI972 * IF($AH972&lt;=2,
SUMPRODUCT(INDEX($AR$62:$AT$66,,$AI972), INDEX($AU$62:$BA$66,,$AH972), 1 / ($BB$62:$BB$66*CU972 + (1-$BB$62:$BB$66)*CQ972), N($AQ$62:$AQ$66&gt;$AO972)),
SUMPRODUCT(INDEX($AR$47:$AT$56,,$AI972), INDEX($AU$47:$BA$56,,$AH972), 1 / ($BC$47:$BC$56*CU972 + (1-$BC$47:$BC$56)*CQ972), N($AQ$47:$AQ$56&gt;$AO972))
) / 1000</f>
        <v>0</v>
      </c>
      <c r="CW972" s="235" cm="1">
        <f t="array" ref="CW972">$BI972 * IF($AH972&lt;=2,
SUMPRODUCT(INDEX($AR$23:$AT$61,,$AI972), INDEX($AU$23:$BA$61,,$AH972), 1 / ($BB$23:$BB$61*CU972), N($AQ$23:$AQ$61&gt;$AO972)),
SUMPRODUCT(INDEX($AR$23:$AT$46,,$AI972), INDEX($AU$23:$BA$46,,$AH972), 1 / ($BC$23:$BC$46*CU972), N($AQ$23:$AQ$46&gt;$AO972))
) / 1000</f>
        <v>0</v>
      </c>
      <c r="CX972" s="230">
        <f t="shared" si="864"/>
        <v>0</v>
      </c>
      <c r="CY972" s="238"/>
    </row>
    <row r="973" spans="1:103" s="76" customFormat="1" ht="14.25" customHeight="1" x14ac:dyDescent="0.2">
      <c r="A973" s="231" t="b">
        <f t="shared" si="830"/>
        <v>0</v>
      </c>
      <c r="B973" s="245">
        <v>951</v>
      </c>
      <c r="C973" s="258"/>
      <c r="D973" s="258"/>
      <c r="E973" s="246"/>
      <c r="F973" s="247" t="str">
        <f>IF(ISBLANK(E973), "", VLOOKUP(E973, Z!$A$2:$C$4127, 3, FALSE))</f>
        <v/>
      </c>
      <c r="G973" s="248"/>
      <c r="H973" s="248"/>
      <c r="I973" s="249"/>
      <c r="J973" s="250"/>
      <c r="K973" s="259"/>
      <c r="L973" s="260"/>
      <c r="M973" s="252" t="str" cm="1">
        <f t="array" ref="M973">INDEX(Trad, 53, $A$20)</f>
        <v>Verschmutzt</v>
      </c>
      <c r="N973" s="253"/>
      <c r="O973" s="253"/>
      <c r="P973" s="254"/>
      <c r="Q973" s="251"/>
      <c r="R973" s="251"/>
      <c r="S973" s="264">
        <f t="shared" si="839"/>
        <v>0</v>
      </c>
      <c r="T973" s="252" t="str" cm="1">
        <f t="array" ref="T973">INDEX(Trad, 52, $A$20)</f>
        <v>Sauber</v>
      </c>
      <c r="U973" s="253"/>
      <c r="V973" s="253"/>
      <c r="W973" s="254"/>
      <c r="X973" s="251"/>
      <c r="Y973" s="251"/>
      <c r="Z973" s="264">
        <f t="shared" si="840"/>
        <v>0</v>
      </c>
      <c r="AA973" s="261"/>
      <c r="AB973" s="258"/>
      <c r="AC973" s="246"/>
      <c r="AD973" s="247" t="str">
        <f>IF(ISBLANK(AC973), "", VLOOKUP(AC973, Z!$A$2:$C$4127, 3, FALSE))</f>
        <v/>
      </c>
      <c r="AE973" s="262"/>
      <c r="AF973" s="263">
        <f t="shared" si="841"/>
        <v>0</v>
      </c>
      <c r="AG973" s="238"/>
      <c r="AH973" s="229">
        <f t="shared" si="865"/>
        <v>1</v>
      </c>
      <c r="AI973" s="229">
        <f t="shared" si="866"/>
        <v>1</v>
      </c>
      <c r="AJ973" s="229">
        <f t="shared" si="867"/>
        <v>0</v>
      </c>
      <c r="AK973" s="229">
        <v>0</v>
      </c>
      <c r="AL973" s="229">
        <v>0</v>
      </c>
      <c r="AM973" s="229">
        <v>1</v>
      </c>
      <c r="AN973" s="229">
        <v>0</v>
      </c>
      <c r="AO973" s="229">
        <f t="shared" si="842"/>
        <v>-100</v>
      </c>
      <c r="AP973" s="238"/>
      <c r="AQ973" s="255"/>
      <c r="AR973" s="255"/>
      <c r="AS973" s="256"/>
      <c r="AT973" s="256"/>
      <c r="AU973" s="256"/>
      <c r="AV973" s="256"/>
      <c r="AW973" s="256"/>
      <c r="AX973" s="256"/>
      <c r="AY973" s="256"/>
      <c r="AZ973" s="256"/>
      <c r="BA973" s="256"/>
      <c r="BB973" s="256"/>
      <c r="BC973" s="256"/>
      <c r="BD973" s="238"/>
      <c r="BE973" s="229" cm="1">
        <f t="array" ref="BE973">IF(ISBLANK(R973), INDEX(Use, $AH973, 4) - AM973*INDEX(Use, $AH973, 6), R973)</f>
        <v>5</v>
      </c>
      <c r="BF973" s="229">
        <f t="shared" si="843"/>
        <v>30</v>
      </c>
      <c r="BG973" s="229">
        <f t="shared" si="831"/>
        <v>13</v>
      </c>
      <c r="BH973" s="229">
        <f t="shared" si="832"/>
        <v>0</v>
      </c>
      <c r="BI973" s="234" cm="1">
        <f t="array" ref="BI973">K973/IF($L973&gt;0, INDEX($AU$23:$BA$77, $L973+20, $AH973), 1)</f>
        <v>0</v>
      </c>
      <c r="BJ973" s="230">
        <f t="shared" si="844"/>
        <v>0</v>
      </c>
      <c r="BK973" s="229">
        <v>35</v>
      </c>
      <c r="BL973" s="230">
        <f t="shared" si="845"/>
        <v>48</v>
      </c>
      <c r="BM973" s="235">
        <f t="shared" si="846"/>
        <v>2.9108720930232557</v>
      </c>
      <c r="BN973" s="235" cm="1">
        <f t="array" ref="BN973">$BI973 * SUMPRODUCT(INDEX($AR$77:$AT$82,,$AI973),INDEX($AU$77:$BA$82,,$AH973), N($AQ$77:$AQ$82&gt;$AO973)) / BM973 / 1000</f>
        <v>0</v>
      </c>
      <c r="BO973" s="232">
        <f t="shared" si="833"/>
        <v>30</v>
      </c>
      <c r="BP973" s="230">
        <f t="shared" si="847"/>
        <v>43</v>
      </c>
      <c r="BQ973" s="235">
        <f t="shared" si="848"/>
        <v>3.2938815789473681</v>
      </c>
      <c r="BR973" s="235" cm="1">
        <f t="array" ref="BR973">$BI973 * IF($AH973&lt;=2,
SUMPRODUCT(INDEX($AR$72:$AT$76,,$AI973), INDEX($AU$72:$BA$76,,$AH973), 1 / ($BB$72:$BB$76*BQ973 + (1-$BB$72:$BB$76)*BM973), N($AQ$72:$AQ$76&gt;$AO973)),
SUMPRODUCT(INDEX($AR$67:$AT$76,,$AI973), INDEX($AU$67:$BA$76,,$AH973), 1 / ($BC$67:$BC$76*BQ973 + (1-$BC$67:$BC$76)*BM973), N($AQ$67:$AQ$76&gt;$AO973))
) / 1000</f>
        <v>0</v>
      </c>
      <c r="BS973" s="232">
        <f t="shared" si="834"/>
        <v>25</v>
      </c>
      <c r="BT973" s="230">
        <f t="shared" si="849"/>
        <v>38</v>
      </c>
      <c r="BU973" s="235">
        <f t="shared" si="850"/>
        <v>3.792954545454545</v>
      </c>
      <c r="BV973" s="235" cm="1">
        <f t="array" ref="BV973">$BI973 * IF($AH973&lt;=2,
SUMPRODUCT(INDEX($AR$67:$AT$71,,$AI973), INDEX($AU$67:$BA$71,,$AH973), 1 / ($BB$67:$BB$71*BU973 + (1-$BB$67:$BB$71)*BQ973), N($AQ$67:$AQ$71&gt;$AO973)),
SUMPRODUCT(INDEX($AR$57:$AT$66,,$AI973), INDEX($AU$57:$BA$66,,$AH973), 1 / ($BC$57:$BC$66*BU973 + (1-$BC$57:$BC$66)*BQ973), N($AQ$57:$AQ$66&gt;$AO973))
) / 1000</f>
        <v>0</v>
      </c>
      <c r="BW973" s="232">
        <f t="shared" si="835"/>
        <v>20</v>
      </c>
      <c r="BX973" s="230">
        <f t="shared" si="851"/>
        <v>33</v>
      </c>
      <c r="BY973" s="235">
        <f t="shared" si="852"/>
        <v>4.4702678571428569</v>
      </c>
      <c r="BZ973" s="235" cm="1">
        <f t="array" ref="BZ973">$BI973 * IF($AH973&lt;=2,
SUMPRODUCT(INDEX($AR$62:$AT$66,,$AI973), INDEX($AU$62:$BA$66,,$AH973), 1 / ($BB$62:$BB$66*BY973 + (1-$BB$62:$BB$66)*BU973), N($AQ$62:$AQ$66&gt;$AO973)),
SUMPRODUCT(INDEX($AR$47:$AT$56,,$AI973), INDEX($AU$47:$BA$56,,$AH973), 1 / ($BC$47:$BC$56*BY973 + (1-$BC$47:$BC$56)*BU973), N($AQ$47:$AQ$56&gt;$AO973))
) / 1000</f>
        <v>0</v>
      </c>
      <c r="CA973" s="235" cm="1">
        <f t="array" ref="CA973">$BI973 * IF($AH973&lt;=2,
SUMPRODUCT(INDEX($AR$23:$AT$61,,$AI973), INDEX($AU$23:$BA$61,,$AH973), 1 / ($BB$23:$BB$61*BY973), N($AQ$23:$AQ$61&gt;$AO973)),
SUMPRODUCT(INDEX($AR$23:$AT$46,,$AI973), INDEX($AU$23:$BA$46,,$AH973), 1 / ($BC$23:$BC$46*BY973), N($AQ$23:$AQ$46&gt;$AO973))
) / 1000</f>
        <v>0</v>
      </c>
      <c r="CB973" s="230">
        <f t="shared" si="853"/>
        <v>0</v>
      </c>
      <c r="CC973" s="238"/>
      <c r="CD973" s="229" cm="1">
        <f t="array" ref="CD973">IF(ISBLANK(Y973), INDEX(Use, $AH973, 4) - AN973*INDEX(Use, $AH973, 6) - (Q973-X973), Y973)</f>
        <v>7</v>
      </c>
      <c r="CE973" s="229">
        <f t="shared" si="854"/>
        <v>32</v>
      </c>
      <c r="CF973" s="230">
        <f t="shared" si="855"/>
        <v>0</v>
      </c>
      <c r="CG973" s="229">
        <v>35</v>
      </c>
      <c r="CH973" s="230">
        <f t="shared" si="856"/>
        <v>48</v>
      </c>
      <c r="CI973" s="235">
        <f t="shared" si="857"/>
        <v>3.0748170731707316</v>
      </c>
      <c r="CJ973" s="235" cm="1">
        <f t="array" ref="CJ973">$BI973 * SUMPRODUCT(INDEX($AR$77:$AT$82,,$AI973),INDEX($AU$77:$BA$82,,$AH973), N($AQ$77:$AQ$82&gt;$AO973)) / CI973 / 1000</f>
        <v>0</v>
      </c>
      <c r="CK973" s="232">
        <f t="shared" si="836"/>
        <v>30</v>
      </c>
      <c r="CL973" s="230">
        <f t="shared" si="858"/>
        <v>43</v>
      </c>
      <c r="CM973" s="235">
        <f t="shared" si="859"/>
        <v>3.5018750000000001</v>
      </c>
      <c r="CN973" s="235" cm="1">
        <f t="array" ref="CN973">$BI973 * IF($AH973&lt;=2,
SUMPRODUCT(INDEX($AR$72:$AT$76,,$AI973), INDEX($AU$72:$BA$76,,$AH973), 1 / ($BB$72:$BB$76*CM973 + (1-$BB$72:$BB$76)*CI973), N($AQ$72:$AQ$76&gt;$AO973)),
SUMPRODUCT(INDEX($AR$67:$AT$76,,$AI973), INDEX($AU$67:$BA$76,,$AH973), 1 / ($BC$67:$BC$76*CM973 + (1-$BC$67:$BC$76)*CI973), N($AQ$67:$AQ$76&gt;$AO973))
) / 1000</f>
        <v>0</v>
      </c>
      <c r="CO973" s="232">
        <f t="shared" si="837"/>
        <v>25</v>
      </c>
      <c r="CP973" s="230">
        <f t="shared" si="860"/>
        <v>38</v>
      </c>
      <c r="CQ973" s="235">
        <f t="shared" si="861"/>
        <v>4.0666935483870965</v>
      </c>
      <c r="CR973" s="235" cm="1">
        <f t="array" ref="CR973">$BI973 * IF($AH973&lt;=2,
SUMPRODUCT(INDEX($AR$67:$AT$71,,$AI973), INDEX($AU$67:$BA$71,,$AH973), 1 / ($BB$67:$BB$71*CQ973 + (1-$BB$67:$BB$71)*CM973), N($AQ$67:$AQ$71&gt;$AO973)),
SUMPRODUCT(INDEX($AR$57:$AT$66,,$AI973), INDEX($AU$57:$BA$66,,$AH973), 1 / ($BC$57:$BC$66*CQ973 + (1-$BC$57:$BC$66)*CM973), N($AQ$57:$AQ$66&gt;$AO973))
) / 1000</f>
        <v>0</v>
      </c>
      <c r="CS973" s="232">
        <f t="shared" si="838"/>
        <v>20</v>
      </c>
      <c r="CT973" s="230">
        <f t="shared" si="862"/>
        <v>33</v>
      </c>
      <c r="CU973" s="235">
        <f t="shared" si="863"/>
        <v>4.8487499999999999</v>
      </c>
      <c r="CV973" s="235" cm="1">
        <f t="array" ref="CV973">$BI973 * IF($AH973&lt;=2,
SUMPRODUCT(INDEX($AR$62:$AT$66,,$AI973), INDEX($AU$62:$BA$66,,$AH973), 1 / ($BB$62:$BB$66*CU973 + (1-$BB$62:$BB$66)*CQ973), N($AQ$62:$AQ$66&gt;$AO973)),
SUMPRODUCT(INDEX($AR$47:$AT$56,,$AI973), INDEX($AU$47:$BA$56,,$AH973), 1 / ($BC$47:$BC$56*CU973 + (1-$BC$47:$BC$56)*CQ973), N($AQ$47:$AQ$56&gt;$AO973))
) / 1000</f>
        <v>0</v>
      </c>
      <c r="CW973" s="235" cm="1">
        <f t="array" ref="CW973">$BI973 * IF($AH973&lt;=2,
SUMPRODUCT(INDEX($AR$23:$AT$61,,$AI973), INDEX($AU$23:$BA$61,,$AH973), 1 / ($BB$23:$BB$61*CU973), N($AQ$23:$AQ$61&gt;$AO973)),
SUMPRODUCT(INDEX($AR$23:$AT$46,,$AI973), INDEX($AU$23:$BA$46,,$AH973), 1 / ($BC$23:$BC$46*CU973), N($AQ$23:$AQ$46&gt;$AO973))
) / 1000</f>
        <v>0</v>
      </c>
      <c r="CX973" s="230">
        <f t="shared" si="864"/>
        <v>0</v>
      </c>
      <c r="CY973" s="238"/>
    </row>
    <row r="974" spans="1:103" s="76" customFormat="1" ht="14.25" customHeight="1" x14ac:dyDescent="0.2">
      <c r="A974" s="231" t="b">
        <f t="shared" si="830"/>
        <v>0</v>
      </c>
      <c r="B974" s="245">
        <v>952</v>
      </c>
      <c r="C974" s="258"/>
      <c r="D974" s="258"/>
      <c r="E974" s="246"/>
      <c r="F974" s="247" t="str">
        <f>IF(ISBLANK(E974), "", VLOOKUP(E974, Z!$A$2:$C$4127, 3, FALSE))</f>
        <v/>
      </c>
      <c r="G974" s="248"/>
      <c r="H974" s="248"/>
      <c r="I974" s="249"/>
      <c r="J974" s="250"/>
      <c r="K974" s="259"/>
      <c r="L974" s="260"/>
      <c r="M974" s="252" t="str" cm="1">
        <f t="array" ref="M974">INDEX(Trad, 53, $A$20)</f>
        <v>Verschmutzt</v>
      </c>
      <c r="N974" s="253"/>
      <c r="O974" s="253"/>
      <c r="P974" s="254"/>
      <c r="Q974" s="251"/>
      <c r="R974" s="251"/>
      <c r="S974" s="264">
        <f t="shared" si="839"/>
        <v>0</v>
      </c>
      <c r="T974" s="252" t="str" cm="1">
        <f t="array" ref="T974">INDEX(Trad, 52, $A$20)</f>
        <v>Sauber</v>
      </c>
      <c r="U974" s="253"/>
      <c r="V974" s="253"/>
      <c r="W974" s="254"/>
      <c r="X974" s="251"/>
      <c r="Y974" s="251"/>
      <c r="Z974" s="264">
        <f t="shared" si="840"/>
        <v>0</v>
      </c>
      <c r="AA974" s="261"/>
      <c r="AB974" s="258"/>
      <c r="AC974" s="246"/>
      <c r="AD974" s="247" t="str">
        <f>IF(ISBLANK(AC974), "", VLOOKUP(AC974, Z!$A$2:$C$4127, 3, FALSE))</f>
        <v/>
      </c>
      <c r="AE974" s="262"/>
      <c r="AF974" s="263">
        <f t="shared" si="841"/>
        <v>0</v>
      </c>
      <c r="AG974" s="238"/>
      <c r="AH974" s="229">
        <f t="shared" si="865"/>
        <v>1</v>
      </c>
      <c r="AI974" s="229">
        <f t="shared" si="866"/>
        <v>1</v>
      </c>
      <c r="AJ974" s="229">
        <f t="shared" si="867"/>
        <v>0</v>
      </c>
      <c r="AK974" s="229">
        <v>0</v>
      </c>
      <c r="AL974" s="229">
        <v>0</v>
      </c>
      <c r="AM974" s="229">
        <v>1</v>
      </c>
      <c r="AN974" s="229">
        <v>0</v>
      </c>
      <c r="AO974" s="229">
        <f t="shared" si="842"/>
        <v>-100</v>
      </c>
      <c r="AP974" s="238"/>
      <c r="AQ974" s="255"/>
      <c r="AR974" s="255"/>
      <c r="AS974" s="256"/>
      <c r="AT974" s="256"/>
      <c r="AU974" s="256"/>
      <c r="AV974" s="256"/>
      <c r="AW974" s="256"/>
      <c r="AX974" s="256"/>
      <c r="AY974" s="256"/>
      <c r="AZ974" s="256"/>
      <c r="BA974" s="256"/>
      <c r="BB974" s="256"/>
      <c r="BC974" s="256"/>
      <c r="BD974" s="238"/>
      <c r="BE974" s="229" cm="1">
        <f t="array" ref="BE974">IF(ISBLANK(R974), INDEX(Use, $AH974, 4) - AM974*INDEX(Use, $AH974, 6), R974)</f>
        <v>5</v>
      </c>
      <c r="BF974" s="229">
        <f t="shared" si="843"/>
        <v>30</v>
      </c>
      <c r="BG974" s="229">
        <f t="shared" si="831"/>
        <v>13</v>
      </c>
      <c r="BH974" s="229">
        <f t="shared" si="832"/>
        <v>0</v>
      </c>
      <c r="BI974" s="234" cm="1">
        <f t="array" ref="BI974">K974/IF($L974&gt;0, INDEX($AU$23:$BA$77, $L974+20, $AH974), 1)</f>
        <v>0</v>
      </c>
      <c r="BJ974" s="230">
        <f t="shared" si="844"/>
        <v>0</v>
      </c>
      <c r="BK974" s="229">
        <v>35</v>
      </c>
      <c r="BL974" s="230">
        <f t="shared" si="845"/>
        <v>48</v>
      </c>
      <c r="BM974" s="235">
        <f t="shared" si="846"/>
        <v>2.9108720930232557</v>
      </c>
      <c r="BN974" s="235" cm="1">
        <f t="array" ref="BN974">$BI974 * SUMPRODUCT(INDEX($AR$77:$AT$82,,$AI974),INDEX($AU$77:$BA$82,,$AH974), N($AQ$77:$AQ$82&gt;$AO974)) / BM974 / 1000</f>
        <v>0</v>
      </c>
      <c r="BO974" s="232">
        <f t="shared" si="833"/>
        <v>30</v>
      </c>
      <c r="BP974" s="230">
        <f t="shared" si="847"/>
        <v>43</v>
      </c>
      <c r="BQ974" s="235">
        <f t="shared" si="848"/>
        <v>3.2938815789473681</v>
      </c>
      <c r="BR974" s="235" cm="1">
        <f t="array" ref="BR974">$BI974 * IF($AH974&lt;=2,
SUMPRODUCT(INDEX($AR$72:$AT$76,,$AI974), INDEX($AU$72:$BA$76,,$AH974), 1 / ($BB$72:$BB$76*BQ974 + (1-$BB$72:$BB$76)*BM974), N($AQ$72:$AQ$76&gt;$AO974)),
SUMPRODUCT(INDEX($AR$67:$AT$76,,$AI974), INDEX($AU$67:$BA$76,,$AH974), 1 / ($BC$67:$BC$76*BQ974 + (1-$BC$67:$BC$76)*BM974), N($AQ$67:$AQ$76&gt;$AO974))
) / 1000</f>
        <v>0</v>
      </c>
      <c r="BS974" s="232">
        <f t="shared" si="834"/>
        <v>25</v>
      </c>
      <c r="BT974" s="230">
        <f t="shared" si="849"/>
        <v>38</v>
      </c>
      <c r="BU974" s="235">
        <f t="shared" si="850"/>
        <v>3.792954545454545</v>
      </c>
      <c r="BV974" s="235" cm="1">
        <f t="array" ref="BV974">$BI974 * IF($AH974&lt;=2,
SUMPRODUCT(INDEX($AR$67:$AT$71,,$AI974), INDEX($AU$67:$BA$71,,$AH974), 1 / ($BB$67:$BB$71*BU974 + (1-$BB$67:$BB$71)*BQ974), N($AQ$67:$AQ$71&gt;$AO974)),
SUMPRODUCT(INDEX($AR$57:$AT$66,,$AI974), INDEX($AU$57:$BA$66,,$AH974), 1 / ($BC$57:$BC$66*BU974 + (1-$BC$57:$BC$66)*BQ974), N($AQ$57:$AQ$66&gt;$AO974))
) / 1000</f>
        <v>0</v>
      </c>
      <c r="BW974" s="232">
        <f t="shared" si="835"/>
        <v>20</v>
      </c>
      <c r="BX974" s="230">
        <f t="shared" si="851"/>
        <v>33</v>
      </c>
      <c r="BY974" s="235">
        <f t="shared" si="852"/>
        <v>4.4702678571428569</v>
      </c>
      <c r="BZ974" s="235" cm="1">
        <f t="array" ref="BZ974">$BI974 * IF($AH974&lt;=2,
SUMPRODUCT(INDEX($AR$62:$AT$66,,$AI974), INDEX($AU$62:$BA$66,,$AH974), 1 / ($BB$62:$BB$66*BY974 + (1-$BB$62:$BB$66)*BU974), N($AQ$62:$AQ$66&gt;$AO974)),
SUMPRODUCT(INDEX($AR$47:$AT$56,,$AI974), INDEX($AU$47:$BA$56,,$AH974), 1 / ($BC$47:$BC$56*BY974 + (1-$BC$47:$BC$56)*BU974), N($AQ$47:$AQ$56&gt;$AO974))
) / 1000</f>
        <v>0</v>
      </c>
      <c r="CA974" s="235" cm="1">
        <f t="array" ref="CA974">$BI974 * IF($AH974&lt;=2,
SUMPRODUCT(INDEX($AR$23:$AT$61,,$AI974), INDEX($AU$23:$BA$61,,$AH974), 1 / ($BB$23:$BB$61*BY974), N($AQ$23:$AQ$61&gt;$AO974)),
SUMPRODUCT(INDEX($AR$23:$AT$46,,$AI974), INDEX($AU$23:$BA$46,,$AH974), 1 / ($BC$23:$BC$46*BY974), N($AQ$23:$AQ$46&gt;$AO974))
) / 1000</f>
        <v>0</v>
      </c>
      <c r="CB974" s="230">
        <f t="shared" si="853"/>
        <v>0</v>
      </c>
      <c r="CC974" s="238"/>
      <c r="CD974" s="229" cm="1">
        <f t="array" ref="CD974">IF(ISBLANK(Y974), INDEX(Use, $AH974, 4) - AN974*INDEX(Use, $AH974, 6) - (Q974-X974), Y974)</f>
        <v>7</v>
      </c>
      <c r="CE974" s="229">
        <f t="shared" si="854"/>
        <v>32</v>
      </c>
      <c r="CF974" s="230">
        <f t="shared" si="855"/>
        <v>0</v>
      </c>
      <c r="CG974" s="229">
        <v>35</v>
      </c>
      <c r="CH974" s="230">
        <f t="shared" si="856"/>
        <v>48</v>
      </c>
      <c r="CI974" s="235">
        <f t="shared" si="857"/>
        <v>3.0748170731707316</v>
      </c>
      <c r="CJ974" s="235" cm="1">
        <f t="array" ref="CJ974">$BI974 * SUMPRODUCT(INDEX($AR$77:$AT$82,,$AI974),INDEX($AU$77:$BA$82,,$AH974), N($AQ$77:$AQ$82&gt;$AO974)) / CI974 / 1000</f>
        <v>0</v>
      </c>
      <c r="CK974" s="232">
        <f t="shared" si="836"/>
        <v>30</v>
      </c>
      <c r="CL974" s="230">
        <f t="shared" si="858"/>
        <v>43</v>
      </c>
      <c r="CM974" s="235">
        <f t="shared" si="859"/>
        <v>3.5018750000000001</v>
      </c>
      <c r="CN974" s="235" cm="1">
        <f t="array" ref="CN974">$BI974 * IF($AH974&lt;=2,
SUMPRODUCT(INDEX($AR$72:$AT$76,,$AI974), INDEX($AU$72:$BA$76,,$AH974), 1 / ($BB$72:$BB$76*CM974 + (1-$BB$72:$BB$76)*CI974), N($AQ$72:$AQ$76&gt;$AO974)),
SUMPRODUCT(INDEX($AR$67:$AT$76,,$AI974), INDEX($AU$67:$BA$76,,$AH974), 1 / ($BC$67:$BC$76*CM974 + (1-$BC$67:$BC$76)*CI974), N($AQ$67:$AQ$76&gt;$AO974))
) / 1000</f>
        <v>0</v>
      </c>
      <c r="CO974" s="232">
        <f t="shared" si="837"/>
        <v>25</v>
      </c>
      <c r="CP974" s="230">
        <f t="shared" si="860"/>
        <v>38</v>
      </c>
      <c r="CQ974" s="235">
        <f t="shared" si="861"/>
        <v>4.0666935483870965</v>
      </c>
      <c r="CR974" s="235" cm="1">
        <f t="array" ref="CR974">$BI974 * IF($AH974&lt;=2,
SUMPRODUCT(INDEX($AR$67:$AT$71,,$AI974), INDEX($AU$67:$BA$71,,$AH974), 1 / ($BB$67:$BB$71*CQ974 + (1-$BB$67:$BB$71)*CM974), N($AQ$67:$AQ$71&gt;$AO974)),
SUMPRODUCT(INDEX($AR$57:$AT$66,,$AI974), INDEX($AU$57:$BA$66,,$AH974), 1 / ($BC$57:$BC$66*CQ974 + (1-$BC$57:$BC$66)*CM974), N($AQ$57:$AQ$66&gt;$AO974))
) / 1000</f>
        <v>0</v>
      </c>
      <c r="CS974" s="232">
        <f t="shared" si="838"/>
        <v>20</v>
      </c>
      <c r="CT974" s="230">
        <f t="shared" si="862"/>
        <v>33</v>
      </c>
      <c r="CU974" s="235">
        <f t="shared" si="863"/>
        <v>4.8487499999999999</v>
      </c>
      <c r="CV974" s="235" cm="1">
        <f t="array" ref="CV974">$BI974 * IF($AH974&lt;=2,
SUMPRODUCT(INDEX($AR$62:$AT$66,,$AI974), INDEX($AU$62:$BA$66,,$AH974), 1 / ($BB$62:$BB$66*CU974 + (1-$BB$62:$BB$66)*CQ974), N($AQ$62:$AQ$66&gt;$AO974)),
SUMPRODUCT(INDEX($AR$47:$AT$56,,$AI974), INDEX($AU$47:$BA$56,,$AH974), 1 / ($BC$47:$BC$56*CU974 + (1-$BC$47:$BC$56)*CQ974), N($AQ$47:$AQ$56&gt;$AO974))
) / 1000</f>
        <v>0</v>
      </c>
      <c r="CW974" s="235" cm="1">
        <f t="array" ref="CW974">$BI974 * IF($AH974&lt;=2,
SUMPRODUCT(INDEX($AR$23:$AT$61,,$AI974), INDEX($AU$23:$BA$61,,$AH974), 1 / ($BB$23:$BB$61*CU974), N($AQ$23:$AQ$61&gt;$AO974)),
SUMPRODUCT(INDEX($AR$23:$AT$46,,$AI974), INDEX($AU$23:$BA$46,,$AH974), 1 / ($BC$23:$BC$46*CU974), N($AQ$23:$AQ$46&gt;$AO974))
) / 1000</f>
        <v>0</v>
      </c>
      <c r="CX974" s="230">
        <f t="shared" si="864"/>
        <v>0</v>
      </c>
      <c r="CY974" s="238"/>
    </row>
    <row r="975" spans="1:103" s="76" customFormat="1" ht="14.25" customHeight="1" x14ac:dyDescent="0.2">
      <c r="A975" s="231" t="b">
        <f t="shared" si="830"/>
        <v>0</v>
      </c>
      <c r="B975" s="245">
        <v>953</v>
      </c>
      <c r="C975" s="258"/>
      <c r="D975" s="258"/>
      <c r="E975" s="246"/>
      <c r="F975" s="247" t="str">
        <f>IF(ISBLANK(E975), "", VLOOKUP(E975, Z!$A$2:$C$4127, 3, FALSE))</f>
        <v/>
      </c>
      <c r="G975" s="248"/>
      <c r="H975" s="248"/>
      <c r="I975" s="249"/>
      <c r="J975" s="250"/>
      <c r="K975" s="259"/>
      <c r="L975" s="260"/>
      <c r="M975" s="252" t="str" cm="1">
        <f t="array" ref="M975">INDEX(Trad, 53, $A$20)</f>
        <v>Verschmutzt</v>
      </c>
      <c r="N975" s="253"/>
      <c r="O975" s="253"/>
      <c r="P975" s="254"/>
      <c r="Q975" s="251"/>
      <c r="R975" s="251"/>
      <c r="S975" s="264">
        <f t="shared" si="839"/>
        <v>0</v>
      </c>
      <c r="T975" s="252" t="str" cm="1">
        <f t="array" ref="T975">INDEX(Trad, 52, $A$20)</f>
        <v>Sauber</v>
      </c>
      <c r="U975" s="253"/>
      <c r="V975" s="253"/>
      <c r="W975" s="254"/>
      <c r="X975" s="251"/>
      <c r="Y975" s="251"/>
      <c r="Z975" s="264">
        <f t="shared" si="840"/>
        <v>0</v>
      </c>
      <c r="AA975" s="261"/>
      <c r="AB975" s="258"/>
      <c r="AC975" s="246"/>
      <c r="AD975" s="247" t="str">
        <f>IF(ISBLANK(AC975), "", VLOOKUP(AC975, Z!$A$2:$C$4127, 3, FALSE))</f>
        <v/>
      </c>
      <c r="AE975" s="262"/>
      <c r="AF975" s="263">
        <f t="shared" si="841"/>
        <v>0</v>
      </c>
      <c r="AG975" s="238"/>
      <c r="AH975" s="229">
        <f t="shared" si="865"/>
        <v>1</v>
      </c>
      <c r="AI975" s="229">
        <f t="shared" si="866"/>
        <v>1</v>
      </c>
      <c r="AJ975" s="229">
        <f t="shared" si="867"/>
        <v>0</v>
      </c>
      <c r="AK975" s="229">
        <v>0</v>
      </c>
      <c r="AL975" s="229">
        <v>0</v>
      </c>
      <c r="AM975" s="229">
        <v>1</v>
      </c>
      <c r="AN975" s="229">
        <v>0</v>
      </c>
      <c r="AO975" s="229">
        <f t="shared" si="842"/>
        <v>-100</v>
      </c>
      <c r="AP975" s="238"/>
      <c r="AQ975" s="255"/>
      <c r="AR975" s="255"/>
      <c r="AS975" s="256"/>
      <c r="AT975" s="256"/>
      <c r="AU975" s="256"/>
      <c r="AV975" s="256"/>
      <c r="AW975" s="256"/>
      <c r="AX975" s="256"/>
      <c r="AY975" s="256"/>
      <c r="AZ975" s="256"/>
      <c r="BA975" s="256"/>
      <c r="BB975" s="256"/>
      <c r="BC975" s="256"/>
      <c r="BD975" s="238"/>
      <c r="BE975" s="229" cm="1">
        <f t="array" ref="BE975">IF(ISBLANK(R975), INDEX(Use, $AH975, 4) - AM975*INDEX(Use, $AH975, 6), R975)</f>
        <v>5</v>
      </c>
      <c r="BF975" s="229">
        <f t="shared" si="843"/>
        <v>30</v>
      </c>
      <c r="BG975" s="229">
        <f t="shared" si="831"/>
        <v>13</v>
      </c>
      <c r="BH975" s="229">
        <f t="shared" si="832"/>
        <v>0</v>
      </c>
      <c r="BI975" s="234" cm="1">
        <f t="array" ref="BI975">K975/IF($L975&gt;0, INDEX($AU$23:$BA$77, $L975+20, $AH975), 1)</f>
        <v>0</v>
      </c>
      <c r="BJ975" s="230">
        <f t="shared" si="844"/>
        <v>0</v>
      </c>
      <c r="BK975" s="229">
        <v>35</v>
      </c>
      <c r="BL975" s="230">
        <f t="shared" si="845"/>
        <v>48</v>
      </c>
      <c r="BM975" s="235">
        <f t="shared" si="846"/>
        <v>2.9108720930232557</v>
      </c>
      <c r="BN975" s="235" cm="1">
        <f t="array" ref="BN975">$BI975 * SUMPRODUCT(INDEX($AR$77:$AT$82,,$AI975),INDEX($AU$77:$BA$82,,$AH975), N($AQ$77:$AQ$82&gt;$AO975)) / BM975 / 1000</f>
        <v>0</v>
      </c>
      <c r="BO975" s="232">
        <f t="shared" si="833"/>
        <v>30</v>
      </c>
      <c r="BP975" s="230">
        <f t="shared" si="847"/>
        <v>43</v>
      </c>
      <c r="BQ975" s="235">
        <f t="shared" si="848"/>
        <v>3.2938815789473681</v>
      </c>
      <c r="BR975" s="235" cm="1">
        <f t="array" ref="BR975">$BI975 * IF($AH975&lt;=2,
SUMPRODUCT(INDEX($AR$72:$AT$76,,$AI975), INDEX($AU$72:$BA$76,,$AH975), 1 / ($BB$72:$BB$76*BQ975 + (1-$BB$72:$BB$76)*BM975), N($AQ$72:$AQ$76&gt;$AO975)),
SUMPRODUCT(INDEX($AR$67:$AT$76,,$AI975), INDEX($AU$67:$BA$76,,$AH975), 1 / ($BC$67:$BC$76*BQ975 + (1-$BC$67:$BC$76)*BM975), N($AQ$67:$AQ$76&gt;$AO975))
) / 1000</f>
        <v>0</v>
      </c>
      <c r="BS975" s="232">
        <f t="shared" si="834"/>
        <v>25</v>
      </c>
      <c r="BT975" s="230">
        <f t="shared" si="849"/>
        <v>38</v>
      </c>
      <c r="BU975" s="235">
        <f t="shared" si="850"/>
        <v>3.792954545454545</v>
      </c>
      <c r="BV975" s="235" cm="1">
        <f t="array" ref="BV975">$BI975 * IF($AH975&lt;=2,
SUMPRODUCT(INDEX($AR$67:$AT$71,,$AI975), INDEX($AU$67:$BA$71,,$AH975), 1 / ($BB$67:$BB$71*BU975 + (1-$BB$67:$BB$71)*BQ975), N($AQ$67:$AQ$71&gt;$AO975)),
SUMPRODUCT(INDEX($AR$57:$AT$66,,$AI975), INDEX($AU$57:$BA$66,,$AH975), 1 / ($BC$57:$BC$66*BU975 + (1-$BC$57:$BC$66)*BQ975), N($AQ$57:$AQ$66&gt;$AO975))
) / 1000</f>
        <v>0</v>
      </c>
      <c r="BW975" s="232">
        <f t="shared" si="835"/>
        <v>20</v>
      </c>
      <c r="BX975" s="230">
        <f t="shared" si="851"/>
        <v>33</v>
      </c>
      <c r="BY975" s="235">
        <f t="shared" si="852"/>
        <v>4.4702678571428569</v>
      </c>
      <c r="BZ975" s="235" cm="1">
        <f t="array" ref="BZ975">$BI975 * IF($AH975&lt;=2,
SUMPRODUCT(INDEX($AR$62:$AT$66,,$AI975), INDEX($AU$62:$BA$66,,$AH975), 1 / ($BB$62:$BB$66*BY975 + (1-$BB$62:$BB$66)*BU975), N($AQ$62:$AQ$66&gt;$AO975)),
SUMPRODUCT(INDEX($AR$47:$AT$56,,$AI975), INDEX($AU$47:$BA$56,,$AH975), 1 / ($BC$47:$BC$56*BY975 + (1-$BC$47:$BC$56)*BU975), N($AQ$47:$AQ$56&gt;$AO975))
) / 1000</f>
        <v>0</v>
      </c>
      <c r="CA975" s="235" cm="1">
        <f t="array" ref="CA975">$BI975 * IF($AH975&lt;=2,
SUMPRODUCT(INDEX($AR$23:$AT$61,,$AI975), INDEX($AU$23:$BA$61,,$AH975), 1 / ($BB$23:$BB$61*BY975), N($AQ$23:$AQ$61&gt;$AO975)),
SUMPRODUCT(INDEX($AR$23:$AT$46,,$AI975), INDEX($AU$23:$BA$46,,$AH975), 1 / ($BC$23:$BC$46*BY975), N($AQ$23:$AQ$46&gt;$AO975))
) / 1000</f>
        <v>0</v>
      </c>
      <c r="CB975" s="230">
        <f t="shared" si="853"/>
        <v>0</v>
      </c>
      <c r="CC975" s="238"/>
      <c r="CD975" s="229" cm="1">
        <f t="array" ref="CD975">IF(ISBLANK(Y975), INDEX(Use, $AH975, 4) - AN975*INDEX(Use, $AH975, 6) - (Q975-X975), Y975)</f>
        <v>7</v>
      </c>
      <c r="CE975" s="229">
        <f t="shared" si="854"/>
        <v>32</v>
      </c>
      <c r="CF975" s="230">
        <f t="shared" si="855"/>
        <v>0</v>
      </c>
      <c r="CG975" s="229">
        <v>35</v>
      </c>
      <c r="CH975" s="230">
        <f t="shared" si="856"/>
        <v>48</v>
      </c>
      <c r="CI975" s="235">
        <f t="shared" si="857"/>
        <v>3.0748170731707316</v>
      </c>
      <c r="CJ975" s="235" cm="1">
        <f t="array" ref="CJ975">$BI975 * SUMPRODUCT(INDEX($AR$77:$AT$82,,$AI975),INDEX($AU$77:$BA$82,,$AH975), N($AQ$77:$AQ$82&gt;$AO975)) / CI975 / 1000</f>
        <v>0</v>
      </c>
      <c r="CK975" s="232">
        <f t="shared" si="836"/>
        <v>30</v>
      </c>
      <c r="CL975" s="230">
        <f t="shared" si="858"/>
        <v>43</v>
      </c>
      <c r="CM975" s="235">
        <f t="shared" si="859"/>
        <v>3.5018750000000001</v>
      </c>
      <c r="CN975" s="235" cm="1">
        <f t="array" ref="CN975">$BI975 * IF($AH975&lt;=2,
SUMPRODUCT(INDEX($AR$72:$AT$76,,$AI975), INDEX($AU$72:$BA$76,,$AH975), 1 / ($BB$72:$BB$76*CM975 + (1-$BB$72:$BB$76)*CI975), N($AQ$72:$AQ$76&gt;$AO975)),
SUMPRODUCT(INDEX($AR$67:$AT$76,,$AI975), INDEX($AU$67:$BA$76,,$AH975), 1 / ($BC$67:$BC$76*CM975 + (1-$BC$67:$BC$76)*CI975), N($AQ$67:$AQ$76&gt;$AO975))
) / 1000</f>
        <v>0</v>
      </c>
      <c r="CO975" s="232">
        <f t="shared" si="837"/>
        <v>25</v>
      </c>
      <c r="CP975" s="230">
        <f t="shared" si="860"/>
        <v>38</v>
      </c>
      <c r="CQ975" s="235">
        <f t="shared" si="861"/>
        <v>4.0666935483870965</v>
      </c>
      <c r="CR975" s="235" cm="1">
        <f t="array" ref="CR975">$BI975 * IF($AH975&lt;=2,
SUMPRODUCT(INDEX($AR$67:$AT$71,,$AI975), INDEX($AU$67:$BA$71,,$AH975), 1 / ($BB$67:$BB$71*CQ975 + (1-$BB$67:$BB$71)*CM975), N($AQ$67:$AQ$71&gt;$AO975)),
SUMPRODUCT(INDEX($AR$57:$AT$66,,$AI975), INDEX($AU$57:$BA$66,,$AH975), 1 / ($BC$57:$BC$66*CQ975 + (1-$BC$57:$BC$66)*CM975), N($AQ$57:$AQ$66&gt;$AO975))
) / 1000</f>
        <v>0</v>
      </c>
      <c r="CS975" s="232">
        <f t="shared" si="838"/>
        <v>20</v>
      </c>
      <c r="CT975" s="230">
        <f t="shared" si="862"/>
        <v>33</v>
      </c>
      <c r="CU975" s="235">
        <f t="shared" si="863"/>
        <v>4.8487499999999999</v>
      </c>
      <c r="CV975" s="235" cm="1">
        <f t="array" ref="CV975">$BI975 * IF($AH975&lt;=2,
SUMPRODUCT(INDEX($AR$62:$AT$66,,$AI975), INDEX($AU$62:$BA$66,,$AH975), 1 / ($BB$62:$BB$66*CU975 + (1-$BB$62:$BB$66)*CQ975), N($AQ$62:$AQ$66&gt;$AO975)),
SUMPRODUCT(INDEX($AR$47:$AT$56,,$AI975), INDEX($AU$47:$BA$56,,$AH975), 1 / ($BC$47:$BC$56*CU975 + (1-$BC$47:$BC$56)*CQ975), N($AQ$47:$AQ$56&gt;$AO975))
) / 1000</f>
        <v>0</v>
      </c>
      <c r="CW975" s="235" cm="1">
        <f t="array" ref="CW975">$BI975 * IF($AH975&lt;=2,
SUMPRODUCT(INDEX($AR$23:$AT$61,,$AI975), INDEX($AU$23:$BA$61,,$AH975), 1 / ($BB$23:$BB$61*CU975), N($AQ$23:$AQ$61&gt;$AO975)),
SUMPRODUCT(INDEX($AR$23:$AT$46,,$AI975), INDEX($AU$23:$BA$46,,$AH975), 1 / ($BC$23:$BC$46*CU975), N($AQ$23:$AQ$46&gt;$AO975))
) / 1000</f>
        <v>0</v>
      </c>
      <c r="CX975" s="230">
        <f t="shared" si="864"/>
        <v>0</v>
      </c>
      <c r="CY975" s="238"/>
    </row>
    <row r="976" spans="1:103" s="76" customFormat="1" ht="14.25" customHeight="1" x14ac:dyDescent="0.2">
      <c r="A976" s="231" t="b">
        <f t="shared" si="830"/>
        <v>0</v>
      </c>
      <c r="B976" s="245">
        <v>954</v>
      </c>
      <c r="C976" s="258"/>
      <c r="D976" s="258"/>
      <c r="E976" s="246"/>
      <c r="F976" s="247" t="str">
        <f>IF(ISBLANK(E976), "", VLOOKUP(E976, Z!$A$2:$C$4127, 3, FALSE))</f>
        <v/>
      </c>
      <c r="G976" s="248"/>
      <c r="H976" s="248"/>
      <c r="I976" s="249"/>
      <c r="J976" s="250"/>
      <c r="K976" s="259"/>
      <c r="L976" s="260"/>
      <c r="M976" s="252" t="str" cm="1">
        <f t="array" ref="M976">INDEX(Trad, 53, $A$20)</f>
        <v>Verschmutzt</v>
      </c>
      <c r="N976" s="253"/>
      <c r="O976" s="253"/>
      <c r="P976" s="254"/>
      <c r="Q976" s="251"/>
      <c r="R976" s="251"/>
      <c r="S976" s="264">
        <f t="shared" si="839"/>
        <v>0</v>
      </c>
      <c r="T976" s="252" t="str" cm="1">
        <f t="array" ref="T976">INDEX(Trad, 52, $A$20)</f>
        <v>Sauber</v>
      </c>
      <c r="U976" s="253"/>
      <c r="V976" s="253"/>
      <c r="W976" s="254"/>
      <c r="X976" s="251"/>
      <c r="Y976" s="251"/>
      <c r="Z976" s="264">
        <f t="shared" si="840"/>
        <v>0</v>
      </c>
      <c r="AA976" s="261"/>
      <c r="AB976" s="258"/>
      <c r="AC976" s="246"/>
      <c r="AD976" s="247" t="str">
        <f>IF(ISBLANK(AC976), "", VLOOKUP(AC976, Z!$A$2:$C$4127, 3, FALSE))</f>
        <v/>
      </c>
      <c r="AE976" s="262"/>
      <c r="AF976" s="263">
        <f t="shared" si="841"/>
        <v>0</v>
      </c>
      <c r="AG976" s="238"/>
      <c r="AH976" s="229">
        <f t="shared" si="865"/>
        <v>1</v>
      </c>
      <c r="AI976" s="229">
        <f t="shared" si="866"/>
        <v>1</v>
      </c>
      <c r="AJ976" s="229">
        <f t="shared" si="867"/>
        <v>0</v>
      </c>
      <c r="AK976" s="229">
        <v>0</v>
      </c>
      <c r="AL976" s="229">
        <v>0</v>
      </c>
      <c r="AM976" s="229">
        <v>1</v>
      </c>
      <c r="AN976" s="229">
        <v>0</v>
      </c>
      <c r="AO976" s="229">
        <f t="shared" si="842"/>
        <v>-100</v>
      </c>
      <c r="AP976" s="238"/>
      <c r="AQ976" s="255"/>
      <c r="AR976" s="255"/>
      <c r="AS976" s="256"/>
      <c r="AT976" s="256"/>
      <c r="AU976" s="256"/>
      <c r="AV976" s="256"/>
      <c r="AW976" s="256"/>
      <c r="AX976" s="256"/>
      <c r="AY976" s="256"/>
      <c r="AZ976" s="256"/>
      <c r="BA976" s="256"/>
      <c r="BB976" s="256"/>
      <c r="BC976" s="256"/>
      <c r="BD976" s="238"/>
      <c r="BE976" s="229" cm="1">
        <f t="array" ref="BE976">IF(ISBLANK(R976), INDEX(Use, $AH976, 4) - AM976*INDEX(Use, $AH976, 6), R976)</f>
        <v>5</v>
      </c>
      <c r="BF976" s="229">
        <f t="shared" si="843"/>
        <v>30</v>
      </c>
      <c r="BG976" s="229">
        <f t="shared" si="831"/>
        <v>13</v>
      </c>
      <c r="BH976" s="229">
        <f t="shared" si="832"/>
        <v>0</v>
      </c>
      <c r="BI976" s="234" cm="1">
        <f t="array" ref="BI976">K976/IF($L976&gt;0, INDEX($AU$23:$BA$77, $L976+20, $AH976), 1)</f>
        <v>0</v>
      </c>
      <c r="BJ976" s="230">
        <f t="shared" si="844"/>
        <v>0</v>
      </c>
      <c r="BK976" s="229">
        <v>35</v>
      </c>
      <c r="BL976" s="230">
        <f t="shared" si="845"/>
        <v>48</v>
      </c>
      <c r="BM976" s="235">
        <f t="shared" si="846"/>
        <v>2.9108720930232557</v>
      </c>
      <c r="BN976" s="235" cm="1">
        <f t="array" ref="BN976">$BI976 * SUMPRODUCT(INDEX($AR$77:$AT$82,,$AI976),INDEX($AU$77:$BA$82,,$AH976), N($AQ$77:$AQ$82&gt;$AO976)) / BM976 / 1000</f>
        <v>0</v>
      </c>
      <c r="BO976" s="232">
        <f t="shared" si="833"/>
        <v>30</v>
      </c>
      <c r="BP976" s="230">
        <f t="shared" si="847"/>
        <v>43</v>
      </c>
      <c r="BQ976" s="235">
        <f t="shared" si="848"/>
        <v>3.2938815789473681</v>
      </c>
      <c r="BR976" s="235" cm="1">
        <f t="array" ref="BR976">$BI976 * IF($AH976&lt;=2,
SUMPRODUCT(INDEX($AR$72:$AT$76,,$AI976), INDEX($AU$72:$BA$76,,$AH976), 1 / ($BB$72:$BB$76*BQ976 + (1-$BB$72:$BB$76)*BM976), N($AQ$72:$AQ$76&gt;$AO976)),
SUMPRODUCT(INDEX($AR$67:$AT$76,,$AI976), INDEX($AU$67:$BA$76,,$AH976), 1 / ($BC$67:$BC$76*BQ976 + (1-$BC$67:$BC$76)*BM976), N($AQ$67:$AQ$76&gt;$AO976))
) / 1000</f>
        <v>0</v>
      </c>
      <c r="BS976" s="232">
        <f t="shared" si="834"/>
        <v>25</v>
      </c>
      <c r="BT976" s="230">
        <f t="shared" si="849"/>
        <v>38</v>
      </c>
      <c r="BU976" s="235">
        <f t="shared" si="850"/>
        <v>3.792954545454545</v>
      </c>
      <c r="BV976" s="235" cm="1">
        <f t="array" ref="BV976">$BI976 * IF($AH976&lt;=2,
SUMPRODUCT(INDEX($AR$67:$AT$71,,$AI976), INDEX($AU$67:$BA$71,,$AH976), 1 / ($BB$67:$BB$71*BU976 + (1-$BB$67:$BB$71)*BQ976), N($AQ$67:$AQ$71&gt;$AO976)),
SUMPRODUCT(INDEX($AR$57:$AT$66,,$AI976), INDEX($AU$57:$BA$66,,$AH976), 1 / ($BC$57:$BC$66*BU976 + (1-$BC$57:$BC$66)*BQ976), N($AQ$57:$AQ$66&gt;$AO976))
) / 1000</f>
        <v>0</v>
      </c>
      <c r="BW976" s="232">
        <f t="shared" si="835"/>
        <v>20</v>
      </c>
      <c r="BX976" s="230">
        <f t="shared" si="851"/>
        <v>33</v>
      </c>
      <c r="BY976" s="235">
        <f t="shared" si="852"/>
        <v>4.4702678571428569</v>
      </c>
      <c r="BZ976" s="235" cm="1">
        <f t="array" ref="BZ976">$BI976 * IF($AH976&lt;=2,
SUMPRODUCT(INDEX($AR$62:$AT$66,,$AI976), INDEX($AU$62:$BA$66,,$AH976), 1 / ($BB$62:$BB$66*BY976 + (1-$BB$62:$BB$66)*BU976), N($AQ$62:$AQ$66&gt;$AO976)),
SUMPRODUCT(INDEX($AR$47:$AT$56,,$AI976), INDEX($AU$47:$BA$56,,$AH976), 1 / ($BC$47:$BC$56*BY976 + (1-$BC$47:$BC$56)*BU976), N($AQ$47:$AQ$56&gt;$AO976))
) / 1000</f>
        <v>0</v>
      </c>
      <c r="CA976" s="235" cm="1">
        <f t="array" ref="CA976">$BI976 * IF($AH976&lt;=2,
SUMPRODUCT(INDEX($AR$23:$AT$61,,$AI976), INDEX($AU$23:$BA$61,,$AH976), 1 / ($BB$23:$BB$61*BY976), N($AQ$23:$AQ$61&gt;$AO976)),
SUMPRODUCT(INDEX($AR$23:$AT$46,,$AI976), INDEX($AU$23:$BA$46,,$AH976), 1 / ($BC$23:$BC$46*BY976), N($AQ$23:$AQ$46&gt;$AO976))
) / 1000</f>
        <v>0</v>
      </c>
      <c r="CB976" s="230">
        <f t="shared" si="853"/>
        <v>0</v>
      </c>
      <c r="CC976" s="238"/>
      <c r="CD976" s="229" cm="1">
        <f t="array" ref="CD976">IF(ISBLANK(Y976), INDEX(Use, $AH976, 4) - AN976*INDEX(Use, $AH976, 6) - (Q976-X976), Y976)</f>
        <v>7</v>
      </c>
      <c r="CE976" s="229">
        <f t="shared" si="854"/>
        <v>32</v>
      </c>
      <c r="CF976" s="230">
        <f t="shared" si="855"/>
        <v>0</v>
      </c>
      <c r="CG976" s="229">
        <v>35</v>
      </c>
      <c r="CH976" s="230">
        <f t="shared" si="856"/>
        <v>48</v>
      </c>
      <c r="CI976" s="235">
        <f t="shared" si="857"/>
        <v>3.0748170731707316</v>
      </c>
      <c r="CJ976" s="235" cm="1">
        <f t="array" ref="CJ976">$BI976 * SUMPRODUCT(INDEX($AR$77:$AT$82,,$AI976),INDEX($AU$77:$BA$82,,$AH976), N($AQ$77:$AQ$82&gt;$AO976)) / CI976 / 1000</f>
        <v>0</v>
      </c>
      <c r="CK976" s="232">
        <f t="shared" si="836"/>
        <v>30</v>
      </c>
      <c r="CL976" s="230">
        <f t="shared" si="858"/>
        <v>43</v>
      </c>
      <c r="CM976" s="235">
        <f t="shared" si="859"/>
        <v>3.5018750000000001</v>
      </c>
      <c r="CN976" s="235" cm="1">
        <f t="array" ref="CN976">$BI976 * IF($AH976&lt;=2,
SUMPRODUCT(INDEX($AR$72:$AT$76,,$AI976), INDEX($AU$72:$BA$76,,$AH976), 1 / ($BB$72:$BB$76*CM976 + (1-$BB$72:$BB$76)*CI976), N($AQ$72:$AQ$76&gt;$AO976)),
SUMPRODUCT(INDEX($AR$67:$AT$76,,$AI976), INDEX($AU$67:$BA$76,,$AH976), 1 / ($BC$67:$BC$76*CM976 + (1-$BC$67:$BC$76)*CI976), N($AQ$67:$AQ$76&gt;$AO976))
) / 1000</f>
        <v>0</v>
      </c>
      <c r="CO976" s="232">
        <f t="shared" si="837"/>
        <v>25</v>
      </c>
      <c r="CP976" s="230">
        <f t="shared" si="860"/>
        <v>38</v>
      </c>
      <c r="CQ976" s="235">
        <f t="shared" si="861"/>
        <v>4.0666935483870965</v>
      </c>
      <c r="CR976" s="235" cm="1">
        <f t="array" ref="CR976">$BI976 * IF($AH976&lt;=2,
SUMPRODUCT(INDEX($AR$67:$AT$71,,$AI976), INDEX($AU$67:$BA$71,,$AH976), 1 / ($BB$67:$BB$71*CQ976 + (1-$BB$67:$BB$71)*CM976), N($AQ$67:$AQ$71&gt;$AO976)),
SUMPRODUCT(INDEX($AR$57:$AT$66,,$AI976), INDEX($AU$57:$BA$66,,$AH976), 1 / ($BC$57:$BC$66*CQ976 + (1-$BC$57:$BC$66)*CM976), N($AQ$57:$AQ$66&gt;$AO976))
) / 1000</f>
        <v>0</v>
      </c>
      <c r="CS976" s="232">
        <f t="shared" si="838"/>
        <v>20</v>
      </c>
      <c r="CT976" s="230">
        <f t="shared" si="862"/>
        <v>33</v>
      </c>
      <c r="CU976" s="235">
        <f t="shared" si="863"/>
        <v>4.8487499999999999</v>
      </c>
      <c r="CV976" s="235" cm="1">
        <f t="array" ref="CV976">$BI976 * IF($AH976&lt;=2,
SUMPRODUCT(INDEX($AR$62:$AT$66,,$AI976), INDEX($AU$62:$BA$66,,$AH976), 1 / ($BB$62:$BB$66*CU976 + (1-$BB$62:$BB$66)*CQ976), N($AQ$62:$AQ$66&gt;$AO976)),
SUMPRODUCT(INDEX($AR$47:$AT$56,,$AI976), INDEX($AU$47:$BA$56,,$AH976), 1 / ($BC$47:$BC$56*CU976 + (1-$BC$47:$BC$56)*CQ976), N($AQ$47:$AQ$56&gt;$AO976))
) / 1000</f>
        <v>0</v>
      </c>
      <c r="CW976" s="235" cm="1">
        <f t="array" ref="CW976">$BI976 * IF($AH976&lt;=2,
SUMPRODUCT(INDEX($AR$23:$AT$61,,$AI976), INDEX($AU$23:$BA$61,,$AH976), 1 / ($BB$23:$BB$61*CU976), N($AQ$23:$AQ$61&gt;$AO976)),
SUMPRODUCT(INDEX($AR$23:$AT$46,,$AI976), INDEX($AU$23:$BA$46,,$AH976), 1 / ($BC$23:$BC$46*CU976), N($AQ$23:$AQ$46&gt;$AO976))
) / 1000</f>
        <v>0</v>
      </c>
      <c r="CX976" s="230">
        <f t="shared" si="864"/>
        <v>0</v>
      </c>
      <c r="CY976" s="238"/>
    </row>
    <row r="977" spans="1:103" s="76" customFormat="1" ht="14.25" customHeight="1" x14ac:dyDescent="0.2">
      <c r="A977" s="231" t="b">
        <f t="shared" si="830"/>
        <v>0</v>
      </c>
      <c r="B977" s="245">
        <v>955</v>
      </c>
      <c r="C977" s="258"/>
      <c r="D977" s="258"/>
      <c r="E977" s="246"/>
      <c r="F977" s="247" t="str">
        <f>IF(ISBLANK(E977), "", VLOOKUP(E977, Z!$A$2:$C$4127, 3, FALSE))</f>
        <v/>
      </c>
      <c r="G977" s="248"/>
      <c r="H977" s="248"/>
      <c r="I977" s="249"/>
      <c r="J977" s="250"/>
      <c r="K977" s="259"/>
      <c r="L977" s="260"/>
      <c r="M977" s="252" t="str" cm="1">
        <f t="array" ref="M977">INDEX(Trad, 53, $A$20)</f>
        <v>Verschmutzt</v>
      </c>
      <c r="N977" s="253"/>
      <c r="O977" s="253"/>
      <c r="P977" s="254"/>
      <c r="Q977" s="251"/>
      <c r="R977" s="251"/>
      <c r="S977" s="264">
        <f t="shared" si="839"/>
        <v>0</v>
      </c>
      <c r="T977" s="252" t="str" cm="1">
        <f t="array" ref="T977">INDEX(Trad, 52, $A$20)</f>
        <v>Sauber</v>
      </c>
      <c r="U977" s="253"/>
      <c r="V977" s="253"/>
      <c r="W977" s="254"/>
      <c r="X977" s="251"/>
      <c r="Y977" s="251"/>
      <c r="Z977" s="264">
        <f t="shared" si="840"/>
        <v>0</v>
      </c>
      <c r="AA977" s="261"/>
      <c r="AB977" s="258"/>
      <c r="AC977" s="246"/>
      <c r="AD977" s="247" t="str">
        <f>IF(ISBLANK(AC977), "", VLOOKUP(AC977, Z!$A$2:$C$4127, 3, FALSE))</f>
        <v/>
      </c>
      <c r="AE977" s="262"/>
      <c r="AF977" s="263">
        <f t="shared" si="841"/>
        <v>0</v>
      </c>
      <c r="AG977" s="238"/>
      <c r="AH977" s="229">
        <f t="shared" si="865"/>
        <v>1</v>
      </c>
      <c r="AI977" s="229">
        <f t="shared" si="866"/>
        <v>1</v>
      </c>
      <c r="AJ977" s="229">
        <f t="shared" si="867"/>
        <v>0</v>
      </c>
      <c r="AK977" s="229">
        <v>0</v>
      </c>
      <c r="AL977" s="229">
        <v>0</v>
      </c>
      <c r="AM977" s="229">
        <v>1</v>
      </c>
      <c r="AN977" s="229">
        <v>0</v>
      </c>
      <c r="AO977" s="229">
        <f t="shared" si="842"/>
        <v>-100</v>
      </c>
      <c r="AP977" s="238"/>
      <c r="AQ977" s="255"/>
      <c r="AR977" s="255"/>
      <c r="AS977" s="256"/>
      <c r="AT977" s="256"/>
      <c r="AU977" s="256"/>
      <c r="AV977" s="256"/>
      <c r="AW977" s="256"/>
      <c r="AX977" s="256"/>
      <c r="AY977" s="256"/>
      <c r="AZ977" s="256"/>
      <c r="BA977" s="256"/>
      <c r="BB977" s="256"/>
      <c r="BC977" s="256"/>
      <c r="BD977" s="238"/>
      <c r="BE977" s="229" cm="1">
        <f t="array" ref="BE977">IF(ISBLANK(R977), INDEX(Use, $AH977, 4) - AM977*INDEX(Use, $AH977, 6), R977)</f>
        <v>5</v>
      </c>
      <c r="BF977" s="229">
        <f t="shared" si="843"/>
        <v>30</v>
      </c>
      <c r="BG977" s="229">
        <f t="shared" si="831"/>
        <v>13</v>
      </c>
      <c r="BH977" s="229">
        <f t="shared" si="832"/>
        <v>0</v>
      </c>
      <c r="BI977" s="234" cm="1">
        <f t="array" ref="BI977">K977/IF($L977&gt;0, INDEX($AU$23:$BA$77, $L977+20, $AH977), 1)</f>
        <v>0</v>
      </c>
      <c r="BJ977" s="230">
        <f t="shared" si="844"/>
        <v>0</v>
      </c>
      <c r="BK977" s="229">
        <v>35</v>
      </c>
      <c r="BL977" s="230">
        <f t="shared" si="845"/>
        <v>48</v>
      </c>
      <c r="BM977" s="235">
        <f t="shared" si="846"/>
        <v>2.9108720930232557</v>
      </c>
      <c r="BN977" s="235" cm="1">
        <f t="array" ref="BN977">$BI977 * SUMPRODUCT(INDEX($AR$77:$AT$82,,$AI977),INDEX($AU$77:$BA$82,,$AH977), N($AQ$77:$AQ$82&gt;$AO977)) / BM977 / 1000</f>
        <v>0</v>
      </c>
      <c r="BO977" s="232">
        <f t="shared" si="833"/>
        <v>30</v>
      </c>
      <c r="BP977" s="230">
        <f t="shared" si="847"/>
        <v>43</v>
      </c>
      <c r="BQ977" s="235">
        <f t="shared" si="848"/>
        <v>3.2938815789473681</v>
      </c>
      <c r="BR977" s="235" cm="1">
        <f t="array" ref="BR977">$BI977 * IF($AH977&lt;=2,
SUMPRODUCT(INDEX($AR$72:$AT$76,,$AI977), INDEX($AU$72:$BA$76,,$AH977), 1 / ($BB$72:$BB$76*BQ977 + (1-$BB$72:$BB$76)*BM977), N($AQ$72:$AQ$76&gt;$AO977)),
SUMPRODUCT(INDEX($AR$67:$AT$76,,$AI977), INDEX($AU$67:$BA$76,,$AH977), 1 / ($BC$67:$BC$76*BQ977 + (1-$BC$67:$BC$76)*BM977), N($AQ$67:$AQ$76&gt;$AO977))
) / 1000</f>
        <v>0</v>
      </c>
      <c r="BS977" s="232">
        <f t="shared" si="834"/>
        <v>25</v>
      </c>
      <c r="BT977" s="230">
        <f t="shared" si="849"/>
        <v>38</v>
      </c>
      <c r="BU977" s="235">
        <f t="shared" si="850"/>
        <v>3.792954545454545</v>
      </c>
      <c r="BV977" s="235" cm="1">
        <f t="array" ref="BV977">$BI977 * IF($AH977&lt;=2,
SUMPRODUCT(INDEX($AR$67:$AT$71,,$AI977), INDEX($AU$67:$BA$71,,$AH977), 1 / ($BB$67:$BB$71*BU977 + (1-$BB$67:$BB$71)*BQ977), N($AQ$67:$AQ$71&gt;$AO977)),
SUMPRODUCT(INDEX($AR$57:$AT$66,,$AI977), INDEX($AU$57:$BA$66,,$AH977), 1 / ($BC$57:$BC$66*BU977 + (1-$BC$57:$BC$66)*BQ977), N($AQ$57:$AQ$66&gt;$AO977))
) / 1000</f>
        <v>0</v>
      </c>
      <c r="BW977" s="232">
        <f t="shared" si="835"/>
        <v>20</v>
      </c>
      <c r="BX977" s="230">
        <f t="shared" si="851"/>
        <v>33</v>
      </c>
      <c r="BY977" s="235">
        <f t="shared" si="852"/>
        <v>4.4702678571428569</v>
      </c>
      <c r="BZ977" s="235" cm="1">
        <f t="array" ref="BZ977">$BI977 * IF($AH977&lt;=2,
SUMPRODUCT(INDEX($AR$62:$AT$66,,$AI977), INDEX($AU$62:$BA$66,,$AH977), 1 / ($BB$62:$BB$66*BY977 + (1-$BB$62:$BB$66)*BU977), N($AQ$62:$AQ$66&gt;$AO977)),
SUMPRODUCT(INDEX($AR$47:$AT$56,,$AI977), INDEX($AU$47:$BA$56,,$AH977), 1 / ($BC$47:$BC$56*BY977 + (1-$BC$47:$BC$56)*BU977), N($AQ$47:$AQ$56&gt;$AO977))
) / 1000</f>
        <v>0</v>
      </c>
      <c r="CA977" s="235" cm="1">
        <f t="array" ref="CA977">$BI977 * IF($AH977&lt;=2,
SUMPRODUCT(INDEX($AR$23:$AT$61,,$AI977), INDEX($AU$23:$BA$61,,$AH977), 1 / ($BB$23:$BB$61*BY977), N($AQ$23:$AQ$61&gt;$AO977)),
SUMPRODUCT(INDEX($AR$23:$AT$46,,$AI977), INDEX($AU$23:$BA$46,,$AH977), 1 / ($BC$23:$BC$46*BY977), N($AQ$23:$AQ$46&gt;$AO977))
) / 1000</f>
        <v>0</v>
      </c>
      <c r="CB977" s="230">
        <f t="shared" si="853"/>
        <v>0</v>
      </c>
      <c r="CC977" s="238"/>
      <c r="CD977" s="229" cm="1">
        <f t="array" ref="CD977">IF(ISBLANK(Y977), INDEX(Use, $AH977, 4) - AN977*INDEX(Use, $AH977, 6) - (Q977-X977), Y977)</f>
        <v>7</v>
      </c>
      <c r="CE977" s="229">
        <f t="shared" si="854"/>
        <v>32</v>
      </c>
      <c r="CF977" s="230">
        <f t="shared" si="855"/>
        <v>0</v>
      </c>
      <c r="CG977" s="229">
        <v>35</v>
      </c>
      <c r="CH977" s="230">
        <f t="shared" si="856"/>
        <v>48</v>
      </c>
      <c r="CI977" s="235">
        <f t="shared" si="857"/>
        <v>3.0748170731707316</v>
      </c>
      <c r="CJ977" s="235" cm="1">
        <f t="array" ref="CJ977">$BI977 * SUMPRODUCT(INDEX($AR$77:$AT$82,,$AI977),INDEX($AU$77:$BA$82,,$AH977), N($AQ$77:$AQ$82&gt;$AO977)) / CI977 / 1000</f>
        <v>0</v>
      </c>
      <c r="CK977" s="232">
        <f t="shared" si="836"/>
        <v>30</v>
      </c>
      <c r="CL977" s="230">
        <f t="shared" si="858"/>
        <v>43</v>
      </c>
      <c r="CM977" s="235">
        <f t="shared" si="859"/>
        <v>3.5018750000000001</v>
      </c>
      <c r="CN977" s="235" cm="1">
        <f t="array" ref="CN977">$BI977 * IF($AH977&lt;=2,
SUMPRODUCT(INDEX($AR$72:$AT$76,,$AI977), INDEX($AU$72:$BA$76,,$AH977), 1 / ($BB$72:$BB$76*CM977 + (1-$BB$72:$BB$76)*CI977), N($AQ$72:$AQ$76&gt;$AO977)),
SUMPRODUCT(INDEX($AR$67:$AT$76,,$AI977), INDEX($AU$67:$BA$76,,$AH977), 1 / ($BC$67:$BC$76*CM977 + (1-$BC$67:$BC$76)*CI977), N($AQ$67:$AQ$76&gt;$AO977))
) / 1000</f>
        <v>0</v>
      </c>
      <c r="CO977" s="232">
        <f t="shared" si="837"/>
        <v>25</v>
      </c>
      <c r="CP977" s="230">
        <f t="shared" si="860"/>
        <v>38</v>
      </c>
      <c r="CQ977" s="235">
        <f t="shared" si="861"/>
        <v>4.0666935483870965</v>
      </c>
      <c r="CR977" s="235" cm="1">
        <f t="array" ref="CR977">$BI977 * IF($AH977&lt;=2,
SUMPRODUCT(INDEX($AR$67:$AT$71,,$AI977), INDEX($AU$67:$BA$71,,$AH977), 1 / ($BB$67:$BB$71*CQ977 + (1-$BB$67:$BB$71)*CM977), N($AQ$67:$AQ$71&gt;$AO977)),
SUMPRODUCT(INDEX($AR$57:$AT$66,,$AI977), INDEX($AU$57:$BA$66,,$AH977), 1 / ($BC$57:$BC$66*CQ977 + (1-$BC$57:$BC$66)*CM977), N($AQ$57:$AQ$66&gt;$AO977))
) / 1000</f>
        <v>0</v>
      </c>
      <c r="CS977" s="232">
        <f t="shared" si="838"/>
        <v>20</v>
      </c>
      <c r="CT977" s="230">
        <f t="shared" si="862"/>
        <v>33</v>
      </c>
      <c r="CU977" s="235">
        <f t="shared" si="863"/>
        <v>4.8487499999999999</v>
      </c>
      <c r="CV977" s="235" cm="1">
        <f t="array" ref="CV977">$BI977 * IF($AH977&lt;=2,
SUMPRODUCT(INDEX($AR$62:$AT$66,,$AI977), INDEX($AU$62:$BA$66,,$AH977), 1 / ($BB$62:$BB$66*CU977 + (1-$BB$62:$BB$66)*CQ977), N($AQ$62:$AQ$66&gt;$AO977)),
SUMPRODUCT(INDEX($AR$47:$AT$56,,$AI977), INDEX($AU$47:$BA$56,,$AH977), 1 / ($BC$47:$BC$56*CU977 + (1-$BC$47:$BC$56)*CQ977), N($AQ$47:$AQ$56&gt;$AO977))
) / 1000</f>
        <v>0</v>
      </c>
      <c r="CW977" s="235" cm="1">
        <f t="array" ref="CW977">$BI977 * IF($AH977&lt;=2,
SUMPRODUCT(INDEX($AR$23:$AT$61,,$AI977), INDEX($AU$23:$BA$61,,$AH977), 1 / ($BB$23:$BB$61*CU977), N($AQ$23:$AQ$61&gt;$AO977)),
SUMPRODUCT(INDEX($AR$23:$AT$46,,$AI977), INDEX($AU$23:$BA$46,,$AH977), 1 / ($BC$23:$BC$46*CU977), N($AQ$23:$AQ$46&gt;$AO977))
) / 1000</f>
        <v>0</v>
      </c>
      <c r="CX977" s="230">
        <f t="shared" si="864"/>
        <v>0</v>
      </c>
      <c r="CY977" s="238"/>
    </row>
    <row r="978" spans="1:103" s="76" customFormat="1" ht="14.25" customHeight="1" x14ac:dyDescent="0.2">
      <c r="A978" s="231" t="b">
        <f t="shared" si="830"/>
        <v>0</v>
      </c>
      <c r="B978" s="245">
        <v>956</v>
      </c>
      <c r="C978" s="258"/>
      <c r="D978" s="258"/>
      <c r="E978" s="246"/>
      <c r="F978" s="247" t="str">
        <f>IF(ISBLANK(E978), "", VLOOKUP(E978, Z!$A$2:$C$4127, 3, FALSE))</f>
        <v/>
      </c>
      <c r="G978" s="248"/>
      <c r="H978" s="248"/>
      <c r="I978" s="249"/>
      <c r="J978" s="250"/>
      <c r="K978" s="259"/>
      <c r="L978" s="260"/>
      <c r="M978" s="252" t="str" cm="1">
        <f t="array" ref="M978">INDEX(Trad, 53, $A$20)</f>
        <v>Verschmutzt</v>
      </c>
      <c r="N978" s="253"/>
      <c r="O978" s="253"/>
      <c r="P978" s="254"/>
      <c r="Q978" s="251"/>
      <c r="R978" s="251"/>
      <c r="S978" s="264">
        <f t="shared" si="839"/>
        <v>0</v>
      </c>
      <c r="T978" s="252" t="str" cm="1">
        <f t="array" ref="T978">INDEX(Trad, 52, $A$20)</f>
        <v>Sauber</v>
      </c>
      <c r="U978" s="253"/>
      <c r="V978" s="253"/>
      <c r="W978" s="254"/>
      <c r="X978" s="251"/>
      <c r="Y978" s="251"/>
      <c r="Z978" s="264">
        <f t="shared" si="840"/>
        <v>0</v>
      </c>
      <c r="AA978" s="261"/>
      <c r="AB978" s="258"/>
      <c r="AC978" s="246"/>
      <c r="AD978" s="247" t="str">
        <f>IF(ISBLANK(AC978), "", VLOOKUP(AC978, Z!$A$2:$C$4127, 3, FALSE))</f>
        <v/>
      </c>
      <c r="AE978" s="262"/>
      <c r="AF978" s="263">
        <f t="shared" si="841"/>
        <v>0</v>
      </c>
      <c r="AG978" s="238"/>
      <c r="AH978" s="229">
        <f t="shared" si="865"/>
        <v>1</v>
      </c>
      <c r="AI978" s="229">
        <f t="shared" si="866"/>
        <v>1</v>
      </c>
      <c r="AJ978" s="229">
        <f t="shared" si="867"/>
        <v>0</v>
      </c>
      <c r="AK978" s="229">
        <v>0</v>
      </c>
      <c r="AL978" s="229">
        <v>0</v>
      </c>
      <c r="AM978" s="229">
        <v>1</v>
      </c>
      <c r="AN978" s="229">
        <v>0</v>
      </c>
      <c r="AO978" s="229">
        <f t="shared" si="842"/>
        <v>-100</v>
      </c>
      <c r="AP978" s="238"/>
      <c r="AQ978" s="255"/>
      <c r="AR978" s="255"/>
      <c r="AS978" s="256"/>
      <c r="AT978" s="256"/>
      <c r="AU978" s="256"/>
      <c r="AV978" s="256"/>
      <c r="AW978" s="256"/>
      <c r="AX978" s="256"/>
      <c r="AY978" s="256"/>
      <c r="AZ978" s="256"/>
      <c r="BA978" s="256"/>
      <c r="BB978" s="256"/>
      <c r="BC978" s="256"/>
      <c r="BD978" s="238"/>
      <c r="BE978" s="229" cm="1">
        <f t="array" ref="BE978">IF(ISBLANK(R978), INDEX(Use, $AH978, 4) - AM978*INDEX(Use, $AH978, 6), R978)</f>
        <v>5</v>
      </c>
      <c r="BF978" s="229">
        <f t="shared" si="843"/>
        <v>30</v>
      </c>
      <c r="BG978" s="229">
        <f t="shared" si="831"/>
        <v>13</v>
      </c>
      <c r="BH978" s="229">
        <f t="shared" si="832"/>
        <v>0</v>
      </c>
      <c r="BI978" s="234" cm="1">
        <f t="array" ref="BI978">K978/IF($L978&gt;0, INDEX($AU$23:$BA$77, $L978+20, $AH978), 1)</f>
        <v>0</v>
      </c>
      <c r="BJ978" s="230">
        <f t="shared" si="844"/>
        <v>0</v>
      </c>
      <c r="BK978" s="229">
        <v>35</v>
      </c>
      <c r="BL978" s="230">
        <f t="shared" si="845"/>
        <v>48</v>
      </c>
      <c r="BM978" s="235">
        <f t="shared" si="846"/>
        <v>2.9108720930232557</v>
      </c>
      <c r="BN978" s="235" cm="1">
        <f t="array" ref="BN978">$BI978 * SUMPRODUCT(INDEX($AR$77:$AT$82,,$AI978),INDEX($AU$77:$BA$82,,$AH978), N($AQ$77:$AQ$82&gt;$AO978)) / BM978 / 1000</f>
        <v>0</v>
      </c>
      <c r="BO978" s="232">
        <f t="shared" si="833"/>
        <v>30</v>
      </c>
      <c r="BP978" s="230">
        <f t="shared" si="847"/>
        <v>43</v>
      </c>
      <c r="BQ978" s="235">
        <f t="shared" si="848"/>
        <v>3.2938815789473681</v>
      </c>
      <c r="BR978" s="235" cm="1">
        <f t="array" ref="BR978">$BI978 * IF($AH978&lt;=2,
SUMPRODUCT(INDEX($AR$72:$AT$76,,$AI978), INDEX($AU$72:$BA$76,,$AH978), 1 / ($BB$72:$BB$76*BQ978 + (1-$BB$72:$BB$76)*BM978), N($AQ$72:$AQ$76&gt;$AO978)),
SUMPRODUCT(INDEX($AR$67:$AT$76,,$AI978), INDEX($AU$67:$BA$76,,$AH978), 1 / ($BC$67:$BC$76*BQ978 + (1-$BC$67:$BC$76)*BM978), N($AQ$67:$AQ$76&gt;$AO978))
) / 1000</f>
        <v>0</v>
      </c>
      <c r="BS978" s="232">
        <f t="shared" si="834"/>
        <v>25</v>
      </c>
      <c r="BT978" s="230">
        <f t="shared" si="849"/>
        <v>38</v>
      </c>
      <c r="BU978" s="235">
        <f t="shared" si="850"/>
        <v>3.792954545454545</v>
      </c>
      <c r="BV978" s="235" cm="1">
        <f t="array" ref="BV978">$BI978 * IF($AH978&lt;=2,
SUMPRODUCT(INDEX($AR$67:$AT$71,,$AI978), INDEX($AU$67:$BA$71,,$AH978), 1 / ($BB$67:$BB$71*BU978 + (1-$BB$67:$BB$71)*BQ978), N($AQ$67:$AQ$71&gt;$AO978)),
SUMPRODUCT(INDEX($AR$57:$AT$66,,$AI978), INDEX($AU$57:$BA$66,,$AH978), 1 / ($BC$57:$BC$66*BU978 + (1-$BC$57:$BC$66)*BQ978), N($AQ$57:$AQ$66&gt;$AO978))
) / 1000</f>
        <v>0</v>
      </c>
      <c r="BW978" s="232">
        <f t="shared" si="835"/>
        <v>20</v>
      </c>
      <c r="BX978" s="230">
        <f t="shared" si="851"/>
        <v>33</v>
      </c>
      <c r="BY978" s="235">
        <f t="shared" si="852"/>
        <v>4.4702678571428569</v>
      </c>
      <c r="BZ978" s="235" cm="1">
        <f t="array" ref="BZ978">$BI978 * IF($AH978&lt;=2,
SUMPRODUCT(INDEX($AR$62:$AT$66,,$AI978), INDEX($AU$62:$BA$66,,$AH978), 1 / ($BB$62:$BB$66*BY978 + (1-$BB$62:$BB$66)*BU978), N($AQ$62:$AQ$66&gt;$AO978)),
SUMPRODUCT(INDEX($AR$47:$AT$56,,$AI978), INDEX($AU$47:$BA$56,,$AH978), 1 / ($BC$47:$BC$56*BY978 + (1-$BC$47:$BC$56)*BU978), N($AQ$47:$AQ$56&gt;$AO978))
) / 1000</f>
        <v>0</v>
      </c>
      <c r="CA978" s="235" cm="1">
        <f t="array" ref="CA978">$BI978 * IF($AH978&lt;=2,
SUMPRODUCT(INDEX($AR$23:$AT$61,,$AI978), INDEX($AU$23:$BA$61,,$AH978), 1 / ($BB$23:$BB$61*BY978), N($AQ$23:$AQ$61&gt;$AO978)),
SUMPRODUCT(INDEX($AR$23:$AT$46,,$AI978), INDEX($AU$23:$BA$46,,$AH978), 1 / ($BC$23:$BC$46*BY978), N($AQ$23:$AQ$46&gt;$AO978))
) / 1000</f>
        <v>0</v>
      </c>
      <c r="CB978" s="230">
        <f t="shared" si="853"/>
        <v>0</v>
      </c>
      <c r="CC978" s="238"/>
      <c r="CD978" s="229" cm="1">
        <f t="array" ref="CD978">IF(ISBLANK(Y978), INDEX(Use, $AH978, 4) - AN978*INDEX(Use, $AH978, 6) - (Q978-X978), Y978)</f>
        <v>7</v>
      </c>
      <c r="CE978" s="229">
        <f t="shared" si="854"/>
        <v>32</v>
      </c>
      <c r="CF978" s="230">
        <f t="shared" si="855"/>
        <v>0</v>
      </c>
      <c r="CG978" s="229">
        <v>35</v>
      </c>
      <c r="CH978" s="230">
        <f t="shared" si="856"/>
        <v>48</v>
      </c>
      <c r="CI978" s="235">
        <f t="shared" si="857"/>
        <v>3.0748170731707316</v>
      </c>
      <c r="CJ978" s="235" cm="1">
        <f t="array" ref="CJ978">$BI978 * SUMPRODUCT(INDEX($AR$77:$AT$82,,$AI978),INDEX($AU$77:$BA$82,,$AH978), N($AQ$77:$AQ$82&gt;$AO978)) / CI978 / 1000</f>
        <v>0</v>
      </c>
      <c r="CK978" s="232">
        <f t="shared" si="836"/>
        <v>30</v>
      </c>
      <c r="CL978" s="230">
        <f t="shared" si="858"/>
        <v>43</v>
      </c>
      <c r="CM978" s="235">
        <f t="shared" si="859"/>
        <v>3.5018750000000001</v>
      </c>
      <c r="CN978" s="235" cm="1">
        <f t="array" ref="CN978">$BI978 * IF($AH978&lt;=2,
SUMPRODUCT(INDEX($AR$72:$AT$76,,$AI978), INDEX($AU$72:$BA$76,,$AH978), 1 / ($BB$72:$BB$76*CM978 + (1-$BB$72:$BB$76)*CI978), N($AQ$72:$AQ$76&gt;$AO978)),
SUMPRODUCT(INDEX($AR$67:$AT$76,,$AI978), INDEX($AU$67:$BA$76,,$AH978), 1 / ($BC$67:$BC$76*CM978 + (1-$BC$67:$BC$76)*CI978), N($AQ$67:$AQ$76&gt;$AO978))
) / 1000</f>
        <v>0</v>
      </c>
      <c r="CO978" s="232">
        <f t="shared" si="837"/>
        <v>25</v>
      </c>
      <c r="CP978" s="230">
        <f t="shared" si="860"/>
        <v>38</v>
      </c>
      <c r="CQ978" s="235">
        <f t="shared" si="861"/>
        <v>4.0666935483870965</v>
      </c>
      <c r="CR978" s="235" cm="1">
        <f t="array" ref="CR978">$BI978 * IF($AH978&lt;=2,
SUMPRODUCT(INDEX($AR$67:$AT$71,,$AI978), INDEX($AU$67:$BA$71,,$AH978), 1 / ($BB$67:$BB$71*CQ978 + (1-$BB$67:$BB$71)*CM978), N($AQ$67:$AQ$71&gt;$AO978)),
SUMPRODUCT(INDEX($AR$57:$AT$66,,$AI978), INDEX($AU$57:$BA$66,,$AH978), 1 / ($BC$57:$BC$66*CQ978 + (1-$BC$57:$BC$66)*CM978), N($AQ$57:$AQ$66&gt;$AO978))
) / 1000</f>
        <v>0</v>
      </c>
      <c r="CS978" s="232">
        <f t="shared" si="838"/>
        <v>20</v>
      </c>
      <c r="CT978" s="230">
        <f t="shared" si="862"/>
        <v>33</v>
      </c>
      <c r="CU978" s="235">
        <f t="shared" si="863"/>
        <v>4.8487499999999999</v>
      </c>
      <c r="CV978" s="235" cm="1">
        <f t="array" ref="CV978">$BI978 * IF($AH978&lt;=2,
SUMPRODUCT(INDEX($AR$62:$AT$66,,$AI978), INDEX($AU$62:$BA$66,,$AH978), 1 / ($BB$62:$BB$66*CU978 + (1-$BB$62:$BB$66)*CQ978), N($AQ$62:$AQ$66&gt;$AO978)),
SUMPRODUCT(INDEX($AR$47:$AT$56,,$AI978), INDEX($AU$47:$BA$56,,$AH978), 1 / ($BC$47:$BC$56*CU978 + (1-$BC$47:$BC$56)*CQ978), N($AQ$47:$AQ$56&gt;$AO978))
) / 1000</f>
        <v>0</v>
      </c>
      <c r="CW978" s="235" cm="1">
        <f t="array" ref="CW978">$BI978 * IF($AH978&lt;=2,
SUMPRODUCT(INDEX($AR$23:$AT$61,,$AI978), INDEX($AU$23:$BA$61,,$AH978), 1 / ($BB$23:$BB$61*CU978), N($AQ$23:$AQ$61&gt;$AO978)),
SUMPRODUCT(INDEX($AR$23:$AT$46,,$AI978), INDEX($AU$23:$BA$46,,$AH978), 1 / ($BC$23:$BC$46*CU978), N($AQ$23:$AQ$46&gt;$AO978))
) / 1000</f>
        <v>0</v>
      </c>
      <c r="CX978" s="230">
        <f t="shared" si="864"/>
        <v>0</v>
      </c>
      <c r="CY978" s="238"/>
    </row>
    <row r="979" spans="1:103" s="76" customFormat="1" ht="14.25" customHeight="1" x14ac:dyDescent="0.2">
      <c r="A979" s="231" t="b">
        <f t="shared" si="830"/>
        <v>0</v>
      </c>
      <c r="B979" s="245">
        <v>957</v>
      </c>
      <c r="C979" s="258"/>
      <c r="D979" s="258"/>
      <c r="E979" s="246"/>
      <c r="F979" s="247" t="str">
        <f>IF(ISBLANK(E979), "", VLOOKUP(E979, Z!$A$2:$C$4127, 3, FALSE))</f>
        <v/>
      </c>
      <c r="G979" s="248"/>
      <c r="H979" s="248"/>
      <c r="I979" s="249"/>
      <c r="J979" s="250"/>
      <c r="K979" s="259"/>
      <c r="L979" s="260"/>
      <c r="M979" s="252" t="str" cm="1">
        <f t="array" ref="M979">INDEX(Trad, 53, $A$20)</f>
        <v>Verschmutzt</v>
      </c>
      <c r="N979" s="253"/>
      <c r="O979" s="253"/>
      <c r="P979" s="254"/>
      <c r="Q979" s="251"/>
      <c r="R979" s="251"/>
      <c r="S979" s="264">
        <f t="shared" si="839"/>
        <v>0</v>
      </c>
      <c r="T979" s="252" t="str" cm="1">
        <f t="array" ref="T979">INDEX(Trad, 52, $A$20)</f>
        <v>Sauber</v>
      </c>
      <c r="U979" s="253"/>
      <c r="V979" s="253"/>
      <c r="W979" s="254"/>
      <c r="X979" s="251"/>
      <c r="Y979" s="251"/>
      <c r="Z979" s="264">
        <f t="shared" si="840"/>
        <v>0</v>
      </c>
      <c r="AA979" s="261"/>
      <c r="AB979" s="258"/>
      <c r="AC979" s="246"/>
      <c r="AD979" s="247" t="str">
        <f>IF(ISBLANK(AC979), "", VLOOKUP(AC979, Z!$A$2:$C$4127, 3, FALSE))</f>
        <v/>
      </c>
      <c r="AE979" s="262"/>
      <c r="AF979" s="263">
        <f t="shared" si="841"/>
        <v>0</v>
      </c>
      <c r="AG979" s="238"/>
      <c r="AH979" s="229">
        <f t="shared" si="865"/>
        <v>1</v>
      </c>
      <c r="AI979" s="229">
        <f t="shared" si="866"/>
        <v>1</v>
      </c>
      <c r="AJ979" s="229">
        <f t="shared" si="867"/>
        <v>0</v>
      </c>
      <c r="AK979" s="229">
        <v>0</v>
      </c>
      <c r="AL979" s="229">
        <v>0</v>
      </c>
      <c r="AM979" s="229">
        <v>1</v>
      </c>
      <c r="AN979" s="229">
        <v>0</v>
      </c>
      <c r="AO979" s="229">
        <f t="shared" si="842"/>
        <v>-100</v>
      </c>
      <c r="AP979" s="238"/>
      <c r="AQ979" s="255"/>
      <c r="AR979" s="255"/>
      <c r="AS979" s="256"/>
      <c r="AT979" s="256"/>
      <c r="AU979" s="256"/>
      <c r="AV979" s="256"/>
      <c r="AW979" s="256"/>
      <c r="AX979" s="256"/>
      <c r="AY979" s="256"/>
      <c r="AZ979" s="256"/>
      <c r="BA979" s="256"/>
      <c r="BB979" s="256"/>
      <c r="BC979" s="256"/>
      <c r="BD979" s="238"/>
      <c r="BE979" s="229" cm="1">
        <f t="array" ref="BE979">IF(ISBLANK(R979), INDEX(Use, $AH979, 4) - AM979*INDEX(Use, $AH979, 6), R979)</f>
        <v>5</v>
      </c>
      <c r="BF979" s="229">
        <f t="shared" si="843"/>
        <v>30</v>
      </c>
      <c r="BG979" s="229">
        <f t="shared" si="831"/>
        <v>13</v>
      </c>
      <c r="BH979" s="229">
        <f t="shared" si="832"/>
        <v>0</v>
      </c>
      <c r="BI979" s="234" cm="1">
        <f t="array" ref="BI979">K979/IF($L979&gt;0, INDEX($AU$23:$BA$77, $L979+20, $AH979), 1)</f>
        <v>0</v>
      </c>
      <c r="BJ979" s="230">
        <f t="shared" si="844"/>
        <v>0</v>
      </c>
      <c r="BK979" s="229">
        <v>35</v>
      </c>
      <c r="BL979" s="230">
        <f t="shared" si="845"/>
        <v>48</v>
      </c>
      <c r="BM979" s="235">
        <f t="shared" si="846"/>
        <v>2.9108720930232557</v>
      </c>
      <c r="BN979" s="235" cm="1">
        <f t="array" ref="BN979">$BI979 * SUMPRODUCT(INDEX($AR$77:$AT$82,,$AI979),INDEX($AU$77:$BA$82,,$AH979), N($AQ$77:$AQ$82&gt;$AO979)) / BM979 / 1000</f>
        <v>0</v>
      </c>
      <c r="BO979" s="232">
        <f t="shared" si="833"/>
        <v>30</v>
      </c>
      <c r="BP979" s="230">
        <f t="shared" si="847"/>
        <v>43</v>
      </c>
      <c r="BQ979" s="235">
        <f t="shared" si="848"/>
        <v>3.2938815789473681</v>
      </c>
      <c r="BR979" s="235" cm="1">
        <f t="array" ref="BR979">$BI979 * IF($AH979&lt;=2,
SUMPRODUCT(INDEX($AR$72:$AT$76,,$AI979), INDEX($AU$72:$BA$76,,$AH979), 1 / ($BB$72:$BB$76*BQ979 + (1-$BB$72:$BB$76)*BM979), N($AQ$72:$AQ$76&gt;$AO979)),
SUMPRODUCT(INDEX($AR$67:$AT$76,,$AI979), INDEX($AU$67:$BA$76,,$AH979), 1 / ($BC$67:$BC$76*BQ979 + (1-$BC$67:$BC$76)*BM979), N($AQ$67:$AQ$76&gt;$AO979))
) / 1000</f>
        <v>0</v>
      </c>
      <c r="BS979" s="232">
        <f t="shared" si="834"/>
        <v>25</v>
      </c>
      <c r="BT979" s="230">
        <f t="shared" si="849"/>
        <v>38</v>
      </c>
      <c r="BU979" s="235">
        <f t="shared" si="850"/>
        <v>3.792954545454545</v>
      </c>
      <c r="BV979" s="235" cm="1">
        <f t="array" ref="BV979">$BI979 * IF($AH979&lt;=2,
SUMPRODUCT(INDEX($AR$67:$AT$71,,$AI979), INDEX($AU$67:$BA$71,,$AH979), 1 / ($BB$67:$BB$71*BU979 + (1-$BB$67:$BB$71)*BQ979), N($AQ$67:$AQ$71&gt;$AO979)),
SUMPRODUCT(INDEX($AR$57:$AT$66,,$AI979), INDEX($AU$57:$BA$66,,$AH979), 1 / ($BC$57:$BC$66*BU979 + (1-$BC$57:$BC$66)*BQ979), N($AQ$57:$AQ$66&gt;$AO979))
) / 1000</f>
        <v>0</v>
      </c>
      <c r="BW979" s="232">
        <f t="shared" si="835"/>
        <v>20</v>
      </c>
      <c r="BX979" s="230">
        <f t="shared" si="851"/>
        <v>33</v>
      </c>
      <c r="BY979" s="235">
        <f t="shared" si="852"/>
        <v>4.4702678571428569</v>
      </c>
      <c r="BZ979" s="235" cm="1">
        <f t="array" ref="BZ979">$BI979 * IF($AH979&lt;=2,
SUMPRODUCT(INDEX($AR$62:$AT$66,,$AI979), INDEX($AU$62:$BA$66,,$AH979), 1 / ($BB$62:$BB$66*BY979 + (1-$BB$62:$BB$66)*BU979), N($AQ$62:$AQ$66&gt;$AO979)),
SUMPRODUCT(INDEX($AR$47:$AT$56,,$AI979), INDEX($AU$47:$BA$56,,$AH979), 1 / ($BC$47:$BC$56*BY979 + (1-$BC$47:$BC$56)*BU979), N($AQ$47:$AQ$56&gt;$AO979))
) / 1000</f>
        <v>0</v>
      </c>
      <c r="CA979" s="235" cm="1">
        <f t="array" ref="CA979">$BI979 * IF($AH979&lt;=2,
SUMPRODUCT(INDEX($AR$23:$AT$61,,$AI979), INDEX($AU$23:$BA$61,,$AH979), 1 / ($BB$23:$BB$61*BY979), N($AQ$23:$AQ$61&gt;$AO979)),
SUMPRODUCT(INDEX($AR$23:$AT$46,,$AI979), INDEX($AU$23:$BA$46,,$AH979), 1 / ($BC$23:$BC$46*BY979), N($AQ$23:$AQ$46&gt;$AO979))
) / 1000</f>
        <v>0</v>
      </c>
      <c r="CB979" s="230">
        <f t="shared" si="853"/>
        <v>0</v>
      </c>
      <c r="CC979" s="238"/>
      <c r="CD979" s="229" cm="1">
        <f t="array" ref="CD979">IF(ISBLANK(Y979), INDEX(Use, $AH979, 4) - AN979*INDEX(Use, $AH979, 6) - (Q979-X979), Y979)</f>
        <v>7</v>
      </c>
      <c r="CE979" s="229">
        <f t="shared" si="854"/>
        <v>32</v>
      </c>
      <c r="CF979" s="230">
        <f t="shared" si="855"/>
        <v>0</v>
      </c>
      <c r="CG979" s="229">
        <v>35</v>
      </c>
      <c r="CH979" s="230">
        <f t="shared" si="856"/>
        <v>48</v>
      </c>
      <c r="CI979" s="235">
        <f t="shared" si="857"/>
        <v>3.0748170731707316</v>
      </c>
      <c r="CJ979" s="235" cm="1">
        <f t="array" ref="CJ979">$BI979 * SUMPRODUCT(INDEX($AR$77:$AT$82,,$AI979),INDEX($AU$77:$BA$82,,$AH979), N($AQ$77:$AQ$82&gt;$AO979)) / CI979 / 1000</f>
        <v>0</v>
      </c>
      <c r="CK979" s="232">
        <f t="shared" si="836"/>
        <v>30</v>
      </c>
      <c r="CL979" s="230">
        <f t="shared" si="858"/>
        <v>43</v>
      </c>
      <c r="CM979" s="235">
        <f t="shared" si="859"/>
        <v>3.5018750000000001</v>
      </c>
      <c r="CN979" s="235" cm="1">
        <f t="array" ref="CN979">$BI979 * IF($AH979&lt;=2,
SUMPRODUCT(INDEX($AR$72:$AT$76,,$AI979), INDEX($AU$72:$BA$76,,$AH979), 1 / ($BB$72:$BB$76*CM979 + (1-$BB$72:$BB$76)*CI979), N($AQ$72:$AQ$76&gt;$AO979)),
SUMPRODUCT(INDEX($AR$67:$AT$76,,$AI979), INDEX($AU$67:$BA$76,,$AH979), 1 / ($BC$67:$BC$76*CM979 + (1-$BC$67:$BC$76)*CI979), N($AQ$67:$AQ$76&gt;$AO979))
) / 1000</f>
        <v>0</v>
      </c>
      <c r="CO979" s="232">
        <f t="shared" si="837"/>
        <v>25</v>
      </c>
      <c r="CP979" s="230">
        <f t="shared" si="860"/>
        <v>38</v>
      </c>
      <c r="CQ979" s="235">
        <f t="shared" si="861"/>
        <v>4.0666935483870965</v>
      </c>
      <c r="CR979" s="235" cm="1">
        <f t="array" ref="CR979">$BI979 * IF($AH979&lt;=2,
SUMPRODUCT(INDEX($AR$67:$AT$71,,$AI979), INDEX($AU$67:$BA$71,,$AH979), 1 / ($BB$67:$BB$71*CQ979 + (1-$BB$67:$BB$71)*CM979), N($AQ$67:$AQ$71&gt;$AO979)),
SUMPRODUCT(INDEX($AR$57:$AT$66,,$AI979), INDEX($AU$57:$BA$66,,$AH979), 1 / ($BC$57:$BC$66*CQ979 + (1-$BC$57:$BC$66)*CM979), N($AQ$57:$AQ$66&gt;$AO979))
) / 1000</f>
        <v>0</v>
      </c>
      <c r="CS979" s="232">
        <f t="shared" si="838"/>
        <v>20</v>
      </c>
      <c r="CT979" s="230">
        <f t="shared" si="862"/>
        <v>33</v>
      </c>
      <c r="CU979" s="235">
        <f t="shared" si="863"/>
        <v>4.8487499999999999</v>
      </c>
      <c r="CV979" s="235" cm="1">
        <f t="array" ref="CV979">$BI979 * IF($AH979&lt;=2,
SUMPRODUCT(INDEX($AR$62:$AT$66,,$AI979), INDEX($AU$62:$BA$66,,$AH979), 1 / ($BB$62:$BB$66*CU979 + (1-$BB$62:$BB$66)*CQ979), N($AQ$62:$AQ$66&gt;$AO979)),
SUMPRODUCT(INDEX($AR$47:$AT$56,,$AI979), INDEX($AU$47:$BA$56,,$AH979), 1 / ($BC$47:$BC$56*CU979 + (1-$BC$47:$BC$56)*CQ979), N($AQ$47:$AQ$56&gt;$AO979))
) / 1000</f>
        <v>0</v>
      </c>
      <c r="CW979" s="235" cm="1">
        <f t="array" ref="CW979">$BI979 * IF($AH979&lt;=2,
SUMPRODUCT(INDEX($AR$23:$AT$61,,$AI979), INDEX($AU$23:$BA$61,,$AH979), 1 / ($BB$23:$BB$61*CU979), N($AQ$23:$AQ$61&gt;$AO979)),
SUMPRODUCT(INDEX($AR$23:$AT$46,,$AI979), INDEX($AU$23:$BA$46,,$AH979), 1 / ($BC$23:$BC$46*CU979), N($AQ$23:$AQ$46&gt;$AO979))
) / 1000</f>
        <v>0</v>
      </c>
      <c r="CX979" s="230">
        <f t="shared" si="864"/>
        <v>0</v>
      </c>
      <c r="CY979" s="238"/>
    </row>
    <row r="980" spans="1:103" s="76" customFormat="1" ht="14.25" customHeight="1" x14ac:dyDescent="0.2">
      <c r="A980" s="231" t="b">
        <f t="shared" si="830"/>
        <v>0</v>
      </c>
      <c r="B980" s="245">
        <v>958</v>
      </c>
      <c r="C980" s="258"/>
      <c r="D980" s="258"/>
      <c r="E980" s="246"/>
      <c r="F980" s="247" t="str">
        <f>IF(ISBLANK(E980), "", VLOOKUP(E980, Z!$A$2:$C$4127, 3, FALSE))</f>
        <v/>
      </c>
      <c r="G980" s="248"/>
      <c r="H980" s="248"/>
      <c r="I980" s="249"/>
      <c r="J980" s="250"/>
      <c r="K980" s="259"/>
      <c r="L980" s="260"/>
      <c r="M980" s="252" t="str" cm="1">
        <f t="array" ref="M980">INDEX(Trad, 53, $A$20)</f>
        <v>Verschmutzt</v>
      </c>
      <c r="N980" s="253"/>
      <c r="O980" s="253"/>
      <c r="P980" s="254"/>
      <c r="Q980" s="251"/>
      <c r="R980" s="251"/>
      <c r="S980" s="264">
        <f t="shared" si="839"/>
        <v>0</v>
      </c>
      <c r="T980" s="252" t="str" cm="1">
        <f t="array" ref="T980">INDEX(Trad, 52, $A$20)</f>
        <v>Sauber</v>
      </c>
      <c r="U980" s="253"/>
      <c r="V980" s="253"/>
      <c r="W980" s="254"/>
      <c r="X980" s="251"/>
      <c r="Y980" s="251"/>
      <c r="Z980" s="264">
        <f t="shared" si="840"/>
        <v>0</v>
      </c>
      <c r="AA980" s="261"/>
      <c r="AB980" s="258"/>
      <c r="AC980" s="246"/>
      <c r="AD980" s="247" t="str">
        <f>IF(ISBLANK(AC980), "", VLOOKUP(AC980, Z!$A$2:$C$4127, 3, FALSE))</f>
        <v/>
      </c>
      <c r="AE980" s="262"/>
      <c r="AF980" s="263">
        <f t="shared" si="841"/>
        <v>0</v>
      </c>
      <c r="AG980" s="238"/>
      <c r="AH980" s="229">
        <f t="shared" si="865"/>
        <v>1</v>
      </c>
      <c r="AI980" s="229">
        <f t="shared" si="866"/>
        <v>1</v>
      </c>
      <c r="AJ980" s="229">
        <f t="shared" si="867"/>
        <v>0</v>
      </c>
      <c r="AK980" s="229">
        <v>0</v>
      </c>
      <c r="AL980" s="229">
        <v>0</v>
      </c>
      <c r="AM980" s="229">
        <v>1</v>
      </c>
      <c r="AN980" s="229">
        <v>0</v>
      </c>
      <c r="AO980" s="229">
        <f t="shared" si="842"/>
        <v>-100</v>
      </c>
      <c r="AP980" s="238"/>
      <c r="AQ980" s="255"/>
      <c r="AR980" s="255"/>
      <c r="AS980" s="256"/>
      <c r="AT980" s="256"/>
      <c r="AU980" s="256"/>
      <c r="AV980" s="256"/>
      <c r="AW980" s="256"/>
      <c r="AX980" s="256"/>
      <c r="AY980" s="256"/>
      <c r="AZ980" s="256"/>
      <c r="BA980" s="256"/>
      <c r="BB980" s="256"/>
      <c r="BC980" s="256"/>
      <c r="BD980" s="238"/>
      <c r="BE980" s="229" cm="1">
        <f t="array" ref="BE980">IF(ISBLANK(R980), INDEX(Use, $AH980, 4) - AM980*INDEX(Use, $AH980, 6), R980)</f>
        <v>5</v>
      </c>
      <c r="BF980" s="229">
        <f t="shared" si="843"/>
        <v>30</v>
      </c>
      <c r="BG980" s="229">
        <f t="shared" si="831"/>
        <v>13</v>
      </c>
      <c r="BH980" s="229">
        <f t="shared" si="832"/>
        <v>0</v>
      </c>
      <c r="BI980" s="234" cm="1">
        <f t="array" ref="BI980">K980/IF($L980&gt;0, INDEX($AU$23:$BA$77, $L980+20, $AH980), 1)</f>
        <v>0</v>
      </c>
      <c r="BJ980" s="230">
        <f t="shared" si="844"/>
        <v>0</v>
      </c>
      <c r="BK980" s="229">
        <v>35</v>
      </c>
      <c r="BL980" s="230">
        <f t="shared" si="845"/>
        <v>48</v>
      </c>
      <c r="BM980" s="235">
        <f t="shared" si="846"/>
        <v>2.9108720930232557</v>
      </c>
      <c r="BN980" s="235" cm="1">
        <f t="array" ref="BN980">$BI980 * SUMPRODUCT(INDEX($AR$77:$AT$82,,$AI980),INDEX($AU$77:$BA$82,,$AH980), N($AQ$77:$AQ$82&gt;$AO980)) / BM980 / 1000</f>
        <v>0</v>
      </c>
      <c r="BO980" s="232">
        <f t="shared" si="833"/>
        <v>30</v>
      </c>
      <c r="BP980" s="230">
        <f t="shared" si="847"/>
        <v>43</v>
      </c>
      <c r="BQ980" s="235">
        <f t="shared" si="848"/>
        <v>3.2938815789473681</v>
      </c>
      <c r="BR980" s="235" cm="1">
        <f t="array" ref="BR980">$BI980 * IF($AH980&lt;=2,
SUMPRODUCT(INDEX($AR$72:$AT$76,,$AI980), INDEX($AU$72:$BA$76,,$AH980), 1 / ($BB$72:$BB$76*BQ980 + (1-$BB$72:$BB$76)*BM980), N($AQ$72:$AQ$76&gt;$AO980)),
SUMPRODUCT(INDEX($AR$67:$AT$76,,$AI980), INDEX($AU$67:$BA$76,,$AH980), 1 / ($BC$67:$BC$76*BQ980 + (1-$BC$67:$BC$76)*BM980), N($AQ$67:$AQ$76&gt;$AO980))
) / 1000</f>
        <v>0</v>
      </c>
      <c r="BS980" s="232">
        <f t="shared" si="834"/>
        <v>25</v>
      </c>
      <c r="BT980" s="230">
        <f t="shared" si="849"/>
        <v>38</v>
      </c>
      <c r="BU980" s="235">
        <f t="shared" si="850"/>
        <v>3.792954545454545</v>
      </c>
      <c r="BV980" s="235" cm="1">
        <f t="array" ref="BV980">$BI980 * IF($AH980&lt;=2,
SUMPRODUCT(INDEX($AR$67:$AT$71,,$AI980), INDEX($AU$67:$BA$71,,$AH980), 1 / ($BB$67:$BB$71*BU980 + (1-$BB$67:$BB$71)*BQ980), N($AQ$67:$AQ$71&gt;$AO980)),
SUMPRODUCT(INDEX($AR$57:$AT$66,,$AI980), INDEX($AU$57:$BA$66,,$AH980), 1 / ($BC$57:$BC$66*BU980 + (1-$BC$57:$BC$66)*BQ980), N($AQ$57:$AQ$66&gt;$AO980))
) / 1000</f>
        <v>0</v>
      </c>
      <c r="BW980" s="232">
        <f t="shared" si="835"/>
        <v>20</v>
      </c>
      <c r="BX980" s="230">
        <f t="shared" si="851"/>
        <v>33</v>
      </c>
      <c r="BY980" s="235">
        <f t="shared" si="852"/>
        <v>4.4702678571428569</v>
      </c>
      <c r="BZ980" s="235" cm="1">
        <f t="array" ref="BZ980">$BI980 * IF($AH980&lt;=2,
SUMPRODUCT(INDEX($AR$62:$AT$66,,$AI980), INDEX($AU$62:$BA$66,,$AH980), 1 / ($BB$62:$BB$66*BY980 + (1-$BB$62:$BB$66)*BU980), N($AQ$62:$AQ$66&gt;$AO980)),
SUMPRODUCT(INDEX($AR$47:$AT$56,,$AI980), INDEX($AU$47:$BA$56,,$AH980), 1 / ($BC$47:$BC$56*BY980 + (1-$BC$47:$BC$56)*BU980), N($AQ$47:$AQ$56&gt;$AO980))
) / 1000</f>
        <v>0</v>
      </c>
      <c r="CA980" s="235" cm="1">
        <f t="array" ref="CA980">$BI980 * IF($AH980&lt;=2,
SUMPRODUCT(INDEX($AR$23:$AT$61,,$AI980), INDEX($AU$23:$BA$61,,$AH980), 1 / ($BB$23:$BB$61*BY980), N($AQ$23:$AQ$61&gt;$AO980)),
SUMPRODUCT(INDEX($AR$23:$AT$46,,$AI980), INDEX($AU$23:$BA$46,,$AH980), 1 / ($BC$23:$BC$46*BY980), N($AQ$23:$AQ$46&gt;$AO980))
) / 1000</f>
        <v>0</v>
      </c>
      <c r="CB980" s="230">
        <f t="shared" si="853"/>
        <v>0</v>
      </c>
      <c r="CC980" s="238"/>
      <c r="CD980" s="229" cm="1">
        <f t="array" ref="CD980">IF(ISBLANK(Y980), INDEX(Use, $AH980, 4) - AN980*INDEX(Use, $AH980, 6) - (Q980-X980), Y980)</f>
        <v>7</v>
      </c>
      <c r="CE980" s="229">
        <f t="shared" si="854"/>
        <v>32</v>
      </c>
      <c r="CF980" s="230">
        <f t="shared" si="855"/>
        <v>0</v>
      </c>
      <c r="CG980" s="229">
        <v>35</v>
      </c>
      <c r="CH980" s="230">
        <f t="shared" si="856"/>
        <v>48</v>
      </c>
      <c r="CI980" s="235">
        <f t="shared" si="857"/>
        <v>3.0748170731707316</v>
      </c>
      <c r="CJ980" s="235" cm="1">
        <f t="array" ref="CJ980">$BI980 * SUMPRODUCT(INDEX($AR$77:$AT$82,,$AI980),INDEX($AU$77:$BA$82,,$AH980), N($AQ$77:$AQ$82&gt;$AO980)) / CI980 / 1000</f>
        <v>0</v>
      </c>
      <c r="CK980" s="232">
        <f t="shared" si="836"/>
        <v>30</v>
      </c>
      <c r="CL980" s="230">
        <f t="shared" si="858"/>
        <v>43</v>
      </c>
      <c r="CM980" s="235">
        <f t="shared" si="859"/>
        <v>3.5018750000000001</v>
      </c>
      <c r="CN980" s="235" cm="1">
        <f t="array" ref="CN980">$BI980 * IF($AH980&lt;=2,
SUMPRODUCT(INDEX($AR$72:$AT$76,,$AI980), INDEX($AU$72:$BA$76,,$AH980), 1 / ($BB$72:$BB$76*CM980 + (1-$BB$72:$BB$76)*CI980), N($AQ$72:$AQ$76&gt;$AO980)),
SUMPRODUCT(INDEX($AR$67:$AT$76,,$AI980), INDEX($AU$67:$BA$76,,$AH980), 1 / ($BC$67:$BC$76*CM980 + (1-$BC$67:$BC$76)*CI980), N($AQ$67:$AQ$76&gt;$AO980))
) / 1000</f>
        <v>0</v>
      </c>
      <c r="CO980" s="232">
        <f t="shared" si="837"/>
        <v>25</v>
      </c>
      <c r="CP980" s="230">
        <f t="shared" si="860"/>
        <v>38</v>
      </c>
      <c r="CQ980" s="235">
        <f t="shared" si="861"/>
        <v>4.0666935483870965</v>
      </c>
      <c r="CR980" s="235" cm="1">
        <f t="array" ref="CR980">$BI980 * IF($AH980&lt;=2,
SUMPRODUCT(INDEX($AR$67:$AT$71,,$AI980), INDEX($AU$67:$BA$71,,$AH980), 1 / ($BB$67:$BB$71*CQ980 + (1-$BB$67:$BB$71)*CM980), N($AQ$67:$AQ$71&gt;$AO980)),
SUMPRODUCT(INDEX($AR$57:$AT$66,,$AI980), INDEX($AU$57:$BA$66,,$AH980), 1 / ($BC$57:$BC$66*CQ980 + (1-$BC$57:$BC$66)*CM980), N($AQ$57:$AQ$66&gt;$AO980))
) / 1000</f>
        <v>0</v>
      </c>
      <c r="CS980" s="232">
        <f t="shared" si="838"/>
        <v>20</v>
      </c>
      <c r="CT980" s="230">
        <f t="shared" si="862"/>
        <v>33</v>
      </c>
      <c r="CU980" s="235">
        <f t="shared" si="863"/>
        <v>4.8487499999999999</v>
      </c>
      <c r="CV980" s="235" cm="1">
        <f t="array" ref="CV980">$BI980 * IF($AH980&lt;=2,
SUMPRODUCT(INDEX($AR$62:$AT$66,,$AI980), INDEX($AU$62:$BA$66,,$AH980), 1 / ($BB$62:$BB$66*CU980 + (1-$BB$62:$BB$66)*CQ980), N($AQ$62:$AQ$66&gt;$AO980)),
SUMPRODUCT(INDEX($AR$47:$AT$56,,$AI980), INDEX($AU$47:$BA$56,,$AH980), 1 / ($BC$47:$BC$56*CU980 + (1-$BC$47:$BC$56)*CQ980), N($AQ$47:$AQ$56&gt;$AO980))
) / 1000</f>
        <v>0</v>
      </c>
      <c r="CW980" s="235" cm="1">
        <f t="array" ref="CW980">$BI980 * IF($AH980&lt;=2,
SUMPRODUCT(INDEX($AR$23:$AT$61,,$AI980), INDEX($AU$23:$BA$61,,$AH980), 1 / ($BB$23:$BB$61*CU980), N($AQ$23:$AQ$61&gt;$AO980)),
SUMPRODUCT(INDEX($AR$23:$AT$46,,$AI980), INDEX($AU$23:$BA$46,,$AH980), 1 / ($BC$23:$BC$46*CU980), N($AQ$23:$AQ$46&gt;$AO980))
) / 1000</f>
        <v>0</v>
      </c>
      <c r="CX980" s="230">
        <f t="shared" si="864"/>
        <v>0</v>
      </c>
      <c r="CY980" s="238"/>
    </row>
    <row r="981" spans="1:103" s="76" customFormat="1" ht="14.25" customHeight="1" x14ac:dyDescent="0.2">
      <c r="A981" s="231" t="b">
        <f t="shared" si="830"/>
        <v>0</v>
      </c>
      <c r="B981" s="245">
        <v>959</v>
      </c>
      <c r="C981" s="258"/>
      <c r="D981" s="258"/>
      <c r="E981" s="246"/>
      <c r="F981" s="247" t="str">
        <f>IF(ISBLANK(E981), "", VLOOKUP(E981, Z!$A$2:$C$4127, 3, FALSE))</f>
        <v/>
      </c>
      <c r="G981" s="248"/>
      <c r="H981" s="248"/>
      <c r="I981" s="249"/>
      <c r="J981" s="250"/>
      <c r="K981" s="259"/>
      <c r="L981" s="260"/>
      <c r="M981" s="252" t="str" cm="1">
        <f t="array" ref="M981">INDEX(Trad, 53, $A$20)</f>
        <v>Verschmutzt</v>
      </c>
      <c r="N981" s="253"/>
      <c r="O981" s="253"/>
      <c r="P981" s="254"/>
      <c r="Q981" s="251"/>
      <c r="R981" s="251"/>
      <c r="S981" s="264">
        <f t="shared" si="839"/>
        <v>0</v>
      </c>
      <c r="T981" s="252" t="str" cm="1">
        <f t="array" ref="T981">INDEX(Trad, 52, $A$20)</f>
        <v>Sauber</v>
      </c>
      <c r="U981" s="253"/>
      <c r="V981" s="253"/>
      <c r="W981" s="254"/>
      <c r="X981" s="251"/>
      <c r="Y981" s="251"/>
      <c r="Z981" s="264">
        <f t="shared" si="840"/>
        <v>0</v>
      </c>
      <c r="AA981" s="261"/>
      <c r="AB981" s="258"/>
      <c r="AC981" s="246"/>
      <c r="AD981" s="247" t="str">
        <f>IF(ISBLANK(AC981), "", VLOOKUP(AC981, Z!$A$2:$C$4127, 3, FALSE))</f>
        <v/>
      </c>
      <c r="AE981" s="262"/>
      <c r="AF981" s="263">
        <f t="shared" si="841"/>
        <v>0</v>
      </c>
      <c r="AG981" s="238"/>
      <c r="AH981" s="229">
        <f t="shared" si="865"/>
        <v>1</v>
      </c>
      <c r="AI981" s="229">
        <f t="shared" si="866"/>
        <v>1</v>
      </c>
      <c r="AJ981" s="229">
        <f t="shared" si="867"/>
        <v>0</v>
      </c>
      <c r="AK981" s="229">
        <v>0</v>
      </c>
      <c r="AL981" s="229">
        <v>0</v>
      </c>
      <c r="AM981" s="229">
        <v>1</v>
      </c>
      <c r="AN981" s="229">
        <v>0</v>
      </c>
      <c r="AO981" s="229">
        <f t="shared" si="842"/>
        <v>-100</v>
      </c>
      <c r="AP981" s="238"/>
      <c r="AQ981" s="255"/>
      <c r="AR981" s="255"/>
      <c r="AS981" s="256"/>
      <c r="AT981" s="256"/>
      <c r="AU981" s="256"/>
      <c r="AV981" s="256"/>
      <c r="AW981" s="256"/>
      <c r="AX981" s="256"/>
      <c r="AY981" s="256"/>
      <c r="AZ981" s="256"/>
      <c r="BA981" s="256"/>
      <c r="BB981" s="256"/>
      <c r="BC981" s="256"/>
      <c r="BD981" s="238"/>
      <c r="BE981" s="229" cm="1">
        <f t="array" ref="BE981">IF(ISBLANK(R981), INDEX(Use, $AH981, 4) - AM981*INDEX(Use, $AH981, 6), R981)</f>
        <v>5</v>
      </c>
      <c r="BF981" s="229">
        <f t="shared" si="843"/>
        <v>30</v>
      </c>
      <c r="BG981" s="229">
        <f t="shared" si="831"/>
        <v>13</v>
      </c>
      <c r="BH981" s="229">
        <f t="shared" si="832"/>
        <v>0</v>
      </c>
      <c r="BI981" s="234" cm="1">
        <f t="array" ref="BI981">K981/IF($L981&gt;0, INDEX($AU$23:$BA$77, $L981+20, $AH981), 1)</f>
        <v>0</v>
      </c>
      <c r="BJ981" s="230">
        <f t="shared" si="844"/>
        <v>0</v>
      </c>
      <c r="BK981" s="229">
        <v>35</v>
      </c>
      <c r="BL981" s="230">
        <f t="shared" si="845"/>
        <v>48</v>
      </c>
      <c r="BM981" s="235">
        <f t="shared" si="846"/>
        <v>2.9108720930232557</v>
      </c>
      <c r="BN981" s="235" cm="1">
        <f t="array" ref="BN981">$BI981 * SUMPRODUCT(INDEX($AR$77:$AT$82,,$AI981),INDEX($AU$77:$BA$82,,$AH981), N($AQ$77:$AQ$82&gt;$AO981)) / BM981 / 1000</f>
        <v>0</v>
      </c>
      <c r="BO981" s="232">
        <f t="shared" si="833"/>
        <v>30</v>
      </c>
      <c r="BP981" s="230">
        <f t="shared" si="847"/>
        <v>43</v>
      </c>
      <c r="BQ981" s="235">
        <f t="shared" si="848"/>
        <v>3.2938815789473681</v>
      </c>
      <c r="BR981" s="235" cm="1">
        <f t="array" ref="BR981">$BI981 * IF($AH981&lt;=2,
SUMPRODUCT(INDEX($AR$72:$AT$76,,$AI981), INDEX($AU$72:$BA$76,,$AH981), 1 / ($BB$72:$BB$76*BQ981 + (1-$BB$72:$BB$76)*BM981), N($AQ$72:$AQ$76&gt;$AO981)),
SUMPRODUCT(INDEX($AR$67:$AT$76,,$AI981), INDEX($AU$67:$BA$76,,$AH981), 1 / ($BC$67:$BC$76*BQ981 + (1-$BC$67:$BC$76)*BM981), N($AQ$67:$AQ$76&gt;$AO981))
) / 1000</f>
        <v>0</v>
      </c>
      <c r="BS981" s="232">
        <f t="shared" si="834"/>
        <v>25</v>
      </c>
      <c r="BT981" s="230">
        <f t="shared" si="849"/>
        <v>38</v>
      </c>
      <c r="BU981" s="235">
        <f t="shared" si="850"/>
        <v>3.792954545454545</v>
      </c>
      <c r="BV981" s="235" cm="1">
        <f t="array" ref="BV981">$BI981 * IF($AH981&lt;=2,
SUMPRODUCT(INDEX($AR$67:$AT$71,,$AI981), INDEX($AU$67:$BA$71,,$AH981), 1 / ($BB$67:$BB$71*BU981 + (1-$BB$67:$BB$71)*BQ981), N($AQ$67:$AQ$71&gt;$AO981)),
SUMPRODUCT(INDEX($AR$57:$AT$66,,$AI981), INDEX($AU$57:$BA$66,,$AH981), 1 / ($BC$57:$BC$66*BU981 + (1-$BC$57:$BC$66)*BQ981), N($AQ$57:$AQ$66&gt;$AO981))
) / 1000</f>
        <v>0</v>
      </c>
      <c r="BW981" s="232">
        <f t="shared" si="835"/>
        <v>20</v>
      </c>
      <c r="BX981" s="230">
        <f t="shared" si="851"/>
        <v>33</v>
      </c>
      <c r="BY981" s="235">
        <f t="shared" si="852"/>
        <v>4.4702678571428569</v>
      </c>
      <c r="BZ981" s="235" cm="1">
        <f t="array" ref="BZ981">$BI981 * IF($AH981&lt;=2,
SUMPRODUCT(INDEX($AR$62:$AT$66,,$AI981), INDEX($AU$62:$BA$66,,$AH981), 1 / ($BB$62:$BB$66*BY981 + (1-$BB$62:$BB$66)*BU981), N($AQ$62:$AQ$66&gt;$AO981)),
SUMPRODUCT(INDEX($AR$47:$AT$56,,$AI981), INDEX($AU$47:$BA$56,,$AH981), 1 / ($BC$47:$BC$56*BY981 + (1-$BC$47:$BC$56)*BU981), N($AQ$47:$AQ$56&gt;$AO981))
) / 1000</f>
        <v>0</v>
      </c>
      <c r="CA981" s="235" cm="1">
        <f t="array" ref="CA981">$BI981 * IF($AH981&lt;=2,
SUMPRODUCT(INDEX($AR$23:$AT$61,,$AI981), INDEX($AU$23:$BA$61,,$AH981), 1 / ($BB$23:$BB$61*BY981), N($AQ$23:$AQ$61&gt;$AO981)),
SUMPRODUCT(INDEX($AR$23:$AT$46,,$AI981), INDEX($AU$23:$BA$46,,$AH981), 1 / ($BC$23:$BC$46*BY981), N($AQ$23:$AQ$46&gt;$AO981))
) / 1000</f>
        <v>0</v>
      </c>
      <c r="CB981" s="230">
        <f t="shared" si="853"/>
        <v>0</v>
      </c>
      <c r="CC981" s="238"/>
      <c r="CD981" s="229" cm="1">
        <f t="array" ref="CD981">IF(ISBLANK(Y981), INDEX(Use, $AH981, 4) - AN981*INDEX(Use, $AH981, 6) - (Q981-X981), Y981)</f>
        <v>7</v>
      </c>
      <c r="CE981" s="229">
        <f t="shared" si="854"/>
        <v>32</v>
      </c>
      <c r="CF981" s="230">
        <f t="shared" si="855"/>
        <v>0</v>
      </c>
      <c r="CG981" s="229">
        <v>35</v>
      </c>
      <c r="CH981" s="230">
        <f t="shared" si="856"/>
        <v>48</v>
      </c>
      <c r="CI981" s="235">
        <f t="shared" si="857"/>
        <v>3.0748170731707316</v>
      </c>
      <c r="CJ981" s="235" cm="1">
        <f t="array" ref="CJ981">$BI981 * SUMPRODUCT(INDEX($AR$77:$AT$82,,$AI981),INDEX($AU$77:$BA$82,,$AH981), N($AQ$77:$AQ$82&gt;$AO981)) / CI981 / 1000</f>
        <v>0</v>
      </c>
      <c r="CK981" s="232">
        <f t="shared" si="836"/>
        <v>30</v>
      </c>
      <c r="CL981" s="230">
        <f t="shared" si="858"/>
        <v>43</v>
      </c>
      <c r="CM981" s="235">
        <f t="shared" si="859"/>
        <v>3.5018750000000001</v>
      </c>
      <c r="CN981" s="235" cm="1">
        <f t="array" ref="CN981">$BI981 * IF($AH981&lt;=2,
SUMPRODUCT(INDEX($AR$72:$AT$76,,$AI981), INDEX($AU$72:$BA$76,,$AH981), 1 / ($BB$72:$BB$76*CM981 + (1-$BB$72:$BB$76)*CI981), N($AQ$72:$AQ$76&gt;$AO981)),
SUMPRODUCT(INDEX($AR$67:$AT$76,,$AI981), INDEX($AU$67:$BA$76,,$AH981), 1 / ($BC$67:$BC$76*CM981 + (1-$BC$67:$BC$76)*CI981), N($AQ$67:$AQ$76&gt;$AO981))
) / 1000</f>
        <v>0</v>
      </c>
      <c r="CO981" s="232">
        <f t="shared" si="837"/>
        <v>25</v>
      </c>
      <c r="CP981" s="230">
        <f t="shared" si="860"/>
        <v>38</v>
      </c>
      <c r="CQ981" s="235">
        <f t="shared" si="861"/>
        <v>4.0666935483870965</v>
      </c>
      <c r="CR981" s="235" cm="1">
        <f t="array" ref="CR981">$BI981 * IF($AH981&lt;=2,
SUMPRODUCT(INDEX($AR$67:$AT$71,,$AI981), INDEX($AU$67:$BA$71,,$AH981), 1 / ($BB$67:$BB$71*CQ981 + (1-$BB$67:$BB$71)*CM981), N($AQ$67:$AQ$71&gt;$AO981)),
SUMPRODUCT(INDEX($AR$57:$AT$66,,$AI981), INDEX($AU$57:$BA$66,,$AH981), 1 / ($BC$57:$BC$66*CQ981 + (1-$BC$57:$BC$66)*CM981), N($AQ$57:$AQ$66&gt;$AO981))
) / 1000</f>
        <v>0</v>
      </c>
      <c r="CS981" s="232">
        <f t="shared" si="838"/>
        <v>20</v>
      </c>
      <c r="CT981" s="230">
        <f t="shared" si="862"/>
        <v>33</v>
      </c>
      <c r="CU981" s="235">
        <f t="shared" si="863"/>
        <v>4.8487499999999999</v>
      </c>
      <c r="CV981" s="235" cm="1">
        <f t="array" ref="CV981">$BI981 * IF($AH981&lt;=2,
SUMPRODUCT(INDEX($AR$62:$AT$66,,$AI981), INDEX($AU$62:$BA$66,,$AH981), 1 / ($BB$62:$BB$66*CU981 + (1-$BB$62:$BB$66)*CQ981), N($AQ$62:$AQ$66&gt;$AO981)),
SUMPRODUCT(INDEX($AR$47:$AT$56,,$AI981), INDEX($AU$47:$BA$56,,$AH981), 1 / ($BC$47:$BC$56*CU981 + (1-$BC$47:$BC$56)*CQ981), N($AQ$47:$AQ$56&gt;$AO981))
) / 1000</f>
        <v>0</v>
      </c>
      <c r="CW981" s="235" cm="1">
        <f t="array" ref="CW981">$BI981 * IF($AH981&lt;=2,
SUMPRODUCT(INDEX($AR$23:$AT$61,,$AI981), INDEX($AU$23:$BA$61,,$AH981), 1 / ($BB$23:$BB$61*CU981), N($AQ$23:$AQ$61&gt;$AO981)),
SUMPRODUCT(INDEX($AR$23:$AT$46,,$AI981), INDEX($AU$23:$BA$46,,$AH981), 1 / ($BC$23:$BC$46*CU981), N($AQ$23:$AQ$46&gt;$AO981))
) / 1000</f>
        <v>0</v>
      </c>
      <c r="CX981" s="230">
        <f t="shared" si="864"/>
        <v>0</v>
      </c>
      <c r="CY981" s="238"/>
    </row>
    <row r="982" spans="1:103" s="76" customFormat="1" ht="14.25" customHeight="1" x14ac:dyDescent="0.2">
      <c r="A982" s="231" t="b">
        <f t="shared" ref="A982:A1022" si="868">IF(OR(AND($K982&gt;80, $AH982=1), AND($K982&gt;40, $AH982=3), AND($K982&gt;30, $AH982=4),), TRUE, FALSE)</f>
        <v>0</v>
      </c>
      <c r="B982" s="245">
        <v>960</v>
      </c>
      <c r="C982" s="258"/>
      <c r="D982" s="258"/>
      <c r="E982" s="246"/>
      <c r="F982" s="247" t="str">
        <f>IF(ISBLANK(E982), "", VLOOKUP(E982, Z!$A$2:$C$4127, 3, FALSE))</f>
        <v/>
      </c>
      <c r="G982" s="248"/>
      <c r="H982" s="248"/>
      <c r="I982" s="249"/>
      <c r="J982" s="250"/>
      <c r="K982" s="259"/>
      <c r="L982" s="260"/>
      <c r="M982" s="252" t="str" cm="1">
        <f t="array" ref="M982">INDEX(Trad, 53, $A$20)</f>
        <v>Verschmutzt</v>
      </c>
      <c r="N982" s="253"/>
      <c r="O982" s="253"/>
      <c r="P982" s="254"/>
      <c r="Q982" s="251"/>
      <c r="R982" s="251"/>
      <c r="S982" s="264">
        <f t="shared" si="839"/>
        <v>0</v>
      </c>
      <c r="T982" s="252" t="str" cm="1">
        <f t="array" ref="T982">INDEX(Trad, 52, $A$20)</f>
        <v>Sauber</v>
      </c>
      <c r="U982" s="253"/>
      <c r="V982" s="253"/>
      <c r="W982" s="254"/>
      <c r="X982" s="251"/>
      <c r="Y982" s="251"/>
      <c r="Z982" s="264">
        <f t="shared" si="840"/>
        <v>0</v>
      </c>
      <c r="AA982" s="261"/>
      <c r="AB982" s="258"/>
      <c r="AC982" s="246"/>
      <c r="AD982" s="247" t="str">
        <f>IF(ISBLANK(AC982), "", VLOOKUP(AC982, Z!$A$2:$C$4127, 3, FALSE))</f>
        <v/>
      </c>
      <c r="AE982" s="262"/>
      <c r="AF982" s="263">
        <f t="shared" si="841"/>
        <v>0</v>
      </c>
      <c r="AG982" s="238"/>
      <c r="AH982" s="229">
        <f t="shared" si="865"/>
        <v>1</v>
      </c>
      <c r="AI982" s="229">
        <f t="shared" si="866"/>
        <v>1</v>
      </c>
      <c r="AJ982" s="229">
        <f t="shared" si="867"/>
        <v>0</v>
      </c>
      <c r="AK982" s="229">
        <v>0</v>
      </c>
      <c r="AL982" s="229">
        <v>0</v>
      </c>
      <c r="AM982" s="229">
        <v>1</v>
      </c>
      <c r="AN982" s="229">
        <v>0</v>
      </c>
      <c r="AO982" s="229">
        <f t="shared" si="842"/>
        <v>-100</v>
      </c>
      <c r="AP982" s="238"/>
      <c r="AQ982" s="255"/>
      <c r="AR982" s="255"/>
      <c r="AS982" s="256"/>
      <c r="AT982" s="256"/>
      <c r="AU982" s="256"/>
      <c r="AV982" s="256"/>
      <c r="AW982" s="256"/>
      <c r="AX982" s="256"/>
      <c r="AY982" s="256"/>
      <c r="AZ982" s="256"/>
      <c r="BA982" s="256"/>
      <c r="BB982" s="256"/>
      <c r="BC982" s="256"/>
      <c r="BD982" s="238"/>
      <c r="BE982" s="229" cm="1">
        <f t="array" ref="BE982">IF(ISBLANK(R982), INDEX(Use, $AH982, 4) - AM982*INDEX(Use, $AH982, 6), R982)</f>
        <v>5</v>
      </c>
      <c r="BF982" s="229">
        <f t="shared" si="843"/>
        <v>30</v>
      </c>
      <c r="BG982" s="229">
        <f t="shared" si="831"/>
        <v>13</v>
      </c>
      <c r="BH982" s="229">
        <f t="shared" si="832"/>
        <v>0</v>
      </c>
      <c r="BI982" s="234" cm="1">
        <f t="array" ref="BI982">K982/IF($L982&gt;0, INDEX($AU$23:$BA$77, $L982+20, $AH982), 1)</f>
        <v>0</v>
      </c>
      <c r="BJ982" s="230">
        <f t="shared" si="844"/>
        <v>0</v>
      </c>
      <c r="BK982" s="229">
        <v>35</v>
      </c>
      <c r="BL982" s="230">
        <f t="shared" si="845"/>
        <v>48</v>
      </c>
      <c r="BM982" s="235">
        <f t="shared" si="846"/>
        <v>2.9108720930232557</v>
      </c>
      <c r="BN982" s="235" cm="1">
        <f t="array" ref="BN982">$BI982 * SUMPRODUCT(INDEX($AR$77:$AT$82,,$AI982),INDEX($AU$77:$BA$82,,$AH982), N($AQ$77:$AQ$82&gt;$AO982)) / BM982 / 1000</f>
        <v>0</v>
      </c>
      <c r="BO982" s="232">
        <f t="shared" si="833"/>
        <v>30</v>
      </c>
      <c r="BP982" s="230">
        <f t="shared" si="847"/>
        <v>43</v>
      </c>
      <c r="BQ982" s="235">
        <f t="shared" si="848"/>
        <v>3.2938815789473681</v>
      </c>
      <c r="BR982" s="235" cm="1">
        <f t="array" ref="BR982">$BI982 * IF($AH982&lt;=2,
SUMPRODUCT(INDEX($AR$72:$AT$76,,$AI982), INDEX($AU$72:$BA$76,,$AH982), 1 / ($BB$72:$BB$76*BQ982 + (1-$BB$72:$BB$76)*BM982), N($AQ$72:$AQ$76&gt;$AO982)),
SUMPRODUCT(INDEX($AR$67:$AT$76,,$AI982), INDEX($AU$67:$BA$76,,$AH982), 1 / ($BC$67:$BC$76*BQ982 + (1-$BC$67:$BC$76)*BM982), N($AQ$67:$AQ$76&gt;$AO982))
) / 1000</f>
        <v>0</v>
      </c>
      <c r="BS982" s="232">
        <f t="shared" si="834"/>
        <v>25</v>
      </c>
      <c r="BT982" s="230">
        <f t="shared" si="849"/>
        <v>38</v>
      </c>
      <c r="BU982" s="235">
        <f t="shared" si="850"/>
        <v>3.792954545454545</v>
      </c>
      <c r="BV982" s="235" cm="1">
        <f t="array" ref="BV982">$BI982 * IF($AH982&lt;=2,
SUMPRODUCT(INDEX($AR$67:$AT$71,,$AI982), INDEX($AU$67:$BA$71,,$AH982), 1 / ($BB$67:$BB$71*BU982 + (1-$BB$67:$BB$71)*BQ982), N($AQ$67:$AQ$71&gt;$AO982)),
SUMPRODUCT(INDEX($AR$57:$AT$66,,$AI982), INDEX($AU$57:$BA$66,,$AH982), 1 / ($BC$57:$BC$66*BU982 + (1-$BC$57:$BC$66)*BQ982), N($AQ$57:$AQ$66&gt;$AO982))
) / 1000</f>
        <v>0</v>
      </c>
      <c r="BW982" s="232">
        <f t="shared" si="835"/>
        <v>20</v>
      </c>
      <c r="BX982" s="230">
        <f t="shared" si="851"/>
        <v>33</v>
      </c>
      <c r="BY982" s="235">
        <f t="shared" si="852"/>
        <v>4.4702678571428569</v>
      </c>
      <c r="BZ982" s="235" cm="1">
        <f t="array" ref="BZ982">$BI982 * IF($AH982&lt;=2,
SUMPRODUCT(INDEX($AR$62:$AT$66,,$AI982), INDEX($AU$62:$BA$66,,$AH982), 1 / ($BB$62:$BB$66*BY982 + (1-$BB$62:$BB$66)*BU982), N($AQ$62:$AQ$66&gt;$AO982)),
SUMPRODUCT(INDEX($AR$47:$AT$56,,$AI982), INDEX($AU$47:$BA$56,,$AH982), 1 / ($BC$47:$BC$56*BY982 + (1-$BC$47:$BC$56)*BU982), N($AQ$47:$AQ$56&gt;$AO982))
) / 1000</f>
        <v>0</v>
      </c>
      <c r="CA982" s="235" cm="1">
        <f t="array" ref="CA982">$BI982 * IF($AH982&lt;=2,
SUMPRODUCT(INDEX($AR$23:$AT$61,,$AI982), INDEX($AU$23:$BA$61,,$AH982), 1 / ($BB$23:$BB$61*BY982), N($AQ$23:$AQ$61&gt;$AO982)),
SUMPRODUCT(INDEX($AR$23:$AT$46,,$AI982), INDEX($AU$23:$BA$46,,$AH982), 1 / ($BC$23:$BC$46*BY982), N($AQ$23:$AQ$46&gt;$AO982))
) / 1000</f>
        <v>0</v>
      </c>
      <c r="CB982" s="230">
        <f t="shared" si="853"/>
        <v>0</v>
      </c>
      <c r="CC982" s="238"/>
      <c r="CD982" s="229" cm="1">
        <f t="array" ref="CD982">IF(ISBLANK(Y982), INDEX(Use, $AH982, 4) - AN982*INDEX(Use, $AH982, 6) - (Q982-X982), Y982)</f>
        <v>7</v>
      </c>
      <c r="CE982" s="229">
        <f t="shared" si="854"/>
        <v>32</v>
      </c>
      <c r="CF982" s="230">
        <f t="shared" si="855"/>
        <v>0</v>
      </c>
      <c r="CG982" s="229">
        <v>35</v>
      </c>
      <c r="CH982" s="230">
        <f t="shared" si="856"/>
        <v>48</v>
      </c>
      <c r="CI982" s="235">
        <f t="shared" si="857"/>
        <v>3.0748170731707316</v>
      </c>
      <c r="CJ982" s="235" cm="1">
        <f t="array" ref="CJ982">$BI982 * SUMPRODUCT(INDEX($AR$77:$AT$82,,$AI982),INDEX($AU$77:$BA$82,,$AH982), N($AQ$77:$AQ$82&gt;$AO982)) / CI982 / 1000</f>
        <v>0</v>
      </c>
      <c r="CK982" s="232">
        <f t="shared" si="836"/>
        <v>30</v>
      </c>
      <c r="CL982" s="230">
        <f t="shared" si="858"/>
        <v>43</v>
      </c>
      <c r="CM982" s="235">
        <f t="shared" si="859"/>
        <v>3.5018750000000001</v>
      </c>
      <c r="CN982" s="235" cm="1">
        <f t="array" ref="CN982">$BI982 * IF($AH982&lt;=2,
SUMPRODUCT(INDEX($AR$72:$AT$76,,$AI982), INDEX($AU$72:$BA$76,,$AH982), 1 / ($BB$72:$BB$76*CM982 + (1-$BB$72:$BB$76)*CI982), N($AQ$72:$AQ$76&gt;$AO982)),
SUMPRODUCT(INDEX($AR$67:$AT$76,,$AI982), INDEX($AU$67:$BA$76,,$AH982), 1 / ($BC$67:$BC$76*CM982 + (1-$BC$67:$BC$76)*CI982), N($AQ$67:$AQ$76&gt;$AO982))
) / 1000</f>
        <v>0</v>
      </c>
      <c r="CO982" s="232">
        <f t="shared" si="837"/>
        <v>25</v>
      </c>
      <c r="CP982" s="230">
        <f t="shared" si="860"/>
        <v>38</v>
      </c>
      <c r="CQ982" s="235">
        <f t="shared" si="861"/>
        <v>4.0666935483870965</v>
      </c>
      <c r="CR982" s="235" cm="1">
        <f t="array" ref="CR982">$BI982 * IF($AH982&lt;=2,
SUMPRODUCT(INDEX($AR$67:$AT$71,,$AI982), INDEX($AU$67:$BA$71,,$AH982), 1 / ($BB$67:$BB$71*CQ982 + (1-$BB$67:$BB$71)*CM982), N($AQ$67:$AQ$71&gt;$AO982)),
SUMPRODUCT(INDEX($AR$57:$AT$66,,$AI982), INDEX($AU$57:$BA$66,,$AH982), 1 / ($BC$57:$BC$66*CQ982 + (1-$BC$57:$BC$66)*CM982), N($AQ$57:$AQ$66&gt;$AO982))
) / 1000</f>
        <v>0</v>
      </c>
      <c r="CS982" s="232">
        <f t="shared" si="838"/>
        <v>20</v>
      </c>
      <c r="CT982" s="230">
        <f t="shared" si="862"/>
        <v>33</v>
      </c>
      <c r="CU982" s="235">
        <f t="shared" si="863"/>
        <v>4.8487499999999999</v>
      </c>
      <c r="CV982" s="235" cm="1">
        <f t="array" ref="CV982">$BI982 * IF($AH982&lt;=2,
SUMPRODUCT(INDEX($AR$62:$AT$66,,$AI982), INDEX($AU$62:$BA$66,,$AH982), 1 / ($BB$62:$BB$66*CU982 + (1-$BB$62:$BB$66)*CQ982), N($AQ$62:$AQ$66&gt;$AO982)),
SUMPRODUCT(INDEX($AR$47:$AT$56,,$AI982), INDEX($AU$47:$BA$56,,$AH982), 1 / ($BC$47:$BC$56*CU982 + (1-$BC$47:$BC$56)*CQ982), N($AQ$47:$AQ$56&gt;$AO982))
) / 1000</f>
        <v>0</v>
      </c>
      <c r="CW982" s="235" cm="1">
        <f t="array" ref="CW982">$BI982 * IF($AH982&lt;=2,
SUMPRODUCT(INDEX($AR$23:$AT$61,,$AI982), INDEX($AU$23:$BA$61,,$AH982), 1 / ($BB$23:$BB$61*CU982), N($AQ$23:$AQ$61&gt;$AO982)),
SUMPRODUCT(INDEX($AR$23:$AT$46,,$AI982), INDEX($AU$23:$BA$46,,$AH982), 1 / ($BC$23:$BC$46*CU982), N($AQ$23:$AQ$46&gt;$AO982))
) / 1000</f>
        <v>0</v>
      </c>
      <c r="CX982" s="230">
        <f t="shared" si="864"/>
        <v>0</v>
      </c>
      <c r="CY982" s="238"/>
    </row>
    <row r="983" spans="1:103" s="76" customFormat="1" ht="14.25" customHeight="1" x14ac:dyDescent="0.2">
      <c r="A983" s="231" t="b">
        <f t="shared" si="868"/>
        <v>0</v>
      </c>
      <c r="B983" s="245">
        <v>961</v>
      </c>
      <c r="C983" s="258"/>
      <c r="D983" s="258"/>
      <c r="E983" s="246"/>
      <c r="F983" s="247" t="str">
        <f>IF(ISBLANK(E983), "", VLOOKUP(E983, Z!$A$2:$C$4127, 3, FALSE))</f>
        <v/>
      </c>
      <c r="G983" s="248"/>
      <c r="H983" s="248"/>
      <c r="I983" s="249"/>
      <c r="J983" s="250"/>
      <c r="K983" s="259"/>
      <c r="L983" s="260"/>
      <c r="M983" s="252" t="str" cm="1">
        <f t="array" ref="M983">INDEX(Trad, 53, $A$20)</f>
        <v>Verschmutzt</v>
      </c>
      <c r="N983" s="253"/>
      <c r="O983" s="253"/>
      <c r="P983" s="254"/>
      <c r="Q983" s="251"/>
      <c r="R983" s="251"/>
      <c r="S983" s="264">
        <f t="shared" si="839"/>
        <v>0</v>
      </c>
      <c r="T983" s="252" t="str" cm="1">
        <f t="array" ref="T983">INDEX(Trad, 52, $A$20)</f>
        <v>Sauber</v>
      </c>
      <c r="U983" s="253"/>
      <c r="V983" s="253"/>
      <c r="W983" s="254"/>
      <c r="X983" s="251"/>
      <c r="Y983" s="251"/>
      <c r="Z983" s="264">
        <f t="shared" si="840"/>
        <v>0</v>
      </c>
      <c r="AA983" s="261"/>
      <c r="AB983" s="258"/>
      <c r="AC983" s="246"/>
      <c r="AD983" s="247" t="str">
        <f>IF(ISBLANK(AC983), "", VLOOKUP(AC983, Z!$A$2:$C$4127, 3, FALSE))</f>
        <v/>
      </c>
      <c r="AE983" s="262"/>
      <c r="AF983" s="263">
        <f t="shared" si="841"/>
        <v>0</v>
      </c>
      <c r="AG983" s="238"/>
      <c r="AH983" s="229">
        <f t="shared" si="865"/>
        <v>1</v>
      </c>
      <c r="AI983" s="229">
        <f t="shared" si="866"/>
        <v>1</v>
      </c>
      <c r="AJ983" s="229">
        <f t="shared" si="867"/>
        <v>0</v>
      </c>
      <c r="AK983" s="229">
        <v>0</v>
      </c>
      <c r="AL983" s="229">
        <v>0</v>
      </c>
      <c r="AM983" s="229">
        <v>1</v>
      </c>
      <c r="AN983" s="229">
        <v>0</v>
      </c>
      <c r="AO983" s="229">
        <f t="shared" si="842"/>
        <v>-100</v>
      </c>
      <c r="AP983" s="238"/>
      <c r="AQ983" s="255"/>
      <c r="AR983" s="255"/>
      <c r="AS983" s="256"/>
      <c r="AT983" s="256"/>
      <c r="AU983" s="256"/>
      <c r="AV983" s="256"/>
      <c r="AW983" s="256"/>
      <c r="AX983" s="256"/>
      <c r="AY983" s="256"/>
      <c r="AZ983" s="256"/>
      <c r="BA983" s="256"/>
      <c r="BB983" s="256"/>
      <c r="BC983" s="256"/>
      <c r="BD983" s="238"/>
      <c r="BE983" s="229" cm="1">
        <f t="array" ref="BE983">IF(ISBLANK(R983), INDEX(Use, $AH983, 4) - AM983*INDEX(Use, $AH983, 6), R983)</f>
        <v>5</v>
      </c>
      <c r="BF983" s="229">
        <f t="shared" si="843"/>
        <v>30</v>
      </c>
      <c r="BG983" s="229">
        <f t="shared" ref="BG983:BG1022" si="869">IF($AJ983=1, 6, IF($AH983=4, 10, 13))</f>
        <v>13</v>
      </c>
      <c r="BH983" s="229">
        <f t="shared" ref="BH983:BH1022" si="870">IF($AJ983=1, 9, 0)</f>
        <v>0</v>
      </c>
      <c r="BI983" s="234" cm="1">
        <f t="array" ref="BI983">K983/IF($L983&gt;0, INDEX($AU$23:$BA$77, $L983+20, $AH983), 1)</f>
        <v>0</v>
      </c>
      <c r="BJ983" s="230">
        <f t="shared" si="844"/>
        <v>0</v>
      </c>
      <c r="BK983" s="229">
        <v>35</v>
      </c>
      <c r="BL983" s="230">
        <f t="shared" si="845"/>
        <v>48</v>
      </c>
      <c r="BM983" s="235">
        <f t="shared" si="846"/>
        <v>2.9108720930232557</v>
      </c>
      <c r="BN983" s="235" cm="1">
        <f t="array" ref="BN983">$BI983 * SUMPRODUCT(INDEX($AR$77:$AT$82,,$AI983),INDEX($AU$77:$BA$82,,$AH983), N($AQ$77:$AQ$82&gt;$AO983)) / BM983 / 1000</f>
        <v>0</v>
      </c>
      <c r="BO983" s="232">
        <f t="shared" ref="BO983:BO1022" si="871">IF($AH983&lt;=2, 30, 25)</f>
        <v>30</v>
      </c>
      <c r="BP983" s="230">
        <f t="shared" si="847"/>
        <v>43</v>
      </c>
      <c r="BQ983" s="235">
        <f t="shared" si="848"/>
        <v>3.2938815789473681</v>
      </c>
      <c r="BR983" s="235" cm="1">
        <f t="array" ref="BR983">$BI983 * IF($AH983&lt;=2,
SUMPRODUCT(INDEX($AR$72:$AT$76,,$AI983), INDEX($AU$72:$BA$76,,$AH983), 1 / ($BB$72:$BB$76*BQ983 + (1-$BB$72:$BB$76)*BM983), N($AQ$72:$AQ$76&gt;$AO983)),
SUMPRODUCT(INDEX($AR$67:$AT$76,,$AI983), INDEX($AU$67:$BA$76,,$AH983), 1 / ($BC$67:$BC$76*BQ983 + (1-$BC$67:$BC$76)*BM983), N($AQ$67:$AQ$76&gt;$AO983))
) / 1000</f>
        <v>0</v>
      </c>
      <c r="BS983" s="232">
        <f t="shared" ref="BS983:BS1022" si="872">IF($AH983&lt;=2, 25, 15)</f>
        <v>25</v>
      </c>
      <c r="BT983" s="230">
        <f t="shared" si="849"/>
        <v>38</v>
      </c>
      <c r="BU983" s="235">
        <f t="shared" si="850"/>
        <v>3.792954545454545</v>
      </c>
      <c r="BV983" s="235" cm="1">
        <f t="array" ref="BV983">$BI983 * IF($AH983&lt;=2,
SUMPRODUCT(INDEX($AR$67:$AT$71,,$AI983), INDEX($AU$67:$BA$71,,$AH983), 1 / ($BB$67:$BB$71*BU983 + (1-$BB$67:$BB$71)*BQ983), N($AQ$67:$AQ$71&gt;$AO983)),
SUMPRODUCT(INDEX($AR$57:$AT$66,,$AI983), INDEX($AU$57:$BA$66,,$AH983), 1 / ($BC$57:$BC$66*BU983 + (1-$BC$57:$BC$66)*BQ983), N($AQ$57:$AQ$66&gt;$AO983))
) / 1000</f>
        <v>0</v>
      </c>
      <c r="BW983" s="232">
        <f t="shared" ref="BW983:BW1022" si="873">IF($AH983&lt;=2, 20, 5)</f>
        <v>20</v>
      </c>
      <c r="BX983" s="230">
        <f t="shared" si="851"/>
        <v>33</v>
      </c>
      <c r="BY983" s="235">
        <f t="shared" si="852"/>
        <v>4.4702678571428569</v>
      </c>
      <c r="BZ983" s="235" cm="1">
        <f t="array" ref="BZ983">$BI983 * IF($AH983&lt;=2,
SUMPRODUCT(INDEX($AR$62:$AT$66,,$AI983), INDEX($AU$62:$BA$66,,$AH983), 1 / ($BB$62:$BB$66*BY983 + (1-$BB$62:$BB$66)*BU983), N($AQ$62:$AQ$66&gt;$AO983)),
SUMPRODUCT(INDEX($AR$47:$AT$56,,$AI983), INDEX($AU$47:$BA$56,,$AH983), 1 / ($BC$47:$BC$56*BY983 + (1-$BC$47:$BC$56)*BU983), N($AQ$47:$AQ$56&gt;$AO983))
) / 1000</f>
        <v>0</v>
      </c>
      <c r="CA983" s="235" cm="1">
        <f t="array" ref="CA983">$BI983 * IF($AH983&lt;=2,
SUMPRODUCT(INDEX($AR$23:$AT$61,,$AI983), INDEX($AU$23:$BA$61,,$AH983), 1 / ($BB$23:$BB$61*BY983), N($AQ$23:$AQ$61&gt;$AO983)),
SUMPRODUCT(INDEX($AR$23:$AT$46,,$AI983), INDEX($AU$23:$BA$46,,$AH983), 1 / ($BC$23:$BC$46*BY983), N($AQ$23:$AQ$46&gt;$AO983))
) / 1000</f>
        <v>0</v>
      </c>
      <c r="CB983" s="230">
        <f t="shared" si="853"/>
        <v>0</v>
      </c>
      <c r="CC983" s="238"/>
      <c r="CD983" s="229" cm="1">
        <f t="array" ref="CD983">IF(ISBLANK(Y983), INDEX(Use, $AH983, 4) - AN983*INDEX(Use, $AH983, 6) - (Q983-X983), Y983)</f>
        <v>7</v>
      </c>
      <c r="CE983" s="229">
        <f t="shared" si="854"/>
        <v>32</v>
      </c>
      <c r="CF983" s="230">
        <f t="shared" si="855"/>
        <v>0</v>
      </c>
      <c r="CG983" s="229">
        <v>35</v>
      </c>
      <c r="CH983" s="230">
        <f t="shared" si="856"/>
        <v>48</v>
      </c>
      <c r="CI983" s="235">
        <f t="shared" si="857"/>
        <v>3.0748170731707316</v>
      </c>
      <c r="CJ983" s="235" cm="1">
        <f t="array" ref="CJ983">$BI983 * SUMPRODUCT(INDEX($AR$77:$AT$82,,$AI983),INDEX($AU$77:$BA$82,,$AH983), N($AQ$77:$AQ$82&gt;$AO983)) / CI983 / 1000</f>
        <v>0</v>
      </c>
      <c r="CK983" s="232">
        <f t="shared" ref="CK983:CK1022" si="874">IF($AH983&lt;=2, 30, 25)</f>
        <v>30</v>
      </c>
      <c r="CL983" s="230">
        <f t="shared" si="858"/>
        <v>43</v>
      </c>
      <c r="CM983" s="235">
        <f t="shared" si="859"/>
        <v>3.5018750000000001</v>
      </c>
      <c r="CN983" s="235" cm="1">
        <f t="array" ref="CN983">$BI983 * IF($AH983&lt;=2,
SUMPRODUCT(INDEX($AR$72:$AT$76,,$AI983), INDEX($AU$72:$BA$76,,$AH983), 1 / ($BB$72:$BB$76*CM983 + (1-$BB$72:$BB$76)*CI983), N($AQ$72:$AQ$76&gt;$AO983)),
SUMPRODUCT(INDEX($AR$67:$AT$76,,$AI983), INDEX($AU$67:$BA$76,,$AH983), 1 / ($BC$67:$BC$76*CM983 + (1-$BC$67:$BC$76)*CI983), N($AQ$67:$AQ$76&gt;$AO983))
) / 1000</f>
        <v>0</v>
      </c>
      <c r="CO983" s="232">
        <f t="shared" ref="CO983:CO1022" si="875">IF($AH983&lt;=2, 25, 15)</f>
        <v>25</v>
      </c>
      <c r="CP983" s="230">
        <f t="shared" si="860"/>
        <v>38</v>
      </c>
      <c r="CQ983" s="235">
        <f t="shared" si="861"/>
        <v>4.0666935483870965</v>
      </c>
      <c r="CR983" s="235" cm="1">
        <f t="array" ref="CR983">$BI983 * IF($AH983&lt;=2,
SUMPRODUCT(INDEX($AR$67:$AT$71,,$AI983), INDEX($AU$67:$BA$71,,$AH983), 1 / ($BB$67:$BB$71*CQ983 + (1-$BB$67:$BB$71)*CM983), N($AQ$67:$AQ$71&gt;$AO983)),
SUMPRODUCT(INDEX($AR$57:$AT$66,,$AI983), INDEX($AU$57:$BA$66,,$AH983), 1 / ($BC$57:$BC$66*CQ983 + (1-$BC$57:$BC$66)*CM983), N($AQ$57:$AQ$66&gt;$AO983))
) / 1000</f>
        <v>0</v>
      </c>
      <c r="CS983" s="232">
        <f t="shared" ref="CS983:CS1022" si="876">IF($AH983&lt;=2, 20, 5)</f>
        <v>20</v>
      </c>
      <c r="CT983" s="230">
        <f t="shared" si="862"/>
        <v>33</v>
      </c>
      <c r="CU983" s="235">
        <f t="shared" si="863"/>
        <v>4.8487499999999999</v>
      </c>
      <c r="CV983" s="235" cm="1">
        <f t="array" ref="CV983">$BI983 * IF($AH983&lt;=2,
SUMPRODUCT(INDEX($AR$62:$AT$66,,$AI983), INDEX($AU$62:$BA$66,,$AH983), 1 / ($BB$62:$BB$66*CU983 + (1-$BB$62:$BB$66)*CQ983), N($AQ$62:$AQ$66&gt;$AO983)),
SUMPRODUCT(INDEX($AR$47:$AT$56,,$AI983), INDEX($AU$47:$BA$56,,$AH983), 1 / ($BC$47:$BC$56*CU983 + (1-$BC$47:$BC$56)*CQ983), N($AQ$47:$AQ$56&gt;$AO983))
) / 1000</f>
        <v>0</v>
      </c>
      <c r="CW983" s="235" cm="1">
        <f t="array" ref="CW983">$BI983 * IF($AH983&lt;=2,
SUMPRODUCT(INDEX($AR$23:$AT$61,,$AI983), INDEX($AU$23:$BA$61,,$AH983), 1 / ($BB$23:$BB$61*CU983), N($AQ$23:$AQ$61&gt;$AO983)),
SUMPRODUCT(INDEX($AR$23:$AT$46,,$AI983), INDEX($AU$23:$BA$46,,$AH983), 1 / ($BC$23:$BC$46*CU983), N($AQ$23:$AQ$46&gt;$AO983))
) / 1000</f>
        <v>0</v>
      </c>
      <c r="CX983" s="230">
        <f t="shared" si="864"/>
        <v>0</v>
      </c>
      <c r="CY983" s="238"/>
    </row>
    <row r="984" spans="1:103" s="76" customFormat="1" ht="14.25" customHeight="1" x14ac:dyDescent="0.2">
      <c r="A984" s="231" t="b">
        <f t="shared" si="868"/>
        <v>0</v>
      </c>
      <c r="B984" s="245">
        <v>962</v>
      </c>
      <c r="C984" s="258"/>
      <c r="D984" s="258"/>
      <c r="E984" s="246"/>
      <c r="F984" s="247" t="str">
        <f>IF(ISBLANK(E984), "", VLOOKUP(E984, Z!$A$2:$C$4127, 3, FALSE))</f>
        <v/>
      </c>
      <c r="G984" s="248"/>
      <c r="H984" s="248"/>
      <c r="I984" s="249"/>
      <c r="J984" s="250"/>
      <c r="K984" s="259"/>
      <c r="L984" s="260"/>
      <c r="M984" s="252" t="str" cm="1">
        <f t="array" ref="M984">INDEX(Trad, 53, $A$20)</f>
        <v>Verschmutzt</v>
      </c>
      <c r="N984" s="253"/>
      <c r="O984" s="253"/>
      <c r="P984" s="254"/>
      <c r="Q984" s="251"/>
      <c r="R984" s="251"/>
      <c r="S984" s="264">
        <f t="shared" si="839"/>
        <v>0</v>
      </c>
      <c r="T984" s="252" t="str" cm="1">
        <f t="array" ref="T984">INDEX(Trad, 52, $A$20)</f>
        <v>Sauber</v>
      </c>
      <c r="U984" s="253"/>
      <c r="V984" s="253"/>
      <c r="W984" s="254"/>
      <c r="X984" s="251"/>
      <c r="Y984" s="251"/>
      <c r="Z984" s="264">
        <f t="shared" si="840"/>
        <v>0</v>
      </c>
      <c r="AA984" s="261"/>
      <c r="AB984" s="258"/>
      <c r="AC984" s="246"/>
      <c r="AD984" s="247" t="str">
        <f>IF(ISBLANK(AC984), "", VLOOKUP(AC984, Z!$A$2:$C$4127, 3, FALSE))</f>
        <v/>
      </c>
      <c r="AE984" s="262"/>
      <c r="AF984" s="263">
        <f t="shared" si="841"/>
        <v>0</v>
      </c>
      <c r="AG984" s="238"/>
      <c r="AH984" s="229">
        <f t="shared" si="865"/>
        <v>1</v>
      </c>
      <c r="AI984" s="229">
        <f t="shared" si="866"/>
        <v>1</v>
      </c>
      <c r="AJ984" s="229">
        <f t="shared" si="867"/>
        <v>0</v>
      </c>
      <c r="AK984" s="229">
        <v>0</v>
      </c>
      <c r="AL984" s="229">
        <v>0</v>
      </c>
      <c r="AM984" s="229">
        <v>1</v>
      </c>
      <c r="AN984" s="229">
        <v>0</v>
      </c>
      <c r="AO984" s="229">
        <f t="shared" si="842"/>
        <v>-100</v>
      </c>
      <c r="AP984" s="238"/>
      <c r="AQ984" s="255"/>
      <c r="AR984" s="255"/>
      <c r="AS984" s="256"/>
      <c r="AT984" s="256"/>
      <c r="AU984" s="256"/>
      <c r="AV984" s="256"/>
      <c r="AW984" s="256"/>
      <c r="AX984" s="256"/>
      <c r="AY984" s="256"/>
      <c r="AZ984" s="256"/>
      <c r="BA984" s="256"/>
      <c r="BB984" s="256"/>
      <c r="BC984" s="256"/>
      <c r="BD984" s="238"/>
      <c r="BE984" s="229" cm="1">
        <f t="array" ref="BE984">IF(ISBLANK(R984), INDEX(Use, $AH984, 4) - AM984*INDEX(Use, $AH984, 6), R984)</f>
        <v>5</v>
      </c>
      <c r="BF984" s="229">
        <f t="shared" si="843"/>
        <v>30</v>
      </c>
      <c r="BG984" s="229">
        <f t="shared" si="869"/>
        <v>13</v>
      </c>
      <c r="BH984" s="229">
        <f t="shared" si="870"/>
        <v>0</v>
      </c>
      <c r="BI984" s="234" cm="1">
        <f t="array" ref="BI984">K984/IF($L984&gt;0, INDEX($AU$23:$BA$77, $L984+20, $AH984), 1)</f>
        <v>0</v>
      </c>
      <c r="BJ984" s="230">
        <f t="shared" si="844"/>
        <v>0</v>
      </c>
      <c r="BK984" s="229">
        <v>35</v>
      </c>
      <c r="BL984" s="230">
        <f t="shared" si="845"/>
        <v>48</v>
      </c>
      <c r="BM984" s="235">
        <f t="shared" si="846"/>
        <v>2.9108720930232557</v>
      </c>
      <c r="BN984" s="235" cm="1">
        <f t="array" ref="BN984">$BI984 * SUMPRODUCT(INDEX($AR$77:$AT$82,,$AI984),INDEX($AU$77:$BA$82,,$AH984), N($AQ$77:$AQ$82&gt;$AO984)) / BM984 / 1000</f>
        <v>0</v>
      </c>
      <c r="BO984" s="232">
        <f t="shared" si="871"/>
        <v>30</v>
      </c>
      <c r="BP984" s="230">
        <f t="shared" si="847"/>
        <v>43</v>
      </c>
      <c r="BQ984" s="235">
        <f t="shared" si="848"/>
        <v>3.2938815789473681</v>
      </c>
      <c r="BR984" s="235" cm="1">
        <f t="array" ref="BR984">$BI984 * IF($AH984&lt;=2,
SUMPRODUCT(INDEX($AR$72:$AT$76,,$AI984), INDEX($AU$72:$BA$76,,$AH984), 1 / ($BB$72:$BB$76*BQ984 + (1-$BB$72:$BB$76)*BM984), N($AQ$72:$AQ$76&gt;$AO984)),
SUMPRODUCT(INDEX($AR$67:$AT$76,,$AI984), INDEX($AU$67:$BA$76,,$AH984), 1 / ($BC$67:$BC$76*BQ984 + (1-$BC$67:$BC$76)*BM984), N($AQ$67:$AQ$76&gt;$AO984))
) / 1000</f>
        <v>0</v>
      </c>
      <c r="BS984" s="232">
        <f t="shared" si="872"/>
        <v>25</v>
      </c>
      <c r="BT984" s="230">
        <f t="shared" si="849"/>
        <v>38</v>
      </c>
      <c r="BU984" s="235">
        <f t="shared" si="850"/>
        <v>3.792954545454545</v>
      </c>
      <c r="BV984" s="235" cm="1">
        <f t="array" ref="BV984">$BI984 * IF($AH984&lt;=2,
SUMPRODUCT(INDEX($AR$67:$AT$71,,$AI984), INDEX($AU$67:$BA$71,,$AH984), 1 / ($BB$67:$BB$71*BU984 + (1-$BB$67:$BB$71)*BQ984), N($AQ$67:$AQ$71&gt;$AO984)),
SUMPRODUCT(INDEX($AR$57:$AT$66,,$AI984), INDEX($AU$57:$BA$66,,$AH984), 1 / ($BC$57:$BC$66*BU984 + (1-$BC$57:$BC$66)*BQ984), N($AQ$57:$AQ$66&gt;$AO984))
) / 1000</f>
        <v>0</v>
      </c>
      <c r="BW984" s="232">
        <f t="shared" si="873"/>
        <v>20</v>
      </c>
      <c r="BX984" s="230">
        <f t="shared" si="851"/>
        <v>33</v>
      </c>
      <c r="BY984" s="235">
        <f t="shared" si="852"/>
        <v>4.4702678571428569</v>
      </c>
      <c r="BZ984" s="235" cm="1">
        <f t="array" ref="BZ984">$BI984 * IF($AH984&lt;=2,
SUMPRODUCT(INDEX($AR$62:$AT$66,,$AI984), INDEX($AU$62:$BA$66,,$AH984), 1 / ($BB$62:$BB$66*BY984 + (1-$BB$62:$BB$66)*BU984), N($AQ$62:$AQ$66&gt;$AO984)),
SUMPRODUCT(INDEX($AR$47:$AT$56,,$AI984), INDEX($AU$47:$BA$56,,$AH984), 1 / ($BC$47:$BC$56*BY984 + (1-$BC$47:$BC$56)*BU984), N($AQ$47:$AQ$56&gt;$AO984))
) / 1000</f>
        <v>0</v>
      </c>
      <c r="CA984" s="235" cm="1">
        <f t="array" ref="CA984">$BI984 * IF($AH984&lt;=2,
SUMPRODUCT(INDEX($AR$23:$AT$61,,$AI984), INDEX($AU$23:$BA$61,,$AH984), 1 / ($BB$23:$BB$61*BY984), N($AQ$23:$AQ$61&gt;$AO984)),
SUMPRODUCT(INDEX($AR$23:$AT$46,,$AI984), INDEX($AU$23:$BA$46,,$AH984), 1 / ($BC$23:$BC$46*BY984), N($AQ$23:$AQ$46&gt;$AO984))
) / 1000</f>
        <v>0</v>
      </c>
      <c r="CB984" s="230">
        <f t="shared" si="853"/>
        <v>0</v>
      </c>
      <c r="CC984" s="238"/>
      <c r="CD984" s="229" cm="1">
        <f t="array" ref="CD984">IF(ISBLANK(Y984), INDEX(Use, $AH984, 4) - AN984*INDEX(Use, $AH984, 6) - (Q984-X984), Y984)</f>
        <v>7</v>
      </c>
      <c r="CE984" s="229">
        <f t="shared" si="854"/>
        <v>32</v>
      </c>
      <c r="CF984" s="230">
        <f t="shared" si="855"/>
        <v>0</v>
      </c>
      <c r="CG984" s="229">
        <v>35</v>
      </c>
      <c r="CH984" s="230">
        <f t="shared" si="856"/>
        <v>48</v>
      </c>
      <c r="CI984" s="235">
        <f t="shared" si="857"/>
        <v>3.0748170731707316</v>
      </c>
      <c r="CJ984" s="235" cm="1">
        <f t="array" ref="CJ984">$BI984 * SUMPRODUCT(INDEX($AR$77:$AT$82,,$AI984),INDEX($AU$77:$BA$82,,$AH984), N($AQ$77:$AQ$82&gt;$AO984)) / CI984 / 1000</f>
        <v>0</v>
      </c>
      <c r="CK984" s="232">
        <f t="shared" si="874"/>
        <v>30</v>
      </c>
      <c r="CL984" s="230">
        <f t="shared" si="858"/>
        <v>43</v>
      </c>
      <c r="CM984" s="235">
        <f t="shared" si="859"/>
        <v>3.5018750000000001</v>
      </c>
      <c r="CN984" s="235" cm="1">
        <f t="array" ref="CN984">$BI984 * IF($AH984&lt;=2,
SUMPRODUCT(INDEX($AR$72:$AT$76,,$AI984), INDEX($AU$72:$BA$76,,$AH984), 1 / ($BB$72:$BB$76*CM984 + (1-$BB$72:$BB$76)*CI984), N($AQ$72:$AQ$76&gt;$AO984)),
SUMPRODUCT(INDEX($AR$67:$AT$76,,$AI984), INDEX($AU$67:$BA$76,,$AH984), 1 / ($BC$67:$BC$76*CM984 + (1-$BC$67:$BC$76)*CI984), N($AQ$67:$AQ$76&gt;$AO984))
) / 1000</f>
        <v>0</v>
      </c>
      <c r="CO984" s="232">
        <f t="shared" si="875"/>
        <v>25</v>
      </c>
      <c r="CP984" s="230">
        <f t="shared" si="860"/>
        <v>38</v>
      </c>
      <c r="CQ984" s="235">
        <f t="shared" si="861"/>
        <v>4.0666935483870965</v>
      </c>
      <c r="CR984" s="235" cm="1">
        <f t="array" ref="CR984">$BI984 * IF($AH984&lt;=2,
SUMPRODUCT(INDEX($AR$67:$AT$71,,$AI984), INDEX($AU$67:$BA$71,,$AH984), 1 / ($BB$67:$BB$71*CQ984 + (1-$BB$67:$BB$71)*CM984), N($AQ$67:$AQ$71&gt;$AO984)),
SUMPRODUCT(INDEX($AR$57:$AT$66,,$AI984), INDEX($AU$57:$BA$66,,$AH984), 1 / ($BC$57:$BC$66*CQ984 + (1-$BC$57:$BC$66)*CM984), N($AQ$57:$AQ$66&gt;$AO984))
) / 1000</f>
        <v>0</v>
      </c>
      <c r="CS984" s="232">
        <f t="shared" si="876"/>
        <v>20</v>
      </c>
      <c r="CT984" s="230">
        <f t="shared" si="862"/>
        <v>33</v>
      </c>
      <c r="CU984" s="235">
        <f t="shared" si="863"/>
        <v>4.8487499999999999</v>
      </c>
      <c r="CV984" s="235" cm="1">
        <f t="array" ref="CV984">$BI984 * IF($AH984&lt;=2,
SUMPRODUCT(INDEX($AR$62:$AT$66,,$AI984), INDEX($AU$62:$BA$66,,$AH984), 1 / ($BB$62:$BB$66*CU984 + (1-$BB$62:$BB$66)*CQ984), N($AQ$62:$AQ$66&gt;$AO984)),
SUMPRODUCT(INDEX($AR$47:$AT$56,,$AI984), INDEX($AU$47:$BA$56,,$AH984), 1 / ($BC$47:$BC$56*CU984 + (1-$BC$47:$BC$56)*CQ984), N($AQ$47:$AQ$56&gt;$AO984))
) / 1000</f>
        <v>0</v>
      </c>
      <c r="CW984" s="235" cm="1">
        <f t="array" ref="CW984">$BI984 * IF($AH984&lt;=2,
SUMPRODUCT(INDEX($AR$23:$AT$61,,$AI984), INDEX($AU$23:$BA$61,,$AH984), 1 / ($BB$23:$BB$61*CU984), N($AQ$23:$AQ$61&gt;$AO984)),
SUMPRODUCT(INDEX($AR$23:$AT$46,,$AI984), INDEX($AU$23:$BA$46,,$AH984), 1 / ($BC$23:$BC$46*CU984), N($AQ$23:$AQ$46&gt;$AO984))
) / 1000</f>
        <v>0</v>
      </c>
      <c r="CX984" s="230">
        <f t="shared" si="864"/>
        <v>0</v>
      </c>
      <c r="CY984" s="238"/>
    </row>
    <row r="985" spans="1:103" s="76" customFormat="1" ht="14.25" customHeight="1" x14ac:dyDescent="0.2">
      <c r="A985" s="231" t="b">
        <f t="shared" si="868"/>
        <v>0</v>
      </c>
      <c r="B985" s="245">
        <v>963</v>
      </c>
      <c r="C985" s="258"/>
      <c r="D985" s="258"/>
      <c r="E985" s="246"/>
      <c r="F985" s="247" t="str">
        <f>IF(ISBLANK(E985), "", VLOOKUP(E985, Z!$A$2:$C$4127, 3, FALSE))</f>
        <v/>
      </c>
      <c r="G985" s="248"/>
      <c r="H985" s="248"/>
      <c r="I985" s="249"/>
      <c r="J985" s="250"/>
      <c r="K985" s="259"/>
      <c r="L985" s="260"/>
      <c r="M985" s="252" t="str" cm="1">
        <f t="array" ref="M985">INDEX(Trad, 53, $A$20)</f>
        <v>Verschmutzt</v>
      </c>
      <c r="N985" s="253"/>
      <c r="O985" s="253"/>
      <c r="P985" s="254"/>
      <c r="Q985" s="251"/>
      <c r="R985" s="251"/>
      <c r="S985" s="264">
        <f t="shared" si="839"/>
        <v>0</v>
      </c>
      <c r="T985" s="252" t="str" cm="1">
        <f t="array" ref="T985">INDEX(Trad, 52, $A$20)</f>
        <v>Sauber</v>
      </c>
      <c r="U985" s="253"/>
      <c r="V985" s="253"/>
      <c r="W985" s="254"/>
      <c r="X985" s="251"/>
      <c r="Y985" s="251"/>
      <c r="Z985" s="264">
        <f t="shared" si="840"/>
        <v>0</v>
      </c>
      <c r="AA985" s="261"/>
      <c r="AB985" s="258"/>
      <c r="AC985" s="246"/>
      <c r="AD985" s="247" t="str">
        <f>IF(ISBLANK(AC985), "", VLOOKUP(AC985, Z!$A$2:$C$4127, 3, FALSE))</f>
        <v/>
      </c>
      <c r="AE985" s="262"/>
      <c r="AF985" s="263">
        <f t="shared" si="841"/>
        <v>0</v>
      </c>
      <c r="AG985" s="238"/>
      <c r="AH985" s="229">
        <f t="shared" si="865"/>
        <v>1</v>
      </c>
      <c r="AI985" s="229">
        <f t="shared" si="866"/>
        <v>1</v>
      </c>
      <c r="AJ985" s="229">
        <f t="shared" si="867"/>
        <v>0</v>
      </c>
      <c r="AK985" s="229">
        <v>0</v>
      </c>
      <c r="AL985" s="229">
        <v>0</v>
      </c>
      <c r="AM985" s="229">
        <v>1</v>
      </c>
      <c r="AN985" s="229">
        <v>0</v>
      </c>
      <c r="AO985" s="229">
        <f t="shared" si="842"/>
        <v>-100</v>
      </c>
      <c r="AP985" s="238"/>
      <c r="AQ985" s="255"/>
      <c r="AR985" s="255"/>
      <c r="AS985" s="256"/>
      <c r="AT985" s="256"/>
      <c r="AU985" s="256"/>
      <c r="AV985" s="256"/>
      <c r="AW985" s="256"/>
      <c r="AX985" s="256"/>
      <c r="AY985" s="256"/>
      <c r="AZ985" s="256"/>
      <c r="BA985" s="256"/>
      <c r="BB985" s="256"/>
      <c r="BC985" s="256"/>
      <c r="BD985" s="238"/>
      <c r="BE985" s="229" cm="1">
        <f t="array" ref="BE985">IF(ISBLANK(R985), INDEX(Use, $AH985, 4) - AM985*INDEX(Use, $AH985, 6), R985)</f>
        <v>5</v>
      </c>
      <c r="BF985" s="229">
        <f t="shared" si="843"/>
        <v>30</v>
      </c>
      <c r="BG985" s="229">
        <f t="shared" si="869"/>
        <v>13</v>
      </c>
      <c r="BH985" s="229">
        <f t="shared" si="870"/>
        <v>0</v>
      </c>
      <c r="BI985" s="234" cm="1">
        <f t="array" ref="BI985">K985/IF($L985&gt;0, INDEX($AU$23:$BA$77, $L985+20, $AH985), 1)</f>
        <v>0</v>
      </c>
      <c r="BJ985" s="230">
        <f t="shared" si="844"/>
        <v>0</v>
      </c>
      <c r="BK985" s="229">
        <v>35</v>
      </c>
      <c r="BL985" s="230">
        <f t="shared" si="845"/>
        <v>48</v>
      </c>
      <c r="BM985" s="235">
        <f t="shared" si="846"/>
        <v>2.9108720930232557</v>
      </c>
      <c r="BN985" s="235" cm="1">
        <f t="array" ref="BN985">$BI985 * SUMPRODUCT(INDEX($AR$77:$AT$82,,$AI985),INDEX($AU$77:$BA$82,,$AH985), N($AQ$77:$AQ$82&gt;$AO985)) / BM985 / 1000</f>
        <v>0</v>
      </c>
      <c r="BO985" s="232">
        <f t="shared" si="871"/>
        <v>30</v>
      </c>
      <c r="BP985" s="230">
        <f t="shared" si="847"/>
        <v>43</v>
      </c>
      <c r="BQ985" s="235">
        <f t="shared" si="848"/>
        <v>3.2938815789473681</v>
      </c>
      <c r="BR985" s="235" cm="1">
        <f t="array" ref="BR985">$BI985 * IF($AH985&lt;=2,
SUMPRODUCT(INDEX($AR$72:$AT$76,,$AI985), INDEX($AU$72:$BA$76,,$AH985), 1 / ($BB$72:$BB$76*BQ985 + (1-$BB$72:$BB$76)*BM985), N($AQ$72:$AQ$76&gt;$AO985)),
SUMPRODUCT(INDEX($AR$67:$AT$76,,$AI985), INDEX($AU$67:$BA$76,,$AH985), 1 / ($BC$67:$BC$76*BQ985 + (1-$BC$67:$BC$76)*BM985), N($AQ$67:$AQ$76&gt;$AO985))
) / 1000</f>
        <v>0</v>
      </c>
      <c r="BS985" s="232">
        <f t="shared" si="872"/>
        <v>25</v>
      </c>
      <c r="BT985" s="230">
        <f t="shared" si="849"/>
        <v>38</v>
      </c>
      <c r="BU985" s="235">
        <f t="shared" si="850"/>
        <v>3.792954545454545</v>
      </c>
      <c r="BV985" s="235" cm="1">
        <f t="array" ref="BV985">$BI985 * IF($AH985&lt;=2,
SUMPRODUCT(INDEX($AR$67:$AT$71,,$AI985), INDEX($AU$67:$BA$71,,$AH985), 1 / ($BB$67:$BB$71*BU985 + (1-$BB$67:$BB$71)*BQ985), N($AQ$67:$AQ$71&gt;$AO985)),
SUMPRODUCT(INDEX($AR$57:$AT$66,,$AI985), INDEX($AU$57:$BA$66,,$AH985), 1 / ($BC$57:$BC$66*BU985 + (1-$BC$57:$BC$66)*BQ985), N($AQ$57:$AQ$66&gt;$AO985))
) / 1000</f>
        <v>0</v>
      </c>
      <c r="BW985" s="232">
        <f t="shared" si="873"/>
        <v>20</v>
      </c>
      <c r="BX985" s="230">
        <f t="shared" si="851"/>
        <v>33</v>
      </c>
      <c r="BY985" s="235">
        <f t="shared" si="852"/>
        <v>4.4702678571428569</v>
      </c>
      <c r="BZ985" s="235" cm="1">
        <f t="array" ref="BZ985">$BI985 * IF($AH985&lt;=2,
SUMPRODUCT(INDEX($AR$62:$AT$66,,$AI985), INDEX($AU$62:$BA$66,,$AH985), 1 / ($BB$62:$BB$66*BY985 + (1-$BB$62:$BB$66)*BU985), N($AQ$62:$AQ$66&gt;$AO985)),
SUMPRODUCT(INDEX($AR$47:$AT$56,,$AI985), INDEX($AU$47:$BA$56,,$AH985), 1 / ($BC$47:$BC$56*BY985 + (1-$BC$47:$BC$56)*BU985), N($AQ$47:$AQ$56&gt;$AO985))
) / 1000</f>
        <v>0</v>
      </c>
      <c r="CA985" s="235" cm="1">
        <f t="array" ref="CA985">$BI985 * IF($AH985&lt;=2,
SUMPRODUCT(INDEX($AR$23:$AT$61,,$AI985), INDEX($AU$23:$BA$61,,$AH985), 1 / ($BB$23:$BB$61*BY985), N($AQ$23:$AQ$61&gt;$AO985)),
SUMPRODUCT(INDEX($AR$23:$AT$46,,$AI985), INDEX($AU$23:$BA$46,,$AH985), 1 / ($BC$23:$BC$46*BY985), N($AQ$23:$AQ$46&gt;$AO985))
) / 1000</f>
        <v>0</v>
      </c>
      <c r="CB985" s="230">
        <f t="shared" si="853"/>
        <v>0</v>
      </c>
      <c r="CC985" s="238"/>
      <c r="CD985" s="229" cm="1">
        <f t="array" ref="CD985">IF(ISBLANK(Y985), INDEX(Use, $AH985, 4) - AN985*INDEX(Use, $AH985, 6) - (Q985-X985), Y985)</f>
        <v>7</v>
      </c>
      <c r="CE985" s="229">
        <f t="shared" si="854"/>
        <v>32</v>
      </c>
      <c r="CF985" s="230">
        <f t="shared" si="855"/>
        <v>0</v>
      </c>
      <c r="CG985" s="229">
        <v>35</v>
      </c>
      <c r="CH985" s="230">
        <f t="shared" si="856"/>
        <v>48</v>
      </c>
      <c r="CI985" s="235">
        <f t="shared" si="857"/>
        <v>3.0748170731707316</v>
      </c>
      <c r="CJ985" s="235" cm="1">
        <f t="array" ref="CJ985">$BI985 * SUMPRODUCT(INDEX($AR$77:$AT$82,,$AI985),INDEX($AU$77:$BA$82,,$AH985), N($AQ$77:$AQ$82&gt;$AO985)) / CI985 / 1000</f>
        <v>0</v>
      </c>
      <c r="CK985" s="232">
        <f t="shared" si="874"/>
        <v>30</v>
      </c>
      <c r="CL985" s="230">
        <f t="shared" si="858"/>
        <v>43</v>
      </c>
      <c r="CM985" s="235">
        <f t="shared" si="859"/>
        <v>3.5018750000000001</v>
      </c>
      <c r="CN985" s="235" cm="1">
        <f t="array" ref="CN985">$BI985 * IF($AH985&lt;=2,
SUMPRODUCT(INDEX($AR$72:$AT$76,,$AI985), INDEX($AU$72:$BA$76,,$AH985), 1 / ($BB$72:$BB$76*CM985 + (1-$BB$72:$BB$76)*CI985), N($AQ$72:$AQ$76&gt;$AO985)),
SUMPRODUCT(INDEX($AR$67:$AT$76,,$AI985), INDEX($AU$67:$BA$76,,$AH985), 1 / ($BC$67:$BC$76*CM985 + (1-$BC$67:$BC$76)*CI985), N($AQ$67:$AQ$76&gt;$AO985))
) / 1000</f>
        <v>0</v>
      </c>
      <c r="CO985" s="232">
        <f t="shared" si="875"/>
        <v>25</v>
      </c>
      <c r="CP985" s="230">
        <f t="shared" si="860"/>
        <v>38</v>
      </c>
      <c r="CQ985" s="235">
        <f t="shared" si="861"/>
        <v>4.0666935483870965</v>
      </c>
      <c r="CR985" s="235" cm="1">
        <f t="array" ref="CR985">$BI985 * IF($AH985&lt;=2,
SUMPRODUCT(INDEX($AR$67:$AT$71,,$AI985), INDEX($AU$67:$BA$71,,$AH985), 1 / ($BB$67:$BB$71*CQ985 + (1-$BB$67:$BB$71)*CM985), N($AQ$67:$AQ$71&gt;$AO985)),
SUMPRODUCT(INDEX($AR$57:$AT$66,,$AI985), INDEX($AU$57:$BA$66,,$AH985), 1 / ($BC$57:$BC$66*CQ985 + (1-$BC$57:$BC$66)*CM985), N($AQ$57:$AQ$66&gt;$AO985))
) / 1000</f>
        <v>0</v>
      </c>
      <c r="CS985" s="232">
        <f t="shared" si="876"/>
        <v>20</v>
      </c>
      <c r="CT985" s="230">
        <f t="shared" si="862"/>
        <v>33</v>
      </c>
      <c r="CU985" s="235">
        <f t="shared" si="863"/>
        <v>4.8487499999999999</v>
      </c>
      <c r="CV985" s="235" cm="1">
        <f t="array" ref="CV985">$BI985 * IF($AH985&lt;=2,
SUMPRODUCT(INDEX($AR$62:$AT$66,,$AI985), INDEX($AU$62:$BA$66,,$AH985), 1 / ($BB$62:$BB$66*CU985 + (1-$BB$62:$BB$66)*CQ985), N($AQ$62:$AQ$66&gt;$AO985)),
SUMPRODUCT(INDEX($AR$47:$AT$56,,$AI985), INDEX($AU$47:$BA$56,,$AH985), 1 / ($BC$47:$BC$56*CU985 + (1-$BC$47:$BC$56)*CQ985), N($AQ$47:$AQ$56&gt;$AO985))
) / 1000</f>
        <v>0</v>
      </c>
      <c r="CW985" s="235" cm="1">
        <f t="array" ref="CW985">$BI985 * IF($AH985&lt;=2,
SUMPRODUCT(INDEX($AR$23:$AT$61,,$AI985), INDEX($AU$23:$BA$61,,$AH985), 1 / ($BB$23:$BB$61*CU985), N($AQ$23:$AQ$61&gt;$AO985)),
SUMPRODUCT(INDEX($AR$23:$AT$46,,$AI985), INDEX($AU$23:$BA$46,,$AH985), 1 / ($BC$23:$BC$46*CU985), N($AQ$23:$AQ$46&gt;$AO985))
) / 1000</f>
        <v>0</v>
      </c>
      <c r="CX985" s="230">
        <f t="shared" si="864"/>
        <v>0</v>
      </c>
      <c r="CY985" s="238"/>
    </row>
    <row r="986" spans="1:103" s="76" customFormat="1" ht="14.25" customHeight="1" x14ac:dyDescent="0.2">
      <c r="A986" s="231" t="b">
        <f t="shared" si="868"/>
        <v>0</v>
      </c>
      <c r="B986" s="245">
        <v>964</v>
      </c>
      <c r="C986" s="258"/>
      <c r="D986" s="258"/>
      <c r="E986" s="246"/>
      <c r="F986" s="247" t="str">
        <f>IF(ISBLANK(E986), "", VLOOKUP(E986, Z!$A$2:$C$4127, 3, FALSE))</f>
        <v/>
      </c>
      <c r="G986" s="248"/>
      <c r="H986" s="248"/>
      <c r="I986" s="249"/>
      <c r="J986" s="250"/>
      <c r="K986" s="259"/>
      <c r="L986" s="260"/>
      <c r="M986" s="252" t="str" cm="1">
        <f t="array" ref="M986">INDEX(Trad, 53, $A$20)</f>
        <v>Verschmutzt</v>
      </c>
      <c r="N986" s="253"/>
      <c r="O986" s="253"/>
      <c r="P986" s="254"/>
      <c r="Q986" s="251"/>
      <c r="R986" s="251"/>
      <c r="S986" s="264">
        <f t="shared" si="839"/>
        <v>0</v>
      </c>
      <c r="T986" s="252" t="str" cm="1">
        <f t="array" ref="T986">INDEX(Trad, 52, $A$20)</f>
        <v>Sauber</v>
      </c>
      <c r="U986" s="253"/>
      <c r="V986" s="253"/>
      <c r="W986" s="254"/>
      <c r="X986" s="251"/>
      <c r="Y986" s="251"/>
      <c r="Z986" s="264">
        <f t="shared" si="840"/>
        <v>0</v>
      </c>
      <c r="AA986" s="261"/>
      <c r="AB986" s="258"/>
      <c r="AC986" s="246"/>
      <c r="AD986" s="247" t="str">
        <f>IF(ISBLANK(AC986), "", VLOOKUP(AC986, Z!$A$2:$C$4127, 3, FALSE))</f>
        <v/>
      </c>
      <c r="AE986" s="262"/>
      <c r="AF986" s="263">
        <f t="shared" si="841"/>
        <v>0</v>
      </c>
      <c r="AG986" s="238"/>
      <c r="AH986" s="229">
        <f t="shared" si="865"/>
        <v>1</v>
      </c>
      <c r="AI986" s="229">
        <f t="shared" si="866"/>
        <v>1</v>
      </c>
      <c r="AJ986" s="229">
        <f t="shared" si="867"/>
        <v>0</v>
      </c>
      <c r="AK986" s="229">
        <v>0</v>
      </c>
      <c r="AL986" s="229">
        <v>0</v>
      </c>
      <c r="AM986" s="229">
        <v>1</v>
      </c>
      <c r="AN986" s="229">
        <v>0</v>
      </c>
      <c r="AO986" s="229">
        <f t="shared" si="842"/>
        <v>-100</v>
      </c>
      <c r="AP986" s="238"/>
      <c r="AQ986" s="255"/>
      <c r="AR986" s="255"/>
      <c r="AS986" s="256"/>
      <c r="AT986" s="256"/>
      <c r="AU986" s="256"/>
      <c r="AV986" s="256"/>
      <c r="AW986" s="256"/>
      <c r="AX986" s="256"/>
      <c r="AY986" s="256"/>
      <c r="AZ986" s="256"/>
      <c r="BA986" s="256"/>
      <c r="BB986" s="256"/>
      <c r="BC986" s="256"/>
      <c r="BD986" s="238"/>
      <c r="BE986" s="229" cm="1">
        <f t="array" ref="BE986">IF(ISBLANK(R986), INDEX(Use, $AH986, 4) - AM986*INDEX(Use, $AH986, 6), R986)</f>
        <v>5</v>
      </c>
      <c r="BF986" s="229">
        <f t="shared" si="843"/>
        <v>30</v>
      </c>
      <c r="BG986" s="229">
        <f t="shared" si="869"/>
        <v>13</v>
      </c>
      <c r="BH986" s="229">
        <f t="shared" si="870"/>
        <v>0</v>
      </c>
      <c r="BI986" s="234" cm="1">
        <f t="array" ref="BI986">K986/IF($L986&gt;0, INDEX($AU$23:$BA$77, $L986+20, $AH986), 1)</f>
        <v>0</v>
      </c>
      <c r="BJ986" s="230">
        <f t="shared" si="844"/>
        <v>0</v>
      </c>
      <c r="BK986" s="229">
        <v>35</v>
      </c>
      <c r="BL986" s="230">
        <f t="shared" si="845"/>
        <v>48</v>
      </c>
      <c r="BM986" s="235">
        <f t="shared" si="846"/>
        <v>2.9108720930232557</v>
      </c>
      <c r="BN986" s="235" cm="1">
        <f t="array" ref="BN986">$BI986 * SUMPRODUCT(INDEX($AR$77:$AT$82,,$AI986),INDEX($AU$77:$BA$82,,$AH986), N($AQ$77:$AQ$82&gt;$AO986)) / BM986 / 1000</f>
        <v>0</v>
      </c>
      <c r="BO986" s="232">
        <f t="shared" si="871"/>
        <v>30</v>
      </c>
      <c r="BP986" s="230">
        <f t="shared" si="847"/>
        <v>43</v>
      </c>
      <c r="BQ986" s="235">
        <f t="shared" si="848"/>
        <v>3.2938815789473681</v>
      </c>
      <c r="BR986" s="235" cm="1">
        <f t="array" ref="BR986">$BI986 * IF($AH986&lt;=2,
SUMPRODUCT(INDEX($AR$72:$AT$76,,$AI986), INDEX($AU$72:$BA$76,,$AH986), 1 / ($BB$72:$BB$76*BQ986 + (1-$BB$72:$BB$76)*BM986), N($AQ$72:$AQ$76&gt;$AO986)),
SUMPRODUCT(INDEX($AR$67:$AT$76,,$AI986), INDEX($AU$67:$BA$76,,$AH986), 1 / ($BC$67:$BC$76*BQ986 + (1-$BC$67:$BC$76)*BM986), N($AQ$67:$AQ$76&gt;$AO986))
) / 1000</f>
        <v>0</v>
      </c>
      <c r="BS986" s="232">
        <f t="shared" si="872"/>
        <v>25</v>
      </c>
      <c r="BT986" s="230">
        <f t="shared" si="849"/>
        <v>38</v>
      </c>
      <c r="BU986" s="235">
        <f t="shared" si="850"/>
        <v>3.792954545454545</v>
      </c>
      <c r="BV986" s="235" cm="1">
        <f t="array" ref="BV986">$BI986 * IF($AH986&lt;=2,
SUMPRODUCT(INDEX($AR$67:$AT$71,,$AI986), INDEX($AU$67:$BA$71,,$AH986), 1 / ($BB$67:$BB$71*BU986 + (1-$BB$67:$BB$71)*BQ986), N($AQ$67:$AQ$71&gt;$AO986)),
SUMPRODUCT(INDEX($AR$57:$AT$66,,$AI986), INDEX($AU$57:$BA$66,,$AH986), 1 / ($BC$57:$BC$66*BU986 + (1-$BC$57:$BC$66)*BQ986), N($AQ$57:$AQ$66&gt;$AO986))
) / 1000</f>
        <v>0</v>
      </c>
      <c r="BW986" s="232">
        <f t="shared" si="873"/>
        <v>20</v>
      </c>
      <c r="BX986" s="230">
        <f t="shared" si="851"/>
        <v>33</v>
      </c>
      <c r="BY986" s="235">
        <f t="shared" si="852"/>
        <v>4.4702678571428569</v>
      </c>
      <c r="BZ986" s="235" cm="1">
        <f t="array" ref="BZ986">$BI986 * IF($AH986&lt;=2,
SUMPRODUCT(INDEX($AR$62:$AT$66,,$AI986), INDEX($AU$62:$BA$66,,$AH986), 1 / ($BB$62:$BB$66*BY986 + (1-$BB$62:$BB$66)*BU986), N($AQ$62:$AQ$66&gt;$AO986)),
SUMPRODUCT(INDEX($AR$47:$AT$56,,$AI986), INDEX($AU$47:$BA$56,,$AH986), 1 / ($BC$47:$BC$56*BY986 + (1-$BC$47:$BC$56)*BU986), N($AQ$47:$AQ$56&gt;$AO986))
) / 1000</f>
        <v>0</v>
      </c>
      <c r="CA986" s="235" cm="1">
        <f t="array" ref="CA986">$BI986 * IF($AH986&lt;=2,
SUMPRODUCT(INDEX($AR$23:$AT$61,,$AI986), INDEX($AU$23:$BA$61,,$AH986), 1 / ($BB$23:$BB$61*BY986), N($AQ$23:$AQ$61&gt;$AO986)),
SUMPRODUCT(INDEX($AR$23:$AT$46,,$AI986), INDEX($AU$23:$BA$46,,$AH986), 1 / ($BC$23:$BC$46*BY986), N($AQ$23:$AQ$46&gt;$AO986))
) / 1000</f>
        <v>0</v>
      </c>
      <c r="CB986" s="230">
        <f t="shared" si="853"/>
        <v>0</v>
      </c>
      <c r="CC986" s="238"/>
      <c r="CD986" s="229" cm="1">
        <f t="array" ref="CD986">IF(ISBLANK(Y986), INDEX(Use, $AH986, 4) - AN986*INDEX(Use, $AH986, 6) - (Q986-X986), Y986)</f>
        <v>7</v>
      </c>
      <c r="CE986" s="229">
        <f t="shared" si="854"/>
        <v>32</v>
      </c>
      <c r="CF986" s="230">
        <f t="shared" si="855"/>
        <v>0</v>
      </c>
      <c r="CG986" s="229">
        <v>35</v>
      </c>
      <c r="CH986" s="230">
        <f t="shared" si="856"/>
        <v>48</v>
      </c>
      <c r="CI986" s="235">
        <f t="shared" si="857"/>
        <v>3.0748170731707316</v>
      </c>
      <c r="CJ986" s="235" cm="1">
        <f t="array" ref="CJ986">$BI986 * SUMPRODUCT(INDEX($AR$77:$AT$82,,$AI986),INDEX($AU$77:$BA$82,,$AH986), N($AQ$77:$AQ$82&gt;$AO986)) / CI986 / 1000</f>
        <v>0</v>
      </c>
      <c r="CK986" s="232">
        <f t="shared" si="874"/>
        <v>30</v>
      </c>
      <c r="CL986" s="230">
        <f t="shared" si="858"/>
        <v>43</v>
      </c>
      <c r="CM986" s="235">
        <f t="shared" si="859"/>
        <v>3.5018750000000001</v>
      </c>
      <c r="CN986" s="235" cm="1">
        <f t="array" ref="CN986">$BI986 * IF($AH986&lt;=2,
SUMPRODUCT(INDEX($AR$72:$AT$76,,$AI986), INDEX($AU$72:$BA$76,,$AH986), 1 / ($BB$72:$BB$76*CM986 + (1-$BB$72:$BB$76)*CI986), N($AQ$72:$AQ$76&gt;$AO986)),
SUMPRODUCT(INDEX($AR$67:$AT$76,,$AI986), INDEX($AU$67:$BA$76,,$AH986), 1 / ($BC$67:$BC$76*CM986 + (1-$BC$67:$BC$76)*CI986), N($AQ$67:$AQ$76&gt;$AO986))
) / 1000</f>
        <v>0</v>
      </c>
      <c r="CO986" s="232">
        <f t="shared" si="875"/>
        <v>25</v>
      </c>
      <c r="CP986" s="230">
        <f t="shared" si="860"/>
        <v>38</v>
      </c>
      <c r="CQ986" s="235">
        <f t="shared" si="861"/>
        <v>4.0666935483870965</v>
      </c>
      <c r="CR986" s="235" cm="1">
        <f t="array" ref="CR986">$BI986 * IF($AH986&lt;=2,
SUMPRODUCT(INDEX($AR$67:$AT$71,,$AI986), INDEX($AU$67:$BA$71,,$AH986), 1 / ($BB$67:$BB$71*CQ986 + (1-$BB$67:$BB$71)*CM986), N($AQ$67:$AQ$71&gt;$AO986)),
SUMPRODUCT(INDEX($AR$57:$AT$66,,$AI986), INDEX($AU$57:$BA$66,,$AH986), 1 / ($BC$57:$BC$66*CQ986 + (1-$BC$57:$BC$66)*CM986), N($AQ$57:$AQ$66&gt;$AO986))
) / 1000</f>
        <v>0</v>
      </c>
      <c r="CS986" s="232">
        <f t="shared" si="876"/>
        <v>20</v>
      </c>
      <c r="CT986" s="230">
        <f t="shared" si="862"/>
        <v>33</v>
      </c>
      <c r="CU986" s="235">
        <f t="shared" si="863"/>
        <v>4.8487499999999999</v>
      </c>
      <c r="CV986" s="235" cm="1">
        <f t="array" ref="CV986">$BI986 * IF($AH986&lt;=2,
SUMPRODUCT(INDEX($AR$62:$AT$66,,$AI986), INDEX($AU$62:$BA$66,,$AH986), 1 / ($BB$62:$BB$66*CU986 + (1-$BB$62:$BB$66)*CQ986), N($AQ$62:$AQ$66&gt;$AO986)),
SUMPRODUCT(INDEX($AR$47:$AT$56,,$AI986), INDEX($AU$47:$BA$56,,$AH986), 1 / ($BC$47:$BC$56*CU986 + (1-$BC$47:$BC$56)*CQ986), N($AQ$47:$AQ$56&gt;$AO986))
) / 1000</f>
        <v>0</v>
      </c>
      <c r="CW986" s="235" cm="1">
        <f t="array" ref="CW986">$BI986 * IF($AH986&lt;=2,
SUMPRODUCT(INDEX($AR$23:$AT$61,,$AI986), INDEX($AU$23:$BA$61,,$AH986), 1 / ($BB$23:$BB$61*CU986), N($AQ$23:$AQ$61&gt;$AO986)),
SUMPRODUCT(INDEX($AR$23:$AT$46,,$AI986), INDEX($AU$23:$BA$46,,$AH986), 1 / ($BC$23:$BC$46*CU986), N($AQ$23:$AQ$46&gt;$AO986))
) / 1000</f>
        <v>0</v>
      </c>
      <c r="CX986" s="230">
        <f t="shared" si="864"/>
        <v>0</v>
      </c>
      <c r="CY986" s="238"/>
    </row>
    <row r="987" spans="1:103" s="76" customFormat="1" ht="14.25" customHeight="1" x14ac:dyDescent="0.2">
      <c r="A987" s="231" t="b">
        <f t="shared" si="868"/>
        <v>0</v>
      </c>
      <c r="B987" s="245">
        <v>965</v>
      </c>
      <c r="C987" s="258"/>
      <c r="D987" s="258"/>
      <c r="E987" s="246"/>
      <c r="F987" s="247" t="str">
        <f>IF(ISBLANK(E987), "", VLOOKUP(E987, Z!$A$2:$C$4127, 3, FALSE))</f>
        <v/>
      </c>
      <c r="G987" s="248"/>
      <c r="H987" s="248"/>
      <c r="I987" s="249"/>
      <c r="J987" s="250"/>
      <c r="K987" s="259"/>
      <c r="L987" s="260"/>
      <c r="M987" s="252" t="str" cm="1">
        <f t="array" ref="M987">INDEX(Trad, 53, $A$20)</f>
        <v>Verschmutzt</v>
      </c>
      <c r="N987" s="253"/>
      <c r="O987" s="253"/>
      <c r="P987" s="254"/>
      <c r="Q987" s="251"/>
      <c r="R987" s="251"/>
      <c r="S987" s="264">
        <f t="shared" si="839"/>
        <v>0</v>
      </c>
      <c r="T987" s="252" t="str" cm="1">
        <f t="array" ref="T987">INDEX(Trad, 52, $A$20)</f>
        <v>Sauber</v>
      </c>
      <c r="U987" s="253"/>
      <c r="V987" s="253"/>
      <c r="W987" s="254"/>
      <c r="X987" s="251"/>
      <c r="Y987" s="251"/>
      <c r="Z987" s="264">
        <f t="shared" si="840"/>
        <v>0</v>
      </c>
      <c r="AA987" s="261"/>
      <c r="AB987" s="258"/>
      <c r="AC987" s="246"/>
      <c r="AD987" s="247" t="str">
        <f>IF(ISBLANK(AC987), "", VLOOKUP(AC987, Z!$A$2:$C$4127, 3, FALSE))</f>
        <v/>
      </c>
      <c r="AE987" s="262"/>
      <c r="AF987" s="263">
        <f t="shared" si="841"/>
        <v>0</v>
      </c>
      <c r="AG987" s="238"/>
      <c r="AH987" s="229">
        <f t="shared" si="865"/>
        <v>1</v>
      </c>
      <c r="AI987" s="229">
        <f t="shared" si="866"/>
        <v>1</v>
      </c>
      <c r="AJ987" s="229">
        <f t="shared" si="867"/>
        <v>0</v>
      </c>
      <c r="AK987" s="229">
        <v>0</v>
      </c>
      <c r="AL987" s="229">
        <v>0</v>
      </c>
      <c r="AM987" s="229">
        <v>1</v>
      </c>
      <c r="AN987" s="229">
        <v>0</v>
      </c>
      <c r="AO987" s="229">
        <f t="shared" si="842"/>
        <v>-100</v>
      </c>
      <c r="AP987" s="238"/>
      <c r="AQ987" s="255"/>
      <c r="AR987" s="255"/>
      <c r="AS987" s="256"/>
      <c r="AT987" s="256"/>
      <c r="AU987" s="256"/>
      <c r="AV987" s="256"/>
      <c r="AW987" s="256"/>
      <c r="AX987" s="256"/>
      <c r="AY987" s="256"/>
      <c r="AZ987" s="256"/>
      <c r="BA987" s="256"/>
      <c r="BB987" s="256"/>
      <c r="BC987" s="256"/>
      <c r="BD987" s="238"/>
      <c r="BE987" s="229" cm="1">
        <f t="array" ref="BE987">IF(ISBLANK(R987), INDEX(Use, $AH987, 4) - AM987*INDEX(Use, $AH987, 6), R987)</f>
        <v>5</v>
      </c>
      <c r="BF987" s="229">
        <f t="shared" si="843"/>
        <v>30</v>
      </c>
      <c r="BG987" s="229">
        <f t="shared" si="869"/>
        <v>13</v>
      </c>
      <c r="BH987" s="229">
        <f t="shared" si="870"/>
        <v>0</v>
      </c>
      <c r="BI987" s="234" cm="1">
        <f t="array" ref="BI987">K987/IF($L987&gt;0, INDEX($AU$23:$BA$77, $L987+20, $AH987), 1)</f>
        <v>0</v>
      </c>
      <c r="BJ987" s="230">
        <f t="shared" si="844"/>
        <v>0</v>
      </c>
      <c r="BK987" s="229">
        <v>35</v>
      </c>
      <c r="BL987" s="230">
        <f t="shared" si="845"/>
        <v>48</v>
      </c>
      <c r="BM987" s="235">
        <f t="shared" si="846"/>
        <v>2.9108720930232557</v>
      </c>
      <c r="BN987" s="235" cm="1">
        <f t="array" ref="BN987">$BI987 * SUMPRODUCT(INDEX($AR$77:$AT$82,,$AI987),INDEX($AU$77:$BA$82,,$AH987), N($AQ$77:$AQ$82&gt;$AO987)) / BM987 / 1000</f>
        <v>0</v>
      </c>
      <c r="BO987" s="232">
        <f t="shared" si="871"/>
        <v>30</v>
      </c>
      <c r="BP987" s="230">
        <f t="shared" si="847"/>
        <v>43</v>
      </c>
      <c r="BQ987" s="235">
        <f t="shared" si="848"/>
        <v>3.2938815789473681</v>
      </c>
      <c r="BR987" s="235" cm="1">
        <f t="array" ref="BR987">$BI987 * IF($AH987&lt;=2,
SUMPRODUCT(INDEX($AR$72:$AT$76,,$AI987), INDEX($AU$72:$BA$76,,$AH987), 1 / ($BB$72:$BB$76*BQ987 + (1-$BB$72:$BB$76)*BM987), N($AQ$72:$AQ$76&gt;$AO987)),
SUMPRODUCT(INDEX($AR$67:$AT$76,,$AI987), INDEX($AU$67:$BA$76,,$AH987), 1 / ($BC$67:$BC$76*BQ987 + (1-$BC$67:$BC$76)*BM987), N($AQ$67:$AQ$76&gt;$AO987))
) / 1000</f>
        <v>0</v>
      </c>
      <c r="BS987" s="232">
        <f t="shared" si="872"/>
        <v>25</v>
      </c>
      <c r="BT987" s="230">
        <f t="shared" si="849"/>
        <v>38</v>
      </c>
      <c r="BU987" s="235">
        <f t="shared" si="850"/>
        <v>3.792954545454545</v>
      </c>
      <c r="BV987" s="235" cm="1">
        <f t="array" ref="BV987">$BI987 * IF($AH987&lt;=2,
SUMPRODUCT(INDEX($AR$67:$AT$71,,$AI987), INDEX($AU$67:$BA$71,,$AH987), 1 / ($BB$67:$BB$71*BU987 + (1-$BB$67:$BB$71)*BQ987), N($AQ$67:$AQ$71&gt;$AO987)),
SUMPRODUCT(INDEX($AR$57:$AT$66,,$AI987), INDEX($AU$57:$BA$66,,$AH987), 1 / ($BC$57:$BC$66*BU987 + (1-$BC$57:$BC$66)*BQ987), N($AQ$57:$AQ$66&gt;$AO987))
) / 1000</f>
        <v>0</v>
      </c>
      <c r="BW987" s="232">
        <f t="shared" si="873"/>
        <v>20</v>
      </c>
      <c r="BX987" s="230">
        <f t="shared" si="851"/>
        <v>33</v>
      </c>
      <c r="BY987" s="235">
        <f t="shared" si="852"/>
        <v>4.4702678571428569</v>
      </c>
      <c r="BZ987" s="235" cm="1">
        <f t="array" ref="BZ987">$BI987 * IF($AH987&lt;=2,
SUMPRODUCT(INDEX($AR$62:$AT$66,,$AI987), INDEX($AU$62:$BA$66,,$AH987), 1 / ($BB$62:$BB$66*BY987 + (1-$BB$62:$BB$66)*BU987), N($AQ$62:$AQ$66&gt;$AO987)),
SUMPRODUCT(INDEX($AR$47:$AT$56,,$AI987), INDEX($AU$47:$BA$56,,$AH987), 1 / ($BC$47:$BC$56*BY987 + (1-$BC$47:$BC$56)*BU987), N($AQ$47:$AQ$56&gt;$AO987))
) / 1000</f>
        <v>0</v>
      </c>
      <c r="CA987" s="235" cm="1">
        <f t="array" ref="CA987">$BI987 * IF($AH987&lt;=2,
SUMPRODUCT(INDEX($AR$23:$AT$61,,$AI987), INDEX($AU$23:$BA$61,,$AH987), 1 / ($BB$23:$BB$61*BY987), N($AQ$23:$AQ$61&gt;$AO987)),
SUMPRODUCT(INDEX($AR$23:$AT$46,,$AI987), INDEX($AU$23:$BA$46,,$AH987), 1 / ($BC$23:$BC$46*BY987), N($AQ$23:$AQ$46&gt;$AO987))
) / 1000</f>
        <v>0</v>
      </c>
      <c r="CB987" s="230">
        <f t="shared" si="853"/>
        <v>0</v>
      </c>
      <c r="CC987" s="238"/>
      <c r="CD987" s="229" cm="1">
        <f t="array" ref="CD987">IF(ISBLANK(Y987), INDEX(Use, $AH987, 4) - AN987*INDEX(Use, $AH987, 6) - (Q987-X987), Y987)</f>
        <v>7</v>
      </c>
      <c r="CE987" s="229">
        <f t="shared" si="854"/>
        <v>32</v>
      </c>
      <c r="CF987" s="230">
        <f t="shared" si="855"/>
        <v>0</v>
      </c>
      <c r="CG987" s="229">
        <v>35</v>
      </c>
      <c r="CH987" s="230">
        <f t="shared" si="856"/>
        <v>48</v>
      </c>
      <c r="CI987" s="235">
        <f t="shared" si="857"/>
        <v>3.0748170731707316</v>
      </c>
      <c r="CJ987" s="235" cm="1">
        <f t="array" ref="CJ987">$BI987 * SUMPRODUCT(INDEX($AR$77:$AT$82,,$AI987),INDEX($AU$77:$BA$82,,$AH987), N($AQ$77:$AQ$82&gt;$AO987)) / CI987 / 1000</f>
        <v>0</v>
      </c>
      <c r="CK987" s="232">
        <f t="shared" si="874"/>
        <v>30</v>
      </c>
      <c r="CL987" s="230">
        <f t="shared" si="858"/>
        <v>43</v>
      </c>
      <c r="CM987" s="235">
        <f t="shared" si="859"/>
        <v>3.5018750000000001</v>
      </c>
      <c r="CN987" s="235" cm="1">
        <f t="array" ref="CN987">$BI987 * IF($AH987&lt;=2,
SUMPRODUCT(INDEX($AR$72:$AT$76,,$AI987), INDEX($AU$72:$BA$76,,$AH987), 1 / ($BB$72:$BB$76*CM987 + (1-$BB$72:$BB$76)*CI987), N($AQ$72:$AQ$76&gt;$AO987)),
SUMPRODUCT(INDEX($AR$67:$AT$76,,$AI987), INDEX($AU$67:$BA$76,,$AH987), 1 / ($BC$67:$BC$76*CM987 + (1-$BC$67:$BC$76)*CI987), N($AQ$67:$AQ$76&gt;$AO987))
) / 1000</f>
        <v>0</v>
      </c>
      <c r="CO987" s="232">
        <f t="shared" si="875"/>
        <v>25</v>
      </c>
      <c r="CP987" s="230">
        <f t="shared" si="860"/>
        <v>38</v>
      </c>
      <c r="CQ987" s="235">
        <f t="shared" si="861"/>
        <v>4.0666935483870965</v>
      </c>
      <c r="CR987" s="235" cm="1">
        <f t="array" ref="CR987">$BI987 * IF($AH987&lt;=2,
SUMPRODUCT(INDEX($AR$67:$AT$71,,$AI987), INDEX($AU$67:$BA$71,,$AH987), 1 / ($BB$67:$BB$71*CQ987 + (1-$BB$67:$BB$71)*CM987), N($AQ$67:$AQ$71&gt;$AO987)),
SUMPRODUCT(INDEX($AR$57:$AT$66,,$AI987), INDEX($AU$57:$BA$66,,$AH987), 1 / ($BC$57:$BC$66*CQ987 + (1-$BC$57:$BC$66)*CM987), N($AQ$57:$AQ$66&gt;$AO987))
) / 1000</f>
        <v>0</v>
      </c>
      <c r="CS987" s="232">
        <f t="shared" si="876"/>
        <v>20</v>
      </c>
      <c r="CT987" s="230">
        <f t="shared" si="862"/>
        <v>33</v>
      </c>
      <c r="CU987" s="235">
        <f t="shared" si="863"/>
        <v>4.8487499999999999</v>
      </c>
      <c r="CV987" s="235" cm="1">
        <f t="array" ref="CV987">$BI987 * IF($AH987&lt;=2,
SUMPRODUCT(INDEX($AR$62:$AT$66,,$AI987), INDEX($AU$62:$BA$66,,$AH987), 1 / ($BB$62:$BB$66*CU987 + (1-$BB$62:$BB$66)*CQ987), N($AQ$62:$AQ$66&gt;$AO987)),
SUMPRODUCT(INDEX($AR$47:$AT$56,,$AI987), INDEX($AU$47:$BA$56,,$AH987), 1 / ($BC$47:$BC$56*CU987 + (1-$BC$47:$BC$56)*CQ987), N($AQ$47:$AQ$56&gt;$AO987))
) / 1000</f>
        <v>0</v>
      </c>
      <c r="CW987" s="235" cm="1">
        <f t="array" ref="CW987">$BI987 * IF($AH987&lt;=2,
SUMPRODUCT(INDEX($AR$23:$AT$61,,$AI987), INDEX($AU$23:$BA$61,,$AH987), 1 / ($BB$23:$BB$61*CU987), N($AQ$23:$AQ$61&gt;$AO987)),
SUMPRODUCT(INDEX($AR$23:$AT$46,,$AI987), INDEX($AU$23:$BA$46,,$AH987), 1 / ($BC$23:$BC$46*CU987), N($AQ$23:$AQ$46&gt;$AO987))
) / 1000</f>
        <v>0</v>
      </c>
      <c r="CX987" s="230">
        <f t="shared" si="864"/>
        <v>0</v>
      </c>
      <c r="CY987" s="238"/>
    </row>
    <row r="988" spans="1:103" s="76" customFormat="1" ht="14.25" customHeight="1" x14ac:dyDescent="0.2">
      <c r="A988" s="231" t="b">
        <f t="shared" si="868"/>
        <v>0</v>
      </c>
      <c r="B988" s="245">
        <v>966</v>
      </c>
      <c r="C988" s="258"/>
      <c r="D988" s="258"/>
      <c r="E988" s="246"/>
      <c r="F988" s="247" t="str">
        <f>IF(ISBLANK(E988), "", VLOOKUP(E988, Z!$A$2:$C$4127, 3, FALSE))</f>
        <v/>
      </c>
      <c r="G988" s="248"/>
      <c r="H988" s="248"/>
      <c r="I988" s="249"/>
      <c r="J988" s="250"/>
      <c r="K988" s="259"/>
      <c r="L988" s="260"/>
      <c r="M988" s="252" t="str" cm="1">
        <f t="array" ref="M988">INDEX(Trad, 53, $A$20)</f>
        <v>Verschmutzt</v>
      </c>
      <c r="N988" s="253"/>
      <c r="O988" s="253"/>
      <c r="P988" s="254"/>
      <c r="Q988" s="251"/>
      <c r="R988" s="251"/>
      <c r="S988" s="264">
        <f t="shared" si="839"/>
        <v>0</v>
      </c>
      <c r="T988" s="252" t="str" cm="1">
        <f t="array" ref="T988">INDEX(Trad, 52, $A$20)</f>
        <v>Sauber</v>
      </c>
      <c r="U988" s="253"/>
      <c r="V988" s="253"/>
      <c r="W988" s="254"/>
      <c r="X988" s="251"/>
      <c r="Y988" s="251"/>
      <c r="Z988" s="264">
        <f t="shared" si="840"/>
        <v>0</v>
      </c>
      <c r="AA988" s="261"/>
      <c r="AB988" s="258"/>
      <c r="AC988" s="246"/>
      <c r="AD988" s="247" t="str">
        <f>IF(ISBLANK(AC988), "", VLOOKUP(AC988, Z!$A$2:$C$4127, 3, FALSE))</f>
        <v/>
      </c>
      <c r="AE988" s="262"/>
      <c r="AF988" s="263">
        <f t="shared" si="841"/>
        <v>0</v>
      </c>
      <c r="AG988" s="238"/>
      <c r="AH988" s="229">
        <f t="shared" si="865"/>
        <v>1</v>
      </c>
      <c r="AI988" s="229">
        <f t="shared" si="866"/>
        <v>1</v>
      </c>
      <c r="AJ988" s="229">
        <f t="shared" si="867"/>
        <v>0</v>
      </c>
      <c r="AK988" s="229">
        <v>0</v>
      </c>
      <c r="AL988" s="229">
        <v>0</v>
      </c>
      <c r="AM988" s="229">
        <v>1</v>
      </c>
      <c r="AN988" s="229">
        <v>0</v>
      </c>
      <c r="AO988" s="229">
        <f t="shared" si="842"/>
        <v>-100</v>
      </c>
      <c r="AP988" s="238"/>
      <c r="AQ988" s="255"/>
      <c r="AR988" s="255"/>
      <c r="AS988" s="256"/>
      <c r="AT988" s="256"/>
      <c r="AU988" s="256"/>
      <c r="AV988" s="256"/>
      <c r="AW988" s="256"/>
      <c r="AX988" s="256"/>
      <c r="AY988" s="256"/>
      <c r="AZ988" s="256"/>
      <c r="BA988" s="256"/>
      <c r="BB988" s="256"/>
      <c r="BC988" s="256"/>
      <c r="BD988" s="238"/>
      <c r="BE988" s="229" cm="1">
        <f t="array" ref="BE988">IF(ISBLANK(R988), INDEX(Use, $AH988, 4) - AM988*INDEX(Use, $AH988, 6), R988)</f>
        <v>5</v>
      </c>
      <c r="BF988" s="229">
        <f t="shared" si="843"/>
        <v>30</v>
      </c>
      <c r="BG988" s="229">
        <f t="shared" si="869"/>
        <v>13</v>
      </c>
      <c r="BH988" s="229">
        <f t="shared" si="870"/>
        <v>0</v>
      </c>
      <c r="BI988" s="234" cm="1">
        <f t="array" ref="BI988">K988/IF($L988&gt;0, INDEX($AU$23:$BA$77, $L988+20, $AH988), 1)</f>
        <v>0</v>
      </c>
      <c r="BJ988" s="230">
        <f t="shared" si="844"/>
        <v>0</v>
      </c>
      <c r="BK988" s="229">
        <v>35</v>
      </c>
      <c r="BL988" s="230">
        <f t="shared" si="845"/>
        <v>48</v>
      </c>
      <c r="BM988" s="235">
        <f t="shared" si="846"/>
        <v>2.9108720930232557</v>
      </c>
      <c r="BN988" s="235" cm="1">
        <f t="array" ref="BN988">$BI988 * SUMPRODUCT(INDEX($AR$77:$AT$82,,$AI988),INDEX($AU$77:$BA$82,,$AH988), N($AQ$77:$AQ$82&gt;$AO988)) / BM988 / 1000</f>
        <v>0</v>
      </c>
      <c r="BO988" s="232">
        <f t="shared" si="871"/>
        <v>30</v>
      </c>
      <c r="BP988" s="230">
        <f t="shared" si="847"/>
        <v>43</v>
      </c>
      <c r="BQ988" s="235">
        <f t="shared" si="848"/>
        <v>3.2938815789473681</v>
      </c>
      <c r="BR988" s="235" cm="1">
        <f t="array" ref="BR988">$BI988 * IF($AH988&lt;=2,
SUMPRODUCT(INDEX($AR$72:$AT$76,,$AI988), INDEX($AU$72:$BA$76,,$AH988), 1 / ($BB$72:$BB$76*BQ988 + (1-$BB$72:$BB$76)*BM988), N($AQ$72:$AQ$76&gt;$AO988)),
SUMPRODUCT(INDEX($AR$67:$AT$76,,$AI988), INDEX($AU$67:$BA$76,,$AH988), 1 / ($BC$67:$BC$76*BQ988 + (1-$BC$67:$BC$76)*BM988), N($AQ$67:$AQ$76&gt;$AO988))
) / 1000</f>
        <v>0</v>
      </c>
      <c r="BS988" s="232">
        <f t="shared" si="872"/>
        <v>25</v>
      </c>
      <c r="BT988" s="230">
        <f t="shared" si="849"/>
        <v>38</v>
      </c>
      <c r="BU988" s="235">
        <f t="shared" si="850"/>
        <v>3.792954545454545</v>
      </c>
      <c r="BV988" s="235" cm="1">
        <f t="array" ref="BV988">$BI988 * IF($AH988&lt;=2,
SUMPRODUCT(INDEX($AR$67:$AT$71,,$AI988), INDEX($AU$67:$BA$71,,$AH988), 1 / ($BB$67:$BB$71*BU988 + (1-$BB$67:$BB$71)*BQ988), N($AQ$67:$AQ$71&gt;$AO988)),
SUMPRODUCT(INDEX($AR$57:$AT$66,,$AI988), INDEX($AU$57:$BA$66,,$AH988), 1 / ($BC$57:$BC$66*BU988 + (1-$BC$57:$BC$66)*BQ988), N($AQ$57:$AQ$66&gt;$AO988))
) / 1000</f>
        <v>0</v>
      </c>
      <c r="BW988" s="232">
        <f t="shared" si="873"/>
        <v>20</v>
      </c>
      <c r="BX988" s="230">
        <f t="shared" si="851"/>
        <v>33</v>
      </c>
      <c r="BY988" s="235">
        <f t="shared" si="852"/>
        <v>4.4702678571428569</v>
      </c>
      <c r="BZ988" s="235" cm="1">
        <f t="array" ref="BZ988">$BI988 * IF($AH988&lt;=2,
SUMPRODUCT(INDEX($AR$62:$AT$66,,$AI988), INDEX($AU$62:$BA$66,,$AH988), 1 / ($BB$62:$BB$66*BY988 + (1-$BB$62:$BB$66)*BU988), N($AQ$62:$AQ$66&gt;$AO988)),
SUMPRODUCT(INDEX($AR$47:$AT$56,,$AI988), INDEX($AU$47:$BA$56,,$AH988), 1 / ($BC$47:$BC$56*BY988 + (1-$BC$47:$BC$56)*BU988), N($AQ$47:$AQ$56&gt;$AO988))
) / 1000</f>
        <v>0</v>
      </c>
      <c r="CA988" s="235" cm="1">
        <f t="array" ref="CA988">$BI988 * IF($AH988&lt;=2,
SUMPRODUCT(INDEX($AR$23:$AT$61,,$AI988), INDEX($AU$23:$BA$61,,$AH988), 1 / ($BB$23:$BB$61*BY988), N($AQ$23:$AQ$61&gt;$AO988)),
SUMPRODUCT(INDEX($AR$23:$AT$46,,$AI988), INDEX($AU$23:$BA$46,,$AH988), 1 / ($BC$23:$BC$46*BY988), N($AQ$23:$AQ$46&gt;$AO988))
) / 1000</f>
        <v>0</v>
      </c>
      <c r="CB988" s="230">
        <f t="shared" si="853"/>
        <v>0</v>
      </c>
      <c r="CC988" s="238"/>
      <c r="CD988" s="229" cm="1">
        <f t="array" ref="CD988">IF(ISBLANK(Y988), INDEX(Use, $AH988, 4) - AN988*INDEX(Use, $AH988, 6) - (Q988-X988), Y988)</f>
        <v>7</v>
      </c>
      <c r="CE988" s="229">
        <f t="shared" si="854"/>
        <v>32</v>
      </c>
      <c r="CF988" s="230">
        <f t="shared" si="855"/>
        <v>0</v>
      </c>
      <c r="CG988" s="229">
        <v>35</v>
      </c>
      <c r="CH988" s="230">
        <f t="shared" si="856"/>
        <v>48</v>
      </c>
      <c r="CI988" s="235">
        <f t="shared" si="857"/>
        <v>3.0748170731707316</v>
      </c>
      <c r="CJ988" s="235" cm="1">
        <f t="array" ref="CJ988">$BI988 * SUMPRODUCT(INDEX($AR$77:$AT$82,,$AI988),INDEX($AU$77:$BA$82,,$AH988), N($AQ$77:$AQ$82&gt;$AO988)) / CI988 / 1000</f>
        <v>0</v>
      </c>
      <c r="CK988" s="232">
        <f t="shared" si="874"/>
        <v>30</v>
      </c>
      <c r="CL988" s="230">
        <f t="shared" si="858"/>
        <v>43</v>
      </c>
      <c r="CM988" s="235">
        <f t="shared" si="859"/>
        <v>3.5018750000000001</v>
      </c>
      <c r="CN988" s="235" cm="1">
        <f t="array" ref="CN988">$BI988 * IF($AH988&lt;=2,
SUMPRODUCT(INDEX($AR$72:$AT$76,,$AI988), INDEX($AU$72:$BA$76,,$AH988), 1 / ($BB$72:$BB$76*CM988 + (1-$BB$72:$BB$76)*CI988), N($AQ$72:$AQ$76&gt;$AO988)),
SUMPRODUCT(INDEX($AR$67:$AT$76,,$AI988), INDEX($AU$67:$BA$76,,$AH988), 1 / ($BC$67:$BC$76*CM988 + (1-$BC$67:$BC$76)*CI988), N($AQ$67:$AQ$76&gt;$AO988))
) / 1000</f>
        <v>0</v>
      </c>
      <c r="CO988" s="232">
        <f t="shared" si="875"/>
        <v>25</v>
      </c>
      <c r="CP988" s="230">
        <f t="shared" si="860"/>
        <v>38</v>
      </c>
      <c r="CQ988" s="235">
        <f t="shared" si="861"/>
        <v>4.0666935483870965</v>
      </c>
      <c r="CR988" s="235" cm="1">
        <f t="array" ref="CR988">$BI988 * IF($AH988&lt;=2,
SUMPRODUCT(INDEX($AR$67:$AT$71,,$AI988), INDEX($AU$67:$BA$71,,$AH988), 1 / ($BB$67:$BB$71*CQ988 + (1-$BB$67:$BB$71)*CM988), N($AQ$67:$AQ$71&gt;$AO988)),
SUMPRODUCT(INDEX($AR$57:$AT$66,,$AI988), INDEX($AU$57:$BA$66,,$AH988), 1 / ($BC$57:$BC$66*CQ988 + (1-$BC$57:$BC$66)*CM988), N($AQ$57:$AQ$66&gt;$AO988))
) / 1000</f>
        <v>0</v>
      </c>
      <c r="CS988" s="232">
        <f t="shared" si="876"/>
        <v>20</v>
      </c>
      <c r="CT988" s="230">
        <f t="shared" si="862"/>
        <v>33</v>
      </c>
      <c r="CU988" s="235">
        <f t="shared" si="863"/>
        <v>4.8487499999999999</v>
      </c>
      <c r="CV988" s="235" cm="1">
        <f t="array" ref="CV988">$BI988 * IF($AH988&lt;=2,
SUMPRODUCT(INDEX($AR$62:$AT$66,,$AI988), INDEX($AU$62:$BA$66,,$AH988), 1 / ($BB$62:$BB$66*CU988 + (1-$BB$62:$BB$66)*CQ988), N($AQ$62:$AQ$66&gt;$AO988)),
SUMPRODUCT(INDEX($AR$47:$AT$56,,$AI988), INDEX($AU$47:$BA$56,,$AH988), 1 / ($BC$47:$BC$56*CU988 + (1-$BC$47:$BC$56)*CQ988), N($AQ$47:$AQ$56&gt;$AO988))
) / 1000</f>
        <v>0</v>
      </c>
      <c r="CW988" s="235" cm="1">
        <f t="array" ref="CW988">$BI988 * IF($AH988&lt;=2,
SUMPRODUCT(INDEX($AR$23:$AT$61,,$AI988), INDEX($AU$23:$BA$61,,$AH988), 1 / ($BB$23:$BB$61*CU988), N($AQ$23:$AQ$61&gt;$AO988)),
SUMPRODUCT(INDEX($AR$23:$AT$46,,$AI988), INDEX($AU$23:$BA$46,,$AH988), 1 / ($BC$23:$BC$46*CU988), N($AQ$23:$AQ$46&gt;$AO988))
) / 1000</f>
        <v>0</v>
      </c>
      <c r="CX988" s="230">
        <f t="shared" si="864"/>
        <v>0</v>
      </c>
      <c r="CY988" s="238"/>
    </row>
    <row r="989" spans="1:103" s="76" customFormat="1" ht="14.25" customHeight="1" x14ac:dyDescent="0.2">
      <c r="A989" s="231" t="b">
        <f t="shared" si="868"/>
        <v>0</v>
      </c>
      <c r="B989" s="245">
        <v>967</v>
      </c>
      <c r="C989" s="258"/>
      <c r="D989" s="258"/>
      <c r="E989" s="246"/>
      <c r="F989" s="247" t="str">
        <f>IF(ISBLANK(E989), "", VLOOKUP(E989, Z!$A$2:$C$4127, 3, FALSE))</f>
        <v/>
      </c>
      <c r="G989" s="248"/>
      <c r="H989" s="248"/>
      <c r="I989" s="249"/>
      <c r="J989" s="250"/>
      <c r="K989" s="259"/>
      <c r="L989" s="260"/>
      <c r="M989" s="252" t="str" cm="1">
        <f t="array" ref="M989">INDEX(Trad, 53, $A$20)</f>
        <v>Verschmutzt</v>
      </c>
      <c r="N989" s="253"/>
      <c r="O989" s="253"/>
      <c r="P989" s="254"/>
      <c r="Q989" s="251"/>
      <c r="R989" s="251"/>
      <c r="S989" s="264">
        <f t="shared" si="839"/>
        <v>0</v>
      </c>
      <c r="T989" s="252" t="str" cm="1">
        <f t="array" ref="T989">INDEX(Trad, 52, $A$20)</f>
        <v>Sauber</v>
      </c>
      <c r="U989" s="253"/>
      <c r="V989" s="253"/>
      <c r="W989" s="254"/>
      <c r="X989" s="251"/>
      <c r="Y989" s="251"/>
      <c r="Z989" s="264">
        <f t="shared" si="840"/>
        <v>0</v>
      </c>
      <c r="AA989" s="261"/>
      <c r="AB989" s="258"/>
      <c r="AC989" s="246"/>
      <c r="AD989" s="247" t="str">
        <f>IF(ISBLANK(AC989), "", VLOOKUP(AC989, Z!$A$2:$C$4127, 3, FALSE))</f>
        <v/>
      </c>
      <c r="AE989" s="262"/>
      <c r="AF989" s="263">
        <f t="shared" si="841"/>
        <v>0</v>
      </c>
      <c r="AG989" s="238"/>
      <c r="AH989" s="229">
        <f t="shared" si="865"/>
        <v>1</v>
      </c>
      <c r="AI989" s="229">
        <f t="shared" si="866"/>
        <v>1</v>
      </c>
      <c r="AJ989" s="229">
        <f t="shared" si="867"/>
        <v>0</v>
      </c>
      <c r="AK989" s="229">
        <v>0</v>
      </c>
      <c r="AL989" s="229">
        <v>0</v>
      </c>
      <c r="AM989" s="229">
        <v>1</v>
      </c>
      <c r="AN989" s="229">
        <v>0</v>
      </c>
      <c r="AO989" s="229">
        <f t="shared" si="842"/>
        <v>-100</v>
      </c>
      <c r="AP989" s="238"/>
      <c r="AQ989" s="255"/>
      <c r="AR989" s="255"/>
      <c r="AS989" s="256"/>
      <c r="AT989" s="256"/>
      <c r="AU989" s="256"/>
      <c r="AV989" s="256"/>
      <c r="AW989" s="256"/>
      <c r="AX989" s="256"/>
      <c r="AY989" s="256"/>
      <c r="AZ989" s="256"/>
      <c r="BA989" s="256"/>
      <c r="BB989" s="256"/>
      <c r="BC989" s="256"/>
      <c r="BD989" s="238"/>
      <c r="BE989" s="229" cm="1">
        <f t="array" ref="BE989">IF(ISBLANK(R989), INDEX(Use, $AH989, 4) - AM989*INDEX(Use, $AH989, 6), R989)</f>
        <v>5</v>
      </c>
      <c r="BF989" s="229">
        <f t="shared" si="843"/>
        <v>30</v>
      </c>
      <c r="BG989" s="229">
        <f t="shared" si="869"/>
        <v>13</v>
      </c>
      <c r="BH989" s="229">
        <f t="shared" si="870"/>
        <v>0</v>
      </c>
      <c r="BI989" s="234" cm="1">
        <f t="array" ref="BI989">K989/IF($L989&gt;0, INDEX($AU$23:$BA$77, $L989+20, $AH989), 1)</f>
        <v>0</v>
      </c>
      <c r="BJ989" s="230">
        <f t="shared" si="844"/>
        <v>0</v>
      </c>
      <c r="BK989" s="229">
        <v>35</v>
      </c>
      <c r="BL989" s="230">
        <f t="shared" si="845"/>
        <v>48</v>
      </c>
      <c r="BM989" s="235">
        <f t="shared" si="846"/>
        <v>2.9108720930232557</v>
      </c>
      <c r="BN989" s="235" cm="1">
        <f t="array" ref="BN989">$BI989 * SUMPRODUCT(INDEX($AR$77:$AT$82,,$AI989),INDEX($AU$77:$BA$82,,$AH989), N($AQ$77:$AQ$82&gt;$AO989)) / BM989 / 1000</f>
        <v>0</v>
      </c>
      <c r="BO989" s="232">
        <f t="shared" si="871"/>
        <v>30</v>
      </c>
      <c r="BP989" s="230">
        <f t="shared" si="847"/>
        <v>43</v>
      </c>
      <c r="BQ989" s="235">
        <f t="shared" si="848"/>
        <v>3.2938815789473681</v>
      </c>
      <c r="BR989" s="235" cm="1">
        <f t="array" ref="BR989">$BI989 * IF($AH989&lt;=2,
SUMPRODUCT(INDEX($AR$72:$AT$76,,$AI989), INDEX($AU$72:$BA$76,,$AH989), 1 / ($BB$72:$BB$76*BQ989 + (1-$BB$72:$BB$76)*BM989), N($AQ$72:$AQ$76&gt;$AO989)),
SUMPRODUCT(INDEX($AR$67:$AT$76,,$AI989), INDEX($AU$67:$BA$76,,$AH989), 1 / ($BC$67:$BC$76*BQ989 + (1-$BC$67:$BC$76)*BM989), N($AQ$67:$AQ$76&gt;$AO989))
) / 1000</f>
        <v>0</v>
      </c>
      <c r="BS989" s="232">
        <f t="shared" si="872"/>
        <v>25</v>
      </c>
      <c r="BT989" s="230">
        <f t="shared" si="849"/>
        <v>38</v>
      </c>
      <c r="BU989" s="235">
        <f t="shared" si="850"/>
        <v>3.792954545454545</v>
      </c>
      <c r="BV989" s="235" cm="1">
        <f t="array" ref="BV989">$BI989 * IF($AH989&lt;=2,
SUMPRODUCT(INDEX($AR$67:$AT$71,,$AI989), INDEX($AU$67:$BA$71,,$AH989), 1 / ($BB$67:$BB$71*BU989 + (1-$BB$67:$BB$71)*BQ989), N($AQ$67:$AQ$71&gt;$AO989)),
SUMPRODUCT(INDEX($AR$57:$AT$66,,$AI989), INDEX($AU$57:$BA$66,,$AH989), 1 / ($BC$57:$BC$66*BU989 + (1-$BC$57:$BC$66)*BQ989), N($AQ$57:$AQ$66&gt;$AO989))
) / 1000</f>
        <v>0</v>
      </c>
      <c r="BW989" s="232">
        <f t="shared" si="873"/>
        <v>20</v>
      </c>
      <c r="BX989" s="230">
        <f t="shared" si="851"/>
        <v>33</v>
      </c>
      <c r="BY989" s="235">
        <f t="shared" si="852"/>
        <v>4.4702678571428569</v>
      </c>
      <c r="BZ989" s="235" cm="1">
        <f t="array" ref="BZ989">$BI989 * IF($AH989&lt;=2,
SUMPRODUCT(INDEX($AR$62:$AT$66,,$AI989), INDEX($AU$62:$BA$66,,$AH989), 1 / ($BB$62:$BB$66*BY989 + (1-$BB$62:$BB$66)*BU989), N($AQ$62:$AQ$66&gt;$AO989)),
SUMPRODUCT(INDEX($AR$47:$AT$56,,$AI989), INDEX($AU$47:$BA$56,,$AH989), 1 / ($BC$47:$BC$56*BY989 + (1-$BC$47:$BC$56)*BU989), N($AQ$47:$AQ$56&gt;$AO989))
) / 1000</f>
        <v>0</v>
      </c>
      <c r="CA989" s="235" cm="1">
        <f t="array" ref="CA989">$BI989 * IF($AH989&lt;=2,
SUMPRODUCT(INDEX($AR$23:$AT$61,,$AI989), INDEX($AU$23:$BA$61,,$AH989), 1 / ($BB$23:$BB$61*BY989), N($AQ$23:$AQ$61&gt;$AO989)),
SUMPRODUCT(INDEX($AR$23:$AT$46,,$AI989), INDEX($AU$23:$BA$46,,$AH989), 1 / ($BC$23:$BC$46*BY989), N($AQ$23:$AQ$46&gt;$AO989))
) / 1000</f>
        <v>0</v>
      </c>
      <c r="CB989" s="230">
        <f t="shared" si="853"/>
        <v>0</v>
      </c>
      <c r="CC989" s="238"/>
      <c r="CD989" s="229" cm="1">
        <f t="array" ref="CD989">IF(ISBLANK(Y989), INDEX(Use, $AH989, 4) - AN989*INDEX(Use, $AH989, 6) - (Q989-X989), Y989)</f>
        <v>7</v>
      </c>
      <c r="CE989" s="229">
        <f t="shared" si="854"/>
        <v>32</v>
      </c>
      <c r="CF989" s="230">
        <f t="shared" si="855"/>
        <v>0</v>
      </c>
      <c r="CG989" s="229">
        <v>35</v>
      </c>
      <c r="CH989" s="230">
        <f t="shared" si="856"/>
        <v>48</v>
      </c>
      <c r="CI989" s="235">
        <f t="shared" si="857"/>
        <v>3.0748170731707316</v>
      </c>
      <c r="CJ989" s="235" cm="1">
        <f t="array" ref="CJ989">$BI989 * SUMPRODUCT(INDEX($AR$77:$AT$82,,$AI989),INDEX($AU$77:$BA$82,,$AH989), N($AQ$77:$AQ$82&gt;$AO989)) / CI989 / 1000</f>
        <v>0</v>
      </c>
      <c r="CK989" s="232">
        <f t="shared" si="874"/>
        <v>30</v>
      </c>
      <c r="CL989" s="230">
        <f t="shared" si="858"/>
        <v>43</v>
      </c>
      <c r="CM989" s="235">
        <f t="shared" si="859"/>
        <v>3.5018750000000001</v>
      </c>
      <c r="CN989" s="235" cm="1">
        <f t="array" ref="CN989">$BI989 * IF($AH989&lt;=2,
SUMPRODUCT(INDEX($AR$72:$AT$76,,$AI989), INDEX($AU$72:$BA$76,,$AH989), 1 / ($BB$72:$BB$76*CM989 + (1-$BB$72:$BB$76)*CI989), N($AQ$72:$AQ$76&gt;$AO989)),
SUMPRODUCT(INDEX($AR$67:$AT$76,,$AI989), INDEX($AU$67:$BA$76,,$AH989), 1 / ($BC$67:$BC$76*CM989 + (1-$BC$67:$BC$76)*CI989), N($AQ$67:$AQ$76&gt;$AO989))
) / 1000</f>
        <v>0</v>
      </c>
      <c r="CO989" s="232">
        <f t="shared" si="875"/>
        <v>25</v>
      </c>
      <c r="CP989" s="230">
        <f t="shared" si="860"/>
        <v>38</v>
      </c>
      <c r="CQ989" s="235">
        <f t="shared" si="861"/>
        <v>4.0666935483870965</v>
      </c>
      <c r="CR989" s="235" cm="1">
        <f t="array" ref="CR989">$BI989 * IF($AH989&lt;=2,
SUMPRODUCT(INDEX($AR$67:$AT$71,,$AI989), INDEX($AU$67:$BA$71,,$AH989), 1 / ($BB$67:$BB$71*CQ989 + (1-$BB$67:$BB$71)*CM989), N($AQ$67:$AQ$71&gt;$AO989)),
SUMPRODUCT(INDEX($AR$57:$AT$66,,$AI989), INDEX($AU$57:$BA$66,,$AH989), 1 / ($BC$57:$BC$66*CQ989 + (1-$BC$57:$BC$66)*CM989), N($AQ$57:$AQ$66&gt;$AO989))
) / 1000</f>
        <v>0</v>
      </c>
      <c r="CS989" s="232">
        <f t="shared" si="876"/>
        <v>20</v>
      </c>
      <c r="CT989" s="230">
        <f t="shared" si="862"/>
        <v>33</v>
      </c>
      <c r="CU989" s="235">
        <f t="shared" si="863"/>
        <v>4.8487499999999999</v>
      </c>
      <c r="CV989" s="235" cm="1">
        <f t="array" ref="CV989">$BI989 * IF($AH989&lt;=2,
SUMPRODUCT(INDEX($AR$62:$AT$66,,$AI989), INDEX($AU$62:$BA$66,,$AH989), 1 / ($BB$62:$BB$66*CU989 + (1-$BB$62:$BB$66)*CQ989), N($AQ$62:$AQ$66&gt;$AO989)),
SUMPRODUCT(INDEX($AR$47:$AT$56,,$AI989), INDEX($AU$47:$BA$56,,$AH989), 1 / ($BC$47:$BC$56*CU989 + (1-$BC$47:$BC$56)*CQ989), N($AQ$47:$AQ$56&gt;$AO989))
) / 1000</f>
        <v>0</v>
      </c>
      <c r="CW989" s="235" cm="1">
        <f t="array" ref="CW989">$BI989 * IF($AH989&lt;=2,
SUMPRODUCT(INDEX($AR$23:$AT$61,,$AI989), INDEX($AU$23:$BA$61,,$AH989), 1 / ($BB$23:$BB$61*CU989), N($AQ$23:$AQ$61&gt;$AO989)),
SUMPRODUCT(INDEX($AR$23:$AT$46,,$AI989), INDEX($AU$23:$BA$46,,$AH989), 1 / ($BC$23:$BC$46*CU989), N($AQ$23:$AQ$46&gt;$AO989))
) / 1000</f>
        <v>0</v>
      </c>
      <c r="CX989" s="230">
        <f t="shared" si="864"/>
        <v>0</v>
      </c>
      <c r="CY989" s="238"/>
    </row>
    <row r="990" spans="1:103" s="76" customFormat="1" ht="14.25" customHeight="1" x14ac:dyDescent="0.2">
      <c r="A990" s="231" t="b">
        <f t="shared" si="868"/>
        <v>0</v>
      </c>
      <c r="B990" s="245">
        <v>968</v>
      </c>
      <c r="C990" s="258"/>
      <c r="D990" s="258"/>
      <c r="E990" s="246"/>
      <c r="F990" s="247" t="str">
        <f>IF(ISBLANK(E990), "", VLOOKUP(E990, Z!$A$2:$C$4127, 3, FALSE))</f>
        <v/>
      </c>
      <c r="G990" s="248"/>
      <c r="H990" s="248"/>
      <c r="I990" s="249"/>
      <c r="J990" s="250"/>
      <c r="K990" s="259"/>
      <c r="L990" s="260"/>
      <c r="M990" s="252" t="str" cm="1">
        <f t="array" ref="M990">INDEX(Trad, 53, $A$20)</f>
        <v>Verschmutzt</v>
      </c>
      <c r="N990" s="253"/>
      <c r="O990" s="253"/>
      <c r="P990" s="254"/>
      <c r="Q990" s="251"/>
      <c r="R990" s="251"/>
      <c r="S990" s="264">
        <f t="shared" si="839"/>
        <v>0</v>
      </c>
      <c r="T990" s="252" t="str" cm="1">
        <f t="array" ref="T990">INDEX(Trad, 52, $A$20)</f>
        <v>Sauber</v>
      </c>
      <c r="U990" s="253"/>
      <c r="V990" s="253"/>
      <c r="W990" s="254"/>
      <c r="X990" s="251"/>
      <c r="Y990" s="251"/>
      <c r="Z990" s="264">
        <f t="shared" si="840"/>
        <v>0</v>
      </c>
      <c r="AA990" s="261"/>
      <c r="AB990" s="258"/>
      <c r="AC990" s="246"/>
      <c r="AD990" s="247" t="str">
        <f>IF(ISBLANK(AC990), "", VLOOKUP(AC990, Z!$A$2:$C$4127, 3, FALSE))</f>
        <v/>
      </c>
      <c r="AE990" s="262"/>
      <c r="AF990" s="263">
        <f t="shared" si="841"/>
        <v>0</v>
      </c>
      <c r="AG990" s="238"/>
      <c r="AH990" s="229">
        <f t="shared" si="865"/>
        <v>1</v>
      </c>
      <c r="AI990" s="229">
        <f t="shared" si="866"/>
        <v>1</v>
      </c>
      <c r="AJ990" s="229">
        <f t="shared" si="867"/>
        <v>0</v>
      </c>
      <c r="AK990" s="229">
        <v>0</v>
      </c>
      <c r="AL990" s="229">
        <v>0</v>
      </c>
      <c r="AM990" s="229">
        <v>1</v>
      </c>
      <c r="AN990" s="229">
        <v>0</v>
      </c>
      <c r="AO990" s="229">
        <f t="shared" si="842"/>
        <v>-100</v>
      </c>
      <c r="AP990" s="238"/>
      <c r="AQ990" s="255"/>
      <c r="AR990" s="255"/>
      <c r="AS990" s="256"/>
      <c r="AT990" s="256"/>
      <c r="AU990" s="256"/>
      <c r="AV990" s="256"/>
      <c r="AW990" s="256"/>
      <c r="AX990" s="256"/>
      <c r="AY990" s="256"/>
      <c r="AZ990" s="256"/>
      <c r="BA990" s="256"/>
      <c r="BB990" s="256"/>
      <c r="BC990" s="256"/>
      <c r="BD990" s="238"/>
      <c r="BE990" s="229" cm="1">
        <f t="array" ref="BE990">IF(ISBLANK(R990), INDEX(Use, $AH990, 4) - AM990*INDEX(Use, $AH990, 6), R990)</f>
        <v>5</v>
      </c>
      <c r="BF990" s="229">
        <f t="shared" si="843"/>
        <v>30</v>
      </c>
      <c r="BG990" s="229">
        <f t="shared" si="869"/>
        <v>13</v>
      </c>
      <c r="BH990" s="229">
        <f t="shared" si="870"/>
        <v>0</v>
      </c>
      <c r="BI990" s="234" cm="1">
        <f t="array" ref="BI990">K990/IF($L990&gt;0, INDEX($AU$23:$BA$77, $L990+20, $AH990), 1)</f>
        <v>0</v>
      </c>
      <c r="BJ990" s="230">
        <f t="shared" si="844"/>
        <v>0</v>
      </c>
      <c r="BK990" s="229">
        <v>35</v>
      </c>
      <c r="BL990" s="230">
        <f t="shared" si="845"/>
        <v>48</v>
      </c>
      <c r="BM990" s="235">
        <f t="shared" si="846"/>
        <v>2.9108720930232557</v>
      </c>
      <c r="BN990" s="235" cm="1">
        <f t="array" ref="BN990">$BI990 * SUMPRODUCT(INDEX($AR$77:$AT$82,,$AI990),INDEX($AU$77:$BA$82,,$AH990), N($AQ$77:$AQ$82&gt;$AO990)) / BM990 / 1000</f>
        <v>0</v>
      </c>
      <c r="BO990" s="232">
        <f t="shared" si="871"/>
        <v>30</v>
      </c>
      <c r="BP990" s="230">
        <f t="shared" si="847"/>
        <v>43</v>
      </c>
      <c r="BQ990" s="235">
        <f t="shared" si="848"/>
        <v>3.2938815789473681</v>
      </c>
      <c r="BR990" s="235" cm="1">
        <f t="array" ref="BR990">$BI990 * IF($AH990&lt;=2,
SUMPRODUCT(INDEX($AR$72:$AT$76,,$AI990), INDEX($AU$72:$BA$76,,$AH990), 1 / ($BB$72:$BB$76*BQ990 + (1-$BB$72:$BB$76)*BM990), N($AQ$72:$AQ$76&gt;$AO990)),
SUMPRODUCT(INDEX($AR$67:$AT$76,,$AI990), INDEX($AU$67:$BA$76,,$AH990), 1 / ($BC$67:$BC$76*BQ990 + (1-$BC$67:$BC$76)*BM990), N($AQ$67:$AQ$76&gt;$AO990))
) / 1000</f>
        <v>0</v>
      </c>
      <c r="BS990" s="232">
        <f t="shared" si="872"/>
        <v>25</v>
      </c>
      <c r="BT990" s="230">
        <f t="shared" si="849"/>
        <v>38</v>
      </c>
      <c r="BU990" s="235">
        <f t="shared" si="850"/>
        <v>3.792954545454545</v>
      </c>
      <c r="BV990" s="235" cm="1">
        <f t="array" ref="BV990">$BI990 * IF($AH990&lt;=2,
SUMPRODUCT(INDEX($AR$67:$AT$71,,$AI990), INDEX($AU$67:$BA$71,,$AH990), 1 / ($BB$67:$BB$71*BU990 + (1-$BB$67:$BB$71)*BQ990), N($AQ$67:$AQ$71&gt;$AO990)),
SUMPRODUCT(INDEX($AR$57:$AT$66,,$AI990), INDEX($AU$57:$BA$66,,$AH990), 1 / ($BC$57:$BC$66*BU990 + (1-$BC$57:$BC$66)*BQ990), N($AQ$57:$AQ$66&gt;$AO990))
) / 1000</f>
        <v>0</v>
      </c>
      <c r="BW990" s="232">
        <f t="shared" si="873"/>
        <v>20</v>
      </c>
      <c r="BX990" s="230">
        <f t="shared" si="851"/>
        <v>33</v>
      </c>
      <c r="BY990" s="235">
        <f t="shared" si="852"/>
        <v>4.4702678571428569</v>
      </c>
      <c r="BZ990" s="235" cm="1">
        <f t="array" ref="BZ990">$BI990 * IF($AH990&lt;=2,
SUMPRODUCT(INDEX($AR$62:$AT$66,,$AI990), INDEX($AU$62:$BA$66,,$AH990), 1 / ($BB$62:$BB$66*BY990 + (1-$BB$62:$BB$66)*BU990), N($AQ$62:$AQ$66&gt;$AO990)),
SUMPRODUCT(INDEX($AR$47:$AT$56,,$AI990), INDEX($AU$47:$BA$56,,$AH990), 1 / ($BC$47:$BC$56*BY990 + (1-$BC$47:$BC$56)*BU990), N($AQ$47:$AQ$56&gt;$AO990))
) / 1000</f>
        <v>0</v>
      </c>
      <c r="CA990" s="235" cm="1">
        <f t="array" ref="CA990">$BI990 * IF($AH990&lt;=2,
SUMPRODUCT(INDEX($AR$23:$AT$61,,$AI990), INDEX($AU$23:$BA$61,,$AH990), 1 / ($BB$23:$BB$61*BY990), N($AQ$23:$AQ$61&gt;$AO990)),
SUMPRODUCT(INDEX($AR$23:$AT$46,,$AI990), INDEX($AU$23:$BA$46,,$AH990), 1 / ($BC$23:$BC$46*BY990), N($AQ$23:$AQ$46&gt;$AO990))
) / 1000</f>
        <v>0</v>
      </c>
      <c r="CB990" s="230">
        <f t="shared" si="853"/>
        <v>0</v>
      </c>
      <c r="CC990" s="238"/>
      <c r="CD990" s="229" cm="1">
        <f t="array" ref="CD990">IF(ISBLANK(Y990), INDEX(Use, $AH990, 4) - AN990*INDEX(Use, $AH990, 6) - (Q990-X990), Y990)</f>
        <v>7</v>
      </c>
      <c r="CE990" s="229">
        <f t="shared" si="854"/>
        <v>32</v>
      </c>
      <c r="CF990" s="230">
        <f t="shared" si="855"/>
        <v>0</v>
      </c>
      <c r="CG990" s="229">
        <v>35</v>
      </c>
      <c r="CH990" s="230">
        <f t="shared" si="856"/>
        <v>48</v>
      </c>
      <c r="CI990" s="235">
        <f t="shared" si="857"/>
        <v>3.0748170731707316</v>
      </c>
      <c r="CJ990" s="235" cm="1">
        <f t="array" ref="CJ990">$BI990 * SUMPRODUCT(INDEX($AR$77:$AT$82,,$AI990),INDEX($AU$77:$BA$82,,$AH990), N($AQ$77:$AQ$82&gt;$AO990)) / CI990 / 1000</f>
        <v>0</v>
      </c>
      <c r="CK990" s="232">
        <f t="shared" si="874"/>
        <v>30</v>
      </c>
      <c r="CL990" s="230">
        <f t="shared" si="858"/>
        <v>43</v>
      </c>
      <c r="CM990" s="235">
        <f t="shared" si="859"/>
        <v>3.5018750000000001</v>
      </c>
      <c r="CN990" s="235" cm="1">
        <f t="array" ref="CN990">$BI990 * IF($AH990&lt;=2,
SUMPRODUCT(INDEX($AR$72:$AT$76,,$AI990), INDEX($AU$72:$BA$76,,$AH990), 1 / ($BB$72:$BB$76*CM990 + (1-$BB$72:$BB$76)*CI990), N($AQ$72:$AQ$76&gt;$AO990)),
SUMPRODUCT(INDEX($AR$67:$AT$76,,$AI990), INDEX($AU$67:$BA$76,,$AH990), 1 / ($BC$67:$BC$76*CM990 + (1-$BC$67:$BC$76)*CI990), N($AQ$67:$AQ$76&gt;$AO990))
) / 1000</f>
        <v>0</v>
      </c>
      <c r="CO990" s="232">
        <f t="shared" si="875"/>
        <v>25</v>
      </c>
      <c r="CP990" s="230">
        <f t="shared" si="860"/>
        <v>38</v>
      </c>
      <c r="CQ990" s="235">
        <f t="shared" si="861"/>
        <v>4.0666935483870965</v>
      </c>
      <c r="CR990" s="235" cm="1">
        <f t="array" ref="CR990">$BI990 * IF($AH990&lt;=2,
SUMPRODUCT(INDEX($AR$67:$AT$71,,$AI990), INDEX($AU$67:$BA$71,,$AH990), 1 / ($BB$67:$BB$71*CQ990 + (1-$BB$67:$BB$71)*CM990), N($AQ$67:$AQ$71&gt;$AO990)),
SUMPRODUCT(INDEX($AR$57:$AT$66,,$AI990), INDEX($AU$57:$BA$66,,$AH990), 1 / ($BC$57:$BC$66*CQ990 + (1-$BC$57:$BC$66)*CM990), N($AQ$57:$AQ$66&gt;$AO990))
) / 1000</f>
        <v>0</v>
      </c>
      <c r="CS990" s="232">
        <f t="shared" si="876"/>
        <v>20</v>
      </c>
      <c r="CT990" s="230">
        <f t="shared" si="862"/>
        <v>33</v>
      </c>
      <c r="CU990" s="235">
        <f t="shared" si="863"/>
        <v>4.8487499999999999</v>
      </c>
      <c r="CV990" s="235" cm="1">
        <f t="array" ref="CV990">$BI990 * IF($AH990&lt;=2,
SUMPRODUCT(INDEX($AR$62:$AT$66,,$AI990), INDEX($AU$62:$BA$66,,$AH990), 1 / ($BB$62:$BB$66*CU990 + (1-$BB$62:$BB$66)*CQ990), N($AQ$62:$AQ$66&gt;$AO990)),
SUMPRODUCT(INDEX($AR$47:$AT$56,,$AI990), INDEX($AU$47:$BA$56,,$AH990), 1 / ($BC$47:$BC$56*CU990 + (1-$BC$47:$BC$56)*CQ990), N($AQ$47:$AQ$56&gt;$AO990))
) / 1000</f>
        <v>0</v>
      </c>
      <c r="CW990" s="235" cm="1">
        <f t="array" ref="CW990">$BI990 * IF($AH990&lt;=2,
SUMPRODUCT(INDEX($AR$23:$AT$61,,$AI990), INDEX($AU$23:$BA$61,,$AH990), 1 / ($BB$23:$BB$61*CU990), N($AQ$23:$AQ$61&gt;$AO990)),
SUMPRODUCT(INDEX($AR$23:$AT$46,,$AI990), INDEX($AU$23:$BA$46,,$AH990), 1 / ($BC$23:$BC$46*CU990), N($AQ$23:$AQ$46&gt;$AO990))
) / 1000</f>
        <v>0</v>
      </c>
      <c r="CX990" s="230">
        <f t="shared" si="864"/>
        <v>0</v>
      </c>
      <c r="CY990" s="238"/>
    </row>
    <row r="991" spans="1:103" s="76" customFormat="1" ht="14.25" customHeight="1" x14ac:dyDescent="0.2">
      <c r="A991" s="231" t="b">
        <f t="shared" si="868"/>
        <v>0</v>
      </c>
      <c r="B991" s="245">
        <v>969</v>
      </c>
      <c r="C991" s="258"/>
      <c r="D991" s="258"/>
      <c r="E991" s="246"/>
      <c r="F991" s="247" t="str">
        <f>IF(ISBLANK(E991), "", VLOOKUP(E991, Z!$A$2:$C$4127, 3, FALSE))</f>
        <v/>
      </c>
      <c r="G991" s="248"/>
      <c r="H991" s="248"/>
      <c r="I991" s="249"/>
      <c r="J991" s="250"/>
      <c r="K991" s="259"/>
      <c r="L991" s="260"/>
      <c r="M991" s="252" t="str" cm="1">
        <f t="array" ref="M991">INDEX(Trad, 53, $A$20)</f>
        <v>Verschmutzt</v>
      </c>
      <c r="N991" s="253"/>
      <c r="O991" s="253"/>
      <c r="P991" s="254"/>
      <c r="Q991" s="251"/>
      <c r="R991" s="251"/>
      <c r="S991" s="264">
        <f t="shared" si="839"/>
        <v>0</v>
      </c>
      <c r="T991" s="252" t="str" cm="1">
        <f t="array" ref="T991">INDEX(Trad, 52, $A$20)</f>
        <v>Sauber</v>
      </c>
      <c r="U991" s="253"/>
      <c r="V991" s="253"/>
      <c r="W991" s="254"/>
      <c r="X991" s="251"/>
      <c r="Y991" s="251"/>
      <c r="Z991" s="264">
        <f t="shared" si="840"/>
        <v>0</v>
      </c>
      <c r="AA991" s="261"/>
      <c r="AB991" s="258"/>
      <c r="AC991" s="246"/>
      <c r="AD991" s="247" t="str">
        <f>IF(ISBLANK(AC991), "", VLOOKUP(AC991, Z!$A$2:$C$4127, 3, FALSE))</f>
        <v/>
      </c>
      <c r="AE991" s="262"/>
      <c r="AF991" s="263">
        <f t="shared" si="841"/>
        <v>0</v>
      </c>
      <c r="AG991" s="238"/>
      <c r="AH991" s="229">
        <f t="shared" si="865"/>
        <v>1</v>
      </c>
      <c r="AI991" s="229">
        <f t="shared" si="866"/>
        <v>1</v>
      </c>
      <c r="AJ991" s="229">
        <f t="shared" si="867"/>
        <v>0</v>
      </c>
      <c r="AK991" s="229">
        <v>0</v>
      </c>
      <c r="AL991" s="229">
        <v>0</v>
      </c>
      <c r="AM991" s="229">
        <v>1</v>
      </c>
      <c r="AN991" s="229">
        <v>0</v>
      </c>
      <c r="AO991" s="229">
        <f t="shared" si="842"/>
        <v>-100</v>
      </c>
      <c r="AP991" s="238"/>
      <c r="AQ991" s="255"/>
      <c r="AR991" s="255"/>
      <c r="AS991" s="256"/>
      <c r="AT991" s="256"/>
      <c r="AU991" s="256"/>
      <c r="AV991" s="256"/>
      <c r="AW991" s="256"/>
      <c r="AX991" s="256"/>
      <c r="AY991" s="256"/>
      <c r="AZ991" s="256"/>
      <c r="BA991" s="256"/>
      <c r="BB991" s="256"/>
      <c r="BC991" s="256"/>
      <c r="BD991" s="238"/>
      <c r="BE991" s="229" cm="1">
        <f t="array" ref="BE991">IF(ISBLANK(R991), INDEX(Use, $AH991, 4) - AM991*INDEX(Use, $AH991, 6), R991)</f>
        <v>5</v>
      </c>
      <c r="BF991" s="229">
        <f t="shared" si="843"/>
        <v>30</v>
      </c>
      <c r="BG991" s="229">
        <f t="shared" si="869"/>
        <v>13</v>
      </c>
      <c r="BH991" s="229">
        <f t="shared" si="870"/>
        <v>0</v>
      </c>
      <c r="BI991" s="234" cm="1">
        <f t="array" ref="BI991">K991/IF($L991&gt;0, INDEX($AU$23:$BA$77, $L991+20, $AH991), 1)</f>
        <v>0</v>
      </c>
      <c r="BJ991" s="230">
        <f t="shared" si="844"/>
        <v>0</v>
      </c>
      <c r="BK991" s="229">
        <v>35</v>
      </c>
      <c r="BL991" s="230">
        <f t="shared" si="845"/>
        <v>48</v>
      </c>
      <c r="BM991" s="235">
        <f t="shared" si="846"/>
        <v>2.9108720930232557</v>
      </c>
      <c r="BN991" s="235" cm="1">
        <f t="array" ref="BN991">$BI991 * SUMPRODUCT(INDEX($AR$77:$AT$82,,$AI991),INDEX($AU$77:$BA$82,,$AH991), N($AQ$77:$AQ$82&gt;$AO991)) / BM991 / 1000</f>
        <v>0</v>
      </c>
      <c r="BO991" s="232">
        <f t="shared" si="871"/>
        <v>30</v>
      </c>
      <c r="BP991" s="230">
        <f t="shared" si="847"/>
        <v>43</v>
      </c>
      <c r="BQ991" s="235">
        <f t="shared" si="848"/>
        <v>3.2938815789473681</v>
      </c>
      <c r="BR991" s="235" cm="1">
        <f t="array" ref="BR991">$BI991 * IF($AH991&lt;=2,
SUMPRODUCT(INDEX($AR$72:$AT$76,,$AI991), INDEX($AU$72:$BA$76,,$AH991), 1 / ($BB$72:$BB$76*BQ991 + (1-$BB$72:$BB$76)*BM991), N($AQ$72:$AQ$76&gt;$AO991)),
SUMPRODUCT(INDEX($AR$67:$AT$76,,$AI991), INDEX($AU$67:$BA$76,,$AH991), 1 / ($BC$67:$BC$76*BQ991 + (1-$BC$67:$BC$76)*BM991), N($AQ$67:$AQ$76&gt;$AO991))
) / 1000</f>
        <v>0</v>
      </c>
      <c r="BS991" s="232">
        <f t="shared" si="872"/>
        <v>25</v>
      </c>
      <c r="BT991" s="230">
        <f t="shared" si="849"/>
        <v>38</v>
      </c>
      <c r="BU991" s="235">
        <f t="shared" si="850"/>
        <v>3.792954545454545</v>
      </c>
      <c r="BV991" s="235" cm="1">
        <f t="array" ref="BV991">$BI991 * IF($AH991&lt;=2,
SUMPRODUCT(INDEX($AR$67:$AT$71,,$AI991), INDEX($AU$67:$BA$71,,$AH991), 1 / ($BB$67:$BB$71*BU991 + (1-$BB$67:$BB$71)*BQ991), N($AQ$67:$AQ$71&gt;$AO991)),
SUMPRODUCT(INDEX($AR$57:$AT$66,,$AI991), INDEX($AU$57:$BA$66,,$AH991), 1 / ($BC$57:$BC$66*BU991 + (1-$BC$57:$BC$66)*BQ991), N($AQ$57:$AQ$66&gt;$AO991))
) / 1000</f>
        <v>0</v>
      </c>
      <c r="BW991" s="232">
        <f t="shared" si="873"/>
        <v>20</v>
      </c>
      <c r="BX991" s="230">
        <f t="shared" si="851"/>
        <v>33</v>
      </c>
      <c r="BY991" s="235">
        <f t="shared" si="852"/>
        <v>4.4702678571428569</v>
      </c>
      <c r="BZ991" s="235" cm="1">
        <f t="array" ref="BZ991">$BI991 * IF($AH991&lt;=2,
SUMPRODUCT(INDEX($AR$62:$AT$66,,$AI991), INDEX($AU$62:$BA$66,,$AH991), 1 / ($BB$62:$BB$66*BY991 + (1-$BB$62:$BB$66)*BU991), N($AQ$62:$AQ$66&gt;$AO991)),
SUMPRODUCT(INDEX($AR$47:$AT$56,,$AI991), INDEX($AU$47:$BA$56,,$AH991), 1 / ($BC$47:$BC$56*BY991 + (1-$BC$47:$BC$56)*BU991), N($AQ$47:$AQ$56&gt;$AO991))
) / 1000</f>
        <v>0</v>
      </c>
      <c r="CA991" s="235" cm="1">
        <f t="array" ref="CA991">$BI991 * IF($AH991&lt;=2,
SUMPRODUCT(INDEX($AR$23:$AT$61,,$AI991), INDEX($AU$23:$BA$61,,$AH991), 1 / ($BB$23:$BB$61*BY991), N($AQ$23:$AQ$61&gt;$AO991)),
SUMPRODUCT(INDEX($AR$23:$AT$46,,$AI991), INDEX($AU$23:$BA$46,,$AH991), 1 / ($BC$23:$BC$46*BY991), N($AQ$23:$AQ$46&gt;$AO991))
) / 1000</f>
        <v>0</v>
      </c>
      <c r="CB991" s="230">
        <f t="shared" si="853"/>
        <v>0</v>
      </c>
      <c r="CC991" s="238"/>
      <c r="CD991" s="229" cm="1">
        <f t="array" ref="CD991">IF(ISBLANK(Y991), INDEX(Use, $AH991, 4) - AN991*INDEX(Use, $AH991, 6) - (Q991-X991), Y991)</f>
        <v>7</v>
      </c>
      <c r="CE991" s="229">
        <f t="shared" si="854"/>
        <v>32</v>
      </c>
      <c r="CF991" s="230">
        <f t="shared" si="855"/>
        <v>0</v>
      </c>
      <c r="CG991" s="229">
        <v>35</v>
      </c>
      <c r="CH991" s="230">
        <f t="shared" si="856"/>
        <v>48</v>
      </c>
      <c r="CI991" s="235">
        <f t="shared" si="857"/>
        <v>3.0748170731707316</v>
      </c>
      <c r="CJ991" s="235" cm="1">
        <f t="array" ref="CJ991">$BI991 * SUMPRODUCT(INDEX($AR$77:$AT$82,,$AI991),INDEX($AU$77:$BA$82,,$AH991), N($AQ$77:$AQ$82&gt;$AO991)) / CI991 / 1000</f>
        <v>0</v>
      </c>
      <c r="CK991" s="232">
        <f t="shared" si="874"/>
        <v>30</v>
      </c>
      <c r="CL991" s="230">
        <f t="shared" si="858"/>
        <v>43</v>
      </c>
      <c r="CM991" s="235">
        <f t="shared" si="859"/>
        <v>3.5018750000000001</v>
      </c>
      <c r="CN991" s="235" cm="1">
        <f t="array" ref="CN991">$BI991 * IF($AH991&lt;=2,
SUMPRODUCT(INDEX($AR$72:$AT$76,,$AI991), INDEX($AU$72:$BA$76,,$AH991), 1 / ($BB$72:$BB$76*CM991 + (1-$BB$72:$BB$76)*CI991), N($AQ$72:$AQ$76&gt;$AO991)),
SUMPRODUCT(INDEX($AR$67:$AT$76,,$AI991), INDEX($AU$67:$BA$76,,$AH991), 1 / ($BC$67:$BC$76*CM991 + (1-$BC$67:$BC$76)*CI991), N($AQ$67:$AQ$76&gt;$AO991))
) / 1000</f>
        <v>0</v>
      </c>
      <c r="CO991" s="232">
        <f t="shared" si="875"/>
        <v>25</v>
      </c>
      <c r="CP991" s="230">
        <f t="shared" si="860"/>
        <v>38</v>
      </c>
      <c r="CQ991" s="235">
        <f t="shared" si="861"/>
        <v>4.0666935483870965</v>
      </c>
      <c r="CR991" s="235" cm="1">
        <f t="array" ref="CR991">$BI991 * IF($AH991&lt;=2,
SUMPRODUCT(INDEX($AR$67:$AT$71,,$AI991), INDEX($AU$67:$BA$71,,$AH991), 1 / ($BB$67:$BB$71*CQ991 + (1-$BB$67:$BB$71)*CM991), N($AQ$67:$AQ$71&gt;$AO991)),
SUMPRODUCT(INDEX($AR$57:$AT$66,,$AI991), INDEX($AU$57:$BA$66,,$AH991), 1 / ($BC$57:$BC$66*CQ991 + (1-$BC$57:$BC$66)*CM991), N($AQ$57:$AQ$66&gt;$AO991))
) / 1000</f>
        <v>0</v>
      </c>
      <c r="CS991" s="232">
        <f t="shared" si="876"/>
        <v>20</v>
      </c>
      <c r="CT991" s="230">
        <f t="shared" si="862"/>
        <v>33</v>
      </c>
      <c r="CU991" s="235">
        <f t="shared" si="863"/>
        <v>4.8487499999999999</v>
      </c>
      <c r="CV991" s="235" cm="1">
        <f t="array" ref="CV991">$BI991 * IF($AH991&lt;=2,
SUMPRODUCT(INDEX($AR$62:$AT$66,,$AI991), INDEX($AU$62:$BA$66,,$AH991), 1 / ($BB$62:$BB$66*CU991 + (1-$BB$62:$BB$66)*CQ991), N($AQ$62:$AQ$66&gt;$AO991)),
SUMPRODUCT(INDEX($AR$47:$AT$56,,$AI991), INDEX($AU$47:$BA$56,,$AH991), 1 / ($BC$47:$BC$56*CU991 + (1-$BC$47:$BC$56)*CQ991), N($AQ$47:$AQ$56&gt;$AO991))
) / 1000</f>
        <v>0</v>
      </c>
      <c r="CW991" s="235" cm="1">
        <f t="array" ref="CW991">$BI991 * IF($AH991&lt;=2,
SUMPRODUCT(INDEX($AR$23:$AT$61,,$AI991), INDEX($AU$23:$BA$61,,$AH991), 1 / ($BB$23:$BB$61*CU991), N($AQ$23:$AQ$61&gt;$AO991)),
SUMPRODUCT(INDEX($AR$23:$AT$46,,$AI991), INDEX($AU$23:$BA$46,,$AH991), 1 / ($BC$23:$BC$46*CU991), N($AQ$23:$AQ$46&gt;$AO991))
) / 1000</f>
        <v>0</v>
      </c>
      <c r="CX991" s="230">
        <f t="shared" si="864"/>
        <v>0</v>
      </c>
      <c r="CY991" s="238"/>
    </row>
    <row r="992" spans="1:103" s="76" customFormat="1" ht="14.25" customHeight="1" x14ac:dyDescent="0.2">
      <c r="A992" s="231" t="b">
        <f t="shared" si="868"/>
        <v>0</v>
      </c>
      <c r="B992" s="245">
        <v>970</v>
      </c>
      <c r="C992" s="258"/>
      <c r="D992" s="258"/>
      <c r="E992" s="246"/>
      <c r="F992" s="247" t="str">
        <f>IF(ISBLANK(E992), "", VLOOKUP(E992, Z!$A$2:$C$4127, 3, FALSE))</f>
        <v/>
      </c>
      <c r="G992" s="248"/>
      <c r="H992" s="248"/>
      <c r="I992" s="249"/>
      <c r="J992" s="250"/>
      <c r="K992" s="259"/>
      <c r="L992" s="260"/>
      <c r="M992" s="252" t="str" cm="1">
        <f t="array" ref="M992">INDEX(Trad, 53, $A$20)</f>
        <v>Verschmutzt</v>
      </c>
      <c r="N992" s="253"/>
      <c r="O992" s="253"/>
      <c r="P992" s="254"/>
      <c r="Q992" s="251"/>
      <c r="R992" s="251"/>
      <c r="S992" s="264">
        <f t="shared" si="839"/>
        <v>0</v>
      </c>
      <c r="T992" s="252" t="str" cm="1">
        <f t="array" ref="T992">INDEX(Trad, 52, $A$20)</f>
        <v>Sauber</v>
      </c>
      <c r="U992" s="253"/>
      <c r="V992" s="253"/>
      <c r="W992" s="254"/>
      <c r="X992" s="251"/>
      <c r="Y992" s="251"/>
      <c r="Z992" s="264">
        <f t="shared" si="840"/>
        <v>0</v>
      </c>
      <c r="AA992" s="261"/>
      <c r="AB992" s="258"/>
      <c r="AC992" s="246"/>
      <c r="AD992" s="247" t="str">
        <f>IF(ISBLANK(AC992), "", VLOOKUP(AC992, Z!$A$2:$C$4127, 3, FALSE))</f>
        <v/>
      </c>
      <c r="AE992" s="262"/>
      <c r="AF992" s="263">
        <f t="shared" si="841"/>
        <v>0</v>
      </c>
      <c r="AG992" s="238"/>
      <c r="AH992" s="229">
        <f t="shared" si="865"/>
        <v>1</v>
      </c>
      <c r="AI992" s="229">
        <f t="shared" si="866"/>
        <v>1</v>
      </c>
      <c r="AJ992" s="229">
        <f t="shared" si="867"/>
        <v>0</v>
      </c>
      <c r="AK992" s="229">
        <v>0</v>
      </c>
      <c r="AL992" s="229">
        <v>0</v>
      </c>
      <c r="AM992" s="229">
        <v>1</v>
      </c>
      <c r="AN992" s="229">
        <v>0</v>
      </c>
      <c r="AO992" s="229">
        <f t="shared" si="842"/>
        <v>-100</v>
      </c>
      <c r="AP992" s="238"/>
      <c r="AQ992" s="255"/>
      <c r="AR992" s="255"/>
      <c r="AS992" s="256"/>
      <c r="AT992" s="256"/>
      <c r="AU992" s="256"/>
      <c r="AV992" s="256"/>
      <c r="AW992" s="256"/>
      <c r="AX992" s="256"/>
      <c r="AY992" s="256"/>
      <c r="AZ992" s="256"/>
      <c r="BA992" s="256"/>
      <c r="BB992" s="256"/>
      <c r="BC992" s="256"/>
      <c r="BD992" s="238"/>
      <c r="BE992" s="229" cm="1">
        <f t="array" ref="BE992">IF(ISBLANK(R992), INDEX(Use, $AH992, 4) - AM992*INDEX(Use, $AH992, 6), R992)</f>
        <v>5</v>
      </c>
      <c r="BF992" s="229">
        <f t="shared" si="843"/>
        <v>30</v>
      </c>
      <c r="BG992" s="229">
        <f t="shared" si="869"/>
        <v>13</v>
      </c>
      <c r="BH992" s="229">
        <f t="shared" si="870"/>
        <v>0</v>
      </c>
      <c r="BI992" s="234" cm="1">
        <f t="array" ref="BI992">K992/IF($L992&gt;0, INDEX($AU$23:$BA$77, $L992+20, $AH992), 1)</f>
        <v>0</v>
      </c>
      <c r="BJ992" s="230">
        <f t="shared" si="844"/>
        <v>0</v>
      </c>
      <c r="BK992" s="229">
        <v>35</v>
      </c>
      <c r="BL992" s="230">
        <f t="shared" si="845"/>
        <v>48</v>
      </c>
      <c r="BM992" s="235">
        <f t="shared" si="846"/>
        <v>2.9108720930232557</v>
      </c>
      <c r="BN992" s="235" cm="1">
        <f t="array" ref="BN992">$BI992 * SUMPRODUCT(INDEX($AR$77:$AT$82,,$AI992),INDEX($AU$77:$BA$82,,$AH992), N($AQ$77:$AQ$82&gt;$AO992)) / BM992 / 1000</f>
        <v>0</v>
      </c>
      <c r="BO992" s="232">
        <f t="shared" si="871"/>
        <v>30</v>
      </c>
      <c r="BP992" s="230">
        <f t="shared" si="847"/>
        <v>43</v>
      </c>
      <c r="BQ992" s="235">
        <f t="shared" si="848"/>
        <v>3.2938815789473681</v>
      </c>
      <c r="BR992" s="235" cm="1">
        <f t="array" ref="BR992">$BI992 * IF($AH992&lt;=2,
SUMPRODUCT(INDEX($AR$72:$AT$76,,$AI992), INDEX($AU$72:$BA$76,,$AH992), 1 / ($BB$72:$BB$76*BQ992 + (1-$BB$72:$BB$76)*BM992), N($AQ$72:$AQ$76&gt;$AO992)),
SUMPRODUCT(INDEX($AR$67:$AT$76,,$AI992), INDEX($AU$67:$BA$76,,$AH992), 1 / ($BC$67:$BC$76*BQ992 + (1-$BC$67:$BC$76)*BM992), N($AQ$67:$AQ$76&gt;$AO992))
) / 1000</f>
        <v>0</v>
      </c>
      <c r="BS992" s="232">
        <f t="shared" si="872"/>
        <v>25</v>
      </c>
      <c r="BT992" s="230">
        <f t="shared" si="849"/>
        <v>38</v>
      </c>
      <c r="BU992" s="235">
        <f t="shared" si="850"/>
        <v>3.792954545454545</v>
      </c>
      <c r="BV992" s="235" cm="1">
        <f t="array" ref="BV992">$BI992 * IF($AH992&lt;=2,
SUMPRODUCT(INDEX($AR$67:$AT$71,,$AI992), INDEX($AU$67:$BA$71,,$AH992), 1 / ($BB$67:$BB$71*BU992 + (1-$BB$67:$BB$71)*BQ992), N($AQ$67:$AQ$71&gt;$AO992)),
SUMPRODUCT(INDEX($AR$57:$AT$66,,$AI992), INDEX($AU$57:$BA$66,,$AH992), 1 / ($BC$57:$BC$66*BU992 + (1-$BC$57:$BC$66)*BQ992), N($AQ$57:$AQ$66&gt;$AO992))
) / 1000</f>
        <v>0</v>
      </c>
      <c r="BW992" s="232">
        <f t="shared" si="873"/>
        <v>20</v>
      </c>
      <c r="BX992" s="230">
        <f t="shared" si="851"/>
        <v>33</v>
      </c>
      <c r="BY992" s="235">
        <f t="shared" si="852"/>
        <v>4.4702678571428569</v>
      </c>
      <c r="BZ992" s="235" cm="1">
        <f t="array" ref="BZ992">$BI992 * IF($AH992&lt;=2,
SUMPRODUCT(INDEX($AR$62:$AT$66,,$AI992), INDEX($AU$62:$BA$66,,$AH992), 1 / ($BB$62:$BB$66*BY992 + (1-$BB$62:$BB$66)*BU992), N($AQ$62:$AQ$66&gt;$AO992)),
SUMPRODUCT(INDEX($AR$47:$AT$56,,$AI992), INDEX($AU$47:$BA$56,,$AH992), 1 / ($BC$47:$BC$56*BY992 + (1-$BC$47:$BC$56)*BU992), N($AQ$47:$AQ$56&gt;$AO992))
) / 1000</f>
        <v>0</v>
      </c>
      <c r="CA992" s="235" cm="1">
        <f t="array" ref="CA992">$BI992 * IF($AH992&lt;=2,
SUMPRODUCT(INDEX($AR$23:$AT$61,,$AI992), INDEX($AU$23:$BA$61,,$AH992), 1 / ($BB$23:$BB$61*BY992), N($AQ$23:$AQ$61&gt;$AO992)),
SUMPRODUCT(INDEX($AR$23:$AT$46,,$AI992), INDEX($AU$23:$BA$46,,$AH992), 1 / ($BC$23:$BC$46*BY992), N($AQ$23:$AQ$46&gt;$AO992))
) / 1000</f>
        <v>0</v>
      </c>
      <c r="CB992" s="230">
        <f t="shared" si="853"/>
        <v>0</v>
      </c>
      <c r="CC992" s="238"/>
      <c r="CD992" s="229" cm="1">
        <f t="array" ref="CD992">IF(ISBLANK(Y992), INDEX(Use, $AH992, 4) - AN992*INDEX(Use, $AH992, 6) - (Q992-X992), Y992)</f>
        <v>7</v>
      </c>
      <c r="CE992" s="229">
        <f t="shared" si="854"/>
        <v>32</v>
      </c>
      <c r="CF992" s="230">
        <f t="shared" si="855"/>
        <v>0</v>
      </c>
      <c r="CG992" s="229">
        <v>35</v>
      </c>
      <c r="CH992" s="230">
        <f t="shared" si="856"/>
        <v>48</v>
      </c>
      <c r="CI992" s="235">
        <f t="shared" si="857"/>
        <v>3.0748170731707316</v>
      </c>
      <c r="CJ992" s="235" cm="1">
        <f t="array" ref="CJ992">$BI992 * SUMPRODUCT(INDEX($AR$77:$AT$82,,$AI992),INDEX($AU$77:$BA$82,,$AH992), N($AQ$77:$AQ$82&gt;$AO992)) / CI992 / 1000</f>
        <v>0</v>
      </c>
      <c r="CK992" s="232">
        <f t="shared" si="874"/>
        <v>30</v>
      </c>
      <c r="CL992" s="230">
        <f t="shared" si="858"/>
        <v>43</v>
      </c>
      <c r="CM992" s="235">
        <f t="shared" si="859"/>
        <v>3.5018750000000001</v>
      </c>
      <c r="CN992" s="235" cm="1">
        <f t="array" ref="CN992">$BI992 * IF($AH992&lt;=2,
SUMPRODUCT(INDEX($AR$72:$AT$76,,$AI992), INDEX($AU$72:$BA$76,,$AH992), 1 / ($BB$72:$BB$76*CM992 + (1-$BB$72:$BB$76)*CI992), N($AQ$72:$AQ$76&gt;$AO992)),
SUMPRODUCT(INDEX($AR$67:$AT$76,,$AI992), INDEX($AU$67:$BA$76,,$AH992), 1 / ($BC$67:$BC$76*CM992 + (1-$BC$67:$BC$76)*CI992), N($AQ$67:$AQ$76&gt;$AO992))
) / 1000</f>
        <v>0</v>
      </c>
      <c r="CO992" s="232">
        <f t="shared" si="875"/>
        <v>25</v>
      </c>
      <c r="CP992" s="230">
        <f t="shared" si="860"/>
        <v>38</v>
      </c>
      <c r="CQ992" s="235">
        <f t="shared" si="861"/>
        <v>4.0666935483870965</v>
      </c>
      <c r="CR992" s="235" cm="1">
        <f t="array" ref="CR992">$BI992 * IF($AH992&lt;=2,
SUMPRODUCT(INDEX($AR$67:$AT$71,,$AI992), INDEX($AU$67:$BA$71,,$AH992), 1 / ($BB$67:$BB$71*CQ992 + (1-$BB$67:$BB$71)*CM992), N($AQ$67:$AQ$71&gt;$AO992)),
SUMPRODUCT(INDEX($AR$57:$AT$66,,$AI992), INDEX($AU$57:$BA$66,,$AH992), 1 / ($BC$57:$BC$66*CQ992 + (1-$BC$57:$BC$66)*CM992), N($AQ$57:$AQ$66&gt;$AO992))
) / 1000</f>
        <v>0</v>
      </c>
      <c r="CS992" s="232">
        <f t="shared" si="876"/>
        <v>20</v>
      </c>
      <c r="CT992" s="230">
        <f t="shared" si="862"/>
        <v>33</v>
      </c>
      <c r="CU992" s="235">
        <f t="shared" si="863"/>
        <v>4.8487499999999999</v>
      </c>
      <c r="CV992" s="235" cm="1">
        <f t="array" ref="CV992">$BI992 * IF($AH992&lt;=2,
SUMPRODUCT(INDEX($AR$62:$AT$66,,$AI992), INDEX($AU$62:$BA$66,,$AH992), 1 / ($BB$62:$BB$66*CU992 + (1-$BB$62:$BB$66)*CQ992), N($AQ$62:$AQ$66&gt;$AO992)),
SUMPRODUCT(INDEX($AR$47:$AT$56,,$AI992), INDEX($AU$47:$BA$56,,$AH992), 1 / ($BC$47:$BC$56*CU992 + (1-$BC$47:$BC$56)*CQ992), N($AQ$47:$AQ$56&gt;$AO992))
) / 1000</f>
        <v>0</v>
      </c>
      <c r="CW992" s="235" cm="1">
        <f t="array" ref="CW992">$BI992 * IF($AH992&lt;=2,
SUMPRODUCT(INDEX($AR$23:$AT$61,,$AI992), INDEX($AU$23:$BA$61,,$AH992), 1 / ($BB$23:$BB$61*CU992), N($AQ$23:$AQ$61&gt;$AO992)),
SUMPRODUCT(INDEX($AR$23:$AT$46,,$AI992), INDEX($AU$23:$BA$46,,$AH992), 1 / ($BC$23:$BC$46*CU992), N($AQ$23:$AQ$46&gt;$AO992))
) / 1000</f>
        <v>0</v>
      </c>
      <c r="CX992" s="230">
        <f t="shared" si="864"/>
        <v>0</v>
      </c>
      <c r="CY992" s="238"/>
    </row>
    <row r="993" spans="1:103" s="76" customFormat="1" ht="14.25" customHeight="1" x14ac:dyDescent="0.2">
      <c r="A993" s="231" t="b">
        <f t="shared" si="868"/>
        <v>0</v>
      </c>
      <c r="B993" s="245">
        <v>971</v>
      </c>
      <c r="C993" s="258"/>
      <c r="D993" s="258"/>
      <c r="E993" s="246"/>
      <c r="F993" s="247" t="str">
        <f>IF(ISBLANK(E993), "", VLOOKUP(E993, Z!$A$2:$C$4127, 3, FALSE))</f>
        <v/>
      </c>
      <c r="G993" s="248"/>
      <c r="H993" s="248"/>
      <c r="I993" s="249"/>
      <c r="J993" s="250"/>
      <c r="K993" s="259"/>
      <c r="L993" s="260"/>
      <c r="M993" s="252" t="str" cm="1">
        <f t="array" ref="M993">INDEX(Trad, 53, $A$20)</f>
        <v>Verschmutzt</v>
      </c>
      <c r="N993" s="253"/>
      <c r="O993" s="253"/>
      <c r="P993" s="254"/>
      <c r="Q993" s="251"/>
      <c r="R993" s="251"/>
      <c r="S993" s="264">
        <f t="shared" si="839"/>
        <v>0</v>
      </c>
      <c r="T993" s="252" t="str" cm="1">
        <f t="array" ref="T993">INDEX(Trad, 52, $A$20)</f>
        <v>Sauber</v>
      </c>
      <c r="U993" s="253"/>
      <c r="V993" s="253"/>
      <c r="W993" s="254"/>
      <c r="X993" s="251"/>
      <c r="Y993" s="251"/>
      <c r="Z993" s="264">
        <f t="shared" si="840"/>
        <v>0</v>
      </c>
      <c r="AA993" s="261"/>
      <c r="AB993" s="258"/>
      <c r="AC993" s="246"/>
      <c r="AD993" s="247" t="str">
        <f>IF(ISBLANK(AC993), "", VLOOKUP(AC993, Z!$A$2:$C$4127, 3, FALSE))</f>
        <v/>
      </c>
      <c r="AE993" s="262"/>
      <c r="AF993" s="263">
        <f t="shared" si="841"/>
        <v>0</v>
      </c>
      <c r="AG993" s="238"/>
      <c r="AH993" s="229">
        <f t="shared" si="865"/>
        <v>1</v>
      </c>
      <c r="AI993" s="229">
        <f t="shared" si="866"/>
        <v>1</v>
      </c>
      <c r="AJ993" s="229">
        <f t="shared" si="867"/>
        <v>0</v>
      </c>
      <c r="AK993" s="229">
        <v>0</v>
      </c>
      <c r="AL993" s="229">
        <v>0</v>
      </c>
      <c r="AM993" s="229">
        <v>1</v>
      </c>
      <c r="AN993" s="229">
        <v>0</v>
      </c>
      <c r="AO993" s="229">
        <f t="shared" si="842"/>
        <v>-100</v>
      </c>
      <c r="AP993" s="238"/>
      <c r="AQ993" s="255"/>
      <c r="AR993" s="255"/>
      <c r="AS993" s="256"/>
      <c r="AT993" s="256"/>
      <c r="AU993" s="256"/>
      <c r="AV993" s="256"/>
      <c r="AW993" s="256"/>
      <c r="AX993" s="256"/>
      <c r="AY993" s="256"/>
      <c r="AZ993" s="256"/>
      <c r="BA993" s="256"/>
      <c r="BB993" s="256"/>
      <c r="BC993" s="256"/>
      <c r="BD993" s="238"/>
      <c r="BE993" s="229" cm="1">
        <f t="array" ref="BE993">IF(ISBLANK(R993), INDEX(Use, $AH993, 4) - AM993*INDEX(Use, $AH993, 6), R993)</f>
        <v>5</v>
      </c>
      <c r="BF993" s="229">
        <f t="shared" si="843"/>
        <v>30</v>
      </c>
      <c r="BG993" s="229">
        <f t="shared" si="869"/>
        <v>13</v>
      </c>
      <c r="BH993" s="229">
        <f t="shared" si="870"/>
        <v>0</v>
      </c>
      <c r="BI993" s="234" cm="1">
        <f t="array" ref="BI993">K993/IF($L993&gt;0, INDEX($AU$23:$BA$77, $L993+20, $AH993), 1)</f>
        <v>0</v>
      </c>
      <c r="BJ993" s="230">
        <f t="shared" si="844"/>
        <v>0</v>
      </c>
      <c r="BK993" s="229">
        <v>35</v>
      </c>
      <c r="BL993" s="230">
        <f t="shared" si="845"/>
        <v>48</v>
      </c>
      <c r="BM993" s="235">
        <f t="shared" si="846"/>
        <v>2.9108720930232557</v>
      </c>
      <c r="BN993" s="235" cm="1">
        <f t="array" ref="BN993">$BI993 * SUMPRODUCT(INDEX($AR$77:$AT$82,,$AI993),INDEX($AU$77:$BA$82,,$AH993), N($AQ$77:$AQ$82&gt;$AO993)) / BM993 / 1000</f>
        <v>0</v>
      </c>
      <c r="BO993" s="232">
        <f t="shared" si="871"/>
        <v>30</v>
      </c>
      <c r="BP993" s="230">
        <f t="shared" si="847"/>
        <v>43</v>
      </c>
      <c r="BQ993" s="235">
        <f t="shared" si="848"/>
        <v>3.2938815789473681</v>
      </c>
      <c r="BR993" s="235" cm="1">
        <f t="array" ref="BR993">$BI993 * IF($AH993&lt;=2,
SUMPRODUCT(INDEX($AR$72:$AT$76,,$AI993), INDEX($AU$72:$BA$76,,$AH993), 1 / ($BB$72:$BB$76*BQ993 + (1-$BB$72:$BB$76)*BM993), N($AQ$72:$AQ$76&gt;$AO993)),
SUMPRODUCT(INDEX($AR$67:$AT$76,,$AI993), INDEX($AU$67:$BA$76,,$AH993), 1 / ($BC$67:$BC$76*BQ993 + (1-$BC$67:$BC$76)*BM993), N($AQ$67:$AQ$76&gt;$AO993))
) / 1000</f>
        <v>0</v>
      </c>
      <c r="BS993" s="232">
        <f t="shared" si="872"/>
        <v>25</v>
      </c>
      <c r="BT993" s="230">
        <f t="shared" si="849"/>
        <v>38</v>
      </c>
      <c r="BU993" s="235">
        <f t="shared" si="850"/>
        <v>3.792954545454545</v>
      </c>
      <c r="BV993" s="235" cm="1">
        <f t="array" ref="BV993">$BI993 * IF($AH993&lt;=2,
SUMPRODUCT(INDEX($AR$67:$AT$71,,$AI993), INDEX($AU$67:$BA$71,,$AH993), 1 / ($BB$67:$BB$71*BU993 + (1-$BB$67:$BB$71)*BQ993), N($AQ$67:$AQ$71&gt;$AO993)),
SUMPRODUCT(INDEX($AR$57:$AT$66,,$AI993), INDEX($AU$57:$BA$66,,$AH993), 1 / ($BC$57:$BC$66*BU993 + (1-$BC$57:$BC$66)*BQ993), N($AQ$57:$AQ$66&gt;$AO993))
) / 1000</f>
        <v>0</v>
      </c>
      <c r="BW993" s="232">
        <f t="shared" si="873"/>
        <v>20</v>
      </c>
      <c r="BX993" s="230">
        <f t="shared" si="851"/>
        <v>33</v>
      </c>
      <c r="BY993" s="235">
        <f t="shared" si="852"/>
        <v>4.4702678571428569</v>
      </c>
      <c r="BZ993" s="235" cm="1">
        <f t="array" ref="BZ993">$BI993 * IF($AH993&lt;=2,
SUMPRODUCT(INDEX($AR$62:$AT$66,,$AI993), INDEX($AU$62:$BA$66,,$AH993), 1 / ($BB$62:$BB$66*BY993 + (1-$BB$62:$BB$66)*BU993), N($AQ$62:$AQ$66&gt;$AO993)),
SUMPRODUCT(INDEX($AR$47:$AT$56,,$AI993), INDEX($AU$47:$BA$56,,$AH993), 1 / ($BC$47:$BC$56*BY993 + (1-$BC$47:$BC$56)*BU993), N($AQ$47:$AQ$56&gt;$AO993))
) / 1000</f>
        <v>0</v>
      </c>
      <c r="CA993" s="235" cm="1">
        <f t="array" ref="CA993">$BI993 * IF($AH993&lt;=2,
SUMPRODUCT(INDEX($AR$23:$AT$61,,$AI993), INDEX($AU$23:$BA$61,,$AH993), 1 / ($BB$23:$BB$61*BY993), N($AQ$23:$AQ$61&gt;$AO993)),
SUMPRODUCT(INDEX($AR$23:$AT$46,,$AI993), INDEX($AU$23:$BA$46,,$AH993), 1 / ($BC$23:$BC$46*BY993), N($AQ$23:$AQ$46&gt;$AO993))
) / 1000</f>
        <v>0</v>
      </c>
      <c r="CB993" s="230">
        <f t="shared" si="853"/>
        <v>0</v>
      </c>
      <c r="CC993" s="238"/>
      <c r="CD993" s="229" cm="1">
        <f t="array" ref="CD993">IF(ISBLANK(Y993), INDEX(Use, $AH993, 4) - AN993*INDEX(Use, $AH993, 6) - (Q993-X993), Y993)</f>
        <v>7</v>
      </c>
      <c r="CE993" s="229">
        <f t="shared" si="854"/>
        <v>32</v>
      </c>
      <c r="CF993" s="230">
        <f t="shared" si="855"/>
        <v>0</v>
      </c>
      <c r="CG993" s="229">
        <v>35</v>
      </c>
      <c r="CH993" s="230">
        <f t="shared" si="856"/>
        <v>48</v>
      </c>
      <c r="CI993" s="235">
        <f t="shared" si="857"/>
        <v>3.0748170731707316</v>
      </c>
      <c r="CJ993" s="235" cm="1">
        <f t="array" ref="CJ993">$BI993 * SUMPRODUCT(INDEX($AR$77:$AT$82,,$AI993),INDEX($AU$77:$BA$82,,$AH993), N($AQ$77:$AQ$82&gt;$AO993)) / CI993 / 1000</f>
        <v>0</v>
      </c>
      <c r="CK993" s="232">
        <f t="shared" si="874"/>
        <v>30</v>
      </c>
      <c r="CL993" s="230">
        <f t="shared" si="858"/>
        <v>43</v>
      </c>
      <c r="CM993" s="235">
        <f t="shared" si="859"/>
        <v>3.5018750000000001</v>
      </c>
      <c r="CN993" s="235" cm="1">
        <f t="array" ref="CN993">$BI993 * IF($AH993&lt;=2,
SUMPRODUCT(INDEX($AR$72:$AT$76,,$AI993), INDEX($AU$72:$BA$76,,$AH993), 1 / ($BB$72:$BB$76*CM993 + (1-$BB$72:$BB$76)*CI993), N($AQ$72:$AQ$76&gt;$AO993)),
SUMPRODUCT(INDEX($AR$67:$AT$76,,$AI993), INDEX($AU$67:$BA$76,,$AH993), 1 / ($BC$67:$BC$76*CM993 + (1-$BC$67:$BC$76)*CI993), N($AQ$67:$AQ$76&gt;$AO993))
) / 1000</f>
        <v>0</v>
      </c>
      <c r="CO993" s="232">
        <f t="shared" si="875"/>
        <v>25</v>
      </c>
      <c r="CP993" s="230">
        <f t="shared" si="860"/>
        <v>38</v>
      </c>
      <c r="CQ993" s="235">
        <f t="shared" si="861"/>
        <v>4.0666935483870965</v>
      </c>
      <c r="CR993" s="235" cm="1">
        <f t="array" ref="CR993">$BI993 * IF($AH993&lt;=2,
SUMPRODUCT(INDEX($AR$67:$AT$71,,$AI993), INDEX($AU$67:$BA$71,,$AH993), 1 / ($BB$67:$BB$71*CQ993 + (1-$BB$67:$BB$71)*CM993), N($AQ$67:$AQ$71&gt;$AO993)),
SUMPRODUCT(INDEX($AR$57:$AT$66,,$AI993), INDEX($AU$57:$BA$66,,$AH993), 1 / ($BC$57:$BC$66*CQ993 + (1-$BC$57:$BC$66)*CM993), N($AQ$57:$AQ$66&gt;$AO993))
) / 1000</f>
        <v>0</v>
      </c>
      <c r="CS993" s="232">
        <f t="shared" si="876"/>
        <v>20</v>
      </c>
      <c r="CT993" s="230">
        <f t="shared" si="862"/>
        <v>33</v>
      </c>
      <c r="CU993" s="235">
        <f t="shared" si="863"/>
        <v>4.8487499999999999</v>
      </c>
      <c r="CV993" s="235" cm="1">
        <f t="array" ref="CV993">$BI993 * IF($AH993&lt;=2,
SUMPRODUCT(INDEX($AR$62:$AT$66,,$AI993), INDEX($AU$62:$BA$66,,$AH993), 1 / ($BB$62:$BB$66*CU993 + (1-$BB$62:$BB$66)*CQ993), N($AQ$62:$AQ$66&gt;$AO993)),
SUMPRODUCT(INDEX($AR$47:$AT$56,,$AI993), INDEX($AU$47:$BA$56,,$AH993), 1 / ($BC$47:$BC$56*CU993 + (1-$BC$47:$BC$56)*CQ993), N($AQ$47:$AQ$56&gt;$AO993))
) / 1000</f>
        <v>0</v>
      </c>
      <c r="CW993" s="235" cm="1">
        <f t="array" ref="CW993">$BI993 * IF($AH993&lt;=2,
SUMPRODUCT(INDEX($AR$23:$AT$61,,$AI993), INDEX($AU$23:$BA$61,,$AH993), 1 / ($BB$23:$BB$61*CU993), N($AQ$23:$AQ$61&gt;$AO993)),
SUMPRODUCT(INDEX($AR$23:$AT$46,,$AI993), INDEX($AU$23:$BA$46,,$AH993), 1 / ($BC$23:$BC$46*CU993), N($AQ$23:$AQ$46&gt;$AO993))
) / 1000</f>
        <v>0</v>
      </c>
      <c r="CX993" s="230">
        <f t="shared" si="864"/>
        <v>0</v>
      </c>
      <c r="CY993" s="238"/>
    </row>
    <row r="994" spans="1:103" s="76" customFormat="1" ht="14.25" customHeight="1" x14ac:dyDescent="0.2">
      <c r="A994" s="231" t="b">
        <f t="shared" si="868"/>
        <v>0</v>
      </c>
      <c r="B994" s="245">
        <v>972</v>
      </c>
      <c r="C994" s="258"/>
      <c r="D994" s="258"/>
      <c r="E994" s="246"/>
      <c r="F994" s="247" t="str">
        <f>IF(ISBLANK(E994), "", VLOOKUP(E994, Z!$A$2:$C$4127, 3, FALSE))</f>
        <v/>
      </c>
      <c r="G994" s="248"/>
      <c r="H994" s="248"/>
      <c r="I994" s="249"/>
      <c r="J994" s="250"/>
      <c r="K994" s="259"/>
      <c r="L994" s="260"/>
      <c r="M994" s="252" t="str" cm="1">
        <f t="array" ref="M994">INDEX(Trad, 53, $A$20)</f>
        <v>Verschmutzt</v>
      </c>
      <c r="N994" s="253"/>
      <c r="O994" s="253"/>
      <c r="P994" s="254"/>
      <c r="Q994" s="251"/>
      <c r="R994" s="251"/>
      <c r="S994" s="264">
        <f t="shared" si="839"/>
        <v>0</v>
      </c>
      <c r="T994" s="252" t="str" cm="1">
        <f t="array" ref="T994">INDEX(Trad, 52, $A$20)</f>
        <v>Sauber</v>
      </c>
      <c r="U994" s="253"/>
      <c r="V994" s="253"/>
      <c r="W994" s="254"/>
      <c r="X994" s="251"/>
      <c r="Y994" s="251"/>
      <c r="Z994" s="264">
        <f t="shared" si="840"/>
        <v>0</v>
      </c>
      <c r="AA994" s="261"/>
      <c r="AB994" s="258"/>
      <c r="AC994" s="246"/>
      <c r="AD994" s="247" t="str">
        <f>IF(ISBLANK(AC994), "", VLOOKUP(AC994, Z!$A$2:$C$4127, 3, FALSE))</f>
        <v/>
      </c>
      <c r="AE994" s="262"/>
      <c r="AF994" s="263">
        <f t="shared" si="841"/>
        <v>0</v>
      </c>
      <c r="AG994" s="238"/>
      <c r="AH994" s="229">
        <f t="shared" si="865"/>
        <v>1</v>
      </c>
      <c r="AI994" s="229">
        <f t="shared" si="866"/>
        <v>1</v>
      </c>
      <c r="AJ994" s="229">
        <f t="shared" si="867"/>
        <v>0</v>
      </c>
      <c r="AK994" s="229">
        <v>0</v>
      </c>
      <c r="AL994" s="229">
        <v>0</v>
      </c>
      <c r="AM994" s="229">
        <v>1</v>
      </c>
      <c r="AN994" s="229">
        <v>0</v>
      </c>
      <c r="AO994" s="229">
        <f t="shared" si="842"/>
        <v>-100</v>
      </c>
      <c r="AP994" s="238"/>
      <c r="AQ994" s="255"/>
      <c r="AR994" s="255"/>
      <c r="AS994" s="256"/>
      <c r="AT994" s="256"/>
      <c r="AU994" s="256"/>
      <c r="AV994" s="256"/>
      <c r="AW994" s="256"/>
      <c r="AX994" s="256"/>
      <c r="AY994" s="256"/>
      <c r="AZ994" s="256"/>
      <c r="BA994" s="256"/>
      <c r="BB994" s="256"/>
      <c r="BC994" s="256"/>
      <c r="BD994" s="238"/>
      <c r="BE994" s="229" cm="1">
        <f t="array" ref="BE994">IF(ISBLANK(R994), INDEX(Use, $AH994, 4) - AM994*INDEX(Use, $AH994, 6), R994)</f>
        <v>5</v>
      </c>
      <c r="BF994" s="229">
        <f t="shared" si="843"/>
        <v>30</v>
      </c>
      <c r="BG994" s="229">
        <f t="shared" si="869"/>
        <v>13</v>
      </c>
      <c r="BH994" s="229">
        <f t="shared" si="870"/>
        <v>0</v>
      </c>
      <c r="BI994" s="234" cm="1">
        <f t="array" ref="BI994">K994/IF($L994&gt;0, INDEX($AU$23:$BA$77, $L994+20, $AH994), 1)</f>
        <v>0</v>
      </c>
      <c r="BJ994" s="230">
        <f t="shared" si="844"/>
        <v>0</v>
      </c>
      <c r="BK994" s="229">
        <v>35</v>
      </c>
      <c r="BL994" s="230">
        <f t="shared" si="845"/>
        <v>48</v>
      </c>
      <c r="BM994" s="235">
        <f t="shared" si="846"/>
        <v>2.9108720930232557</v>
      </c>
      <c r="BN994" s="235" cm="1">
        <f t="array" ref="BN994">$BI994 * SUMPRODUCT(INDEX($AR$77:$AT$82,,$AI994),INDEX($AU$77:$BA$82,,$AH994), N($AQ$77:$AQ$82&gt;$AO994)) / BM994 / 1000</f>
        <v>0</v>
      </c>
      <c r="BO994" s="232">
        <f t="shared" si="871"/>
        <v>30</v>
      </c>
      <c r="BP994" s="230">
        <f t="shared" si="847"/>
        <v>43</v>
      </c>
      <c r="BQ994" s="235">
        <f t="shared" si="848"/>
        <v>3.2938815789473681</v>
      </c>
      <c r="BR994" s="235" cm="1">
        <f t="array" ref="BR994">$BI994 * IF($AH994&lt;=2,
SUMPRODUCT(INDEX($AR$72:$AT$76,,$AI994), INDEX($AU$72:$BA$76,,$AH994), 1 / ($BB$72:$BB$76*BQ994 + (1-$BB$72:$BB$76)*BM994), N($AQ$72:$AQ$76&gt;$AO994)),
SUMPRODUCT(INDEX($AR$67:$AT$76,,$AI994), INDEX($AU$67:$BA$76,,$AH994), 1 / ($BC$67:$BC$76*BQ994 + (1-$BC$67:$BC$76)*BM994), N($AQ$67:$AQ$76&gt;$AO994))
) / 1000</f>
        <v>0</v>
      </c>
      <c r="BS994" s="232">
        <f t="shared" si="872"/>
        <v>25</v>
      </c>
      <c r="BT994" s="230">
        <f t="shared" si="849"/>
        <v>38</v>
      </c>
      <c r="BU994" s="235">
        <f t="shared" si="850"/>
        <v>3.792954545454545</v>
      </c>
      <c r="BV994" s="235" cm="1">
        <f t="array" ref="BV994">$BI994 * IF($AH994&lt;=2,
SUMPRODUCT(INDEX($AR$67:$AT$71,,$AI994), INDEX($AU$67:$BA$71,,$AH994), 1 / ($BB$67:$BB$71*BU994 + (1-$BB$67:$BB$71)*BQ994), N($AQ$67:$AQ$71&gt;$AO994)),
SUMPRODUCT(INDEX($AR$57:$AT$66,,$AI994), INDEX($AU$57:$BA$66,,$AH994), 1 / ($BC$57:$BC$66*BU994 + (1-$BC$57:$BC$66)*BQ994), N($AQ$57:$AQ$66&gt;$AO994))
) / 1000</f>
        <v>0</v>
      </c>
      <c r="BW994" s="232">
        <f t="shared" si="873"/>
        <v>20</v>
      </c>
      <c r="BX994" s="230">
        <f t="shared" si="851"/>
        <v>33</v>
      </c>
      <c r="BY994" s="235">
        <f t="shared" si="852"/>
        <v>4.4702678571428569</v>
      </c>
      <c r="BZ994" s="235" cm="1">
        <f t="array" ref="BZ994">$BI994 * IF($AH994&lt;=2,
SUMPRODUCT(INDEX($AR$62:$AT$66,,$AI994), INDEX($AU$62:$BA$66,,$AH994), 1 / ($BB$62:$BB$66*BY994 + (1-$BB$62:$BB$66)*BU994), N($AQ$62:$AQ$66&gt;$AO994)),
SUMPRODUCT(INDEX($AR$47:$AT$56,,$AI994), INDEX($AU$47:$BA$56,,$AH994), 1 / ($BC$47:$BC$56*BY994 + (1-$BC$47:$BC$56)*BU994), N($AQ$47:$AQ$56&gt;$AO994))
) / 1000</f>
        <v>0</v>
      </c>
      <c r="CA994" s="235" cm="1">
        <f t="array" ref="CA994">$BI994 * IF($AH994&lt;=2,
SUMPRODUCT(INDEX($AR$23:$AT$61,,$AI994), INDEX($AU$23:$BA$61,,$AH994), 1 / ($BB$23:$BB$61*BY994), N($AQ$23:$AQ$61&gt;$AO994)),
SUMPRODUCT(INDEX($AR$23:$AT$46,,$AI994), INDEX($AU$23:$BA$46,,$AH994), 1 / ($BC$23:$BC$46*BY994), N($AQ$23:$AQ$46&gt;$AO994))
) / 1000</f>
        <v>0</v>
      </c>
      <c r="CB994" s="230">
        <f t="shared" si="853"/>
        <v>0</v>
      </c>
      <c r="CC994" s="238"/>
      <c r="CD994" s="229" cm="1">
        <f t="array" ref="CD994">IF(ISBLANK(Y994), INDEX(Use, $AH994, 4) - AN994*INDEX(Use, $AH994, 6) - (Q994-X994), Y994)</f>
        <v>7</v>
      </c>
      <c r="CE994" s="229">
        <f t="shared" si="854"/>
        <v>32</v>
      </c>
      <c r="CF994" s="230">
        <f t="shared" si="855"/>
        <v>0</v>
      </c>
      <c r="CG994" s="229">
        <v>35</v>
      </c>
      <c r="CH994" s="230">
        <f t="shared" si="856"/>
        <v>48</v>
      </c>
      <c r="CI994" s="235">
        <f t="shared" si="857"/>
        <v>3.0748170731707316</v>
      </c>
      <c r="CJ994" s="235" cm="1">
        <f t="array" ref="CJ994">$BI994 * SUMPRODUCT(INDEX($AR$77:$AT$82,,$AI994),INDEX($AU$77:$BA$82,,$AH994), N($AQ$77:$AQ$82&gt;$AO994)) / CI994 / 1000</f>
        <v>0</v>
      </c>
      <c r="CK994" s="232">
        <f t="shared" si="874"/>
        <v>30</v>
      </c>
      <c r="CL994" s="230">
        <f t="shared" si="858"/>
        <v>43</v>
      </c>
      <c r="CM994" s="235">
        <f t="shared" si="859"/>
        <v>3.5018750000000001</v>
      </c>
      <c r="CN994" s="235" cm="1">
        <f t="array" ref="CN994">$BI994 * IF($AH994&lt;=2,
SUMPRODUCT(INDEX($AR$72:$AT$76,,$AI994), INDEX($AU$72:$BA$76,,$AH994), 1 / ($BB$72:$BB$76*CM994 + (1-$BB$72:$BB$76)*CI994), N($AQ$72:$AQ$76&gt;$AO994)),
SUMPRODUCT(INDEX($AR$67:$AT$76,,$AI994), INDEX($AU$67:$BA$76,,$AH994), 1 / ($BC$67:$BC$76*CM994 + (1-$BC$67:$BC$76)*CI994), N($AQ$67:$AQ$76&gt;$AO994))
) / 1000</f>
        <v>0</v>
      </c>
      <c r="CO994" s="232">
        <f t="shared" si="875"/>
        <v>25</v>
      </c>
      <c r="CP994" s="230">
        <f t="shared" si="860"/>
        <v>38</v>
      </c>
      <c r="CQ994" s="235">
        <f t="shared" si="861"/>
        <v>4.0666935483870965</v>
      </c>
      <c r="CR994" s="235" cm="1">
        <f t="array" ref="CR994">$BI994 * IF($AH994&lt;=2,
SUMPRODUCT(INDEX($AR$67:$AT$71,,$AI994), INDEX($AU$67:$BA$71,,$AH994), 1 / ($BB$67:$BB$71*CQ994 + (1-$BB$67:$BB$71)*CM994), N($AQ$67:$AQ$71&gt;$AO994)),
SUMPRODUCT(INDEX($AR$57:$AT$66,,$AI994), INDEX($AU$57:$BA$66,,$AH994), 1 / ($BC$57:$BC$66*CQ994 + (1-$BC$57:$BC$66)*CM994), N($AQ$57:$AQ$66&gt;$AO994))
) / 1000</f>
        <v>0</v>
      </c>
      <c r="CS994" s="232">
        <f t="shared" si="876"/>
        <v>20</v>
      </c>
      <c r="CT994" s="230">
        <f t="shared" si="862"/>
        <v>33</v>
      </c>
      <c r="CU994" s="235">
        <f t="shared" si="863"/>
        <v>4.8487499999999999</v>
      </c>
      <c r="CV994" s="235" cm="1">
        <f t="array" ref="CV994">$BI994 * IF($AH994&lt;=2,
SUMPRODUCT(INDEX($AR$62:$AT$66,,$AI994), INDEX($AU$62:$BA$66,,$AH994), 1 / ($BB$62:$BB$66*CU994 + (1-$BB$62:$BB$66)*CQ994), N($AQ$62:$AQ$66&gt;$AO994)),
SUMPRODUCT(INDEX($AR$47:$AT$56,,$AI994), INDEX($AU$47:$BA$56,,$AH994), 1 / ($BC$47:$BC$56*CU994 + (1-$BC$47:$BC$56)*CQ994), N($AQ$47:$AQ$56&gt;$AO994))
) / 1000</f>
        <v>0</v>
      </c>
      <c r="CW994" s="235" cm="1">
        <f t="array" ref="CW994">$BI994 * IF($AH994&lt;=2,
SUMPRODUCT(INDEX($AR$23:$AT$61,,$AI994), INDEX($AU$23:$BA$61,,$AH994), 1 / ($BB$23:$BB$61*CU994), N($AQ$23:$AQ$61&gt;$AO994)),
SUMPRODUCT(INDEX($AR$23:$AT$46,,$AI994), INDEX($AU$23:$BA$46,,$AH994), 1 / ($BC$23:$BC$46*CU994), N($AQ$23:$AQ$46&gt;$AO994))
) / 1000</f>
        <v>0</v>
      </c>
      <c r="CX994" s="230">
        <f t="shared" si="864"/>
        <v>0</v>
      </c>
      <c r="CY994" s="238"/>
    </row>
    <row r="995" spans="1:103" s="76" customFormat="1" ht="14.25" customHeight="1" x14ac:dyDescent="0.2">
      <c r="A995" s="231" t="b">
        <f t="shared" si="868"/>
        <v>0</v>
      </c>
      <c r="B995" s="245">
        <v>973</v>
      </c>
      <c r="C995" s="258"/>
      <c r="D995" s="258"/>
      <c r="E995" s="246"/>
      <c r="F995" s="247" t="str">
        <f>IF(ISBLANK(E995), "", VLOOKUP(E995, Z!$A$2:$C$4127, 3, FALSE))</f>
        <v/>
      </c>
      <c r="G995" s="248"/>
      <c r="H995" s="248"/>
      <c r="I995" s="249"/>
      <c r="J995" s="250"/>
      <c r="K995" s="259"/>
      <c r="L995" s="260"/>
      <c r="M995" s="252" t="str" cm="1">
        <f t="array" ref="M995">INDEX(Trad, 53, $A$20)</f>
        <v>Verschmutzt</v>
      </c>
      <c r="N995" s="253"/>
      <c r="O995" s="253"/>
      <c r="P995" s="254"/>
      <c r="Q995" s="251"/>
      <c r="R995" s="251"/>
      <c r="S995" s="264">
        <f t="shared" si="839"/>
        <v>0</v>
      </c>
      <c r="T995" s="252" t="str" cm="1">
        <f t="array" ref="T995">INDEX(Trad, 52, $A$20)</f>
        <v>Sauber</v>
      </c>
      <c r="U995" s="253"/>
      <c r="V995" s="253"/>
      <c r="W995" s="254"/>
      <c r="X995" s="251"/>
      <c r="Y995" s="251"/>
      <c r="Z995" s="264">
        <f t="shared" si="840"/>
        <v>0</v>
      </c>
      <c r="AA995" s="261"/>
      <c r="AB995" s="258"/>
      <c r="AC995" s="246"/>
      <c r="AD995" s="247" t="str">
        <f>IF(ISBLANK(AC995), "", VLOOKUP(AC995, Z!$A$2:$C$4127, 3, FALSE))</f>
        <v/>
      </c>
      <c r="AE995" s="262"/>
      <c r="AF995" s="263">
        <f t="shared" si="841"/>
        <v>0</v>
      </c>
      <c r="AG995" s="238"/>
      <c r="AH995" s="229">
        <f t="shared" si="865"/>
        <v>1</v>
      </c>
      <c r="AI995" s="229">
        <f t="shared" si="866"/>
        <v>1</v>
      </c>
      <c r="AJ995" s="229">
        <f t="shared" si="867"/>
        <v>0</v>
      </c>
      <c r="AK995" s="229">
        <v>0</v>
      </c>
      <c r="AL995" s="229">
        <v>0</v>
      </c>
      <c r="AM995" s="229">
        <v>1</v>
      </c>
      <c r="AN995" s="229">
        <v>0</v>
      </c>
      <c r="AO995" s="229">
        <f t="shared" si="842"/>
        <v>-100</v>
      </c>
      <c r="AP995" s="238"/>
      <c r="AQ995" s="255"/>
      <c r="AR995" s="255"/>
      <c r="AS995" s="256"/>
      <c r="AT995" s="256"/>
      <c r="AU995" s="256"/>
      <c r="AV995" s="256"/>
      <c r="AW995" s="256"/>
      <c r="AX995" s="256"/>
      <c r="AY995" s="256"/>
      <c r="AZ995" s="256"/>
      <c r="BA995" s="256"/>
      <c r="BB995" s="256"/>
      <c r="BC995" s="256"/>
      <c r="BD995" s="238"/>
      <c r="BE995" s="229" cm="1">
        <f t="array" ref="BE995">IF(ISBLANK(R995), INDEX(Use, $AH995, 4) - AM995*INDEX(Use, $AH995, 6), R995)</f>
        <v>5</v>
      </c>
      <c r="BF995" s="229">
        <f t="shared" si="843"/>
        <v>30</v>
      </c>
      <c r="BG995" s="229">
        <f t="shared" si="869"/>
        <v>13</v>
      </c>
      <c r="BH995" s="229">
        <f t="shared" si="870"/>
        <v>0</v>
      </c>
      <c r="BI995" s="234" cm="1">
        <f t="array" ref="BI995">K995/IF($L995&gt;0, INDEX($AU$23:$BA$77, $L995+20, $AH995), 1)</f>
        <v>0</v>
      </c>
      <c r="BJ995" s="230">
        <f t="shared" si="844"/>
        <v>0</v>
      </c>
      <c r="BK995" s="229">
        <v>35</v>
      </c>
      <c r="BL995" s="230">
        <f t="shared" si="845"/>
        <v>48</v>
      </c>
      <c r="BM995" s="235">
        <f t="shared" si="846"/>
        <v>2.9108720930232557</v>
      </c>
      <c r="BN995" s="235" cm="1">
        <f t="array" ref="BN995">$BI995 * SUMPRODUCT(INDEX($AR$77:$AT$82,,$AI995),INDEX($AU$77:$BA$82,,$AH995), N($AQ$77:$AQ$82&gt;$AO995)) / BM995 / 1000</f>
        <v>0</v>
      </c>
      <c r="BO995" s="232">
        <f t="shared" si="871"/>
        <v>30</v>
      </c>
      <c r="BP995" s="230">
        <f t="shared" si="847"/>
        <v>43</v>
      </c>
      <c r="BQ995" s="235">
        <f t="shared" si="848"/>
        <v>3.2938815789473681</v>
      </c>
      <c r="BR995" s="235" cm="1">
        <f t="array" ref="BR995">$BI995 * IF($AH995&lt;=2,
SUMPRODUCT(INDEX($AR$72:$AT$76,,$AI995), INDEX($AU$72:$BA$76,,$AH995), 1 / ($BB$72:$BB$76*BQ995 + (1-$BB$72:$BB$76)*BM995), N($AQ$72:$AQ$76&gt;$AO995)),
SUMPRODUCT(INDEX($AR$67:$AT$76,,$AI995), INDEX($AU$67:$BA$76,,$AH995), 1 / ($BC$67:$BC$76*BQ995 + (1-$BC$67:$BC$76)*BM995), N($AQ$67:$AQ$76&gt;$AO995))
) / 1000</f>
        <v>0</v>
      </c>
      <c r="BS995" s="232">
        <f t="shared" si="872"/>
        <v>25</v>
      </c>
      <c r="BT995" s="230">
        <f t="shared" si="849"/>
        <v>38</v>
      </c>
      <c r="BU995" s="235">
        <f t="shared" si="850"/>
        <v>3.792954545454545</v>
      </c>
      <c r="BV995" s="235" cm="1">
        <f t="array" ref="BV995">$BI995 * IF($AH995&lt;=2,
SUMPRODUCT(INDEX($AR$67:$AT$71,,$AI995), INDEX($AU$67:$BA$71,,$AH995), 1 / ($BB$67:$BB$71*BU995 + (1-$BB$67:$BB$71)*BQ995), N($AQ$67:$AQ$71&gt;$AO995)),
SUMPRODUCT(INDEX($AR$57:$AT$66,,$AI995), INDEX($AU$57:$BA$66,,$AH995), 1 / ($BC$57:$BC$66*BU995 + (1-$BC$57:$BC$66)*BQ995), N($AQ$57:$AQ$66&gt;$AO995))
) / 1000</f>
        <v>0</v>
      </c>
      <c r="BW995" s="232">
        <f t="shared" si="873"/>
        <v>20</v>
      </c>
      <c r="BX995" s="230">
        <f t="shared" si="851"/>
        <v>33</v>
      </c>
      <c r="BY995" s="235">
        <f t="shared" si="852"/>
        <v>4.4702678571428569</v>
      </c>
      <c r="BZ995" s="235" cm="1">
        <f t="array" ref="BZ995">$BI995 * IF($AH995&lt;=2,
SUMPRODUCT(INDEX($AR$62:$AT$66,,$AI995), INDEX($AU$62:$BA$66,,$AH995), 1 / ($BB$62:$BB$66*BY995 + (1-$BB$62:$BB$66)*BU995), N($AQ$62:$AQ$66&gt;$AO995)),
SUMPRODUCT(INDEX($AR$47:$AT$56,,$AI995), INDEX($AU$47:$BA$56,,$AH995), 1 / ($BC$47:$BC$56*BY995 + (1-$BC$47:$BC$56)*BU995), N($AQ$47:$AQ$56&gt;$AO995))
) / 1000</f>
        <v>0</v>
      </c>
      <c r="CA995" s="235" cm="1">
        <f t="array" ref="CA995">$BI995 * IF($AH995&lt;=2,
SUMPRODUCT(INDEX($AR$23:$AT$61,,$AI995), INDEX($AU$23:$BA$61,,$AH995), 1 / ($BB$23:$BB$61*BY995), N($AQ$23:$AQ$61&gt;$AO995)),
SUMPRODUCT(INDEX($AR$23:$AT$46,,$AI995), INDEX($AU$23:$BA$46,,$AH995), 1 / ($BC$23:$BC$46*BY995), N($AQ$23:$AQ$46&gt;$AO995))
) / 1000</f>
        <v>0</v>
      </c>
      <c r="CB995" s="230">
        <f t="shared" si="853"/>
        <v>0</v>
      </c>
      <c r="CC995" s="238"/>
      <c r="CD995" s="229" cm="1">
        <f t="array" ref="CD995">IF(ISBLANK(Y995), INDEX(Use, $AH995, 4) - AN995*INDEX(Use, $AH995, 6) - (Q995-X995), Y995)</f>
        <v>7</v>
      </c>
      <c r="CE995" s="229">
        <f t="shared" si="854"/>
        <v>32</v>
      </c>
      <c r="CF995" s="230">
        <f t="shared" si="855"/>
        <v>0</v>
      </c>
      <c r="CG995" s="229">
        <v>35</v>
      </c>
      <c r="CH995" s="230">
        <f t="shared" si="856"/>
        <v>48</v>
      </c>
      <c r="CI995" s="235">
        <f t="shared" si="857"/>
        <v>3.0748170731707316</v>
      </c>
      <c r="CJ995" s="235" cm="1">
        <f t="array" ref="CJ995">$BI995 * SUMPRODUCT(INDEX($AR$77:$AT$82,,$AI995),INDEX($AU$77:$BA$82,,$AH995), N($AQ$77:$AQ$82&gt;$AO995)) / CI995 / 1000</f>
        <v>0</v>
      </c>
      <c r="CK995" s="232">
        <f t="shared" si="874"/>
        <v>30</v>
      </c>
      <c r="CL995" s="230">
        <f t="shared" si="858"/>
        <v>43</v>
      </c>
      <c r="CM995" s="235">
        <f t="shared" si="859"/>
        <v>3.5018750000000001</v>
      </c>
      <c r="CN995" s="235" cm="1">
        <f t="array" ref="CN995">$BI995 * IF($AH995&lt;=2,
SUMPRODUCT(INDEX($AR$72:$AT$76,,$AI995), INDEX($AU$72:$BA$76,,$AH995), 1 / ($BB$72:$BB$76*CM995 + (1-$BB$72:$BB$76)*CI995), N($AQ$72:$AQ$76&gt;$AO995)),
SUMPRODUCT(INDEX($AR$67:$AT$76,,$AI995), INDEX($AU$67:$BA$76,,$AH995), 1 / ($BC$67:$BC$76*CM995 + (1-$BC$67:$BC$76)*CI995), N($AQ$67:$AQ$76&gt;$AO995))
) / 1000</f>
        <v>0</v>
      </c>
      <c r="CO995" s="232">
        <f t="shared" si="875"/>
        <v>25</v>
      </c>
      <c r="CP995" s="230">
        <f t="shared" si="860"/>
        <v>38</v>
      </c>
      <c r="CQ995" s="235">
        <f t="shared" si="861"/>
        <v>4.0666935483870965</v>
      </c>
      <c r="CR995" s="235" cm="1">
        <f t="array" ref="CR995">$BI995 * IF($AH995&lt;=2,
SUMPRODUCT(INDEX($AR$67:$AT$71,,$AI995), INDEX($AU$67:$BA$71,,$AH995), 1 / ($BB$67:$BB$71*CQ995 + (1-$BB$67:$BB$71)*CM995), N($AQ$67:$AQ$71&gt;$AO995)),
SUMPRODUCT(INDEX($AR$57:$AT$66,,$AI995), INDEX($AU$57:$BA$66,,$AH995), 1 / ($BC$57:$BC$66*CQ995 + (1-$BC$57:$BC$66)*CM995), N($AQ$57:$AQ$66&gt;$AO995))
) / 1000</f>
        <v>0</v>
      </c>
      <c r="CS995" s="232">
        <f t="shared" si="876"/>
        <v>20</v>
      </c>
      <c r="CT995" s="230">
        <f t="shared" si="862"/>
        <v>33</v>
      </c>
      <c r="CU995" s="235">
        <f t="shared" si="863"/>
        <v>4.8487499999999999</v>
      </c>
      <c r="CV995" s="235" cm="1">
        <f t="array" ref="CV995">$BI995 * IF($AH995&lt;=2,
SUMPRODUCT(INDEX($AR$62:$AT$66,,$AI995), INDEX($AU$62:$BA$66,,$AH995), 1 / ($BB$62:$BB$66*CU995 + (1-$BB$62:$BB$66)*CQ995), N($AQ$62:$AQ$66&gt;$AO995)),
SUMPRODUCT(INDEX($AR$47:$AT$56,,$AI995), INDEX($AU$47:$BA$56,,$AH995), 1 / ($BC$47:$BC$56*CU995 + (1-$BC$47:$BC$56)*CQ995), N($AQ$47:$AQ$56&gt;$AO995))
) / 1000</f>
        <v>0</v>
      </c>
      <c r="CW995" s="235" cm="1">
        <f t="array" ref="CW995">$BI995 * IF($AH995&lt;=2,
SUMPRODUCT(INDEX($AR$23:$AT$61,,$AI995), INDEX($AU$23:$BA$61,,$AH995), 1 / ($BB$23:$BB$61*CU995), N($AQ$23:$AQ$61&gt;$AO995)),
SUMPRODUCT(INDEX($AR$23:$AT$46,,$AI995), INDEX($AU$23:$BA$46,,$AH995), 1 / ($BC$23:$BC$46*CU995), N($AQ$23:$AQ$46&gt;$AO995))
) / 1000</f>
        <v>0</v>
      </c>
      <c r="CX995" s="230">
        <f t="shared" si="864"/>
        <v>0</v>
      </c>
      <c r="CY995" s="238"/>
    </row>
    <row r="996" spans="1:103" s="76" customFormat="1" ht="14.25" customHeight="1" x14ac:dyDescent="0.2">
      <c r="A996" s="231" t="b">
        <f t="shared" si="868"/>
        <v>0</v>
      </c>
      <c r="B996" s="245">
        <v>974</v>
      </c>
      <c r="C996" s="258"/>
      <c r="D996" s="258"/>
      <c r="E996" s="246"/>
      <c r="F996" s="247" t="str">
        <f>IF(ISBLANK(E996), "", VLOOKUP(E996, Z!$A$2:$C$4127, 3, FALSE))</f>
        <v/>
      </c>
      <c r="G996" s="248"/>
      <c r="H996" s="248"/>
      <c r="I996" s="249"/>
      <c r="J996" s="250"/>
      <c r="K996" s="259"/>
      <c r="L996" s="260"/>
      <c r="M996" s="252" t="str" cm="1">
        <f t="array" ref="M996">INDEX(Trad, 53, $A$20)</f>
        <v>Verschmutzt</v>
      </c>
      <c r="N996" s="253"/>
      <c r="O996" s="253"/>
      <c r="P996" s="254"/>
      <c r="Q996" s="251"/>
      <c r="R996" s="251"/>
      <c r="S996" s="264">
        <f t="shared" si="839"/>
        <v>0</v>
      </c>
      <c r="T996" s="252" t="str" cm="1">
        <f t="array" ref="T996">INDEX(Trad, 52, $A$20)</f>
        <v>Sauber</v>
      </c>
      <c r="U996" s="253"/>
      <c r="V996" s="253"/>
      <c r="W996" s="254"/>
      <c r="X996" s="251"/>
      <c r="Y996" s="251"/>
      <c r="Z996" s="264">
        <f t="shared" si="840"/>
        <v>0</v>
      </c>
      <c r="AA996" s="261"/>
      <c r="AB996" s="258"/>
      <c r="AC996" s="246"/>
      <c r="AD996" s="247" t="str">
        <f>IF(ISBLANK(AC996), "", VLOOKUP(AC996, Z!$A$2:$C$4127, 3, FALSE))</f>
        <v/>
      </c>
      <c r="AE996" s="262"/>
      <c r="AF996" s="263">
        <f t="shared" si="841"/>
        <v>0</v>
      </c>
      <c r="AG996" s="238"/>
      <c r="AH996" s="229">
        <f t="shared" si="865"/>
        <v>1</v>
      </c>
      <c r="AI996" s="229">
        <f t="shared" si="866"/>
        <v>1</v>
      </c>
      <c r="AJ996" s="229">
        <f t="shared" si="867"/>
        <v>0</v>
      </c>
      <c r="AK996" s="229">
        <v>0</v>
      </c>
      <c r="AL996" s="229">
        <v>0</v>
      </c>
      <c r="AM996" s="229">
        <v>1</v>
      </c>
      <c r="AN996" s="229">
        <v>0</v>
      </c>
      <c r="AO996" s="229">
        <f t="shared" si="842"/>
        <v>-100</v>
      </c>
      <c r="AP996" s="238"/>
      <c r="AQ996" s="255"/>
      <c r="AR996" s="255"/>
      <c r="AS996" s="256"/>
      <c r="AT996" s="256"/>
      <c r="AU996" s="256"/>
      <c r="AV996" s="256"/>
      <c r="AW996" s="256"/>
      <c r="AX996" s="256"/>
      <c r="AY996" s="256"/>
      <c r="AZ996" s="256"/>
      <c r="BA996" s="256"/>
      <c r="BB996" s="256"/>
      <c r="BC996" s="256"/>
      <c r="BD996" s="238"/>
      <c r="BE996" s="229" cm="1">
        <f t="array" ref="BE996">IF(ISBLANK(R996), INDEX(Use, $AH996, 4) - AM996*INDEX(Use, $AH996, 6), R996)</f>
        <v>5</v>
      </c>
      <c r="BF996" s="229">
        <f t="shared" si="843"/>
        <v>30</v>
      </c>
      <c r="BG996" s="229">
        <f t="shared" si="869"/>
        <v>13</v>
      </c>
      <c r="BH996" s="229">
        <f t="shared" si="870"/>
        <v>0</v>
      </c>
      <c r="BI996" s="234" cm="1">
        <f t="array" ref="BI996">K996/IF($L996&gt;0, INDEX($AU$23:$BA$77, $L996+20, $AH996), 1)</f>
        <v>0</v>
      </c>
      <c r="BJ996" s="230">
        <f t="shared" si="844"/>
        <v>0</v>
      </c>
      <c r="BK996" s="229">
        <v>35</v>
      </c>
      <c r="BL996" s="230">
        <f t="shared" si="845"/>
        <v>48</v>
      </c>
      <c r="BM996" s="235">
        <f t="shared" si="846"/>
        <v>2.9108720930232557</v>
      </c>
      <c r="BN996" s="235" cm="1">
        <f t="array" ref="BN996">$BI996 * SUMPRODUCT(INDEX($AR$77:$AT$82,,$AI996),INDEX($AU$77:$BA$82,,$AH996), N($AQ$77:$AQ$82&gt;$AO996)) / BM996 / 1000</f>
        <v>0</v>
      </c>
      <c r="BO996" s="232">
        <f t="shared" si="871"/>
        <v>30</v>
      </c>
      <c r="BP996" s="230">
        <f t="shared" si="847"/>
        <v>43</v>
      </c>
      <c r="BQ996" s="235">
        <f t="shared" si="848"/>
        <v>3.2938815789473681</v>
      </c>
      <c r="BR996" s="235" cm="1">
        <f t="array" ref="BR996">$BI996 * IF($AH996&lt;=2,
SUMPRODUCT(INDEX($AR$72:$AT$76,,$AI996), INDEX($AU$72:$BA$76,,$AH996), 1 / ($BB$72:$BB$76*BQ996 + (1-$BB$72:$BB$76)*BM996), N($AQ$72:$AQ$76&gt;$AO996)),
SUMPRODUCT(INDEX($AR$67:$AT$76,,$AI996), INDEX($AU$67:$BA$76,,$AH996), 1 / ($BC$67:$BC$76*BQ996 + (1-$BC$67:$BC$76)*BM996), N($AQ$67:$AQ$76&gt;$AO996))
) / 1000</f>
        <v>0</v>
      </c>
      <c r="BS996" s="232">
        <f t="shared" si="872"/>
        <v>25</v>
      </c>
      <c r="BT996" s="230">
        <f t="shared" si="849"/>
        <v>38</v>
      </c>
      <c r="BU996" s="235">
        <f t="shared" si="850"/>
        <v>3.792954545454545</v>
      </c>
      <c r="BV996" s="235" cm="1">
        <f t="array" ref="BV996">$BI996 * IF($AH996&lt;=2,
SUMPRODUCT(INDEX($AR$67:$AT$71,,$AI996), INDEX($AU$67:$BA$71,,$AH996), 1 / ($BB$67:$BB$71*BU996 + (1-$BB$67:$BB$71)*BQ996), N($AQ$67:$AQ$71&gt;$AO996)),
SUMPRODUCT(INDEX($AR$57:$AT$66,,$AI996), INDEX($AU$57:$BA$66,,$AH996), 1 / ($BC$57:$BC$66*BU996 + (1-$BC$57:$BC$66)*BQ996), N($AQ$57:$AQ$66&gt;$AO996))
) / 1000</f>
        <v>0</v>
      </c>
      <c r="BW996" s="232">
        <f t="shared" si="873"/>
        <v>20</v>
      </c>
      <c r="BX996" s="230">
        <f t="shared" si="851"/>
        <v>33</v>
      </c>
      <c r="BY996" s="235">
        <f t="shared" si="852"/>
        <v>4.4702678571428569</v>
      </c>
      <c r="BZ996" s="235" cm="1">
        <f t="array" ref="BZ996">$BI996 * IF($AH996&lt;=2,
SUMPRODUCT(INDEX($AR$62:$AT$66,,$AI996), INDEX($AU$62:$BA$66,,$AH996), 1 / ($BB$62:$BB$66*BY996 + (1-$BB$62:$BB$66)*BU996), N($AQ$62:$AQ$66&gt;$AO996)),
SUMPRODUCT(INDEX($AR$47:$AT$56,,$AI996), INDEX($AU$47:$BA$56,,$AH996), 1 / ($BC$47:$BC$56*BY996 + (1-$BC$47:$BC$56)*BU996), N($AQ$47:$AQ$56&gt;$AO996))
) / 1000</f>
        <v>0</v>
      </c>
      <c r="CA996" s="235" cm="1">
        <f t="array" ref="CA996">$BI996 * IF($AH996&lt;=2,
SUMPRODUCT(INDEX($AR$23:$AT$61,,$AI996), INDEX($AU$23:$BA$61,,$AH996), 1 / ($BB$23:$BB$61*BY996), N($AQ$23:$AQ$61&gt;$AO996)),
SUMPRODUCT(INDEX($AR$23:$AT$46,,$AI996), INDEX($AU$23:$BA$46,,$AH996), 1 / ($BC$23:$BC$46*BY996), N($AQ$23:$AQ$46&gt;$AO996))
) / 1000</f>
        <v>0</v>
      </c>
      <c r="CB996" s="230">
        <f t="shared" si="853"/>
        <v>0</v>
      </c>
      <c r="CC996" s="238"/>
      <c r="CD996" s="229" cm="1">
        <f t="array" ref="CD996">IF(ISBLANK(Y996), INDEX(Use, $AH996, 4) - AN996*INDEX(Use, $AH996, 6) - (Q996-X996), Y996)</f>
        <v>7</v>
      </c>
      <c r="CE996" s="229">
        <f t="shared" si="854"/>
        <v>32</v>
      </c>
      <c r="CF996" s="230">
        <f t="shared" si="855"/>
        <v>0</v>
      </c>
      <c r="CG996" s="229">
        <v>35</v>
      </c>
      <c r="CH996" s="230">
        <f t="shared" si="856"/>
        <v>48</v>
      </c>
      <c r="CI996" s="235">
        <f t="shared" si="857"/>
        <v>3.0748170731707316</v>
      </c>
      <c r="CJ996" s="235" cm="1">
        <f t="array" ref="CJ996">$BI996 * SUMPRODUCT(INDEX($AR$77:$AT$82,,$AI996),INDEX($AU$77:$BA$82,,$AH996), N($AQ$77:$AQ$82&gt;$AO996)) / CI996 / 1000</f>
        <v>0</v>
      </c>
      <c r="CK996" s="232">
        <f t="shared" si="874"/>
        <v>30</v>
      </c>
      <c r="CL996" s="230">
        <f t="shared" si="858"/>
        <v>43</v>
      </c>
      <c r="CM996" s="235">
        <f t="shared" si="859"/>
        <v>3.5018750000000001</v>
      </c>
      <c r="CN996" s="235" cm="1">
        <f t="array" ref="CN996">$BI996 * IF($AH996&lt;=2,
SUMPRODUCT(INDEX($AR$72:$AT$76,,$AI996), INDEX($AU$72:$BA$76,,$AH996), 1 / ($BB$72:$BB$76*CM996 + (1-$BB$72:$BB$76)*CI996), N($AQ$72:$AQ$76&gt;$AO996)),
SUMPRODUCT(INDEX($AR$67:$AT$76,,$AI996), INDEX($AU$67:$BA$76,,$AH996), 1 / ($BC$67:$BC$76*CM996 + (1-$BC$67:$BC$76)*CI996), N($AQ$67:$AQ$76&gt;$AO996))
) / 1000</f>
        <v>0</v>
      </c>
      <c r="CO996" s="232">
        <f t="shared" si="875"/>
        <v>25</v>
      </c>
      <c r="CP996" s="230">
        <f t="shared" si="860"/>
        <v>38</v>
      </c>
      <c r="CQ996" s="235">
        <f t="shared" si="861"/>
        <v>4.0666935483870965</v>
      </c>
      <c r="CR996" s="235" cm="1">
        <f t="array" ref="CR996">$BI996 * IF($AH996&lt;=2,
SUMPRODUCT(INDEX($AR$67:$AT$71,,$AI996), INDEX($AU$67:$BA$71,,$AH996), 1 / ($BB$67:$BB$71*CQ996 + (1-$BB$67:$BB$71)*CM996), N($AQ$67:$AQ$71&gt;$AO996)),
SUMPRODUCT(INDEX($AR$57:$AT$66,,$AI996), INDEX($AU$57:$BA$66,,$AH996), 1 / ($BC$57:$BC$66*CQ996 + (1-$BC$57:$BC$66)*CM996), N($AQ$57:$AQ$66&gt;$AO996))
) / 1000</f>
        <v>0</v>
      </c>
      <c r="CS996" s="232">
        <f t="shared" si="876"/>
        <v>20</v>
      </c>
      <c r="CT996" s="230">
        <f t="shared" si="862"/>
        <v>33</v>
      </c>
      <c r="CU996" s="235">
        <f t="shared" si="863"/>
        <v>4.8487499999999999</v>
      </c>
      <c r="CV996" s="235" cm="1">
        <f t="array" ref="CV996">$BI996 * IF($AH996&lt;=2,
SUMPRODUCT(INDEX($AR$62:$AT$66,,$AI996), INDEX($AU$62:$BA$66,,$AH996), 1 / ($BB$62:$BB$66*CU996 + (1-$BB$62:$BB$66)*CQ996), N($AQ$62:$AQ$66&gt;$AO996)),
SUMPRODUCT(INDEX($AR$47:$AT$56,,$AI996), INDEX($AU$47:$BA$56,,$AH996), 1 / ($BC$47:$BC$56*CU996 + (1-$BC$47:$BC$56)*CQ996), N($AQ$47:$AQ$56&gt;$AO996))
) / 1000</f>
        <v>0</v>
      </c>
      <c r="CW996" s="235" cm="1">
        <f t="array" ref="CW996">$BI996 * IF($AH996&lt;=2,
SUMPRODUCT(INDEX($AR$23:$AT$61,,$AI996), INDEX($AU$23:$BA$61,,$AH996), 1 / ($BB$23:$BB$61*CU996), N($AQ$23:$AQ$61&gt;$AO996)),
SUMPRODUCT(INDEX($AR$23:$AT$46,,$AI996), INDEX($AU$23:$BA$46,,$AH996), 1 / ($BC$23:$BC$46*CU996), N($AQ$23:$AQ$46&gt;$AO996))
) / 1000</f>
        <v>0</v>
      </c>
      <c r="CX996" s="230">
        <f t="shared" si="864"/>
        <v>0</v>
      </c>
      <c r="CY996" s="238"/>
    </row>
    <row r="997" spans="1:103" s="76" customFormat="1" ht="14.25" customHeight="1" x14ac:dyDescent="0.2">
      <c r="A997" s="231" t="b">
        <f t="shared" si="868"/>
        <v>0</v>
      </c>
      <c r="B997" s="245">
        <v>975</v>
      </c>
      <c r="C997" s="258"/>
      <c r="D997" s="258"/>
      <c r="E997" s="246"/>
      <c r="F997" s="247" t="str">
        <f>IF(ISBLANK(E997), "", VLOOKUP(E997, Z!$A$2:$C$4127, 3, FALSE))</f>
        <v/>
      </c>
      <c r="G997" s="248"/>
      <c r="H997" s="248"/>
      <c r="I997" s="249"/>
      <c r="J997" s="250"/>
      <c r="K997" s="259"/>
      <c r="L997" s="260"/>
      <c r="M997" s="252" t="str" cm="1">
        <f t="array" ref="M997">INDEX(Trad, 53, $A$20)</f>
        <v>Verschmutzt</v>
      </c>
      <c r="N997" s="253"/>
      <c r="O997" s="253"/>
      <c r="P997" s="254"/>
      <c r="Q997" s="251"/>
      <c r="R997" s="251"/>
      <c r="S997" s="264">
        <f t="shared" si="839"/>
        <v>0</v>
      </c>
      <c r="T997" s="252" t="str" cm="1">
        <f t="array" ref="T997">INDEX(Trad, 52, $A$20)</f>
        <v>Sauber</v>
      </c>
      <c r="U997" s="253"/>
      <c r="V997" s="253"/>
      <c r="W997" s="254"/>
      <c r="X997" s="251"/>
      <c r="Y997" s="251"/>
      <c r="Z997" s="264">
        <f t="shared" si="840"/>
        <v>0</v>
      </c>
      <c r="AA997" s="261"/>
      <c r="AB997" s="258"/>
      <c r="AC997" s="246"/>
      <c r="AD997" s="247" t="str">
        <f>IF(ISBLANK(AC997), "", VLOOKUP(AC997, Z!$A$2:$C$4127, 3, FALSE))</f>
        <v/>
      </c>
      <c r="AE997" s="262"/>
      <c r="AF997" s="263">
        <f t="shared" si="841"/>
        <v>0</v>
      </c>
      <c r="AG997" s="238"/>
      <c r="AH997" s="229">
        <f t="shared" si="865"/>
        <v>1</v>
      </c>
      <c r="AI997" s="229">
        <f t="shared" si="866"/>
        <v>1</v>
      </c>
      <c r="AJ997" s="229">
        <f t="shared" si="867"/>
        <v>0</v>
      </c>
      <c r="AK997" s="229">
        <v>0</v>
      </c>
      <c r="AL997" s="229">
        <v>0</v>
      </c>
      <c r="AM997" s="229">
        <v>1</v>
      </c>
      <c r="AN997" s="229">
        <v>0</v>
      </c>
      <c r="AO997" s="229">
        <f t="shared" si="842"/>
        <v>-100</v>
      </c>
      <c r="AP997" s="238"/>
      <c r="AQ997" s="255"/>
      <c r="AR997" s="255"/>
      <c r="AS997" s="256"/>
      <c r="AT997" s="256"/>
      <c r="AU997" s="256"/>
      <c r="AV997" s="256"/>
      <c r="AW997" s="256"/>
      <c r="AX997" s="256"/>
      <c r="AY997" s="256"/>
      <c r="AZ997" s="256"/>
      <c r="BA997" s="256"/>
      <c r="BB997" s="256"/>
      <c r="BC997" s="256"/>
      <c r="BD997" s="238"/>
      <c r="BE997" s="229" cm="1">
        <f t="array" ref="BE997">IF(ISBLANK(R997), INDEX(Use, $AH997, 4) - AM997*INDEX(Use, $AH997, 6), R997)</f>
        <v>5</v>
      </c>
      <c r="BF997" s="229">
        <f t="shared" si="843"/>
        <v>30</v>
      </c>
      <c r="BG997" s="229">
        <f t="shared" si="869"/>
        <v>13</v>
      </c>
      <c r="BH997" s="229">
        <f t="shared" si="870"/>
        <v>0</v>
      </c>
      <c r="BI997" s="234" cm="1">
        <f t="array" ref="BI997">K997/IF($L997&gt;0, INDEX($AU$23:$BA$77, $L997+20, $AH997), 1)</f>
        <v>0</v>
      </c>
      <c r="BJ997" s="230">
        <f t="shared" si="844"/>
        <v>0</v>
      </c>
      <c r="BK997" s="229">
        <v>35</v>
      </c>
      <c r="BL997" s="230">
        <f t="shared" si="845"/>
        <v>48</v>
      </c>
      <c r="BM997" s="235">
        <f t="shared" si="846"/>
        <v>2.9108720930232557</v>
      </c>
      <c r="BN997" s="235" cm="1">
        <f t="array" ref="BN997">$BI997 * SUMPRODUCT(INDEX($AR$77:$AT$82,,$AI997),INDEX($AU$77:$BA$82,,$AH997), N($AQ$77:$AQ$82&gt;$AO997)) / BM997 / 1000</f>
        <v>0</v>
      </c>
      <c r="BO997" s="232">
        <f t="shared" si="871"/>
        <v>30</v>
      </c>
      <c r="BP997" s="230">
        <f t="shared" si="847"/>
        <v>43</v>
      </c>
      <c r="BQ997" s="235">
        <f t="shared" si="848"/>
        <v>3.2938815789473681</v>
      </c>
      <c r="BR997" s="235" cm="1">
        <f t="array" ref="BR997">$BI997 * IF($AH997&lt;=2,
SUMPRODUCT(INDEX($AR$72:$AT$76,,$AI997), INDEX($AU$72:$BA$76,,$AH997), 1 / ($BB$72:$BB$76*BQ997 + (1-$BB$72:$BB$76)*BM997), N($AQ$72:$AQ$76&gt;$AO997)),
SUMPRODUCT(INDEX($AR$67:$AT$76,,$AI997), INDEX($AU$67:$BA$76,,$AH997), 1 / ($BC$67:$BC$76*BQ997 + (1-$BC$67:$BC$76)*BM997), N($AQ$67:$AQ$76&gt;$AO997))
) / 1000</f>
        <v>0</v>
      </c>
      <c r="BS997" s="232">
        <f t="shared" si="872"/>
        <v>25</v>
      </c>
      <c r="BT997" s="230">
        <f t="shared" si="849"/>
        <v>38</v>
      </c>
      <c r="BU997" s="235">
        <f t="shared" si="850"/>
        <v>3.792954545454545</v>
      </c>
      <c r="BV997" s="235" cm="1">
        <f t="array" ref="BV997">$BI997 * IF($AH997&lt;=2,
SUMPRODUCT(INDEX($AR$67:$AT$71,,$AI997), INDEX($AU$67:$BA$71,,$AH997), 1 / ($BB$67:$BB$71*BU997 + (1-$BB$67:$BB$71)*BQ997), N($AQ$67:$AQ$71&gt;$AO997)),
SUMPRODUCT(INDEX($AR$57:$AT$66,,$AI997), INDEX($AU$57:$BA$66,,$AH997), 1 / ($BC$57:$BC$66*BU997 + (1-$BC$57:$BC$66)*BQ997), N($AQ$57:$AQ$66&gt;$AO997))
) / 1000</f>
        <v>0</v>
      </c>
      <c r="BW997" s="232">
        <f t="shared" si="873"/>
        <v>20</v>
      </c>
      <c r="BX997" s="230">
        <f t="shared" si="851"/>
        <v>33</v>
      </c>
      <c r="BY997" s="235">
        <f t="shared" si="852"/>
        <v>4.4702678571428569</v>
      </c>
      <c r="BZ997" s="235" cm="1">
        <f t="array" ref="BZ997">$BI997 * IF($AH997&lt;=2,
SUMPRODUCT(INDEX($AR$62:$AT$66,,$AI997), INDEX($AU$62:$BA$66,,$AH997), 1 / ($BB$62:$BB$66*BY997 + (1-$BB$62:$BB$66)*BU997), N($AQ$62:$AQ$66&gt;$AO997)),
SUMPRODUCT(INDEX($AR$47:$AT$56,,$AI997), INDEX($AU$47:$BA$56,,$AH997), 1 / ($BC$47:$BC$56*BY997 + (1-$BC$47:$BC$56)*BU997), N($AQ$47:$AQ$56&gt;$AO997))
) / 1000</f>
        <v>0</v>
      </c>
      <c r="CA997" s="235" cm="1">
        <f t="array" ref="CA997">$BI997 * IF($AH997&lt;=2,
SUMPRODUCT(INDEX($AR$23:$AT$61,,$AI997), INDEX($AU$23:$BA$61,,$AH997), 1 / ($BB$23:$BB$61*BY997), N($AQ$23:$AQ$61&gt;$AO997)),
SUMPRODUCT(INDEX($AR$23:$AT$46,,$AI997), INDEX($AU$23:$BA$46,,$AH997), 1 / ($BC$23:$BC$46*BY997), N($AQ$23:$AQ$46&gt;$AO997))
) / 1000</f>
        <v>0</v>
      </c>
      <c r="CB997" s="230">
        <f t="shared" si="853"/>
        <v>0</v>
      </c>
      <c r="CC997" s="238"/>
      <c r="CD997" s="229" cm="1">
        <f t="array" ref="CD997">IF(ISBLANK(Y997), INDEX(Use, $AH997, 4) - AN997*INDEX(Use, $AH997, 6) - (Q997-X997), Y997)</f>
        <v>7</v>
      </c>
      <c r="CE997" s="229">
        <f t="shared" si="854"/>
        <v>32</v>
      </c>
      <c r="CF997" s="230">
        <f t="shared" si="855"/>
        <v>0</v>
      </c>
      <c r="CG997" s="229">
        <v>35</v>
      </c>
      <c r="CH997" s="230">
        <f t="shared" si="856"/>
        <v>48</v>
      </c>
      <c r="CI997" s="235">
        <f t="shared" si="857"/>
        <v>3.0748170731707316</v>
      </c>
      <c r="CJ997" s="235" cm="1">
        <f t="array" ref="CJ997">$BI997 * SUMPRODUCT(INDEX($AR$77:$AT$82,,$AI997),INDEX($AU$77:$BA$82,,$AH997), N($AQ$77:$AQ$82&gt;$AO997)) / CI997 / 1000</f>
        <v>0</v>
      </c>
      <c r="CK997" s="232">
        <f t="shared" si="874"/>
        <v>30</v>
      </c>
      <c r="CL997" s="230">
        <f t="shared" si="858"/>
        <v>43</v>
      </c>
      <c r="CM997" s="235">
        <f t="shared" si="859"/>
        <v>3.5018750000000001</v>
      </c>
      <c r="CN997" s="235" cm="1">
        <f t="array" ref="CN997">$BI997 * IF($AH997&lt;=2,
SUMPRODUCT(INDEX($AR$72:$AT$76,,$AI997), INDEX($AU$72:$BA$76,,$AH997), 1 / ($BB$72:$BB$76*CM997 + (1-$BB$72:$BB$76)*CI997), N($AQ$72:$AQ$76&gt;$AO997)),
SUMPRODUCT(INDEX($AR$67:$AT$76,,$AI997), INDEX($AU$67:$BA$76,,$AH997), 1 / ($BC$67:$BC$76*CM997 + (1-$BC$67:$BC$76)*CI997), N($AQ$67:$AQ$76&gt;$AO997))
) / 1000</f>
        <v>0</v>
      </c>
      <c r="CO997" s="232">
        <f t="shared" si="875"/>
        <v>25</v>
      </c>
      <c r="CP997" s="230">
        <f t="shared" si="860"/>
        <v>38</v>
      </c>
      <c r="CQ997" s="235">
        <f t="shared" si="861"/>
        <v>4.0666935483870965</v>
      </c>
      <c r="CR997" s="235" cm="1">
        <f t="array" ref="CR997">$BI997 * IF($AH997&lt;=2,
SUMPRODUCT(INDEX($AR$67:$AT$71,,$AI997), INDEX($AU$67:$BA$71,,$AH997), 1 / ($BB$67:$BB$71*CQ997 + (1-$BB$67:$BB$71)*CM997), N($AQ$67:$AQ$71&gt;$AO997)),
SUMPRODUCT(INDEX($AR$57:$AT$66,,$AI997), INDEX($AU$57:$BA$66,,$AH997), 1 / ($BC$57:$BC$66*CQ997 + (1-$BC$57:$BC$66)*CM997), N($AQ$57:$AQ$66&gt;$AO997))
) / 1000</f>
        <v>0</v>
      </c>
      <c r="CS997" s="232">
        <f t="shared" si="876"/>
        <v>20</v>
      </c>
      <c r="CT997" s="230">
        <f t="shared" si="862"/>
        <v>33</v>
      </c>
      <c r="CU997" s="235">
        <f t="shared" si="863"/>
        <v>4.8487499999999999</v>
      </c>
      <c r="CV997" s="235" cm="1">
        <f t="array" ref="CV997">$BI997 * IF($AH997&lt;=2,
SUMPRODUCT(INDEX($AR$62:$AT$66,,$AI997), INDEX($AU$62:$BA$66,,$AH997), 1 / ($BB$62:$BB$66*CU997 + (1-$BB$62:$BB$66)*CQ997), N($AQ$62:$AQ$66&gt;$AO997)),
SUMPRODUCT(INDEX($AR$47:$AT$56,,$AI997), INDEX($AU$47:$BA$56,,$AH997), 1 / ($BC$47:$BC$56*CU997 + (1-$BC$47:$BC$56)*CQ997), N($AQ$47:$AQ$56&gt;$AO997))
) / 1000</f>
        <v>0</v>
      </c>
      <c r="CW997" s="235" cm="1">
        <f t="array" ref="CW997">$BI997 * IF($AH997&lt;=2,
SUMPRODUCT(INDEX($AR$23:$AT$61,,$AI997), INDEX($AU$23:$BA$61,,$AH997), 1 / ($BB$23:$BB$61*CU997), N($AQ$23:$AQ$61&gt;$AO997)),
SUMPRODUCT(INDEX($AR$23:$AT$46,,$AI997), INDEX($AU$23:$BA$46,,$AH997), 1 / ($BC$23:$BC$46*CU997), N($AQ$23:$AQ$46&gt;$AO997))
) / 1000</f>
        <v>0</v>
      </c>
      <c r="CX997" s="230">
        <f t="shared" si="864"/>
        <v>0</v>
      </c>
      <c r="CY997" s="238"/>
    </row>
    <row r="998" spans="1:103" s="76" customFormat="1" ht="14.25" customHeight="1" x14ac:dyDescent="0.2">
      <c r="A998" s="231" t="b">
        <f t="shared" si="868"/>
        <v>0</v>
      </c>
      <c r="B998" s="245">
        <v>976</v>
      </c>
      <c r="C998" s="258"/>
      <c r="D998" s="258"/>
      <c r="E998" s="246"/>
      <c r="F998" s="247" t="str">
        <f>IF(ISBLANK(E998), "", VLOOKUP(E998, Z!$A$2:$C$4127, 3, FALSE))</f>
        <v/>
      </c>
      <c r="G998" s="248"/>
      <c r="H998" s="248"/>
      <c r="I998" s="249"/>
      <c r="J998" s="250"/>
      <c r="K998" s="259"/>
      <c r="L998" s="260"/>
      <c r="M998" s="252" t="str" cm="1">
        <f t="array" ref="M998">INDEX(Trad, 53, $A$20)</f>
        <v>Verschmutzt</v>
      </c>
      <c r="N998" s="253"/>
      <c r="O998" s="253"/>
      <c r="P998" s="254"/>
      <c r="Q998" s="251"/>
      <c r="R998" s="251"/>
      <c r="S998" s="264">
        <f t="shared" si="839"/>
        <v>0</v>
      </c>
      <c r="T998" s="252" t="str" cm="1">
        <f t="array" ref="T998">INDEX(Trad, 52, $A$20)</f>
        <v>Sauber</v>
      </c>
      <c r="U998" s="253"/>
      <c r="V998" s="253"/>
      <c r="W998" s="254"/>
      <c r="X998" s="251"/>
      <c r="Y998" s="251"/>
      <c r="Z998" s="264">
        <f t="shared" si="840"/>
        <v>0</v>
      </c>
      <c r="AA998" s="261"/>
      <c r="AB998" s="258"/>
      <c r="AC998" s="246"/>
      <c r="AD998" s="247" t="str">
        <f>IF(ISBLANK(AC998), "", VLOOKUP(AC998, Z!$A$2:$C$4127, 3, FALSE))</f>
        <v/>
      </c>
      <c r="AE998" s="262"/>
      <c r="AF998" s="263">
        <f t="shared" si="841"/>
        <v>0</v>
      </c>
      <c r="AG998" s="238"/>
      <c r="AH998" s="229">
        <f t="shared" si="865"/>
        <v>1</v>
      </c>
      <c r="AI998" s="229">
        <f t="shared" si="866"/>
        <v>1</v>
      </c>
      <c r="AJ998" s="229">
        <f t="shared" si="867"/>
        <v>0</v>
      </c>
      <c r="AK998" s="229">
        <v>0</v>
      </c>
      <c r="AL998" s="229">
        <v>0</v>
      </c>
      <c r="AM998" s="229">
        <v>1</v>
      </c>
      <c r="AN998" s="229">
        <v>0</v>
      </c>
      <c r="AO998" s="229">
        <f t="shared" si="842"/>
        <v>-100</v>
      </c>
      <c r="AP998" s="238"/>
      <c r="AQ998" s="255"/>
      <c r="AR998" s="255"/>
      <c r="AS998" s="256"/>
      <c r="AT998" s="256"/>
      <c r="AU998" s="256"/>
      <c r="AV998" s="256"/>
      <c r="AW998" s="256"/>
      <c r="AX998" s="256"/>
      <c r="AY998" s="256"/>
      <c r="AZ998" s="256"/>
      <c r="BA998" s="256"/>
      <c r="BB998" s="256"/>
      <c r="BC998" s="256"/>
      <c r="BD998" s="238"/>
      <c r="BE998" s="229" cm="1">
        <f t="array" ref="BE998">IF(ISBLANK(R998), INDEX(Use, $AH998, 4) - AM998*INDEX(Use, $AH998, 6), R998)</f>
        <v>5</v>
      </c>
      <c r="BF998" s="229">
        <f t="shared" si="843"/>
        <v>30</v>
      </c>
      <c r="BG998" s="229">
        <f t="shared" si="869"/>
        <v>13</v>
      </c>
      <c r="BH998" s="229">
        <f t="shared" si="870"/>
        <v>0</v>
      </c>
      <c r="BI998" s="234" cm="1">
        <f t="array" ref="BI998">K998/IF($L998&gt;0, INDEX($AU$23:$BA$77, $L998+20, $AH998), 1)</f>
        <v>0</v>
      </c>
      <c r="BJ998" s="230">
        <f t="shared" si="844"/>
        <v>0</v>
      </c>
      <c r="BK998" s="229">
        <v>35</v>
      </c>
      <c r="BL998" s="230">
        <f t="shared" si="845"/>
        <v>48</v>
      </c>
      <c r="BM998" s="235">
        <f t="shared" si="846"/>
        <v>2.9108720930232557</v>
      </c>
      <c r="BN998" s="235" cm="1">
        <f t="array" ref="BN998">$BI998 * SUMPRODUCT(INDEX($AR$77:$AT$82,,$AI998),INDEX($AU$77:$BA$82,,$AH998), N($AQ$77:$AQ$82&gt;$AO998)) / BM998 / 1000</f>
        <v>0</v>
      </c>
      <c r="BO998" s="232">
        <f t="shared" si="871"/>
        <v>30</v>
      </c>
      <c r="BP998" s="230">
        <f t="shared" si="847"/>
        <v>43</v>
      </c>
      <c r="BQ998" s="235">
        <f t="shared" si="848"/>
        <v>3.2938815789473681</v>
      </c>
      <c r="BR998" s="235" cm="1">
        <f t="array" ref="BR998">$BI998 * IF($AH998&lt;=2,
SUMPRODUCT(INDEX($AR$72:$AT$76,,$AI998), INDEX($AU$72:$BA$76,,$AH998), 1 / ($BB$72:$BB$76*BQ998 + (1-$BB$72:$BB$76)*BM998), N($AQ$72:$AQ$76&gt;$AO998)),
SUMPRODUCT(INDEX($AR$67:$AT$76,,$AI998), INDEX($AU$67:$BA$76,,$AH998), 1 / ($BC$67:$BC$76*BQ998 + (1-$BC$67:$BC$76)*BM998), N($AQ$67:$AQ$76&gt;$AO998))
) / 1000</f>
        <v>0</v>
      </c>
      <c r="BS998" s="232">
        <f t="shared" si="872"/>
        <v>25</v>
      </c>
      <c r="BT998" s="230">
        <f t="shared" si="849"/>
        <v>38</v>
      </c>
      <c r="BU998" s="235">
        <f t="shared" si="850"/>
        <v>3.792954545454545</v>
      </c>
      <c r="BV998" s="235" cm="1">
        <f t="array" ref="BV998">$BI998 * IF($AH998&lt;=2,
SUMPRODUCT(INDEX($AR$67:$AT$71,,$AI998), INDEX($AU$67:$BA$71,,$AH998), 1 / ($BB$67:$BB$71*BU998 + (1-$BB$67:$BB$71)*BQ998), N($AQ$67:$AQ$71&gt;$AO998)),
SUMPRODUCT(INDEX($AR$57:$AT$66,,$AI998), INDEX($AU$57:$BA$66,,$AH998), 1 / ($BC$57:$BC$66*BU998 + (1-$BC$57:$BC$66)*BQ998), N($AQ$57:$AQ$66&gt;$AO998))
) / 1000</f>
        <v>0</v>
      </c>
      <c r="BW998" s="232">
        <f t="shared" si="873"/>
        <v>20</v>
      </c>
      <c r="BX998" s="230">
        <f t="shared" si="851"/>
        <v>33</v>
      </c>
      <c r="BY998" s="235">
        <f t="shared" si="852"/>
        <v>4.4702678571428569</v>
      </c>
      <c r="BZ998" s="235" cm="1">
        <f t="array" ref="BZ998">$BI998 * IF($AH998&lt;=2,
SUMPRODUCT(INDEX($AR$62:$AT$66,,$AI998), INDEX($AU$62:$BA$66,,$AH998), 1 / ($BB$62:$BB$66*BY998 + (1-$BB$62:$BB$66)*BU998), N($AQ$62:$AQ$66&gt;$AO998)),
SUMPRODUCT(INDEX($AR$47:$AT$56,,$AI998), INDEX($AU$47:$BA$56,,$AH998), 1 / ($BC$47:$BC$56*BY998 + (1-$BC$47:$BC$56)*BU998), N($AQ$47:$AQ$56&gt;$AO998))
) / 1000</f>
        <v>0</v>
      </c>
      <c r="CA998" s="235" cm="1">
        <f t="array" ref="CA998">$BI998 * IF($AH998&lt;=2,
SUMPRODUCT(INDEX($AR$23:$AT$61,,$AI998), INDEX($AU$23:$BA$61,,$AH998), 1 / ($BB$23:$BB$61*BY998), N($AQ$23:$AQ$61&gt;$AO998)),
SUMPRODUCT(INDEX($AR$23:$AT$46,,$AI998), INDEX($AU$23:$BA$46,,$AH998), 1 / ($BC$23:$BC$46*BY998), N($AQ$23:$AQ$46&gt;$AO998))
) / 1000</f>
        <v>0</v>
      </c>
      <c r="CB998" s="230">
        <f t="shared" si="853"/>
        <v>0</v>
      </c>
      <c r="CC998" s="238"/>
      <c r="CD998" s="229" cm="1">
        <f t="array" ref="CD998">IF(ISBLANK(Y998), INDEX(Use, $AH998, 4) - AN998*INDEX(Use, $AH998, 6) - (Q998-X998), Y998)</f>
        <v>7</v>
      </c>
      <c r="CE998" s="229">
        <f t="shared" si="854"/>
        <v>32</v>
      </c>
      <c r="CF998" s="230">
        <f t="shared" si="855"/>
        <v>0</v>
      </c>
      <c r="CG998" s="229">
        <v>35</v>
      </c>
      <c r="CH998" s="230">
        <f t="shared" si="856"/>
        <v>48</v>
      </c>
      <c r="CI998" s="235">
        <f t="shared" si="857"/>
        <v>3.0748170731707316</v>
      </c>
      <c r="CJ998" s="235" cm="1">
        <f t="array" ref="CJ998">$BI998 * SUMPRODUCT(INDEX($AR$77:$AT$82,,$AI998),INDEX($AU$77:$BA$82,,$AH998), N($AQ$77:$AQ$82&gt;$AO998)) / CI998 / 1000</f>
        <v>0</v>
      </c>
      <c r="CK998" s="232">
        <f t="shared" si="874"/>
        <v>30</v>
      </c>
      <c r="CL998" s="230">
        <f t="shared" si="858"/>
        <v>43</v>
      </c>
      <c r="CM998" s="235">
        <f t="shared" si="859"/>
        <v>3.5018750000000001</v>
      </c>
      <c r="CN998" s="235" cm="1">
        <f t="array" ref="CN998">$BI998 * IF($AH998&lt;=2,
SUMPRODUCT(INDEX($AR$72:$AT$76,,$AI998), INDEX($AU$72:$BA$76,,$AH998), 1 / ($BB$72:$BB$76*CM998 + (1-$BB$72:$BB$76)*CI998), N($AQ$72:$AQ$76&gt;$AO998)),
SUMPRODUCT(INDEX($AR$67:$AT$76,,$AI998), INDEX($AU$67:$BA$76,,$AH998), 1 / ($BC$67:$BC$76*CM998 + (1-$BC$67:$BC$76)*CI998), N($AQ$67:$AQ$76&gt;$AO998))
) / 1000</f>
        <v>0</v>
      </c>
      <c r="CO998" s="232">
        <f t="shared" si="875"/>
        <v>25</v>
      </c>
      <c r="CP998" s="230">
        <f t="shared" si="860"/>
        <v>38</v>
      </c>
      <c r="CQ998" s="235">
        <f t="shared" si="861"/>
        <v>4.0666935483870965</v>
      </c>
      <c r="CR998" s="235" cm="1">
        <f t="array" ref="CR998">$BI998 * IF($AH998&lt;=2,
SUMPRODUCT(INDEX($AR$67:$AT$71,,$AI998), INDEX($AU$67:$BA$71,,$AH998), 1 / ($BB$67:$BB$71*CQ998 + (1-$BB$67:$BB$71)*CM998), N($AQ$67:$AQ$71&gt;$AO998)),
SUMPRODUCT(INDEX($AR$57:$AT$66,,$AI998), INDEX($AU$57:$BA$66,,$AH998), 1 / ($BC$57:$BC$66*CQ998 + (1-$BC$57:$BC$66)*CM998), N($AQ$57:$AQ$66&gt;$AO998))
) / 1000</f>
        <v>0</v>
      </c>
      <c r="CS998" s="232">
        <f t="shared" si="876"/>
        <v>20</v>
      </c>
      <c r="CT998" s="230">
        <f t="shared" si="862"/>
        <v>33</v>
      </c>
      <c r="CU998" s="235">
        <f t="shared" si="863"/>
        <v>4.8487499999999999</v>
      </c>
      <c r="CV998" s="235" cm="1">
        <f t="array" ref="CV998">$BI998 * IF($AH998&lt;=2,
SUMPRODUCT(INDEX($AR$62:$AT$66,,$AI998), INDEX($AU$62:$BA$66,,$AH998), 1 / ($BB$62:$BB$66*CU998 + (1-$BB$62:$BB$66)*CQ998), N($AQ$62:$AQ$66&gt;$AO998)),
SUMPRODUCT(INDEX($AR$47:$AT$56,,$AI998), INDEX($AU$47:$BA$56,,$AH998), 1 / ($BC$47:$BC$56*CU998 + (1-$BC$47:$BC$56)*CQ998), N($AQ$47:$AQ$56&gt;$AO998))
) / 1000</f>
        <v>0</v>
      </c>
      <c r="CW998" s="235" cm="1">
        <f t="array" ref="CW998">$BI998 * IF($AH998&lt;=2,
SUMPRODUCT(INDEX($AR$23:$AT$61,,$AI998), INDEX($AU$23:$BA$61,,$AH998), 1 / ($BB$23:$BB$61*CU998), N($AQ$23:$AQ$61&gt;$AO998)),
SUMPRODUCT(INDEX($AR$23:$AT$46,,$AI998), INDEX($AU$23:$BA$46,,$AH998), 1 / ($BC$23:$BC$46*CU998), N($AQ$23:$AQ$46&gt;$AO998))
) / 1000</f>
        <v>0</v>
      </c>
      <c r="CX998" s="230">
        <f t="shared" si="864"/>
        <v>0</v>
      </c>
      <c r="CY998" s="238"/>
    </row>
    <row r="999" spans="1:103" s="76" customFormat="1" ht="14.25" customHeight="1" x14ac:dyDescent="0.2">
      <c r="A999" s="231" t="b">
        <f t="shared" si="868"/>
        <v>0</v>
      </c>
      <c r="B999" s="245">
        <v>977</v>
      </c>
      <c r="C999" s="258"/>
      <c r="D999" s="258"/>
      <c r="E999" s="246"/>
      <c r="F999" s="247" t="str">
        <f>IF(ISBLANK(E999), "", VLOOKUP(E999, Z!$A$2:$C$4127, 3, FALSE))</f>
        <v/>
      </c>
      <c r="G999" s="248"/>
      <c r="H999" s="248"/>
      <c r="I999" s="249"/>
      <c r="J999" s="250"/>
      <c r="K999" s="259"/>
      <c r="L999" s="260"/>
      <c r="M999" s="252" t="str" cm="1">
        <f t="array" ref="M999">INDEX(Trad, 53, $A$20)</f>
        <v>Verschmutzt</v>
      </c>
      <c r="N999" s="253"/>
      <c r="O999" s="253"/>
      <c r="P999" s="254"/>
      <c r="Q999" s="251"/>
      <c r="R999" s="251"/>
      <c r="S999" s="264">
        <f t="shared" si="839"/>
        <v>0</v>
      </c>
      <c r="T999" s="252" t="str" cm="1">
        <f t="array" ref="T999">INDEX(Trad, 52, $A$20)</f>
        <v>Sauber</v>
      </c>
      <c r="U999" s="253"/>
      <c r="V999" s="253"/>
      <c r="W999" s="254"/>
      <c r="X999" s="251"/>
      <c r="Y999" s="251"/>
      <c r="Z999" s="264">
        <f t="shared" si="840"/>
        <v>0</v>
      </c>
      <c r="AA999" s="261"/>
      <c r="AB999" s="258"/>
      <c r="AC999" s="246"/>
      <c r="AD999" s="247" t="str">
        <f>IF(ISBLANK(AC999), "", VLOOKUP(AC999, Z!$A$2:$C$4127, 3, FALSE))</f>
        <v/>
      </c>
      <c r="AE999" s="262"/>
      <c r="AF999" s="263">
        <f t="shared" si="841"/>
        <v>0</v>
      </c>
      <c r="AG999" s="238"/>
      <c r="AH999" s="229">
        <f t="shared" si="865"/>
        <v>1</v>
      </c>
      <c r="AI999" s="229">
        <f t="shared" si="866"/>
        <v>1</v>
      </c>
      <c r="AJ999" s="229">
        <f t="shared" si="867"/>
        <v>0</v>
      </c>
      <c r="AK999" s="229">
        <v>0</v>
      </c>
      <c r="AL999" s="229">
        <v>0</v>
      </c>
      <c r="AM999" s="229">
        <v>1</v>
      </c>
      <c r="AN999" s="229">
        <v>0</v>
      </c>
      <c r="AO999" s="229">
        <f t="shared" si="842"/>
        <v>-100</v>
      </c>
      <c r="AP999" s="238"/>
      <c r="AQ999" s="255"/>
      <c r="AR999" s="255"/>
      <c r="AS999" s="256"/>
      <c r="AT999" s="256"/>
      <c r="AU999" s="256"/>
      <c r="AV999" s="256"/>
      <c r="AW999" s="256"/>
      <c r="AX999" s="256"/>
      <c r="AY999" s="256"/>
      <c r="AZ999" s="256"/>
      <c r="BA999" s="256"/>
      <c r="BB999" s="256"/>
      <c r="BC999" s="256"/>
      <c r="BD999" s="238"/>
      <c r="BE999" s="229" cm="1">
        <f t="array" ref="BE999">IF(ISBLANK(R999), INDEX(Use, $AH999, 4) - AM999*INDEX(Use, $AH999, 6), R999)</f>
        <v>5</v>
      </c>
      <c r="BF999" s="229">
        <f t="shared" si="843"/>
        <v>30</v>
      </c>
      <c r="BG999" s="229">
        <f t="shared" si="869"/>
        <v>13</v>
      </c>
      <c r="BH999" s="229">
        <f t="shared" si="870"/>
        <v>0</v>
      </c>
      <c r="BI999" s="234" cm="1">
        <f t="array" ref="BI999">K999/IF($L999&gt;0, INDEX($AU$23:$BA$77, $L999+20, $AH999), 1)</f>
        <v>0</v>
      </c>
      <c r="BJ999" s="230">
        <f t="shared" si="844"/>
        <v>0</v>
      </c>
      <c r="BK999" s="229">
        <v>35</v>
      </c>
      <c r="BL999" s="230">
        <f t="shared" si="845"/>
        <v>48</v>
      </c>
      <c r="BM999" s="235">
        <f t="shared" si="846"/>
        <v>2.9108720930232557</v>
      </c>
      <c r="BN999" s="235" cm="1">
        <f t="array" ref="BN999">$BI999 * SUMPRODUCT(INDEX($AR$77:$AT$82,,$AI999),INDEX($AU$77:$BA$82,,$AH999), N($AQ$77:$AQ$82&gt;$AO999)) / BM999 / 1000</f>
        <v>0</v>
      </c>
      <c r="BO999" s="232">
        <f t="shared" si="871"/>
        <v>30</v>
      </c>
      <c r="BP999" s="230">
        <f t="shared" si="847"/>
        <v>43</v>
      </c>
      <c r="BQ999" s="235">
        <f t="shared" si="848"/>
        <v>3.2938815789473681</v>
      </c>
      <c r="BR999" s="235" cm="1">
        <f t="array" ref="BR999">$BI999 * IF($AH999&lt;=2,
SUMPRODUCT(INDEX($AR$72:$AT$76,,$AI999), INDEX($AU$72:$BA$76,,$AH999), 1 / ($BB$72:$BB$76*BQ999 + (1-$BB$72:$BB$76)*BM999), N($AQ$72:$AQ$76&gt;$AO999)),
SUMPRODUCT(INDEX($AR$67:$AT$76,,$AI999), INDEX($AU$67:$BA$76,,$AH999), 1 / ($BC$67:$BC$76*BQ999 + (1-$BC$67:$BC$76)*BM999), N($AQ$67:$AQ$76&gt;$AO999))
) / 1000</f>
        <v>0</v>
      </c>
      <c r="BS999" s="232">
        <f t="shared" si="872"/>
        <v>25</v>
      </c>
      <c r="BT999" s="230">
        <f t="shared" si="849"/>
        <v>38</v>
      </c>
      <c r="BU999" s="235">
        <f t="shared" si="850"/>
        <v>3.792954545454545</v>
      </c>
      <c r="BV999" s="235" cm="1">
        <f t="array" ref="BV999">$BI999 * IF($AH999&lt;=2,
SUMPRODUCT(INDEX($AR$67:$AT$71,,$AI999), INDEX($AU$67:$BA$71,,$AH999), 1 / ($BB$67:$BB$71*BU999 + (1-$BB$67:$BB$71)*BQ999), N($AQ$67:$AQ$71&gt;$AO999)),
SUMPRODUCT(INDEX($AR$57:$AT$66,,$AI999), INDEX($AU$57:$BA$66,,$AH999), 1 / ($BC$57:$BC$66*BU999 + (1-$BC$57:$BC$66)*BQ999), N($AQ$57:$AQ$66&gt;$AO999))
) / 1000</f>
        <v>0</v>
      </c>
      <c r="BW999" s="232">
        <f t="shared" si="873"/>
        <v>20</v>
      </c>
      <c r="BX999" s="230">
        <f t="shared" si="851"/>
        <v>33</v>
      </c>
      <c r="BY999" s="235">
        <f t="shared" si="852"/>
        <v>4.4702678571428569</v>
      </c>
      <c r="BZ999" s="235" cm="1">
        <f t="array" ref="BZ999">$BI999 * IF($AH999&lt;=2,
SUMPRODUCT(INDEX($AR$62:$AT$66,,$AI999), INDEX($AU$62:$BA$66,,$AH999), 1 / ($BB$62:$BB$66*BY999 + (1-$BB$62:$BB$66)*BU999), N($AQ$62:$AQ$66&gt;$AO999)),
SUMPRODUCT(INDEX($AR$47:$AT$56,,$AI999), INDEX($AU$47:$BA$56,,$AH999), 1 / ($BC$47:$BC$56*BY999 + (1-$BC$47:$BC$56)*BU999), N($AQ$47:$AQ$56&gt;$AO999))
) / 1000</f>
        <v>0</v>
      </c>
      <c r="CA999" s="235" cm="1">
        <f t="array" ref="CA999">$BI999 * IF($AH999&lt;=2,
SUMPRODUCT(INDEX($AR$23:$AT$61,,$AI999), INDEX($AU$23:$BA$61,,$AH999), 1 / ($BB$23:$BB$61*BY999), N($AQ$23:$AQ$61&gt;$AO999)),
SUMPRODUCT(INDEX($AR$23:$AT$46,,$AI999), INDEX($AU$23:$BA$46,,$AH999), 1 / ($BC$23:$BC$46*BY999), N($AQ$23:$AQ$46&gt;$AO999))
) / 1000</f>
        <v>0</v>
      </c>
      <c r="CB999" s="230">
        <f t="shared" si="853"/>
        <v>0</v>
      </c>
      <c r="CC999" s="238"/>
      <c r="CD999" s="229" cm="1">
        <f t="array" ref="CD999">IF(ISBLANK(Y999), INDEX(Use, $AH999, 4) - AN999*INDEX(Use, $AH999, 6) - (Q999-X999), Y999)</f>
        <v>7</v>
      </c>
      <c r="CE999" s="229">
        <f t="shared" si="854"/>
        <v>32</v>
      </c>
      <c r="CF999" s="230">
        <f t="shared" si="855"/>
        <v>0</v>
      </c>
      <c r="CG999" s="229">
        <v>35</v>
      </c>
      <c r="CH999" s="230">
        <f t="shared" si="856"/>
        <v>48</v>
      </c>
      <c r="CI999" s="235">
        <f t="shared" si="857"/>
        <v>3.0748170731707316</v>
      </c>
      <c r="CJ999" s="235" cm="1">
        <f t="array" ref="CJ999">$BI999 * SUMPRODUCT(INDEX($AR$77:$AT$82,,$AI999),INDEX($AU$77:$BA$82,,$AH999), N($AQ$77:$AQ$82&gt;$AO999)) / CI999 / 1000</f>
        <v>0</v>
      </c>
      <c r="CK999" s="232">
        <f t="shared" si="874"/>
        <v>30</v>
      </c>
      <c r="CL999" s="230">
        <f t="shared" si="858"/>
        <v>43</v>
      </c>
      <c r="CM999" s="235">
        <f t="shared" si="859"/>
        <v>3.5018750000000001</v>
      </c>
      <c r="CN999" s="235" cm="1">
        <f t="array" ref="CN999">$BI999 * IF($AH999&lt;=2,
SUMPRODUCT(INDEX($AR$72:$AT$76,,$AI999), INDEX($AU$72:$BA$76,,$AH999), 1 / ($BB$72:$BB$76*CM999 + (1-$BB$72:$BB$76)*CI999), N($AQ$72:$AQ$76&gt;$AO999)),
SUMPRODUCT(INDEX($AR$67:$AT$76,,$AI999), INDEX($AU$67:$BA$76,,$AH999), 1 / ($BC$67:$BC$76*CM999 + (1-$BC$67:$BC$76)*CI999), N($AQ$67:$AQ$76&gt;$AO999))
) / 1000</f>
        <v>0</v>
      </c>
      <c r="CO999" s="232">
        <f t="shared" si="875"/>
        <v>25</v>
      </c>
      <c r="CP999" s="230">
        <f t="shared" si="860"/>
        <v>38</v>
      </c>
      <c r="CQ999" s="235">
        <f t="shared" si="861"/>
        <v>4.0666935483870965</v>
      </c>
      <c r="CR999" s="235" cm="1">
        <f t="array" ref="CR999">$BI999 * IF($AH999&lt;=2,
SUMPRODUCT(INDEX($AR$67:$AT$71,,$AI999), INDEX($AU$67:$BA$71,,$AH999), 1 / ($BB$67:$BB$71*CQ999 + (1-$BB$67:$BB$71)*CM999), N($AQ$67:$AQ$71&gt;$AO999)),
SUMPRODUCT(INDEX($AR$57:$AT$66,,$AI999), INDEX($AU$57:$BA$66,,$AH999), 1 / ($BC$57:$BC$66*CQ999 + (1-$BC$57:$BC$66)*CM999), N($AQ$57:$AQ$66&gt;$AO999))
) / 1000</f>
        <v>0</v>
      </c>
      <c r="CS999" s="232">
        <f t="shared" si="876"/>
        <v>20</v>
      </c>
      <c r="CT999" s="230">
        <f t="shared" si="862"/>
        <v>33</v>
      </c>
      <c r="CU999" s="235">
        <f t="shared" si="863"/>
        <v>4.8487499999999999</v>
      </c>
      <c r="CV999" s="235" cm="1">
        <f t="array" ref="CV999">$BI999 * IF($AH999&lt;=2,
SUMPRODUCT(INDEX($AR$62:$AT$66,,$AI999), INDEX($AU$62:$BA$66,,$AH999), 1 / ($BB$62:$BB$66*CU999 + (1-$BB$62:$BB$66)*CQ999), N($AQ$62:$AQ$66&gt;$AO999)),
SUMPRODUCT(INDEX($AR$47:$AT$56,,$AI999), INDEX($AU$47:$BA$56,,$AH999), 1 / ($BC$47:$BC$56*CU999 + (1-$BC$47:$BC$56)*CQ999), N($AQ$47:$AQ$56&gt;$AO999))
) / 1000</f>
        <v>0</v>
      </c>
      <c r="CW999" s="235" cm="1">
        <f t="array" ref="CW999">$BI999 * IF($AH999&lt;=2,
SUMPRODUCT(INDEX($AR$23:$AT$61,,$AI999), INDEX($AU$23:$BA$61,,$AH999), 1 / ($BB$23:$BB$61*CU999), N($AQ$23:$AQ$61&gt;$AO999)),
SUMPRODUCT(INDEX($AR$23:$AT$46,,$AI999), INDEX($AU$23:$BA$46,,$AH999), 1 / ($BC$23:$BC$46*CU999), N($AQ$23:$AQ$46&gt;$AO999))
) / 1000</f>
        <v>0</v>
      </c>
      <c r="CX999" s="230">
        <f t="shared" si="864"/>
        <v>0</v>
      </c>
      <c r="CY999" s="238"/>
    </row>
    <row r="1000" spans="1:103" s="76" customFormat="1" ht="14.25" customHeight="1" x14ac:dyDescent="0.2">
      <c r="A1000" s="231" t="b">
        <f t="shared" si="868"/>
        <v>0</v>
      </c>
      <c r="B1000" s="245">
        <v>978</v>
      </c>
      <c r="C1000" s="258"/>
      <c r="D1000" s="258"/>
      <c r="E1000" s="246"/>
      <c r="F1000" s="247" t="str">
        <f>IF(ISBLANK(E1000), "", VLOOKUP(E1000, Z!$A$2:$C$4127, 3, FALSE))</f>
        <v/>
      </c>
      <c r="G1000" s="248"/>
      <c r="H1000" s="248"/>
      <c r="I1000" s="249"/>
      <c r="J1000" s="250"/>
      <c r="K1000" s="259"/>
      <c r="L1000" s="260"/>
      <c r="M1000" s="252" t="str" cm="1">
        <f t="array" ref="M1000">INDEX(Trad, 53, $A$20)</f>
        <v>Verschmutzt</v>
      </c>
      <c r="N1000" s="253"/>
      <c r="O1000" s="253"/>
      <c r="P1000" s="254"/>
      <c r="Q1000" s="251"/>
      <c r="R1000" s="251"/>
      <c r="S1000" s="264">
        <f t="shared" si="839"/>
        <v>0</v>
      </c>
      <c r="T1000" s="252" t="str" cm="1">
        <f t="array" ref="T1000">INDEX(Trad, 52, $A$20)</f>
        <v>Sauber</v>
      </c>
      <c r="U1000" s="253"/>
      <c r="V1000" s="253"/>
      <c r="W1000" s="254"/>
      <c r="X1000" s="251"/>
      <c r="Y1000" s="251"/>
      <c r="Z1000" s="264">
        <f t="shared" si="840"/>
        <v>0</v>
      </c>
      <c r="AA1000" s="261"/>
      <c r="AB1000" s="258"/>
      <c r="AC1000" s="246"/>
      <c r="AD1000" s="247" t="str">
        <f>IF(ISBLANK(AC1000), "", VLOOKUP(AC1000, Z!$A$2:$C$4127, 3, FALSE))</f>
        <v/>
      </c>
      <c r="AE1000" s="262"/>
      <c r="AF1000" s="263">
        <f t="shared" si="841"/>
        <v>0</v>
      </c>
      <c r="AG1000" s="238"/>
      <c r="AH1000" s="229">
        <f t="shared" si="865"/>
        <v>1</v>
      </c>
      <c r="AI1000" s="229">
        <f t="shared" si="866"/>
        <v>1</v>
      </c>
      <c r="AJ1000" s="229">
        <f t="shared" si="867"/>
        <v>0</v>
      </c>
      <c r="AK1000" s="229">
        <v>0</v>
      </c>
      <c r="AL1000" s="229">
        <v>0</v>
      </c>
      <c r="AM1000" s="229">
        <v>1</v>
      </c>
      <c r="AN1000" s="229">
        <v>0</v>
      </c>
      <c r="AO1000" s="229">
        <f t="shared" si="842"/>
        <v>-100</v>
      </c>
      <c r="AP1000" s="238"/>
      <c r="AQ1000" s="255"/>
      <c r="AR1000" s="255"/>
      <c r="AS1000" s="256"/>
      <c r="AT1000" s="256"/>
      <c r="AU1000" s="256"/>
      <c r="AV1000" s="256"/>
      <c r="AW1000" s="256"/>
      <c r="AX1000" s="256"/>
      <c r="AY1000" s="256"/>
      <c r="AZ1000" s="256"/>
      <c r="BA1000" s="256"/>
      <c r="BB1000" s="256"/>
      <c r="BC1000" s="256"/>
      <c r="BD1000" s="238"/>
      <c r="BE1000" s="229" cm="1">
        <f t="array" ref="BE1000">IF(ISBLANK(R1000), INDEX(Use, $AH1000, 4) - AM1000*INDEX(Use, $AH1000, 6), R1000)</f>
        <v>5</v>
      </c>
      <c r="BF1000" s="229">
        <f t="shared" si="843"/>
        <v>30</v>
      </c>
      <c r="BG1000" s="229">
        <f t="shared" si="869"/>
        <v>13</v>
      </c>
      <c r="BH1000" s="229">
        <f t="shared" si="870"/>
        <v>0</v>
      </c>
      <c r="BI1000" s="234" cm="1">
        <f t="array" ref="BI1000">K1000/IF($L1000&gt;0, INDEX($AU$23:$BA$77, $L1000+20, $AH1000), 1)</f>
        <v>0</v>
      </c>
      <c r="BJ1000" s="230">
        <f t="shared" si="844"/>
        <v>0</v>
      </c>
      <c r="BK1000" s="229">
        <v>35</v>
      </c>
      <c r="BL1000" s="230">
        <f t="shared" si="845"/>
        <v>48</v>
      </c>
      <c r="BM1000" s="235">
        <f t="shared" si="846"/>
        <v>2.9108720930232557</v>
      </c>
      <c r="BN1000" s="235" cm="1">
        <f t="array" ref="BN1000">$BI1000 * SUMPRODUCT(INDEX($AR$77:$AT$82,,$AI1000),INDEX($AU$77:$BA$82,,$AH1000), N($AQ$77:$AQ$82&gt;$AO1000)) / BM1000 / 1000</f>
        <v>0</v>
      </c>
      <c r="BO1000" s="232">
        <f t="shared" si="871"/>
        <v>30</v>
      </c>
      <c r="BP1000" s="230">
        <f t="shared" si="847"/>
        <v>43</v>
      </c>
      <c r="BQ1000" s="235">
        <f t="shared" si="848"/>
        <v>3.2938815789473681</v>
      </c>
      <c r="BR1000" s="235" cm="1">
        <f t="array" ref="BR1000">$BI1000 * IF($AH1000&lt;=2,
SUMPRODUCT(INDEX($AR$72:$AT$76,,$AI1000), INDEX($AU$72:$BA$76,,$AH1000), 1 / ($BB$72:$BB$76*BQ1000 + (1-$BB$72:$BB$76)*BM1000), N($AQ$72:$AQ$76&gt;$AO1000)),
SUMPRODUCT(INDEX($AR$67:$AT$76,,$AI1000), INDEX($AU$67:$BA$76,,$AH1000), 1 / ($BC$67:$BC$76*BQ1000 + (1-$BC$67:$BC$76)*BM1000), N($AQ$67:$AQ$76&gt;$AO1000))
) / 1000</f>
        <v>0</v>
      </c>
      <c r="BS1000" s="232">
        <f t="shared" si="872"/>
        <v>25</v>
      </c>
      <c r="BT1000" s="230">
        <f t="shared" si="849"/>
        <v>38</v>
      </c>
      <c r="BU1000" s="235">
        <f t="shared" si="850"/>
        <v>3.792954545454545</v>
      </c>
      <c r="BV1000" s="235" cm="1">
        <f t="array" ref="BV1000">$BI1000 * IF($AH1000&lt;=2,
SUMPRODUCT(INDEX($AR$67:$AT$71,,$AI1000), INDEX($AU$67:$BA$71,,$AH1000), 1 / ($BB$67:$BB$71*BU1000 + (1-$BB$67:$BB$71)*BQ1000), N($AQ$67:$AQ$71&gt;$AO1000)),
SUMPRODUCT(INDEX($AR$57:$AT$66,,$AI1000), INDEX($AU$57:$BA$66,,$AH1000), 1 / ($BC$57:$BC$66*BU1000 + (1-$BC$57:$BC$66)*BQ1000), N($AQ$57:$AQ$66&gt;$AO1000))
) / 1000</f>
        <v>0</v>
      </c>
      <c r="BW1000" s="232">
        <f t="shared" si="873"/>
        <v>20</v>
      </c>
      <c r="BX1000" s="230">
        <f t="shared" si="851"/>
        <v>33</v>
      </c>
      <c r="BY1000" s="235">
        <f t="shared" si="852"/>
        <v>4.4702678571428569</v>
      </c>
      <c r="BZ1000" s="235" cm="1">
        <f t="array" ref="BZ1000">$BI1000 * IF($AH1000&lt;=2,
SUMPRODUCT(INDEX($AR$62:$AT$66,,$AI1000), INDEX($AU$62:$BA$66,,$AH1000), 1 / ($BB$62:$BB$66*BY1000 + (1-$BB$62:$BB$66)*BU1000), N($AQ$62:$AQ$66&gt;$AO1000)),
SUMPRODUCT(INDEX($AR$47:$AT$56,,$AI1000), INDEX($AU$47:$BA$56,,$AH1000), 1 / ($BC$47:$BC$56*BY1000 + (1-$BC$47:$BC$56)*BU1000), N($AQ$47:$AQ$56&gt;$AO1000))
) / 1000</f>
        <v>0</v>
      </c>
      <c r="CA1000" s="235" cm="1">
        <f t="array" ref="CA1000">$BI1000 * IF($AH1000&lt;=2,
SUMPRODUCT(INDEX($AR$23:$AT$61,,$AI1000), INDEX($AU$23:$BA$61,,$AH1000), 1 / ($BB$23:$BB$61*BY1000), N($AQ$23:$AQ$61&gt;$AO1000)),
SUMPRODUCT(INDEX($AR$23:$AT$46,,$AI1000), INDEX($AU$23:$BA$46,,$AH1000), 1 / ($BC$23:$BC$46*BY1000), N($AQ$23:$AQ$46&gt;$AO1000))
) / 1000</f>
        <v>0</v>
      </c>
      <c r="CB1000" s="230">
        <f t="shared" si="853"/>
        <v>0</v>
      </c>
      <c r="CC1000" s="238"/>
      <c r="CD1000" s="229" cm="1">
        <f t="array" ref="CD1000">IF(ISBLANK(Y1000), INDEX(Use, $AH1000, 4) - AN1000*INDEX(Use, $AH1000, 6) - (Q1000-X1000), Y1000)</f>
        <v>7</v>
      </c>
      <c r="CE1000" s="229">
        <f t="shared" si="854"/>
        <v>32</v>
      </c>
      <c r="CF1000" s="230">
        <f t="shared" si="855"/>
        <v>0</v>
      </c>
      <c r="CG1000" s="229">
        <v>35</v>
      </c>
      <c r="CH1000" s="230">
        <f t="shared" si="856"/>
        <v>48</v>
      </c>
      <c r="CI1000" s="235">
        <f t="shared" si="857"/>
        <v>3.0748170731707316</v>
      </c>
      <c r="CJ1000" s="235" cm="1">
        <f t="array" ref="CJ1000">$BI1000 * SUMPRODUCT(INDEX($AR$77:$AT$82,,$AI1000),INDEX($AU$77:$BA$82,,$AH1000), N($AQ$77:$AQ$82&gt;$AO1000)) / CI1000 / 1000</f>
        <v>0</v>
      </c>
      <c r="CK1000" s="232">
        <f t="shared" si="874"/>
        <v>30</v>
      </c>
      <c r="CL1000" s="230">
        <f t="shared" si="858"/>
        <v>43</v>
      </c>
      <c r="CM1000" s="235">
        <f t="shared" si="859"/>
        <v>3.5018750000000001</v>
      </c>
      <c r="CN1000" s="235" cm="1">
        <f t="array" ref="CN1000">$BI1000 * IF($AH1000&lt;=2,
SUMPRODUCT(INDEX($AR$72:$AT$76,,$AI1000), INDEX($AU$72:$BA$76,,$AH1000), 1 / ($BB$72:$BB$76*CM1000 + (1-$BB$72:$BB$76)*CI1000), N($AQ$72:$AQ$76&gt;$AO1000)),
SUMPRODUCT(INDEX($AR$67:$AT$76,,$AI1000), INDEX($AU$67:$BA$76,,$AH1000), 1 / ($BC$67:$BC$76*CM1000 + (1-$BC$67:$BC$76)*CI1000), N($AQ$67:$AQ$76&gt;$AO1000))
) / 1000</f>
        <v>0</v>
      </c>
      <c r="CO1000" s="232">
        <f t="shared" si="875"/>
        <v>25</v>
      </c>
      <c r="CP1000" s="230">
        <f t="shared" si="860"/>
        <v>38</v>
      </c>
      <c r="CQ1000" s="235">
        <f t="shared" si="861"/>
        <v>4.0666935483870965</v>
      </c>
      <c r="CR1000" s="235" cm="1">
        <f t="array" ref="CR1000">$BI1000 * IF($AH1000&lt;=2,
SUMPRODUCT(INDEX($AR$67:$AT$71,,$AI1000), INDEX($AU$67:$BA$71,,$AH1000), 1 / ($BB$67:$BB$71*CQ1000 + (1-$BB$67:$BB$71)*CM1000), N($AQ$67:$AQ$71&gt;$AO1000)),
SUMPRODUCT(INDEX($AR$57:$AT$66,,$AI1000), INDEX($AU$57:$BA$66,,$AH1000), 1 / ($BC$57:$BC$66*CQ1000 + (1-$BC$57:$BC$66)*CM1000), N($AQ$57:$AQ$66&gt;$AO1000))
) / 1000</f>
        <v>0</v>
      </c>
      <c r="CS1000" s="232">
        <f t="shared" si="876"/>
        <v>20</v>
      </c>
      <c r="CT1000" s="230">
        <f t="shared" si="862"/>
        <v>33</v>
      </c>
      <c r="CU1000" s="235">
        <f t="shared" si="863"/>
        <v>4.8487499999999999</v>
      </c>
      <c r="CV1000" s="235" cm="1">
        <f t="array" ref="CV1000">$BI1000 * IF($AH1000&lt;=2,
SUMPRODUCT(INDEX($AR$62:$AT$66,,$AI1000), INDEX($AU$62:$BA$66,,$AH1000), 1 / ($BB$62:$BB$66*CU1000 + (1-$BB$62:$BB$66)*CQ1000), N($AQ$62:$AQ$66&gt;$AO1000)),
SUMPRODUCT(INDEX($AR$47:$AT$56,,$AI1000), INDEX($AU$47:$BA$56,,$AH1000), 1 / ($BC$47:$BC$56*CU1000 + (1-$BC$47:$BC$56)*CQ1000), N($AQ$47:$AQ$56&gt;$AO1000))
) / 1000</f>
        <v>0</v>
      </c>
      <c r="CW1000" s="235" cm="1">
        <f t="array" ref="CW1000">$BI1000 * IF($AH1000&lt;=2,
SUMPRODUCT(INDEX($AR$23:$AT$61,,$AI1000), INDEX($AU$23:$BA$61,,$AH1000), 1 / ($BB$23:$BB$61*CU1000), N($AQ$23:$AQ$61&gt;$AO1000)),
SUMPRODUCT(INDEX($AR$23:$AT$46,,$AI1000), INDEX($AU$23:$BA$46,,$AH1000), 1 / ($BC$23:$BC$46*CU1000), N($AQ$23:$AQ$46&gt;$AO1000))
) / 1000</f>
        <v>0</v>
      </c>
      <c r="CX1000" s="230">
        <f t="shared" si="864"/>
        <v>0</v>
      </c>
      <c r="CY1000" s="238"/>
    </row>
    <row r="1001" spans="1:103" s="76" customFormat="1" ht="14.25" customHeight="1" x14ac:dyDescent="0.2">
      <c r="A1001" s="231" t="b">
        <f t="shared" si="868"/>
        <v>0</v>
      </c>
      <c r="B1001" s="245">
        <v>979</v>
      </c>
      <c r="C1001" s="258"/>
      <c r="D1001" s="258"/>
      <c r="E1001" s="246"/>
      <c r="F1001" s="247" t="str">
        <f>IF(ISBLANK(E1001), "", VLOOKUP(E1001, Z!$A$2:$C$4127, 3, FALSE))</f>
        <v/>
      </c>
      <c r="G1001" s="248"/>
      <c r="H1001" s="248"/>
      <c r="I1001" s="249"/>
      <c r="J1001" s="250"/>
      <c r="K1001" s="259"/>
      <c r="L1001" s="260"/>
      <c r="M1001" s="252" t="str" cm="1">
        <f t="array" ref="M1001">INDEX(Trad, 53, $A$20)</f>
        <v>Verschmutzt</v>
      </c>
      <c r="N1001" s="253"/>
      <c r="O1001" s="253"/>
      <c r="P1001" s="254"/>
      <c r="Q1001" s="251"/>
      <c r="R1001" s="251"/>
      <c r="S1001" s="264">
        <f t="shared" si="839"/>
        <v>0</v>
      </c>
      <c r="T1001" s="252" t="str" cm="1">
        <f t="array" ref="T1001">INDEX(Trad, 52, $A$20)</f>
        <v>Sauber</v>
      </c>
      <c r="U1001" s="253"/>
      <c r="V1001" s="253"/>
      <c r="W1001" s="254"/>
      <c r="X1001" s="251"/>
      <c r="Y1001" s="251"/>
      <c r="Z1001" s="264">
        <f t="shared" si="840"/>
        <v>0</v>
      </c>
      <c r="AA1001" s="261"/>
      <c r="AB1001" s="258"/>
      <c r="AC1001" s="246"/>
      <c r="AD1001" s="247" t="str">
        <f>IF(ISBLANK(AC1001), "", VLOOKUP(AC1001, Z!$A$2:$C$4127, 3, FALSE))</f>
        <v/>
      </c>
      <c r="AE1001" s="262"/>
      <c r="AF1001" s="263">
        <f t="shared" si="841"/>
        <v>0</v>
      </c>
      <c r="AG1001" s="238"/>
      <c r="AH1001" s="229">
        <f t="shared" si="865"/>
        <v>1</v>
      </c>
      <c r="AI1001" s="229">
        <f t="shared" si="866"/>
        <v>1</v>
      </c>
      <c r="AJ1001" s="229">
        <f t="shared" si="867"/>
        <v>0</v>
      </c>
      <c r="AK1001" s="229">
        <v>0</v>
      </c>
      <c r="AL1001" s="229">
        <v>0</v>
      </c>
      <c r="AM1001" s="229">
        <v>1</v>
      </c>
      <c r="AN1001" s="229">
        <v>0</v>
      </c>
      <c r="AO1001" s="229">
        <f t="shared" si="842"/>
        <v>-100</v>
      </c>
      <c r="AP1001" s="238"/>
      <c r="AQ1001" s="255"/>
      <c r="AR1001" s="255"/>
      <c r="AS1001" s="256"/>
      <c r="AT1001" s="256"/>
      <c r="AU1001" s="256"/>
      <c r="AV1001" s="256"/>
      <c r="AW1001" s="256"/>
      <c r="AX1001" s="256"/>
      <c r="AY1001" s="256"/>
      <c r="AZ1001" s="256"/>
      <c r="BA1001" s="256"/>
      <c r="BB1001" s="256"/>
      <c r="BC1001" s="256"/>
      <c r="BD1001" s="238"/>
      <c r="BE1001" s="229" cm="1">
        <f t="array" ref="BE1001">IF(ISBLANK(R1001), INDEX(Use, $AH1001, 4) - AM1001*INDEX(Use, $AH1001, 6), R1001)</f>
        <v>5</v>
      </c>
      <c r="BF1001" s="229">
        <f t="shared" si="843"/>
        <v>30</v>
      </c>
      <c r="BG1001" s="229">
        <f t="shared" si="869"/>
        <v>13</v>
      </c>
      <c r="BH1001" s="229">
        <f t="shared" si="870"/>
        <v>0</v>
      </c>
      <c r="BI1001" s="234" cm="1">
        <f t="array" ref="BI1001">K1001/IF($L1001&gt;0, INDEX($AU$23:$BA$77, $L1001+20, $AH1001), 1)</f>
        <v>0</v>
      </c>
      <c r="BJ1001" s="230">
        <f t="shared" si="844"/>
        <v>0</v>
      </c>
      <c r="BK1001" s="229">
        <v>35</v>
      </c>
      <c r="BL1001" s="230">
        <f t="shared" si="845"/>
        <v>48</v>
      </c>
      <c r="BM1001" s="235">
        <f t="shared" si="846"/>
        <v>2.9108720930232557</v>
      </c>
      <c r="BN1001" s="235" cm="1">
        <f t="array" ref="BN1001">$BI1001 * SUMPRODUCT(INDEX($AR$77:$AT$82,,$AI1001),INDEX($AU$77:$BA$82,,$AH1001), N($AQ$77:$AQ$82&gt;$AO1001)) / BM1001 / 1000</f>
        <v>0</v>
      </c>
      <c r="BO1001" s="232">
        <f t="shared" si="871"/>
        <v>30</v>
      </c>
      <c r="BP1001" s="230">
        <f t="shared" si="847"/>
        <v>43</v>
      </c>
      <c r="BQ1001" s="235">
        <f t="shared" si="848"/>
        <v>3.2938815789473681</v>
      </c>
      <c r="BR1001" s="235" cm="1">
        <f t="array" ref="BR1001">$BI1001 * IF($AH1001&lt;=2,
SUMPRODUCT(INDEX($AR$72:$AT$76,,$AI1001), INDEX($AU$72:$BA$76,,$AH1001), 1 / ($BB$72:$BB$76*BQ1001 + (1-$BB$72:$BB$76)*BM1001), N($AQ$72:$AQ$76&gt;$AO1001)),
SUMPRODUCT(INDEX($AR$67:$AT$76,,$AI1001), INDEX($AU$67:$BA$76,,$AH1001), 1 / ($BC$67:$BC$76*BQ1001 + (1-$BC$67:$BC$76)*BM1001), N($AQ$67:$AQ$76&gt;$AO1001))
) / 1000</f>
        <v>0</v>
      </c>
      <c r="BS1001" s="232">
        <f t="shared" si="872"/>
        <v>25</v>
      </c>
      <c r="BT1001" s="230">
        <f t="shared" si="849"/>
        <v>38</v>
      </c>
      <c r="BU1001" s="235">
        <f t="shared" si="850"/>
        <v>3.792954545454545</v>
      </c>
      <c r="BV1001" s="235" cm="1">
        <f t="array" ref="BV1001">$BI1001 * IF($AH1001&lt;=2,
SUMPRODUCT(INDEX($AR$67:$AT$71,,$AI1001), INDEX($AU$67:$BA$71,,$AH1001), 1 / ($BB$67:$BB$71*BU1001 + (1-$BB$67:$BB$71)*BQ1001), N($AQ$67:$AQ$71&gt;$AO1001)),
SUMPRODUCT(INDEX($AR$57:$AT$66,,$AI1001), INDEX($AU$57:$BA$66,,$AH1001), 1 / ($BC$57:$BC$66*BU1001 + (1-$BC$57:$BC$66)*BQ1001), N($AQ$57:$AQ$66&gt;$AO1001))
) / 1000</f>
        <v>0</v>
      </c>
      <c r="BW1001" s="232">
        <f t="shared" si="873"/>
        <v>20</v>
      </c>
      <c r="BX1001" s="230">
        <f t="shared" si="851"/>
        <v>33</v>
      </c>
      <c r="BY1001" s="235">
        <f t="shared" si="852"/>
        <v>4.4702678571428569</v>
      </c>
      <c r="BZ1001" s="235" cm="1">
        <f t="array" ref="BZ1001">$BI1001 * IF($AH1001&lt;=2,
SUMPRODUCT(INDEX($AR$62:$AT$66,,$AI1001), INDEX($AU$62:$BA$66,,$AH1001), 1 / ($BB$62:$BB$66*BY1001 + (1-$BB$62:$BB$66)*BU1001), N($AQ$62:$AQ$66&gt;$AO1001)),
SUMPRODUCT(INDEX($AR$47:$AT$56,,$AI1001), INDEX($AU$47:$BA$56,,$AH1001), 1 / ($BC$47:$BC$56*BY1001 + (1-$BC$47:$BC$56)*BU1001), N($AQ$47:$AQ$56&gt;$AO1001))
) / 1000</f>
        <v>0</v>
      </c>
      <c r="CA1001" s="235" cm="1">
        <f t="array" ref="CA1001">$BI1001 * IF($AH1001&lt;=2,
SUMPRODUCT(INDEX($AR$23:$AT$61,,$AI1001), INDEX($AU$23:$BA$61,,$AH1001), 1 / ($BB$23:$BB$61*BY1001), N($AQ$23:$AQ$61&gt;$AO1001)),
SUMPRODUCT(INDEX($AR$23:$AT$46,,$AI1001), INDEX($AU$23:$BA$46,,$AH1001), 1 / ($BC$23:$BC$46*BY1001), N($AQ$23:$AQ$46&gt;$AO1001))
) / 1000</f>
        <v>0</v>
      </c>
      <c r="CB1001" s="230">
        <f t="shared" si="853"/>
        <v>0</v>
      </c>
      <c r="CC1001" s="238"/>
      <c r="CD1001" s="229" cm="1">
        <f t="array" ref="CD1001">IF(ISBLANK(Y1001), INDEX(Use, $AH1001, 4) - AN1001*INDEX(Use, $AH1001, 6) - (Q1001-X1001), Y1001)</f>
        <v>7</v>
      </c>
      <c r="CE1001" s="229">
        <f t="shared" si="854"/>
        <v>32</v>
      </c>
      <c r="CF1001" s="230">
        <f t="shared" si="855"/>
        <v>0</v>
      </c>
      <c r="CG1001" s="229">
        <v>35</v>
      </c>
      <c r="CH1001" s="230">
        <f t="shared" si="856"/>
        <v>48</v>
      </c>
      <c r="CI1001" s="235">
        <f t="shared" si="857"/>
        <v>3.0748170731707316</v>
      </c>
      <c r="CJ1001" s="235" cm="1">
        <f t="array" ref="CJ1001">$BI1001 * SUMPRODUCT(INDEX($AR$77:$AT$82,,$AI1001),INDEX($AU$77:$BA$82,,$AH1001), N($AQ$77:$AQ$82&gt;$AO1001)) / CI1001 / 1000</f>
        <v>0</v>
      </c>
      <c r="CK1001" s="232">
        <f t="shared" si="874"/>
        <v>30</v>
      </c>
      <c r="CL1001" s="230">
        <f t="shared" si="858"/>
        <v>43</v>
      </c>
      <c r="CM1001" s="235">
        <f t="shared" si="859"/>
        <v>3.5018750000000001</v>
      </c>
      <c r="CN1001" s="235" cm="1">
        <f t="array" ref="CN1001">$BI1001 * IF($AH1001&lt;=2,
SUMPRODUCT(INDEX($AR$72:$AT$76,,$AI1001), INDEX($AU$72:$BA$76,,$AH1001), 1 / ($BB$72:$BB$76*CM1001 + (1-$BB$72:$BB$76)*CI1001), N($AQ$72:$AQ$76&gt;$AO1001)),
SUMPRODUCT(INDEX($AR$67:$AT$76,,$AI1001), INDEX($AU$67:$BA$76,,$AH1001), 1 / ($BC$67:$BC$76*CM1001 + (1-$BC$67:$BC$76)*CI1001), N($AQ$67:$AQ$76&gt;$AO1001))
) / 1000</f>
        <v>0</v>
      </c>
      <c r="CO1001" s="232">
        <f t="shared" si="875"/>
        <v>25</v>
      </c>
      <c r="CP1001" s="230">
        <f t="shared" si="860"/>
        <v>38</v>
      </c>
      <c r="CQ1001" s="235">
        <f t="shared" si="861"/>
        <v>4.0666935483870965</v>
      </c>
      <c r="CR1001" s="235" cm="1">
        <f t="array" ref="CR1001">$BI1001 * IF($AH1001&lt;=2,
SUMPRODUCT(INDEX($AR$67:$AT$71,,$AI1001), INDEX($AU$67:$BA$71,,$AH1001), 1 / ($BB$67:$BB$71*CQ1001 + (1-$BB$67:$BB$71)*CM1001), N($AQ$67:$AQ$71&gt;$AO1001)),
SUMPRODUCT(INDEX($AR$57:$AT$66,,$AI1001), INDEX($AU$57:$BA$66,,$AH1001), 1 / ($BC$57:$BC$66*CQ1001 + (1-$BC$57:$BC$66)*CM1001), N($AQ$57:$AQ$66&gt;$AO1001))
) / 1000</f>
        <v>0</v>
      </c>
      <c r="CS1001" s="232">
        <f t="shared" si="876"/>
        <v>20</v>
      </c>
      <c r="CT1001" s="230">
        <f t="shared" si="862"/>
        <v>33</v>
      </c>
      <c r="CU1001" s="235">
        <f t="shared" si="863"/>
        <v>4.8487499999999999</v>
      </c>
      <c r="CV1001" s="235" cm="1">
        <f t="array" ref="CV1001">$BI1001 * IF($AH1001&lt;=2,
SUMPRODUCT(INDEX($AR$62:$AT$66,,$AI1001), INDEX($AU$62:$BA$66,,$AH1001), 1 / ($BB$62:$BB$66*CU1001 + (1-$BB$62:$BB$66)*CQ1001), N($AQ$62:$AQ$66&gt;$AO1001)),
SUMPRODUCT(INDEX($AR$47:$AT$56,,$AI1001), INDEX($AU$47:$BA$56,,$AH1001), 1 / ($BC$47:$BC$56*CU1001 + (1-$BC$47:$BC$56)*CQ1001), N($AQ$47:$AQ$56&gt;$AO1001))
) / 1000</f>
        <v>0</v>
      </c>
      <c r="CW1001" s="235" cm="1">
        <f t="array" ref="CW1001">$BI1001 * IF($AH1001&lt;=2,
SUMPRODUCT(INDEX($AR$23:$AT$61,,$AI1001), INDEX($AU$23:$BA$61,,$AH1001), 1 / ($BB$23:$BB$61*CU1001), N($AQ$23:$AQ$61&gt;$AO1001)),
SUMPRODUCT(INDEX($AR$23:$AT$46,,$AI1001), INDEX($AU$23:$BA$46,,$AH1001), 1 / ($BC$23:$BC$46*CU1001), N($AQ$23:$AQ$46&gt;$AO1001))
) / 1000</f>
        <v>0</v>
      </c>
      <c r="CX1001" s="230">
        <f t="shared" si="864"/>
        <v>0</v>
      </c>
      <c r="CY1001" s="238"/>
    </row>
    <row r="1002" spans="1:103" s="76" customFormat="1" ht="14.25" customHeight="1" x14ac:dyDescent="0.2">
      <c r="A1002" s="231" t="b">
        <f t="shared" si="868"/>
        <v>0</v>
      </c>
      <c r="B1002" s="245">
        <v>980</v>
      </c>
      <c r="C1002" s="258"/>
      <c r="D1002" s="258"/>
      <c r="E1002" s="246"/>
      <c r="F1002" s="247" t="str">
        <f>IF(ISBLANK(E1002), "", VLOOKUP(E1002, Z!$A$2:$C$4127, 3, FALSE))</f>
        <v/>
      </c>
      <c r="G1002" s="248"/>
      <c r="H1002" s="248"/>
      <c r="I1002" s="249"/>
      <c r="J1002" s="250"/>
      <c r="K1002" s="259"/>
      <c r="L1002" s="260"/>
      <c r="M1002" s="252" t="str" cm="1">
        <f t="array" ref="M1002">INDEX(Trad, 53, $A$20)</f>
        <v>Verschmutzt</v>
      </c>
      <c r="N1002" s="253"/>
      <c r="O1002" s="253"/>
      <c r="P1002" s="254"/>
      <c r="Q1002" s="251"/>
      <c r="R1002" s="251"/>
      <c r="S1002" s="264">
        <f t="shared" si="839"/>
        <v>0</v>
      </c>
      <c r="T1002" s="252" t="str" cm="1">
        <f t="array" ref="T1002">INDEX(Trad, 52, $A$20)</f>
        <v>Sauber</v>
      </c>
      <c r="U1002" s="253"/>
      <c r="V1002" s="253"/>
      <c r="W1002" s="254"/>
      <c r="X1002" s="251"/>
      <c r="Y1002" s="251"/>
      <c r="Z1002" s="264">
        <f t="shared" si="840"/>
        <v>0</v>
      </c>
      <c r="AA1002" s="261"/>
      <c r="AB1002" s="258"/>
      <c r="AC1002" s="246"/>
      <c r="AD1002" s="247" t="str">
        <f>IF(ISBLANK(AC1002), "", VLOOKUP(AC1002, Z!$A$2:$C$4127, 3, FALSE))</f>
        <v/>
      </c>
      <c r="AE1002" s="262"/>
      <c r="AF1002" s="263">
        <f t="shared" si="841"/>
        <v>0</v>
      </c>
      <c r="AG1002" s="238"/>
      <c r="AH1002" s="229">
        <f t="shared" si="865"/>
        <v>1</v>
      </c>
      <c r="AI1002" s="229">
        <f t="shared" si="866"/>
        <v>1</v>
      </c>
      <c r="AJ1002" s="229">
        <f t="shared" si="867"/>
        <v>0</v>
      </c>
      <c r="AK1002" s="229">
        <v>0</v>
      </c>
      <c r="AL1002" s="229">
        <v>0</v>
      </c>
      <c r="AM1002" s="229">
        <v>1</v>
      </c>
      <c r="AN1002" s="229">
        <v>0</v>
      </c>
      <c r="AO1002" s="229">
        <f t="shared" si="842"/>
        <v>-100</v>
      </c>
      <c r="AP1002" s="238"/>
      <c r="AQ1002" s="255"/>
      <c r="AR1002" s="255"/>
      <c r="AS1002" s="256"/>
      <c r="AT1002" s="256"/>
      <c r="AU1002" s="256"/>
      <c r="AV1002" s="256"/>
      <c r="AW1002" s="256"/>
      <c r="AX1002" s="256"/>
      <c r="AY1002" s="256"/>
      <c r="AZ1002" s="256"/>
      <c r="BA1002" s="256"/>
      <c r="BB1002" s="256"/>
      <c r="BC1002" s="256"/>
      <c r="BD1002" s="238"/>
      <c r="BE1002" s="229" cm="1">
        <f t="array" ref="BE1002">IF(ISBLANK(R1002), INDEX(Use, $AH1002, 4) - AM1002*INDEX(Use, $AH1002, 6), R1002)</f>
        <v>5</v>
      </c>
      <c r="BF1002" s="229">
        <f t="shared" si="843"/>
        <v>30</v>
      </c>
      <c r="BG1002" s="229">
        <f t="shared" si="869"/>
        <v>13</v>
      </c>
      <c r="BH1002" s="229">
        <f t="shared" si="870"/>
        <v>0</v>
      </c>
      <c r="BI1002" s="234" cm="1">
        <f t="array" ref="BI1002">K1002/IF($L1002&gt;0, INDEX($AU$23:$BA$77, $L1002+20, $AH1002), 1)</f>
        <v>0</v>
      </c>
      <c r="BJ1002" s="230">
        <f t="shared" si="844"/>
        <v>0</v>
      </c>
      <c r="BK1002" s="229">
        <v>35</v>
      </c>
      <c r="BL1002" s="230">
        <f t="shared" si="845"/>
        <v>48</v>
      </c>
      <c r="BM1002" s="235">
        <f t="shared" si="846"/>
        <v>2.9108720930232557</v>
      </c>
      <c r="BN1002" s="235" cm="1">
        <f t="array" ref="BN1002">$BI1002 * SUMPRODUCT(INDEX($AR$77:$AT$82,,$AI1002),INDEX($AU$77:$BA$82,,$AH1002), N($AQ$77:$AQ$82&gt;$AO1002)) / BM1002 / 1000</f>
        <v>0</v>
      </c>
      <c r="BO1002" s="232">
        <f t="shared" si="871"/>
        <v>30</v>
      </c>
      <c r="BP1002" s="230">
        <f t="shared" si="847"/>
        <v>43</v>
      </c>
      <c r="BQ1002" s="235">
        <f t="shared" si="848"/>
        <v>3.2938815789473681</v>
      </c>
      <c r="BR1002" s="235" cm="1">
        <f t="array" ref="BR1002">$BI1002 * IF($AH1002&lt;=2,
SUMPRODUCT(INDEX($AR$72:$AT$76,,$AI1002), INDEX($AU$72:$BA$76,,$AH1002), 1 / ($BB$72:$BB$76*BQ1002 + (1-$BB$72:$BB$76)*BM1002), N($AQ$72:$AQ$76&gt;$AO1002)),
SUMPRODUCT(INDEX($AR$67:$AT$76,,$AI1002), INDEX($AU$67:$BA$76,,$AH1002), 1 / ($BC$67:$BC$76*BQ1002 + (1-$BC$67:$BC$76)*BM1002), N($AQ$67:$AQ$76&gt;$AO1002))
) / 1000</f>
        <v>0</v>
      </c>
      <c r="BS1002" s="232">
        <f t="shared" si="872"/>
        <v>25</v>
      </c>
      <c r="BT1002" s="230">
        <f t="shared" si="849"/>
        <v>38</v>
      </c>
      <c r="BU1002" s="235">
        <f t="shared" si="850"/>
        <v>3.792954545454545</v>
      </c>
      <c r="BV1002" s="235" cm="1">
        <f t="array" ref="BV1002">$BI1002 * IF($AH1002&lt;=2,
SUMPRODUCT(INDEX($AR$67:$AT$71,,$AI1002), INDEX($AU$67:$BA$71,,$AH1002), 1 / ($BB$67:$BB$71*BU1002 + (1-$BB$67:$BB$71)*BQ1002), N($AQ$67:$AQ$71&gt;$AO1002)),
SUMPRODUCT(INDEX($AR$57:$AT$66,,$AI1002), INDEX($AU$57:$BA$66,,$AH1002), 1 / ($BC$57:$BC$66*BU1002 + (1-$BC$57:$BC$66)*BQ1002), N($AQ$57:$AQ$66&gt;$AO1002))
) / 1000</f>
        <v>0</v>
      </c>
      <c r="BW1002" s="232">
        <f t="shared" si="873"/>
        <v>20</v>
      </c>
      <c r="BX1002" s="230">
        <f t="shared" si="851"/>
        <v>33</v>
      </c>
      <c r="BY1002" s="235">
        <f t="shared" si="852"/>
        <v>4.4702678571428569</v>
      </c>
      <c r="BZ1002" s="235" cm="1">
        <f t="array" ref="BZ1002">$BI1002 * IF($AH1002&lt;=2,
SUMPRODUCT(INDEX($AR$62:$AT$66,,$AI1002), INDEX($AU$62:$BA$66,,$AH1002), 1 / ($BB$62:$BB$66*BY1002 + (1-$BB$62:$BB$66)*BU1002), N($AQ$62:$AQ$66&gt;$AO1002)),
SUMPRODUCT(INDEX($AR$47:$AT$56,,$AI1002), INDEX($AU$47:$BA$56,,$AH1002), 1 / ($BC$47:$BC$56*BY1002 + (1-$BC$47:$BC$56)*BU1002), N($AQ$47:$AQ$56&gt;$AO1002))
) / 1000</f>
        <v>0</v>
      </c>
      <c r="CA1002" s="235" cm="1">
        <f t="array" ref="CA1002">$BI1002 * IF($AH1002&lt;=2,
SUMPRODUCT(INDEX($AR$23:$AT$61,,$AI1002), INDEX($AU$23:$BA$61,,$AH1002), 1 / ($BB$23:$BB$61*BY1002), N($AQ$23:$AQ$61&gt;$AO1002)),
SUMPRODUCT(INDEX($AR$23:$AT$46,,$AI1002), INDEX($AU$23:$BA$46,,$AH1002), 1 / ($BC$23:$BC$46*BY1002), N($AQ$23:$AQ$46&gt;$AO1002))
) / 1000</f>
        <v>0</v>
      </c>
      <c r="CB1002" s="230">
        <f t="shared" si="853"/>
        <v>0</v>
      </c>
      <c r="CC1002" s="238"/>
      <c r="CD1002" s="229" cm="1">
        <f t="array" ref="CD1002">IF(ISBLANK(Y1002), INDEX(Use, $AH1002, 4) - AN1002*INDEX(Use, $AH1002, 6) - (Q1002-X1002), Y1002)</f>
        <v>7</v>
      </c>
      <c r="CE1002" s="229">
        <f t="shared" si="854"/>
        <v>32</v>
      </c>
      <c r="CF1002" s="230">
        <f t="shared" si="855"/>
        <v>0</v>
      </c>
      <c r="CG1002" s="229">
        <v>35</v>
      </c>
      <c r="CH1002" s="230">
        <f t="shared" si="856"/>
        <v>48</v>
      </c>
      <c r="CI1002" s="235">
        <f t="shared" si="857"/>
        <v>3.0748170731707316</v>
      </c>
      <c r="CJ1002" s="235" cm="1">
        <f t="array" ref="CJ1002">$BI1002 * SUMPRODUCT(INDEX($AR$77:$AT$82,,$AI1002),INDEX($AU$77:$BA$82,,$AH1002), N($AQ$77:$AQ$82&gt;$AO1002)) / CI1002 / 1000</f>
        <v>0</v>
      </c>
      <c r="CK1002" s="232">
        <f t="shared" si="874"/>
        <v>30</v>
      </c>
      <c r="CL1002" s="230">
        <f t="shared" si="858"/>
        <v>43</v>
      </c>
      <c r="CM1002" s="235">
        <f t="shared" si="859"/>
        <v>3.5018750000000001</v>
      </c>
      <c r="CN1002" s="235" cm="1">
        <f t="array" ref="CN1002">$BI1002 * IF($AH1002&lt;=2,
SUMPRODUCT(INDEX($AR$72:$AT$76,,$AI1002), INDEX($AU$72:$BA$76,,$AH1002), 1 / ($BB$72:$BB$76*CM1002 + (1-$BB$72:$BB$76)*CI1002), N($AQ$72:$AQ$76&gt;$AO1002)),
SUMPRODUCT(INDEX($AR$67:$AT$76,,$AI1002), INDEX($AU$67:$BA$76,,$AH1002), 1 / ($BC$67:$BC$76*CM1002 + (1-$BC$67:$BC$76)*CI1002), N($AQ$67:$AQ$76&gt;$AO1002))
) / 1000</f>
        <v>0</v>
      </c>
      <c r="CO1002" s="232">
        <f t="shared" si="875"/>
        <v>25</v>
      </c>
      <c r="CP1002" s="230">
        <f t="shared" si="860"/>
        <v>38</v>
      </c>
      <c r="CQ1002" s="235">
        <f t="shared" si="861"/>
        <v>4.0666935483870965</v>
      </c>
      <c r="CR1002" s="235" cm="1">
        <f t="array" ref="CR1002">$BI1002 * IF($AH1002&lt;=2,
SUMPRODUCT(INDEX($AR$67:$AT$71,,$AI1002), INDEX($AU$67:$BA$71,,$AH1002), 1 / ($BB$67:$BB$71*CQ1002 + (1-$BB$67:$BB$71)*CM1002), N($AQ$67:$AQ$71&gt;$AO1002)),
SUMPRODUCT(INDEX($AR$57:$AT$66,,$AI1002), INDEX($AU$57:$BA$66,,$AH1002), 1 / ($BC$57:$BC$66*CQ1002 + (1-$BC$57:$BC$66)*CM1002), N($AQ$57:$AQ$66&gt;$AO1002))
) / 1000</f>
        <v>0</v>
      </c>
      <c r="CS1002" s="232">
        <f t="shared" si="876"/>
        <v>20</v>
      </c>
      <c r="CT1002" s="230">
        <f t="shared" si="862"/>
        <v>33</v>
      </c>
      <c r="CU1002" s="235">
        <f t="shared" si="863"/>
        <v>4.8487499999999999</v>
      </c>
      <c r="CV1002" s="235" cm="1">
        <f t="array" ref="CV1002">$BI1002 * IF($AH1002&lt;=2,
SUMPRODUCT(INDEX($AR$62:$AT$66,,$AI1002), INDEX($AU$62:$BA$66,,$AH1002), 1 / ($BB$62:$BB$66*CU1002 + (1-$BB$62:$BB$66)*CQ1002), N($AQ$62:$AQ$66&gt;$AO1002)),
SUMPRODUCT(INDEX($AR$47:$AT$56,,$AI1002), INDEX($AU$47:$BA$56,,$AH1002), 1 / ($BC$47:$BC$56*CU1002 + (1-$BC$47:$BC$56)*CQ1002), N($AQ$47:$AQ$56&gt;$AO1002))
) / 1000</f>
        <v>0</v>
      </c>
      <c r="CW1002" s="235" cm="1">
        <f t="array" ref="CW1002">$BI1002 * IF($AH1002&lt;=2,
SUMPRODUCT(INDEX($AR$23:$AT$61,,$AI1002), INDEX($AU$23:$BA$61,,$AH1002), 1 / ($BB$23:$BB$61*CU1002), N($AQ$23:$AQ$61&gt;$AO1002)),
SUMPRODUCT(INDEX($AR$23:$AT$46,,$AI1002), INDEX($AU$23:$BA$46,,$AH1002), 1 / ($BC$23:$BC$46*CU1002), N($AQ$23:$AQ$46&gt;$AO1002))
) / 1000</f>
        <v>0</v>
      </c>
      <c r="CX1002" s="230">
        <f t="shared" si="864"/>
        <v>0</v>
      </c>
      <c r="CY1002" s="238"/>
    </row>
    <row r="1003" spans="1:103" s="76" customFormat="1" ht="14.25" customHeight="1" x14ac:dyDescent="0.2">
      <c r="A1003" s="231" t="b">
        <f t="shared" si="868"/>
        <v>0</v>
      </c>
      <c r="B1003" s="245">
        <v>981</v>
      </c>
      <c r="C1003" s="258"/>
      <c r="D1003" s="258"/>
      <c r="E1003" s="246"/>
      <c r="F1003" s="247" t="str">
        <f>IF(ISBLANK(E1003), "", VLOOKUP(E1003, Z!$A$2:$C$4127, 3, FALSE))</f>
        <v/>
      </c>
      <c r="G1003" s="248"/>
      <c r="H1003" s="248"/>
      <c r="I1003" s="249"/>
      <c r="J1003" s="250"/>
      <c r="K1003" s="259"/>
      <c r="L1003" s="260"/>
      <c r="M1003" s="252" t="str" cm="1">
        <f t="array" ref="M1003">INDEX(Trad, 53, $A$20)</f>
        <v>Verschmutzt</v>
      </c>
      <c r="N1003" s="253"/>
      <c r="O1003" s="253"/>
      <c r="P1003" s="254"/>
      <c r="Q1003" s="251"/>
      <c r="R1003" s="251"/>
      <c r="S1003" s="264">
        <f t="shared" si="839"/>
        <v>0</v>
      </c>
      <c r="T1003" s="252" t="str" cm="1">
        <f t="array" ref="T1003">INDEX(Trad, 52, $A$20)</f>
        <v>Sauber</v>
      </c>
      <c r="U1003" s="253"/>
      <c r="V1003" s="253"/>
      <c r="W1003" s="254"/>
      <c r="X1003" s="251"/>
      <c r="Y1003" s="251"/>
      <c r="Z1003" s="264">
        <f t="shared" si="840"/>
        <v>0</v>
      </c>
      <c r="AA1003" s="261"/>
      <c r="AB1003" s="258"/>
      <c r="AC1003" s="246"/>
      <c r="AD1003" s="247" t="str">
        <f>IF(ISBLANK(AC1003), "", VLOOKUP(AC1003, Z!$A$2:$C$4127, 3, FALSE))</f>
        <v/>
      </c>
      <c r="AE1003" s="262"/>
      <c r="AF1003" s="263">
        <f t="shared" si="841"/>
        <v>0</v>
      </c>
      <c r="AG1003" s="238"/>
      <c r="AH1003" s="229">
        <f t="shared" si="865"/>
        <v>1</v>
      </c>
      <c r="AI1003" s="229">
        <f t="shared" si="866"/>
        <v>1</v>
      </c>
      <c r="AJ1003" s="229">
        <f t="shared" si="867"/>
        <v>0</v>
      </c>
      <c r="AK1003" s="229">
        <v>0</v>
      </c>
      <c r="AL1003" s="229">
        <v>0</v>
      </c>
      <c r="AM1003" s="229">
        <v>1</v>
      </c>
      <c r="AN1003" s="229">
        <v>0</v>
      </c>
      <c r="AO1003" s="229">
        <f t="shared" si="842"/>
        <v>-100</v>
      </c>
      <c r="AP1003" s="238"/>
      <c r="AQ1003" s="255"/>
      <c r="AR1003" s="255"/>
      <c r="AS1003" s="256"/>
      <c r="AT1003" s="256"/>
      <c r="AU1003" s="256"/>
      <c r="AV1003" s="256"/>
      <c r="AW1003" s="256"/>
      <c r="AX1003" s="256"/>
      <c r="AY1003" s="256"/>
      <c r="AZ1003" s="256"/>
      <c r="BA1003" s="256"/>
      <c r="BB1003" s="256"/>
      <c r="BC1003" s="256"/>
      <c r="BD1003" s="238"/>
      <c r="BE1003" s="229" cm="1">
        <f t="array" ref="BE1003">IF(ISBLANK(R1003), INDEX(Use, $AH1003, 4) - AM1003*INDEX(Use, $AH1003, 6), R1003)</f>
        <v>5</v>
      </c>
      <c r="BF1003" s="229">
        <f t="shared" si="843"/>
        <v>30</v>
      </c>
      <c r="BG1003" s="229">
        <f t="shared" si="869"/>
        <v>13</v>
      </c>
      <c r="BH1003" s="229">
        <f t="shared" si="870"/>
        <v>0</v>
      </c>
      <c r="BI1003" s="234" cm="1">
        <f t="array" ref="BI1003">K1003/IF($L1003&gt;0, INDEX($AU$23:$BA$77, $L1003+20, $AH1003), 1)</f>
        <v>0</v>
      </c>
      <c r="BJ1003" s="230">
        <f t="shared" si="844"/>
        <v>0</v>
      </c>
      <c r="BK1003" s="229">
        <v>35</v>
      </c>
      <c r="BL1003" s="230">
        <f t="shared" si="845"/>
        <v>48</v>
      </c>
      <c r="BM1003" s="235">
        <f t="shared" si="846"/>
        <v>2.9108720930232557</v>
      </c>
      <c r="BN1003" s="235" cm="1">
        <f t="array" ref="BN1003">$BI1003 * SUMPRODUCT(INDEX($AR$77:$AT$82,,$AI1003),INDEX($AU$77:$BA$82,,$AH1003), N($AQ$77:$AQ$82&gt;$AO1003)) / BM1003 / 1000</f>
        <v>0</v>
      </c>
      <c r="BO1003" s="232">
        <f t="shared" si="871"/>
        <v>30</v>
      </c>
      <c r="BP1003" s="230">
        <f t="shared" si="847"/>
        <v>43</v>
      </c>
      <c r="BQ1003" s="235">
        <f t="shared" si="848"/>
        <v>3.2938815789473681</v>
      </c>
      <c r="BR1003" s="235" cm="1">
        <f t="array" ref="BR1003">$BI1003 * IF($AH1003&lt;=2,
SUMPRODUCT(INDEX($AR$72:$AT$76,,$AI1003), INDEX($AU$72:$BA$76,,$AH1003), 1 / ($BB$72:$BB$76*BQ1003 + (1-$BB$72:$BB$76)*BM1003), N($AQ$72:$AQ$76&gt;$AO1003)),
SUMPRODUCT(INDEX($AR$67:$AT$76,,$AI1003), INDEX($AU$67:$BA$76,,$AH1003), 1 / ($BC$67:$BC$76*BQ1003 + (1-$BC$67:$BC$76)*BM1003), N($AQ$67:$AQ$76&gt;$AO1003))
) / 1000</f>
        <v>0</v>
      </c>
      <c r="BS1003" s="232">
        <f t="shared" si="872"/>
        <v>25</v>
      </c>
      <c r="BT1003" s="230">
        <f t="shared" si="849"/>
        <v>38</v>
      </c>
      <c r="BU1003" s="235">
        <f t="shared" si="850"/>
        <v>3.792954545454545</v>
      </c>
      <c r="BV1003" s="235" cm="1">
        <f t="array" ref="BV1003">$BI1003 * IF($AH1003&lt;=2,
SUMPRODUCT(INDEX($AR$67:$AT$71,,$AI1003), INDEX($AU$67:$BA$71,,$AH1003), 1 / ($BB$67:$BB$71*BU1003 + (1-$BB$67:$BB$71)*BQ1003), N($AQ$67:$AQ$71&gt;$AO1003)),
SUMPRODUCT(INDEX($AR$57:$AT$66,,$AI1003), INDEX($AU$57:$BA$66,,$AH1003), 1 / ($BC$57:$BC$66*BU1003 + (1-$BC$57:$BC$66)*BQ1003), N($AQ$57:$AQ$66&gt;$AO1003))
) / 1000</f>
        <v>0</v>
      </c>
      <c r="BW1003" s="232">
        <f t="shared" si="873"/>
        <v>20</v>
      </c>
      <c r="BX1003" s="230">
        <f t="shared" si="851"/>
        <v>33</v>
      </c>
      <c r="BY1003" s="235">
        <f t="shared" si="852"/>
        <v>4.4702678571428569</v>
      </c>
      <c r="BZ1003" s="235" cm="1">
        <f t="array" ref="BZ1003">$BI1003 * IF($AH1003&lt;=2,
SUMPRODUCT(INDEX($AR$62:$AT$66,,$AI1003), INDEX($AU$62:$BA$66,,$AH1003), 1 / ($BB$62:$BB$66*BY1003 + (1-$BB$62:$BB$66)*BU1003), N($AQ$62:$AQ$66&gt;$AO1003)),
SUMPRODUCT(INDEX($AR$47:$AT$56,,$AI1003), INDEX($AU$47:$BA$56,,$AH1003), 1 / ($BC$47:$BC$56*BY1003 + (1-$BC$47:$BC$56)*BU1003), N($AQ$47:$AQ$56&gt;$AO1003))
) / 1000</f>
        <v>0</v>
      </c>
      <c r="CA1003" s="235" cm="1">
        <f t="array" ref="CA1003">$BI1003 * IF($AH1003&lt;=2,
SUMPRODUCT(INDEX($AR$23:$AT$61,,$AI1003), INDEX($AU$23:$BA$61,,$AH1003), 1 / ($BB$23:$BB$61*BY1003), N($AQ$23:$AQ$61&gt;$AO1003)),
SUMPRODUCT(INDEX($AR$23:$AT$46,,$AI1003), INDEX($AU$23:$BA$46,,$AH1003), 1 / ($BC$23:$BC$46*BY1003), N($AQ$23:$AQ$46&gt;$AO1003))
) / 1000</f>
        <v>0</v>
      </c>
      <c r="CB1003" s="230">
        <f t="shared" si="853"/>
        <v>0</v>
      </c>
      <c r="CC1003" s="238"/>
      <c r="CD1003" s="229" cm="1">
        <f t="array" ref="CD1003">IF(ISBLANK(Y1003), INDEX(Use, $AH1003, 4) - AN1003*INDEX(Use, $AH1003, 6) - (Q1003-X1003), Y1003)</f>
        <v>7</v>
      </c>
      <c r="CE1003" s="229">
        <f t="shared" si="854"/>
        <v>32</v>
      </c>
      <c r="CF1003" s="230">
        <f t="shared" si="855"/>
        <v>0</v>
      </c>
      <c r="CG1003" s="229">
        <v>35</v>
      </c>
      <c r="CH1003" s="230">
        <f t="shared" si="856"/>
        <v>48</v>
      </c>
      <c r="CI1003" s="235">
        <f t="shared" si="857"/>
        <v>3.0748170731707316</v>
      </c>
      <c r="CJ1003" s="235" cm="1">
        <f t="array" ref="CJ1003">$BI1003 * SUMPRODUCT(INDEX($AR$77:$AT$82,,$AI1003),INDEX($AU$77:$BA$82,,$AH1003), N($AQ$77:$AQ$82&gt;$AO1003)) / CI1003 / 1000</f>
        <v>0</v>
      </c>
      <c r="CK1003" s="232">
        <f t="shared" si="874"/>
        <v>30</v>
      </c>
      <c r="CL1003" s="230">
        <f t="shared" si="858"/>
        <v>43</v>
      </c>
      <c r="CM1003" s="235">
        <f t="shared" si="859"/>
        <v>3.5018750000000001</v>
      </c>
      <c r="CN1003" s="235" cm="1">
        <f t="array" ref="CN1003">$BI1003 * IF($AH1003&lt;=2,
SUMPRODUCT(INDEX($AR$72:$AT$76,,$AI1003), INDEX($AU$72:$BA$76,,$AH1003), 1 / ($BB$72:$BB$76*CM1003 + (1-$BB$72:$BB$76)*CI1003), N($AQ$72:$AQ$76&gt;$AO1003)),
SUMPRODUCT(INDEX($AR$67:$AT$76,,$AI1003), INDEX($AU$67:$BA$76,,$AH1003), 1 / ($BC$67:$BC$76*CM1003 + (1-$BC$67:$BC$76)*CI1003), N($AQ$67:$AQ$76&gt;$AO1003))
) / 1000</f>
        <v>0</v>
      </c>
      <c r="CO1003" s="232">
        <f t="shared" si="875"/>
        <v>25</v>
      </c>
      <c r="CP1003" s="230">
        <f t="shared" si="860"/>
        <v>38</v>
      </c>
      <c r="CQ1003" s="235">
        <f t="shared" si="861"/>
        <v>4.0666935483870965</v>
      </c>
      <c r="CR1003" s="235" cm="1">
        <f t="array" ref="CR1003">$BI1003 * IF($AH1003&lt;=2,
SUMPRODUCT(INDEX($AR$67:$AT$71,,$AI1003), INDEX($AU$67:$BA$71,,$AH1003), 1 / ($BB$67:$BB$71*CQ1003 + (1-$BB$67:$BB$71)*CM1003), N($AQ$67:$AQ$71&gt;$AO1003)),
SUMPRODUCT(INDEX($AR$57:$AT$66,,$AI1003), INDEX($AU$57:$BA$66,,$AH1003), 1 / ($BC$57:$BC$66*CQ1003 + (1-$BC$57:$BC$66)*CM1003), N($AQ$57:$AQ$66&gt;$AO1003))
) / 1000</f>
        <v>0</v>
      </c>
      <c r="CS1003" s="232">
        <f t="shared" si="876"/>
        <v>20</v>
      </c>
      <c r="CT1003" s="230">
        <f t="shared" si="862"/>
        <v>33</v>
      </c>
      <c r="CU1003" s="235">
        <f t="shared" si="863"/>
        <v>4.8487499999999999</v>
      </c>
      <c r="CV1003" s="235" cm="1">
        <f t="array" ref="CV1003">$BI1003 * IF($AH1003&lt;=2,
SUMPRODUCT(INDEX($AR$62:$AT$66,,$AI1003), INDEX($AU$62:$BA$66,,$AH1003), 1 / ($BB$62:$BB$66*CU1003 + (1-$BB$62:$BB$66)*CQ1003), N($AQ$62:$AQ$66&gt;$AO1003)),
SUMPRODUCT(INDEX($AR$47:$AT$56,,$AI1003), INDEX($AU$47:$BA$56,,$AH1003), 1 / ($BC$47:$BC$56*CU1003 + (1-$BC$47:$BC$56)*CQ1003), N($AQ$47:$AQ$56&gt;$AO1003))
) / 1000</f>
        <v>0</v>
      </c>
      <c r="CW1003" s="235" cm="1">
        <f t="array" ref="CW1003">$BI1003 * IF($AH1003&lt;=2,
SUMPRODUCT(INDEX($AR$23:$AT$61,,$AI1003), INDEX($AU$23:$BA$61,,$AH1003), 1 / ($BB$23:$BB$61*CU1003), N($AQ$23:$AQ$61&gt;$AO1003)),
SUMPRODUCT(INDEX($AR$23:$AT$46,,$AI1003), INDEX($AU$23:$BA$46,,$AH1003), 1 / ($BC$23:$BC$46*CU1003), N($AQ$23:$AQ$46&gt;$AO1003))
) / 1000</f>
        <v>0</v>
      </c>
      <c r="CX1003" s="230">
        <f t="shared" si="864"/>
        <v>0</v>
      </c>
      <c r="CY1003" s="238"/>
    </row>
    <row r="1004" spans="1:103" s="76" customFormat="1" ht="14.25" customHeight="1" x14ac:dyDescent="0.2">
      <c r="A1004" s="231" t="b">
        <f t="shared" si="868"/>
        <v>0</v>
      </c>
      <c r="B1004" s="245">
        <v>982</v>
      </c>
      <c r="C1004" s="258"/>
      <c r="D1004" s="258"/>
      <c r="E1004" s="246"/>
      <c r="F1004" s="247" t="str">
        <f>IF(ISBLANK(E1004), "", VLOOKUP(E1004, Z!$A$2:$C$4127, 3, FALSE))</f>
        <v/>
      </c>
      <c r="G1004" s="248"/>
      <c r="H1004" s="248"/>
      <c r="I1004" s="249"/>
      <c r="J1004" s="250"/>
      <c r="K1004" s="259"/>
      <c r="L1004" s="260"/>
      <c r="M1004" s="252" t="str" cm="1">
        <f t="array" ref="M1004">INDEX(Trad, 53, $A$20)</f>
        <v>Verschmutzt</v>
      </c>
      <c r="N1004" s="253"/>
      <c r="O1004" s="253"/>
      <c r="P1004" s="254"/>
      <c r="Q1004" s="251"/>
      <c r="R1004" s="251"/>
      <c r="S1004" s="264">
        <f t="shared" si="839"/>
        <v>0</v>
      </c>
      <c r="T1004" s="252" t="str" cm="1">
        <f t="array" ref="T1004">INDEX(Trad, 52, $A$20)</f>
        <v>Sauber</v>
      </c>
      <c r="U1004" s="253"/>
      <c r="V1004" s="253"/>
      <c r="W1004" s="254"/>
      <c r="X1004" s="251"/>
      <c r="Y1004" s="251"/>
      <c r="Z1004" s="264">
        <f t="shared" si="840"/>
        <v>0</v>
      </c>
      <c r="AA1004" s="261"/>
      <c r="AB1004" s="258"/>
      <c r="AC1004" s="246"/>
      <c r="AD1004" s="247" t="str">
        <f>IF(ISBLANK(AC1004), "", VLOOKUP(AC1004, Z!$A$2:$C$4127, 3, FALSE))</f>
        <v/>
      </c>
      <c r="AE1004" s="262"/>
      <c r="AF1004" s="263">
        <f t="shared" si="841"/>
        <v>0</v>
      </c>
      <c r="AG1004" s="238"/>
      <c r="AH1004" s="229">
        <f t="shared" si="865"/>
        <v>1</v>
      </c>
      <c r="AI1004" s="229">
        <f t="shared" si="866"/>
        <v>1</v>
      </c>
      <c r="AJ1004" s="229">
        <f t="shared" si="867"/>
        <v>0</v>
      </c>
      <c r="AK1004" s="229">
        <v>0</v>
      </c>
      <c r="AL1004" s="229">
        <v>0</v>
      </c>
      <c r="AM1004" s="229">
        <v>1</v>
      </c>
      <c r="AN1004" s="229">
        <v>0</v>
      </c>
      <c r="AO1004" s="229">
        <f t="shared" si="842"/>
        <v>-100</v>
      </c>
      <c r="AP1004" s="238"/>
      <c r="AQ1004" s="255"/>
      <c r="AR1004" s="255"/>
      <c r="AS1004" s="256"/>
      <c r="AT1004" s="256"/>
      <c r="AU1004" s="256"/>
      <c r="AV1004" s="256"/>
      <c r="AW1004" s="256"/>
      <c r="AX1004" s="256"/>
      <c r="AY1004" s="256"/>
      <c r="AZ1004" s="256"/>
      <c r="BA1004" s="256"/>
      <c r="BB1004" s="256"/>
      <c r="BC1004" s="256"/>
      <c r="BD1004" s="238"/>
      <c r="BE1004" s="229" cm="1">
        <f t="array" ref="BE1004">IF(ISBLANK(R1004), INDEX(Use, $AH1004, 4) - AM1004*INDEX(Use, $AH1004, 6), R1004)</f>
        <v>5</v>
      </c>
      <c r="BF1004" s="229">
        <f t="shared" si="843"/>
        <v>30</v>
      </c>
      <c r="BG1004" s="229">
        <f t="shared" si="869"/>
        <v>13</v>
      </c>
      <c r="BH1004" s="229">
        <f t="shared" si="870"/>
        <v>0</v>
      </c>
      <c r="BI1004" s="234" cm="1">
        <f t="array" ref="BI1004">K1004/IF($L1004&gt;0, INDEX($AU$23:$BA$77, $L1004+20, $AH1004), 1)</f>
        <v>0</v>
      </c>
      <c r="BJ1004" s="230">
        <f t="shared" si="844"/>
        <v>0</v>
      </c>
      <c r="BK1004" s="229">
        <v>35</v>
      </c>
      <c r="BL1004" s="230">
        <f t="shared" si="845"/>
        <v>48</v>
      </c>
      <c r="BM1004" s="235">
        <f t="shared" si="846"/>
        <v>2.9108720930232557</v>
      </c>
      <c r="BN1004" s="235" cm="1">
        <f t="array" ref="BN1004">$BI1004 * SUMPRODUCT(INDEX($AR$77:$AT$82,,$AI1004),INDEX($AU$77:$BA$82,,$AH1004), N($AQ$77:$AQ$82&gt;$AO1004)) / BM1004 / 1000</f>
        <v>0</v>
      </c>
      <c r="BO1004" s="232">
        <f t="shared" si="871"/>
        <v>30</v>
      </c>
      <c r="BP1004" s="230">
        <f t="shared" si="847"/>
        <v>43</v>
      </c>
      <c r="BQ1004" s="235">
        <f t="shared" si="848"/>
        <v>3.2938815789473681</v>
      </c>
      <c r="BR1004" s="235" cm="1">
        <f t="array" ref="BR1004">$BI1004 * IF($AH1004&lt;=2,
SUMPRODUCT(INDEX($AR$72:$AT$76,,$AI1004), INDEX($AU$72:$BA$76,,$AH1004), 1 / ($BB$72:$BB$76*BQ1004 + (1-$BB$72:$BB$76)*BM1004), N($AQ$72:$AQ$76&gt;$AO1004)),
SUMPRODUCT(INDEX($AR$67:$AT$76,,$AI1004), INDEX($AU$67:$BA$76,,$AH1004), 1 / ($BC$67:$BC$76*BQ1004 + (1-$BC$67:$BC$76)*BM1004), N($AQ$67:$AQ$76&gt;$AO1004))
) / 1000</f>
        <v>0</v>
      </c>
      <c r="BS1004" s="232">
        <f t="shared" si="872"/>
        <v>25</v>
      </c>
      <c r="BT1004" s="230">
        <f t="shared" si="849"/>
        <v>38</v>
      </c>
      <c r="BU1004" s="235">
        <f t="shared" si="850"/>
        <v>3.792954545454545</v>
      </c>
      <c r="BV1004" s="235" cm="1">
        <f t="array" ref="BV1004">$BI1004 * IF($AH1004&lt;=2,
SUMPRODUCT(INDEX($AR$67:$AT$71,,$AI1004), INDEX($AU$67:$BA$71,,$AH1004), 1 / ($BB$67:$BB$71*BU1004 + (1-$BB$67:$BB$71)*BQ1004), N($AQ$67:$AQ$71&gt;$AO1004)),
SUMPRODUCT(INDEX($AR$57:$AT$66,,$AI1004), INDEX($AU$57:$BA$66,,$AH1004), 1 / ($BC$57:$BC$66*BU1004 + (1-$BC$57:$BC$66)*BQ1004), N($AQ$57:$AQ$66&gt;$AO1004))
) / 1000</f>
        <v>0</v>
      </c>
      <c r="BW1004" s="232">
        <f t="shared" si="873"/>
        <v>20</v>
      </c>
      <c r="BX1004" s="230">
        <f t="shared" si="851"/>
        <v>33</v>
      </c>
      <c r="BY1004" s="235">
        <f t="shared" si="852"/>
        <v>4.4702678571428569</v>
      </c>
      <c r="BZ1004" s="235" cm="1">
        <f t="array" ref="BZ1004">$BI1004 * IF($AH1004&lt;=2,
SUMPRODUCT(INDEX($AR$62:$AT$66,,$AI1004), INDEX($AU$62:$BA$66,,$AH1004), 1 / ($BB$62:$BB$66*BY1004 + (1-$BB$62:$BB$66)*BU1004), N($AQ$62:$AQ$66&gt;$AO1004)),
SUMPRODUCT(INDEX($AR$47:$AT$56,,$AI1004), INDEX($AU$47:$BA$56,,$AH1004), 1 / ($BC$47:$BC$56*BY1004 + (1-$BC$47:$BC$56)*BU1004), N($AQ$47:$AQ$56&gt;$AO1004))
) / 1000</f>
        <v>0</v>
      </c>
      <c r="CA1004" s="235" cm="1">
        <f t="array" ref="CA1004">$BI1004 * IF($AH1004&lt;=2,
SUMPRODUCT(INDEX($AR$23:$AT$61,,$AI1004), INDEX($AU$23:$BA$61,,$AH1004), 1 / ($BB$23:$BB$61*BY1004), N($AQ$23:$AQ$61&gt;$AO1004)),
SUMPRODUCT(INDEX($AR$23:$AT$46,,$AI1004), INDEX($AU$23:$BA$46,,$AH1004), 1 / ($BC$23:$BC$46*BY1004), N($AQ$23:$AQ$46&gt;$AO1004))
) / 1000</f>
        <v>0</v>
      </c>
      <c r="CB1004" s="230">
        <f t="shared" si="853"/>
        <v>0</v>
      </c>
      <c r="CC1004" s="238"/>
      <c r="CD1004" s="229" cm="1">
        <f t="array" ref="CD1004">IF(ISBLANK(Y1004), INDEX(Use, $AH1004, 4) - AN1004*INDEX(Use, $AH1004, 6) - (Q1004-X1004), Y1004)</f>
        <v>7</v>
      </c>
      <c r="CE1004" s="229">
        <f t="shared" si="854"/>
        <v>32</v>
      </c>
      <c r="CF1004" s="230">
        <f t="shared" si="855"/>
        <v>0</v>
      </c>
      <c r="CG1004" s="229">
        <v>35</v>
      </c>
      <c r="CH1004" s="230">
        <f t="shared" si="856"/>
        <v>48</v>
      </c>
      <c r="CI1004" s="235">
        <f t="shared" si="857"/>
        <v>3.0748170731707316</v>
      </c>
      <c r="CJ1004" s="235" cm="1">
        <f t="array" ref="CJ1004">$BI1004 * SUMPRODUCT(INDEX($AR$77:$AT$82,,$AI1004),INDEX($AU$77:$BA$82,,$AH1004), N($AQ$77:$AQ$82&gt;$AO1004)) / CI1004 / 1000</f>
        <v>0</v>
      </c>
      <c r="CK1004" s="232">
        <f t="shared" si="874"/>
        <v>30</v>
      </c>
      <c r="CL1004" s="230">
        <f t="shared" si="858"/>
        <v>43</v>
      </c>
      <c r="CM1004" s="235">
        <f t="shared" si="859"/>
        <v>3.5018750000000001</v>
      </c>
      <c r="CN1004" s="235" cm="1">
        <f t="array" ref="CN1004">$BI1004 * IF($AH1004&lt;=2,
SUMPRODUCT(INDEX($AR$72:$AT$76,,$AI1004), INDEX($AU$72:$BA$76,,$AH1004), 1 / ($BB$72:$BB$76*CM1004 + (1-$BB$72:$BB$76)*CI1004), N($AQ$72:$AQ$76&gt;$AO1004)),
SUMPRODUCT(INDEX($AR$67:$AT$76,,$AI1004), INDEX($AU$67:$BA$76,,$AH1004), 1 / ($BC$67:$BC$76*CM1004 + (1-$BC$67:$BC$76)*CI1004), N($AQ$67:$AQ$76&gt;$AO1004))
) / 1000</f>
        <v>0</v>
      </c>
      <c r="CO1004" s="232">
        <f t="shared" si="875"/>
        <v>25</v>
      </c>
      <c r="CP1004" s="230">
        <f t="shared" si="860"/>
        <v>38</v>
      </c>
      <c r="CQ1004" s="235">
        <f t="shared" si="861"/>
        <v>4.0666935483870965</v>
      </c>
      <c r="CR1004" s="235" cm="1">
        <f t="array" ref="CR1004">$BI1004 * IF($AH1004&lt;=2,
SUMPRODUCT(INDEX($AR$67:$AT$71,,$AI1004), INDEX($AU$67:$BA$71,,$AH1004), 1 / ($BB$67:$BB$71*CQ1004 + (1-$BB$67:$BB$71)*CM1004), N($AQ$67:$AQ$71&gt;$AO1004)),
SUMPRODUCT(INDEX($AR$57:$AT$66,,$AI1004), INDEX($AU$57:$BA$66,,$AH1004), 1 / ($BC$57:$BC$66*CQ1004 + (1-$BC$57:$BC$66)*CM1004), N($AQ$57:$AQ$66&gt;$AO1004))
) / 1000</f>
        <v>0</v>
      </c>
      <c r="CS1004" s="232">
        <f t="shared" si="876"/>
        <v>20</v>
      </c>
      <c r="CT1004" s="230">
        <f t="shared" si="862"/>
        <v>33</v>
      </c>
      <c r="CU1004" s="235">
        <f t="shared" si="863"/>
        <v>4.8487499999999999</v>
      </c>
      <c r="CV1004" s="235" cm="1">
        <f t="array" ref="CV1004">$BI1004 * IF($AH1004&lt;=2,
SUMPRODUCT(INDEX($AR$62:$AT$66,,$AI1004), INDEX($AU$62:$BA$66,,$AH1004), 1 / ($BB$62:$BB$66*CU1004 + (1-$BB$62:$BB$66)*CQ1004), N($AQ$62:$AQ$66&gt;$AO1004)),
SUMPRODUCT(INDEX($AR$47:$AT$56,,$AI1004), INDEX($AU$47:$BA$56,,$AH1004), 1 / ($BC$47:$BC$56*CU1004 + (1-$BC$47:$BC$56)*CQ1004), N($AQ$47:$AQ$56&gt;$AO1004))
) / 1000</f>
        <v>0</v>
      </c>
      <c r="CW1004" s="235" cm="1">
        <f t="array" ref="CW1004">$BI1004 * IF($AH1004&lt;=2,
SUMPRODUCT(INDEX($AR$23:$AT$61,,$AI1004), INDEX($AU$23:$BA$61,,$AH1004), 1 / ($BB$23:$BB$61*CU1004), N($AQ$23:$AQ$61&gt;$AO1004)),
SUMPRODUCT(INDEX($AR$23:$AT$46,,$AI1004), INDEX($AU$23:$BA$46,,$AH1004), 1 / ($BC$23:$BC$46*CU1004), N($AQ$23:$AQ$46&gt;$AO1004))
) / 1000</f>
        <v>0</v>
      </c>
      <c r="CX1004" s="230">
        <f t="shared" si="864"/>
        <v>0</v>
      </c>
      <c r="CY1004" s="238"/>
    </row>
    <row r="1005" spans="1:103" s="76" customFormat="1" ht="14.25" customHeight="1" x14ac:dyDescent="0.2">
      <c r="A1005" s="231" t="b">
        <f t="shared" si="868"/>
        <v>0</v>
      </c>
      <c r="B1005" s="245">
        <v>983</v>
      </c>
      <c r="C1005" s="258"/>
      <c r="D1005" s="258"/>
      <c r="E1005" s="246"/>
      <c r="F1005" s="247" t="str">
        <f>IF(ISBLANK(E1005), "", VLOOKUP(E1005, Z!$A$2:$C$4127, 3, FALSE))</f>
        <v/>
      </c>
      <c r="G1005" s="248"/>
      <c r="H1005" s="248"/>
      <c r="I1005" s="249"/>
      <c r="J1005" s="250"/>
      <c r="K1005" s="259"/>
      <c r="L1005" s="260"/>
      <c r="M1005" s="252" t="str" cm="1">
        <f t="array" ref="M1005">INDEX(Trad, 53, $A$20)</f>
        <v>Verschmutzt</v>
      </c>
      <c r="N1005" s="253"/>
      <c r="O1005" s="253"/>
      <c r="P1005" s="254"/>
      <c r="Q1005" s="251"/>
      <c r="R1005" s="251"/>
      <c r="S1005" s="264">
        <f t="shared" si="839"/>
        <v>0</v>
      </c>
      <c r="T1005" s="252" t="str" cm="1">
        <f t="array" ref="T1005">INDEX(Trad, 52, $A$20)</f>
        <v>Sauber</v>
      </c>
      <c r="U1005" s="253"/>
      <c r="V1005" s="253"/>
      <c r="W1005" s="254"/>
      <c r="X1005" s="251"/>
      <c r="Y1005" s="251"/>
      <c r="Z1005" s="264">
        <f t="shared" si="840"/>
        <v>0</v>
      </c>
      <c r="AA1005" s="261"/>
      <c r="AB1005" s="258"/>
      <c r="AC1005" s="246"/>
      <c r="AD1005" s="247" t="str">
        <f>IF(ISBLANK(AC1005), "", VLOOKUP(AC1005, Z!$A$2:$C$4127, 3, FALSE))</f>
        <v/>
      </c>
      <c r="AE1005" s="262"/>
      <c r="AF1005" s="263">
        <f t="shared" si="841"/>
        <v>0</v>
      </c>
      <c r="AG1005" s="238"/>
      <c r="AH1005" s="229">
        <f t="shared" si="865"/>
        <v>1</v>
      </c>
      <c r="AI1005" s="229">
        <f t="shared" si="866"/>
        <v>1</v>
      </c>
      <c r="AJ1005" s="229">
        <f t="shared" si="867"/>
        <v>0</v>
      </c>
      <c r="AK1005" s="229">
        <v>0</v>
      </c>
      <c r="AL1005" s="229">
        <v>0</v>
      </c>
      <c r="AM1005" s="229">
        <v>1</v>
      </c>
      <c r="AN1005" s="229">
        <v>0</v>
      </c>
      <c r="AO1005" s="229">
        <f t="shared" si="842"/>
        <v>-100</v>
      </c>
      <c r="AP1005" s="238"/>
      <c r="AQ1005" s="255"/>
      <c r="AR1005" s="255"/>
      <c r="AS1005" s="256"/>
      <c r="AT1005" s="256"/>
      <c r="AU1005" s="256"/>
      <c r="AV1005" s="256"/>
      <c r="AW1005" s="256"/>
      <c r="AX1005" s="256"/>
      <c r="AY1005" s="256"/>
      <c r="AZ1005" s="256"/>
      <c r="BA1005" s="256"/>
      <c r="BB1005" s="256"/>
      <c r="BC1005" s="256"/>
      <c r="BD1005" s="238"/>
      <c r="BE1005" s="229" cm="1">
        <f t="array" ref="BE1005">IF(ISBLANK(R1005), INDEX(Use, $AH1005, 4) - AM1005*INDEX(Use, $AH1005, 6), R1005)</f>
        <v>5</v>
      </c>
      <c r="BF1005" s="229">
        <f t="shared" si="843"/>
        <v>30</v>
      </c>
      <c r="BG1005" s="229">
        <f t="shared" si="869"/>
        <v>13</v>
      </c>
      <c r="BH1005" s="229">
        <f t="shared" si="870"/>
        <v>0</v>
      </c>
      <c r="BI1005" s="234" cm="1">
        <f t="array" ref="BI1005">K1005/IF($L1005&gt;0, INDEX($AU$23:$BA$77, $L1005+20, $AH1005), 1)</f>
        <v>0</v>
      </c>
      <c r="BJ1005" s="230">
        <f t="shared" si="844"/>
        <v>0</v>
      </c>
      <c r="BK1005" s="229">
        <v>35</v>
      </c>
      <c r="BL1005" s="230">
        <f t="shared" si="845"/>
        <v>48</v>
      </c>
      <c r="BM1005" s="235">
        <f t="shared" si="846"/>
        <v>2.9108720930232557</v>
      </c>
      <c r="BN1005" s="235" cm="1">
        <f t="array" ref="BN1005">$BI1005 * SUMPRODUCT(INDEX($AR$77:$AT$82,,$AI1005),INDEX($AU$77:$BA$82,,$AH1005), N($AQ$77:$AQ$82&gt;$AO1005)) / BM1005 / 1000</f>
        <v>0</v>
      </c>
      <c r="BO1005" s="232">
        <f t="shared" si="871"/>
        <v>30</v>
      </c>
      <c r="BP1005" s="230">
        <f t="shared" si="847"/>
        <v>43</v>
      </c>
      <c r="BQ1005" s="235">
        <f t="shared" si="848"/>
        <v>3.2938815789473681</v>
      </c>
      <c r="BR1005" s="235" cm="1">
        <f t="array" ref="BR1005">$BI1005 * IF($AH1005&lt;=2,
SUMPRODUCT(INDEX($AR$72:$AT$76,,$AI1005), INDEX($AU$72:$BA$76,,$AH1005), 1 / ($BB$72:$BB$76*BQ1005 + (1-$BB$72:$BB$76)*BM1005), N($AQ$72:$AQ$76&gt;$AO1005)),
SUMPRODUCT(INDEX($AR$67:$AT$76,,$AI1005), INDEX($AU$67:$BA$76,,$AH1005), 1 / ($BC$67:$BC$76*BQ1005 + (1-$BC$67:$BC$76)*BM1005), N($AQ$67:$AQ$76&gt;$AO1005))
) / 1000</f>
        <v>0</v>
      </c>
      <c r="BS1005" s="232">
        <f t="shared" si="872"/>
        <v>25</v>
      </c>
      <c r="BT1005" s="230">
        <f t="shared" si="849"/>
        <v>38</v>
      </c>
      <c r="BU1005" s="235">
        <f t="shared" si="850"/>
        <v>3.792954545454545</v>
      </c>
      <c r="BV1005" s="235" cm="1">
        <f t="array" ref="BV1005">$BI1005 * IF($AH1005&lt;=2,
SUMPRODUCT(INDEX($AR$67:$AT$71,,$AI1005), INDEX($AU$67:$BA$71,,$AH1005), 1 / ($BB$67:$BB$71*BU1005 + (1-$BB$67:$BB$71)*BQ1005), N($AQ$67:$AQ$71&gt;$AO1005)),
SUMPRODUCT(INDEX($AR$57:$AT$66,,$AI1005), INDEX($AU$57:$BA$66,,$AH1005), 1 / ($BC$57:$BC$66*BU1005 + (1-$BC$57:$BC$66)*BQ1005), N($AQ$57:$AQ$66&gt;$AO1005))
) / 1000</f>
        <v>0</v>
      </c>
      <c r="BW1005" s="232">
        <f t="shared" si="873"/>
        <v>20</v>
      </c>
      <c r="BX1005" s="230">
        <f t="shared" si="851"/>
        <v>33</v>
      </c>
      <c r="BY1005" s="235">
        <f t="shared" si="852"/>
        <v>4.4702678571428569</v>
      </c>
      <c r="BZ1005" s="235" cm="1">
        <f t="array" ref="BZ1005">$BI1005 * IF($AH1005&lt;=2,
SUMPRODUCT(INDEX($AR$62:$AT$66,,$AI1005), INDEX($AU$62:$BA$66,,$AH1005), 1 / ($BB$62:$BB$66*BY1005 + (1-$BB$62:$BB$66)*BU1005), N($AQ$62:$AQ$66&gt;$AO1005)),
SUMPRODUCT(INDEX($AR$47:$AT$56,,$AI1005), INDEX($AU$47:$BA$56,,$AH1005), 1 / ($BC$47:$BC$56*BY1005 + (1-$BC$47:$BC$56)*BU1005), N($AQ$47:$AQ$56&gt;$AO1005))
) / 1000</f>
        <v>0</v>
      </c>
      <c r="CA1005" s="235" cm="1">
        <f t="array" ref="CA1005">$BI1005 * IF($AH1005&lt;=2,
SUMPRODUCT(INDEX($AR$23:$AT$61,,$AI1005), INDEX($AU$23:$BA$61,,$AH1005), 1 / ($BB$23:$BB$61*BY1005), N($AQ$23:$AQ$61&gt;$AO1005)),
SUMPRODUCT(INDEX($AR$23:$AT$46,,$AI1005), INDEX($AU$23:$BA$46,,$AH1005), 1 / ($BC$23:$BC$46*BY1005), N($AQ$23:$AQ$46&gt;$AO1005))
) / 1000</f>
        <v>0</v>
      </c>
      <c r="CB1005" s="230">
        <f t="shared" si="853"/>
        <v>0</v>
      </c>
      <c r="CC1005" s="238"/>
      <c r="CD1005" s="229" cm="1">
        <f t="array" ref="CD1005">IF(ISBLANK(Y1005), INDEX(Use, $AH1005, 4) - AN1005*INDEX(Use, $AH1005, 6) - (Q1005-X1005), Y1005)</f>
        <v>7</v>
      </c>
      <c r="CE1005" s="229">
        <f t="shared" si="854"/>
        <v>32</v>
      </c>
      <c r="CF1005" s="230">
        <f t="shared" si="855"/>
        <v>0</v>
      </c>
      <c r="CG1005" s="229">
        <v>35</v>
      </c>
      <c r="CH1005" s="230">
        <f t="shared" si="856"/>
        <v>48</v>
      </c>
      <c r="CI1005" s="235">
        <f t="shared" si="857"/>
        <v>3.0748170731707316</v>
      </c>
      <c r="CJ1005" s="235" cm="1">
        <f t="array" ref="CJ1005">$BI1005 * SUMPRODUCT(INDEX($AR$77:$AT$82,,$AI1005),INDEX($AU$77:$BA$82,,$AH1005), N($AQ$77:$AQ$82&gt;$AO1005)) / CI1005 / 1000</f>
        <v>0</v>
      </c>
      <c r="CK1005" s="232">
        <f t="shared" si="874"/>
        <v>30</v>
      </c>
      <c r="CL1005" s="230">
        <f t="shared" si="858"/>
        <v>43</v>
      </c>
      <c r="CM1005" s="235">
        <f t="shared" si="859"/>
        <v>3.5018750000000001</v>
      </c>
      <c r="CN1005" s="235" cm="1">
        <f t="array" ref="CN1005">$BI1005 * IF($AH1005&lt;=2,
SUMPRODUCT(INDEX($AR$72:$AT$76,,$AI1005), INDEX($AU$72:$BA$76,,$AH1005), 1 / ($BB$72:$BB$76*CM1005 + (1-$BB$72:$BB$76)*CI1005), N($AQ$72:$AQ$76&gt;$AO1005)),
SUMPRODUCT(INDEX($AR$67:$AT$76,,$AI1005), INDEX($AU$67:$BA$76,,$AH1005), 1 / ($BC$67:$BC$76*CM1005 + (1-$BC$67:$BC$76)*CI1005), N($AQ$67:$AQ$76&gt;$AO1005))
) / 1000</f>
        <v>0</v>
      </c>
      <c r="CO1005" s="232">
        <f t="shared" si="875"/>
        <v>25</v>
      </c>
      <c r="CP1005" s="230">
        <f t="shared" si="860"/>
        <v>38</v>
      </c>
      <c r="CQ1005" s="235">
        <f t="shared" si="861"/>
        <v>4.0666935483870965</v>
      </c>
      <c r="CR1005" s="235" cm="1">
        <f t="array" ref="CR1005">$BI1005 * IF($AH1005&lt;=2,
SUMPRODUCT(INDEX($AR$67:$AT$71,,$AI1005), INDEX($AU$67:$BA$71,,$AH1005), 1 / ($BB$67:$BB$71*CQ1005 + (1-$BB$67:$BB$71)*CM1005), N($AQ$67:$AQ$71&gt;$AO1005)),
SUMPRODUCT(INDEX($AR$57:$AT$66,,$AI1005), INDEX($AU$57:$BA$66,,$AH1005), 1 / ($BC$57:$BC$66*CQ1005 + (1-$BC$57:$BC$66)*CM1005), N($AQ$57:$AQ$66&gt;$AO1005))
) / 1000</f>
        <v>0</v>
      </c>
      <c r="CS1005" s="232">
        <f t="shared" si="876"/>
        <v>20</v>
      </c>
      <c r="CT1005" s="230">
        <f t="shared" si="862"/>
        <v>33</v>
      </c>
      <c r="CU1005" s="235">
        <f t="shared" si="863"/>
        <v>4.8487499999999999</v>
      </c>
      <c r="CV1005" s="235" cm="1">
        <f t="array" ref="CV1005">$BI1005 * IF($AH1005&lt;=2,
SUMPRODUCT(INDEX($AR$62:$AT$66,,$AI1005), INDEX($AU$62:$BA$66,,$AH1005), 1 / ($BB$62:$BB$66*CU1005 + (1-$BB$62:$BB$66)*CQ1005), N($AQ$62:$AQ$66&gt;$AO1005)),
SUMPRODUCT(INDEX($AR$47:$AT$56,,$AI1005), INDEX($AU$47:$BA$56,,$AH1005), 1 / ($BC$47:$BC$56*CU1005 + (1-$BC$47:$BC$56)*CQ1005), N($AQ$47:$AQ$56&gt;$AO1005))
) / 1000</f>
        <v>0</v>
      </c>
      <c r="CW1005" s="235" cm="1">
        <f t="array" ref="CW1005">$BI1005 * IF($AH1005&lt;=2,
SUMPRODUCT(INDEX($AR$23:$AT$61,,$AI1005), INDEX($AU$23:$BA$61,,$AH1005), 1 / ($BB$23:$BB$61*CU1005), N($AQ$23:$AQ$61&gt;$AO1005)),
SUMPRODUCT(INDEX($AR$23:$AT$46,,$AI1005), INDEX($AU$23:$BA$46,,$AH1005), 1 / ($BC$23:$BC$46*CU1005), N($AQ$23:$AQ$46&gt;$AO1005))
) / 1000</f>
        <v>0</v>
      </c>
      <c r="CX1005" s="230">
        <f t="shared" si="864"/>
        <v>0</v>
      </c>
      <c r="CY1005" s="238"/>
    </row>
    <row r="1006" spans="1:103" s="76" customFormat="1" ht="14.25" customHeight="1" x14ac:dyDescent="0.2">
      <c r="A1006" s="231" t="b">
        <f t="shared" si="868"/>
        <v>0</v>
      </c>
      <c r="B1006" s="245">
        <v>984</v>
      </c>
      <c r="C1006" s="258"/>
      <c r="D1006" s="258"/>
      <c r="E1006" s="246"/>
      <c r="F1006" s="247" t="str">
        <f>IF(ISBLANK(E1006), "", VLOOKUP(E1006, Z!$A$2:$C$4127, 3, FALSE))</f>
        <v/>
      </c>
      <c r="G1006" s="248"/>
      <c r="H1006" s="248"/>
      <c r="I1006" s="249"/>
      <c r="J1006" s="250"/>
      <c r="K1006" s="259"/>
      <c r="L1006" s="260"/>
      <c r="M1006" s="252" t="str" cm="1">
        <f t="array" ref="M1006">INDEX(Trad, 53, $A$20)</f>
        <v>Verschmutzt</v>
      </c>
      <c r="N1006" s="253"/>
      <c r="O1006" s="253"/>
      <c r="P1006" s="254"/>
      <c r="Q1006" s="251"/>
      <c r="R1006" s="251"/>
      <c r="S1006" s="264">
        <f t="shared" si="839"/>
        <v>0</v>
      </c>
      <c r="T1006" s="252" t="str" cm="1">
        <f t="array" ref="T1006">INDEX(Trad, 52, $A$20)</f>
        <v>Sauber</v>
      </c>
      <c r="U1006" s="253"/>
      <c r="V1006" s="253"/>
      <c r="W1006" s="254"/>
      <c r="X1006" s="251"/>
      <c r="Y1006" s="251"/>
      <c r="Z1006" s="264">
        <f t="shared" si="840"/>
        <v>0</v>
      </c>
      <c r="AA1006" s="261"/>
      <c r="AB1006" s="258"/>
      <c r="AC1006" s="246"/>
      <c r="AD1006" s="247" t="str">
        <f>IF(ISBLANK(AC1006), "", VLOOKUP(AC1006, Z!$A$2:$C$4127, 3, FALSE))</f>
        <v/>
      </c>
      <c r="AE1006" s="262"/>
      <c r="AF1006" s="263">
        <f t="shared" si="841"/>
        <v>0</v>
      </c>
      <c r="AG1006" s="238"/>
      <c r="AH1006" s="229">
        <f t="shared" si="865"/>
        <v>1</v>
      </c>
      <c r="AI1006" s="229">
        <f t="shared" si="866"/>
        <v>1</v>
      </c>
      <c r="AJ1006" s="229">
        <f t="shared" si="867"/>
        <v>0</v>
      </c>
      <c r="AK1006" s="229">
        <v>0</v>
      </c>
      <c r="AL1006" s="229">
        <v>0</v>
      </c>
      <c r="AM1006" s="229">
        <v>1</v>
      </c>
      <c r="AN1006" s="229">
        <v>0</v>
      </c>
      <c r="AO1006" s="229">
        <f t="shared" si="842"/>
        <v>-100</v>
      </c>
      <c r="AP1006" s="238"/>
      <c r="AQ1006" s="255"/>
      <c r="AR1006" s="255"/>
      <c r="AS1006" s="256"/>
      <c r="AT1006" s="256"/>
      <c r="AU1006" s="256"/>
      <c r="AV1006" s="256"/>
      <c r="AW1006" s="256"/>
      <c r="AX1006" s="256"/>
      <c r="AY1006" s="256"/>
      <c r="AZ1006" s="256"/>
      <c r="BA1006" s="256"/>
      <c r="BB1006" s="256"/>
      <c r="BC1006" s="256"/>
      <c r="BD1006" s="238"/>
      <c r="BE1006" s="229" cm="1">
        <f t="array" ref="BE1006">IF(ISBLANK(R1006), INDEX(Use, $AH1006, 4) - AM1006*INDEX(Use, $AH1006, 6), R1006)</f>
        <v>5</v>
      </c>
      <c r="BF1006" s="229">
        <f t="shared" si="843"/>
        <v>30</v>
      </c>
      <c r="BG1006" s="229">
        <f t="shared" si="869"/>
        <v>13</v>
      </c>
      <c r="BH1006" s="229">
        <f t="shared" si="870"/>
        <v>0</v>
      </c>
      <c r="BI1006" s="234" cm="1">
        <f t="array" ref="BI1006">K1006/IF($L1006&gt;0, INDEX($AU$23:$BA$77, $L1006+20, $AH1006), 1)</f>
        <v>0</v>
      </c>
      <c r="BJ1006" s="230">
        <f t="shared" si="844"/>
        <v>0</v>
      </c>
      <c r="BK1006" s="229">
        <v>35</v>
      </c>
      <c r="BL1006" s="230">
        <f t="shared" si="845"/>
        <v>48</v>
      </c>
      <c r="BM1006" s="235">
        <f t="shared" si="846"/>
        <v>2.9108720930232557</v>
      </c>
      <c r="BN1006" s="235" cm="1">
        <f t="array" ref="BN1006">$BI1006 * SUMPRODUCT(INDEX($AR$77:$AT$82,,$AI1006),INDEX($AU$77:$BA$82,,$AH1006), N($AQ$77:$AQ$82&gt;$AO1006)) / BM1006 / 1000</f>
        <v>0</v>
      </c>
      <c r="BO1006" s="232">
        <f t="shared" si="871"/>
        <v>30</v>
      </c>
      <c r="BP1006" s="230">
        <f t="shared" si="847"/>
        <v>43</v>
      </c>
      <c r="BQ1006" s="235">
        <f t="shared" si="848"/>
        <v>3.2938815789473681</v>
      </c>
      <c r="BR1006" s="235" cm="1">
        <f t="array" ref="BR1006">$BI1006 * IF($AH1006&lt;=2,
SUMPRODUCT(INDEX($AR$72:$AT$76,,$AI1006), INDEX($AU$72:$BA$76,,$AH1006), 1 / ($BB$72:$BB$76*BQ1006 + (1-$BB$72:$BB$76)*BM1006), N($AQ$72:$AQ$76&gt;$AO1006)),
SUMPRODUCT(INDEX($AR$67:$AT$76,,$AI1006), INDEX($AU$67:$BA$76,,$AH1006), 1 / ($BC$67:$BC$76*BQ1006 + (1-$BC$67:$BC$76)*BM1006), N($AQ$67:$AQ$76&gt;$AO1006))
) / 1000</f>
        <v>0</v>
      </c>
      <c r="BS1006" s="232">
        <f t="shared" si="872"/>
        <v>25</v>
      </c>
      <c r="BT1006" s="230">
        <f t="shared" si="849"/>
        <v>38</v>
      </c>
      <c r="BU1006" s="235">
        <f t="shared" si="850"/>
        <v>3.792954545454545</v>
      </c>
      <c r="BV1006" s="235" cm="1">
        <f t="array" ref="BV1006">$BI1006 * IF($AH1006&lt;=2,
SUMPRODUCT(INDEX($AR$67:$AT$71,,$AI1006), INDEX($AU$67:$BA$71,,$AH1006), 1 / ($BB$67:$BB$71*BU1006 + (1-$BB$67:$BB$71)*BQ1006), N($AQ$67:$AQ$71&gt;$AO1006)),
SUMPRODUCT(INDEX($AR$57:$AT$66,,$AI1006), INDEX($AU$57:$BA$66,,$AH1006), 1 / ($BC$57:$BC$66*BU1006 + (1-$BC$57:$BC$66)*BQ1006), N($AQ$57:$AQ$66&gt;$AO1006))
) / 1000</f>
        <v>0</v>
      </c>
      <c r="BW1006" s="232">
        <f t="shared" si="873"/>
        <v>20</v>
      </c>
      <c r="BX1006" s="230">
        <f t="shared" si="851"/>
        <v>33</v>
      </c>
      <c r="BY1006" s="235">
        <f t="shared" si="852"/>
        <v>4.4702678571428569</v>
      </c>
      <c r="BZ1006" s="235" cm="1">
        <f t="array" ref="BZ1006">$BI1006 * IF($AH1006&lt;=2,
SUMPRODUCT(INDEX($AR$62:$AT$66,,$AI1006), INDEX($AU$62:$BA$66,,$AH1006), 1 / ($BB$62:$BB$66*BY1006 + (1-$BB$62:$BB$66)*BU1006), N($AQ$62:$AQ$66&gt;$AO1006)),
SUMPRODUCT(INDEX($AR$47:$AT$56,,$AI1006), INDEX($AU$47:$BA$56,,$AH1006), 1 / ($BC$47:$BC$56*BY1006 + (1-$BC$47:$BC$56)*BU1006), N($AQ$47:$AQ$56&gt;$AO1006))
) / 1000</f>
        <v>0</v>
      </c>
      <c r="CA1006" s="235" cm="1">
        <f t="array" ref="CA1006">$BI1006 * IF($AH1006&lt;=2,
SUMPRODUCT(INDEX($AR$23:$AT$61,,$AI1006), INDEX($AU$23:$BA$61,,$AH1006), 1 / ($BB$23:$BB$61*BY1006), N($AQ$23:$AQ$61&gt;$AO1006)),
SUMPRODUCT(INDEX($AR$23:$AT$46,,$AI1006), INDEX($AU$23:$BA$46,,$AH1006), 1 / ($BC$23:$BC$46*BY1006), N($AQ$23:$AQ$46&gt;$AO1006))
) / 1000</f>
        <v>0</v>
      </c>
      <c r="CB1006" s="230">
        <f t="shared" si="853"/>
        <v>0</v>
      </c>
      <c r="CC1006" s="238"/>
      <c r="CD1006" s="229" cm="1">
        <f t="array" ref="CD1006">IF(ISBLANK(Y1006), INDEX(Use, $AH1006, 4) - AN1006*INDEX(Use, $AH1006, 6) - (Q1006-X1006), Y1006)</f>
        <v>7</v>
      </c>
      <c r="CE1006" s="229">
        <f t="shared" si="854"/>
        <v>32</v>
      </c>
      <c r="CF1006" s="230">
        <f t="shared" si="855"/>
        <v>0</v>
      </c>
      <c r="CG1006" s="229">
        <v>35</v>
      </c>
      <c r="CH1006" s="230">
        <f t="shared" si="856"/>
        <v>48</v>
      </c>
      <c r="CI1006" s="235">
        <f t="shared" si="857"/>
        <v>3.0748170731707316</v>
      </c>
      <c r="CJ1006" s="235" cm="1">
        <f t="array" ref="CJ1006">$BI1006 * SUMPRODUCT(INDEX($AR$77:$AT$82,,$AI1006),INDEX($AU$77:$BA$82,,$AH1006), N($AQ$77:$AQ$82&gt;$AO1006)) / CI1006 / 1000</f>
        <v>0</v>
      </c>
      <c r="CK1006" s="232">
        <f t="shared" si="874"/>
        <v>30</v>
      </c>
      <c r="CL1006" s="230">
        <f t="shared" si="858"/>
        <v>43</v>
      </c>
      <c r="CM1006" s="235">
        <f t="shared" si="859"/>
        <v>3.5018750000000001</v>
      </c>
      <c r="CN1006" s="235" cm="1">
        <f t="array" ref="CN1006">$BI1006 * IF($AH1006&lt;=2,
SUMPRODUCT(INDEX($AR$72:$AT$76,,$AI1006), INDEX($AU$72:$BA$76,,$AH1006), 1 / ($BB$72:$BB$76*CM1006 + (1-$BB$72:$BB$76)*CI1006), N($AQ$72:$AQ$76&gt;$AO1006)),
SUMPRODUCT(INDEX($AR$67:$AT$76,,$AI1006), INDEX($AU$67:$BA$76,,$AH1006), 1 / ($BC$67:$BC$76*CM1006 + (1-$BC$67:$BC$76)*CI1006), N($AQ$67:$AQ$76&gt;$AO1006))
) / 1000</f>
        <v>0</v>
      </c>
      <c r="CO1006" s="232">
        <f t="shared" si="875"/>
        <v>25</v>
      </c>
      <c r="CP1006" s="230">
        <f t="shared" si="860"/>
        <v>38</v>
      </c>
      <c r="CQ1006" s="235">
        <f t="shared" si="861"/>
        <v>4.0666935483870965</v>
      </c>
      <c r="CR1006" s="235" cm="1">
        <f t="array" ref="CR1006">$BI1006 * IF($AH1006&lt;=2,
SUMPRODUCT(INDEX($AR$67:$AT$71,,$AI1006), INDEX($AU$67:$BA$71,,$AH1006), 1 / ($BB$67:$BB$71*CQ1006 + (1-$BB$67:$BB$71)*CM1006), N($AQ$67:$AQ$71&gt;$AO1006)),
SUMPRODUCT(INDEX($AR$57:$AT$66,,$AI1006), INDEX($AU$57:$BA$66,,$AH1006), 1 / ($BC$57:$BC$66*CQ1006 + (1-$BC$57:$BC$66)*CM1006), N($AQ$57:$AQ$66&gt;$AO1006))
) / 1000</f>
        <v>0</v>
      </c>
      <c r="CS1006" s="232">
        <f t="shared" si="876"/>
        <v>20</v>
      </c>
      <c r="CT1006" s="230">
        <f t="shared" si="862"/>
        <v>33</v>
      </c>
      <c r="CU1006" s="235">
        <f t="shared" si="863"/>
        <v>4.8487499999999999</v>
      </c>
      <c r="CV1006" s="235" cm="1">
        <f t="array" ref="CV1006">$BI1006 * IF($AH1006&lt;=2,
SUMPRODUCT(INDEX($AR$62:$AT$66,,$AI1006), INDEX($AU$62:$BA$66,,$AH1006), 1 / ($BB$62:$BB$66*CU1006 + (1-$BB$62:$BB$66)*CQ1006), N($AQ$62:$AQ$66&gt;$AO1006)),
SUMPRODUCT(INDEX($AR$47:$AT$56,,$AI1006), INDEX($AU$47:$BA$56,,$AH1006), 1 / ($BC$47:$BC$56*CU1006 + (1-$BC$47:$BC$56)*CQ1006), N($AQ$47:$AQ$56&gt;$AO1006))
) / 1000</f>
        <v>0</v>
      </c>
      <c r="CW1006" s="235" cm="1">
        <f t="array" ref="CW1006">$BI1006 * IF($AH1006&lt;=2,
SUMPRODUCT(INDEX($AR$23:$AT$61,,$AI1006), INDEX($AU$23:$BA$61,,$AH1006), 1 / ($BB$23:$BB$61*CU1006), N($AQ$23:$AQ$61&gt;$AO1006)),
SUMPRODUCT(INDEX($AR$23:$AT$46,,$AI1006), INDEX($AU$23:$BA$46,,$AH1006), 1 / ($BC$23:$BC$46*CU1006), N($AQ$23:$AQ$46&gt;$AO1006))
) / 1000</f>
        <v>0</v>
      </c>
      <c r="CX1006" s="230">
        <f t="shared" si="864"/>
        <v>0</v>
      </c>
      <c r="CY1006" s="238"/>
    </row>
    <row r="1007" spans="1:103" s="76" customFormat="1" ht="14.25" customHeight="1" x14ac:dyDescent="0.2">
      <c r="A1007" s="231" t="b">
        <f t="shared" si="868"/>
        <v>0</v>
      </c>
      <c r="B1007" s="245">
        <v>985</v>
      </c>
      <c r="C1007" s="258"/>
      <c r="D1007" s="258"/>
      <c r="E1007" s="246"/>
      <c r="F1007" s="247" t="str">
        <f>IF(ISBLANK(E1007), "", VLOOKUP(E1007, Z!$A$2:$C$4127, 3, FALSE))</f>
        <v/>
      </c>
      <c r="G1007" s="248"/>
      <c r="H1007" s="248"/>
      <c r="I1007" s="249"/>
      <c r="J1007" s="250"/>
      <c r="K1007" s="259"/>
      <c r="L1007" s="260"/>
      <c r="M1007" s="252" t="str" cm="1">
        <f t="array" ref="M1007">INDEX(Trad, 53, $A$20)</f>
        <v>Verschmutzt</v>
      </c>
      <c r="N1007" s="253"/>
      <c r="O1007" s="253"/>
      <c r="P1007" s="254"/>
      <c r="Q1007" s="251"/>
      <c r="R1007" s="251"/>
      <c r="S1007" s="264">
        <f t="shared" si="839"/>
        <v>0</v>
      </c>
      <c r="T1007" s="252" t="str" cm="1">
        <f t="array" ref="T1007">INDEX(Trad, 52, $A$20)</f>
        <v>Sauber</v>
      </c>
      <c r="U1007" s="253"/>
      <c r="V1007" s="253"/>
      <c r="W1007" s="254"/>
      <c r="X1007" s="251"/>
      <c r="Y1007" s="251"/>
      <c r="Z1007" s="264">
        <f t="shared" si="840"/>
        <v>0</v>
      </c>
      <c r="AA1007" s="261"/>
      <c r="AB1007" s="258"/>
      <c r="AC1007" s="246"/>
      <c r="AD1007" s="247" t="str">
        <f>IF(ISBLANK(AC1007), "", VLOOKUP(AC1007, Z!$A$2:$C$4127, 3, FALSE))</f>
        <v/>
      </c>
      <c r="AE1007" s="262"/>
      <c r="AF1007" s="263">
        <f t="shared" si="841"/>
        <v>0</v>
      </c>
      <c r="AG1007" s="238"/>
      <c r="AH1007" s="229">
        <f t="shared" si="865"/>
        <v>1</v>
      </c>
      <c r="AI1007" s="229">
        <f t="shared" si="866"/>
        <v>1</v>
      </c>
      <c r="AJ1007" s="229">
        <f t="shared" si="867"/>
        <v>0</v>
      </c>
      <c r="AK1007" s="229">
        <v>0</v>
      </c>
      <c r="AL1007" s="229">
        <v>0</v>
      </c>
      <c r="AM1007" s="229">
        <v>1</v>
      </c>
      <c r="AN1007" s="229">
        <v>0</v>
      </c>
      <c r="AO1007" s="229">
        <f t="shared" si="842"/>
        <v>-100</v>
      </c>
      <c r="AP1007" s="238"/>
      <c r="AQ1007" s="255"/>
      <c r="AR1007" s="255"/>
      <c r="AS1007" s="256"/>
      <c r="AT1007" s="256"/>
      <c r="AU1007" s="256"/>
      <c r="AV1007" s="256"/>
      <c r="AW1007" s="256"/>
      <c r="AX1007" s="256"/>
      <c r="AY1007" s="256"/>
      <c r="AZ1007" s="256"/>
      <c r="BA1007" s="256"/>
      <c r="BB1007" s="256"/>
      <c r="BC1007" s="256"/>
      <c r="BD1007" s="238"/>
      <c r="BE1007" s="229" cm="1">
        <f t="array" ref="BE1007">IF(ISBLANK(R1007), INDEX(Use, $AH1007, 4) - AM1007*INDEX(Use, $AH1007, 6), R1007)</f>
        <v>5</v>
      </c>
      <c r="BF1007" s="229">
        <f t="shared" si="843"/>
        <v>30</v>
      </c>
      <c r="BG1007" s="229">
        <f t="shared" si="869"/>
        <v>13</v>
      </c>
      <c r="BH1007" s="229">
        <f t="shared" si="870"/>
        <v>0</v>
      </c>
      <c r="BI1007" s="234" cm="1">
        <f t="array" ref="BI1007">K1007/IF($L1007&gt;0, INDEX($AU$23:$BA$77, $L1007+20, $AH1007), 1)</f>
        <v>0</v>
      </c>
      <c r="BJ1007" s="230">
        <f t="shared" si="844"/>
        <v>0</v>
      </c>
      <c r="BK1007" s="229">
        <v>35</v>
      </c>
      <c r="BL1007" s="230">
        <f t="shared" si="845"/>
        <v>48</v>
      </c>
      <c r="BM1007" s="235">
        <f t="shared" si="846"/>
        <v>2.9108720930232557</v>
      </c>
      <c r="BN1007" s="235" cm="1">
        <f t="array" ref="BN1007">$BI1007 * SUMPRODUCT(INDEX($AR$77:$AT$82,,$AI1007),INDEX($AU$77:$BA$82,,$AH1007), N($AQ$77:$AQ$82&gt;$AO1007)) / BM1007 / 1000</f>
        <v>0</v>
      </c>
      <c r="BO1007" s="232">
        <f t="shared" si="871"/>
        <v>30</v>
      </c>
      <c r="BP1007" s="230">
        <f t="shared" si="847"/>
        <v>43</v>
      </c>
      <c r="BQ1007" s="235">
        <f t="shared" si="848"/>
        <v>3.2938815789473681</v>
      </c>
      <c r="BR1007" s="235" cm="1">
        <f t="array" ref="BR1007">$BI1007 * IF($AH1007&lt;=2,
SUMPRODUCT(INDEX($AR$72:$AT$76,,$AI1007), INDEX($AU$72:$BA$76,,$AH1007), 1 / ($BB$72:$BB$76*BQ1007 + (1-$BB$72:$BB$76)*BM1007), N($AQ$72:$AQ$76&gt;$AO1007)),
SUMPRODUCT(INDEX($AR$67:$AT$76,,$AI1007), INDEX($AU$67:$BA$76,,$AH1007), 1 / ($BC$67:$BC$76*BQ1007 + (1-$BC$67:$BC$76)*BM1007), N($AQ$67:$AQ$76&gt;$AO1007))
) / 1000</f>
        <v>0</v>
      </c>
      <c r="BS1007" s="232">
        <f t="shared" si="872"/>
        <v>25</v>
      </c>
      <c r="BT1007" s="230">
        <f t="shared" si="849"/>
        <v>38</v>
      </c>
      <c r="BU1007" s="235">
        <f t="shared" si="850"/>
        <v>3.792954545454545</v>
      </c>
      <c r="BV1007" s="235" cm="1">
        <f t="array" ref="BV1007">$BI1007 * IF($AH1007&lt;=2,
SUMPRODUCT(INDEX($AR$67:$AT$71,,$AI1007), INDEX($AU$67:$BA$71,,$AH1007), 1 / ($BB$67:$BB$71*BU1007 + (1-$BB$67:$BB$71)*BQ1007), N($AQ$67:$AQ$71&gt;$AO1007)),
SUMPRODUCT(INDEX($AR$57:$AT$66,,$AI1007), INDEX($AU$57:$BA$66,,$AH1007), 1 / ($BC$57:$BC$66*BU1007 + (1-$BC$57:$BC$66)*BQ1007), N($AQ$57:$AQ$66&gt;$AO1007))
) / 1000</f>
        <v>0</v>
      </c>
      <c r="BW1007" s="232">
        <f t="shared" si="873"/>
        <v>20</v>
      </c>
      <c r="BX1007" s="230">
        <f t="shared" si="851"/>
        <v>33</v>
      </c>
      <c r="BY1007" s="235">
        <f t="shared" si="852"/>
        <v>4.4702678571428569</v>
      </c>
      <c r="BZ1007" s="235" cm="1">
        <f t="array" ref="BZ1007">$BI1007 * IF($AH1007&lt;=2,
SUMPRODUCT(INDEX($AR$62:$AT$66,,$AI1007), INDEX($AU$62:$BA$66,,$AH1007), 1 / ($BB$62:$BB$66*BY1007 + (1-$BB$62:$BB$66)*BU1007), N($AQ$62:$AQ$66&gt;$AO1007)),
SUMPRODUCT(INDEX($AR$47:$AT$56,,$AI1007), INDEX($AU$47:$BA$56,,$AH1007), 1 / ($BC$47:$BC$56*BY1007 + (1-$BC$47:$BC$56)*BU1007), N($AQ$47:$AQ$56&gt;$AO1007))
) / 1000</f>
        <v>0</v>
      </c>
      <c r="CA1007" s="235" cm="1">
        <f t="array" ref="CA1007">$BI1007 * IF($AH1007&lt;=2,
SUMPRODUCT(INDEX($AR$23:$AT$61,,$AI1007), INDEX($AU$23:$BA$61,,$AH1007), 1 / ($BB$23:$BB$61*BY1007), N($AQ$23:$AQ$61&gt;$AO1007)),
SUMPRODUCT(INDEX($AR$23:$AT$46,,$AI1007), INDEX($AU$23:$BA$46,,$AH1007), 1 / ($BC$23:$BC$46*BY1007), N($AQ$23:$AQ$46&gt;$AO1007))
) / 1000</f>
        <v>0</v>
      </c>
      <c r="CB1007" s="230">
        <f t="shared" si="853"/>
        <v>0</v>
      </c>
      <c r="CC1007" s="238"/>
      <c r="CD1007" s="229" cm="1">
        <f t="array" ref="CD1007">IF(ISBLANK(Y1007), INDEX(Use, $AH1007, 4) - AN1007*INDEX(Use, $AH1007, 6) - (Q1007-X1007), Y1007)</f>
        <v>7</v>
      </c>
      <c r="CE1007" s="229">
        <f t="shared" si="854"/>
        <v>32</v>
      </c>
      <c r="CF1007" s="230">
        <f t="shared" si="855"/>
        <v>0</v>
      </c>
      <c r="CG1007" s="229">
        <v>35</v>
      </c>
      <c r="CH1007" s="230">
        <f t="shared" si="856"/>
        <v>48</v>
      </c>
      <c r="CI1007" s="235">
        <f t="shared" si="857"/>
        <v>3.0748170731707316</v>
      </c>
      <c r="CJ1007" s="235" cm="1">
        <f t="array" ref="CJ1007">$BI1007 * SUMPRODUCT(INDEX($AR$77:$AT$82,,$AI1007),INDEX($AU$77:$BA$82,,$AH1007), N($AQ$77:$AQ$82&gt;$AO1007)) / CI1007 / 1000</f>
        <v>0</v>
      </c>
      <c r="CK1007" s="232">
        <f t="shared" si="874"/>
        <v>30</v>
      </c>
      <c r="CL1007" s="230">
        <f t="shared" si="858"/>
        <v>43</v>
      </c>
      <c r="CM1007" s="235">
        <f t="shared" si="859"/>
        <v>3.5018750000000001</v>
      </c>
      <c r="CN1007" s="235" cm="1">
        <f t="array" ref="CN1007">$BI1007 * IF($AH1007&lt;=2,
SUMPRODUCT(INDEX($AR$72:$AT$76,,$AI1007), INDEX($AU$72:$BA$76,,$AH1007), 1 / ($BB$72:$BB$76*CM1007 + (1-$BB$72:$BB$76)*CI1007), N($AQ$72:$AQ$76&gt;$AO1007)),
SUMPRODUCT(INDEX($AR$67:$AT$76,,$AI1007), INDEX($AU$67:$BA$76,,$AH1007), 1 / ($BC$67:$BC$76*CM1007 + (1-$BC$67:$BC$76)*CI1007), N($AQ$67:$AQ$76&gt;$AO1007))
) / 1000</f>
        <v>0</v>
      </c>
      <c r="CO1007" s="232">
        <f t="shared" si="875"/>
        <v>25</v>
      </c>
      <c r="CP1007" s="230">
        <f t="shared" si="860"/>
        <v>38</v>
      </c>
      <c r="CQ1007" s="235">
        <f t="shared" si="861"/>
        <v>4.0666935483870965</v>
      </c>
      <c r="CR1007" s="235" cm="1">
        <f t="array" ref="CR1007">$BI1007 * IF($AH1007&lt;=2,
SUMPRODUCT(INDEX($AR$67:$AT$71,,$AI1007), INDEX($AU$67:$BA$71,,$AH1007), 1 / ($BB$67:$BB$71*CQ1007 + (1-$BB$67:$BB$71)*CM1007), N($AQ$67:$AQ$71&gt;$AO1007)),
SUMPRODUCT(INDEX($AR$57:$AT$66,,$AI1007), INDEX($AU$57:$BA$66,,$AH1007), 1 / ($BC$57:$BC$66*CQ1007 + (1-$BC$57:$BC$66)*CM1007), N($AQ$57:$AQ$66&gt;$AO1007))
) / 1000</f>
        <v>0</v>
      </c>
      <c r="CS1007" s="232">
        <f t="shared" si="876"/>
        <v>20</v>
      </c>
      <c r="CT1007" s="230">
        <f t="shared" si="862"/>
        <v>33</v>
      </c>
      <c r="CU1007" s="235">
        <f t="shared" si="863"/>
        <v>4.8487499999999999</v>
      </c>
      <c r="CV1007" s="235" cm="1">
        <f t="array" ref="CV1007">$BI1007 * IF($AH1007&lt;=2,
SUMPRODUCT(INDEX($AR$62:$AT$66,,$AI1007), INDEX($AU$62:$BA$66,,$AH1007), 1 / ($BB$62:$BB$66*CU1007 + (1-$BB$62:$BB$66)*CQ1007), N($AQ$62:$AQ$66&gt;$AO1007)),
SUMPRODUCT(INDEX($AR$47:$AT$56,,$AI1007), INDEX($AU$47:$BA$56,,$AH1007), 1 / ($BC$47:$BC$56*CU1007 + (1-$BC$47:$BC$56)*CQ1007), N($AQ$47:$AQ$56&gt;$AO1007))
) / 1000</f>
        <v>0</v>
      </c>
      <c r="CW1007" s="235" cm="1">
        <f t="array" ref="CW1007">$BI1007 * IF($AH1007&lt;=2,
SUMPRODUCT(INDEX($AR$23:$AT$61,,$AI1007), INDEX($AU$23:$BA$61,,$AH1007), 1 / ($BB$23:$BB$61*CU1007), N($AQ$23:$AQ$61&gt;$AO1007)),
SUMPRODUCT(INDEX($AR$23:$AT$46,,$AI1007), INDEX($AU$23:$BA$46,,$AH1007), 1 / ($BC$23:$BC$46*CU1007), N($AQ$23:$AQ$46&gt;$AO1007))
) / 1000</f>
        <v>0</v>
      </c>
      <c r="CX1007" s="230">
        <f t="shared" si="864"/>
        <v>0</v>
      </c>
      <c r="CY1007" s="238"/>
    </row>
    <row r="1008" spans="1:103" s="76" customFormat="1" ht="14.25" customHeight="1" x14ac:dyDescent="0.2">
      <c r="A1008" s="231" t="b">
        <f t="shared" si="868"/>
        <v>0</v>
      </c>
      <c r="B1008" s="245">
        <v>986</v>
      </c>
      <c r="C1008" s="258"/>
      <c r="D1008" s="258"/>
      <c r="E1008" s="246"/>
      <c r="F1008" s="247" t="str">
        <f>IF(ISBLANK(E1008), "", VLOOKUP(E1008, Z!$A$2:$C$4127, 3, FALSE))</f>
        <v/>
      </c>
      <c r="G1008" s="248"/>
      <c r="H1008" s="248"/>
      <c r="I1008" s="249"/>
      <c r="J1008" s="250"/>
      <c r="K1008" s="259"/>
      <c r="L1008" s="260"/>
      <c r="M1008" s="252" t="str" cm="1">
        <f t="array" ref="M1008">INDEX(Trad, 53, $A$20)</f>
        <v>Verschmutzt</v>
      </c>
      <c r="N1008" s="253"/>
      <c r="O1008" s="253"/>
      <c r="P1008" s="254"/>
      <c r="Q1008" s="251"/>
      <c r="R1008" s="251"/>
      <c r="S1008" s="264">
        <f t="shared" si="839"/>
        <v>0</v>
      </c>
      <c r="T1008" s="252" t="str" cm="1">
        <f t="array" ref="T1008">INDEX(Trad, 52, $A$20)</f>
        <v>Sauber</v>
      </c>
      <c r="U1008" s="253"/>
      <c r="V1008" s="253"/>
      <c r="W1008" s="254"/>
      <c r="X1008" s="251"/>
      <c r="Y1008" s="251"/>
      <c r="Z1008" s="264">
        <f t="shared" si="840"/>
        <v>0</v>
      </c>
      <c r="AA1008" s="261"/>
      <c r="AB1008" s="258"/>
      <c r="AC1008" s="246"/>
      <c r="AD1008" s="247" t="str">
        <f>IF(ISBLANK(AC1008), "", VLOOKUP(AC1008, Z!$A$2:$C$4127, 3, FALSE))</f>
        <v/>
      </c>
      <c r="AE1008" s="262"/>
      <c r="AF1008" s="263">
        <f t="shared" si="841"/>
        <v>0</v>
      </c>
      <c r="AG1008" s="238"/>
      <c r="AH1008" s="229">
        <f t="shared" si="865"/>
        <v>1</v>
      </c>
      <c r="AI1008" s="229">
        <f t="shared" si="866"/>
        <v>1</v>
      </c>
      <c r="AJ1008" s="229">
        <f t="shared" si="867"/>
        <v>0</v>
      </c>
      <c r="AK1008" s="229">
        <v>0</v>
      </c>
      <c r="AL1008" s="229">
        <v>0</v>
      </c>
      <c r="AM1008" s="229">
        <v>1</v>
      </c>
      <c r="AN1008" s="229">
        <v>0</v>
      </c>
      <c r="AO1008" s="229">
        <f t="shared" si="842"/>
        <v>-100</v>
      </c>
      <c r="AP1008" s="238"/>
      <c r="AQ1008" s="255"/>
      <c r="AR1008" s="255"/>
      <c r="AS1008" s="256"/>
      <c r="AT1008" s="256"/>
      <c r="AU1008" s="256"/>
      <c r="AV1008" s="256"/>
      <c r="AW1008" s="256"/>
      <c r="AX1008" s="256"/>
      <c r="AY1008" s="256"/>
      <c r="AZ1008" s="256"/>
      <c r="BA1008" s="256"/>
      <c r="BB1008" s="256"/>
      <c r="BC1008" s="256"/>
      <c r="BD1008" s="238"/>
      <c r="BE1008" s="229" cm="1">
        <f t="array" ref="BE1008">IF(ISBLANK(R1008), INDEX(Use, $AH1008, 4) - AM1008*INDEX(Use, $AH1008, 6), R1008)</f>
        <v>5</v>
      </c>
      <c r="BF1008" s="229">
        <f t="shared" si="843"/>
        <v>30</v>
      </c>
      <c r="BG1008" s="229">
        <f t="shared" si="869"/>
        <v>13</v>
      </c>
      <c r="BH1008" s="229">
        <f t="shared" si="870"/>
        <v>0</v>
      </c>
      <c r="BI1008" s="234" cm="1">
        <f t="array" ref="BI1008">K1008/IF($L1008&gt;0, INDEX($AU$23:$BA$77, $L1008+20, $AH1008), 1)</f>
        <v>0</v>
      </c>
      <c r="BJ1008" s="230">
        <f t="shared" si="844"/>
        <v>0</v>
      </c>
      <c r="BK1008" s="229">
        <v>35</v>
      </c>
      <c r="BL1008" s="230">
        <f t="shared" si="845"/>
        <v>48</v>
      </c>
      <c r="BM1008" s="235">
        <f t="shared" si="846"/>
        <v>2.9108720930232557</v>
      </c>
      <c r="BN1008" s="235" cm="1">
        <f t="array" ref="BN1008">$BI1008 * SUMPRODUCT(INDEX($AR$77:$AT$82,,$AI1008),INDEX($AU$77:$BA$82,,$AH1008), N($AQ$77:$AQ$82&gt;$AO1008)) / BM1008 / 1000</f>
        <v>0</v>
      </c>
      <c r="BO1008" s="232">
        <f t="shared" si="871"/>
        <v>30</v>
      </c>
      <c r="BP1008" s="230">
        <f t="shared" si="847"/>
        <v>43</v>
      </c>
      <c r="BQ1008" s="235">
        <f t="shared" si="848"/>
        <v>3.2938815789473681</v>
      </c>
      <c r="BR1008" s="235" cm="1">
        <f t="array" ref="BR1008">$BI1008 * IF($AH1008&lt;=2,
SUMPRODUCT(INDEX($AR$72:$AT$76,,$AI1008), INDEX($AU$72:$BA$76,,$AH1008), 1 / ($BB$72:$BB$76*BQ1008 + (1-$BB$72:$BB$76)*BM1008), N($AQ$72:$AQ$76&gt;$AO1008)),
SUMPRODUCT(INDEX($AR$67:$AT$76,,$AI1008), INDEX($AU$67:$BA$76,,$AH1008), 1 / ($BC$67:$BC$76*BQ1008 + (1-$BC$67:$BC$76)*BM1008), N($AQ$67:$AQ$76&gt;$AO1008))
) / 1000</f>
        <v>0</v>
      </c>
      <c r="BS1008" s="232">
        <f t="shared" si="872"/>
        <v>25</v>
      </c>
      <c r="BT1008" s="230">
        <f t="shared" si="849"/>
        <v>38</v>
      </c>
      <c r="BU1008" s="235">
        <f t="shared" si="850"/>
        <v>3.792954545454545</v>
      </c>
      <c r="BV1008" s="235" cm="1">
        <f t="array" ref="BV1008">$BI1008 * IF($AH1008&lt;=2,
SUMPRODUCT(INDEX($AR$67:$AT$71,,$AI1008), INDEX($AU$67:$BA$71,,$AH1008), 1 / ($BB$67:$BB$71*BU1008 + (1-$BB$67:$BB$71)*BQ1008), N($AQ$67:$AQ$71&gt;$AO1008)),
SUMPRODUCT(INDEX($AR$57:$AT$66,,$AI1008), INDEX($AU$57:$BA$66,,$AH1008), 1 / ($BC$57:$BC$66*BU1008 + (1-$BC$57:$BC$66)*BQ1008), N($AQ$57:$AQ$66&gt;$AO1008))
) / 1000</f>
        <v>0</v>
      </c>
      <c r="BW1008" s="232">
        <f t="shared" si="873"/>
        <v>20</v>
      </c>
      <c r="BX1008" s="230">
        <f t="shared" si="851"/>
        <v>33</v>
      </c>
      <c r="BY1008" s="235">
        <f t="shared" si="852"/>
        <v>4.4702678571428569</v>
      </c>
      <c r="BZ1008" s="235" cm="1">
        <f t="array" ref="BZ1008">$BI1008 * IF($AH1008&lt;=2,
SUMPRODUCT(INDEX($AR$62:$AT$66,,$AI1008), INDEX($AU$62:$BA$66,,$AH1008), 1 / ($BB$62:$BB$66*BY1008 + (1-$BB$62:$BB$66)*BU1008), N($AQ$62:$AQ$66&gt;$AO1008)),
SUMPRODUCT(INDEX($AR$47:$AT$56,,$AI1008), INDEX($AU$47:$BA$56,,$AH1008), 1 / ($BC$47:$BC$56*BY1008 + (1-$BC$47:$BC$56)*BU1008), N($AQ$47:$AQ$56&gt;$AO1008))
) / 1000</f>
        <v>0</v>
      </c>
      <c r="CA1008" s="235" cm="1">
        <f t="array" ref="CA1008">$BI1008 * IF($AH1008&lt;=2,
SUMPRODUCT(INDEX($AR$23:$AT$61,,$AI1008), INDEX($AU$23:$BA$61,,$AH1008), 1 / ($BB$23:$BB$61*BY1008), N($AQ$23:$AQ$61&gt;$AO1008)),
SUMPRODUCT(INDEX($AR$23:$AT$46,,$AI1008), INDEX($AU$23:$BA$46,,$AH1008), 1 / ($BC$23:$BC$46*BY1008), N($AQ$23:$AQ$46&gt;$AO1008))
) / 1000</f>
        <v>0</v>
      </c>
      <c r="CB1008" s="230">
        <f t="shared" si="853"/>
        <v>0</v>
      </c>
      <c r="CC1008" s="238"/>
      <c r="CD1008" s="229" cm="1">
        <f t="array" ref="CD1008">IF(ISBLANK(Y1008), INDEX(Use, $AH1008, 4) - AN1008*INDEX(Use, $AH1008, 6) - (Q1008-X1008), Y1008)</f>
        <v>7</v>
      </c>
      <c r="CE1008" s="229">
        <f t="shared" si="854"/>
        <v>32</v>
      </c>
      <c r="CF1008" s="230">
        <f t="shared" si="855"/>
        <v>0</v>
      </c>
      <c r="CG1008" s="229">
        <v>35</v>
      </c>
      <c r="CH1008" s="230">
        <f t="shared" si="856"/>
        <v>48</v>
      </c>
      <c r="CI1008" s="235">
        <f t="shared" si="857"/>
        <v>3.0748170731707316</v>
      </c>
      <c r="CJ1008" s="235" cm="1">
        <f t="array" ref="CJ1008">$BI1008 * SUMPRODUCT(INDEX($AR$77:$AT$82,,$AI1008),INDEX($AU$77:$BA$82,,$AH1008), N($AQ$77:$AQ$82&gt;$AO1008)) / CI1008 / 1000</f>
        <v>0</v>
      </c>
      <c r="CK1008" s="232">
        <f t="shared" si="874"/>
        <v>30</v>
      </c>
      <c r="CL1008" s="230">
        <f t="shared" si="858"/>
        <v>43</v>
      </c>
      <c r="CM1008" s="235">
        <f t="shared" si="859"/>
        <v>3.5018750000000001</v>
      </c>
      <c r="CN1008" s="235" cm="1">
        <f t="array" ref="CN1008">$BI1008 * IF($AH1008&lt;=2,
SUMPRODUCT(INDEX($AR$72:$AT$76,,$AI1008), INDEX($AU$72:$BA$76,,$AH1008), 1 / ($BB$72:$BB$76*CM1008 + (1-$BB$72:$BB$76)*CI1008), N($AQ$72:$AQ$76&gt;$AO1008)),
SUMPRODUCT(INDEX($AR$67:$AT$76,,$AI1008), INDEX($AU$67:$BA$76,,$AH1008), 1 / ($BC$67:$BC$76*CM1008 + (1-$BC$67:$BC$76)*CI1008), N($AQ$67:$AQ$76&gt;$AO1008))
) / 1000</f>
        <v>0</v>
      </c>
      <c r="CO1008" s="232">
        <f t="shared" si="875"/>
        <v>25</v>
      </c>
      <c r="CP1008" s="230">
        <f t="shared" si="860"/>
        <v>38</v>
      </c>
      <c r="CQ1008" s="235">
        <f t="shared" si="861"/>
        <v>4.0666935483870965</v>
      </c>
      <c r="CR1008" s="235" cm="1">
        <f t="array" ref="CR1008">$BI1008 * IF($AH1008&lt;=2,
SUMPRODUCT(INDEX($AR$67:$AT$71,,$AI1008), INDEX($AU$67:$BA$71,,$AH1008), 1 / ($BB$67:$BB$71*CQ1008 + (1-$BB$67:$BB$71)*CM1008), N($AQ$67:$AQ$71&gt;$AO1008)),
SUMPRODUCT(INDEX($AR$57:$AT$66,,$AI1008), INDEX($AU$57:$BA$66,,$AH1008), 1 / ($BC$57:$BC$66*CQ1008 + (1-$BC$57:$BC$66)*CM1008), N($AQ$57:$AQ$66&gt;$AO1008))
) / 1000</f>
        <v>0</v>
      </c>
      <c r="CS1008" s="232">
        <f t="shared" si="876"/>
        <v>20</v>
      </c>
      <c r="CT1008" s="230">
        <f t="shared" si="862"/>
        <v>33</v>
      </c>
      <c r="CU1008" s="235">
        <f t="shared" si="863"/>
        <v>4.8487499999999999</v>
      </c>
      <c r="CV1008" s="235" cm="1">
        <f t="array" ref="CV1008">$BI1008 * IF($AH1008&lt;=2,
SUMPRODUCT(INDEX($AR$62:$AT$66,,$AI1008), INDEX($AU$62:$BA$66,,$AH1008), 1 / ($BB$62:$BB$66*CU1008 + (1-$BB$62:$BB$66)*CQ1008), N($AQ$62:$AQ$66&gt;$AO1008)),
SUMPRODUCT(INDEX($AR$47:$AT$56,,$AI1008), INDEX($AU$47:$BA$56,,$AH1008), 1 / ($BC$47:$BC$56*CU1008 + (1-$BC$47:$BC$56)*CQ1008), N($AQ$47:$AQ$56&gt;$AO1008))
) / 1000</f>
        <v>0</v>
      </c>
      <c r="CW1008" s="235" cm="1">
        <f t="array" ref="CW1008">$BI1008 * IF($AH1008&lt;=2,
SUMPRODUCT(INDEX($AR$23:$AT$61,,$AI1008), INDEX($AU$23:$BA$61,,$AH1008), 1 / ($BB$23:$BB$61*CU1008), N($AQ$23:$AQ$61&gt;$AO1008)),
SUMPRODUCT(INDEX($AR$23:$AT$46,,$AI1008), INDEX($AU$23:$BA$46,,$AH1008), 1 / ($BC$23:$BC$46*CU1008), N($AQ$23:$AQ$46&gt;$AO1008))
) / 1000</f>
        <v>0</v>
      </c>
      <c r="CX1008" s="230">
        <f t="shared" si="864"/>
        <v>0</v>
      </c>
      <c r="CY1008" s="238"/>
    </row>
    <row r="1009" spans="1:103" s="76" customFormat="1" ht="14.25" customHeight="1" x14ac:dyDescent="0.2">
      <c r="A1009" s="231" t="b">
        <f t="shared" si="868"/>
        <v>0</v>
      </c>
      <c r="B1009" s="245">
        <v>987</v>
      </c>
      <c r="C1009" s="258"/>
      <c r="D1009" s="258"/>
      <c r="E1009" s="246"/>
      <c r="F1009" s="247" t="str">
        <f>IF(ISBLANK(E1009), "", VLOOKUP(E1009, Z!$A$2:$C$4127, 3, FALSE))</f>
        <v/>
      </c>
      <c r="G1009" s="248"/>
      <c r="H1009" s="248"/>
      <c r="I1009" s="249"/>
      <c r="J1009" s="250"/>
      <c r="K1009" s="259"/>
      <c r="L1009" s="260"/>
      <c r="M1009" s="252" t="str" cm="1">
        <f t="array" ref="M1009">INDEX(Trad, 53, $A$20)</f>
        <v>Verschmutzt</v>
      </c>
      <c r="N1009" s="253"/>
      <c r="O1009" s="253"/>
      <c r="P1009" s="254"/>
      <c r="Q1009" s="251"/>
      <c r="R1009" s="251"/>
      <c r="S1009" s="264">
        <f t="shared" si="839"/>
        <v>0</v>
      </c>
      <c r="T1009" s="252" t="str" cm="1">
        <f t="array" ref="T1009">INDEX(Trad, 52, $A$20)</f>
        <v>Sauber</v>
      </c>
      <c r="U1009" s="253"/>
      <c r="V1009" s="253"/>
      <c r="W1009" s="254"/>
      <c r="X1009" s="251"/>
      <c r="Y1009" s="251"/>
      <c r="Z1009" s="264">
        <f t="shared" si="840"/>
        <v>0</v>
      </c>
      <c r="AA1009" s="261"/>
      <c r="AB1009" s="258"/>
      <c r="AC1009" s="246"/>
      <c r="AD1009" s="247" t="str">
        <f>IF(ISBLANK(AC1009), "", VLOOKUP(AC1009, Z!$A$2:$C$4127, 3, FALSE))</f>
        <v/>
      </c>
      <c r="AE1009" s="262"/>
      <c r="AF1009" s="263">
        <f t="shared" si="841"/>
        <v>0</v>
      </c>
      <c r="AG1009" s="238"/>
      <c r="AH1009" s="229">
        <f t="shared" si="865"/>
        <v>1</v>
      </c>
      <c r="AI1009" s="229">
        <f t="shared" si="866"/>
        <v>1</v>
      </c>
      <c r="AJ1009" s="229">
        <f t="shared" si="867"/>
        <v>0</v>
      </c>
      <c r="AK1009" s="229">
        <v>0</v>
      </c>
      <c r="AL1009" s="229">
        <v>0</v>
      </c>
      <c r="AM1009" s="229">
        <v>1</v>
      </c>
      <c r="AN1009" s="229">
        <v>0</v>
      </c>
      <c r="AO1009" s="229">
        <f t="shared" si="842"/>
        <v>-100</v>
      </c>
      <c r="AP1009" s="238"/>
      <c r="AQ1009" s="255"/>
      <c r="AR1009" s="255"/>
      <c r="AS1009" s="256"/>
      <c r="AT1009" s="256"/>
      <c r="AU1009" s="256"/>
      <c r="AV1009" s="256"/>
      <c r="AW1009" s="256"/>
      <c r="AX1009" s="256"/>
      <c r="AY1009" s="256"/>
      <c r="AZ1009" s="256"/>
      <c r="BA1009" s="256"/>
      <c r="BB1009" s="256"/>
      <c r="BC1009" s="256"/>
      <c r="BD1009" s="238"/>
      <c r="BE1009" s="229" cm="1">
        <f t="array" ref="BE1009">IF(ISBLANK(R1009), INDEX(Use, $AH1009, 4) - AM1009*INDEX(Use, $AH1009, 6), R1009)</f>
        <v>5</v>
      </c>
      <c r="BF1009" s="229">
        <f t="shared" si="843"/>
        <v>30</v>
      </c>
      <c r="BG1009" s="229">
        <f t="shared" si="869"/>
        <v>13</v>
      </c>
      <c r="BH1009" s="229">
        <f t="shared" si="870"/>
        <v>0</v>
      </c>
      <c r="BI1009" s="234" cm="1">
        <f t="array" ref="BI1009">K1009/IF($L1009&gt;0, INDEX($AU$23:$BA$77, $L1009+20, $AH1009), 1)</f>
        <v>0</v>
      </c>
      <c r="BJ1009" s="230">
        <f t="shared" si="844"/>
        <v>0</v>
      </c>
      <c r="BK1009" s="229">
        <v>35</v>
      </c>
      <c r="BL1009" s="230">
        <f t="shared" si="845"/>
        <v>48</v>
      </c>
      <c r="BM1009" s="235">
        <f t="shared" si="846"/>
        <v>2.9108720930232557</v>
      </c>
      <c r="BN1009" s="235" cm="1">
        <f t="array" ref="BN1009">$BI1009 * SUMPRODUCT(INDEX($AR$77:$AT$82,,$AI1009),INDEX($AU$77:$BA$82,,$AH1009), N($AQ$77:$AQ$82&gt;$AO1009)) / BM1009 / 1000</f>
        <v>0</v>
      </c>
      <c r="BO1009" s="232">
        <f t="shared" si="871"/>
        <v>30</v>
      </c>
      <c r="BP1009" s="230">
        <f t="shared" si="847"/>
        <v>43</v>
      </c>
      <c r="BQ1009" s="235">
        <f t="shared" si="848"/>
        <v>3.2938815789473681</v>
      </c>
      <c r="BR1009" s="235" cm="1">
        <f t="array" ref="BR1009">$BI1009 * IF($AH1009&lt;=2,
SUMPRODUCT(INDEX($AR$72:$AT$76,,$AI1009), INDEX($AU$72:$BA$76,,$AH1009), 1 / ($BB$72:$BB$76*BQ1009 + (1-$BB$72:$BB$76)*BM1009), N($AQ$72:$AQ$76&gt;$AO1009)),
SUMPRODUCT(INDEX($AR$67:$AT$76,,$AI1009), INDEX($AU$67:$BA$76,,$AH1009), 1 / ($BC$67:$BC$76*BQ1009 + (1-$BC$67:$BC$76)*BM1009), N($AQ$67:$AQ$76&gt;$AO1009))
) / 1000</f>
        <v>0</v>
      </c>
      <c r="BS1009" s="232">
        <f t="shared" si="872"/>
        <v>25</v>
      </c>
      <c r="BT1009" s="230">
        <f t="shared" si="849"/>
        <v>38</v>
      </c>
      <c r="BU1009" s="235">
        <f t="shared" si="850"/>
        <v>3.792954545454545</v>
      </c>
      <c r="BV1009" s="235" cm="1">
        <f t="array" ref="BV1009">$BI1009 * IF($AH1009&lt;=2,
SUMPRODUCT(INDEX($AR$67:$AT$71,,$AI1009), INDEX($AU$67:$BA$71,,$AH1009), 1 / ($BB$67:$BB$71*BU1009 + (1-$BB$67:$BB$71)*BQ1009), N($AQ$67:$AQ$71&gt;$AO1009)),
SUMPRODUCT(INDEX($AR$57:$AT$66,,$AI1009), INDEX($AU$57:$BA$66,,$AH1009), 1 / ($BC$57:$BC$66*BU1009 + (1-$BC$57:$BC$66)*BQ1009), N($AQ$57:$AQ$66&gt;$AO1009))
) / 1000</f>
        <v>0</v>
      </c>
      <c r="BW1009" s="232">
        <f t="shared" si="873"/>
        <v>20</v>
      </c>
      <c r="BX1009" s="230">
        <f t="shared" si="851"/>
        <v>33</v>
      </c>
      <c r="BY1009" s="235">
        <f t="shared" si="852"/>
        <v>4.4702678571428569</v>
      </c>
      <c r="BZ1009" s="235" cm="1">
        <f t="array" ref="BZ1009">$BI1009 * IF($AH1009&lt;=2,
SUMPRODUCT(INDEX($AR$62:$AT$66,,$AI1009), INDEX($AU$62:$BA$66,,$AH1009), 1 / ($BB$62:$BB$66*BY1009 + (1-$BB$62:$BB$66)*BU1009), N($AQ$62:$AQ$66&gt;$AO1009)),
SUMPRODUCT(INDEX($AR$47:$AT$56,,$AI1009), INDEX($AU$47:$BA$56,,$AH1009), 1 / ($BC$47:$BC$56*BY1009 + (1-$BC$47:$BC$56)*BU1009), N($AQ$47:$AQ$56&gt;$AO1009))
) / 1000</f>
        <v>0</v>
      </c>
      <c r="CA1009" s="235" cm="1">
        <f t="array" ref="CA1009">$BI1009 * IF($AH1009&lt;=2,
SUMPRODUCT(INDEX($AR$23:$AT$61,,$AI1009), INDEX($AU$23:$BA$61,,$AH1009), 1 / ($BB$23:$BB$61*BY1009), N($AQ$23:$AQ$61&gt;$AO1009)),
SUMPRODUCT(INDEX($AR$23:$AT$46,,$AI1009), INDEX($AU$23:$BA$46,,$AH1009), 1 / ($BC$23:$BC$46*BY1009), N($AQ$23:$AQ$46&gt;$AO1009))
) / 1000</f>
        <v>0</v>
      </c>
      <c r="CB1009" s="230">
        <f t="shared" si="853"/>
        <v>0</v>
      </c>
      <c r="CC1009" s="238"/>
      <c r="CD1009" s="229" cm="1">
        <f t="array" ref="CD1009">IF(ISBLANK(Y1009), INDEX(Use, $AH1009, 4) - AN1009*INDEX(Use, $AH1009, 6) - (Q1009-X1009), Y1009)</f>
        <v>7</v>
      </c>
      <c r="CE1009" s="229">
        <f t="shared" si="854"/>
        <v>32</v>
      </c>
      <c r="CF1009" s="230">
        <f t="shared" si="855"/>
        <v>0</v>
      </c>
      <c r="CG1009" s="229">
        <v>35</v>
      </c>
      <c r="CH1009" s="230">
        <f t="shared" si="856"/>
        <v>48</v>
      </c>
      <c r="CI1009" s="235">
        <f t="shared" si="857"/>
        <v>3.0748170731707316</v>
      </c>
      <c r="CJ1009" s="235" cm="1">
        <f t="array" ref="CJ1009">$BI1009 * SUMPRODUCT(INDEX($AR$77:$AT$82,,$AI1009),INDEX($AU$77:$BA$82,,$AH1009), N($AQ$77:$AQ$82&gt;$AO1009)) / CI1009 / 1000</f>
        <v>0</v>
      </c>
      <c r="CK1009" s="232">
        <f t="shared" si="874"/>
        <v>30</v>
      </c>
      <c r="CL1009" s="230">
        <f t="shared" si="858"/>
        <v>43</v>
      </c>
      <c r="CM1009" s="235">
        <f t="shared" si="859"/>
        <v>3.5018750000000001</v>
      </c>
      <c r="CN1009" s="235" cm="1">
        <f t="array" ref="CN1009">$BI1009 * IF($AH1009&lt;=2,
SUMPRODUCT(INDEX($AR$72:$AT$76,,$AI1009), INDEX($AU$72:$BA$76,,$AH1009), 1 / ($BB$72:$BB$76*CM1009 + (1-$BB$72:$BB$76)*CI1009), N($AQ$72:$AQ$76&gt;$AO1009)),
SUMPRODUCT(INDEX($AR$67:$AT$76,,$AI1009), INDEX($AU$67:$BA$76,,$AH1009), 1 / ($BC$67:$BC$76*CM1009 + (1-$BC$67:$BC$76)*CI1009), N($AQ$67:$AQ$76&gt;$AO1009))
) / 1000</f>
        <v>0</v>
      </c>
      <c r="CO1009" s="232">
        <f t="shared" si="875"/>
        <v>25</v>
      </c>
      <c r="CP1009" s="230">
        <f t="shared" si="860"/>
        <v>38</v>
      </c>
      <c r="CQ1009" s="235">
        <f t="shared" si="861"/>
        <v>4.0666935483870965</v>
      </c>
      <c r="CR1009" s="235" cm="1">
        <f t="array" ref="CR1009">$BI1009 * IF($AH1009&lt;=2,
SUMPRODUCT(INDEX($AR$67:$AT$71,,$AI1009), INDEX($AU$67:$BA$71,,$AH1009), 1 / ($BB$67:$BB$71*CQ1009 + (1-$BB$67:$BB$71)*CM1009), N($AQ$67:$AQ$71&gt;$AO1009)),
SUMPRODUCT(INDEX($AR$57:$AT$66,,$AI1009), INDEX($AU$57:$BA$66,,$AH1009), 1 / ($BC$57:$BC$66*CQ1009 + (1-$BC$57:$BC$66)*CM1009), N($AQ$57:$AQ$66&gt;$AO1009))
) / 1000</f>
        <v>0</v>
      </c>
      <c r="CS1009" s="232">
        <f t="shared" si="876"/>
        <v>20</v>
      </c>
      <c r="CT1009" s="230">
        <f t="shared" si="862"/>
        <v>33</v>
      </c>
      <c r="CU1009" s="235">
        <f t="shared" si="863"/>
        <v>4.8487499999999999</v>
      </c>
      <c r="CV1009" s="235" cm="1">
        <f t="array" ref="CV1009">$BI1009 * IF($AH1009&lt;=2,
SUMPRODUCT(INDEX($AR$62:$AT$66,,$AI1009), INDEX($AU$62:$BA$66,,$AH1009), 1 / ($BB$62:$BB$66*CU1009 + (1-$BB$62:$BB$66)*CQ1009), N($AQ$62:$AQ$66&gt;$AO1009)),
SUMPRODUCT(INDEX($AR$47:$AT$56,,$AI1009), INDEX($AU$47:$BA$56,,$AH1009), 1 / ($BC$47:$BC$56*CU1009 + (1-$BC$47:$BC$56)*CQ1009), N($AQ$47:$AQ$56&gt;$AO1009))
) / 1000</f>
        <v>0</v>
      </c>
      <c r="CW1009" s="235" cm="1">
        <f t="array" ref="CW1009">$BI1009 * IF($AH1009&lt;=2,
SUMPRODUCT(INDEX($AR$23:$AT$61,,$AI1009), INDEX($AU$23:$BA$61,,$AH1009), 1 / ($BB$23:$BB$61*CU1009), N($AQ$23:$AQ$61&gt;$AO1009)),
SUMPRODUCT(INDEX($AR$23:$AT$46,,$AI1009), INDEX($AU$23:$BA$46,,$AH1009), 1 / ($BC$23:$BC$46*CU1009), N($AQ$23:$AQ$46&gt;$AO1009))
) / 1000</f>
        <v>0</v>
      </c>
      <c r="CX1009" s="230">
        <f t="shared" si="864"/>
        <v>0</v>
      </c>
      <c r="CY1009" s="238"/>
    </row>
    <row r="1010" spans="1:103" s="76" customFormat="1" ht="14.25" customHeight="1" x14ac:dyDescent="0.2">
      <c r="A1010" s="231" t="b">
        <f t="shared" si="868"/>
        <v>0</v>
      </c>
      <c r="B1010" s="245">
        <v>988</v>
      </c>
      <c r="C1010" s="258"/>
      <c r="D1010" s="258"/>
      <c r="E1010" s="246"/>
      <c r="F1010" s="247" t="str">
        <f>IF(ISBLANK(E1010), "", VLOOKUP(E1010, Z!$A$2:$C$4127, 3, FALSE))</f>
        <v/>
      </c>
      <c r="G1010" s="248"/>
      <c r="H1010" s="248"/>
      <c r="I1010" s="249"/>
      <c r="J1010" s="250"/>
      <c r="K1010" s="259"/>
      <c r="L1010" s="260"/>
      <c r="M1010" s="252" t="str" cm="1">
        <f t="array" ref="M1010">INDEX(Trad, 53, $A$20)</f>
        <v>Verschmutzt</v>
      </c>
      <c r="N1010" s="253"/>
      <c r="O1010" s="253"/>
      <c r="P1010" s="254"/>
      <c r="Q1010" s="251"/>
      <c r="R1010" s="251"/>
      <c r="S1010" s="264">
        <f t="shared" si="839"/>
        <v>0</v>
      </c>
      <c r="T1010" s="252" t="str" cm="1">
        <f t="array" ref="T1010">INDEX(Trad, 52, $A$20)</f>
        <v>Sauber</v>
      </c>
      <c r="U1010" s="253"/>
      <c r="V1010" s="253"/>
      <c r="W1010" s="254"/>
      <c r="X1010" s="251"/>
      <c r="Y1010" s="251"/>
      <c r="Z1010" s="264">
        <f t="shared" si="840"/>
        <v>0</v>
      </c>
      <c r="AA1010" s="261"/>
      <c r="AB1010" s="258"/>
      <c r="AC1010" s="246"/>
      <c r="AD1010" s="247" t="str">
        <f>IF(ISBLANK(AC1010), "", VLOOKUP(AC1010, Z!$A$2:$C$4127, 3, FALSE))</f>
        <v/>
      </c>
      <c r="AE1010" s="262"/>
      <c r="AF1010" s="263">
        <f t="shared" si="841"/>
        <v>0</v>
      </c>
      <c r="AG1010" s="238"/>
      <c r="AH1010" s="229">
        <f t="shared" si="865"/>
        <v>1</v>
      </c>
      <c r="AI1010" s="229">
        <f t="shared" si="866"/>
        <v>1</v>
      </c>
      <c r="AJ1010" s="229">
        <f t="shared" si="867"/>
        <v>0</v>
      </c>
      <c r="AK1010" s="229">
        <v>0</v>
      </c>
      <c r="AL1010" s="229">
        <v>0</v>
      </c>
      <c r="AM1010" s="229">
        <v>1</v>
      </c>
      <c r="AN1010" s="229">
        <v>0</v>
      </c>
      <c r="AO1010" s="229">
        <f t="shared" si="842"/>
        <v>-100</v>
      </c>
      <c r="AP1010" s="238"/>
      <c r="AQ1010" s="255"/>
      <c r="AR1010" s="255"/>
      <c r="AS1010" s="256"/>
      <c r="AT1010" s="256"/>
      <c r="AU1010" s="256"/>
      <c r="AV1010" s="256"/>
      <c r="AW1010" s="256"/>
      <c r="AX1010" s="256"/>
      <c r="AY1010" s="256"/>
      <c r="AZ1010" s="256"/>
      <c r="BA1010" s="256"/>
      <c r="BB1010" s="256"/>
      <c r="BC1010" s="256"/>
      <c r="BD1010" s="238"/>
      <c r="BE1010" s="229" cm="1">
        <f t="array" ref="BE1010">IF(ISBLANK(R1010), INDEX(Use, $AH1010, 4) - AM1010*INDEX(Use, $AH1010, 6), R1010)</f>
        <v>5</v>
      </c>
      <c r="BF1010" s="229">
        <f t="shared" si="843"/>
        <v>30</v>
      </c>
      <c r="BG1010" s="229">
        <f t="shared" si="869"/>
        <v>13</v>
      </c>
      <c r="BH1010" s="229">
        <f t="shared" si="870"/>
        <v>0</v>
      </c>
      <c r="BI1010" s="234" cm="1">
        <f t="array" ref="BI1010">K1010/IF($L1010&gt;0, INDEX($AU$23:$BA$77, $L1010+20, $AH1010), 1)</f>
        <v>0</v>
      </c>
      <c r="BJ1010" s="230">
        <f t="shared" si="844"/>
        <v>0</v>
      </c>
      <c r="BK1010" s="229">
        <v>35</v>
      </c>
      <c r="BL1010" s="230">
        <f t="shared" si="845"/>
        <v>48</v>
      </c>
      <c r="BM1010" s="235">
        <f t="shared" si="846"/>
        <v>2.9108720930232557</v>
      </c>
      <c r="BN1010" s="235" cm="1">
        <f t="array" ref="BN1010">$BI1010 * SUMPRODUCT(INDEX($AR$77:$AT$82,,$AI1010),INDEX($AU$77:$BA$82,,$AH1010), N($AQ$77:$AQ$82&gt;$AO1010)) / BM1010 / 1000</f>
        <v>0</v>
      </c>
      <c r="BO1010" s="232">
        <f t="shared" si="871"/>
        <v>30</v>
      </c>
      <c r="BP1010" s="230">
        <f t="shared" si="847"/>
        <v>43</v>
      </c>
      <c r="BQ1010" s="235">
        <f t="shared" si="848"/>
        <v>3.2938815789473681</v>
      </c>
      <c r="BR1010" s="235" cm="1">
        <f t="array" ref="BR1010">$BI1010 * IF($AH1010&lt;=2,
SUMPRODUCT(INDEX($AR$72:$AT$76,,$AI1010), INDEX($AU$72:$BA$76,,$AH1010), 1 / ($BB$72:$BB$76*BQ1010 + (1-$BB$72:$BB$76)*BM1010), N($AQ$72:$AQ$76&gt;$AO1010)),
SUMPRODUCT(INDEX($AR$67:$AT$76,,$AI1010), INDEX($AU$67:$BA$76,,$AH1010), 1 / ($BC$67:$BC$76*BQ1010 + (1-$BC$67:$BC$76)*BM1010), N($AQ$67:$AQ$76&gt;$AO1010))
) / 1000</f>
        <v>0</v>
      </c>
      <c r="BS1010" s="232">
        <f t="shared" si="872"/>
        <v>25</v>
      </c>
      <c r="BT1010" s="230">
        <f t="shared" si="849"/>
        <v>38</v>
      </c>
      <c r="BU1010" s="235">
        <f t="shared" si="850"/>
        <v>3.792954545454545</v>
      </c>
      <c r="BV1010" s="235" cm="1">
        <f t="array" ref="BV1010">$BI1010 * IF($AH1010&lt;=2,
SUMPRODUCT(INDEX($AR$67:$AT$71,,$AI1010), INDEX($AU$67:$BA$71,,$AH1010), 1 / ($BB$67:$BB$71*BU1010 + (1-$BB$67:$BB$71)*BQ1010), N($AQ$67:$AQ$71&gt;$AO1010)),
SUMPRODUCT(INDEX($AR$57:$AT$66,,$AI1010), INDEX($AU$57:$BA$66,,$AH1010), 1 / ($BC$57:$BC$66*BU1010 + (1-$BC$57:$BC$66)*BQ1010), N($AQ$57:$AQ$66&gt;$AO1010))
) / 1000</f>
        <v>0</v>
      </c>
      <c r="BW1010" s="232">
        <f t="shared" si="873"/>
        <v>20</v>
      </c>
      <c r="BX1010" s="230">
        <f t="shared" si="851"/>
        <v>33</v>
      </c>
      <c r="BY1010" s="235">
        <f t="shared" si="852"/>
        <v>4.4702678571428569</v>
      </c>
      <c r="BZ1010" s="235" cm="1">
        <f t="array" ref="BZ1010">$BI1010 * IF($AH1010&lt;=2,
SUMPRODUCT(INDEX($AR$62:$AT$66,,$AI1010), INDEX($AU$62:$BA$66,,$AH1010), 1 / ($BB$62:$BB$66*BY1010 + (1-$BB$62:$BB$66)*BU1010), N($AQ$62:$AQ$66&gt;$AO1010)),
SUMPRODUCT(INDEX($AR$47:$AT$56,,$AI1010), INDEX($AU$47:$BA$56,,$AH1010), 1 / ($BC$47:$BC$56*BY1010 + (1-$BC$47:$BC$56)*BU1010), N($AQ$47:$AQ$56&gt;$AO1010))
) / 1000</f>
        <v>0</v>
      </c>
      <c r="CA1010" s="235" cm="1">
        <f t="array" ref="CA1010">$BI1010 * IF($AH1010&lt;=2,
SUMPRODUCT(INDEX($AR$23:$AT$61,,$AI1010), INDEX($AU$23:$BA$61,,$AH1010), 1 / ($BB$23:$BB$61*BY1010), N($AQ$23:$AQ$61&gt;$AO1010)),
SUMPRODUCT(INDEX($AR$23:$AT$46,,$AI1010), INDEX($AU$23:$BA$46,,$AH1010), 1 / ($BC$23:$BC$46*BY1010), N($AQ$23:$AQ$46&gt;$AO1010))
) / 1000</f>
        <v>0</v>
      </c>
      <c r="CB1010" s="230">
        <f t="shared" si="853"/>
        <v>0</v>
      </c>
      <c r="CC1010" s="238"/>
      <c r="CD1010" s="229" cm="1">
        <f t="array" ref="CD1010">IF(ISBLANK(Y1010), INDEX(Use, $AH1010, 4) - AN1010*INDEX(Use, $AH1010, 6) - (Q1010-X1010), Y1010)</f>
        <v>7</v>
      </c>
      <c r="CE1010" s="229">
        <f t="shared" si="854"/>
        <v>32</v>
      </c>
      <c r="CF1010" s="230">
        <f t="shared" si="855"/>
        <v>0</v>
      </c>
      <c r="CG1010" s="229">
        <v>35</v>
      </c>
      <c r="CH1010" s="230">
        <f t="shared" si="856"/>
        <v>48</v>
      </c>
      <c r="CI1010" s="235">
        <f t="shared" si="857"/>
        <v>3.0748170731707316</v>
      </c>
      <c r="CJ1010" s="235" cm="1">
        <f t="array" ref="CJ1010">$BI1010 * SUMPRODUCT(INDEX($AR$77:$AT$82,,$AI1010),INDEX($AU$77:$BA$82,,$AH1010), N($AQ$77:$AQ$82&gt;$AO1010)) / CI1010 / 1000</f>
        <v>0</v>
      </c>
      <c r="CK1010" s="232">
        <f t="shared" si="874"/>
        <v>30</v>
      </c>
      <c r="CL1010" s="230">
        <f t="shared" si="858"/>
        <v>43</v>
      </c>
      <c r="CM1010" s="235">
        <f t="shared" si="859"/>
        <v>3.5018750000000001</v>
      </c>
      <c r="CN1010" s="235" cm="1">
        <f t="array" ref="CN1010">$BI1010 * IF($AH1010&lt;=2,
SUMPRODUCT(INDEX($AR$72:$AT$76,,$AI1010), INDEX($AU$72:$BA$76,,$AH1010), 1 / ($BB$72:$BB$76*CM1010 + (1-$BB$72:$BB$76)*CI1010), N($AQ$72:$AQ$76&gt;$AO1010)),
SUMPRODUCT(INDEX($AR$67:$AT$76,,$AI1010), INDEX($AU$67:$BA$76,,$AH1010), 1 / ($BC$67:$BC$76*CM1010 + (1-$BC$67:$BC$76)*CI1010), N($AQ$67:$AQ$76&gt;$AO1010))
) / 1000</f>
        <v>0</v>
      </c>
      <c r="CO1010" s="232">
        <f t="shared" si="875"/>
        <v>25</v>
      </c>
      <c r="CP1010" s="230">
        <f t="shared" si="860"/>
        <v>38</v>
      </c>
      <c r="CQ1010" s="235">
        <f t="shared" si="861"/>
        <v>4.0666935483870965</v>
      </c>
      <c r="CR1010" s="235" cm="1">
        <f t="array" ref="CR1010">$BI1010 * IF($AH1010&lt;=2,
SUMPRODUCT(INDEX($AR$67:$AT$71,,$AI1010), INDEX($AU$67:$BA$71,,$AH1010), 1 / ($BB$67:$BB$71*CQ1010 + (1-$BB$67:$BB$71)*CM1010), N($AQ$67:$AQ$71&gt;$AO1010)),
SUMPRODUCT(INDEX($AR$57:$AT$66,,$AI1010), INDEX($AU$57:$BA$66,,$AH1010), 1 / ($BC$57:$BC$66*CQ1010 + (1-$BC$57:$BC$66)*CM1010), N($AQ$57:$AQ$66&gt;$AO1010))
) / 1000</f>
        <v>0</v>
      </c>
      <c r="CS1010" s="232">
        <f t="shared" si="876"/>
        <v>20</v>
      </c>
      <c r="CT1010" s="230">
        <f t="shared" si="862"/>
        <v>33</v>
      </c>
      <c r="CU1010" s="235">
        <f t="shared" si="863"/>
        <v>4.8487499999999999</v>
      </c>
      <c r="CV1010" s="235" cm="1">
        <f t="array" ref="CV1010">$BI1010 * IF($AH1010&lt;=2,
SUMPRODUCT(INDEX($AR$62:$AT$66,,$AI1010), INDEX($AU$62:$BA$66,,$AH1010), 1 / ($BB$62:$BB$66*CU1010 + (1-$BB$62:$BB$66)*CQ1010), N($AQ$62:$AQ$66&gt;$AO1010)),
SUMPRODUCT(INDEX($AR$47:$AT$56,,$AI1010), INDEX($AU$47:$BA$56,,$AH1010), 1 / ($BC$47:$BC$56*CU1010 + (1-$BC$47:$BC$56)*CQ1010), N($AQ$47:$AQ$56&gt;$AO1010))
) / 1000</f>
        <v>0</v>
      </c>
      <c r="CW1010" s="235" cm="1">
        <f t="array" ref="CW1010">$BI1010 * IF($AH1010&lt;=2,
SUMPRODUCT(INDEX($AR$23:$AT$61,,$AI1010), INDEX($AU$23:$BA$61,,$AH1010), 1 / ($BB$23:$BB$61*CU1010), N($AQ$23:$AQ$61&gt;$AO1010)),
SUMPRODUCT(INDEX($AR$23:$AT$46,,$AI1010), INDEX($AU$23:$BA$46,,$AH1010), 1 / ($BC$23:$BC$46*CU1010), N($AQ$23:$AQ$46&gt;$AO1010))
) / 1000</f>
        <v>0</v>
      </c>
      <c r="CX1010" s="230">
        <f t="shared" si="864"/>
        <v>0</v>
      </c>
      <c r="CY1010" s="238"/>
    </row>
    <row r="1011" spans="1:103" s="76" customFormat="1" ht="14.25" customHeight="1" x14ac:dyDescent="0.2">
      <c r="A1011" s="231" t="b">
        <f t="shared" si="868"/>
        <v>0</v>
      </c>
      <c r="B1011" s="245">
        <v>989</v>
      </c>
      <c r="C1011" s="258"/>
      <c r="D1011" s="258"/>
      <c r="E1011" s="246"/>
      <c r="F1011" s="247" t="str">
        <f>IF(ISBLANK(E1011), "", VLOOKUP(E1011, Z!$A$2:$C$4127, 3, FALSE))</f>
        <v/>
      </c>
      <c r="G1011" s="248"/>
      <c r="H1011" s="248"/>
      <c r="I1011" s="249"/>
      <c r="J1011" s="250"/>
      <c r="K1011" s="259"/>
      <c r="L1011" s="260"/>
      <c r="M1011" s="252" t="str" cm="1">
        <f t="array" ref="M1011">INDEX(Trad, 53, $A$20)</f>
        <v>Verschmutzt</v>
      </c>
      <c r="N1011" s="253"/>
      <c r="O1011" s="253"/>
      <c r="P1011" s="254"/>
      <c r="Q1011" s="251"/>
      <c r="R1011" s="251"/>
      <c r="S1011" s="264">
        <f t="shared" si="839"/>
        <v>0</v>
      </c>
      <c r="T1011" s="252" t="str" cm="1">
        <f t="array" ref="T1011">INDEX(Trad, 52, $A$20)</f>
        <v>Sauber</v>
      </c>
      <c r="U1011" s="253"/>
      <c r="V1011" s="253"/>
      <c r="W1011" s="254"/>
      <c r="X1011" s="251"/>
      <c r="Y1011" s="251"/>
      <c r="Z1011" s="264">
        <f t="shared" si="840"/>
        <v>0</v>
      </c>
      <c r="AA1011" s="261"/>
      <c r="AB1011" s="258"/>
      <c r="AC1011" s="246"/>
      <c r="AD1011" s="247" t="str">
        <f>IF(ISBLANK(AC1011), "", VLOOKUP(AC1011, Z!$A$2:$C$4127, 3, FALSE))</f>
        <v/>
      </c>
      <c r="AE1011" s="262"/>
      <c r="AF1011" s="263">
        <f t="shared" si="841"/>
        <v>0</v>
      </c>
      <c r="AG1011" s="238"/>
      <c r="AH1011" s="229">
        <f t="shared" si="865"/>
        <v>1</v>
      </c>
      <c r="AI1011" s="229">
        <f t="shared" si="866"/>
        <v>1</v>
      </c>
      <c r="AJ1011" s="229">
        <f t="shared" si="867"/>
        <v>0</v>
      </c>
      <c r="AK1011" s="229">
        <v>0</v>
      </c>
      <c r="AL1011" s="229">
        <v>0</v>
      </c>
      <c r="AM1011" s="229">
        <v>1</v>
      </c>
      <c r="AN1011" s="229">
        <v>0</v>
      </c>
      <c r="AO1011" s="229">
        <f t="shared" si="842"/>
        <v>-100</v>
      </c>
      <c r="AP1011" s="238"/>
      <c r="AQ1011" s="255"/>
      <c r="AR1011" s="255"/>
      <c r="AS1011" s="256"/>
      <c r="AT1011" s="256"/>
      <c r="AU1011" s="256"/>
      <c r="AV1011" s="256"/>
      <c r="AW1011" s="256"/>
      <c r="AX1011" s="256"/>
      <c r="AY1011" s="256"/>
      <c r="AZ1011" s="256"/>
      <c r="BA1011" s="256"/>
      <c r="BB1011" s="256"/>
      <c r="BC1011" s="256"/>
      <c r="BD1011" s="238"/>
      <c r="BE1011" s="229" cm="1">
        <f t="array" ref="BE1011">IF(ISBLANK(R1011), INDEX(Use, $AH1011, 4) - AM1011*INDEX(Use, $AH1011, 6), R1011)</f>
        <v>5</v>
      </c>
      <c r="BF1011" s="229">
        <f t="shared" si="843"/>
        <v>30</v>
      </c>
      <c r="BG1011" s="229">
        <f t="shared" si="869"/>
        <v>13</v>
      </c>
      <c r="BH1011" s="229">
        <f t="shared" si="870"/>
        <v>0</v>
      </c>
      <c r="BI1011" s="234" cm="1">
        <f t="array" ref="BI1011">K1011/IF($L1011&gt;0, INDEX($AU$23:$BA$77, $L1011+20, $AH1011), 1)</f>
        <v>0</v>
      </c>
      <c r="BJ1011" s="230">
        <f t="shared" si="844"/>
        <v>0</v>
      </c>
      <c r="BK1011" s="229">
        <v>35</v>
      </c>
      <c r="BL1011" s="230">
        <f t="shared" si="845"/>
        <v>48</v>
      </c>
      <c r="BM1011" s="235">
        <f t="shared" si="846"/>
        <v>2.9108720930232557</v>
      </c>
      <c r="BN1011" s="235" cm="1">
        <f t="array" ref="BN1011">$BI1011 * SUMPRODUCT(INDEX($AR$77:$AT$82,,$AI1011),INDEX($AU$77:$BA$82,,$AH1011), N($AQ$77:$AQ$82&gt;$AO1011)) / BM1011 / 1000</f>
        <v>0</v>
      </c>
      <c r="BO1011" s="232">
        <f t="shared" si="871"/>
        <v>30</v>
      </c>
      <c r="BP1011" s="230">
        <f t="shared" si="847"/>
        <v>43</v>
      </c>
      <c r="BQ1011" s="235">
        <f t="shared" si="848"/>
        <v>3.2938815789473681</v>
      </c>
      <c r="BR1011" s="235" cm="1">
        <f t="array" ref="BR1011">$BI1011 * IF($AH1011&lt;=2,
SUMPRODUCT(INDEX($AR$72:$AT$76,,$AI1011), INDEX($AU$72:$BA$76,,$AH1011), 1 / ($BB$72:$BB$76*BQ1011 + (1-$BB$72:$BB$76)*BM1011), N($AQ$72:$AQ$76&gt;$AO1011)),
SUMPRODUCT(INDEX($AR$67:$AT$76,,$AI1011), INDEX($AU$67:$BA$76,,$AH1011), 1 / ($BC$67:$BC$76*BQ1011 + (1-$BC$67:$BC$76)*BM1011), N($AQ$67:$AQ$76&gt;$AO1011))
) / 1000</f>
        <v>0</v>
      </c>
      <c r="BS1011" s="232">
        <f t="shared" si="872"/>
        <v>25</v>
      </c>
      <c r="BT1011" s="230">
        <f t="shared" si="849"/>
        <v>38</v>
      </c>
      <c r="BU1011" s="235">
        <f t="shared" si="850"/>
        <v>3.792954545454545</v>
      </c>
      <c r="BV1011" s="235" cm="1">
        <f t="array" ref="BV1011">$BI1011 * IF($AH1011&lt;=2,
SUMPRODUCT(INDEX($AR$67:$AT$71,,$AI1011), INDEX($AU$67:$BA$71,,$AH1011), 1 / ($BB$67:$BB$71*BU1011 + (1-$BB$67:$BB$71)*BQ1011), N($AQ$67:$AQ$71&gt;$AO1011)),
SUMPRODUCT(INDEX($AR$57:$AT$66,,$AI1011), INDEX($AU$57:$BA$66,,$AH1011), 1 / ($BC$57:$BC$66*BU1011 + (1-$BC$57:$BC$66)*BQ1011), N($AQ$57:$AQ$66&gt;$AO1011))
) / 1000</f>
        <v>0</v>
      </c>
      <c r="BW1011" s="232">
        <f t="shared" si="873"/>
        <v>20</v>
      </c>
      <c r="BX1011" s="230">
        <f t="shared" si="851"/>
        <v>33</v>
      </c>
      <c r="BY1011" s="235">
        <f t="shared" si="852"/>
        <v>4.4702678571428569</v>
      </c>
      <c r="BZ1011" s="235" cm="1">
        <f t="array" ref="BZ1011">$BI1011 * IF($AH1011&lt;=2,
SUMPRODUCT(INDEX($AR$62:$AT$66,,$AI1011), INDEX($AU$62:$BA$66,,$AH1011), 1 / ($BB$62:$BB$66*BY1011 + (1-$BB$62:$BB$66)*BU1011), N($AQ$62:$AQ$66&gt;$AO1011)),
SUMPRODUCT(INDEX($AR$47:$AT$56,,$AI1011), INDEX($AU$47:$BA$56,,$AH1011), 1 / ($BC$47:$BC$56*BY1011 + (1-$BC$47:$BC$56)*BU1011), N($AQ$47:$AQ$56&gt;$AO1011))
) / 1000</f>
        <v>0</v>
      </c>
      <c r="CA1011" s="235" cm="1">
        <f t="array" ref="CA1011">$BI1011 * IF($AH1011&lt;=2,
SUMPRODUCT(INDEX($AR$23:$AT$61,,$AI1011), INDEX($AU$23:$BA$61,,$AH1011), 1 / ($BB$23:$BB$61*BY1011), N($AQ$23:$AQ$61&gt;$AO1011)),
SUMPRODUCT(INDEX($AR$23:$AT$46,,$AI1011), INDEX($AU$23:$BA$46,,$AH1011), 1 / ($BC$23:$BC$46*BY1011), N($AQ$23:$AQ$46&gt;$AO1011))
) / 1000</f>
        <v>0</v>
      </c>
      <c r="CB1011" s="230">
        <f t="shared" si="853"/>
        <v>0</v>
      </c>
      <c r="CC1011" s="238"/>
      <c r="CD1011" s="229" cm="1">
        <f t="array" ref="CD1011">IF(ISBLANK(Y1011), INDEX(Use, $AH1011, 4) - AN1011*INDEX(Use, $AH1011, 6) - (Q1011-X1011), Y1011)</f>
        <v>7</v>
      </c>
      <c r="CE1011" s="229">
        <f t="shared" si="854"/>
        <v>32</v>
      </c>
      <c r="CF1011" s="230">
        <f t="shared" si="855"/>
        <v>0</v>
      </c>
      <c r="CG1011" s="229">
        <v>35</v>
      </c>
      <c r="CH1011" s="230">
        <f t="shared" si="856"/>
        <v>48</v>
      </c>
      <c r="CI1011" s="235">
        <f t="shared" si="857"/>
        <v>3.0748170731707316</v>
      </c>
      <c r="CJ1011" s="235" cm="1">
        <f t="array" ref="CJ1011">$BI1011 * SUMPRODUCT(INDEX($AR$77:$AT$82,,$AI1011),INDEX($AU$77:$BA$82,,$AH1011), N($AQ$77:$AQ$82&gt;$AO1011)) / CI1011 / 1000</f>
        <v>0</v>
      </c>
      <c r="CK1011" s="232">
        <f t="shared" si="874"/>
        <v>30</v>
      </c>
      <c r="CL1011" s="230">
        <f t="shared" si="858"/>
        <v>43</v>
      </c>
      <c r="CM1011" s="235">
        <f t="shared" si="859"/>
        <v>3.5018750000000001</v>
      </c>
      <c r="CN1011" s="235" cm="1">
        <f t="array" ref="CN1011">$BI1011 * IF($AH1011&lt;=2,
SUMPRODUCT(INDEX($AR$72:$AT$76,,$AI1011), INDEX($AU$72:$BA$76,,$AH1011), 1 / ($BB$72:$BB$76*CM1011 + (1-$BB$72:$BB$76)*CI1011), N($AQ$72:$AQ$76&gt;$AO1011)),
SUMPRODUCT(INDEX($AR$67:$AT$76,,$AI1011), INDEX($AU$67:$BA$76,,$AH1011), 1 / ($BC$67:$BC$76*CM1011 + (1-$BC$67:$BC$76)*CI1011), N($AQ$67:$AQ$76&gt;$AO1011))
) / 1000</f>
        <v>0</v>
      </c>
      <c r="CO1011" s="232">
        <f t="shared" si="875"/>
        <v>25</v>
      </c>
      <c r="CP1011" s="230">
        <f t="shared" si="860"/>
        <v>38</v>
      </c>
      <c r="CQ1011" s="235">
        <f t="shared" si="861"/>
        <v>4.0666935483870965</v>
      </c>
      <c r="CR1011" s="235" cm="1">
        <f t="array" ref="CR1011">$BI1011 * IF($AH1011&lt;=2,
SUMPRODUCT(INDEX($AR$67:$AT$71,,$AI1011), INDEX($AU$67:$BA$71,,$AH1011), 1 / ($BB$67:$BB$71*CQ1011 + (1-$BB$67:$BB$71)*CM1011), N($AQ$67:$AQ$71&gt;$AO1011)),
SUMPRODUCT(INDEX($AR$57:$AT$66,,$AI1011), INDEX($AU$57:$BA$66,,$AH1011), 1 / ($BC$57:$BC$66*CQ1011 + (1-$BC$57:$BC$66)*CM1011), N($AQ$57:$AQ$66&gt;$AO1011))
) / 1000</f>
        <v>0</v>
      </c>
      <c r="CS1011" s="232">
        <f t="shared" si="876"/>
        <v>20</v>
      </c>
      <c r="CT1011" s="230">
        <f t="shared" si="862"/>
        <v>33</v>
      </c>
      <c r="CU1011" s="235">
        <f t="shared" si="863"/>
        <v>4.8487499999999999</v>
      </c>
      <c r="CV1011" s="235" cm="1">
        <f t="array" ref="CV1011">$BI1011 * IF($AH1011&lt;=2,
SUMPRODUCT(INDEX($AR$62:$AT$66,,$AI1011), INDEX($AU$62:$BA$66,,$AH1011), 1 / ($BB$62:$BB$66*CU1011 + (1-$BB$62:$BB$66)*CQ1011), N($AQ$62:$AQ$66&gt;$AO1011)),
SUMPRODUCT(INDEX($AR$47:$AT$56,,$AI1011), INDEX($AU$47:$BA$56,,$AH1011), 1 / ($BC$47:$BC$56*CU1011 + (1-$BC$47:$BC$56)*CQ1011), N($AQ$47:$AQ$56&gt;$AO1011))
) / 1000</f>
        <v>0</v>
      </c>
      <c r="CW1011" s="235" cm="1">
        <f t="array" ref="CW1011">$BI1011 * IF($AH1011&lt;=2,
SUMPRODUCT(INDEX($AR$23:$AT$61,,$AI1011), INDEX($AU$23:$BA$61,,$AH1011), 1 / ($BB$23:$BB$61*CU1011), N($AQ$23:$AQ$61&gt;$AO1011)),
SUMPRODUCT(INDEX($AR$23:$AT$46,,$AI1011), INDEX($AU$23:$BA$46,,$AH1011), 1 / ($BC$23:$BC$46*CU1011), N($AQ$23:$AQ$46&gt;$AO1011))
) / 1000</f>
        <v>0</v>
      </c>
      <c r="CX1011" s="230">
        <f t="shared" si="864"/>
        <v>0</v>
      </c>
      <c r="CY1011" s="238"/>
    </row>
    <row r="1012" spans="1:103" s="76" customFormat="1" ht="14.25" customHeight="1" x14ac:dyDescent="0.2">
      <c r="A1012" s="231" t="b">
        <f t="shared" si="868"/>
        <v>0</v>
      </c>
      <c r="B1012" s="245">
        <v>990</v>
      </c>
      <c r="C1012" s="258"/>
      <c r="D1012" s="258"/>
      <c r="E1012" s="246"/>
      <c r="F1012" s="247" t="str">
        <f>IF(ISBLANK(E1012), "", VLOOKUP(E1012, Z!$A$2:$C$4127, 3, FALSE))</f>
        <v/>
      </c>
      <c r="G1012" s="248"/>
      <c r="H1012" s="248"/>
      <c r="I1012" s="249"/>
      <c r="J1012" s="250"/>
      <c r="K1012" s="259"/>
      <c r="L1012" s="260"/>
      <c r="M1012" s="252" t="str" cm="1">
        <f t="array" ref="M1012">INDEX(Trad, 53, $A$20)</f>
        <v>Verschmutzt</v>
      </c>
      <c r="N1012" s="253"/>
      <c r="O1012" s="253"/>
      <c r="P1012" s="254"/>
      <c r="Q1012" s="251"/>
      <c r="R1012" s="251"/>
      <c r="S1012" s="264">
        <f t="shared" si="839"/>
        <v>0</v>
      </c>
      <c r="T1012" s="252" t="str" cm="1">
        <f t="array" ref="T1012">INDEX(Trad, 52, $A$20)</f>
        <v>Sauber</v>
      </c>
      <c r="U1012" s="253"/>
      <c r="V1012" s="253"/>
      <c r="W1012" s="254"/>
      <c r="X1012" s="251"/>
      <c r="Y1012" s="251"/>
      <c r="Z1012" s="264">
        <f t="shared" si="840"/>
        <v>0</v>
      </c>
      <c r="AA1012" s="261"/>
      <c r="AB1012" s="258"/>
      <c r="AC1012" s="246"/>
      <c r="AD1012" s="247" t="str">
        <f>IF(ISBLANK(AC1012), "", VLOOKUP(AC1012, Z!$A$2:$C$4127, 3, FALSE))</f>
        <v/>
      </c>
      <c r="AE1012" s="262"/>
      <c r="AF1012" s="263">
        <f t="shared" si="841"/>
        <v>0</v>
      </c>
      <c r="AG1012" s="238"/>
      <c r="AH1012" s="229">
        <f t="shared" si="865"/>
        <v>1</v>
      </c>
      <c r="AI1012" s="229">
        <f t="shared" si="866"/>
        <v>1</v>
      </c>
      <c r="AJ1012" s="229">
        <f t="shared" si="867"/>
        <v>0</v>
      </c>
      <c r="AK1012" s="229">
        <v>0</v>
      </c>
      <c r="AL1012" s="229">
        <v>0</v>
      </c>
      <c r="AM1012" s="229">
        <v>1</v>
      </c>
      <c r="AN1012" s="229">
        <v>0</v>
      </c>
      <c r="AO1012" s="229">
        <f t="shared" si="842"/>
        <v>-100</v>
      </c>
      <c r="AP1012" s="238"/>
      <c r="AQ1012" s="255"/>
      <c r="AR1012" s="255"/>
      <c r="AS1012" s="256"/>
      <c r="AT1012" s="256"/>
      <c r="AU1012" s="256"/>
      <c r="AV1012" s="256"/>
      <c r="AW1012" s="256"/>
      <c r="AX1012" s="256"/>
      <c r="AY1012" s="256"/>
      <c r="AZ1012" s="256"/>
      <c r="BA1012" s="256"/>
      <c r="BB1012" s="256"/>
      <c r="BC1012" s="256"/>
      <c r="BD1012" s="238"/>
      <c r="BE1012" s="229" cm="1">
        <f t="array" ref="BE1012">IF(ISBLANK(R1012), INDEX(Use, $AH1012, 4) - AM1012*INDEX(Use, $AH1012, 6), R1012)</f>
        <v>5</v>
      </c>
      <c r="BF1012" s="229">
        <f t="shared" si="843"/>
        <v>30</v>
      </c>
      <c r="BG1012" s="229">
        <f t="shared" si="869"/>
        <v>13</v>
      </c>
      <c r="BH1012" s="229">
        <f t="shared" si="870"/>
        <v>0</v>
      </c>
      <c r="BI1012" s="234" cm="1">
        <f t="array" ref="BI1012">K1012/IF($L1012&gt;0, INDEX($AU$23:$BA$77, $L1012+20, $AH1012), 1)</f>
        <v>0</v>
      </c>
      <c r="BJ1012" s="230">
        <f t="shared" si="844"/>
        <v>0</v>
      </c>
      <c r="BK1012" s="229">
        <v>35</v>
      </c>
      <c r="BL1012" s="230">
        <f t="shared" si="845"/>
        <v>48</v>
      </c>
      <c r="BM1012" s="235">
        <f t="shared" si="846"/>
        <v>2.9108720930232557</v>
      </c>
      <c r="BN1012" s="235" cm="1">
        <f t="array" ref="BN1012">$BI1012 * SUMPRODUCT(INDEX($AR$77:$AT$82,,$AI1012),INDEX($AU$77:$BA$82,,$AH1012), N($AQ$77:$AQ$82&gt;$AO1012)) / BM1012 / 1000</f>
        <v>0</v>
      </c>
      <c r="BO1012" s="232">
        <f t="shared" si="871"/>
        <v>30</v>
      </c>
      <c r="BP1012" s="230">
        <f t="shared" si="847"/>
        <v>43</v>
      </c>
      <c r="BQ1012" s="235">
        <f t="shared" si="848"/>
        <v>3.2938815789473681</v>
      </c>
      <c r="BR1012" s="235" cm="1">
        <f t="array" ref="BR1012">$BI1012 * IF($AH1012&lt;=2,
SUMPRODUCT(INDEX($AR$72:$AT$76,,$AI1012), INDEX($AU$72:$BA$76,,$AH1012), 1 / ($BB$72:$BB$76*BQ1012 + (1-$BB$72:$BB$76)*BM1012), N($AQ$72:$AQ$76&gt;$AO1012)),
SUMPRODUCT(INDEX($AR$67:$AT$76,,$AI1012), INDEX($AU$67:$BA$76,,$AH1012), 1 / ($BC$67:$BC$76*BQ1012 + (1-$BC$67:$BC$76)*BM1012), N($AQ$67:$AQ$76&gt;$AO1012))
) / 1000</f>
        <v>0</v>
      </c>
      <c r="BS1012" s="232">
        <f t="shared" si="872"/>
        <v>25</v>
      </c>
      <c r="BT1012" s="230">
        <f t="shared" si="849"/>
        <v>38</v>
      </c>
      <c r="BU1012" s="235">
        <f t="shared" si="850"/>
        <v>3.792954545454545</v>
      </c>
      <c r="BV1012" s="235" cm="1">
        <f t="array" ref="BV1012">$BI1012 * IF($AH1012&lt;=2,
SUMPRODUCT(INDEX($AR$67:$AT$71,,$AI1012), INDEX($AU$67:$BA$71,,$AH1012), 1 / ($BB$67:$BB$71*BU1012 + (1-$BB$67:$BB$71)*BQ1012), N($AQ$67:$AQ$71&gt;$AO1012)),
SUMPRODUCT(INDEX($AR$57:$AT$66,,$AI1012), INDEX($AU$57:$BA$66,,$AH1012), 1 / ($BC$57:$BC$66*BU1012 + (1-$BC$57:$BC$66)*BQ1012), N($AQ$57:$AQ$66&gt;$AO1012))
) / 1000</f>
        <v>0</v>
      </c>
      <c r="BW1012" s="232">
        <f t="shared" si="873"/>
        <v>20</v>
      </c>
      <c r="BX1012" s="230">
        <f t="shared" si="851"/>
        <v>33</v>
      </c>
      <c r="BY1012" s="235">
        <f t="shared" si="852"/>
        <v>4.4702678571428569</v>
      </c>
      <c r="BZ1012" s="235" cm="1">
        <f t="array" ref="BZ1012">$BI1012 * IF($AH1012&lt;=2,
SUMPRODUCT(INDEX($AR$62:$AT$66,,$AI1012), INDEX($AU$62:$BA$66,,$AH1012), 1 / ($BB$62:$BB$66*BY1012 + (1-$BB$62:$BB$66)*BU1012), N($AQ$62:$AQ$66&gt;$AO1012)),
SUMPRODUCT(INDEX($AR$47:$AT$56,,$AI1012), INDEX($AU$47:$BA$56,,$AH1012), 1 / ($BC$47:$BC$56*BY1012 + (1-$BC$47:$BC$56)*BU1012), N($AQ$47:$AQ$56&gt;$AO1012))
) / 1000</f>
        <v>0</v>
      </c>
      <c r="CA1012" s="235" cm="1">
        <f t="array" ref="CA1012">$BI1012 * IF($AH1012&lt;=2,
SUMPRODUCT(INDEX($AR$23:$AT$61,,$AI1012), INDEX($AU$23:$BA$61,,$AH1012), 1 / ($BB$23:$BB$61*BY1012), N($AQ$23:$AQ$61&gt;$AO1012)),
SUMPRODUCT(INDEX($AR$23:$AT$46,,$AI1012), INDEX($AU$23:$BA$46,,$AH1012), 1 / ($BC$23:$BC$46*BY1012), N($AQ$23:$AQ$46&gt;$AO1012))
) / 1000</f>
        <v>0</v>
      </c>
      <c r="CB1012" s="230">
        <f t="shared" si="853"/>
        <v>0</v>
      </c>
      <c r="CC1012" s="238"/>
      <c r="CD1012" s="229" cm="1">
        <f t="array" ref="CD1012">IF(ISBLANK(Y1012), INDEX(Use, $AH1012, 4) - AN1012*INDEX(Use, $AH1012, 6) - (Q1012-X1012), Y1012)</f>
        <v>7</v>
      </c>
      <c r="CE1012" s="229">
        <f t="shared" si="854"/>
        <v>32</v>
      </c>
      <c r="CF1012" s="230">
        <f t="shared" si="855"/>
        <v>0</v>
      </c>
      <c r="CG1012" s="229">
        <v>35</v>
      </c>
      <c r="CH1012" s="230">
        <f t="shared" si="856"/>
        <v>48</v>
      </c>
      <c r="CI1012" s="235">
        <f t="shared" si="857"/>
        <v>3.0748170731707316</v>
      </c>
      <c r="CJ1012" s="235" cm="1">
        <f t="array" ref="CJ1012">$BI1012 * SUMPRODUCT(INDEX($AR$77:$AT$82,,$AI1012),INDEX($AU$77:$BA$82,,$AH1012), N($AQ$77:$AQ$82&gt;$AO1012)) / CI1012 / 1000</f>
        <v>0</v>
      </c>
      <c r="CK1012" s="232">
        <f t="shared" si="874"/>
        <v>30</v>
      </c>
      <c r="CL1012" s="230">
        <f t="shared" si="858"/>
        <v>43</v>
      </c>
      <c r="CM1012" s="235">
        <f t="shared" si="859"/>
        <v>3.5018750000000001</v>
      </c>
      <c r="CN1012" s="235" cm="1">
        <f t="array" ref="CN1012">$BI1012 * IF($AH1012&lt;=2,
SUMPRODUCT(INDEX($AR$72:$AT$76,,$AI1012), INDEX($AU$72:$BA$76,,$AH1012), 1 / ($BB$72:$BB$76*CM1012 + (1-$BB$72:$BB$76)*CI1012), N($AQ$72:$AQ$76&gt;$AO1012)),
SUMPRODUCT(INDEX($AR$67:$AT$76,,$AI1012), INDEX($AU$67:$BA$76,,$AH1012), 1 / ($BC$67:$BC$76*CM1012 + (1-$BC$67:$BC$76)*CI1012), N($AQ$67:$AQ$76&gt;$AO1012))
) / 1000</f>
        <v>0</v>
      </c>
      <c r="CO1012" s="232">
        <f t="shared" si="875"/>
        <v>25</v>
      </c>
      <c r="CP1012" s="230">
        <f t="shared" si="860"/>
        <v>38</v>
      </c>
      <c r="CQ1012" s="235">
        <f t="shared" si="861"/>
        <v>4.0666935483870965</v>
      </c>
      <c r="CR1012" s="235" cm="1">
        <f t="array" ref="CR1012">$BI1012 * IF($AH1012&lt;=2,
SUMPRODUCT(INDEX($AR$67:$AT$71,,$AI1012), INDEX($AU$67:$BA$71,,$AH1012), 1 / ($BB$67:$BB$71*CQ1012 + (1-$BB$67:$BB$71)*CM1012), N($AQ$67:$AQ$71&gt;$AO1012)),
SUMPRODUCT(INDEX($AR$57:$AT$66,,$AI1012), INDEX($AU$57:$BA$66,,$AH1012), 1 / ($BC$57:$BC$66*CQ1012 + (1-$BC$57:$BC$66)*CM1012), N($AQ$57:$AQ$66&gt;$AO1012))
) / 1000</f>
        <v>0</v>
      </c>
      <c r="CS1012" s="232">
        <f t="shared" si="876"/>
        <v>20</v>
      </c>
      <c r="CT1012" s="230">
        <f t="shared" si="862"/>
        <v>33</v>
      </c>
      <c r="CU1012" s="235">
        <f t="shared" si="863"/>
        <v>4.8487499999999999</v>
      </c>
      <c r="CV1012" s="235" cm="1">
        <f t="array" ref="CV1012">$BI1012 * IF($AH1012&lt;=2,
SUMPRODUCT(INDEX($AR$62:$AT$66,,$AI1012), INDEX($AU$62:$BA$66,,$AH1012), 1 / ($BB$62:$BB$66*CU1012 + (1-$BB$62:$BB$66)*CQ1012), N($AQ$62:$AQ$66&gt;$AO1012)),
SUMPRODUCT(INDEX($AR$47:$AT$56,,$AI1012), INDEX($AU$47:$BA$56,,$AH1012), 1 / ($BC$47:$BC$56*CU1012 + (1-$BC$47:$BC$56)*CQ1012), N($AQ$47:$AQ$56&gt;$AO1012))
) / 1000</f>
        <v>0</v>
      </c>
      <c r="CW1012" s="235" cm="1">
        <f t="array" ref="CW1012">$BI1012 * IF($AH1012&lt;=2,
SUMPRODUCT(INDEX($AR$23:$AT$61,,$AI1012), INDEX($AU$23:$BA$61,,$AH1012), 1 / ($BB$23:$BB$61*CU1012), N($AQ$23:$AQ$61&gt;$AO1012)),
SUMPRODUCT(INDEX($AR$23:$AT$46,,$AI1012), INDEX($AU$23:$BA$46,,$AH1012), 1 / ($BC$23:$BC$46*CU1012), N($AQ$23:$AQ$46&gt;$AO1012))
) / 1000</f>
        <v>0</v>
      </c>
      <c r="CX1012" s="230">
        <f t="shared" si="864"/>
        <v>0</v>
      </c>
      <c r="CY1012" s="238"/>
    </row>
    <row r="1013" spans="1:103" s="76" customFormat="1" ht="14.25" customHeight="1" x14ac:dyDescent="0.2">
      <c r="A1013" s="231" t="b">
        <f t="shared" si="868"/>
        <v>0</v>
      </c>
      <c r="B1013" s="245">
        <v>991</v>
      </c>
      <c r="C1013" s="258"/>
      <c r="D1013" s="258"/>
      <c r="E1013" s="246"/>
      <c r="F1013" s="247" t="str">
        <f>IF(ISBLANK(E1013), "", VLOOKUP(E1013, Z!$A$2:$C$4127, 3, FALSE))</f>
        <v/>
      </c>
      <c r="G1013" s="248"/>
      <c r="H1013" s="248"/>
      <c r="I1013" s="249"/>
      <c r="J1013" s="250"/>
      <c r="K1013" s="259"/>
      <c r="L1013" s="260"/>
      <c r="M1013" s="252" t="str" cm="1">
        <f t="array" ref="M1013">INDEX(Trad, 53, $A$20)</f>
        <v>Verschmutzt</v>
      </c>
      <c r="N1013" s="253"/>
      <c r="O1013" s="253"/>
      <c r="P1013" s="254"/>
      <c r="Q1013" s="251"/>
      <c r="R1013" s="251"/>
      <c r="S1013" s="264">
        <f t="shared" si="839"/>
        <v>0</v>
      </c>
      <c r="T1013" s="252" t="str" cm="1">
        <f t="array" ref="T1013">INDEX(Trad, 52, $A$20)</f>
        <v>Sauber</v>
      </c>
      <c r="U1013" s="253"/>
      <c r="V1013" s="253"/>
      <c r="W1013" s="254"/>
      <c r="X1013" s="251"/>
      <c r="Y1013" s="251"/>
      <c r="Z1013" s="264">
        <f t="shared" si="840"/>
        <v>0</v>
      </c>
      <c r="AA1013" s="261"/>
      <c r="AB1013" s="258"/>
      <c r="AC1013" s="246"/>
      <c r="AD1013" s="247" t="str">
        <f>IF(ISBLANK(AC1013), "", VLOOKUP(AC1013, Z!$A$2:$C$4127, 3, FALSE))</f>
        <v/>
      </c>
      <c r="AE1013" s="262"/>
      <c r="AF1013" s="263">
        <f t="shared" si="841"/>
        <v>0</v>
      </c>
      <c r="AG1013" s="238"/>
      <c r="AH1013" s="229">
        <f t="shared" si="865"/>
        <v>1</v>
      </c>
      <c r="AI1013" s="229">
        <f t="shared" si="866"/>
        <v>1</v>
      </c>
      <c r="AJ1013" s="229">
        <f t="shared" si="867"/>
        <v>0</v>
      </c>
      <c r="AK1013" s="229">
        <v>0</v>
      </c>
      <c r="AL1013" s="229">
        <v>0</v>
      </c>
      <c r="AM1013" s="229">
        <v>1</v>
      </c>
      <c r="AN1013" s="229">
        <v>0</v>
      </c>
      <c r="AO1013" s="229">
        <f t="shared" si="842"/>
        <v>-100</v>
      </c>
      <c r="AP1013" s="238"/>
      <c r="AQ1013" s="255"/>
      <c r="AR1013" s="255"/>
      <c r="AS1013" s="256"/>
      <c r="AT1013" s="256"/>
      <c r="AU1013" s="256"/>
      <c r="AV1013" s="256"/>
      <c r="AW1013" s="256"/>
      <c r="AX1013" s="256"/>
      <c r="AY1013" s="256"/>
      <c r="AZ1013" s="256"/>
      <c r="BA1013" s="256"/>
      <c r="BB1013" s="256"/>
      <c r="BC1013" s="256"/>
      <c r="BD1013" s="238"/>
      <c r="BE1013" s="229" cm="1">
        <f t="array" ref="BE1013">IF(ISBLANK(R1013), INDEX(Use, $AH1013, 4) - AM1013*INDEX(Use, $AH1013, 6), R1013)</f>
        <v>5</v>
      </c>
      <c r="BF1013" s="229">
        <f t="shared" si="843"/>
        <v>30</v>
      </c>
      <c r="BG1013" s="229">
        <f t="shared" si="869"/>
        <v>13</v>
      </c>
      <c r="BH1013" s="229">
        <f t="shared" si="870"/>
        <v>0</v>
      </c>
      <c r="BI1013" s="234" cm="1">
        <f t="array" ref="BI1013">K1013/IF($L1013&gt;0, INDEX($AU$23:$BA$77, $L1013+20, $AH1013), 1)</f>
        <v>0</v>
      </c>
      <c r="BJ1013" s="230">
        <f t="shared" si="844"/>
        <v>0</v>
      </c>
      <c r="BK1013" s="229">
        <v>35</v>
      </c>
      <c r="BL1013" s="230">
        <f t="shared" si="845"/>
        <v>48</v>
      </c>
      <c r="BM1013" s="235">
        <f t="shared" si="846"/>
        <v>2.9108720930232557</v>
      </c>
      <c r="BN1013" s="235" cm="1">
        <f t="array" ref="BN1013">$BI1013 * SUMPRODUCT(INDEX($AR$77:$AT$82,,$AI1013),INDEX($AU$77:$BA$82,,$AH1013), N($AQ$77:$AQ$82&gt;$AO1013)) / BM1013 / 1000</f>
        <v>0</v>
      </c>
      <c r="BO1013" s="232">
        <f t="shared" si="871"/>
        <v>30</v>
      </c>
      <c r="BP1013" s="230">
        <f t="shared" si="847"/>
        <v>43</v>
      </c>
      <c r="BQ1013" s="235">
        <f t="shared" si="848"/>
        <v>3.2938815789473681</v>
      </c>
      <c r="BR1013" s="235" cm="1">
        <f t="array" ref="BR1013">$BI1013 * IF($AH1013&lt;=2,
SUMPRODUCT(INDEX($AR$72:$AT$76,,$AI1013), INDEX($AU$72:$BA$76,,$AH1013), 1 / ($BB$72:$BB$76*BQ1013 + (1-$BB$72:$BB$76)*BM1013), N($AQ$72:$AQ$76&gt;$AO1013)),
SUMPRODUCT(INDEX($AR$67:$AT$76,,$AI1013), INDEX($AU$67:$BA$76,,$AH1013), 1 / ($BC$67:$BC$76*BQ1013 + (1-$BC$67:$BC$76)*BM1013), N($AQ$67:$AQ$76&gt;$AO1013))
) / 1000</f>
        <v>0</v>
      </c>
      <c r="BS1013" s="232">
        <f t="shared" si="872"/>
        <v>25</v>
      </c>
      <c r="BT1013" s="230">
        <f t="shared" si="849"/>
        <v>38</v>
      </c>
      <c r="BU1013" s="235">
        <f t="shared" si="850"/>
        <v>3.792954545454545</v>
      </c>
      <c r="BV1013" s="235" cm="1">
        <f t="array" ref="BV1013">$BI1013 * IF($AH1013&lt;=2,
SUMPRODUCT(INDEX($AR$67:$AT$71,,$AI1013), INDEX($AU$67:$BA$71,,$AH1013), 1 / ($BB$67:$BB$71*BU1013 + (1-$BB$67:$BB$71)*BQ1013), N($AQ$67:$AQ$71&gt;$AO1013)),
SUMPRODUCT(INDEX($AR$57:$AT$66,,$AI1013), INDEX($AU$57:$BA$66,,$AH1013), 1 / ($BC$57:$BC$66*BU1013 + (1-$BC$57:$BC$66)*BQ1013), N($AQ$57:$AQ$66&gt;$AO1013))
) / 1000</f>
        <v>0</v>
      </c>
      <c r="BW1013" s="232">
        <f t="shared" si="873"/>
        <v>20</v>
      </c>
      <c r="BX1013" s="230">
        <f t="shared" si="851"/>
        <v>33</v>
      </c>
      <c r="BY1013" s="235">
        <f t="shared" si="852"/>
        <v>4.4702678571428569</v>
      </c>
      <c r="BZ1013" s="235" cm="1">
        <f t="array" ref="BZ1013">$BI1013 * IF($AH1013&lt;=2,
SUMPRODUCT(INDEX($AR$62:$AT$66,,$AI1013), INDEX($AU$62:$BA$66,,$AH1013), 1 / ($BB$62:$BB$66*BY1013 + (1-$BB$62:$BB$66)*BU1013), N($AQ$62:$AQ$66&gt;$AO1013)),
SUMPRODUCT(INDEX($AR$47:$AT$56,,$AI1013), INDEX($AU$47:$BA$56,,$AH1013), 1 / ($BC$47:$BC$56*BY1013 + (1-$BC$47:$BC$56)*BU1013), N($AQ$47:$AQ$56&gt;$AO1013))
) / 1000</f>
        <v>0</v>
      </c>
      <c r="CA1013" s="235" cm="1">
        <f t="array" ref="CA1013">$BI1013 * IF($AH1013&lt;=2,
SUMPRODUCT(INDEX($AR$23:$AT$61,,$AI1013), INDEX($AU$23:$BA$61,,$AH1013), 1 / ($BB$23:$BB$61*BY1013), N($AQ$23:$AQ$61&gt;$AO1013)),
SUMPRODUCT(INDEX($AR$23:$AT$46,,$AI1013), INDEX($AU$23:$BA$46,,$AH1013), 1 / ($BC$23:$BC$46*BY1013), N($AQ$23:$AQ$46&gt;$AO1013))
) / 1000</f>
        <v>0</v>
      </c>
      <c r="CB1013" s="230">
        <f t="shared" si="853"/>
        <v>0</v>
      </c>
      <c r="CC1013" s="238"/>
      <c r="CD1013" s="229" cm="1">
        <f t="array" ref="CD1013">IF(ISBLANK(Y1013), INDEX(Use, $AH1013, 4) - AN1013*INDEX(Use, $AH1013, 6) - (Q1013-X1013), Y1013)</f>
        <v>7</v>
      </c>
      <c r="CE1013" s="229">
        <f t="shared" si="854"/>
        <v>32</v>
      </c>
      <c r="CF1013" s="230">
        <f t="shared" si="855"/>
        <v>0</v>
      </c>
      <c r="CG1013" s="229">
        <v>35</v>
      </c>
      <c r="CH1013" s="230">
        <f t="shared" si="856"/>
        <v>48</v>
      </c>
      <c r="CI1013" s="235">
        <f t="shared" si="857"/>
        <v>3.0748170731707316</v>
      </c>
      <c r="CJ1013" s="235" cm="1">
        <f t="array" ref="CJ1013">$BI1013 * SUMPRODUCT(INDEX($AR$77:$AT$82,,$AI1013),INDEX($AU$77:$BA$82,,$AH1013), N($AQ$77:$AQ$82&gt;$AO1013)) / CI1013 / 1000</f>
        <v>0</v>
      </c>
      <c r="CK1013" s="232">
        <f t="shared" si="874"/>
        <v>30</v>
      </c>
      <c r="CL1013" s="230">
        <f t="shared" si="858"/>
        <v>43</v>
      </c>
      <c r="CM1013" s="235">
        <f t="shared" si="859"/>
        <v>3.5018750000000001</v>
      </c>
      <c r="CN1013" s="235" cm="1">
        <f t="array" ref="CN1013">$BI1013 * IF($AH1013&lt;=2,
SUMPRODUCT(INDEX($AR$72:$AT$76,,$AI1013), INDEX($AU$72:$BA$76,,$AH1013), 1 / ($BB$72:$BB$76*CM1013 + (1-$BB$72:$BB$76)*CI1013), N($AQ$72:$AQ$76&gt;$AO1013)),
SUMPRODUCT(INDEX($AR$67:$AT$76,,$AI1013), INDEX($AU$67:$BA$76,,$AH1013), 1 / ($BC$67:$BC$76*CM1013 + (1-$BC$67:$BC$76)*CI1013), N($AQ$67:$AQ$76&gt;$AO1013))
) / 1000</f>
        <v>0</v>
      </c>
      <c r="CO1013" s="232">
        <f t="shared" si="875"/>
        <v>25</v>
      </c>
      <c r="CP1013" s="230">
        <f t="shared" si="860"/>
        <v>38</v>
      </c>
      <c r="CQ1013" s="235">
        <f t="shared" si="861"/>
        <v>4.0666935483870965</v>
      </c>
      <c r="CR1013" s="235" cm="1">
        <f t="array" ref="CR1013">$BI1013 * IF($AH1013&lt;=2,
SUMPRODUCT(INDEX($AR$67:$AT$71,,$AI1013), INDEX($AU$67:$BA$71,,$AH1013), 1 / ($BB$67:$BB$71*CQ1013 + (1-$BB$67:$BB$71)*CM1013), N($AQ$67:$AQ$71&gt;$AO1013)),
SUMPRODUCT(INDEX($AR$57:$AT$66,,$AI1013), INDEX($AU$57:$BA$66,,$AH1013), 1 / ($BC$57:$BC$66*CQ1013 + (1-$BC$57:$BC$66)*CM1013), N($AQ$57:$AQ$66&gt;$AO1013))
) / 1000</f>
        <v>0</v>
      </c>
      <c r="CS1013" s="232">
        <f t="shared" si="876"/>
        <v>20</v>
      </c>
      <c r="CT1013" s="230">
        <f t="shared" si="862"/>
        <v>33</v>
      </c>
      <c r="CU1013" s="235">
        <f t="shared" si="863"/>
        <v>4.8487499999999999</v>
      </c>
      <c r="CV1013" s="235" cm="1">
        <f t="array" ref="CV1013">$BI1013 * IF($AH1013&lt;=2,
SUMPRODUCT(INDEX($AR$62:$AT$66,,$AI1013), INDEX($AU$62:$BA$66,,$AH1013), 1 / ($BB$62:$BB$66*CU1013 + (1-$BB$62:$BB$66)*CQ1013), N($AQ$62:$AQ$66&gt;$AO1013)),
SUMPRODUCT(INDEX($AR$47:$AT$56,,$AI1013), INDEX($AU$47:$BA$56,,$AH1013), 1 / ($BC$47:$BC$56*CU1013 + (1-$BC$47:$BC$56)*CQ1013), N($AQ$47:$AQ$56&gt;$AO1013))
) / 1000</f>
        <v>0</v>
      </c>
      <c r="CW1013" s="235" cm="1">
        <f t="array" ref="CW1013">$BI1013 * IF($AH1013&lt;=2,
SUMPRODUCT(INDEX($AR$23:$AT$61,,$AI1013), INDEX($AU$23:$BA$61,,$AH1013), 1 / ($BB$23:$BB$61*CU1013), N($AQ$23:$AQ$61&gt;$AO1013)),
SUMPRODUCT(INDEX($AR$23:$AT$46,,$AI1013), INDEX($AU$23:$BA$46,,$AH1013), 1 / ($BC$23:$BC$46*CU1013), N($AQ$23:$AQ$46&gt;$AO1013))
) / 1000</f>
        <v>0</v>
      </c>
      <c r="CX1013" s="230">
        <f t="shared" si="864"/>
        <v>0</v>
      </c>
      <c r="CY1013" s="238"/>
    </row>
    <row r="1014" spans="1:103" s="76" customFormat="1" ht="14.25" customHeight="1" x14ac:dyDescent="0.2">
      <c r="A1014" s="231" t="b">
        <f t="shared" si="868"/>
        <v>0</v>
      </c>
      <c r="B1014" s="245">
        <v>992</v>
      </c>
      <c r="C1014" s="258"/>
      <c r="D1014" s="258"/>
      <c r="E1014" s="246"/>
      <c r="F1014" s="247" t="str">
        <f>IF(ISBLANK(E1014), "", VLOOKUP(E1014, Z!$A$2:$C$4127, 3, FALSE))</f>
        <v/>
      </c>
      <c r="G1014" s="248"/>
      <c r="H1014" s="248"/>
      <c r="I1014" s="249"/>
      <c r="J1014" s="250"/>
      <c r="K1014" s="259"/>
      <c r="L1014" s="260"/>
      <c r="M1014" s="252" t="str" cm="1">
        <f t="array" ref="M1014">INDEX(Trad, 53, $A$20)</f>
        <v>Verschmutzt</v>
      </c>
      <c r="N1014" s="253"/>
      <c r="O1014" s="253"/>
      <c r="P1014" s="254"/>
      <c r="Q1014" s="251"/>
      <c r="R1014" s="251"/>
      <c r="S1014" s="264">
        <f t="shared" si="839"/>
        <v>0</v>
      </c>
      <c r="T1014" s="252" t="str" cm="1">
        <f t="array" ref="T1014">INDEX(Trad, 52, $A$20)</f>
        <v>Sauber</v>
      </c>
      <c r="U1014" s="253"/>
      <c r="V1014" s="253"/>
      <c r="W1014" s="254"/>
      <c r="X1014" s="251"/>
      <c r="Y1014" s="251"/>
      <c r="Z1014" s="264">
        <f t="shared" si="840"/>
        <v>0</v>
      </c>
      <c r="AA1014" s="261"/>
      <c r="AB1014" s="258"/>
      <c r="AC1014" s="246"/>
      <c r="AD1014" s="247" t="str">
        <f>IF(ISBLANK(AC1014), "", VLOOKUP(AC1014, Z!$A$2:$C$4127, 3, FALSE))</f>
        <v/>
      </c>
      <c r="AE1014" s="262"/>
      <c r="AF1014" s="263">
        <f t="shared" si="841"/>
        <v>0</v>
      </c>
      <c r="AG1014" s="238"/>
      <c r="AH1014" s="229">
        <f t="shared" si="865"/>
        <v>1</v>
      </c>
      <c r="AI1014" s="229">
        <f t="shared" si="866"/>
        <v>1</v>
      </c>
      <c r="AJ1014" s="229">
        <f t="shared" si="867"/>
        <v>0</v>
      </c>
      <c r="AK1014" s="229">
        <v>0</v>
      </c>
      <c r="AL1014" s="229">
        <v>0</v>
      </c>
      <c r="AM1014" s="229">
        <v>1</v>
      </c>
      <c r="AN1014" s="229">
        <v>0</v>
      </c>
      <c r="AO1014" s="229">
        <f t="shared" si="842"/>
        <v>-100</v>
      </c>
      <c r="AP1014" s="238"/>
      <c r="AQ1014" s="255"/>
      <c r="AR1014" s="255"/>
      <c r="AS1014" s="256"/>
      <c r="AT1014" s="256"/>
      <c r="AU1014" s="256"/>
      <c r="AV1014" s="256"/>
      <c r="AW1014" s="256"/>
      <c r="AX1014" s="256"/>
      <c r="AY1014" s="256"/>
      <c r="AZ1014" s="256"/>
      <c r="BA1014" s="256"/>
      <c r="BB1014" s="256"/>
      <c r="BC1014" s="256"/>
      <c r="BD1014" s="238"/>
      <c r="BE1014" s="229" cm="1">
        <f t="array" ref="BE1014">IF(ISBLANK(R1014), INDEX(Use, $AH1014, 4) - AM1014*INDEX(Use, $AH1014, 6), R1014)</f>
        <v>5</v>
      </c>
      <c r="BF1014" s="229">
        <f t="shared" si="843"/>
        <v>30</v>
      </c>
      <c r="BG1014" s="229">
        <f t="shared" si="869"/>
        <v>13</v>
      </c>
      <c r="BH1014" s="229">
        <f t="shared" si="870"/>
        <v>0</v>
      </c>
      <c r="BI1014" s="234" cm="1">
        <f t="array" ref="BI1014">K1014/IF($L1014&gt;0, INDEX($AU$23:$BA$77, $L1014+20, $AH1014), 1)</f>
        <v>0</v>
      </c>
      <c r="BJ1014" s="230">
        <f t="shared" si="844"/>
        <v>0</v>
      </c>
      <c r="BK1014" s="229">
        <v>35</v>
      </c>
      <c r="BL1014" s="230">
        <f t="shared" si="845"/>
        <v>48</v>
      </c>
      <c r="BM1014" s="235">
        <f t="shared" si="846"/>
        <v>2.9108720930232557</v>
      </c>
      <c r="BN1014" s="235" cm="1">
        <f t="array" ref="BN1014">$BI1014 * SUMPRODUCT(INDEX($AR$77:$AT$82,,$AI1014),INDEX($AU$77:$BA$82,,$AH1014), N($AQ$77:$AQ$82&gt;$AO1014)) / BM1014 / 1000</f>
        <v>0</v>
      </c>
      <c r="BO1014" s="232">
        <f t="shared" si="871"/>
        <v>30</v>
      </c>
      <c r="BP1014" s="230">
        <f t="shared" si="847"/>
        <v>43</v>
      </c>
      <c r="BQ1014" s="235">
        <f t="shared" si="848"/>
        <v>3.2938815789473681</v>
      </c>
      <c r="BR1014" s="235" cm="1">
        <f t="array" ref="BR1014">$BI1014 * IF($AH1014&lt;=2,
SUMPRODUCT(INDEX($AR$72:$AT$76,,$AI1014), INDEX($AU$72:$BA$76,,$AH1014), 1 / ($BB$72:$BB$76*BQ1014 + (1-$BB$72:$BB$76)*BM1014), N($AQ$72:$AQ$76&gt;$AO1014)),
SUMPRODUCT(INDEX($AR$67:$AT$76,,$AI1014), INDEX($AU$67:$BA$76,,$AH1014), 1 / ($BC$67:$BC$76*BQ1014 + (1-$BC$67:$BC$76)*BM1014), N($AQ$67:$AQ$76&gt;$AO1014))
) / 1000</f>
        <v>0</v>
      </c>
      <c r="BS1014" s="232">
        <f t="shared" si="872"/>
        <v>25</v>
      </c>
      <c r="BT1014" s="230">
        <f t="shared" si="849"/>
        <v>38</v>
      </c>
      <c r="BU1014" s="235">
        <f t="shared" si="850"/>
        <v>3.792954545454545</v>
      </c>
      <c r="BV1014" s="235" cm="1">
        <f t="array" ref="BV1014">$BI1014 * IF($AH1014&lt;=2,
SUMPRODUCT(INDEX($AR$67:$AT$71,,$AI1014), INDEX($AU$67:$BA$71,,$AH1014), 1 / ($BB$67:$BB$71*BU1014 + (1-$BB$67:$BB$71)*BQ1014), N($AQ$67:$AQ$71&gt;$AO1014)),
SUMPRODUCT(INDEX($AR$57:$AT$66,,$AI1014), INDEX($AU$57:$BA$66,,$AH1014), 1 / ($BC$57:$BC$66*BU1014 + (1-$BC$57:$BC$66)*BQ1014), N($AQ$57:$AQ$66&gt;$AO1014))
) / 1000</f>
        <v>0</v>
      </c>
      <c r="BW1014" s="232">
        <f t="shared" si="873"/>
        <v>20</v>
      </c>
      <c r="BX1014" s="230">
        <f t="shared" si="851"/>
        <v>33</v>
      </c>
      <c r="BY1014" s="235">
        <f t="shared" si="852"/>
        <v>4.4702678571428569</v>
      </c>
      <c r="BZ1014" s="235" cm="1">
        <f t="array" ref="BZ1014">$BI1014 * IF($AH1014&lt;=2,
SUMPRODUCT(INDEX($AR$62:$AT$66,,$AI1014), INDEX($AU$62:$BA$66,,$AH1014), 1 / ($BB$62:$BB$66*BY1014 + (1-$BB$62:$BB$66)*BU1014), N($AQ$62:$AQ$66&gt;$AO1014)),
SUMPRODUCT(INDEX($AR$47:$AT$56,,$AI1014), INDEX($AU$47:$BA$56,,$AH1014), 1 / ($BC$47:$BC$56*BY1014 + (1-$BC$47:$BC$56)*BU1014), N($AQ$47:$AQ$56&gt;$AO1014))
) / 1000</f>
        <v>0</v>
      </c>
      <c r="CA1014" s="235" cm="1">
        <f t="array" ref="CA1014">$BI1014 * IF($AH1014&lt;=2,
SUMPRODUCT(INDEX($AR$23:$AT$61,,$AI1014), INDEX($AU$23:$BA$61,,$AH1014), 1 / ($BB$23:$BB$61*BY1014), N($AQ$23:$AQ$61&gt;$AO1014)),
SUMPRODUCT(INDEX($AR$23:$AT$46,,$AI1014), INDEX($AU$23:$BA$46,,$AH1014), 1 / ($BC$23:$BC$46*BY1014), N($AQ$23:$AQ$46&gt;$AO1014))
) / 1000</f>
        <v>0</v>
      </c>
      <c r="CB1014" s="230">
        <f t="shared" si="853"/>
        <v>0</v>
      </c>
      <c r="CC1014" s="238"/>
      <c r="CD1014" s="229" cm="1">
        <f t="array" ref="CD1014">IF(ISBLANK(Y1014), INDEX(Use, $AH1014, 4) - AN1014*INDEX(Use, $AH1014, 6) - (Q1014-X1014), Y1014)</f>
        <v>7</v>
      </c>
      <c r="CE1014" s="229">
        <f t="shared" si="854"/>
        <v>32</v>
      </c>
      <c r="CF1014" s="230">
        <f t="shared" si="855"/>
        <v>0</v>
      </c>
      <c r="CG1014" s="229">
        <v>35</v>
      </c>
      <c r="CH1014" s="230">
        <f t="shared" si="856"/>
        <v>48</v>
      </c>
      <c r="CI1014" s="235">
        <f t="shared" si="857"/>
        <v>3.0748170731707316</v>
      </c>
      <c r="CJ1014" s="235" cm="1">
        <f t="array" ref="CJ1014">$BI1014 * SUMPRODUCT(INDEX($AR$77:$AT$82,,$AI1014),INDEX($AU$77:$BA$82,,$AH1014), N($AQ$77:$AQ$82&gt;$AO1014)) / CI1014 / 1000</f>
        <v>0</v>
      </c>
      <c r="CK1014" s="232">
        <f t="shared" si="874"/>
        <v>30</v>
      </c>
      <c r="CL1014" s="230">
        <f t="shared" si="858"/>
        <v>43</v>
      </c>
      <c r="CM1014" s="235">
        <f t="shared" si="859"/>
        <v>3.5018750000000001</v>
      </c>
      <c r="CN1014" s="235" cm="1">
        <f t="array" ref="CN1014">$BI1014 * IF($AH1014&lt;=2,
SUMPRODUCT(INDEX($AR$72:$AT$76,,$AI1014), INDEX($AU$72:$BA$76,,$AH1014), 1 / ($BB$72:$BB$76*CM1014 + (1-$BB$72:$BB$76)*CI1014), N($AQ$72:$AQ$76&gt;$AO1014)),
SUMPRODUCT(INDEX($AR$67:$AT$76,,$AI1014), INDEX($AU$67:$BA$76,,$AH1014), 1 / ($BC$67:$BC$76*CM1014 + (1-$BC$67:$BC$76)*CI1014), N($AQ$67:$AQ$76&gt;$AO1014))
) / 1000</f>
        <v>0</v>
      </c>
      <c r="CO1014" s="232">
        <f t="shared" si="875"/>
        <v>25</v>
      </c>
      <c r="CP1014" s="230">
        <f t="shared" si="860"/>
        <v>38</v>
      </c>
      <c r="CQ1014" s="235">
        <f t="shared" si="861"/>
        <v>4.0666935483870965</v>
      </c>
      <c r="CR1014" s="235" cm="1">
        <f t="array" ref="CR1014">$BI1014 * IF($AH1014&lt;=2,
SUMPRODUCT(INDEX($AR$67:$AT$71,,$AI1014), INDEX($AU$67:$BA$71,,$AH1014), 1 / ($BB$67:$BB$71*CQ1014 + (1-$BB$67:$BB$71)*CM1014), N($AQ$67:$AQ$71&gt;$AO1014)),
SUMPRODUCT(INDEX($AR$57:$AT$66,,$AI1014), INDEX($AU$57:$BA$66,,$AH1014), 1 / ($BC$57:$BC$66*CQ1014 + (1-$BC$57:$BC$66)*CM1014), N($AQ$57:$AQ$66&gt;$AO1014))
) / 1000</f>
        <v>0</v>
      </c>
      <c r="CS1014" s="232">
        <f t="shared" si="876"/>
        <v>20</v>
      </c>
      <c r="CT1014" s="230">
        <f t="shared" si="862"/>
        <v>33</v>
      </c>
      <c r="CU1014" s="235">
        <f t="shared" si="863"/>
        <v>4.8487499999999999</v>
      </c>
      <c r="CV1014" s="235" cm="1">
        <f t="array" ref="CV1014">$BI1014 * IF($AH1014&lt;=2,
SUMPRODUCT(INDEX($AR$62:$AT$66,,$AI1014), INDEX($AU$62:$BA$66,,$AH1014), 1 / ($BB$62:$BB$66*CU1014 + (1-$BB$62:$BB$66)*CQ1014), N($AQ$62:$AQ$66&gt;$AO1014)),
SUMPRODUCT(INDEX($AR$47:$AT$56,,$AI1014), INDEX($AU$47:$BA$56,,$AH1014), 1 / ($BC$47:$BC$56*CU1014 + (1-$BC$47:$BC$56)*CQ1014), N($AQ$47:$AQ$56&gt;$AO1014))
) / 1000</f>
        <v>0</v>
      </c>
      <c r="CW1014" s="235" cm="1">
        <f t="array" ref="CW1014">$BI1014 * IF($AH1014&lt;=2,
SUMPRODUCT(INDEX($AR$23:$AT$61,,$AI1014), INDEX($AU$23:$BA$61,,$AH1014), 1 / ($BB$23:$BB$61*CU1014), N($AQ$23:$AQ$61&gt;$AO1014)),
SUMPRODUCT(INDEX($AR$23:$AT$46,,$AI1014), INDEX($AU$23:$BA$46,,$AH1014), 1 / ($BC$23:$BC$46*CU1014), N($AQ$23:$AQ$46&gt;$AO1014))
) / 1000</f>
        <v>0</v>
      </c>
      <c r="CX1014" s="230">
        <f t="shared" si="864"/>
        <v>0</v>
      </c>
      <c r="CY1014" s="238"/>
    </row>
    <row r="1015" spans="1:103" s="76" customFormat="1" ht="14.25" customHeight="1" x14ac:dyDescent="0.2">
      <c r="A1015" s="231" t="b">
        <f t="shared" si="868"/>
        <v>0</v>
      </c>
      <c r="B1015" s="245">
        <v>993</v>
      </c>
      <c r="C1015" s="258"/>
      <c r="D1015" s="258"/>
      <c r="E1015" s="246"/>
      <c r="F1015" s="247" t="str">
        <f>IF(ISBLANK(E1015), "", VLOOKUP(E1015, Z!$A$2:$C$4127, 3, FALSE))</f>
        <v/>
      </c>
      <c r="G1015" s="248"/>
      <c r="H1015" s="248"/>
      <c r="I1015" s="249"/>
      <c r="J1015" s="250"/>
      <c r="K1015" s="259"/>
      <c r="L1015" s="260"/>
      <c r="M1015" s="252" t="str" cm="1">
        <f t="array" ref="M1015">INDEX(Trad, 53, $A$20)</f>
        <v>Verschmutzt</v>
      </c>
      <c r="N1015" s="253"/>
      <c r="O1015" s="253"/>
      <c r="P1015" s="254"/>
      <c r="Q1015" s="251"/>
      <c r="R1015" s="251"/>
      <c r="S1015" s="264">
        <f t="shared" si="839"/>
        <v>0</v>
      </c>
      <c r="T1015" s="252" t="str" cm="1">
        <f t="array" ref="T1015">INDEX(Trad, 52, $A$20)</f>
        <v>Sauber</v>
      </c>
      <c r="U1015" s="253"/>
      <c r="V1015" s="253"/>
      <c r="W1015" s="254"/>
      <c r="X1015" s="251"/>
      <c r="Y1015" s="251"/>
      <c r="Z1015" s="264">
        <f t="shared" si="840"/>
        <v>0</v>
      </c>
      <c r="AA1015" s="261"/>
      <c r="AB1015" s="258"/>
      <c r="AC1015" s="246"/>
      <c r="AD1015" s="247" t="str">
        <f>IF(ISBLANK(AC1015), "", VLOOKUP(AC1015, Z!$A$2:$C$4127, 3, FALSE))</f>
        <v/>
      </c>
      <c r="AE1015" s="262"/>
      <c r="AF1015" s="263">
        <f t="shared" si="841"/>
        <v>0</v>
      </c>
      <c r="AG1015" s="238"/>
      <c r="AH1015" s="229">
        <f t="shared" si="865"/>
        <v>1</v>
      </c>
      <c r="AI1015" s="229">
        <f t="shared" si="866"/>
        <v>1</v>
      </c>
      <c r="AJ1015" s="229">
        <f t="shared" si="867"/>
        <v>0</v>
      </c>
      <c r="AK1015" s="229">
        <v>0</v>
      </c>
      <c r="AL1015" s="229">
        <v>0</v>
      </c>
      <c r="AM1015" s="229">
        <v>1</v>
      </c>
      <c r="AN1015" s="229">
        <v>0</v>
      </c>
      <c r="AO1015" s="229">
        <f t="shared" si="842"/>
        <v>-100</v>
      </c>
      <c r="AP1015" s="238"/>
      <c r="AQ1015" s="255"/>
      <c r="AR1015" s="255"/>
      <c r="AS1015" s="256"/>
      <c r="AT1015" s="256"/>
      <c r="AU1015" s="256"/>
      <c r="AV1015" s="256"/>
      <c r="AW1015" s="256"/>
      <c r="AX1015" s="256"/>
      <c r="AY1015" s="256"/>
      <c r="AZ1015" s="256"/>
      <c r="BA1015" s="256"/>
      <c r="BB1015" s="256"/>
      <c r="BC1015" s="256"/>
      <c r="BD1015" s="238"/>
      <c r="BE1015" s="229" cm="1">
        <f t="array" ref="BE1015">IF(ISBLANK(R1015), INDEX(Use, $AH1015, 4) - AM1015*INDEX(Use, $AH1015, 6), R1015)</f>
        <v>5</v>
      </c>
      <c r="BF1015" s="229">
        <f t="shared" si="843"/>
        <v>30</v>
      </c>
      <c r="BG1015" s="229">
        <f t="shared" si="869"/>
        <v>13</v>
      </c>
      <c r="BH1015" s="229">
        <f t="shared" si="870"/>
        <v>0</v>
      </c>
      <c r="BI1015" s="234" cm="1">
        <f t="array" ref="BI1015">K1015/IF($L1015&gt;0, INDEX($AU$23:$BA$77, $L1015+20, $AH1015), 1)</f>
        <v>0</v>
      </c>
      <c r="BJ1015" s="230">
        <f t="shared" si="844"/>
        <v>0</v>
      </c>
      <c r="BK1015" s="229">
        <v>35</v>
      </c>
      <c r="BL1015" s="230">
        <f t="shared" si="845"/>
        <v>48</v>
      </c>
      <c r="BM1015" s="235">
        <f t="shared" si="846"/>
        <v>2.9108720930232557</v>
      </c>
      <c r="BN1015" s="235" cm="1">
        <f t="array" ref="BN1015">$BI1015 * SUMPRODUCT(INDEX($AR$77:$AT$82,,$AI1015),INDEX($AU$77:$BA$82,,$AH1015), N($AQ$77:$AQ$82&gt;$AO1015)) / BM1015 / 1000</f>
        <v>0</v>
      </c>
      <c r="BO1015" s="232">
        <f t="shared" si="871"/>
        <v>30</v>
      </c>
      <c r="BP1015" s="230">
        <f t="shared" si="847"/>
        <v>43</v>
      </c>
      <c r="BQ1015" s="235">
        <f t="shared" si="848"/>
        <v>3.2938815789473681</v>
      </c>
      <c r="BR1015" s="235" cm="1">
        <f t="array" ref="BR1015">$BI1015 * IF($AH1015&lt;=2,
SUMPRODUCT(INDEX($AR$72:$AT$76,,$AI1015), INDEX($AU$72:$BA$76,,$AH1015), 1 / ($BB$72:$BB$76*BQ1015 + (1-$BB$72:$BB$76)*BM1015), N($AQ$72:$AQ$76&gt;$AO1015)),
SUMPRODUCT(INDEX($AR$67:$AT$76,,$AI1015), INDEX($AU$67:$BA$76,,$AH1015), 1 / ($BC$67:$BC$76*BQ1015 + (1-$BC$67:$BC$76)*BM1015), N($AQ$67:$AQ$76&gt;$AO1015))
) / 1000</f>
        <v>0</v>
      </c>
      <c r="BS1015" s="232">
        <f t="shared" si="872"/>
        <v>25</v>
      </c>
      <c r="BT1015" s="230">
        <f t="shared" si="849"/>
        <v>38</v>
      </c>
      <c r="BU1015" s="235">
        <f t="shared" si="850"/>
        <v>3.792954545454545</v>
      </c>
      <c r="BV1015" s="235" cm="1">
        <f t="array" ref="BV1015">$BI1015 * IF($AH1015&lt;=2,
SUMPRODUCT(INDEX($AR$67:$AT$71,,$AI1015), INDEX($AU$67:$BA$71,,$AH1015), 1 / ($BB$67:$BB$71*BU1015 + (1-$BB$67:$BB$71)*BQ1015), N($AQ$67:$AQ$71&gt;$AO1015)),
SUMPRODUCT(INDEX($AR$57:$AT$66,,$AI1015), INDEX($AU$57:$BA$66,,$AH1015), 1 / ($BC$57:$BC$66*BU1015 + (1-$BC$57:$BC$66)*BQ1015), N($AQ$57:$AQ$66&gt;$AO1015))
) / 1000</f>
        <v>0</v>
      </c>
      <c r="BW1015" s="232">
        <f t="shared" si="873"/>
        <v>20</v>
      </c>
      <c r="BX1015" s="230">
        <f t="shared" si="851"/>
        <v>33</v>
      </c>
      <c r="BY1015" s="235">
        <f t="shared" si="852"/>
        <v>4.4702678571428569</v>
      </c>
      <c r="BZ1015" s="235" cm="1">
        <f t="array" ref="BZ1015">$BI1015 * IF($AH1015&lt;=2,
SUMPRODUCT(INDEX($AR$62:$AT$66,,$AI1015), INDEX($AU$62:$BA$66,,$AH1015), 1 / ($BB$62:$BB$66*BY1015 + (1-$BB$62:$BB$66)*BU1015), N($AQ$62:$AQ$66&gt;$AO1015)),
SUMPRODUCT(INDEX($AR$47:$AT$56,,$AI1015), INDEX($AU$47:$BA$56,,$AH1015), 1 / ($BC$47:$BC$56*BY1015 + (1-$BC$47:$BC$56)*BU1015), N($AQ$47:$AQ$56&gt;$AO1015))
) / 1000</f>
        <v>0</v>
      </c>
      <c r="CA1015" s="235" cm="1">
        <f t="array" ref="CA1015">$BI1015 * IF($AH1015&lt;=2,
SUMPRODUCT(INDEX($AR$23:$AT$61,,$AI1015), INDEX($AU$23:$BA$61,,$AH1015), 1 / ($BB$23:$BB$61*BY1015), N($AQ$23:$AQ$61&gt;$AO1015)),
SUMPRODUCT(INDEX($AR$23:$AT$46,,$AI1015), INDEX($AU$23:$BA$46,,$AH1015), 1 / ($BC$23:$BC$46*BY1015), N($AQ$23:$AQ$46&gt;$AO1015))
) / 1000</f>
        <v>0</v>
      </c>
      <c r="CB1015" s="230">
        <f t="shared" si="853"/>
        <v>0</v>
      </c>
      <c r="CC1015" s="238"/>
      <c r="CD1015" s="229" cm="1">
        <f t="array" ref="CD1015">IF(ISBLANK(Y1015), INDEX(Use, $AH1015, 4) - AN1015*INDEX(Use, $AH1015, 6) - (Q1015-X1015), Y1015)</f>
        <v>7</v>
      </c>
      <c r="CE1015" s="229">
        <f t="shared" si="854"/>
        <v>32</v>
      </c>
      <c r="CF1015" s="230">
        <f t="shared" si="855"/>
        <v>0</v>
      </c>
      <c r="CG1015" s="229">
        <v>35</v>
      </c>
      <c r="CH1015" s="230">
        <f t="shared" si="856"/>
        <v>48</v>
      </c>
      <c r="CI1015" s="235">
        <f t="shared" si="857"/>
        <v>3.0748170731707316</v>
      </c>
      <c r="CJ1015" s="235" cm="1">
        <f t="array" ref="CJ1015">$BI1015 * SUMPRODUCT(INDEX($AR$77:$AT$82,,$AI1015),INDEX($AU$77:$BA$82,,$AH1015), N($AQ$77:$AQ$82&gt;$AO1015)) / CI1015 / 1000</f>
        <v>0</v>
      </c>
      <c r="CK1015" s="232">
        <f t="shared" si="874"/>
        <v>30</v>
      </c>
      <c r="CL1015" s="230">
        <f t="shared" si="858"/>
        <v>43</v>
      </c>
      <c r="CM1015" s="235">
        <f t="shared" si="859"/>
        <v>3.5018750000000001</v>
      </c>
      <c r="CN1015" s="235" cm="1">
        <f t="array" ref="CN1015">$BI1015 * IF($AH1015&lt;=2,
SUMPRODUCT(INDEX($AR$72:$AT$76,,$AI1015), INDEX($AU$72:$BA$76,,$AH1015), 1 / ($BB$72:$BB$76*CM1015 + (1-$BB$72:$BB$76)*CI1015), N($AQ$72:$AQ$76&gt;$AO1015)),
SUMPRODUCT(INDEX($AR$67:$AT$76,,$AI1015), INDEX($AU$67:$BA$76,,$AH1015), 1 / ($BC$67:$BC$76*CM1015 + (1-$BC$67:$BC$76)*CI1015), N($AQ$67:$AQ$76&gt;$AO1015))
) / 1000</f>
        <v>0</v>
      </c>
      <c r="CO1015" s="232">
        <f t="shared" si="875"/>
        <v>25</v>
      </c>
      <c r="CP1015" s="230">
        <f t="shared" si="860"/>
        <v>38</v>
      </c>
      <c r="CQ1015" s="235">
        <f t="shared" si="861"/>
        <v>4.0666935483870965</v>
      </c>
      <c r="CR1015" s="235" cm="1">
        <f t="array" ref="CR1015">$BI1015 * IF($AH1015&lt;=2,
SUMPRODUCT(INDEX($AR$67:$AT$71,,$AI1015), INDEX($AU$67:$BA$71,,$AH1015), 1 / ($BB$67:$BB$71*CQ1015 + (1-$BB$67:$BB$71)*CM1015), N($AQ$67:$AQ$71&gt;$AO1015)),
SUMPRODUCT(INDEX($AR$57:$AT$66,,$AI1015), INDEX($AU$57:$BA$66,,$AH1015), 1 / ($BC$57:$BC$66*CQ1015 + (1-$BC$57:$BC$66)*CM1015), N($AQ$57:$AQ$66&gt;$AO1015))
) / 1000</f>
        <v>0</v>
      </c>
      <c r="CS1015" s="232">
        <f t="shared" si="876"/>
        <v>20</v>
      </c>
      <c r="CT1015" s="230">
        <f t="shared" si="862"/>
        <v>33</v>
      </c>
      <c r="CU1015" s="235">
        <f t="shared" si="863"/>
        <v>4.8487499999999999</v>
      </c>
      <c r="CV1015" s="235" cm="1">
        <f t="array" ref="CV1015">$BI1015 * IF($AH1015&lt;=2,
SUMPRODUCT(INDEX($AR$62:$AT$66,,$AI1015), INDEX($AU$62:$BA$66,,$AH1015), 1 / ($BB$62:$BB$66*CU1015 + (1-$BB$62:$BB$66)*CQ1015), N($AQ$62:$AQ$66&gt;$AO1015)),
SUMPRODUCT(INDEX($AR$47:$AT$56,,$AI1015), INDEX($AU$47:$BA$56,,$AH1015), 1 / ($BC$47:$BC$56*CU1015 + (1-$BC$47:$BC$56)*CQ1015), N($AQ$47:$AQ$56&gt;$AO1015))
) / 1000</f>
        <v>0</v>
      </c>
      <c r="CW1015" s="235" cm="1">
        <f t="array" ref="CW1015">$BI1015 * IF($AH1015&lt;=2,
SUMPRODUCT(INDEX($AR$23:$AT$61,,$AI1015), INDEX($AU$23:$BA$61,,$AH1015), 1 / ($BB$23:$BB$61*CU1015), N($AQ$23:$AQ$61&gt;$AO1015)),
SUMPRODUCT(INDEX($AR$23:$AT$46,,$AI1015), INDEX($AU$23:$BA$46,,$AH1015), 1 / ($BC$23:$BC$46*CU1015), N($AQ$23:$AQ$46&gt;$AO1015))
) / 1000</f>
        <v>0</v>
      </c>
      <c r="CX1015" s="230">
        <f t="shared" si="864"/>
        <v>0</v>
      </c>
      <c r="CY1015" s="238"/>
    </row>
    <row r="1016" spans="1:103" s="76" customFormat="1" ht="14.25" customHeight="1" x14ac:dyDescent="0.2">
      <c r="A1016" s="231" t="b">
        <f t="shared" si="868"/>
        <v>0</v>
      </c>
      <c r="B1016" s="245">
        <v>994</v>
      </c>
      <c r="C1016" s="258"/>
      <c r="D1016" s="258"/>
      <c r="E1016" s="246"/>
      <c r="F1016" s="247" t="str">
        <f>IF(ISBLANK(E1016), "", VLOOKUP(E1016, Z!$A$2:$C$4127, 3, FALSE))</f>
        <v/>
      </c>
      <c r="G1016" s="248"/>
      <c r="H1016" s="248"/>
      <c r="I1016" s="249"/>
      <c r="J1016" s="250"/>
      <c r="K1016" s="259"/>
      <c r="L1016" s="260"/>
      <c r="M1016" s="252" t="str" cm="1">
        <f t="array" ref="M1016">INDEX(Trad, 53, $A$20)</f>
        <v>Verschmutzt</v>
      </c>
      <c r="N1016" s="253"/>
      <c r="O1016" s="253"/>
      <c r="P1016" s="254"/>
      <c r="Q1016" s="251"/>
      <c r="R1016" s="251"/>
      <c r="S1016" s="264">
        <f t="shared" si="839"/>
        <v>0</v>
      </c>
      <c r="T1016" s="252" t="str" cm="1">
        <f t="array" ref="T1016">INDEX(Trad, 52, $A$20)</f>
        <v>Sauber</v>
      </c>
      <c r="U1016" s="253"/>
      <c r="V1016" s="253"/>
      <c r="W1016" s="254"/>
      <c r="X1016" s="251"/>
      <c r="Y1016" s="251"/>
      <c r="Z1016" s="264">
        <f t="shared" si="840"/>
        <v>0</v>
      </c>
      <c r="AA1016" s="261"/>
      <c r="AB1016" s="258"/>
      <c r="AC1016" s="246"/>
      <c r="AD1016" s="247" t="str">
        <f>IF(ISBLANK(AC1016), "", VLOOKUP(AC1016, Z!$A$2:$C$4127, 3, FALSE))</f>
        <v/>
      </c>
      <c r="AE1016" s="262"/>
      <c r="AF1016" s="263">
        <f t="shared" si="841"/>
        <v>0</v>
      </c>
      <c r="AG1016" s="238"/>
      <c r="AH1016" s="229">
        <f t="shared" si="865"/>
        <v>1</v>
      </c>
      <c r="AI1016" s="229">
        <f t="shared" si="866"/>
        <v>1</v>
      </c>
      <c r="AJ1016" s="229">
        <f t="shared" si="867"/>
        <v>0</v>
      </c>
      <c r="AK1016" s="229">
        <v>0</v>
      </c>
      <c r="AL1016" s="229">
        <v>0</v>
      </c>
      <c r="AM1016" s="229">
        <v>1</v>
      </c>
      <c r="AN1016" s="229">
        <v>0</v>
      </c>
      <c r="AO1016" s="229">
        <f t="shared" si="842"/>
        <v>-100</v>
      </c>
      <c r="AP1016" s="238"/>
      <c r="AQ1016" s="255"/>
      <c r="AR1016" s="255"/>
      <c r="AS1016" s="256"/>
      <c r="AT1016" s="256"/>
      <c r="AU1016" s="256"/>
      <c r="AV1016" s="256"/>
      <c r="AW1016" s="256"/>
      <c r="AX1016" s="256"/>
      <c r="AY1016" s="256"/>
      <c r="AZ1016" s="256"/>
      <c r="BA1016" s="256"/>
      <c r="BB1016" s="256"/>
      <c r="BC1016" s="256"/>
      <c r="BD1016" s="238"/>
      <c r="BE1016" s="229" cm="1">
        <f t="array" ref="BE1016">IF(ISBLANK(R1016), INDEX(Use, $AH1016, 4) - AM1016*INDEX(Use, $AH1016, 6), R1016)</f>
        <v>5</v>
      </c>
      <c r="BF1016" s="229">
        <f t="shared" si="843"/>
        <v>30</v>
      </c>
      <c r="BG1016" s="229">
        <f t="shared" si="869"/>
        <v>13</v>
      </c>
      <c r="BH1016" s="229">
        <f t="shared" si="870"/>
        <v>0</v>
      </c>
      <c r="BI1016" s="234" cm="1">
        <f t="array" ref="BI1016">K1016/IF($L1016&gt;0, INDEX($AU$23:$BA$77, $L1016+20, $AH1016), 1)</f>
        <v>0</v>
      </c>
      <c r="BJ1016" s="230">
        <f t="shared" si="844"/>
        <v>0</v>
      </c>
      <c r="BK1016" s="229">
        <v>35</v>
      </c>
      <c r="BL1016" s="230">
        <f t="shared" si="845"/>
        <v>48</v>
      </c>
      <c r="BM1016" s="235">
        <f t="shared" si="846"/>
        <v>2.9108720930232557</v>
      </c>
      <c r="BN1016" s="235" cm="1">
        <f t="array" ref="BN1016">$BI1016 * SUMPRODUCT(INDEX($AR$77:$AT$82,,$AI1016),INDEX($AU$77:$BA$82,,$AH1016), N($AQ$77:$AQ$82&gt;$AO1016)) / BM1016 / 1000</f>
        <v>0</v>
      </c>
      <c r="BO1016" s="232">
        <f t="shared" si="871"/>
        <v>30</v>
      </c>
      <c r="BP1016" s="230">
        <f t="shared" si="847"/>
        <v>43</v>
      </c>
      <c r="BQ1016" s="235">
        <f t="shared" si="848"/>
        <v>3.2938815789473681</v>
      </c>
      <c r="BR1016" s="235" cm="1">
        <f t="array" ref="BR1016">$BI1016 * IF($AH1016&lt;=2,
SUMPRODUCT(INDEX($AR$72:$AT$76,,$AI1016), INDEX($AU$72:$BA$76,,$AH1016), 1 / ($BB$72:$BB$76*BQ1016 + (1-$BB$72:$BB$76)*BM1016), N($AQ$72:$AQ$76&gt;$AO1016)),
SUMPRODUCT(INDEX($AR$67:$AT$76,,$AI1016), INDEX($AU$67:$BA$76,,$AH1016), 1 / ($BC$67:$BC$76*BQ1016 + (1-$BC$67:$BC$76)*BM1016), N($AQ$67:$AQ$76&gt;$AO1016))
) / 1000</f>
        <v>0</v>
      </c>
      <c r="BS1016" s="232">
        <f t="shared" si="872"/>
        <v>25</v>
      </c>
      <c r="BT1016" s="230">
        <f t="shared" si="849"/>
        <v>38</v>
      </c>
      <c r="BU1016" s="235">
        <f t="shared" si="850"/>
        <v>3.792954545454545</v>
      </c>
      <c r="BV1016" s="235" cm="1">
        <f t="array" ref="BV1016">$BI1016 * IF($AH1016&lt;=2,
SUMPRODUCT(INDEX($AR$67:$AT$71,,$AI1016), INDEX($AU$67:$BA$71,,$AH1016), 1 / ($BB$67:$BB$71*BU1016 + (1-$BB$67:$BB$71)*BQ1016), N($AQ$67:$AQ$71&gt;$AO1016)),
SUMPRODUCT(INDEX($AR$57:$AT$66,,$AI1016), INDEX($AU$57:$BA$66,,$AH1016), 1 / ($BC$57:$BC$66*BU1016 + (1-$BC$57:$BC$66)*BQ1016), N($AQ$57:$AQ$66&gt;$AO1016))
) / 1000</f>
        <v>0</v>
      </c>
      <c r="BW1016" s="232">
        <f t="shared" si="873"/>
        <v>20</v>
      </c>
      <c r="BX1016" s="230">
        <f t="shared" si="851"/>
        <v>33</v>
      </c>
      <c r="BY1016" s="235">
        <f t="shared" si="852"/>
        <v>4.4702678571428569</v>
      </c>
      <c r="BZ1016" s="235" cm="1">
        <f t="array" ref="BZ1016">$BI1016 * IF($AH1016&lt;=2,
SUMPRODUCT(INDEX($AR$62:$AT$66,,$AI1016), INDEX($AU$62:$BA$66,,$AH1016), 1 / ($BB$62:$BB$66*BY1016 + (1-$BB$62:$BB$66)*BU1016), N($AQ$62:$AQ$66&gt;$AO1016)),
SUMPRODUCT(INDEX($AR$47:$AT$56,,$AI1016), INDEX($AU$47:$BA$56,,$AH1016), 1 / ($BC$47:$BC$56*BY1016 + (1-$BC$47:$BC$56)*BU1016), N($AQ$47:$AQ$56&gt;$AO1016))
) / 1000</f>
        <v>0</v>
      </c>
      <c r="CA1016" s="235" cm="1">
        <f t="array" ref="CA1016">$BI1016 * IF($AH1016&lt;=2,
SUMPRODUCT(INDEX($AR$23:$AT$61,,$AI1016), INDEX($AU$23:$BA$61,,$AH1016), 1 / ($BB$23:$BB$61*BY1016), N($AQ$23:$AQ$61&gt;$AO1016)),
SUMPRODUCT(INDEX($AR$23:$AT$46,,$AI1016), INDEX($AU$23:$BA$46,,$AH1016), 1 / ($BC$23:$BC$46*BY1016), N($AQ$23:$AQ$46&gt;$AO1016))
) / 1000</f>
        <v>0</v>
      </c>
      <c r="CB1016" s="230">
        <f t="shared" si="853"/>
        <v>0</v>
      </c>
      <c r="CC1016" s="238"/>
      <c r="CD1016" s="229" cm="1">
        <f t="array" ref="CD1016">IF(ISBLANK(Y1016), INDEX(Use, $AH1016, 4) - AN1016*INDEX(Use, $AH1016, 6) - (Q1016-X1016), Y1016)</f>
        <v>7</v>
      </c>
      <c r="CE1016" s="229">
        <f t="shared" si="854"/>
        <v>32</v>
      </c>
      <c r="CF1016" s="230">
        <f t="shared" si="855"/>
        <v>0</v>
      </c>
      <c r="CG1016" s="229">
        <v>35</v>
      </c>
      <c r="CH1016" s="230">
        <f t="shared" si="856"/>
        <v>48</v>
      </c>
      <c r="CI1016" s="235">
        <f t="shared" si="857"/>
        <v>3.0748170731707316</v>
      </c>
      <c r="CJ1016" s="235" cm="1">
        <f t="array" ref="CJ1016">$BI1016 * SUMPRODUCT(INDEX($AR$77:$AT$82,,$AI1016),INDEX($AU$77:$BA$82,,$AH1016), N($AQ$77:$AQ$82&gt;$AO1016)) / CI1016 / 1000</f>
        <v>0</v>
      </c>
      <c r="CK1016" s="232">
        <f t="shared" si="874"/>
        <v>30</v>
      </c>
      <c r="CL1016" s="230">
        <f t="shared" si="858"/>
        <v>43</v>
      </c>
      <c r="CM1016" s="235">
        <f t="shared" si="859"/>
        <v>3.5018750000000001</v>
      </c>
      <c r="CN1016" s="235" cm="1">
        <f t="array" ref="CN1016">$BI1016 * IF($AH1016&lt;=2,
SUMPRODUCT(INDEX($AR$72:$AT$76,,$AI1016), INDEX($AU$72:$BA$76,,$AH1016), 1 / ($BB$72:$BB$76*CM1016 + (1-$BB$72:$BB$76)*CI1016), N($AQ$72:$AQ$76&gt;$AO1016)),
SUMPRODUCT(INDEX($AR$67:$AT$76,,$AI1016), INDEX($AU$67:$BA$76,,$AH1016), 1 / ($BC$67:$BC$76*CM1016 + (1-$BC$67:$BC$76)*CI1016), N($AQ$67:$AQ$76&gt;$AO1016))
) / 1000</f>
        <v>0</v>
      </c>
      <c r="CO1016" s="232">
        <f t="shared" si="875"/>
        <v>25</v>
      </c>
      <c r="CP1016" s="230">
        <f t="shared" si="860"/>
        <v>38</v>
      </c>
      <c r="CQ1016" s="235">
        <f t="shared" si="861"/>
        <v>4.0666935483870965</v>
      </c>
      <c r="CR1016" s="235" cm="1">
        <f t="array" ref="CR1016">$BI1016 * IF($AH1016&lt;=2,
SUMPRODUCT(INDEX($AR$67:$AT$71,,$AI1016), INDEX($AU$67:$BA$71,,$AH1016), 1 / ($BB$67:$BB$71*CQ1016 + (1-$BB$67:$BB$71)*CM1016), N($AQ$67:$AQ$71&gt;$AO1016)),
SUMPRODUCT(INDEX($AR$57:$AT$66,,$AI1016), INDEX($AU$57:$BA$66,,$AH1016), 1 / ($BC$57:$BC$66*CQ1016 + (1-$BC$57:$BC$66)*CM1016), N($AQ$57:$AQ$66&gt;$AO1016))
) / 1000</f>
        <v>0</v>
      </c>
      <c r="CS1016" s="232">
        <f t="shared" si="876"/>
        <v>20</v>
      </c>
      <c r="CT1016" s="230">
        <f t="shared" si="862"/>
        <v>33</v>
      </c>
      <c r="CU1016" s="235">
        <f t="shared" si="863"/>
        <v>4.8487499999999999</v>
      </c>
      <c r="CV1016" s="235" cm="1">
        <f t="array" ref="CV1016">$BI1016 * IF($AH1016&lt;=2,
SUMPRODUCT(INDEX($AR$62:$AT$66,,$AI1016), INDEX($AU$62:$BA$66,,$AH1016), 1 / ($BB$62:$BB$66*CU1016 + (1-$BB$62:$BB$66)*CQ1016), N($AQ$62:$AQ$66&gt;$AO1016)),
SUMPRODUCT(INDEX($AR$47:$AT$56,,$AI1016), INDEX($AU$47:$BA$56,,$AH1016), 1 / ($BC$47:$BC$56*CU1016 + (1-$BC$47:$BC$56)*CQ1016), N($AQ$47:$AQ$56&gt;$AO1016))
) / 1000</f>
        <v>0</v>
      </c>
      <c r="CW1016" s="235" cm="1">
        <f t="array" ref="CW1016">$BI1016 * IF($AH1016&lt;=2,
SUMPRODUCT(INDEX($AR$23:$AT$61,,$AI1016), INDEX($AU$23:$BA$61,,$AH1016), 1 / ($BB$23:$BB$61*CU1016), N($AQ$23:$AQ$61&gt;$AO1016)),
SUMPRODUCT(INDEX($AR$23:$AT$46,,$AI1016), INDEX($AU$23:$BA$46,,$AH1016), 1 / ($BC$23:$BC$46*CU1016), N($AQ$23:$AQ$46&gt;$AO1016))
) / 1000</f>
        <v>0</v>
      </c>
      <c r="CX1016" s="230">
        <f t="shared" si="864"/>
        <v>0</v>
      </c>
      <c r="CY1016" s="238"/>
    </row>
    <row r="1017" spans="1:103" s="76" customFormat="1" ht="14.25" customHeight="1" x14ac:dyDescent="0.2">
      <c r="A1017" s="231" t="b">
        <f t="shared" si="868"/>
        <v>0</v>
      </c>
      <c r="B1017" s="245">
        <v>995</v>
      </c>
      <c r="C1017" s="258"/>
      <c r="D1017" s="258"/>
      <c r="E1017" s="246"/>
      <c r="F1017" s="247" t="str">
        <f>IF(ISBLANK(E1017), "", VLOOKUP(E1017, Z!$A$2:$C$4127, 3, FALSE))</f>
        <v/>
      </c>
      <c r="G1017" s="248"/>
      <c r="H1017" s="248"/>
      <c r="I1017" s="249"/>
      <c r="J1017" s="250"/>
      <c r="K1017" s="259"/>
      <c r="L1017" s="260"/>
      <c r="M1017" s="252" t="str" cm="1">
        <f t="array" ref="M1017">INDEX(Trad, 53, $A$20)</f>
        <v>Verschmutzt</v>
      </c>
      <c r="N1017" s="253"/>
      <c r="O1017" s="253"/>
      <c r="P1017" s="254"/>
      <c r="Q1017" s="251"/>
      <c r="R1017" s="251"/>
      <c r="S1017" s="264">
        <f t="shared" si="839"/>
        <v>0</v>
      </c>
      <c r="T1017" s="252" t="str" cm="1">
        <f t="array" ref="T1017">INDEX(Trad, 52, $A$20)</f>
        <v>Sauber</v>
      </c>
      <c r="U1017" s="253"/>
      <c r="V1017" s="253"/>
      <c r="W1017" s="254"/>
      <c r="X1017" s="251"/>
      <c r="Y1017" s="251"/>
      <c r="Z1017" s="264">
        <f t="shared" si="840"/>
        <v>0</v>
      </c>
      <c r="AA1017" s="261"/>
      <c r="AB1017" s="258"/>
      <c r="AC1017" s="246"/>
      <c r="AD1017" s="247" t="str">
        <f>IF(ISBLANK(AC1017), "", VLOOKUP(AC1017, Z!$A$2:$C$4127, 3, FALSE))</f>
        <v/>
      </c>
      <c r="AE1017" s="262"/>
      <c r="AF1017" s="263">
        <f t="shared" si="841"/>
        <v>0</v>
      </c>
      <c r="AG1017" s="238"/>
      <c r="AH1017" s="229">
        <f t="shared" si="865"/>
        <v>1</v>
      </c>
      <c r="AI1017" s="229">
        <f t="shared" si="866"/>
        <v>1</v>
      </c>
      <c r="AJ1017" s="229">
        <f t="shared" si="867"/>
        <v>0</v>
      </c>
      <c r="AK1017" s="229">
        <v>0</v>
      </c>
      <c r="AL1017" s="229">
        <v>0</v>
      </c>
      <c r="AM1017" s="229">
        <v>1</v>
      </c>
      <c r="AN1017" s="229">
        <v>0</v>
      </c>
      <c r="AO1017" s="229">
        <f t="shared" si="842"/>
        <v>-100</v>
      </c>
      <c r="AP1017" s="238"/>
      <c r="AQ1017" s="255"/>
      <c r="AR1017" s="255"/>
      <c r="AS1017" s="256"/>
      <c r="AT1017" s="256"/>
      <c r="AU1017" s="256"/>
      <c r="AV1017" s="256"/>
      <c r="AW1017" s="256"/>
      <c r="AX1017" s="256"/>
      <c r="AY1017" s="256"/>
      <c r="AZ1017" s="256"/>
      <c r="BA1017" s="256"/>
      <c r="BB1017" s="256"/>
      <c r="BC1017" s="256"/>
      <c r="BD1017" s="238"/>
      <c r="BE1017" s="229" cm="1">
        <f t="array" ref="BE1017">IF(ISBLANK(R1017), INDEX(Use, $AH1017, 4) - AM1017*INDEX(Use, $AH1017, 6), R1017)</f>
        <v>5</v>
      </c>
      <c r="BF1017" s="229">
        <f t="shared" si="843"/>
        <v>30</v>
      </c>
      <c r="BG1017" s="229">
        <f t="shared" si="869"/>
        <v>13</v>
      </c>
      <c r="BH1017" s="229">
        <f t="shared" si="870"/>
        <v>0</v>
      </c>
      <c r="BI1017" s="234" cm="1">
        <f t="array" ref="BI1017">K1017/IF($L1017&gt;0, INDEX($AU$23:$BA$77, $L1017+20, $AH1017), 1)</f>
        <v>0</v>
      </c>
      <c r="BJ1017" s="230">
        <f t="shared" si="844"/>
        <v>0</v>
      </c>
      <c r="BK1017" s="229">
        <v>35</v>
      </c>
      <c r="BL1017" s="230">
        <f t="shared" si="845"/>
        <v>48</v>
      </c>
      <c r="BM1017" s="235">
        <f t="shared" si="846"/>
        <v>2.9108720930232557</v>
      </c>
      <c r="BN1017" s="235" cm="1">
        <f t="array" ref="BN1017">$BI1017 * SUMPRODUCT(INDEX($AR$77:$AT$82,,$AI1017),INDEX($AU$77:$BA$82,,$AH1017), N($AQ$77:$AQ$82&gt;$AO1017)) / BM1017 / 1000</f>
        <v>0</v>
      </c>
      <c r="BO1017" s="232">
        <f t="shared" si="871"/>
        <v>30</v>
      </c>
      <c r="BP1017" s="230">
        <f t="shared" si="847"/>
        <v>43</v>
      </c>
      <c r="BQ1017" s="235">
        <f t="shared" si="848"/>
        <v>3.2938815789473681</v>
      </c>
      <c r="BR1017" s="235" cm="1">
        <f t="array" ref="BR1017">$BI1017 * IF($AH1017&lt;=2,
SUMPRODUCT(INDEX($AR$72:$AT$76,,$AI1017), INDEX($AU$72:$BA$76,,$AH1017), 1 / ($BB$72:$BB$76*BQ1017 + (1-$BB$72:$BB$76)*BM1017), N($AQ$72:$AQ$76&gt;$AO1017)),
SUMPRODUCT(INDEX($AR$67:$AT$76,,$AI1017), INDEX($AU$67:$BA$76,,$AH1017), 1 / ($BC$67:$BC$76*BQ1017 + (1-$BC$67:$BC$76)*BM1017), N($AQ$67:$AQ$76&gt;$AO1017))
) / 1000</f>
        <v>0</v>
      </c>
      <c r="BS1017" s="232">
        <f t="shared" si="872"/>
        <v>25</v>
      </c>
      <c r="BT1017" s="230">
        <f t="shared" si="849"/>
        <v>38</v>
      </c>
      <c r="BU1017" s="235">
        <f t="shared" si="850"/>
        <v>3.792954545454545</v>
      </c>
      <c r="BV1017" s="235" cm="1">
        <f t="array" ref="BV1017">$BI1017 * IF($AH1017&lt;=2,
SUMPRODUCT(INDEX($AR$67:$AT$71,,$AI1017), INDEX($AU$67:$BA$71,,$AH1017), 1 / ($BB$67:$BB$71*BU1017 + (1-$BB$67:$BB$71)*BQ1017), N($AQ$67:$AQ$71&gt;$AO1017)),
SUMPRODUCT(INDEX($AR$57:$AT$66,,$AI1017), INDEX($AU$57:$BA$66,,$AH1017), 1 / ($BC$57:$BC$66*BU1017 + (1-$BC$57:$BC$66)*BQ1017), N($AQ$57:$AQ$66&gt;$AO1017))
) / 1000</f>
        <v>0</v>
      </c>
      <c r="BW1017" s="232">
        <f t="shared" si="873"/>
        <v>20</v>
      </c>
      <c r="BX1017" s="230">
        <f t="shared" si="851"/>
        <v>33</v>
      </c>
      <c r="BY1017" s="235">
        <f t="shared" si="852"/>
        <v>4.4702678571428569</v>
      </c>
      <c r="BZ1017" s="235" cm="1">
        <f t="array" ref="BZ1017">$BI1017 * IF($AH1017&lt;=2,
SUMPRODUCT(INDEX($AR$62:$AT$66,,$AI1017), INDEX($AU$62:$BA$66,,$AH1017), 1 / ($BB$62:$BB$66*BY1017 + (1-$BB$62:$BB$66)*BU1017), N($AQ$62:$AQ$66&gt;$AO1017)),
SUMPRODUCT(INDEX($AR$47:$AT$56,,$AI1017), INDEX($AU$47:$BA$56,,$AH1017), 1 / ($BC$47:$BC$56*BY1017 + (1-$BC$47:$BC$56)*BU1017), N($AQ$47:$AQ$56&gt;$AO1017))
) / 1000</f>
        <v>0</v>
      </c>
      <c r="CA1017" s="235" cm="1">
        <f t="array" ref="CA1017">$BI1017 * IF($AH1017&lt;=2,
SUMPRODUCT(INDEX($AR$23:$AT$61,,$AI1017), INDEX($AU$23:$BA$61,,$AH1017), 1 / ($BB$23:$BB$61*BY1017), N($AQ$23:$AQ$61&gt;$AO1017)),
SUMPRODUCT(INDEX($AR$23:$AT$46,,$AI1017), INDEX($AU$23:$BA$46,,$AH1017), 1 / ($BC$23:$BC$46*BY1017), N($AQ$23:$AQ$46&gt;$AO1017))
) / 1000</f>
        <v>0</v>
      </c>
      <c r="CB1017" s="230">
        <f t="shared" si="853"/>
        <v>0</v>
      </c>
      <c r="CC1017" s="238"/>
      <c r="CD1017" s="229" cm="1">
        <f t="array" ref="CD1017">IF(ISBLANK(Y1017), INDEX(Use, $AH1017, 4) - AN1017*INDEX(Use, $AH1017, 6) - (Q1017-X1017), Y1017)</f>
        <v>7</v>
      </c>
      <c r="CE1017" s="229">
        <f t="shared" si="854"/>
        <v>32</v>
      </c>
      <c r="CF1017" s="230">
        <f t="shared" si="855"/>
        <v>0</v>
      </c>
      <c r="CG1017" s="229">
        <v>35</v>
      </c>
      <c r="CH1017" s="230">
        <f t="shared" si="856"/>
        <v>48</v>
      </c>
      <c r="CI1017" s="235">
        <f t="shared" si="857"/>
        <v>3.0748170731707316</v>
      </c>
      <c r="CJ1017" s="235" cm="1">
        <f t="array" ref="CJ1017">$BI1017 * SUMPRODUCT(INDEX($AR$77:$AT$82,,$AI1017),INDEX($AU$77:$BA$82,,$AH1017), N($AQ$77:$AQ$82&gt;$AO1017)) / CI1017 / 1000</f>
        <v>0</v>
      </c>
      <c r="CK1017" s="232">
        <f t="shared" si="874"/>
        <v>30</v>
      </c>
      <c r="CL1017" s="230">
        <f t="shared" si="858"/>
        <v>43</v>
      </c>
      <c r="CM1017" s="235">
        <f t="shared" si="859"/>
        <v>3.5018750000000001</v>
      </c>
      <c r="CN1017" s="235" cm="1">
        <f t="array" ref="CN1017">$BI1017 * IF($AH1017&lt;=2,
SUMPRODUCT(INDEX($AR$72:$AT$76,,$AI1017), INDEX($AU$72:$BA$76,,$AH1017), 1 / ($BB$72:$BB$76*CM1017 + (1-$BB$72:$BB$76)*CI1017), N($AQ$72:$AQ$76&gt;$AO1017)),
SUMPRODUCT(INDEX($AR$67:$AT$76,,$AI1017), INDEX($AU$67:$BA$76,,$AH1017), 1 / ($BC$67:$BC$76*CM1017 + (1-$BC$67:$BC$76)*CI1017), N($AQ$67:$AQ$76&gt;$AO1017))
) / 1000</f>
        <v>0</v>
      </c>
      <c r="CO1017" s="232">
        <f t="shared" si="875"/>
        <v>25</v>
      </c>
      <c r="CP1017" s="230">
        <f t="shared" si="860"/>
        <v>38</v>
      </c>
      <c r="CQ1017" s="235">
        <f t="shared" si="861"/>
        <v>4.0666935483870965</v>
      </c>
      <c r="CR1017" s="235" cm="1">
        <f t="array" ref="CR1017">$BI1017 * IF($AH1017&lt;=2,
SUMPRODUCT(INDEX($AR$67:$AT$71,,$AI1017), INDEX($AU$67:$BA$71,,$AH1017), 1 / ($BB$67:$BB$71*CQ1017 + (1-$BB$67:$BB$71)*CM1017), N($AQ$67:$AQ$71&gt;$AO1017)),
SUMPRODUCT(INDEX($AR$57:$AT$66,,$AI1017), INDEX($AU$57:$BA$66,,$AH1017), 1 / ($BC$57:$BC$66*CQ1017 + (1-$BC$57:$BC$66)*CM1017), N($AQ$57:$AQ$66&gt;$AO1017))
) / 1000</f>
        <v>0</v>
      </c>
      <c r="CS1017" s="232">
        <f t="shared" si="876"/>
        <v>20</v>
      </c>
      <c r="CT1017" s="230">
        <f t="shared" si="862"/>
        <v>33</v>
      </c>
      <c r="CU1017" s="235">
        <f t="shared" si="863"/>
        <v>4.8487499999999999</v>
      </c>
      <c r="CV1017" s="235" cm="1">
        <f t="array" ref="CV1017">$BI1017 * IF($AH1017&lt;=2,
SUMPRODUCT(INDEX($AR$62:$AT$66,,$AI1017), INDEX($AU$62:$BA$66,,$AH1017), 1 / ($BB$62:$BB$66*CU1017 + (1-$BB$62:$BB$66)*CQ1017), N($AQ$62:$AQ$66&gt;$AO1017)),
SUMPRODUCT(INDEX($AR$47:$AT$56,,$AI1017), INDEX($AU$47:$BA$56,,$AH1017), 1 / ($BC$47:$BC$56*CU1017 + (1-$BC$47:$BC$56)*CQ1017), N($AQ$47:$AQ$56&gt;$AO1017))
) / 1000</f>
        <v>0</v>
      </c>
      <c r="CW1017" s="235" cm="1">
        <f t="array" ref="CW1017">$BI1017 * IF($AH1017&lt;=2,
SUMPRODUCT(INDEX($AR$23:$AT$61,,$AI1017), INDEX($AU$23:$BA$61,,$AH1017), 1 / ($BB$23:$BB$61*CU1017), N($AQ$23:$AQ$61&gt;$AO1017)),
SUMPRODUCT(INDEX($AR$23:$AT$46,,$AI1017), INDEX($AU$23:$BA$46,,$AH1017), 1 / ($BC$23:$BC$46*CU1017), N($AQ$23:$AQ$46&gt;$AO1017))
) / 1000</f>
        <v>0</v>
      </c>
      <c r="CX1017" s="230">
        <f t="shared" si="864"/>
        <v>0</v>
      </c>
      <c r="CY1017" s="238"/>
    </row>
    <row r="1018" spans="1:103" s="76" customFormat="1" ht="14.25" customHeight="1" x14ac:dyDescent="0.2">
      <c r="A1018" s="231" t="b">
        <f t="shared" si="868"/>
        <v>0</v>
      </c>
      <c r="B1018" s="245">
        <v>996</v>
      </c>
      <c r="C1018" s="258"/>
      <c r="D1018" s="258"/>
      <c r="E1018" s="246"/>
      <c r="F1018" s="247" t="str">
        <f>IF(ISBLANK(E1018), "", VLOOKUP(E1018, Z!$A$2:$C$4127, 3, FALSE))</f>
        <v/>
      </c>
      <c r="G1018" s="248"/>
      <c r="H1018" s="248"/>
      <c r="I1018" s="249"/>
      <c r="J1018" s="250"/>
      <c r="K1018" s="259"/>
      <c r="L1018" s="260"/>
      <c r="M1018" s="252" t="str" cm="1">
        <f t="array" ref="M1018">INDEX(Trad, 53, $A$20)</f>
        <v>Verschmutzt</v>
      </c>
      <c r="N1018" s="253"/>
      <c r="O1018" s="253"/>
      <c r="P1018" s="254"/>
      <c r="Q1018" s="251"/>
      <c r="R1018" s="251"/>
      <c r="S1018" s="264">
        <f t="shared" si="839"/>
        <v>0</v>
      </c>
      <c r="T1018" s="252" t="str" cm="1">
        <f t="array" ref="T1018">INDEX(Trad, 52, $A$20)</f>
        <v>Sauber</v>
      </c>
      <c r="U1018" s="253"/>
      <c r="V1018" s="253"/>
      <c r="W1018" s="254"/>
      <c r="X1018" s="251"/>
      <c r="Y1018" s="251"/>
      <c r="Z1018" s="264">
        <f t="shared" si="840"/>
        <v>0</v>
      </c>
      <c r="AA1018" s="261"/>
      <c r="AB1018" s="258"/>
      <c r="AC1018" s="246"/>
      <c r="AD1018" s="247" t="str">
        <f>IF(ISBLANK(AC1018), "", VLOOKUP(AC1018, Z!$A$2:$C$4127, 3, FALSE))</f>
        <v/>
      </c>
      <c r="AE1018" s="262"/>
      <c r="AF1018" s="263">
        <f t="shared" si="841"/>
        <v>0</v>
      </c>
      <c r="AG1018" s="238"/>
      <c r="AH1018" s="229">
        <f t="shared" si="865"/>
        <v>1</v>
      </c>
      <c r="AI1018" s="229">
        <f t="shared" si="866"/>
        <v>1</v>
      </c>
      <c r="AJ1018" s="229">
        <f t="shared" si="867"/>
        <v>0</v>
      </c>
      <c r="AK1018" s="229">
        <v>0</v>
      </c>
      <c r="AL1018" s="229">
        <v>0</v>
      </c>
      <c r="AM1018" s="229">
        <v>1</v>
      </c>
      <c r="AN1018" s="229">
        <v>0</v>
      </c>
      <c r="AO1018" s="229">
        <f t="shared" si="842"/>
        <v>-100</v>
      </c>
      <c r="AP1018" s="238"/>
      <c r="AQ1018" s="255"/>
      <c r="AR1018" s="255"/>
      <c r="AS1018" s="256"/>
      <c r="AT1018" s="256"/>
      <c r="AU1018" s="256"/>
      <c r="AV1018" s="256"/>
      <c r="AW1018" s="256"/>
      <c r="AX1018" s="256"/>
      <c r="AY1018" s="256"/>
      <c r="AZ1018" s="256"/>
      <c r="BA1018" s="256"/>
      <c r="BB1018" s="256"/>
      <c r="BC1018" s="256"/>
      <c r="BD1018" s="238"/>
      <c r="BE1018" s="229" cm="1">
        <f t="array" ref="BE1018">IF(ISBLANK(R1018), INDEX(Use, $AH1018, 4) - AM1018*INDEX(Use, $AH1018, 6), R1018)</f>
        <v>5</v>
      </c>
      <c r="BF1018" s="229">
        <f t="shared" si="843"/>
        <v>30</v>
      </c>
      <c r="BG1018" s="229">
        <f t="shared" si="869"/>
        <v>13</v>
      </c>
      <c r="BH1018" s="229">
        <f t="shared" si="870"/>
        <v>0</v>
      </c>
      <c r="BI1018" s="234" cm="1">
        <f t="array" ref="BI1018">K1018/IF($L1018&gt;0, INDEX($AU$23:$BA$77, $L1018+20, $AH1018), 1)</f>
        <v>0</v>
      </c>
      <c r="BJ1018" s="230">
        <f t="shared" si="844"/>
        <v>0</v>
      </c>
      <c r="BK1018" s="229">
        <v>35</v>
      </c>
      <c r="BL1018" s="230">
        <f t="shared" si="845"/>
        <v>48</v>
      </c>
      <c r="BM1018" s="235">
        <f t="shared" si="846"/>
        <v>2.9108720930232557</v>
      </c>
      <c r="BN1018" s="235" cm="1">
        <f t="array" ref="BN1018">$BI1018 * SUMPRODUCT(INDEX($AR$77:$AT$82,,$AI1018),INDEX($AU$77:$BA$82,,$AH1018), N($AQ$77:$AQ$82&gt;$AO1018)) / BM1018 / 1000</f>
        <v>0</v>
      </c>
      <c r="BO1018" s="232">
        <f t="shared" si="871"/>
        <v>30</v>
      </c>
      <c r="BP1018" s="230">
        <f t="shared" si="847"/>
        <v>43</v>
      </c>
      <c r="BQ1018" s="235">
        <f t="shared" si="848"/>
        <v>3.2938815789473681</v>
      </c>
      <c r="BR1018" s="235" cm="1">
        <f t="array" ref="BR1018">$BI1018 * IF($AH1018&lt;=2,
SUMPRODUCT(INDEX($AR$72:$AT$76,,$AI1018), INDEX($AU$72:$BA$76,,$AH1018), 1 / ($BB$72:$BB$76*BQ1018 + (1-$BB$72:$BB$76)*BM1018), N($AQ$72:$AQ$76&gt;$AO1018)),
SUMPRODUCT(INDEX($AR$67:$AT$76,,$AI1018), INDEX($AU$67:$BA$76,,$AH1018), 1 / ($BC$67:$BC$76*BQ1018 + (1-$BC$67:$BC$76)*BM1018), N($AQ$67:$AQ$76&gt;$AO1018))
) / 1000</f>
        <v>0</v>
      </c>
      <c r="BS1018" s="232">
        <f t="shared" si="872"/>
        <v>25</v>
      </c>
      <c r="BT1018" s="230">
        <f t="shared" si="849"/>
        <v>38</v>
      </c>
      <c r="BU1018" s="235">
        <f t="shared" si="850"/>
        <v>3.792954545454545</v>
      </c>
      <c r="BV1018" s="235" cm="1">
        <f t="array" ref="BV1018">$BI1018 * IF($AH1018&lt;=2,
SUMPRODUCT(INDEX($AR$67:$AT$71,,$AI1018), INDEX($AU$67:$BA$71,,$AH1018), 1 / ($BB$67:$BB$71*BU1018 + (1-$BB$67:$BB$71)*BQ1018), N($AQ$67:$AQ$71&gt;$AO1018)),
SUMPRODUCT(INDEX($AR$57:$AT$66,,$AI1018), INDEX($AU$57:$BA$66,,$AH1018), 1 / ($BC$57:$BC$66*BU1018 + (1-$BC$57:$BC$66)*BQ1018), N($AQ$57:$AQ$66&gt;$AO1018))
) / 1000</f>
        <v>0</v>
      </c>
      <c r="BW1018" s="232">
        <f t="shared" si="873"/>
        <v>20</v>
      </c>
      <c r="BX1018" s="230">
        <f t="shared" si="851"/>
        <v>33</v>
      </c>
      <c r="BY1018" s="235">
        <f t="shared" si="852"/>
        <v>4.4702678571428569</v>
      </c>
      <c r="BZ1018" s="235" cm="1">
        <f t="array" ref="BZ1018">$BI1018 * IF($AH1018&lt;=2,
SUMPRODUCT(INDEX($AR$62:$AT$66,,$AI1018), INDEX($AU$62:$BA$66,,$AH1018), 1 / ($BB$62:$BB$66*BY1018 + (1-$BB$62:$BB$66)*BU1018), N($AQ$62:$AQ$66&gt;$AO1018)),
SUMPRODUCT(INDEX($AR$47:$AT$56,,$AI1018), INDEX($AU$47:$BA$56,,$AH1018), 1 / ($BC$47:$BC$56*BY1018 + (1-$BC$47:$BC$56)*BU1018), N($AQ$47:$AQ$56&gt;$AO1018))
) / 1000</f>
        <v>0</v>
      </c>
      <c r="CA1018" s="235" cm="1">
        <f t="array" ref="CA1018">$BI1018 * IF($AH1018&lt;=2,
SUMPRODUCT(INDEX($AR$23:$AT$61,,$AI1018), INDEX($AU$23:$BA$61,,$AH1018), 1 / ($BB$23:$BB$61*BY1018), N($AQ$23:$AQ$61&gt;$AO1018)),
SUMPRODUCT(INDEX($AR$23:$AT$46,,$AI1018), INDEX($AU$23:$BA$46,,$AH1018), 1 / ($BC$23:$BC$46*BY1018), N($AQ$23:$AQ$46&gt;$AO1018))
) / 1000</f>
        <v>0</v>
      </c>
      <c r="CB1018" s="230">
        <f t="shared" si="853"/>
        <v>0</v>
      </c>
      <c r="CC1018" s="238"/>
      <c r="CD1018" s="229" cm="1">
        <f t="array" ref="CD1018">IF(ISBLANK(Y1018), INDEX(Use, $AH1018, 4) - AN1018*INDEX(Use, $AH1018, 6) - (Q1018-X1018), Y1018)</f>
        <v>7</v>
      </c>
      <c r="CE1018" s="229">
        <f t="shared" si="854"/>
        <v>32</v>
      </c>
      <c r="CF1018" s="230">
        <f t="shared" si="855"/>
        <v>0</v>
      </c>
      <c r="CG1018" s="229">
        <v>35</v>
      </c>
      <c r="CH1018" s="230">
        <f t="shared" si="856"/>
        <v>48</v>
      </c>
      <c r="CI1018" s="235">
        <f t="shared" si="857"/>
        <v>3.0748170731707316</v>
      </c>
      <c r="CJ1018" s="235" cm="1">
        <f t="array" ref="CJ1018">$BI1018 * SUMPRODUCT(INDEX($AR$77:$AT$82,,$AI1018),INDEX($AU$77:$BA$82,,$AH1018), N($AQ$77:$AQ$82&gt;$AO1018)) / CI1018 / 1000</f>
        <v>0</v>
      </c>
      <c r="CK1018" s="232">
        <f t="shared" si="874"/>
        <v>30</v>
      </c>
      <c r="CL1018" s="230">
        <f t="shared" si="858"/>
        <v>43</v>
      </c>
      <c r="CM1018" s="235">
        <f t="shared" si="859"/>
        <v>3.5018750000000001</v>
      </c>
      <c r="CN1018" s="235" cm="1">
        <f t="array" ref="CN1018">$BI1018 * IF($AH1018&lt;=2,
SUMPRODUCT(INDEX($AR$72:$AT$76,,$AI1018), INDEX($AU$72:$BA$76,,$AH1018), 1 / ($BB$72:$BB$76*CM1018 + (1-$BB$72:$BB$76)*CI1018), N($AQ$72:$AQ$76&gt;$AO1018)),
SUMPRODUCT(INDEX($AR$67:$AT$76,,$AI1018), INDEX($AU$67:$BA$76,,$AH1018), 1 / ($BC$67:$BC$76*CM1018 + (1-$BC$67:$BC$76)*CI1018), N($AQ$67:$AQ$76&gt;$AO1018))
) / 1000</f>
        <v>0</v>
      </c>
      <c r="CO1018" s="232">
        <f t="shared" si="875"/>
        <v>25</v>
      </c>
      <c r="CP1018" s="230">
        <f t="shared" si="860"/>
        <v>38</v>
      </c>
      <c r="CQ1018" s="235">
        <f t="shared" si="861"/>
        <v>4.0666935483870965</v>
      </c>
      <c r="CR1018" s="235" cm="1">
        <f t="array" ref="CR1018">$BI1018 * IF($AH1018&lt;=2,
SUMPRODUCT(INDEX($AR$67:$AT$71,,$AI1018), INDEX($AU$67:$BA$71,,$AH1018), 1 / ($BB$67:$BB$71*CQ1018 + (1-$BB$67:$BB$71)*CM1018), N($AQ$67:$AQ$71&gt;$AO1018)),
SUMPRODUCT(INDEX($AR$57:$AT$66,,$AI1018), INDEX($AU$57:$BA$66,,$AH1018), 1 / ($BC$57:$BC$66*CQ1018 + (1-$BC$57:$BC$66)*CM1018), N($AQ$57:$AQ$66&gt;$AO1018))
) / 1000</f>
        <v>0</v>
      </c>
      <c r="CS1018" s="232">
        <f t="shared" si="876"/>
        <v>20</v>
      </c>
      <c r="CT1018" s="230">
        <f t="shared" si="862"/>
        <v>33</v>
      </c>
      <c r="CU1018" s="235">
        <f t="shared" si="863"/>
        <v>4.8487499999999999</v>
      </c>
      <c r="CV1018" s="235" cm="1">
        <f t="array" ref="CV1018">$BI1018 * IF($AH1018&lt;=2,
SUMPRODUCT(INDEX($AR$62:$AT$66,,$AI1018), INDEX($AU$62:$BA$66,,$AH1018), 1 / ($BB$62:$BB$66*CU1018 + (1-$BB$62:$BB$66)*CQ1018), N($AQ$62:$AQ$66&gt;$AO1018)),
SUMPRODUCT(INDEX($AR$47:$AT$56,,$AI1018), INDEX($AU$47:$BA$56,,$AH1018), 1 / ($BC$47:$BC$56*CU1018 + (1-$BC$47:$BC$56)*CQ1018), N($AQ$47:$AQ$56&gt;$AO1018))
) / 1000</f>
        <v>0</v>
      </c>
      <c r="CW1018" s="235" cm="1">
        <f t="array" ref="CW1018">$BI1018 * IF($AH1018&lt;=2,
SUMPRODUCT(INDEX($AR$23:$AT$61,,$AI1018), INDEX($AU$23:$BA$61,,$AH1018), 1 / ($BB$23:$BB$61*CU1018), N($AQ$23:$AQ$61&gt;$AO1018)),
SUMPRODUCT(INDEX($AR$23:$AT$46,,$AI1018), INDEX($AU$23:$BA$46,,$AH1018), 1 / ($BC$23:$BC$46*CU1018), N($AQ$23:$AQ$46&gt;$AO1018))
) / 1000</f>
        <v>0</v>
      </c>
      <c r="CX1018" s="230">
        <f t="shared" si="864"/>
        <v>0</v>
      </c>
      <c r="CY1018" s="238"/>
    </row>
    <row r="1019" spans="1:103" s="76" customFormat="1" ht="14.25" customHeight="1" x14ac:dyDescent="0.2">
      <c r="A1019" s="231" t="b">
        <f t="shared" si="868"/>
        <v>0</v>
      </c>
      <c r="B1019" s="245">
        <v>997</v>
      </c>
      <c r="C1019" s="258"/>
      <c r="D1019" s="258"/>
      <c r="E1019" s="246"/>
      <c r="F1019" s="247" t="str">
        <f>IF(ISBLANK(E1019), "", VLOOKUP(E1019, Z!$A$2:$C$4127, 3, FALSE))</f>
        <v/>
      </c>
      <c r="G1019" s="248"/>
      <c r="H1019" s="248"/>
      <c r="I1019" s="249"/>
      <c r="J1019" s="250"/>
      <c r="K1019" s="259"/>
      <c r="L1019" s="260"/>
      <c r="M1019" s="252" t="str" cm="1">
        <f t="array" ref="M1019">INDEX(Trad, 53, $A$20)</f>
        <v>Verschmutzt</v>
      </c>
      <c r="N1019" s="253"/>
      <c r="O1019" s="253"/>
      <c r="P1019" s="254"/>
      <c r="Q1019" s="251"/>
      <c r="R1019" s="251"/>
      <c r="S1019" s="264">
        <f t="shared" ref="S1019:S1022" si="877">CB1019*1000</f>
        <v>0</v>
      </c>
      <c r="T1019" s="252" t="str" cm="1">
        <f t="array" ref="T1019">INDEX(Trad, 52, $A$20)</f>
        <v>Sauber</v>
      </c>
      <c r="U1019" s="253"/>
      <c r="V1019" s="253"/>
      <c r="W1019" s="254"/>
      <c r="X1019" s="251"/>
      <c r="Y1019" s="251"/>
      <c r="Z1019" s="264">
        <f t="shared" ref="Z1019:Z1022" si="878">CX1019*1000</f>
        <v>0</v>
      </c>
      <c r="AA1019" s="261"/>
      <c r="AB1019" s="258"/>
      <c r="AC1019" s="246"/>
      <c r="AD1019" s="247" t="str">
        <f>IF(ISBLANK(AC1019), "", VLOOKUP(AC1019, Z!$A$2:$C$4127, 3, FALSE))</f>
        <v/>
      </c>
      <c r="AE1019" s="262"/>
      <c r="AF1019" s="263">
        <f t="shared" ref="AF1019:AF1022" si="879">0.75*AP$23*(S1019-Z1019)</f>
        <v>0</v>
      </c>
      <c r="AG1019" s="238"/>
      <c r="AH1019" s="229">
        <f t="shared" si="865"/>
        <v>1</v>
      </c>
      <c r="AI1019" s="229">
        <f t="shared" si="866"/>
        <v>1</v>
      </c>
      <c r="AJ1019" s="229">
        <f t="shared" si="867"/>
        <v>0</v>
      </c>
      <c r="AK1019" s="229">
        <v>0</v>
      </c>
      <c r="AL1019" s="229">
        <v>0</v>
      </c>
      <c r="AM1019" s="229">
        <v>1</v>
      </c>
      <c r="AN1019" s="229">
        <v>0</v>
      </c>
      <c r="AO1019" s="229">
        <f t="shared" ref="AO1019:AO1022" si="880">IF(AND(J1019="x", AH1019=5), 11, IF(AND(J1019="x", AH1019=6), 19, -100))</f>
        <v>-100</v>
      </c>
      <c r="AP1019" s="238"/>
      <c r="AQ1019" s="255"/>
      <c r="AR1019" s="255"/>
      <c r="AS1019" s="256"/>
      <c r="AT1019" s="256"/>
      <c r="AU1019" s="256"/>
      <c r="AV1019" s="256"/>
      <c r="AW1019" s="256"/>
      <c r="AX1019" s="256"/>
      <c r="AY1019" s="256"/>
      <c r="AZ1019" s="256"/>
      <c r="BA1019" s="256"/>
      <c r="BB1019" s="256"/>
      <c r="BC1019" s="256"/>
      <c r="BD1019" s="238"/>
      <c r="BE1019" s="229" cm="1">
        <f t="array" ref="BE1019">IF(ISBLANK(R1019), INDEX(Use, $AH1019, 4) - AM1019*INDEX(Use, $AH1019, 6), R1019)</f>
        <v>5</v>
      </c>
      <c r="BF1019" s="229">
        <f t="shared" ref="BF1019:BF1022" si="881">MAX(25, BE1019+25)</f>
        <v>30</v>
      </c>
      <c r="BG1019" s="229">
        <f t="shared" si="869"/>
        <v>13</v>
      </c>
      <c r="BH1019" s="229">
        <f t="shared" si="870"/>
        <v>0</v>
      </c>
      <c r="BI1019" s="234" cm="1">
        <f t="array" ref="BI1019">K1019/IF($L1019&gt;0, INDEX($AU$23:$BA$77, $L1019+20, $AH1019), 1)</f>
        <v>0</v>
      </c>
      <c r="BJ1019" s="230">
        <f t="shared" ref="BJ1019:BJ1022" si="882">P1019 /  IF(AH1019&lt;=2, 0.7 + 0.3 * (O1019-20)/(35-20), 0.4 + 0.6 * (O1019-5)/(35-5))</f>
        <v>0</v>
      </c>
      <c r="BK1019" s="229">
        <v>35</v>
      </c>
      <c r="BL1019" s="230">
        <f t="shared" ref="BL1019:BL1022" si="883">MAX($N1019, MAX($BF1019, $BK1019 + $BG1019 + $BH1019 + 0.35*$AK1019*$BG1019 + BJ1019))</f>
        <v>48</v>
      </c>
      <c r="BM1019" s="235">
        <f t="shared" ref="BM1019:BM1022" si="884">0.45*($BE1019+273.15)/(BL1019-$BE1019)</f>
        <v>2.9108720930232557</v>
      </c>
      <c r="BN1019" s="235" cm="1">
        <f t="array" ref="BN1019">$BI1019 * SUMPRODUCT(INDEX($AR$77:$AT$82,,$AI1019),INDEX($AU$77:$BA$82,,$AH1019), N($AQ$77:$AQ$82&gt;$AO1019)) / BM1019 / 1000</f>
        <v>0</v>
      </c>
      <c r="BO1019" s="232">
        <f t="shared" si="871"/>
        <v>30</v>
      </c>
      <c r="BP1019" s="230">
        <f t="shared" ref="BP1019:BP1022" si="885">MAX($N1019, MAX($BF1019, BO1019 + $BG1019 + $BH1019 + IF($AH1019&lt;=2, (BO1019-20)/(35-20), 0.6+0.4*(BO1019-5)/(35-5))*0.35*$AK1019*$BG1019) + IF($AH1019&lt;=2,0.9,0.8)*$BJ1019)</f>
        <v>43</v>
      </c>
      <c r="BQ1019" s="235">
        <f t="shared" ref="BQ1019:BQ1022" si="886">0.45*($BE1019+273.15)/(BP1019-$BE1019)</f>
        <v>3.2938815789473681</v>
      </c>
      <c r="BR1019" s="235" cm="1">
        <f t="array" ref="BR1019">$BI1019 * IF($AH1019&lt;=2,
SUMPRODUCT(INDEX($AR$72:$AT$76,,$AI1019), INDEX($AU$72:$BA$76,,$AH1019), 1 / ($BB$72:$BB$76*BQ1019 + (1-$BB$72:$BB$76)*BM1019), N($AQ$72:$AQ$76&gt;$AO1019)),
SUMPRODUCT(INDEX($AR$67:$AT$76,,$AI1019), INDEX($AU$67:$BA$76,,$AH1019), 1 / ($BC$67:$BC$76*BQ1019 + (1-$BC$67:$BC$76)*BM1019), N($AQ$67:$AQ$76&gt;$AO1019))
) / 1000</f>
        <v>0</v>
      </c>
      <c r="BS1019" s="232">
        <f t="shared" si="872"/>
        <v>25</v>
      </c>
      <c r="BT1019" s="230">
        <f t="shared" ref="BT1019:BT1022" si="887">MAX($N1019, MAX($BF1019, BS1019 + $BG1019 + $BH1019 + IF($AH1019&lt;=2, (BS1019-20)/(35-20), 0.6+0.4*(BS1019-5)/(35-5))*0.35*$AK1019*$BG1019) + IF($AH1019&lt;=2,0.8,0.6)*$BJ1019)</f>
        <v>38</v>
      </c>
      <c r="BU1019" s="235">
        <f t="shared" ref="BU1019:BU1022" si="888">0.45*($BE1019+273.15)/(BT1019-$BE1019)</f>
        <v>3.792954545454545</v>
      </c>
      <c r="BV1019" s="235" cm="1">
        <f t="array" ref="BV1019">$BI1019 * IF($AH1019&lt;=2,
SUMPRODUCT(INDEX($AR$67:$AT$71,,$AI1019), INDEX($AU$67:$BA$71,,$AH1019), 1 / ($BB$67:$BB$71*BU1019 + (1-$BB$67:$BB$71)*BQ1019), N($AQ$67:$AQ$71&gt;$AO1019)),
SUMPRODUCT(INDEX($AR$57:$AT$66,,$AI1019), INDEX($AU$57:$BA$66,,$AH1019), 1 / ($BC$57:$BC$66*BU1019 + (1-$BC$57:$BC$66)*BQ1019), N($AQ$57:$AQ$66&gt;$AO1019))
) / 1000</f>
        <v>0</v>
      </c>
      <c r="BW1019" s="232">
        <f t="shared" si="873"/>
        <v>20</v>
      </c>
      <c r="BX1019" s="230">
        <f t="shared" ref="BX1019:BX1022" si="889">MAX($N1019, MAX($BF1019, BW1019 + $BG1019 + $BH1019 + IF($AH1019&lt;=2, (BW1019-20)/(35-20), 0.6+0.4*(BW1019-5)/(35-5))*0.35*$AK1019*$BG1019) + IF($AH1019&lt;=2,0.7,0.4)*$BJ1019)</f>
        <v>33</v>
      </c>
      <c r="BY1019" s="235">
        <f t="shared" ref="BY1019:BY1022" si="890">0.45*($BE1019+273.15)/(BX1019-$BE1019)</f>
        <v>4.4702678571428569</v>
      </c>
      <c r="BZ1019" s="235" cm="1">
        <f t="array" ref="BZ1019">$BI1019 * IF($AH1019&lt;=2,
SUMPRODUCT(INDEX($AR$62:$AT$66,,$AI1019), INDEX($AU$62:$BA$66,,$AH1019), 1 / ($BB$62:$BB$66*BY1019 + (1-$BB$62:$BB$66)*BU1019), N($AQ$62:$AQ$66&gt;$AO1019)),
SUMPRODUCT(INDEX($AR$47:$AT$56,,$AI1019), INDEX($AU$47:$BA$56,,$AH1019), 1 / ($BC$47:$BC$56*BY1019 + (1-$BC$47:$BC$56)*BU1019), N($AQ$47:$AQ$56&gt;$AO1019))
) / 1000</f>
        <v>0</v>
      </c>
      <c r="CA1019" s="235" cm="1">
        <f t="array" ref="CA1019">$BI1019 * IF($AH1019&lt;=2,
SUMPRODUCT(INDEX($AR$23:$AT$61,,$AI1019), INDEX($AU$23:$BA$61,,$AH1019), 1 / ($BB$23:$BB$61*BY1019), N($AQ$23:$AQ$61&gt;$AO1019)),
SUMPRODUCT(INDEX($AR$23:$AT$46,,$AI1019), INDEX($AU$23:$BA$46,,$AH1019), 1 / ($BC$23:$BC$46*BY1019), N($AQ$23:$AQ$46&gt;$AO1019))
) / 1000</f>
        <v>0</v>
      </c>
      <c r="CB1019" s="230">
        <f t="shared" ref="CB1019:CB1022" si="891">BN1019+BR1019+BV1019+BZ1019+CA1019</f>
        <v>0</v>
      </c>
      <c r="CC1019" s="238"/>
      <c r="CD1019" s="229" cm="1">
        <f t="array" ref="CD1019">IF(ISBLANK(Y1019), INDEX(Use, $AH1019, 4) - AN1019*INDEX(Use, $AH1019, 6) - (Q1019-X1019), Y1019)</f>
        <v>7</v>
      </c>
      <c r="CE1019" s="229">
        <f t="shared" ref="CE1019:CE1022" si="892">MAX(25, CD1019+25)</f>
        <v>32</v>
      </c>
      <c r="CF1019" s="230">
        <f t="shared" ref="CF1019:CF1022" si="893">W1019 /  IF(AH1019&lt;=2, 0.7 + 0.3 * (V1019-20)/(35-20), 0.4 + 0.6 * (V1019-5)/(35-5))</f>
        <v>0</v>
      </c>
      <c r="CG1019" s="229">
        <v>35</v>
      </c>
      <c r="CH1019" s="230">
        <f t="shared" ref="CH1019:CH1022" si="894">MAX($U1019, MAX($CE1019, $BK1019 + $BG1019 + $BH1019 + 0.35*$AL1019*$BG1019 + CF1019))</f>
        <v>48</v>
      </c>
      <c r="CI1019" s="235">
        <f t="shared" ref="CI1019:CI1022" si="895">0.45*($CD1019+273.15)/(CH1019-$CD1019)</f>
        <v>3.0748170731707316</v>
      </c>
      <c r="CJ1019" s="235" cm="1">
        <f t="array" ref="CJ1019">$BI1019 * SUMPRODUCT(INDEX($AR$77:$AT$82,,$AI1019),INDEX($AU$77:$BA$82,,$AH1019), N($AQ$77:$AQ$82&gt;$AO1019)) / CI1019 / 1000</f>
        <v>0</v>
      </c>
      <c r="CK1019" s="232">
        <f t="shared" si="874"/>
        <v>30</v>
      </c>
      <c r="CL1019" s="230">
        <f t="shared" ref="CL1019:CL1022" si="896">MAX($U1019, MAX($CE1019, CK1019 + $BG1019 + $BH1019 + IF($AH1019&lt;=2, (CK1019-20)/(35-20), 0.6+0.4*(CK1019-5)/(35-5))*0.35*$AL1019*$BG1019) + IF($AH1019&lt;=2,0.9,0.8)*$CF1019)</f>
        <v>43</v>
      </c>
      <c r="CM1019" s="235">
        <f t="shared" ref="CM1019:CM1022" si="897">0.45*($CD1019+273.15)/(CL1019-$CD1019)</f>
        <v>3.5018750000000001</v>
      </c>
      <c r="CN1019" s="235" cm="1">
        <f t="array" ref="CN1019">$BI1019 * IF($AH1019&lt;=2,
SUMPRODUCT(INDEX($AR$72:$AT$76,,$AI1019), INDEX($AU$72:$BA$76,,$AH1019), 1 / ($BB$72:$BB$76*CM1019 + (1-$BB$72:$BB$76)*CI1019), N($AQ$72:$AQ$76&gt;$AO1019)),
SUMPRODUCT(INDEX($AR$67:$AT$76,,$AI1019), INDEX($AU$67:$BA$76,,$AH1019), 1 / ($BC$67:$BC$76*CM1019 + (1-$BC$67:$BC$76)*CI1019), N($AQ$67:$AQ$76&gt;$AO1019))
) / 1000</f>
        <v>0</v>
      </c>
      <c r="CO1019" s="232">
        <f t="shared" si="875"/>
        <v>25</v>
      </c>
      <c r="CP1019" s="230">
        <f t="shared" ref="CP1019:CP1022" si="898">MAX($U1019, MAX($CE1019, CO1019 + $BG1019 + $BH1019 + IF($AH1019&lt;=2, (CO1019-20)/(35-20), 0.6+0.4*(CO1019-5)/(35-5))*0.35*$AL1019*$BG1019) + IF($AH1019&lt;=2,0.8,0.6)*$CF1019)</f>
        <v>38</v>
      </c>
      <c r="CQ1019" s="235">
        <f t="shared" ref="CQ1019:CQ1022" si="899">0.45*($CD1019+273.15)/(CP1019-$CD1019)</f>
        <v>4.0666935483870965</v>
      </c>
      <c r="CR1019" s="235" cm="1">
        <f t="array" ref="CR1019">$BI1019 * IF($AH1019&lt;=2,
SUMPRODUCT(INDEX($AR$67:$AT$71,,$AI1019), INDEX($AU$67:$BA$71,,$AH1019), 1 / ($BB$67:$BB$71*CQ1019 + (1-$BB$67:$BB$71)*CM1019), N($AQ$67:$AQ$71&gt;$AO1019)),
SUMPRODUCT(INDEX($AR$57:$AT$66,,$AI1019), INDEX($AU$57:$BA$66,,$AH1019), 1 / ($BC$57:$BC$66*CQ1019 + (1-$BC$57:$BC$66)*CM1019), N($AQ$57:$AQ$66&gt;$AO1019))
) / 1000</f>
        <v>0</v>
      </c>
      <c r="CS1019" s="232">
        <f t="shared" si="876"/>
        <v>20</v>
      </c>
      <c r="CT1019" s="230">
        <f t="shared" ref="CT1019:CT1022" si="900">MAX($U1019, MAX($CE1019, CS1019 + $BG1019 + $BH1019 + IF($AH1019&lt;=2, (CS1019-20)/(35-20), 0.6+0.4*(CS1019-5)/(35-5))*0.35*$AL1019*$BG1019) + IF($AH1019&lt;=2,0.7,0.4)*$CF1019)</f>
        <v>33</v>
      </c>
      <c r="CU1019" s="235">
        <f t="shared" ref="CU1019:CU1022" si="901">0.45*($CD1019+273.15)/(CT1019-$CD1019)</f>
        <v>4.8487499999999999</v>
      </c>
      <c r="CV1019" s="235" cm="1">
        <f t="array" ref="CV1019">$BI1019 * IF($AH1019&lt;=2,
SUMPRODUCT(INDEX($AR$62:$AT$66,,$AI1019), INDEX($AU$62:$BA$66,,$AH1019), 1 / ($BB$62:$BB$66*CU1019 + (1-$BB$62:$BB$66)*CQ1019), N($AQ$62:$AQ$66&gt;$AO1019)),
SUMPRODUCT(INDEX($AR$47:$AT$56,,$AI1019), INDEX($AU$47:$BA$56,,$AH1019), 1 / ($BC$47:$BC$56*CU1019 + (1-$BC$47:$BC$56)*CQ1019), N($AQ$47:$AQ$56&gt;$AO1019))
) / 1000</f>
        <v>0</v>
      </c>
      <c r="CW1019" s="235" cm="1">
        <f t="array" ref="CW1019">$BI1019 * IF($AH1019&lt;=2,
SUMPRODUCT(INDEX($AR$23:$AT$61,,$AI1019), INDEX($AU$23:$BA$61,,$AH1019), 1 / ($BB$23:$BB$61*CU1019), N($AQ$23:$AQ$61&gt;$AO1019)),
SUMPRODUCT(INDEX($AR$23:$AT$46,,$AI1019), INDEX($AU$23:$BA$46,,$AH1019), 1 / ($BC$23:$BC$46*CU1019), N($AQ$23:$AQ$46&gt;$AO1019))
) / 1000</f>
        <v>0</v>
      </c>
      <c r="CX1019" s="230">
        <f t="shared" ref="CX1019:CX1022" si="902">CJ1019+CN1019+CR1019+CV1019+CW1019</f>
        <v>0</v>
      </c>
      <c r="CY1019" s="238"/>
    </row>
    <row r="1020" spans="1:103" s="76" customFormat="1" ht="14.25" customHeight="1" x14ac:dyDescent="0.2">
      <c r="A1020" s="231" t="b">
        <f t="shared" si="868"/>
        <v>0</v>
      </c>
      <c r="B1020" s="245">
        <v>998</v>
      </c>
      <c r="C1020" s="258"/>
      <c r="D1020" s="258"/>
      <c r="E1020" s="246"/>
      <c r="F1020" s="247" t="str">
        <f>IF(ISBLANK(E1020), "", VLOOKUP(E1020, Z!$A$2:$C$4127, 3, FALSE))</f>
        <v/>
      </c>
      <c r="G1020" s="248"/>
      <c r="H1020" s="248"/>
      <c r="I1020" s="249"/>
      <c r="J1020" s="250"/>
      <c r="K1020" s="259"/>
      <c r="L1020" s="260"/>
      <c r="M1020" s="252" t="str" cm="1">
        <f t="array" ref="M1020">INDEX(Trad, 53, $A$20)</f>
        <v>Verschmutzt</v>
      </c>
      <c r="N1020" s="253"/>
      <c r="O1020" s="253"/>
      <c r="P1020" s="254"/>
      <c r="Q1020" s="251"/>
      <c r="R1020" s="251"/>
      <c r="S1020" s="264">
        <f t="shared" si="877"/>
        <v>0</v>
      </c>
      <c r="T1020" s="252" t="str" cm="1">
        <f t="array" ref="T1020">INDEX(Trad, 52, $A$20)</f>
        <v>Sauber</v>
      </c>
      <c r="U1020" s="253"/>
      <c r="V1020" s="253"/>
      <c r="W1020" s="254"/>
      <c r="X1020" s="251"/>
      <c r="Y1020" s="251"/>
      <c r="Z1020" s="264">
        <f t="shared" si="878"/>
        <v>0</v>
      </c>
      <c r="AA1020" s="261"/>
      <c r="AB1020" s="258"/>
      <c r="AC1020" s="246"/>
      <c r="AD1020" s="247" t="str">
        <f>IF(ISBLANK(AC1020), "", VLOOKUP(AC1020, Z!$A$2:$C$4127, 3, FALSE))</f>
        <v/>
      </c>
      <c r="AE1020" s="262"/>
      <c r="AF1020" s="263">
        <f t="shared" si="879"/>
        <v>0</v>
      </c>
      <c r="AG1020" s="238"/>
      <c r="AH1020" s="229">
        <f t="shared" ref="AH1020:AH1022" si="903">IF(ISBLANK(H1020), 1, IFERROR(MATCH(H1020, INDEX(Use,,1), 0), IFERROR(MATCH(H1020, INDEX(Use,,2), 0), MATCH(H1020, INDEX(Use,,3), 0))))</f>
        <v>1</v>
      </c>
      <c r="AI1020" s="229">
        <f t="shared" ref="AI1020:AI1022" si="904">IF(ISBLANK(G1020), 1, IFERROR(MATCH(G1020, INDEX(Loc,,1), 0), IFERROR(MATCH(G1020, INDEX(Loc,,2), 0), MATCH(G1020, INDEX(Loc,,3), 0))))</f>
        <v>1</v>
      </c>
      <c r="AJ1020" s="229">
        <f t="shared" ref="AJ1020:AJ1022" si="905">_xlfn.IFNA(IF(IFERROR(MATCH(I1020, INDEX(Medium,,1), 0), IFERROR(MATCH(I1020, INDEX(Medium,,2), 0), MATCH(I1020, INDEX(Medium,,3), 0))) = 2, 1, 0), 0)</f>
        <v>0</v>
      </c>
      <c r="AK1020" s="229">
        <v>0</v>
      </c>
      <c r="AL1020" s="229">
        <v>0</v>
      </c>
      <c r="AM1020" s="229">
        <v>1</v>
      </c>
      <c r="AN1020" s="229">
        <v>0</v>
      </c>
      <c r="AO1020" s="229">
        <f t="shared" si="880"/>
        <v>-100</v>
      </c>
      <c r="AP1020" s="238"/>
      <c r="AQ1020" s="255"/>
      <c r="AR1020" s="255"/>
      <c r="AS1020" s="256"/>
      <c r="AT1020" s="256"/>
      <c r="AU1020" s="256"/>
      <c r="AV1020" s="256"/>
      <c r="AW1020" s="256"/>
      <c r="AX1020" s="256"/>
      <c r="AY1020" s="256"/>
      <c r="AZ1020" s="256"/>
      <c r="BA1020" s="256"/>
      <c r="BB1020" s="256"/>
      <c r="BC1020" s="256"/>
      <c r="BD1020" s="238"/>
      <c r="BE1020" s="229" cm="1">
        <f t="array" ref="BE1020">IF(ISBLANK(R1020), INDEX(Use, $AH1020, 4) - AM1020*INDEX(Use, $AH1020, 6), R1020)</f>
        <v>5</v>
      </c>
      <c r="BF1020" s="229">
        <f t="shared" si="881"/>
        <v>30</v>
      </c>
      <c r="BG1020" s="229">
        <f t="shared" si="869"/>
        <v>13</v>
      </c>
      <c r="BH1020" s="229">
        <f t="shared" si="870"/>
        <v>0</v>
      </c>
      <c r="BI1020" s="234" cm="1">
        <f t="array" ref="BI1020">K1020/IF($L1020&gt;0, INDEX($AU$23:$BA$77, $L1020+20, $AH1020), 1)</f>
        <v>0</v>
      </c>
      <c r="BJ1020" s="230">
        <f t="shared" si="882"/>
        <v>0</v>
      </c>
      <c r="BK1020" s="229">
        <v>35</v>
      </c>
      <c r="BL1020" s="230">
        <f t="shared" si="883"/>
        <v>48</v>
      </c>
      <c r="BM1020" s="235">
        <f t="shared" si="884"/>
        <v>2.9108720930232557</v>
      </c>
      <c r="BN1020" s="235" cm="1">
        <f t="array" ref="BN1020">$BI1020 * SUMPRODUCT(INDEX($AR$77:$AT$82,,$AI1020),INDEX($AU$77:$BA$82,,$AH1020), N($AQ$77:$AQ$82&gt;$AO1020)) / BM1020 / 1000</f>
        <v>0</v>
      </c>
      <c r="BO1020" s="232">
        <f t="shared" si="871"/>
        <v>30</v>
      </c>
      <c r="BP1020" s="230">
        <f t="shared" si="885"/>
        <v>43</v>
      </c>
      <c r="BQ1020" s="235">
        <f t="shared" si="886"/>
        <v>3.2938815789473681</v>
      </c>
      <c r="BR1020" s="235" cm="1">
        <f t="array" ref="BR1020">$BI1020 * IF($AH1020&lt;=2,
SUMPRODUCT(INDEX($AR$72:$AT$76,,$AI1020), INDEX($AU$72:$BA$76,,$AH1020), 1 / ($BB$72:$BB$76*BQ1020 + (1-$BB$72:$BB$76)*BM1020), N($AQ$72:$AQ$76&gt;$AO1020)),
SUMPRODUCT(INDEX($AR$67:$AT$76,,$AI1020), INDEX($AU$67:$BA$76,,$AH1020), 1 / ($BC$67:$BC$76*BQ1020 + (1-$BC$67:$BC$76)*BM1020), N($AQ$67:$AQ$76&gt;$AO1020))
) / 1000</f>
        <v>0</v>
      </c>
      <c r="BS1020" s="232">
        <f t="shared" si="872"/>
        <v>25</v>
      </c>
      <c r="BT1020" s="230">
        <f t="shared" si="887"/>
        <v>38</v>
      </c>
      <c r="BU1020" s="235">
        <f t="shared" si="888"/>
        <v>3.792954545454545</v>
      </c>
      <c r="BV1020" s="235" cm="1">
        <f t="array" ref="BV1020">$BI1020 * IF($AH1020&lt;=2,
SUMPRODUCT(INDEX($AR$67:$AT$71,,$AI1020), INDEX($AU$67:$BA$71,,$AH1020), 1 / ($BB$67:$BB$71*BU1020 + (1-$BB$67:$BB$71)*BQ1020), N($AQ$67:$AQ$71&gt;$AO1020)),
SUMPRODUCT(INDEX($AR$57:$AT$66,,$AI1020), INDEX($AU$57:$BA$66,,$AH1020), 1 / ($BC$57:$BC$66*BU1020 + (1-$BC$57:$BC$66)*BQ1020), N($AQ$57:$AQ$66&gt;$AO1020))
) / 1000</f>
        <v>0</v>
      </c>
      <c r="BW1020" s="232">
        <f t="shared" si="873"/>
        <v>20</v>
      </c>
      <c r="BX1020" s="230">
        <f t="shared" si="889"/>
        <v>33</v>
      </c>
      <c r="BY1020" s="235">
        <f t="shared" si="890"/>
        <v>4.4702678571428569</v>
      </c>
      <c r="BZ1020" s="235" cm="1">
        <f t="array" ref="BZ1020">$BI1020 * IF($AH1020&lt;=2,
SUMPRODUCT(INDEX($AR$62:$AT$66,,$AI1020), INDEX($AU$62:$BA$66,,$AH1020), 1 / ($BB$62:$BB$66*BY1020 + (1-$BB$62:$BB$66)*BU1020), N($AQ$62:$AQ$66&gt;$AO1020)),
SUMPRODUCT(INDEX($AR$47:$AT$56,,$AI1020), INDEX($AU$47:$BA$56,,$AH1020), 1 / ($BC$47:$BC$56*BY1020 + (1-$BC$47:$BC$56)*BU1020), N($AQ$47:$AQ$56&gt;$AO1020))
) / 1000</f>
        <v>0</v>
      </c>
      <c r="CA1020" s="235" cm="1">
        <f t="array" ref="CA1020">$BI1020 * IF($AH1020&lt;=2,
SUMPRODUCT(INDEX($AR$23:$AT$61,,$AI1020), INDEX($AU$23:$BA$61,,$AH1020), 1 / ($BB$23:$BB$61*BY1020), N($AQ$23:$AQ$61&gt;$AO1020)),
SUMPRODUCT(INDEX($AR$23:$AT$46,,$AI1020), INDEX($AU$23:$BA$46,,$AH1020), 1 / ($BC$23:$BC$46*BY1020), N($AQ$23:$AQ$46&gt;$AO1020))
) / 1000</f>
        <v>0</v>
      </c>
      <c r="CB1020" s="230">
        <f t="shared" si="891"/>
        <v>0</v>
      </c>
      <c r="CC1020" s="238"/>
      <c r="CD1020" s="229" cm="1">
        <f t="array" ref="CD1020">IF(ISBLANK(Y1020), INDEX(Use, $AH1020, 4) - AN1020*INDEX(Use, $AH1020, 6) - (Q1020-X1020), Y1020)</f>
        <v>7</v>
      </c>
      <c r="CE1020" s="229">
        <f t="shared" si="892"/>
        <v>32</v>
      </c>
      <c r="CF1020" s="230">
        <f t="shared" si="893"/>
        <v>0</v>
      </c>
      <c r="CG1020" s="229">
        <v>35</v>
      </c>
      <c r="CH1020" s="230">
        <f t="shared" si="894"/>
        <v>48</v>
      </c>
      <c r="CI1020" s="235">
        <f t="shared" si="895"/>
        <v>3.0748170731707316</v>
      </c>
      <c r="CJ1020" s="235" cm="1">
        <f t="array" ref="CJ1020">$BI1020 * SUMPRODUCT(INDEX($AR$77:$AT$82,,$AI1020),INDEX($AU$77:$BA$82,,$AH1020), N($AQ$77:$AQ$82&gt;$AO1020)) / CI1020 / 1000</f>
        <v>0</v>
      </c>
      <c r="CK1020" s="232">
        <f t="shared" si="874"/>
        <v>30</v>
      </c>
      <c r="CL1020" s="230">
        <f t="shared" si="896"/>
        <v>43</v>
      </c>
      <c r="CM1020" s="235">
        <f t="shared" si="897"/>
        <v>3.5018750000000001</v>
      </c>
      <c r="CN1020" s="235" cm="1">
        <f t="array" ref="CN1020">$BI1020 * IF($AH1020&lt;=2,
SUMPRODUCT(INDEX($AR$72:$AT$76,,$AI1020), INDEX($AU$72:$BA$76,,$AH1020), 1 / ($BB$72:$BB$76*CM1020 + (1-$BB$72:$BB$76)*CI1020), N($AQ$72:$AQ$76&gt;$AO1020)),
SUMPRODUCT(INDEX($AR$67:$AT$76,,$AI1020), INDEX($AU$67:$BA$76,,$AH1020), 1 / ($BC$67:$BC$76*CM1020 + (1-$BC$67:$BC$76)*CI1020), N($AQ$67:$AQ$76&gt;$AO1020))
) / 1000</f>
        <v>0</v>
      </c>
      <c r="CO1020" s="232">
        <f t="shared" si="875"/>
        <v>25</v>
      </c>
      <c r="CP1020" s="230">
        <f t="shared" si="898"/>
        <v>38</v>
      </c>
      <c r="CQ1020" s="235">
        <f t="shared" si="899"/>
        <v>4.0666935483870965</v>
      </c>
      <c r="CR1020" s="235" cm="1">
        <f t="array" ref="CR1020">$BI1020 * IF($AH1020&lt;=2,
SUMPRODUCT(INDEX($AR$67:$AT$71,,$AI1020), INDEX($AU$67:$BA$71,,$AH1020), 1 / ($BB$67:$BB$71*CQ1020 + (1-$BB$67:$BB$71)*CM1020), N($AQ$67:$AQ$71&gt;$AO1020)),
SUMPRODUCT(INDEX($AR$57:$AT$66,,$AI1020), INDEX($AU$57:$BA$66,,$AH1020), 1 / ($BC$57:$BC$66*CQ1020 + (1-$BC$57:$BC$66)*CM1020), N($AQ$57:$AQ$66&gt;$AO1020))
) / 1000</f>
        <v>0</v>
      </c>
      <c r="CS1020" s="232">
        <f t="shared" si="876"/>
        <v>20</v>
      </c>
      <c r="CT1020" s="230">
        <f t="shared" si="900"/>
        <v>33</v>
      </c>
      <c r="CU1020" s="235">
        <f t="shared" si="901"/>
        <v>4.8487499999999999</v>
      </c>
      <c r="CV1020" s="235" cm="1">
        <f t="array" ref="CV1020">$BI1020 * IF($AH1020&lt;=2,
SUMPRODUCT(INDEX($AR$62:$AT$66,,$AI1020), INDEX($AU$62:$BA$66,,$AH1020), 1 / ($BB$62:$BB$66*CU1020 + (1-$BB$62:$BB$66)*CQ1020), N($AQ$62:$AQ$66&gt;$AO1020)),
SUMPRODUCT(INDEX($AR$47:$AT$56,,$AI1020), INDEX($AU$47:$BA$56,,$AH1020), 1 / ($BC$47:$BC$56*CU1020 + (1-$BC$47:$BC$56)*CQ1020), N($AQ$47:$AQ$56&gt;$AO1020))
) / 1000</f>
        <v>0</v>
      </c>
      <c r="CW1020" s="235" cm="1">
        <f t="array" ref="CW1020">$BI1020 * IF($AH1020&lt;=2,
SUMPRODUCT(INDEX($AR$23:$AT$61,,$AI1020), INDEX($AU$23:$BA$61,,$AH1020), 1 / ($BB$23:$BB$61*CU1020), N($AQ$23:$AQ$61&gt;$AO1020)),
SUMPRODUCT(INDEX($AR$23:$AT$46,,$AI1020), INDEX($AU$23:$BA$46,,$AH1020), 1 / ($BC$23:$BC$46*CU1020), N($AQ$23:$AQ$46&gt;$AO1020))
) / 1000</f>
        <v>0</v>
      </c>
      <c r="CX1020" s="230">
        <f t="shared" si="902"/>
        <v>0</v>
      </c>
      <c r="CY1020" s="238"/>
    </row>
    <row r="1021" spans="1:103" s="76" customFormat="1" ht="14.25" customHeight="1" x14ac:dyDescent="0.2">
      <c r="A1021" s="231" t="b">
        <f t="shared" si="868"/>
        <v>0</v>
      </c>
      <c r="B1021" s="245">
        <v>999</v>
      </c>
      <c r="C1021" s="258"/>
      <c r="D1021" s="258"/>
      <c r="E1021" s="246"/>
      <c r="F1021" s="247" t="str">
        <f>IF(ISBLANK(E1021), "", VLOOKUP(E1021, Z!$A$2:$C$4127, 3, FALSE))</f>
        <v/>
      </c>
      <c r="G1021" s="248"/>
      <c r="H1021" s="248"/>
      <c r="I1021" s="249"/>
      <c r="J1021" s="250"/>
      <c r="K1021" s="259"/>
      <c r="L1021" s="260"/>
      <c r="M1021" s="252" t="str" cm="1">
        <f t="array" ref="M1021">INDEX(Trad, 53, $A$20)</f>
        <v>Verschmutzt</v>
      </c>
      <c r="N1021" s="253"/>
      <c r="O1021" s="253"/>
      <c r="P1021" s="254"/>
      <c r="Q1021" s="251"/>
      <c r="R1021" s="251"/>
      <c r="S1021" s="264">
        <f t="shared" si="877"/>
        <v>0</v>
      </c>
      <c r="T1021" s="252" t="str" cm="1">
        <f t="array" ref="T1021">INDEX(Trad, 52, $A$20)</f>
        <v>Sauber</v>
      </c>
      <c r="U1021" s="253"/>
      <c r="V1021" s="253"/>
      <c r="W1021" s="254"/>
      <c r="X1021" s="251"/>
      <c r="Y1021" s="251"/>
      <c r="Z1021" s="264">
        <f t="shared" si="878"/>
        <v>0</v>
      </c>
      <c r="AA1021" s="261"/>
      <c r="AB1021" s="258"/>
      <c r="AC1021" s="246"/>
      <c r="AD1021" s="247" t="str">
        <f>IF(ISBLANK(AC1021), "", VLOOKUP(AC1021, Z!$A$2:$C$4127, 3, FALSE))</f>
        <v/>
      </c>
      <c r="AE1021" s="262"/>
      <c r="AF1021" s="263">
        <f t="shared" si="879"/>
        <v>0</v>
      </c>
      <c r="AG1021" s="238"/>
      <c r="AH1021" s="229">
        <f t="shared" si="903"/>
        <v>1</v>
      </c>
      <c r="AI1021" s="229">
        <f t="shared" si="904"/>
        <v>1</v>
      </c>
      <c r="AJ1021" s="229">
        <f t="shared" si="905"/>
        <v>0</v>
      </c>
      <c r="AK1021" s="229">
        <v>0</v>
      </c>
      <c r="AL1021" s="229">
        <v>0</v>
      </c>
      <c r="AM1021" s="229">
        <v>1</v>
      </c>
      <c r="AN1021" s="229">
        <v>0</v>
      </c>
      <c r="AO1021" s="229">
        <f t="shared" si="880"/>
        <v>-100</v>
      </c>
      <c r="AP1021" s="238"/>
      <c r="AQ1021" s="255"/>
      <c r="AR1021" s="255"/>
      <c r="AS1021" s="256"/>
      <c r="AT1021" s="256"/>
      <c r="AU1021" s="256"/>
      <c r="AV1021" s="256"/>
      <c r="AW1021" s="256"/>
      <c r="AX1021" s="256"/>
      <c r="AY1021" s="256"/>
      <c r="AZ1021" s="256"/>
      <c r="BA1021" s="256"/>
      <c r="BB1021" s="256"/>
      <c r="BC1021" s="256"/>
      <c r="BD1021" s="238"/>
      <c r="BE1021" s="229" cm="1">
        <f t="array" ref="BE1021">IF(ISBLANK(R1021), INDEX(Use, $AH1021, 4) - AM1021*INDEX(Use, $AH1021, 6), R1021)</f>
        <v>5</v>
      </c>
      <c r="BF1021" s="229">
        <f t="shared" si="881"/>
        <v>30</v>
      </c>
      <c r="BG1021" s="229">
        <f t="shared" si="869"/>
        <v>13</v>
      </c>
      <c r="BH1021" s="229">
        <f t="shared" si="870"/>
        <v>0</v>
      </c>
      <c r="BI1021" s="234" cm="1">
        <f t="array" ref="BI1021">K1021/IF($L1021&gt;0, INDEX($AU$23:$BA$77, $L1021+20, $AH1021), 1)</f>
        <v>0</v>
      </c>
      <c r="BJ1021" s="230">
        <f t="shared" si="882"/>
        <v>0</v>
      </c>
      <c r="BK1021" s="229">
        <v>35</v>
      </c>
      <c r="BL1021" s="230">
        <f t="shared" si="883"/>
        <v>48</v>
      </c>
      <c r="BM1021" s="235">
        <f t="shared" si="884"/>
        <v>2.9108720930232557</v>
      </c>
      <c r="BN1021" s="235" cm="1">
        <f t="array" ref="BN1021">$BI1021 * SUMPRODUCT(INDEX($AR$77:$AT$82,,$AI1021),INDEX($AU$77:$BA$82,,$AH1021), N($AQ$77:$AQ$82&gt;$AO1021)) / BM1021 / 1000</f>
        <v>0</v>
      </c>
      <c r="BO1021" s="232">
        <f t="shared" si="871"/>
        <v>30</v>
      </c>
      <c r="BP1021" s="230">
        <f t="shared" si="885"/>
        <v>43</v>
      </c>
      <c r="BQ1021" s="235">
        <f t="shared" si="886"/>
        <v>3.2938815789473681</v>
      </c>
      <c r="BR1021" s="235" cm="1">
        <f t="array" ref="BR1021">$BI1021 * IF($AH1021&lt;=2,
SUMPRODUCT(INDEX($AR$72:$AT$76,,$AI1021), INDEX($AU$72:$BA$76,,$AH1021), 1 / ($BB$72:$BB$76*BQ1021 + (1-$BB$72:$BB$76)*BM1021), N($AQ$72:$AQ$76&gt;$AO1021)),
SUMPRODUCT(INDEX($AR$67:$AT$76,,$AI1021), INDEX($AU$67:$BA$76,,$AH1021), 1 / ($BC$67:$BC$76*BQ1021 + (1-$BC$67:$BC$76)*BM1021), N($AQ$67:$AQ$76&gt;$AO1021))
) / 1000</f>
        <v>0</v>
      </c>
      <c r="BS1021" s="232">
        <f t="shared" si="872"/>
        <v>25</v>
      </c>
      <c r="BT1021" s="230">
        <f t="shared" si="887"/>
        <v>38</v>
      </c>
      <c r="BU1021" s="235">
        <f t="shared" si="888"/>
        <v>3.792954545454545</v>
      </c>
      <c r="BV1021" s="235" cm="1">
        <f t="array" ref="BV1021">$BI1021 * IF($AH1021&lt;=2,
SUMPRODUCT(INDEX($AR$67:$AT$71,,$AI1021), INDEX($AU$67:$BA$71,,$AH1021), 1 / ($BB$67:$BB$71*BU1021 + (1-$BB$67:$BB$71)*BQ1021), N($AQ$67:$AQ$71&gt;$AO1021)),
SUMPRODUCT(INDEX($AR$57:$AT$66,,$AI1021), INDEX($AU$57:$BA$66,,$AH1021), 1 / ($BC$57:$BC$66*BU1021 + (1-$BC$57:$BC$66)*BQ1021), N($AQ$57:$AQ$66&gt;$AO1021))
) / 1000</f>
        <v>0</v>
      </c>
      <c r="BW1021" s="232">
        <f t="shared" si="873"/>
        <v>20</v>
      </c>
      <c r="BX1021" s="230">
        <f t="shared" si="889"/>
        <v>33</v>
      </c>
      <c r="BY1021" s="235">
        <f t="shared" si="890"/>
        <v>4.4702678571428569</v>
      </c>
      <c r="BZ1021" s="235" cm="1">
        <f t="array" ref="BZ1021">$BI1021 * IF($AH1021&lt;=2,
SUMPRODUCT(INDEX($AR$62:$AT$66,,$AI1021), INDEX($AU$62:$BA$66,,$AH1021), 1 / ($BB$62:$BB$66*BY1021 + (1-$BB$62:$BB$66)*BU1021), N($AQ$62:$AQ$66&gt;$AO1021)),
SUMPRODUCT(INDEX($AR$47:$AT$56,,$AI1021), INDEX($AU$47:$BA$56,,$AH1021), 1 / ($BC$47:$BC$56*BY1021 + (1-$BC$47:$BC$56)*BU1021), N($AQ$47:$AQ$56&gt;$AO1021))
) / 1000</f>
        <v>0</v>
      </c>
      <c r="CA1021" s="235" cm="1">
        <f t="array" ref="CA1021">$BI1021 * IF($AH1021&lt;=2,
SUMPRODUCT(INDEX($AR$23:$AT$61,,$AI1021), INDEX($AU$23:$BA$61,,$AH1021), 1 / ($BB$23:$BB$61*BY1021), N($AQ$23:$AQ$61&gt;$AO1021)),
SUMPRODUCT(INDEX($AR$23:$AT$46,,$AI1021), INDEX($AU$23:$BA$46,,$AH1021), 1 / ($BC$23:$BC$46*BY1021), N($AQ$23:$AQ$46&gt;$AO1021))
) / 1000</f>
        <v>0</v>
      </c>
      <c r="CB1021" s="230">
        <f t="shared" si="891"/>
        <v>0</v>
      </c>
      <c r="CC1021" s="238"/>
      <c r="CD1021" s="229" cm="1">
        <f t="array" ref="CD1021">IF(ISBLANK(Y1021), INDEX(Use, $AH1021, 4) - AN1021*INDEX(Use, $AH1021, 6) - (Q1021-X1021), Y1021)</f>
        <v>7</v>
      </c>
      <c r="CE1021" s="229">
        <f t="shared" si="892"/>
        <v>32</v>
      </c>
      <c r="CF1021" s="230">
        <f t="shared" si="893"/>
        <v>0</v>
      </c>
      <c r="CG1021" s="229">
        <v>35</v>
      </c>
      <c r="CH1021" s="230">
        <f t="shared" si="894"/>
        <v>48</v>
      </c>
      <c r="CI1021" s="235">
        <f t="shared" si="895"/>
        <v>3.0748170731707316</v>
      </c>
      <c r="CJ1021" s="235" cm="1">
        <f t="array" ref="CJ1021">$BI1021 * SUMPRODUCT(INDEX($AR$77:$AT$82,,$AI1021),INDEX($AU$77:$BA$82,,$AH1021), N($AQ$77:$AQ$82&gt;$AO1021)) / CI1021 / 1000</f>
        <v>0</v>
      </c>
      <c r="CK1021" s="232">
        <f t="shared" si="874"/>
        <v>30</v>
      </c>
      <c r="CL1021" s="230">
        <f t="shared" si="896"/>
        <v>43</v>
      </c>
      <c r="CM1021" s="235">
        <f t="shared" si="897"/>
        <v>3.5018750000000001</v>
      </c>
      <c r="CN1021" s="235" cm="1">
        <f t="array" ref="CN1021">$BI1021 * IF($AH1021&lt;=2,
SUMPRODUCT(INDEX($AR$72:$AT$76,,$AI1021), INDEX($AU$72:$BA$76,,$AH1021), 1 / ($BB$72:$BB$76*CM1021 + (1-$BB$72:$BB$76)*CI1021), N($AQ$72:$AQ$76&gt;$AO1021)),
SUMPRODUCT(INDEX($AR$67:$AT$76,,$AI1021), INDEX($AU$67:$BA$76,,$AH1021), 1 / ($BC$67:$BC$76*CM1021 + (1-$BC$67:$BC$76)*CI1021), N($AQ$67:$AQ$76&gt;$AO1021))
) / 1000</f>
        <v>0</v>
      </c>
      <c r="CO1021" s="232">
        <f t="shared" si="875"/>
        <v>25</v>
      </c>
      <c r="CP1021" s="230">
        <f t="shared" si="898"/>
        <v>38</v>
      </c>
      <c r="CQ1021" s="235">
        <f t="shared" si="899"/>
        <v>4.0666935483870965</v>
      </c>
      <c r="CR1021" s="235" cm="1">
        <f t="array" ref="CR1021">$BI1021 * IF($AH1021&lt;=2,
SUMPRODUCT(INDEX($AR$67:$AT$71,,$AI1021), INDEX($AU$67:$BA$71,,$AH1021), 1 / ($BB$67:$BB$71*CQ1021 + (1-$BB$67:$BB$71)*CM1021), N($AQ$67:$AQ$71&gt;$AO1021)),
SUMPRODUCT(INDEX($AR$57:$AT$66,,$AI1021), INDEX($AU$57:$BA$66,,$AH1021), 1 / ($BC$57:$BC$66*CQ1021 + (1-$BC$57:$BC$66)*CM1021), N($AQ$57:$AQ$66&gt;$AO1021))
) / 1000</f>
        <v>0</v>
      </c>
      <c r="CS1021" s="232">
        <f t="shared" si="876"/>
        <v>20</v>
      </c>
      <c r="CT1021" s="230">
        <f t="shared" si="900"/>
        <v>33</v>
      </c>
      <c r="CU1021" s="235">
        <f t="shared" si="901"/>
        <v>4.8487499999999999</v>
      </c>
      <c r="CV1021" s="235" cm="1">
        <f t="array" ref="CV1021">$BI1021 * IF($AH1021&lt;=2,
SUMPRODUCT(INDEX($AR$62:$AT$66,,$AI1021), INDEX($AU$62:$BA$66,,$AH1021), 1 / ($BB$62:$BB$66*CU1021 + (1-$BB$62:$BB$66)*CQ1021), N($AQ$62:$AQ$66&gt;$AO1021)),
SUMPRODUCT(INDEX($AR$47:$AT$56,,$AI1021), INDEX($AU$47:$BA$56,,$AH1021), 1 / ($BC$47:$BC$56*CU1021 + (1-$BC$47:$BC$56)*CQ1021), N($AQ$47:$AQ$56&gt;$AO1021))
) / 1000</f>
        <v>0</v>
      </c>
      <c r="CW1021" s="235" cm="1">
        <f t="array" ref="CW1021">$BI1021 * IF($AH1021&lt;=2,
SUMPRODUCT(INDEX($AR$23:$AT$61,,$AI1021), INDEX($AU$23:$BA$61,,$AH1021), 1 / ($BB$23:$BB$61*CU1021), N($AQ$23:$AQ$61&gt;$AO1021)),
SUMPRODUCT(INDEX($AR$23:$AT$46,,$AI1021), INDEX($AU$23:$BA$46,,$AH1021), 1 / ($BC$23:$BC$46*CU1021), N($AQ$23:$AQ$46&gt;$AO1021))
) / 1000</f>
        <v>0</v>
      </c>
      <c r="CX1021" s="230">
        <f t="shared" si="902"/>
        <v>0</v>
      </c>
      <c r="CY1021" s="238"/>
    </row>
    <row r="1022" spans="1:103" s="76" customFormat="1" ht="14.25" customHeight="1" x14ac:dyDescent="0.2">
      <c r="A1022" s="231" t="b">
        <f t="shared" si="868"/>
        <v>0</v>
      </c>
      <c r="B1022" s="245">
        <v>1000</v>
      </c>
      <c r="C1022" s="258"/>
      <c r="D1022" s="258"/>
      <c r="E1022" s="246"/>
      <c r="F1022" s="247" t="str">
        <f>IF(ISBLANK(E1022), "", VLOOKUP(E1022, Z!$A$2:$C$4127, 3, FALSE))</f>
        <v/>
      </c>
      <c r="G1022" s="248"/>
      <c r="H1022" s="248"/>
      <c r="I1022" s="249"/>
      <c r="J1022" s="250"/>
      <c r="K1022" s="259"/>
      <c r="L1022" s="260"/>
      <c r="M1022" s="252" t="str" cm="1">
        <f t="array" ref="M1022">INDEX(Trad, 53, $A$20)</f>
        <v>Verschmutzt</v>
      </c>
      <c r="N1022" s="253"/>
      <c r="O1022" s="253"/>
      <c r="P1022" s="254"/>
      <c r="Q1022" s="251"/>
      <c r="R1022" s="251"/>
      <c r="S1022" s="264">
        <f t="shared" si="877"/>
        <v>0</v>
      </c>
      <c r="T1022" s="252" t="str" cm="1">
        <f t="array" ref="T1022">INDEX(Trad, 52, $A$20)</f>
        <v>Sauber</v>
      </c>
      <c r="U1022" s="253"/>
      <c r="V1022" s="253"/>
      <c r="W1022" s="254"/>
      <c r="X1022" s="251"/>
      <c r="Y1022" s="251"/>
      <c r="Z1022" s="264">
        <f t="shared" si="878"/>
        <v>0</v>
      </c>
      <c r="AA1022" s="261"/>
      <c r="AB1022" s="258"/>
      <c r="AC1022" s="246"/>
      <c r="AD1022" s="247" t="str">
        <f>IF(ISBLANK(AC1022), "", VLOOKUP(AC1022, Z!$A$2:$C$4127, 3, FALSE))</f>
        <v/>
      </c>
      <c r="AE1022" s="262"/>
      <c r="AF1022" s="263">
        <f t="shared" si="879"/>
        <v>0</v>
      </c>
      <c r="AG1022" s="238"/>
      <c r="AH1022" s="229">
        <f t="shared" si="903"/>
        <v>1</v>
      </c>
      <c r="AI1022" s="229">
        <f t="shared" si="904"/>
        <v>1</v>
      </c>
      <c r="AJ1022" s="229">
        <f t="shared" si="905"/>
        <v>0</v>
      </c>
      <c r="AK1022" s="229">
        <v>0</v>
      </c>
      <c r="AL1022" s="229">
        <v>0</v>
      </c>
      <c r="AM1022" s="229">
        <v>1</v>
      </c>
      <c r="AN1022" s="229">
        <v>0</v>
      </c>
      <c r="AO1022" s="229">
        <f t="shared" si="880"/>
        <v>-100</v>
      </c>
      <c r="AP1022" s="238"/>
      <c r="AQ1022" s="255"/>
      <c r="AR1022" s="255"/>
      <c r="AS1022" s="256"/>
      <c r="AT1022" s="256"/>
      <c r="AU1022" s="256"/>
      <c r="AV1022" s="256"/>
      <c r="AW1022" s="256"/>
      <c r="AX1022" s="256"/>
      <c r="AY1022" s="256"/>
      <c r="AZ1022" s="256"/>
      <c r="BA1022" s="256"/>
      <c r="BB1022" s="256"/>
      <c r="BC1022" s="256"/>
      <c r="BD1022" s="238"/>
      <c r="BE1022" s="229" cm="1">
        <f t="array" ref="BE1022">IF(ISBLANK(R1022), INDEX(Use, $AH1022, 4) - AM1022*INDEX(Use, $AH1022, 6), R1022)</f>
        <v>5</v>
      </c>
      <c r="BF1022" s="229">
        <f t="shared" si="881"/>
        <v>30</v>
      </c>
      <c r="BG1022" s="229">
        <f t="shared" si="869"/>
        <v>13</v>
      </c>
      <c r="BH1022" s="229">
        <f t="shared" si="870"/>
        <v>0</v>
      </c>
      <c r="BI1022" s="234" cm="1">
        <f t="array" ref="BI1022">K1022/IF($L1022&gt;0, INDEX($AU$23:$BA$77, $L1022+20, $AH1022), 1)</f>
        <v>0</v>
      </c>
      <c r="BJ1022" s="230">
        <f t="shared" si="882"/>
        <v>0</v>
      </c>
      <c r="BK1022" s="229">
        <v>35</v>
      </c>
      <c r="BL1022" s="230">
        <f t="shared" si="883"/>
        <v>48</v>
      </c>
      <c r="BM1022" s="235">
        <f t="shared" si="884"/>
        <v>2.9108720930232557</v>
      </c>
      <c r="BN1022" s="235" cm="1">
        <f t="array" ref="BN1022">$BI1022 * SUMPRODUCT(INDEX($AR$77:$AT$82,,$AI1022),INDEX($AU$77:$BA$82,,$AH1022), N($AQ$77:$AQ$82&gt;$AO1022)) / BM1022 / 1000</f>
        <v>0</v>
      </c>
      <c r="BO1022" s="232">
        <f t="shared" si="871"/>
        <v>30</v>
      </c>
      <c r="BP1022" s="230">
        <f t="shared" si="885"/>
        <v>43</v>
      </c>
      <c r="BQ1022" s="235">
        <f t="shared" si="886"/>
        <v>3.2938815789473681</v>
      </c>
      <c r="BR1022" s="235" cm="1">
        <f t="array" ref="BR1022">$BI1022 * IF($AH1022&lt;=2,
SUMPRODUCT(INDEX($AR$72:$AT$76,,$AI1022), INDEX($AU$72:$BA$76,,$AH1022), 1 / ($BB$72:$BB$76*BQ1022 + (1-$BB$72:$BB$76)*BM1022), N($AQ$72:$AQ$76&gt;$AO1022)),
SUMPRODUCT(INDEX($AR$67:$AT$76,,$AI1022), INDEX($AU$67:$BA$76,,$AH1022), 1 / ($BC$67:$BC$76*BQ1022 + (1-$BC$67:$BC$76)*BM1022), N($AQ$67:$AQ$76&gt;$AO1022))
) / 1000</f>
        <v>0</v>
      </c>
      <c r="BS1022" s="232">
        <f t="shared" si="872"/>
        <v>25</v>
      </c>
      <c r="BT1022" s="230">
        <f t="shared" si="887"/>
        <v>38</v>
      </c>
      <c r="BU1022" s="235">
        <f t="shared" si="888"/>
        <v>3.792954545454545</v>
      </c>
      <c r="BV1022" s="235" cm="1">
        <f t="array" ref="BV1022">$BI1022 * IF($AH1022&lt;=2,
SUMPRODUCT(INDEX($AR$67:$AT$71,,$AI1022), INDEX($AU$67:$BA$71,,$AH1022), 1 / ($BB$67:$BB$71*BU1022 + (1-$BB$67:$BB$71)*BQ1022), N($AQ$67:$AQ$71&gt;$AO1022)),
SUMPRODUCT(INDEX($AR$57:$AT$66,,$AI1022), INDEX($AU$57:$BA$66,,$AH1022), 1 / ($BC$57:$BC$66*BU1022 + (1-$BC$57:$BC$66)*BQ1022), N($AQ$57:$AQ$66&gt;$AO1022))
) / 1000</f>
        <v>0</v>
      </c>
      <c r="BW1022" s="232">
        <f t="shared" si="873"/>
        <v>20</v>
      </c>
      <c r="BX1022" s="230">
        <f t="shared" si="889"/>
        <v>33</v>
      </c>
      <c r="BY1022" s="235">
        <f t="shared" si="890"/>
        <v>4.4702678571428569</v>
      </c>
      <c r="BZ1022" s="235" cm="1">
        <f t="array" ref="BZ1022">$BI1022 * IF($AH1022&lt;=2,
SUMPRODUCT(INDEX($AR$62:$AT$66,,$AI1022), INDEX($AU$62:$BA$66,,$AH1022), 1 / ($BB$62:$BB$66*BY1022 + (1-$BB$62:$BB$66)*BU1022), N($AQ$62:$AQ$66&gt;$AO1022)),
SUMPRODUCT(INDEX($AR$47:$AT$56,,$AI1022), INDEX($AU$47:$BA$56,,$AH1022), 1 / ($BC$47:$BC$56*BY1022 + (1-$BC$47:$BC$56)*BU1022), N($AQ$47:$AQ$56&gt;$AO1022))
) / 1000</f>
        <v>0</v>
      </c>
      <c r="CA1022" s="235" cm="1">
        <f t="array" ref="CA1022">$BI1022 * IF($AH1022&lt;=2,
SUMPRODUCT(INDEX($AR$23:$AT$61,,$AI1022), INDEX($AU$23:$BA$61,,$AH1022), 1 / ($BB$23:$BB$61*BY1022), N($AQ$23:$AQ$61&gt;$AO1022)),
SUMPRODUCT(INDEX($AR$23:$AT$46,,$AI1022), INDEX($AU$23:$BA$46,,$AH1022), 1 / ($BC$23:$BC$46*BY1022), N($AQ$23:$AQ$46&gt;$AO1022))
) / 1000</f>
        <v>0</v>
      </c>
      <c r="CB1022" s="230">
        <f t="shared" si="891"/>
        <v>0</v>
      </c>
      <c r="CC1022" s="238"/>
      <c r="CD1022" s="229" cm="1">
        <f t="array" ref="CD1022">IF(ISBLANK(Y1022), INDEX(Use, $AH1022, 4) - AN1022*INDEX(Use, $AH1022, 6) - (Q1022-X1022), Y1022)</f>
        <v>7</v>
      </c>
      <c r="CE1022" s="229">
        <f t="shared" si="892"/>
        <v>32</v>
      </c>
      <c r="CF1022" s="230">
        <f t="shared" si="893"/>
        <v>0</v>
      </c>
      <c r="CG1022" s="229">
        <v>35</v>
      </c>
      <c r="CH1022" s="230">
        <f t="shared" si="894"/>
        <v>48</v>
      </c>
      <c r="CI1022" s="235">
        <f t="shared" si="895"/>
        <v>3.0748170731707316</v>
      </c>
      <c r="CJ1022" s="235" cm="1">
        <f t="array" ref="CJ1022">$BI1022 * SUMPRODUCT(INDEX($AR$77:$AT$82,,$AI1022),INDEX($AU$77:$BA$82,,$AH1022), N($AQ$77:$AQ$82&gt;$AO1022)) / CI1022 / 1000</f>
        <v>0</v>
      </c>
      <c r="CK1022" s="232">
        <f t="shared" si="874"/>
        <v>30</v>
      </c>
      <c r="CL1022" s="230">
        <f t="shared" si="896"/>
        <v>43</v>
      </c>
      <c r="CM1022" s="235">
        <f t="shared" si="897"/>
        <v>3.5018750000000001</v>
      </c>
      <c r="CN1022" s="235" cm="1">
        <f t="array" ref="CN1022">$BI1022 * IF($AH1022&lt;=2,
SUMPRODUCT(INDEX($AR$72:$AT$76,,$AI1022), INDEX($AU$72:$BA$76,,$AH1022), 1 / ($BB$72:$BB$76*CM1022 + (1-$BB$72:$BB$76)*CI1022), N($AQ$72:$AQ$76&gt;$AO1022)),
SUMPRODUCT(INDEX($AR$67:$AT$76,,$AI1022), INDEX($AU$67:$BA$76,,$AH1022), 1 / ($BC$67:$BC$76*CM1022 + (1-$BC$67:$BC$76)*CI1022), N($AQ$67:$AQ$76&gt;$AO1022))
) / 1000</f>
        <v>0</v>
      </c>
      <c r="CO1022" s="232">
        <f t="shared" si="875"/>
        <v>25</v>
      </c>
      <c r="CP1022" s="230">
        <f t="shared" si="898"/>
        <v>38</v>
      </c>
      <c r="CQ1022" s="235">
        <f t="shared" si="899"/>
        <v>4.0666935483870965</v>
      </c>
      <c r="CR1022" s="235" cm="1">
        <f t="array" ref="CR1022">$BI1022 * IF($AH1022&lt;=2,
SUMPRODUCT(INDEX($AR$67:$AT$71,,$AI1022), INDEX($AU$67:$BA$71,,$AH1022), 1 / ($BB$67:$BB$71*CQ1022 + (1-$BB$67:$BB$71)*CM1022), N($AQ$67:$AQ$71&gt;$AO1022)),
SUMPRODUCT(INDEX($AR$57:$AT$66,,$AI1022), INDEX($AU$57:$BA$66,,$AH1022), 1 / ($BC$57:$BC$66*CQ1022 + (1-$BC$57:$BC$66)*CM1022), N($AQ$57:$AQ$66&gt;$AO1022))
) / 1000</f>
        <v>0</v>
      </c>
      <c r="CS1022" s="232">
        <f t="shared" si="876"/>
        <v>20</v>
      </c>
      <c r="CT1022" s="230">
        <f t="shared" si="900"/>
        <v>33</v>
      </c>
      <c r="CU1022" s="235">
        <f t="shared" si="901"/>
        <v>4.8487499999999999</v>
      </c>
      <c r="CV1022" s="235" cm="1">
        <f t="array" ref="CV1022">$BI1022 * IF($AH1022&lt;=2,
SUMPRODUCT(INDEX($AR$62:$AT$66,,$AI1022), INDEX($AU$62:$BA$66,,$AH1022), 1 / ($BB$62:$BB$66*CU1022 + (1-$BB$62:$BB$66)*CQ1022), N($AQ$62:$AQ$66&gt;$AO1022)),
SUMPRODUCT(INDEX($AR$47:$AT$56,,$AI1022), INDEX($AU$47:$BA$56,,$AH1022), 1 / ($BC$47:$BC$56*CU1022 + (1-$BC$47:$BC$56)*CQ1022), N($AQ$47:$AQ$56&gt;$AO1022))
) / 1000</f>
        <v>0</v>
      </c>
      <c r="CW1022" s="235" cm="1">
        <f t="array" ref="CW1022">$BI1022 * IF($AH1022&lt;=2,
SUMPRODUCT(INDEX($AR$23:$AT$61,,$AI1022), INDEX($AU$23:$BA$61,,$AH1022), 1 / ($BB$23:$BB$61*CU1022), N($AQ$23:$AQ$61&gt;$AO1022)),
SUMPRODUCT(INDEX($AR$23:$AT$46,,$AI1022), INDEX($AU$23:$BA$46,,$AH1022), 1 / ($BC$23:$BC$46*CU1022), N($AQ$23:$AQ$46&gt;$AO1022))
) / 1000</f>
        <v>0</v>
      </c>
      <c r="CX1022" s="230">
        <f t="shared" si="902"/>
        <v>0</v>
      </c>
      <c r="CY1022" s="238"/>
    </row>
    <row r="1023" spans="1:103" x14ac:dyDescent="0.2"/>
  </sheetData>
  <sheetProtection algorithmName="SHA-512" hashValue="pW51mxYFCQAb+7fTkt5RG97WDhp6jrZjloeo/2ITmdQII9OV3oEeC/2cHNJOF6w62xhBK5/Qjgb5YWCuqVeCyQ==" saltValue="AyGar5m9oTnrWrPsicz38w==" spinCount="100000" sheet="1" objects="1" scenarios="1"/>
  <mergeCells count="6">
    <mergeCell ref="B20:B22"/>
    <mergeCell ref="AA20:AB20"/>
    <mergeCell ref="B2:C2"/>
    <mergeCell ref="D15:E15"/>
    <mergeCell ref="D16:E16"/>
    <mergeCell ref="D17:E17"/>
  </mergeCells>
  <conditionalFormatting sqref="J23:J1022">
    <cfRule type="expression" dxfId="3" priority="8">
      <formula>AND($AH23&lt;&gt;5,$AH23&lt;&gt;6)</formula>
    </cfRule>
  </conditionalFormatting>
  <conditionalFormatting sqref="M23:M1022">
    <cfRule type="expression" dxfId="2" priority="2">
      <formula>S23=0</formula>
    </cfRule>
  </conditionalFormatting>
  <conditionalFormatting sqref="T23:T1022">
    <cfRule type="expression" dxfId="1" priority="1">
      <formula>Z23=0</formula>
    </cfRule>
  </conditionalFormatting>
  <conditionalFormatting sqref="U28:W1022">
    <cfRule type="expression" dxfId="0" priority="7">
      <formula>$A28</formula>
    </cfRule>
  </conditionalFormatting>
  <dataValidations count="12">
    <dataValidation type="decimal" allowBlank="1" showInputMessage="1" showErrorMessage="1" sqref="U25:U1022 L1023:L1048576 K20 K22:K1048576" xr:uid="{37AB4329-4BE1-4565-A671-7608D5D76A05}">
      <formula1>0</formula1>
      <formula2>250</formula2>
    </dataValidation>
    <dataValidation type="date" allowBlank="1" showInputMessage="1" showErrorMessage="1" sqref="AE23:AE1022" xr:uid="{68E8D9FE-84E0-42DD-82AB-9DA9FD41D3F5}">
      <formula1>44562</formula1>
      <formula2>47848</formula2>
    </dataValidation>
    <dataValidation type="decimal" allowBlank="1" showInputMessage="1" showErrorMessage="1" sqref="Q23:R1022 X23:Y1022" xr:uid="{C94D7461-8A3D-45EE-9217-B8B9BB623A06}">
      <formula1>-45</formula1>
      <formula2>45</formula2>
    </dataValidation>
    <dataValidation type="decimal" allowBlank="1" showInputMessage="1" showErrorMessage="1" sqref="O23:P1022 V23:W1022" xr:uid="{29633CEF-67B4-41C0-8455-C4D6D62BE638}">
      <formula1>0</formula1>
      <formula2>45</formula2>
    </dataValidation>
    <dataValidation type="decimal" allowBlank="1" showInputMessage="1" showErrorMessage="1" sqref="N23:N1022 U23:U24" xr:uid="{B09EA5EF-C764-4DDB-BADD-E91E7092B1AF}">
      <formula1>0</formula1>
      <formula2>75</formula2>
    </dataValidation>
    <dataValidation type="decimal" allowBlank="1" showInputMessage="1" showErrorMessage="1" sqref="L23:L1022" xr:uid="{F35D24EB-77E3-4CA0-A52A-8F8F67744BCB}">
      <formula1>20</formula1>
      <formula2>35</formula2>
    </dataValidation>
    <dataValidation type="list" allowBlank="1" showInputMessage="1" showErrorMessage="1" sqref="J23:J1022" xr:uid="{D6CC818D-D5BE-40BD-8B15-BF2DFFD12C51}">
      <formula1>"x"</formula1>
    </dataValidation>
    <dataValidation type="list" allowBlank="1" showInputMessage="1" showErrorMessage="1" sqref="G23:G1022" xr:uid="{B1EBB4FA-67CE-4C02-9355-E710AB477EC3}">
      <formula1>INDEX(Loc,,$A$20)</formula1>
    </dataValidation>
    <dataValidation type="list" allowBlank="1" showInputMessage="1" showErrorMessage="1" sqref="I23:I1022" xr:uid="{9BAA1FFD-3B70-46AD-BD27-FEC999E19CB7}">
      <formula1>INDEX(Medium,,$A$20)</formula1>
    </dataValidation>
    <dataValidation type="list" allowBlank="1" showInputMessage="1" showErrorMessage="1" sqref="H23:H1022" xr:uid="{3A6B22BD-B88B-4CB5-BA86-5AAB3F13BFEC}">
      <formula1>INDEX(Use,,$A$20)</formula1>
    </dataValidation>
    <dataValidation type="list" allowBlank="1" showInputMessage="1" showErrorMessage="1" sqref="E23:E1022 AC23:AC1022" xr:uid="{EC6BF3F1-FABC-4DB6-A6C1-80D5B3391A56}">
      <formula1>PLZ</formula1>
    </dataValidation>
    <dataValidation type="list" allowBlank="1" showInputMessage="1" showErrorMessage="1" sqref="B8:B9" xr:uid="{9D27D94D-A500-4E9E-B0F0-A7528FA8D13C}">
      <formula1>"D,F,I"</formula1>
    </dataValidation>
  </dataValidations>
  <hyperlinks>
    <hyperlink ref="AA21" r:id="rId1" xr:uid="{8E38F72F-4761-4859-97EC-B6F22153D97D}"/>
    <hyperlink ref="B2" location="Version!A1" display="Version!A1" xr:uid="{9566D103-2781-4CE4-BFDE-52931B62D12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08" activePane="bottomLeft" state="frozen"/>
      <selection pane="bottomLeft" activeCell="C235" sqref="C235"/>
    </sheetView>
  </sheetViews>
  <sheetFormatPr baseColWidth="10" defaultColWidth="9.140625" defaultRowHeight="12.75" outlineLevelRow="1" x14ac:dyDescent="0.2"/>
  <cols>
    <col min="1" max="1" width="28.140625" style="2" customWidth="1"/>
    <col min="2" max="2" width="5.7109375" style="85"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3" t="s">
        <v>4702</v>
      </c>
      <c r="B2" s="95">
        <v>1</v>
      </c>
      <c r="C2" s="22" t="s">
        <v>4703</v>
      </c>
      <c r="D2" s="22" t="s">
        <v>4705</v>
      </c>
      <c r="E2" s="22" t="s">
        <v>4704</v>
      </c>
      <c r="F2" s="22"/>
      <c r="G2" s="22"/>
      <c r="H2" s="22"/>
    </row>
    <row r="3" spans="1:8" outlineLevel="1" x14ac:dyDescent="0.2">
      <c r="A3" s="94"/>
      <c r="B3" s="95">
        <v>2</v>
      </c>
      <c r="C3" s="22" t="s">
        <v>4466</v>
      </c>
      <c r="D3" s="22" t="s">
        <v>4467</v>
      </c>
      <c r="E3" s="22" t="s">
        <v>4486</v>
      </c>
      <c r="F3" s="22"/>
      <c r="G3" s="22"/>
      <c r="H3" s="22"/>
    </row>
    <row r="4" spans="1:8" outlineLevel="1" x14ac:dyDescent="0.2">
      <c r="A4" s="94"/>
      <c r="B4" s="95">
        <v>3</v>
      </c>
      <c r="C4" s="22" t="s">
        <v>4468</v>
      </c>
      <c r="D4" s="22" t="s">
        <v>4469</v>
      </c>
      <c r="E4" s="22" t="s">
        <v>4495</v>
      </c>
      <c r="F4" s="22"/>
      <c r="G4" s="22"/>
      <c r="H4" s="22"/>
    </row>
    <row r="5" spans="1:8" outlineLevel="1" x14ac:dyDescent="0.2">
      <c r="A5" s="94"/>
      <c r="B5" s="95">
        <v>4</v>
      </c>
      <c r="C5" s="22" t="s">
        <v>4494</v>
      </c>
      <c r="D5" s="22" t="s">
        <v>4470</v>
      </c>
      <c r="E5" s="22" t="s">
        <v>4496</v>
      </c>
      <c r="F5" s="22"/>
      <c r="G5" s="22"/>
      <c r="H5" s="22"/>
    </row>
    <row r="6" spans="1:8" outlineLevel="1" x14ac:dyDescent="0.2">
      <c r="A6" s="94"/>
      <c r="B6" s="95">
        <v>5</v>
      </c>
      <c r="C6" s="22" t="s">
        <v>4752</v>
      </c>
      <c r="D6" s="22" t="s">
        <v>4755</v>
      </c>
      <c r="E6" s="22" t="s">
        <v>4756</v>
      </c>
      <c r="F6" s="22"/>
      <c r="G6" s="22"/>
      <c r="H6" s="22"/>
    </row>
    <row r="7" spans="1:8" outlineLevel="1" x14ac:dyDescent="0.2">
      <c r="A7" s="94"/>
      <c r="B7" s="95">
        <v>6</v>
      </c>
      <c r="C7" s="22" t="s">
        <v>4482</v>
      </c>
      <c r="D7" s="22" t="s">
        <v>4483</v>
      </c>
      <c r="E7" s="22" t="s">
        <v>4497</v>
      </c>
      <c r="F7" s="22"/>
      <c r="G7" s="22"/>
      <c r="H7" s="22"/>
    </row>
    <row r="8" spans="1:8" outlineLevel="1" x14ac:dyDescent="0.2">
      <c r="A8" s="94"/>
      <c r="B8" s="95">
        <v>7</v>
      </c>
      <c r="C8" s="22" t="s">
        <v>4793</v>
      </c>
      <c r="D8" s="22" t="s">
        <v>4791</v>
      </c>
      <c r="E8" s="22" t="s">
        <v>4792</v>
      </c>
      <c r="F8" s="22"/>
      <c r="G8" s="22"/>
      <c r="H8" s="22"/>
    </row>
    <row r="9" spans="1:8" outlineLevel="1" x14ac:dyDescent="0.2">
      <c r="A9" s="94"/>
      <c r="B9" s="95">
        <v>8</v>
      </c>
      <c r="C9" s="22" t="s">
        <v>4485</v>
      </c>
      <c r="D9" s="22" t="s">
        <v>4484</v>
      </c>
      <c r="E9" s="22" t="s">
        <v>4498</v>
      </c>
      <c r="F9" s="22"/>
      <c r="G9" s="22"/>
      <c r="H9" s="22"/>
    </row>
    <row r="10" spans="1:8" outlineLevel="1" x14ac:dyDescent="0.2">
      <c r="A10" s="94"/>
      <c r="B10" s="95">
        <v>9</v>
      </c>
      <c r="C10" s="22" t="s">
        <v>5067</v>
      </c>
      <c r="D10" s="22" t="s">
        <v>5091</v>
      </c>
      <c r="E10" s="22" t="s">
        <v>4499</v>
      </c>
      <c r="F10" s="22"/>
      <c r="G10" s="22"/>
      <c r="H10" s="22"/>
    </row>
    <row r="11" spans="1:8" outlineLevel="1" x14ac:dyDescent="0.2">
      <c r="A11" s="94"/>
      <c r="B11" s="95">
        <v>10</v>
      </c>
      <c r="C11" s="22" t="s">
        <v>4471</v>
      </c>
      <c r="D11" s="22" t="s">
        <v>4472</v>
      </c>
      <c r="E11" s="22" t="s">
        <v>4472</v>
      </c>
      <c r="F11" s="22"/>
      <c r="G11" s="22"/>
      <c r="H11" s="22"/>
    </row>
    <row r="12" spans="1:8" outlineLevel="1" x14ac:dyDescent="0.2">
      <c r="A12" s="94"/>
      <c r="B12" s="95">
        <v>11</v>
      </c>
      <c r="C12" s="22" t="s">
        <v>4473</v>
      </c>
      <c r="D12" s="22" t="s">
        <v>4474</v>
      </c>
      <c r="E12" s="22" t="s">
        <v>4487</v>
      </c>
      <c r="F12" s="22"/>
      <c r="G12" s="22"/>
      <c r="H12" s="22"/>
    </row>
    <row r="13" spans="1:8" outlineLevel="1" x14ac:dyDescent="0.2">
      <c r="A13" s="94"/>
      <c r="B13" s="95">
        <v>12</v>
      </c>
      <c r="C13" s="22" t="s">
        <v>4475</v>
      </c>
      <c r="D13" s="22" t="s">
        <v>4475</v>
      </c>
      <c r="E13" s="22" t="s">
        <v>4488</v>
      </c>
      <c r="F13" s="22"/>
      <c r="G13" s="22"/>
      <c r="H13" s="22"/>
    </row>
    <row r="14" spans="1:8" outlineLevel="1" x14ac:dyDescent="0.2">
      <c r="A14" s="94"/>
      <c r="B14" s="95">
        <v>13</v>
      </c>
      <c r="C14" s="22" t="s">
        <v>4463</v>
      </c>
      <c r="D14" s="22" t="s">
        <v>4478</v>
      </c>
      <c r="E14" s="22" t="s">
        <v>4489</v>
      </c>
      <c r="F14" s="22"/>
      <c r="G14" s="22"/>
      <c r="H14" s="22"/>
    </row>
    <row r="15" spans="1:8" outlineLevel="1" x14ac:dyDescent="0.2">
      <c r="A15" s="94"/>
      <c r="B15" s="95">
        <v>14</v>
      </c>
      <c r="C15" s="22" t="s">
        <v>4476</v>
      </c>
      <c r="D15" s="22" t="s">
        <v>4477</v>
      </c>
      <c r="E15" s="22" t="s">
        <v>4490</v>
      </c>
      <c r="F15" s="22"/>
      <c r="G15" s="22"/>
      <c r="H15" s="22"/>
    </row>
    <row r="16" spans="1:8" outlineLevel="1" x14ac:dyDescent="0.2">
      <c r="A16" s="94"/>
      <c r="B16" s="95">
        <v>15</v>
      </c>
      <c r="C16" s="22" t="s">
        <v>0</v>
      </c>
      <c r="D16" s="22" t="s">
        <v>4479</v>
      </c>
      <c r="E16" s="22" t="s">
        <v>4491</v>
      </c>
      <c r="F16" s="22"/>
      <c r="G16" s="22"/>
      <c r="H16" s="22"/>
    </row>
    <row r="17" spans="1:8" outlineLevel="1" x14ac:dyDescent="0.2">
      <c r="A17" s="94"/>
      <c r="B17" s="95">
        <v>16</v>
      </c>
      <c r="C17" s="22" t="s">
        <v>4500</v>
      </c>
      <c r="D17" s="22" t="s">
        <v>4501</v>
      </c>
      <c r="E17" s="22" t="s">
        <v>4502</v>
      </c>
      <c r="F17" s="22"/>
      <c r="G17" s="22"/>
      <c r="H17" s="22"/>
    </row>
    <row r="18" spans="1:8" outlineLevel="1" x14ac:dyDescent="0.2">
      <c r="A18" s="94"/>
      <c r="B18" s="95">
        <v>17</v>
      </c>
      <c r="C18" s="22" t="s">
        <v>4797</v>
      </c>
      <c r="D18" s="22" t="s">
        <v>4796</v>
      </c>
      <c r="E18" s="22" t="s">
        <v>4795</v>
      </c>
      <c r="F18" s="22"/>
      <c r="G18" s="22"/>
      <c r="H18" s="22"/>
    </row>
    <row r="19" spans="1:8" outlineLevel="1" x14ac:dyDescent="0.2">
      <c r="A19" s="94"/>
      <c r="B19" s="95">
        <v>18</v>
      </c>
      <c r="C19" s="22" t="s">
        <v>4534</v>
      </c>
      <c r="D19" s="22" t="s">
        <v>4535</v>
      </c>
      <c r="E19" s="22" t="s">
        <v>4536</v>
      </c>
      <c r="F19" s="22"/>
      <c r="G19" s="22"/>
      <c r="H19" s="22"/>
    </row>
    <row r="20" spans="1:8" outlineLevel="1" x14ac:dyDescent="0.2">
      <c r="A20" s="94"/>
      <c r="B20" s="95">
        <v>19</v>
      </c>
      <c r="C20" s="22" t="s">
        <v>4598</v>
      </c>
      <c r="D20" s="22" t="s">
        <v>4599</v>
      </c>
      <c r="E20" s="22" t="s">
        <v>4600</v>
      </c>
      <c r="F20" s="22"/>
      <c r="G20" s="22"/>
      <c r="H20" s="22"/>
    </row>
    <row r="21" spans="1:8" outlineLevel="1" x14ac:dyDescent="0.2">
      <c r="A21" s="94"/>
      <c r="B21" s="95">
        <v>20</v>
      </c>
      <c r="C21" s="22" t="s">
        <v>4706</v>
      </c>
      <c r="D21" s="22" t="s">
        <v>4480</v>
      </c>
      <c r="E21" s="22" t="s">
        <v>4492</v>
      </c>
      <c r="F21" s="22"/>
      <c r="G21" s="22"/>
      <c r="H21" s="22"/>
    </row>
    <row r="22" spans="1:8" outlineLevel="1" x14ac:dyDescent="0.2">
      <c r="A22" s="94"/>
      <c r="B22" s="95">
        <v>21</v>
      </c>
      <c r="C22" s="22" t="s">
        <v>4481</v>
      </c>
      <c r="D22" s="22" t="s">
        <v>4461</v>
      </c>
      <c r="E22" s="22" t="s">
        <v>4493</v>
      </c>
      <c r="F22" s="22"/>
      <c r="G22" s="22"/>
      <c r="H22" s="22"/>
    </row>
    <row r="23" spans="1:8" outlineLevel="1" x14ac:dyDescent="0.2">
      <c r="A23" s="94"/>
      <c r="B23" s="95">
        <v>22</v>
      </c>
      <c r="C23" s="22" t="s">
        <v>4753</v>
      </c>
      <c r="D23" s="22" t="s">
        <v>4754</v>
      </c>
      <c r="E23" s="22" t="s">
        <v>4757</v>
      </c>
      <c r="F23" s="22"/>
      <c r="G23" s="22"/>
      <c r="H23" s="22"/>
    </row>
    <row r="24" spans="1:8" outlineLevel="1" x14ac:dyDescent="0.2">
      <c r="A24" s="94"/>
      <c r="B24" s="95">
        <v>23</v>
      </c>
      <c r="C24" s="22" t="s">
        <v>4760</v>
      </c>
      <c r="D24" s="22" t="s">
        <v>4759</v>
      </c>
      <c r="E24" s="22" t="s">
        <v>4761</v>
      </c>
      <c r="F24" s="22"/>
      <c r="G24" s="22"/>
      <c r="H24" s="22"/>
    </row>
    <row r="25" spans="1:8" outlineLevel="1" x14ac:dyDescent="0.2">
      <c r="A25" s="94"/>
      <c r="B25" s="95">
        <v>24</v>
      </c>
      <c r="C25" s="22" t="s">
        <v>4603</v>
      </c>
      <c r="D25" s="22" t="s">
        <v>4603</v>
      </c>
      <c r="E25" s="22" t="s">
        <v>4646</v>
      </c>
      <c r="F25" s="22"/>
      <c r="G25" s="22"/>
      <c r="H25" s="22"/>
    </row>
    <row r="26" spans="1:8" outlineLevel="1" x14ac:dyDescent="0.2">
      <c r="A26" s="94"/>
      <c r="B26" s="95">
        <v>25</v>
      </c>
      <c r="C26" s="22" t="s">
        <v>4762</v>
      </c>
      <c r="D26" s="22" t="s">
        <v>4763</v>
      </c>
      <c r="E26" s="22" t="s">
        <v>4764</v>
      </c>
      <c r="F26" s="22"/>
      <c r="G26" s="22"/>
      <c r="H26" s="22"/>
    </row>
    <row r="27" spans="1:8" outlineLevel="1" x14ac:dyDescent="0.2">
      <c r="A27" s="94"/>
      <c r="B27" s="95">
        <v>26</v>
      </c>
      <c r="C27" s="22" t="s">
        <v>4846</v>
      </c>
      <c r="D27" s="22" t="s">
        <v>4847</v>
      </c>
      <c r="E27" s="22" t="s">
        <v>4848</v>
      </c>
      <c r="F27" s="22"/>
      <c r="G27" s="22"/>
      <c r="H27" s="22"/>
    </row>
    <row r="28" spans="1:8" outlineLevel="1" x14ac:dyDescent="0.2">
      <c r="A28" s="94"/>
      <c r="B28" s="95">
        <v>27</v>
      </c>
      <c r="C28" s="22" t="s">
        <v>4769</v>
      </c>
      <c r="D28" s="22" t="s">
        <v>4770</v>
      </c>
      <c r="E28" s="22" t="s">
        <v>4771</v>
      </c>
      <c r="F28" s="22"/>
      <c r="G28" s="22"/>
      <c r="H28" s="22"/>
    </row>
    <row r="29" spans="1:8" outlineLevel="1" x14ac:dyDescent="0.2">
      <c r="A29" s="94"/>
      <c r="B29" s="95">
        <v>28</v>
      </c>
      <c r="C29" s="22" t="s">
        <v>4773</v>
      </c>
      <c r="D29" s="22" t="s">
        <v>4774</v>
      </c>
      <c r="E29" s="22" t="s">
        <v>4775</v>
      </c>
      <c r="F29" s="22"/>
      <c r="G29" s="22"/>
      <c r="H29" s="22"/>
    </row>
    <row r="30" spans="1:8" ht="25.5" outlineLevel="1" x14ac:dyDescent="0.2">
      <c r="A30" s="94"/>
      <c r="B30" s="95">
        <v>29</v>
      </c>
      <c r="C30" s="22" t="s">
        <v>5068</v>
      </c>
      <c r="D30" s="22" t="s">
        <v>4783</v>
      </c>
      <c r="E30" s="22" t="s">
        <v>4784</v>
      </c>
      <c r="F30" s="22"/>
      <c r="G30" s="22"/>
      <c r="H30" s="22"/>
    </row>
    <row r="31" spans="1:8" ht="25.5" outlineLevel="1" x14ac:dyDescent="0.2">
      <c r="A31" s="94"/>
      <c r="B31" s="95">
        <v>30</v>
      </c>
      <c r="C31" s="22" t="s">
        <v>4787</v>
      </c>
      <c r="D31" s="22" t="s">
        <v>4786</v>
      </c>
      <c r="E31" s="22" t="s">
        <v>4785</v>
      </c>
      <c r="F31" s="22"/>
      <c r="G31" s="22"/>
      <c r="H31" s="22"/>
    </row>
    <row r="32" spans="1:8" outlineLevel="1" x14ac:dyDescent="0.2">
      <c r="A32" s="94"/>
      <c r="B32" s="95">
        <v>31</v>
      </c>
      <c r="C32" s="22" t="s">
        <v>4504</v>
      </c>
      <c r="D32" s="22" t="s">
        <v>4505</v>
      </c>
      <c r="E32" s="22" t="s">
        <v>4506</v>
      </c>
      <c r="F32" s="22"/>
      <c r="G32" s="22"/>
      <c r="H32" s="22"/>
    </row>
    <row r="33" spans="1:8" outlineLevel="1" x14ac:dyDescent="0.2">
      <c r="A33" s="94"/>
      <c r="B33" s="95">
        <v>32</v>
      </c>
      <c r="C33" s="22" t="s">
        <v>4898</v>
      </c>
      <c r="D33" s="22" t="s">
        <v>4899</v>
      </c>
      <c r="E33" s="22" t="s">
        <v>4900</v>
      </c>
      <c r="F33" s="22"/>
      <c r="G33" s="22"/>
      <c r="H33" s="22"/>
    </row>
    <row r="34" spans="1:8" outlineLevel="1" x14ac:dyDescent="0.2">
      <c r="A34" s="94"/>
      <c r="B34" s="95">
        <v>33</v>
      </c>
      <c r="C34" s="22" t="s">
        <v>4521</v>
      </c>
      <c r="D34" s="22" t="s">
        <v>4507</v>
      </c>
      <c r="E34" s="22" t="s">
        <v>4508</v>
      </c>
      <c r="F34" s="22"/>
      <c r="G34" s="22"/>
      <c r="H34" s="22"/>
    </row>
    <row r="35" spans="1:8" ht="25.5" outlineLevel="1" x14ac:dyDescent="0.2">
      <c r="A35" s="94"/>
      <c r="B35" s="95">
        <v>34</v>
      </c>
      <c r="C35" s="22" t="s">
        <v>4798</v>
      </c>
      <c r="D35" s="22" t="s">
        <v>4794</v>
      </c>
      <c r="E35" s="22" t="s">
        <v>4799</v>
      </c>
      <c r="F35" s="22"/>
      <c r="G35" s="22"/>
      <c r="H35" s="22"/>
    </row>
    <row r="36" spans="1:8" outlineLevel="1" x14ac:dyDescent="0.2">
      <c r="A36" s="94"/>
      <c r="B36" s="95">
        <v>35</v>
      </c>
      <c r="C36" s="22" t="s">
        <v>4518</v>
      </c>
      <c r="D36" s="22" t="s">
        <v>4519</v>
      </c>
      <c r="E36" s="22" t="s">
        <v>4520</v>
      </c>
      <c r="F36" s="22"/>
      <c r="G36" s="22"/>
      <c r="H36" s="22"/>
    </row>
    <row r="37" spans="1:8" outlineLevel="1" x14ac:dyDescent="0.2">
      <c r="A37" s="94"/>
      <c r="B37" s="95">
        <v>36</v>
      </c>
      <c r="C37" s="22" t="s">
        <v>4528</v>
      </c>
      <c r="D37" s="22" t="s">
        <v>4526</v>
      </c>
      <c r="E37" s="22" t="s">
        <v>4527</v>
      </c>
      <c r="F37" s="22"/>
      <c r="G37" s="22"/>
      <c r="H37" s="22"/>
    </row>
    <row r="38" spans="1:8" outlineLevel="1" x14ac:dyDescent="0.2">
      <c r="A38" s="94"/>
      <c r="B38" s="95">
        <v>37</v>
      </c>
      <c r="C38" s="22" t="s">
        <v>4509</v>
      </c>
      <c r="D38" s="22" t="s">
        <v>4510</v>
      </c>
      <c r="E38" s="22" t="s">
        <v>4511</v>
      </c>
      <c r="F38" s="22"/>
      <c r="G38" s="22"/>
      <c r="H38" s="22"/>
    </row>
    <row r="39" spans="1:8" outlineLevel="1" x14ac:dyDescent="0.2">
      <c r="A39" s="94"/>
      <c r="B39" s="95">
        <v>38</v>
      </c>
      <c r="C39" s="22" t="s">
        <v>4512</v>
      </c>
      <c r="D39" s="22" t="s">
        <v>4513</v>
      </c>
      <c r="E39" s="22" t="s">
        <v>4514</v>
      </c>
      <c r="F39" s="22"/>
      <c r="G39" s="22"/>
      <c r="H39" s="22"/>
    </row>
    <row r="40" spans="1:8" outlineLevel="1" x14ac:dyDescent="0.2">
      <c r="A40" s="94"/>
      <c r="B40" s="95">
        <v>39</v>
      </c>
      <c r="C40" s="22" t="s">
        <v>4515</v>
      </c>
      <c r="D40" s="22" t="s">
        <v>4516</v>
      </c>
      <c r="E40" s="22" t="s">
        <v>4517</v>
      </c>
      <c r="F40" s="22"/>
      <c r="G40" s="22"/>
      <c r="H40" s="22"/>
    </row>
    <row r="41" spans="1:8" outlineLevel="1" x14ac:dyDescent="0.2">
      <c r="A41" s="94"/>
      <c r="B41" s="95">
        <v>40</v>
      </c>
      <c r="C41" s="22" t="s">
        <v>4578</v>
      </c>
      <c r="D41" s="22" t="s">
        <v>4579</v>
      </c>
      <c r="E41" s="22" t="s">
        <v>4597</v>
      </c>
      <c r="F41" s="22"/>
      <c r="G41" s="22"/>
      <c r="H41" s="22"/>
    </row>
    <row r="42" spans="1:8" outlineLevel="1" x14ac:dyDescent="0.2">
      <c r="A42" s="94"/>
      <c r="B42" s="95">
        <v>41</v>
      </c>
      <c r="C42" s="22" t="s">
        <v>4503</v>
      </c>
      <c r="D42" s="22" t="s">
        <v>4503</v>
      </c>
      <c r="E42" s="22" t="s">
        <v>4503</v>
      </c>
      <c r="F42" s="22"/>
      <c r="G42" s="22"/>
      <c r="H42" s="22"/>
    </row>
    <row r="43" spans="1:8" outlineLevel="1" x14ac:dyDescent="0.2">
      <c r="A43" s="94"/>
      <c r="B43" s="95">
        <v>42</v>
      </c>
      <c r="C43" s="22" t="s">
        <v>4523</v>
      </c>
      <c r="D43" s="22" t="s">
        <v>4524</v>
      </c>
      <c r="E43" s="22" t="s">
        <v>4525</v>
      </c>
      <c r="F43" s="22"/>
      <c r="G43" s="22"/>
      <c r="H43" s="22"/>
    </row>
    <row r="44" spans="1:8" outlineLevel="1" x14ac:dyDescent="0.2">
      <c r="A44" s="94"/>
      <c r="B44" s="95">
        <v>43</v>
      </c>
      <c r="C44" s="22" t="s">
        <v>4727</v>
      </c>
      <c r="D44" s="22" t="s">
        <v>4533</v>
      </c>
      <c r="E44" s="22" t="s">
        <v>4533</v>
      </c>
      <c r="F44" s="22"/>
      <c r="G44" s="22"/>
      <c r="H44" s="22"/>
    </row>
    <row r="45" spans="1:8" outlineLevel="1" x14ac:dyDescent="0.2">
      <c r="A45" s="94"/>
      <c r="B45" s="95">
        <v>44</v>
      </c>
      <c r="C45" s="22" t="s">
        <v>4730</v>
      </c>
      <c r="D45" s="22" t="s">
        <v>4728</v>
      </c>
      <c r="E45" s="22" t="s">
        <v>4729</v>
      </c>
      <c r="F45" s="22"/>
      <c r="G45" s="22"/>
      <c r="H45" s="22"/>
    </row>
    <row r="46" spans="1:8" outlineLevel="1" x14ac:dyDescent="0.2">
      <c r="A46" s="94"/>
      <c r="B46" s="95">
        <v>45</v>
      </c>
      <c r="C46" s="22" t="s">
        <v>4620</v>
      </c>
      <c r="D46" s="22" t="s">
        <v>4620</v>
      </c>
      <c r="E46" s="22" t="s">
        <v>4666</v>
      </c>
      <c r="F46" s="22"/>
      <c r="G46" s="22"/>
      <c r="H46" s="22"/>
    </row>
    <row r="47" spans="1:8" ht="38.25" outlineLevel="1" x14ac:dyDescent="0.2">
      <c r="A47" s="94"/>
      <c r="B47" s="95">
        <v>46</v>
      </c>
      <c r="C47" s="22" t="s">
        <v>4849</v>
      </c>
      <c r="D47" s="22" t="s">
        <v>4851</v>
      </c>
      <c r="E47" s="22" t="s">
        <v>4850</v>
      </c>
      <c r="F47" s="22"/>
      <c r="G47" s="22"/>
      <c r="H47" s="22"/>
    </row>
    <row r="48" spans="1:8" outlineLevel="1" x14ac:dyDescent="0.2">
      <c r="A48" s="94"/>
      <c r="B48" s="95">
        <v>47</v>
      </c>
      <c r="C48" s="3" t="s">
        <v>4892</v>
      </c>
      <c r="D48" s="3" t="s">
        <v>4893</v>
      </c>
      <c r="E48" s="3" t="s">
        <v>4894</v>
      </c>
      <c r="F48" s="22"/>
      <c r="G48" s="22"/>
      <c r="H48" s="22"/>
    </row>
    <row r="49" spans="1:8" outlineLevel="1" x14ac:dyDescent="0.2">
      <c r="A49" s="94"/>
      <c r="B49" s="95">
        <v>48</v>
      </c>
      <c r="C49" s="3" t="s">
        <v>4895</v>
      </c>
      <c r="D49" s="3" t="s">
        <v>4896</v>
      </c>
      <c r="E49" s="3" t="s">
        <v>4897</v>
      </c>
      <c r="F49" s="22"/>
      <c r="G49" s="22"/>
      <c r="H49" s="22"/>
    </row>
    <row r="50" spans="1:8" outlineLevel="1" x14ac:dyDescent="0.2">
      <c r="A50" s="94"/>
      <c r="B50" s="95">
        <v>49</v>
      </c>
      <c r="C50" s="22" t="s">
        <v>5024</v>
      </c>
      <c r="D50" s="22" t="s">
        <v>5025</v>
      </c>
      <c r="E50" s="22" t="s">
        <v>5026</v>
      </c>
      <c r="F50" s="22"/>
      <c r="G50" s="22"/>
      <c r="H50" s="22"/>
    </row>
    <row r="51" spans="1:8" ht="25.5" outlineLevel="1" x14ac:dyDescent="0.2">
      <c r="A51" s="191" t="s">
        <v>4875</v>
      </c>
      <c r="B51" s="95">
        <v>50</v>
      </c>
      <c r="C51" s="87" t="s">
        <v>4978</v>
      </c>
      <c r="D51" s="87" t="s">
        <v>4979</v>
      </c>
      <c r="E51" s="87" t="s">
        <v>4980</v>
      </c>
      <c r="F51" s="87"/>
      <c r="G51" s="87"/>
      <c r="H51" s="87"/>
    </row>
    <row r="52" spans="1:8" outlineLevel="1" x14ac:dyDescent="0.2">
      <c r="A52" s="94"/>
      <c r="B52" s="95">
        <v>51</v>
      </c>
      <c r="C52" s="87" t="s">
        <v>4981</v>
      </c>
      <c r="D52" s="87" t="s">
        <v>4982</v>
      </c>
      <c r="E52" s="87" t="s">
        <v>4983</v>
      </c>
      <c r="F52" s="87"/>
      <c r="G52" s="87"/>
      <c r="H52" s="87"/>
    </row>
    <row r="53" spans="1:8" outlineLevel="1" x14ac:dyDescent="0.2">
      <c r="A53" s="94"/>
      <c r="B53" s="95">
        <v>52</v>
      </c>
      <c r="C53" s="87" t="s">
        <v>4984</v>
      </c>
      <c r="D53" s="87" t="s">
        <v>4985</v>
      </c>
      <c r="E53" s="87" t="s">
        <v>4986</v>
      </c>
      <c r="F53" s="87"/>
      <c r="G53" s="87"/>
      <c r="H53" s="87"/>
    </row>
    <row r="54" spans="1:8" outlineLevel="1" x14ac:dyDescent="0.2">
      <c r="A54" s="94"/>
      <c r="B54" s="95">
        <v>53</v>
      </c>
      <c r="C54" s="87" t="s">
        <v>4987</v>
      </c>
      <c r="D54" s="87" t="s">
        <v>4988</v>
      </c>
      <c r="E54" s="87" t="s">
        <v>4989</v>
      </c>
      <c r="F54" s="87"/>
      <c r="G54" s="87"/>
      <c r="H54" s="87"/>
    </row>
    <row r="55" spans="1:8" outlineLevel="1" x14ac:dyDescent="0.2">
      <c r="A55" s="94"/>
      <c r="B55" s="95">
        <v>54</v>
      </c>
      <c r="C55" s="87"/>
      <c r="D55" s="87"/>
      <c r="E55" s="87"/>
      <c r="F55" s="87"/>
      <c r="G55" s="87"/>
      <c r="H55" s="87"/>
    </row>
    <row r="56" spans="1:8" outlineLevel="1" x14ac:dyDescent="0.2">
      <c r="A56" s="94"/>
      <c r="B56" s="95">
        <v>55</v>
      </c>
      <c r="C56" s="87" t="s">
        <v>4885</v>
      </c>
      <c r="D56" s="87" t="s">
        <v>4886</v>
      </c>
      <c r="E56" s="87" t="s">
        <v>5072</v>
      </c>
      <c r="F56" s="87"/>
      <c r="G56" s="87"/>
      <c r="H56" s="87"/>
    </row>
    <row r="57" spans="1:8" outlineLevel="1" x14ac:dyDescent="0.2">
      <c r="A57" s="94"/>
      <c r="B57" s="95">
        <v>56</v>
      </c>
      <c r="C57" s="87" t="s">
        <v>4887</v>
      </c>
      <c r="D57" s="87" t="s">
        <v>5073</v>
      </c>
      <c r="E57" s="87" t="s">
        <v>4888</v>
      </c>
      <c r="F57" s="87"/>
      <c r="G57" s="87"/>
      <c r="H57" s="87"/>
    </row>
    <row r="58" spans="1:8" outlineLevel="1" x14ac:dyDescent="0.2">
      <c r="A58" s="94"/>
      <c r="B58" s="95">
        <v>57</v>
      </c>
      <c r="C58" s="87" t="s">
        <v>4889</v>
      </c>
      <c r="D58" s="87" t="s">
        <v>4890</v>
      </c>
      <c r="E58" s="87" t="s">
        <v>4891</v>
      </c>
      <c r="F58" s="87"/>
      <c r="G58" s="87"/>
      <c r="H58" s="87"/>
    </row>
    <row r="59" spans="1:8" outlineLevel="1" x14ac:dyDescent="0.2">
      <c r="A59" s="94"/>
      <c r="B59" s="95">
        <v>58</v>
      </c>
      <c r="C59" s="87"/>
      <c r="D59" s="87"/>
      <c r="E59" s="87"/>
      <c r="F59" s="87"/>
      <c r="G59" s="87"/>
      <c r="H59" s="87"/>
    </row>
    <row r="60" spans="1:8" outlineLevel="1" x14ac:dyDescent="0.2">
      <c r="A60" s="94"/>
      <c r="B60" s="95">
        <v>59</v>
      </c>
      <c r="C60" s="87"/>
      <c r="D60" s="87"/>
      <c r="E60" s="87"/>
      <c r="F60" s="87"/>
      <c r="G60" s="87"/>
      <c r="H60" s="87"/>
    </row>
    <row r="61" spans="1:8" outlineLevel="1" x14ac:dyDescent="0.2">
      <c r="A61" s="94"/>
      <c r="B61" s="95">
        <v>60</v>
      </c>
      <c r="C61" s="87" t="s">
        <v>4816</v>
      </c>
      <c r="D61" s="87" t="s">
        <v>4817</v>
      </c>
      <c r="E61" s="87" t="s">
        <v>4818</v>
      </c>
      <c r="F61" s="87"/>
      <c r="G61" s="87"/>
      <c r="H61" s="87"/>
    </row>
    <row r="62" spans="1:8" outlineLevel="1" x14ac:dyDescent="0.2">
      <c r="A62" s="94"/>
      <c r="B62" s="95">
        <v>61</v>
      </c>
      <c r="C62" s="87" t="s">
        <v>4819</v>
      </c>
      <c r="D62" s="87" t="s">
        <v>4820</v>
      </c>
      <c r="E62" s="87" t="s">
        <v>4821</v>
      </c>
      <c r="F62" s="87"/>
      <c r="G62" s="87"/>
      <c r="H62" s="87"/>
    </row>
    <row r="63" spans="1:8" outlineLevel="1" x14ac:dyDescent="0.2">
      <c r="A63" s="94"/>
      <c r="B63" s="95">
        <v>62</v>
      </c>
      <c r="C63" s="87" t="s">
        <v>4822</v>
      </c>
      <c r="D63" s="87" t="s">
        <v>4823</v>
      </c>
      <c r="E63" s="87" t="s">
        <v>4824</v>
      </c>
      <c r="F63" s="87"/>
      <c r="G63" s="87"/>
      <c r="H63" s="87"/>
    </row>
    <row r="64" spans="1:8" outlineLevel="1" x14ac:dyDescent="0.2">
      <c r="A64" s="94"/>
      <c r="B64" s="95">
        <v>63</v>
      </c>
      <c r="C64" s="87" t="s">
        <v>4825</v>
      </c>
      <c r="D64" s="87" t="s">
        <v>4826</v>
      </c>
      <c r="E64" s="87" t="s">
        <v>4827</v>
      </c>
      <c r="F64" s="87"/>
      <c r="G64" s="87"/>
      <c r="H64" s="87"/>
    </row>
    <row r="65" spans="1:8" outlineLevel="1" x14ac:dyDescent="0.2">
      <c r="A65" s="94"/>
      <c r="B65" s="95">
        <v>64</v>
      </c>
      <c r="C65" s="87" t="s">
        <v>4828</v>
      </c>
      <c r="D65" s="87" t="s">
        <v>4829</v>
      </c>
      <c r="E65" s="87" t="s">
        <v>4830</v>
      </c>
      <c r="F65" s="87"/>
      <c r="G65" s="87"/>
      <c r="H65" s="87"/>
    </row>
    <row r="66" spans="1:8" outlineLevel="1" x14ac:dyDescent="0.2">
      <c r="A66" s="94"/>
      <c r="B66" s="95">
        <v>65</v>
      </c>
      <c r="C66" s="87" t="s">
        <v>4831</v>
      </c>
      <c r="D66" s="87" t="s">
        <v>4832</v>
      </c>
      <c r="E66" s="87" t="s">
        <v>4833</v>
      </c>
      <c r="F66" s="87"/>
      <c r="G66" s="87"/>
      <c r="H66" s="87"/>
    </row>
    <row r="67" spans="1:8" outlineLevel="1" x14ac:dyDescent="0.2">
      <c r="A67" s="94"/>
      <c r="B67" s="95">
        <v>66</v>
      </c>
      <c r="C67" s="87" t="s">
        <v>4834</v>
      </c>
      <c r="D67" s="87" t="s">
        <v>5089</v>
      </c>
      <c r="E67" s="87" t="s">
        <v>4835</v>
      </c>
      <c r="F67" s="87"/>
      <c r="G67" s="87"/>
      <c r="H67" s="87"/>
    </row>
    <row r="68" spans="1:8" outlineLevel="1" x14ac:dyDescent="0.2">
      <c r="A68" s="94"/>
      <c r="B68" s="95">
        <v>67</v>
      </c>
      <c r="C68" s="87" t="s">
        <v>4836</v>
      </c>
      <c r="D68" s="87" t="s">
        <v>4836</v>
      </c>
      <c r="E68" s="87" t="s">
        <v>4836</v>
      </c>
      <c r="F68" s="87"/>
      <c r="G68" s="87"/>
      <c r="H68" s="87"/>
    </row>
    <row r="69" spans="1:8" outlineLevel="1" x14ac:dyDescent="0.2">
      <c r="A69" s="94"/>
      <c r="B69" s="95">
        <v>68</v>
      </c>
      <c r="C69" s="87" t="s">
        <v>4837</v>
      </c>
      <c r="D69" s="87" t="s">
        <v>4838</v>
      </c>
      <c r="E69" s="87" t="s">
        <v>4839</v>
      </c>
      <c r="F69" s="87"/>
      <c r="G69" s="87"/>
      <c r="H69" s="87"/>
    </row>
    <row r="70" spans="1:8" outlineLevel="1" x14ac:dyDescent="0.2">
      <c r="A70" s="94"/>
      <c r="B70" s="95">
        <v>69</v>
      </c>
      <c r="C70" s="87" t="s">
        <v>4840</v>
      </c>
      <c r="D70" s="87" t="s">
        <v>4841</v>
      </c>
      <c r="E70" s="87" t="s">
        <v>4842</v>
      </c>
      <c r="F70" s="87"/>
      <c r="G70" s="87"/>
      <c r="H70" s="87"/>
    </row>
    <row r="71" spans="1:8" outlineLevel="1" x14ac:dyDescent="0.2">
      <c r="A71" s="94"/>
      <c r="B71" s="95">
        <v>70</v>
      </c>
      <c r="C71" s="87" t="s">
        <v>4843</v>
      </c>
      <c r="D71" s="87" t="s">
        <v>4844</v>
      </c>
      <c r="E71" s="87" t="s">
        <v>4845</v>
      </c>
      <c r="F71" s="87"/>
      <c r="G71" s="87"/>
      <c r="H71" s="87"/>
    </row>
    <row r="72" spans="1:8" outlineLevel="1" x14ac:dyDescent="0.2">
      <c r="A72" s="94"/>
      <c r="B72" s="95">
        <v>71</v>
      </c>
      <c r="C72" s="87"/>
      <c r="D72" s="87"/>
      <c r="E72" s="87"/>
      <c r="F72" s="87"/>
      <c r="G72" s="87"/>
      <c r="H72" s="87"/>
    </row>
    <row r="73" spans="1:8" outlineLevel="1" x14ac:dyDescent="0.2">
      <c r="A73" s="94"/>
      <c r="B73" s="95">
        <v>72</v>
      </c>
      <c r="C73" s="87" t="s">
        <v>5027</v>
      </c>
      <c r="D73" s="87" t="s">
        <v>5028</v>
      </c>
      <c r="E73" s="87" t="s">
        <v>5029</v>
      </c>
      <c r="F73" s="87"/>
      <c r="G73" s="87"/>
      <c r="H73" s="87"/>
    </row>
    <row r="74" spans="1:8" outlineLevel="1" x14ac:dyDescent="0.2">
      <c r="A74" s="94"/>
      <c r="B74" s="95">
        <v>73</v>
      </c>
      <c r="C74" s="87" t="s">
        <v>5030</v>
      </c>
      <c r="D74" s="87" t="s">
        <v>5031</v>
      </c>
      <c r="E74" s="87" t="s">
        <v>5032</v>
      </c>
      <c r="F74" s="87"/>
      <c r="G74" s="87"/>
      <c r="H74" s="87" t="s">
        <v>5056</v>
      </c>
    </row>
    <row r="75" spans="1:8" outlineLevel="1" x14ac:dyDescent="0.2">
      <c r="A75" s="94"/>
      <c r="B75" s="95">
        <v>74</v>
      </c>
      <c r="C75" s="87" t="s">
        <v>4957</v>
      </c>
      <c r="D75" s="87" t="s">
        <v>4964</v>
      </c>
      <c r="E75" s="87" t="s">
        <v>4971</v>
      </c>
      <c r="F75" s="87">
        <v>7</v>
      </c>
      <c r="G75" s="209">
        <v>0</v>
      </c>
      <c r="H75" s="87">
        <v>2</v>
      </c>
    </row>
    <row r="76" spans="1:8" outlineLevel="1" x14ac:dyDescent="0.2">
      <c r="A76" s="94"/>
      <c r="B76" s="95">
        <v>75</v>
      </c>
      <c r="C76" s="87" t="s">
        <v>4958</v>
      </c>
      <c r="D76" s="87" t="s">
        <v>4965</v>
      </c>
      <c r="E76" s="87" t="s">
        <v>4972</v>
      </c>
      <c r="F76" s="87">
        <v>3</v>
      </c>
      <c r="G76" s="209">
        <v>0</v>
      </c>
      <c r="H76" s="87">
        <v>2</v>
      </c>
    </row>
    <row r="77" spans="1:8" outlineLevel="1" x14ac:dyDescent="0.2">
      <c r="A77" s="94"/>
      <c r="B77" s="95">
        <v>76</v>
      </c>
      <c r="C77" s="87" t="s">
        <v>4959</v>
      </c>
      <c r="D77" s="87" t="s">
        <v>4966</v>
      </c>
      <c r="E77" s="87" t="s">
        <v>4973</v>
      </c>
      <c r="F77" s="87">
        <v>-10</v>
      </c>
      <c r="G77" s="209">
        <v>0.4</v>
      </c>
      <c r="H77" s="87">
        <v>0.4</v>
      </c>
    </row>
    <row r="78" spans="1:8" outlineLevel="1" x14ac:dyDescent="0.2">
      <c r="A78" s="94"/>
      <c r="B78" s="95">
        <v>77</v>
      </c>
      <c r="C78" s="87" t="s">
        <v>4960</v>
      </c>
      <c r="D78" s="87" t="s">
        <v>4967</v>
      </c>
      <c r="E78" s="87" t="s">
        <v>4974</v>
      </c>
      <c r="F78" s="87">
        <v>-30</v>
      </c>
      <c r="G78" s="209">
        <v>0.6</v>
      </c>
      <c r="H78" s="87">
        <v>0.4</v>
      </c>
    </row>
    <row r="79" spans="1:8" outlineLevel="1" x14ac:dyDescent="0.2">
      <c r="A79" s="94"/>
      <c r="B79" s="95">
        <v>78</v>
      </c>
      <c r="C79" s="87" t="s">
        <v>4961</v>
      </c>
      <c r="D79" s="87" t="s">
        <v>4968</v>
      </c>
      <c r="E79" s="87" t="s">
        <v>4975</v>
      </c>
      <c r="F79" s="87">
        <v>13</v>
      </c>
      <c r="G79" s="209">
        <v>0.8</v>
      </c>
      <c r="H79" s="87">
        <v>2</v>
      </c>
    </row>
    <row r="80" spans="1:8" outlineLevel="1" x14ac:dyDescent="0.2">
      <c r="A80" s="94"/>
      <c r="B80" s="95">
        <v>79</v>
      </c>
      <c r="C80" s="87" t="s">
        <v>4962</v>
      </c>
      <c r="D80" s="87" t="s">
        <v>4969</v>
      </c>
      <c r="E80" s="87" t="s">
        <v>4976</v>
      </c>
      <c r="F80" s="87">
        <v>20</v>
      </c>
      <c r="G80" s="209">
        <v>0.8</v>
      </c>
      <c r="H80" s="87">
        <v>2</v>
      </c>
    </row>
    <row r="81" spans="1:12" outlineLevel="1" x14ac:dyDescent="0.2">
      <c r="A81" s="94"/>
      <c r="B81" s="95">
        <v>80</v>
      </c>
      <c r="C81" s="87" t="s">
        <v>4963</v>
      </c>
      <c r="D81" s="87" t="s">
        <v>4970</v>
      </c>
      <c r="E81" s="87" t="s">
        <v>4977</v>
      </c>
      <c r="F81" s="87">
        <v>8</v>
      </c>
      <c r="G81" s="209">
        <v>0.8</v>
      </c>
      <c r="H81" s="87">
        <v>0</v>
      </c>
    </row>
    <row r="82" spans="1:12" outlineLevel="1" x14ac:dyDescent="0.2">
      <c r="A82" s="94"/>
      <c r="B82" s="95">
        <v>81</v>
      </c>
      <c r="C82" s="87"/>
      <c r="D82" s="87"/>
      <c r="E82" s="87"/>
      <c r="F82" s="87"/>
      <c r="G82" s="87"/>
      <c r="H82" s="87"/>
    </row>
    <row r="83" spans="1:12" outlineLevel="1" x14ac:dyDescent="0.2">
      <c r="A83" s="94"/>
      <c r="B83" s="95">
        <v>82</v>
      </c>
      <c r="C83" s="87"/>
      <c r="D83" s="87"/>
      <c r="E83" s="87"/>
      <c r="F83" s="87"/>
      <c r="G83" s="87"/>
      <c r="H83" s="87"/>
    </row>
    <row r="84" spans="1:12" outlineLevel="1" x14ac:dyDescent="0.2">
      <c r="A84" s="94"/>
      <c r="B84" s="95">
        <v>83</v>
      </c>
      <c r="C84" s="87"/>
      <c r="D84" s="87"/>
      <c r="E84" s="87"/>
      <c r="F84" s="87"/>
      <c r="G84" s="87"/>
      <c r="H84" s="87"/>
    </row>
    <row r="85" spans="1:12" outlineLevel="1" x14ac:dyDescent="0.2">
      <c r="A85" s="94"/>
      <c r="B85" s="95">
        <v>84</v>
      </c>
      <c r="C85" s="87"/>
      <c r="D85" s="87"/>
      <c r="E85" s="87"/>
      <c r="F85" s="206"/>
      <c r="G85" s="206"/>
      <c r="H85" s="206"/>
    </row>
    <row r="86" spans="1:12" outlineLevel="1" x14ac:dyDescent="0.2">
      <c r="A86" s="94"/>
      <c r="B86" s="95">
        <v>85</v>
      </c>
      <c r="C86" s="87"/>
      <c r="D86" s="87"/>
      <c r="E86" s="205"/>
      <c r="F86" s="23" t="s">
        <v>4881</v>
      </c>
      <c r="I86" s="23" t="s">
        <v>4882</v>
      </c>
      <c r="J86" s="23"/>
      <c r="K86" s="23"/>
      <c r="L86" s="23"/>
    </row>
    <row r="87" spans="1:12" outlineLevel="1" x14ac:dyDescent="0.2">
      <c r="A87" s="94"/>
      <c r="B87" s="95">
        <v>86</v>
      </c>
      <c r="C87" s="87" t="s">
        <v>5090</v>
      </c>
      <c r="D87" s="87" t="s">
        <v>4883</v>
      </c>
      <c r="E87" s="87" t="s">
        <v>4884</v>
      </c>
      <c r="F87" s="204">
        <v>50</v>
      </c>
      <c r="G87" s="204">
        <v>100</v>
      </c>
      <c r="H87" s="204">
        <v>150</v>
      </c>
      <c r="I87" s="204">
        <v>50</v>
      </c>
      <c r="J87" s="204">
        <v>100</v>
      </c>
      <c r="K87" s="204">
        <v>150</v>
      </c>
      <c r="L87" s="207"/>
    </row>
    <row r="88" spans="1:12" outlineLevel="1" x14ac:dyDescent="0.2">
      <c r="A88" s="94"/>
      <c r="B88" s="95">
        <v>87</v>
      </c>
      <c r="C88" s="87" t="s">
        <v>4885</v>
      </c>
      <c r="D88" s="87" t="s">
        <v>4886</v>
      </c>
      <c r="E88" s="87" t="s">
        <v>5072</v>
      </c>
      <c r="F88" s="203">
        <v>217</v>
      </c>
      <c r="G88" s="203">
        <v>652.17391304347836</v>
      </c>
      <c r="H88" s="203">
        <v>1086.9565217391305</v>
      </c>
      <c r="I88" s="203">
        <v>129.41176470588235</v>
      </c>
      <c r="J88" s="203">
        <v>388.23529411764707</v>
      </c>
      <c r="K88" s="203">
        <v>647.05882352941171</v>
      </c>
      <c r="L88" s="207">
        <v>1</v>
      </c>
    </row>
    <row r="89" spans="1:12" outlineLevel="1" x14ac:dyDescent="0.2">
      <c r="A89" s="94"/>
      <c r="B89" s="95">
        <v>88</v>
      </c>
      <c r="C89" s="87" t="s">
        <v>4887</v>
      </c>
      <c r="D89" s="87" t="s">
        <v>5073</v>
      </c>
      <c r="E89" s="87" t="s">
        <v>4888</v>
      </c>
      <c r="F89" s="203">
        <v>178</v>
      </c>
      <c r="G89" s="203">
        <v>533.59683794466412</v>
      </c>
      <c r="H89" s="203">
        <v>889.32806324110686</v>
      </c>
      <c r="I89" s="203">
        <v>105.88235294117646</v>
      </c>
      <c r="J89" s="203">
        <v>317.64705882352939</v>
      </c>
      <c r="K89" s="203">
        <v>529.41176470588232</v>
      </c>
      <c r="L89" s="207">
        <v>2</v>
      </c>
    </row>
    <row r="90" spans="1:12" outlineLevel="1" x14ac:dyDescent="0.2">
      <c r="A90" s="94"/>
      <c r="B90" s="95">
        <v>89</v>
      </c>
      <c r="C90" s="87" t="s">
        <v>4889</v>
      </c>
      <c r="D90" s="87" t="s">
        <v>4890</v>
      </c>
      <c r="E90" s="87" t="s">
        <v>4891</v>
      </c>
      <c r="F90" s="203">
        <v>138</v>
      </c>
      <c r="G90" s="203">
        <v>415.01976284584987</v>
      </c>
      <c r="H90" s="203">
        <v>691.69960474308311</v>
      </c>
      <c r="I90" s="203">
        <v>82.352941176470594</v>
      </c>
      <c r="J90" s="203">
        <v>247.05882352941177</v>
      </c>
      <c r="K90" s="203">
        <v>411.76470588235293</v>
      </c>
      <c r="L90" s="207">
        <v>3</v>
      </c>
    </row>
    <row r="91" spans="1:12" outlineLevel="1" x14ac:dyDescent="0.2">
      <c r="A91" s="94"/>
      <c r="B91" s="95">
        <v>90</v>
      </c>
      <c r="C91" s="87"/>
      <c r="D91" s="87"/>
      <c r="E91" s="87"/>
      <c r="F91" s="87"/>
      <c r="G91" s="87"/>
      <c r="H91" s="87"/>
    </row>
    <row r="92" spans="1:12" outlineLevel="1" x14ac:dyDescent="0.2">
      <c r="A92" s="94"/>
      <c r="B92" s="95">
        <v>91</v>
      </c>
      <c r="C92" s="87" t="s">
        <v>5033</v>
      </c>
      <c r="D92" s="87" t="s">
        <v>5034</v>
      </c>
      <c r="E92" s="87" t="s">
        <v>5035</v>
      </c>
      <c r="F92" s="87"/>
      <c r="G92" s="87"/>
      <c r="H92" s="87"/>
    </row>
    <row r="93" spans="1:12" outlineLevel="1" x14ac:dyDescent="0.2">
      <c r="A93" s="94"/>
      <c r="B93" s="95">
        <v>92</v>
      </c>
      <c r="C93" s="87" t="s">
        <v>5036</v>
      </c>
      <c r="D93" s="87" t="s">
        <v>5037</v>
      </c>
      <c r="E93" s="87" t="s">
        <v>5038</v>
      </c>
      <c r="F93" s="87"/>
      <c r="G93" s="87"/>
      <c r="H93" s="87"/>
    </row>
    <row r="94" spans="1:12" outlineLevel="1" x14ac:dyDescent="0.2">
      <c r="A94" s="94"/>
      <c r="B94" s="95">
        <v>93</v>
      </c>
      <c r="C94" s="87" t="s">
        <v>5039</v>
      </c>
      <c r="D94" s="87" t="s">
        <v>5040</v>
      </c>
      <c r="E94" s="87" t="s">
        <v>5041</v>
      </c>
      <c r="F94" s="87"/>
      <c r="G94" s="87"/>
      <c r="H94" s="87"/>
    </row>
    <row r="95" spans="1:12" outlineLevel="1" x14ac:dyDescent="0.2">
      <c r="A95" s="94"/>
      <c r="B95" s="95">
        <v>94</v>
      </c>
      <c r="C95" s="87"/>
      <c r="D95" s="87"/>
      <c r="E95" s="87"/>
      <c r="F95" s="87"/>
      <c r="G95" s="87"/>
      <c r="H95" s="87"/>
    </row>
    <row r="96" spans="1:12" outlineLevel="1" x14ac:dyDescent="0.2">
      <c r="A96" s="94"/>
      <c r="B96" s="95">
        <v>95</v>
      </c>
      <c r="C96" s="87"/>
      <c r="D96" s="87"/>
      <c r="E96" s="87"/>
      <c r="F96" s="87"/>
      <c r="G96" s="87"/>
      <c r="H96" s="87"/>
    </row>
    <row r="97" spans="1:8" outlineLevel="1" x14ac:dyDescent="0.2">
      <c r="A97" s="94"/>
      <c r="B97" s="95">
        <v>96</v>
      </c>
      <c r="C97" s="87"/>
      <c r="D97" s="87"/>
      <c r="E97" s="87"/>
      <c r="F97" s="87"/>
      <c r="G97" s="87"/>
      <c r="H97" s="87"/>
    </row>
    <row r="98" spans="1:8" outlineLevel="1" x14ac:dyDescent="0.2">
      <c r="A98" s="94"/>
      <c r="B98" s="95">
        <v>97</v>
      </c>
      <c r="C98" s="87"/>
      <c r="D98" s="87"/>
      <c r="E98" s="87"/>
      <c r="F98" s="87"/>
      <c r="G98" s="87"/>
      <c r="H98" s="87"/>
    </row>
    <row r="99" spans="1:8" outlineLevel="1" x14ac:dyDescent="0.2">
      <c r="A99" s="94"/>
      <c r="B99" s="95">
        <v>98</v>
      </c>
      <c r="C99" s="87"/>
      <c r="D99" s="87"/>
      <c r="E99" s="87"/>
      <c r="F99" s="87"/>
      <c r="G99" s="87"/>
      <c r="H99" s="87"/>
    </row>
    <row r="100" spans="1:8" outlineLevel="1" x14ac:dyDescent="0.2">
      <c r="A100" s="94"/>
      <c r="B100" s="95">
        <v>99</v>
      </c>
      <c r="C100" s="87"/>
      <c r="D100" s="87"/>
      <c r="E100" s="87"/>
      <c r="F100" s="87"/>
      <c r="G100" s="87"/>
      <c r="H100" s="87"/>
    </row>
    <row r="101" spans="1:8" x14ac:dyDescent="0.2">
      <c r="A101" s="90" t="s">
        <v>4700</v>
      </c>
      <c r="B101" s="89">
        <v>100</v>
      </c>
      <c r="C101" s="22" t="s">
        <v>4707</v>
      </c>
      <c r="D101" s="22" t="s">
        <v>4708</v>
      </c>
      <c r="E101" s="22" t="s">
        <v>4709</v>
      </c>
      <c r="F101" s="22"/>
      <c r="G101" s="22"/>
      <c r="H101" s="22"/>
    </row>
    <row r="102" spans="1:8" outlineLevel="1" x14ac:dyDescent="0.2">
      <c r="A102" s="88"/>
      <c r="B102" s="89">
        <v>101</v>
      </c>
      <c r="C102" s="22" t="s">
        <v>4601</v>
      </c>
      <c r="D102" s="22" t="s">
        <v>4615</v>
      </c>
      <c r="E102" s="22" t="s">
        <v>4644</v>
      </c>
      <c r="F102" s="22"/>
      <c r="G102" s="22"/>
      <c r="H102" s="22"/>
    </row>
    <row r="103" spans="1:8" outlineLevel="1" x14ac:dyDescent="0.2">
      <c r="A103" s="88"/>
      <c r="B103" s="89">
        <v>102</v>
      </c>
      <c r="C103" s="22" t="s">
        <v>4602</v>
      </c>
      <c r="D103" s="22" t="s">
        <v>4630</v>
      </c>
      <c r="E103" s="22" t="s">
        <v>4645</v>
      </c>
      <c r="F103" s="22"/>
      <c r="G103" s="22"/>
      <c r="H103" s="22"/>
    </row>
    <row r="104" spans="1:8" outlineLevel="1" x14ac:dyDescent="0.2">
      <c r="A104" s="88"/>
      <c r="B104" s="89">
        <v>103</v>
      </c>
      <c r="C104" s="22" t="s">
        <v>4603</v>
      </c>
      <c r="D104" s="22" t="s">
        <v>4603</v>
      </c>
      <c r="E104" s="22" t="s">
        <v>4646</v>
      </c>
      <c r="F104" s="22"/>
      <c r="G104" s="22"/>
      <c r="H104" s="22"/>
    </row>
    <row r="105" spans="1:8" outlineLevel="1" x14ac:dyDescent="0.2">
      <c r="A105" s="88"/>
      <c r="B105" s="89">
        <v>104</v>
      </c>
      <c r="C105" s="22" t="s">
        <v>4604</v>
      </c>
      <c r="D105" s="22" t="s">
        <v>4616</v>
      </c>
      <c r="E105" s="22" t="s">
        <v>4647</v>
      </c>
      <c r="F105" s="22"/>
      <c r="G105" s="22"/>
      <c r="H105" s="22"/>
    </row>
    <row r="106" spans="1:8" ht="89.25" outlineLevel="1" x14ac:dyDescent="0.2">
      <c r="A106" s="88"/>
      <c r="B106" s="89">
        <v>105</v>
      </c>
      <c r="C106" s="22" t="s">
        <v>4605</v>
      </c>
      <c r="D106" s="22" t="s">
        <v>4631</v>
      </c>
      <c r="E106" s="22" t="s">
        <v>4648</v>
      </c>
      <c r="F106" s="22"/>
      <c r="G106" s="22"/>
      <c r="H106" s="22"/>
    </row>
    <row r="107" spans="1:8" outlineLevel="1" x14ac:dyDescent="0.2">
      <c r="A107" s="88"/>
      <c r="B107" s="89">
        <v>106</v>
      </c>
      <c r="C107" s="22"/>
      <c r="D107" s="22"/>
      <c r="E107" s="22"/>
      <c r="F107" s="22"/>
      <c r="G107" s="22"/>
      <c r="H107" s="22"/>
    </row>
    <row r="108" spans="1:8" outlineLevel="1" x14ac:dyDescent="0.2">
      <c r="A108" s="88"/>
      <c r="B108" s="89">
        <v>107</v>
      </c>
      <c r="C108" s="22"/>
      <c r="D108" s="22"/>
      <c r="E108" s="22"/>
      <c r="F108" s="22"/>
      <c r="G108" s="22"/>
      <c r="H108" s="22"/>
    </row>
    <row r="109" spans="1:8" outlineLevel="1" x14ac:dyDescent="0.2">
      <c r="A109" s="88"/>
      <c r="B109" s="89">
        <v>108</v>
      </c>
      <c r="C109" s="22"/>
      <c r="D109" s="22"/>
      <c r="E109" s="22"/>
      <c r="F109" s="22"/>
      <c r="G109" s="22"/>
      <c r="H109" s="22"/>
    </row>
    <row r="110" spans="1:8" outlineLevel="1" x14ac:dyDescent="0.2">
      <c r="A110" s="88"/>
      <c r="B110" s="89">
        <v>109</v>
      </c>
      <c r="C110" s="97" t="s">
        <v>4623</v>
      </c>
      <c r="D110" s="97" t="s">
        <v>4642</v>
      </c>
      <c r="E110" s="97" t="s">
        <v>4657</v>
      </c>
      <c r="F110" s="97"/>
      <c r="G110" s="97"/>
      <c r="H110" s="97"/>
    </row>
    <row r="111" spans="1:8" outlineLevel="1" x14ac:dyDescent="0.2">
      <c r="A111" s="88"/>
      <c r="B111" s="89">
        <v>110</v>
      </c>
      <c r="C111" s="22" t="s">
        <v>4607</v>
      </c>
      <c r="D111" s="22" t="s">
        <v>5074</v>
      </c>
      <c r="E111" s="22" t="s">
        <v>4649</v>
      </c>
      <c r="F111" s="22"/>
      <c r="G111" s="22"/>
      <c r="H111" s="22"/>
    </row>
    <row r="112" spans="1:8" outlineLevel="1" x14ac:dyDescent="0.2">
      <c r="A112" s="88"/>
      <c r="B112" s="89">
        <v>111</v>
      </c>
      <c r="C112" s="22" t="s">
        <v>4608</v>
      </c>
      <c r="D112" s="22" t="s">
        <v>4632</v>
      </c>
      <c r="E112" s="22" t="s">
        <v>4650</v>
      </c>
      <c r="F112" s="22"/>
      <c r="G112" s="22"/>
      <c r="H112" s="22"/>
    </row>
    <row r="113" spans="1:8" outlineLevel="1" x14ac:dyDescent="0.2">
      <c r="A113" s="88"/>
      <c r="B113" s="89">
        <v>112</v>
      </c>
      <c r="C113" s="22"/>
      <c r="D113" s="22"/>
      <c r="E113" s="22"/>
      <c r="F113" s="22"/>
      <c r="G113" s="22"/>
      <c r="H113" s="22"/>
    </row>
    <row r="114" spans="1:8" outlineLevel="1" x14ac:dyDescent="0.2">
      <c r="A114" s="88"/>
      <c r="B114" s="89">
        <v>113</v>
      </c>
      <c r="C114" s="22"/>
      <c r="D114" s="22"/>
      <c r="E114" s="22"/>
      <c r="F114" s="22"/>
      <c r="G114" s="22"/>
      <c r="H114" s="22"/>
    </row>
    <row r="115" spans="1:8" outlineLevel="1" x14ac:dyDescent="0.2">
      <c r="A115" s="88"/>
      <c r="B115" s="89">
        <v>114</v>
      </c>
      <c r="C115" s="97" t="s">
        <v>4609</v>
      </c>
      <c r="D115" s="97" t="s">
        <v>4633</v>
      </c>
      <c r="E115" s="97" t="s">
        <v>4651</v>
      </c>
      <c r="F115" s="97"/>
      <c r="G115" s="97"/>
      <c r="H115" s="97"/>
    </row>
    <row r="116" spans="1:8" ht="63.75" outlineLevel="1" x14ac:dyDescent="0.2">
      <c r="A116" s="88"/>
      <c r="B116" s="89">
        <v>115</v>
      </c>
      <c r="C116" s="22" t="s">
        <v>5083</v>
      </c>
      <c r="D116" s="22" t="s">
        <v>4721</v>
      </c>
      <c r="E116" s="22" t="s">
        <v>4722</v>
      </c>
      <c r="F116" s="22"/>
      <c r="G116" s="22"/>
      <c r="H116" s="22"/>
    </row>
    <row r="117" spans="1:8" outlineLevel="1" x14ac:dyDescent="0.2">
      <c r="A117" s="88"/>
      <c r="B117" s="89">
        <v>116</v>
      </c>
      <c r="C117" s="22" t="s">
        <v>4617</v>
      </c>
      <c r="D117" s="22" t="s">
        <v>4637</v>
      </c>
      <c r="E117" s="22" t="s">
        <v>4652</v>
      </c>
      <c r="F117" s="22"/>
      <c r="G117" s="22"/>
      <c r="H117" s="22"/>
    </row>
    <row r="118" spans="1:8" outlineLevel="1" x14ac:dyDescent="0.2">
      <c r="A118" s="88"/>
      <c r="B118" s="89">
        <v>117</v>
      </c>
      <c r="C118" s="22" t="s">
        <v>4618</v>
      </c>
      <c r="D118" s="22" t="s">
        <v>4638</v>
      </c>
      <c r="E118" s="22" t="s">
        <v>4653</v>
      </c>
      <c r="F118" s="22"/>
      <c r="G118" s="22"/>
      <c r="H118" s="22"/>
    </row>
    <row r="119" spans="1:8" outlineLevel="1" x14ac:dyDescent="0.2">
      <c r="A119" s="88"/>
      <c r="B119" s="89">
        <v>118</v>
      </c>
      <c r="C119" s="22" t="s">
        <v>4619</v>
      </c>
      <c r="D119" s="22" t="s">
        <v>4639</v>
      </c>
      <c r="E119" s="22" t="s">
        <v>4654</v>
      </c>
      <c r="F119" s="22"/>
      <c r="G119" s="22"/>
      <c r="H119" s="22"/>
    </row>
    <row r="120" spans="1:8" outlineLevel="1" x14ac:dyDescent="0.2">
      <c r="A120" s="88"/>
      <c r="B120" s="89">
        <v>119</v>
      </c>
      <c r="C120" s="22" t="s">
        <v>4725</v>
      </c>
      <c r="D120" s="22" t="s">
        <v>4724</v>
      </c>
      <c r="E120" s="22" t="s">
        <v>4726</v>
      </c>
      <c r="F120" s="22"/>
      <c r="G120" s="22"/>
      <c r="H120" s="22"/>
    </row>
    <row r="121" spans="1:8" outlineLevel="1" x14ac:dyDescent="0.2">
      <c r="A121" s="88"/>
      <c r="B121" s="184">
        <v>120</v>
      </c>
      <c r="C121" s="22" t="s">
        <v>4621</v>
      </c>
      <c r="D121" s="22" t="s">
        <v>4640</v>
      </c>
      <c r="E121" s="22" t="s">
        <v>4655</v>
      </c>
      <c r="F121" s="22"/>
      <c r="G121" s="22"/>
      <c r="H121" s="22"/>
    </row>
    <row r="122" spans="1:8" ht="25.5" outlineLevel="1" x14ac:dyDescent="0.2">
      <c r="A122" s="88"/>
      <c r="B122" s="184">
        <v>121</v>
      </c>
      <c r="C122" s="22" t="s">
        <v>5051</v>
      </c>
      <c r="D122" s="22" t="s">
        <v>5052</v>
      </c>
      <c r="E122" s="22" t="s">
        <v>5053</v>
      </c>
      <c r="F122" s="22"/>
      <c r="G122" s="22"/>
      <c r="H122" s="22"/>
    </row>
    <row r="123" spans="1:8" outlineLevel="1" x14ac:dyDescent="0.2">
      <c r="A123" s="88"/>
      <c r="B123" s="184">
        <v>122</v>
      </c>
      <c r="C123" s="22" t="s">
        <v>4622</v>
      </c>
      <c r="D123" s="22" t="s">
        <v>4641</v>
      </c>
      <c r="E123" s="22" t="s">
        <v>4656</v>
      </c>
      <c r="F123" s="22"/>
      <c r="G123" s="22"/>
      <c r="H123" s="22"/>
    </row>
    <row r="124" spans="1:8" ht="51" outlineLevel="1" x14ac:dyDescent="0.2">
      <c r="A124" s="88"/>
      <c r="B124" s="184">
        <v>123</v>
      </c>
      <c r="C124" s="22" t="s">
        <v>5084</v>
      </c>
      <c r="D124" s="22" t="s">
        <v>5085</v>
      </c>
      <c r="E124" s="22" t="s">
        <v>5086</v>
      </c>
      <c r="F124" s="22"/>
      <c r="G124" s="22"/>
      <c r="H124" s="22"/>
    </row>
    <row r="125" spans="1:8" outlineLevel="1" x14ac:dyDescent="0.2">
      <c r="A125" s="88"/>
      <c r="B125" s="89">
        <v>124</v>
      </c>
      <c r="C125" s="22"/>
      <c r="D125" s="22"/>
      <c r="E125" s="22"/>
      <c r="F125" s="22"/>
      <c r="G125" s="22"/>
      <c r="H125" s="22"/>
    </row>
    <row r="126" spans="1:8" outlineLevel="1" x14ac:dyDescent="0.2">
      <c r="A126" s="88"/>
      <c r="B126" s="89">
        <v>125</v>
      </c>
      <c r="C126" s="97" t="s">
        <v>4610</v>
      </c>
      <c r="D126" s="97" t="s">
        <v>4634</v>
      </c>
      <c r="E126" s="97" t="s">
        <v>4662</v>
      </c>
      <c r="F126" s="97"/>
      <c r="G126" s="97"/>
      <c r="H126" s="97"/>
    </row>
    <row r="127" spans="1:8" ht="51" outlineLevel="1" x14ac:dyDescent="0.2">
      <c r="A127" s="88"/>
      <c r="B127" s="89">
        <v>126</v>
      </c>
      <c r="C127" s="22" t="s">
        <v>4672</v>
      </c>
      <c r="D127" s="22" t="s">
        <v>4673</v>
      </c>
      <c r="E127" s="22" t="s">
        <v>4674</v>
      </c>
      <c r="F127" s="22"/>
      <c r="G127" s="22"/>
      <c r="H127" s="22"/>
    </row>
    <row r="128" spans="1:8" outlineLevel="1" x14ac:dyDescent="0.2">
      <c r="A128" s="88"/>
      <c r="B128" s="89">
        <v>127</v>
      </c>
      <c r="C128" s="22" t="s">
        <v>4669</v>
      </c>
      <c r="D128" s="22" t="s">
        <v>4670</v>
      </c>
      <c r="E128" s="22" t="s">
        <v>4671</v>
      </c>
      <c r="F128" s="22"/>
      <c r="G128" s="22"/>
      <c r="H128" s="22"/>
    </row>
    <row r="129" spans="1:8" ht="63.75" outlineLevel="1" x14ac:dyDescent="0.2">
      <c r="A129" s="88"/>
      <c r="B129" s="185">
        <v>128</v>
      </c>
      <c r="C129" s="22" t="s">
        <v>4713</v>
      </c>
      <c r="D129" s="22" t="s">
        <v>4714</v>
      </c>
      <c r="E129" s="22" t="s">
        <v>4715</v>
      </c>
      <c r="F129" s="22"/>
      <c r="G129" s="22"/>
      <c r="H129" s="22"/>
    </row>
    <row r="130" spans="1:8" ht="63.75" outlineLevel="1" x14ac:dyDescent="0.2">
      <c r="A130" s="88"/>
      <c r="B130" s="185">
        <v>129</v>
      </c>
      <c r="C130" s="22" t="s">
        <v>4750</v>
      </c>
      <c r="D130" s="22" t="s">
        <v>4748</v>
      </c>
      <c r="E130" s="22" t="s">
        <v>4751</v>
      </c>
      <c r="F130" s="22"/>
      <c r="G130" s="22"/>
      <c r="H130" s="22"/>
    </row>
    <row r="131" spans="1:8" outlineLevel="1" x14ac:dyDescent="0.2">
      <c r="A131" s="88"/>
      <c r="B131" s="185">
        <v>130</v>
      </c>
      <c r="C131" s="22" t="s">
        <v>4749</v>
      </c>
      <c r="D131" s="22" t="s">
        <v>4635</v>
      </c>
      <c r="E131" s="22" t="s">
        <v>4661</v>
      </c>
      <c r="F131" s="22"/>
      <c r="G131" s="22"/>
      <c r="H131" s="22"/>
    </row>
    <row r="132" spans="1:8" ht="25.5" outlineLevel="1" x14ac:dyDescent="0.2">
      <c r="A132" s="88"/>
      <c r="B132" s="185">
        <v>131</v>
      </c>
      <c r="C132" s="22" t="s">
        <v>4718</v>
      </c>
      <c r="D132" s="22" t="s">
        <v>4717</v>
      </c>
      <c r="E132" s="22" t="s">
        <v>4658</v>
      </c>
      <c r="F132" s="22"/>
      <c r="G132" s="22"/>
      <c r="H132" s="22"/>
    </row>
    <row r="133" spans="1:8" outlineLevel="1" x14ac:dyDescent="0.2">
      <c r="A133" s="88"/>
      <c r="B133" s="89">
        <v>132</v>
      </c>
      <c r="C133" s="22" t="s">
        <v>4915</v>
      </c>
      <c r="D133" s="22" t="s">
        <v>4916</v>
      </c>
      <c r="E133" s="22" t="s">
        <v>4917</v>
      </c>
      <c r="F133" s="22"/>
      <c r="G133" s="22"/>
      <c r="H133" s="22"/>
    </row>
    <row r="134" spans="1:8" outlineLevel="1" x14ac:dyDescent="0.2">
      <c r="A134" s="88"/>
      <c r="B134" s="89">
        <v>133</v>
      </c>
      <c r="C134" s="22"/>
      <c r="D134" s="22"/>
      <c r="E134" s="22"/>
      <c r="F134" s="22"/>
      <c r="G134" s="22"/>
      <c r="H134" s="22"/>
    </row>
    <row r="135" spans="1:8" outlineLevel="1" x14ac:dyDescent="0.2">
      <c r="A135" s="88"/>
      <c r="B135" s="89">
        <v>134</v>
      </c>
      <c r="C135" s="22"/>
      <c r="D135" s="22"/>
      <c r="E135" s="22"/>
      <c r="F135" s="22"/>
      <c r="G135" s="22"/>
      <c r="H135" s="22"/>
    </row>
    <row r="136" spans="1:8" outlineLevel="1" x14ac:dyDescent="0.2">
      <c r="A136" s="88"/>
      <c r="B136" s="89">
        <v>135</v>
      </c>
      <c r="C136" s="98" t="s">
        <v>4710</v>
      </c>
      <c r="D136" s="98" t="s">
        <v>4711</v>
      </c>
      <c r="E136" s="98" t="s">
        <v>4712</v>
      </c>
      <c r="F136" s="98"/>
      <c r="G136" s="98"/>
      <c r="H136" s="98"/>
    </row>
    <row r="137" spans="1:8" ht="38.25" outlineLevel="1" x14ac:dyDescent="0.2">
      <c r="A137" s="88"/>
      <c r="B137" s="89">
        <v>136</v>
      </c>
      <c r="C137" s="22" t="s">
        <v>4801</v>
      </c>
      <c r="D137" s="22" t="s">
        <v>4802</v>
      </c>
      <c r="E137" s="22" t="s">
        <v>4803</v>
      </c>
      <c r="F137" s="22"/>
      <c r="G137" s="22"/>
      <c r="H137" s="22"/>
    </row>
    <row r="138" spans="1:8" outlineLevel="1" x14ac:dyDescent="0.2">
      <c r="A138" s="88"/>
      <c r="B138" s="89">
        <v>137</v>
      </c>
      <c r="C138" s="22" t="s">
        <v>4800</v>
      </c>
      <c r="D138" s="22" t="s">
        <v>4805</v>
      </c>
      <c r="E138" s="22" t="s">
        <v>4804</v>
      </c>
      <c r="F138" s="22"/>
      <c r="G138" s="22"/>
      <c r="H138" s="22"/>
    </row>
    <row r="139" spans="1:8" outlineLevel="1" x14ac:dyDescent="0.2">
      <c r="A139" s="88"/>
      <c r="B139" s="89">
        <v>138</v>
      </c>
      <c r="C139" s="22"/>
      <c r="D139" s="22"/>
      <c r="E139" s="22"/>
      <c r="F139" s="22"/>
      <c r="G139" s="22"/>
      <c r="H139" s="22"/>
    </row>
    <row r="140" spans="1:8" ht="38.25" outlineLevel="1" x14ac:dyDescent="0.2">
      <c r="A140" s="88"/>
      <c r="B140" s="89">
        <v>139</v>
      </c>
      <c r="C140" s="22" t="s">
        <v>4813</v>
      </c>
      <c r="D140" s="22" t="s">
        <v>4814</v>
      </c>
      <c r="E140" s="22" t="s">
        <v>4723</v>
      </c>
      <c r="F140" s="22"/>
      <c r="G140" s="22"/>
      <c r="H140" s="22"/>
    </row>
    <row r="141" spans="1:8" outlineLevel="1" x14ac:dyDescent="0.2">
      <c r="A141" s="88"/>
      <c r="B141" s="89">
        <v>140</v>
      </c>
      <c r="C141" s="97" t="s">
        <v>4611</v>
      </c>
      <c r="D141" s="97" t="s">
        <v>4636</v>
      </c>
      <c r="E141" s="97" t="s">
        <v>4660</v>
      </c>
      <c r="F141" s="97"/>
      <c r="G141" s="97"/>
      <c r="H141" s="97"/>
    </row>
    <row r="142" spans="1:8" ht="76.5" outlineLevel="1" x14ac:dyDescent="0.2">
      <c r="A142" s="88"/>
      <c r="B142" s="89">
        <v>141</v>
      </c>
      <c r="C142" s="22" t="s">
        <v>4811</v>
      </c>
      <c r="D142" s="22" t="s">
        <v>5081</v>
      </c>
      <c r="E142" s="22" t="s">
        <v>5082</v>
      </c>
      <c r="F142" s="22"/>
      <c r="G142" s="22"/>
      <c r="H142" s="22"/>
    </row>
    <row r="143" spans="1:8" outlineLevel="1" x14ac:dyDescent="0.2">
      <c r="A143" s="88"/>
      <c r="B143" s="89">
        <v>142</v>
      </c>
      <c r="C143" s="22" t="s">
        <v>4719</v>
      </c>
      <c r="D143" s="22"/>
      <c r="E143" s="22"/>
      <c r="F143" s="22"/>
      <c r="G143" s="22"/>
      <c r="H143" s="22"/>
    </row>
    <row r="144" spans="1:8" outlineLevel="1" x14ac:dyDescent="0.2">
      <c r="A144" s="88"/>
      <c r="B144" s="89">
        <v>143</v>
      </c>
      <c r="C144" s="97" t="s">
        <v>4481</v>
      </c>
      <c r="D144" s="97" t="s">
        <v>4461</v>
      </c>
      <c r="E144" s="97" t="s">
        <v>4659</v>
      </c>
      <c r="F144" s="97"/>
      <c r="G144" s="97"/>
      <c r="H144" s="97"/>
    </row>
    <row r="145" spans="1:8" outlineLevel="1" x14ac:dyDescent="0.2">
      <c r="A145" s="88"/>
      <c r="B145" s="89">
        <v>144</v>
      </c>
      <c r="C145" s="22" t="s">
        <v>4766</v>
      </c>
      <c r="D145" s="22" t="s">
        <v>4767</v>
      </c>
      <c r="E145" s="22" t="s">
        <v>4768</v>
      </c>
      <c r="F145" s="22"/>
      <c r="G145" s="22"/>
      <c r="H145" s="22"/>
    </row>
    <row r="146" spans="1:8" ht="25.5" outlineLevel="1" x14ac:dyDescent="0.2">
      <c r="A146" s="88"/>
      <c r="B146" s="89">
        <v>145</v>
      </c>
      <c r="C146" s="22" t="s">
        <v>4744</v>
      </c>
      <c r="D146" s="22" t="s">
        <v>4746</v>
      </c>
      <c r="E146" s="22" t="s">
        <v>4747</v>
      </c>
      <c r="F146" s="22"/>
      <c r="G146" s="22"/>
      <c r="H146" s="22"/>
    </row>
    <row r="147" spans="1:8" outlineLevel="1" x14ac:dyDescent="0.2">
      <c r="A147" s="88"/>
      <c r="B147" s="89">
        <v>146</v>
      </c>
      <c r="C147" s="22" t="s">
        <v>4745</v>
      </c>
      <c r="D147" s="22"/>
      <c r="E147" s="22"/>
      <c r="F147" s="22"/>
      <c r="G147" s="22"/>
      <c r="H147" s="22"/>
    </row>
    <row r="148" spans="1:8" outlineLevel="1" x14ac:dyDescent="0.2">
      <c r="A148" s="88"/>
      <c r="B148" s="89">
        <v>147</v>
      </c>
      <c r="C148" s="97" t="s">
        <v>4780</v>
      </c>
      <c r="D148" s="97" t="s">
        <v>4781</v>
      </c>
      <c r="E148" s="97" t="s">
        <v>4782</v>
      </c>
      <c r="F148" s="97"/>
      <c r="G148" s="97"/>
      <c r="H148" s="97"/>
    </row>
    <row r="149" spans="1:8" outlineLevel="1" x14ac:dyDescent="0.2">
      <c r="A149" s="88"/>
      <c r="B149" s="89">
        <v>148</v>
      </c>
      <c r="C149" s="22" t="s">
        <v>4769</v>
      </c>
      <c r="D149" s="22" t="s">
        <v>4770</v>
      </c>
      <c r="E149" s="22" t="s">
        <v>4771</v>
      </c>
      <c r="F149" s="22"/>
      <c r="G149" s="22"/>
      <c r="H149" s="22"/>
    </row>
    <row r="150" spans="1:8" outlineLevel="1" x14ac:dyDescent="0.2">
      <c r="A150" s="88"/>
      <c r="B150" s="89">
        <v>149</v>
      </c>
      <c r="C150" s="22" t="s">
        <v>4773</v>
      </c>
      <c r="D150" s="22" t="s">
        <v>4774</v>
      </c>
      <c r="E150" s="22" t="s">
        <v>4775</v>
      </c>
      <c r="F150" s="22"/>
      <c r="G150" s="22"/>
      <c r="H150" s="22"/>
    </row>
    <row r="151" spans="1:8" outlineLevel="1" x14ac:dyDescent="0.2">
      <c r="A151" s="182" t="s">
        <v>4853</v>
      </c>
      <c r="B151" s="89">
        <v>150</v>
      </c>
      <c r="C151" s="87" t="s">
        <v>5058</v>
      </c>
      <c r="D151" s="87" t="s">
        <v>5059</v>
      </c>
      <c r="E151" s="87" t="s">
        <v>5060</v>
      </c>
      <c r="F151" s="87"/>
      <c r="G151" s="87"/>
      <c r="H151" s="87"/>
    </row>
    <row r="152" spans="1:8" ht="38.25" outlineLevel="1" x14ac:dyDescent="0.2">
      <c r="A152" s="182" t="s">
        <v>4854</v>
      </c>
      <c r="B152" s="89">
        <v>151</v>
      </c>
      <c r="C152" s="87" t="s">
        <v>5042</v>
      </c>
      <c r="D152" s="87" t="s">
        <v>5043</v>
      </c>
      <c r="E152" s="87" t="s">
        <v>5044</v>
      </c>
      <c r="F152" s="87"/>
      <c r="G152" s="87"/>
      <c r="H152" s="87"/>
    </row>
    <row r="153" spans="1:8" ht="63.75" outlineLevel="1" x14ac:dyDescent="0.2">
      <c r="A153" s="182" t="s">
        <v>4855</v>
      </c>
      <c r="B153" s="89">
        <v>152</v>
      </c>
      <c r="C153" s="87" t="s">
        <v>5045</v>
      </c>
      <c r="D153" s="87" t="s">
        <v>5046</v>
      </c>
      <c r="E153" s="87" t="s">
        <v>5047</v>
      </c>
      <c r="F153" s="87"/>
      <c r="G153" s="87"/>
      <c r="H153" s="87"/>
    </row>
    <row r="154" spans="1:8" ht="38.25" outlineLevel="1" x14ac:dyDescent="0.2">
      <c r="A154" s="183" t="s">
        <v>4856</v>
      </c>
      <c r="B154" s="89">
        <v>153</v>
      </c>
      <c r="C154" s="87" t="s">
        <v>5048</v>
      </c>
      <c r="D154" s="87" t="s">
        <v>5049</v>
      </c>
      <c r="E154" s="87" t="s">
        <v>5050</v>
      </c>
      <c r="F154" s="87"/>
      <c r="G154" s="87"/>
      <c r="H154" s="87"/>
    </row>
    <row r="155" spans="1:8" ht="25.5" outlineLevel="1" x14ac:dyDescent="0.2">
      <c r="A155" s="88"/>
      <c r="B155" s="89">
        <v>154</v>
      </c>
      <c r="C155" s="87" t="s">
        <v>5061</v>
      </c>
      <c r="D155" s="87" t="s">
        <v>5062</v>
      </c>
      <c r="E155" s="87" t="s">
        <v>5063</v>
      </c>
      <c r="F155" s="87"/>
      <c r="G155" s="87"/>
      <c r="H155" s="87"/>
    </row>
    <row r="156" spans="1:8" outlineLevel="1" x14ac:dyDescent="0.2">
      <c r="A156" s="88"/>
      <c r="B156" s="89">
        <v>155</v>
      </c>
      <c r="C156" s="87"/>
      <c r="D156" s="87"/>
      <c r="E156" s="87"/>
      <c r="F156" s="87"/>
      <c r="G156" s="87"/>
      <c r="H156" s="87"/>
    </row>
    <row r="157" spans="1:8" outlineLevel="1" x14ac:dyDescent="0.2">
      <c r="A157" s="88"/>
      <c r="B157" s="89">
        <v>156</v>
      </c>
      <c r="C157" s="87"/>
      <c r="D157" s="87"/>
      <c r="E157" s="87"/>
      <c r="F157" s="87"/>
      <c r="G157" s="87"/>
      <c r="H157" s="87"/>
    </row>
    <row r="158" spans="1:8" outlineLevel="1" x14ac:dyDescent="0.2">
      <c r="A158" s="88"/>
      <c r="B158" s="89">
        <v>157</v>
      </c>
      <c r="C158" s="87"/>
      <c r="D158" s="87"/>
      <c r="E158" s="87"/>
      <c r="F158" s="87"/>
      <c r="G158" s="87"/>
      <c r="H158" s="87"/>
    </row>
    <row r="159" spans="1:8" outlineLevel="1" x14ac:dyDescent="0.2">
      <c r="A159" s="88"/>
      <c r="B159" s="89">
        <v>158</v>
      </c>
      <c r="C159" s="87"/>
      <c r="D159" s="87"/>
      <c r="E159" s="87"/>
      <c r="F159" s="87"/>
      <c r="G159" s="87"/>
      <c r="H159" s="87"/>
    </row>
    <row r="160" spans="1:8" outlineLevel="1" x14ac:dyDescent="0.2">
      <c r="A160" s="88"/>
      <c r="B160" s="89">
        <v>159</v>
      </c>
      <c r="C160" s="87"/>
      <c r="D160" s="87"/>
      <c r="E160" s="87"/>
      <c r="F160" s="87"/>
      <c r="G160" s="87"/>
      <c r="H160" s="87"/>
    </row>
    <row r="161" spans="1:8" ht="38.25" outlineLevel="1" x14ac:dyDescent="0.2">
      <c r="A161" s="183" t="s">
        <v>4858</v>
      </c>
      <c r="B161" s="89">
        <v>160</v>
      </c>
      <c r="C161" s="87"/>
      <c r="D161" s="87"/>
      <c r="E161" s="87"/>
      <c r="F161" s="87"/>
      <c r="G161" s="87"/>
      <c r="H161" s="87"/>
    </row>
    <row r="162" spans="1:8" outlineLevel="1" x14ac:dyDescent="0.2">
      <c r="A162" s="96"/>
      <c r="B162" s="89">
        <v>161</v>
      </c>
      <c r="C162" s="87"/>
      <c r="D162" s="87"/>
      <c r="E162" s="87"/>
      <c r="F162" s="87"/>
      <c r="G162" s="87"/>
      <c r="H162" s="87"/>
    </row>
    <row r="163" spans="1:8" outlineLevel="1" x14ac:dyDescent="0.2">
      <c r="A163" s="96"/>
      <c r="B163" s="89">
        <v>162</v>
      </c>
      <c r="C163" s="87"/>
      <c r="D163" s="87"/>
      <c r="E163" s="87"/>
      <c r="F163" s="87"/>
      <c r="G163" s="87"/>
      <c r="H163" s="87"/>
    </row>
    <row r="164" spans="1:8" outlineLevel="1" x14ac:dyDescent="0.2">
      <c r="A164" s="96"/>
      <c r="B164" s="89">
        <v>163</v>
      </c>
      <c r="C164" s="87"/>
      <c r="D164" s="87"/>
      <c r="E164" s="87"/>
      <c r="F164" s="87"/>
      <c r="G164" s="87"/>
      <c r="H164" s="87"/>
    </row>
    <row r="165" spans="1:8" outlineLevel="1" x14ac:dyDescent="0.2">
      <c r="A165" s="88"/>
      <c r="B165" s="89">
        <v>164</v>
      </c>
      <c r="C165" s="87"/>
      <c r="D165" s="87"/>
      <c r="E165" s="87"/>
      <c r="F165" s="87"/>
      <c r="G165" s="87"/>
      <c r="H165" s="87"/>
    </row>
    <row r="166" spans="1:8" outlineLevel="1" x14ac:dyDescent="0.2">
      <c r="A166" s="88"/>
      <c r="B166" s="89">
        <v>165</v>
      </c>
      <c r="C166" s="87"/>
      <c r="D166" s="87"/>
      <c r="E166" s="87"/>
      <c r="F166" s="87"/>
      <c r="G166" s="87"/>
      <c r="H166" s="87"/>
    </row>
    <row r="167" spans="1:8" outlineLevel="1" x14ac:dyDescent="0.2">
      <c r="A167" s="88"/>
      <c r="B167" s="89">
        <v>166</v>
      </c>
      <c r="C167" s="87"/>
      <c r="D167" s="87"/>
      <c r="E167" s="87"/>
      <c r="F167" s="87"/>
      <c r="G167" s="87"/>
      <c r="H167" s="87"/>
    </row>
    <row r="168" spans="1:8" outlineLevel="1" x14ac:dyDescent="0.2">
      <c r="A168" s="88"/>
      <c r="B168" s="89">
        <v>167</v>
      </c>
      <c r="C168" s="87"/>
      <c r="D168" s="87"/>
      <c r="E168" s="87"/>
      <c r="F168" s="87"/>
      <c r="G168" s="87"/>
      <c r="H168" s="87"/>
    </row>
    <row r="169" spans="1:8" outlineLevel="1" x14ac:dyDescent="0.2">
      <c r="A169" s="88"/>
      <c r="B169" s="89">
        <v>168</v>
      </c>
      <c r="C169" s="87"/>
      <c r="D169" s="87"/>
      <c r="E169" s="87"/>
      <c r="F169" s="87"/>
      <c r="G169" s="87"/>
      <c r="H169" s="87"/>
    </row>
    <row r="170" spans="1:8" ht="38.25" outlineLevel="1" x14ac:dyDescent="0.2">
      <c r="A170" s="183" t="s">
        <v>4876</v>
      </c>
      <c r="B170" s="89">
        <v>169</v>
      </c>
      <c r="C170" s="87"/>
      <c r="D170" s="87"/>
      <c r="E170" s="87"/>
      <c r="F170" s="87"/>
      <c r="G170" s="87"/>
      <c r="H170" s="87"/>
    </row>
    <row r="171" spans="1:8" outlineLevel="1" x14ac:dyDescent="0.2">
      <c r="A171" s="187" t="s">
        <v>4863</v>
      </c>
      <c r="B171" s="89">
        <v>170</v>
      </c>
      <c r="C171" s="123" t="s">
        <v>4620</v>
      </c>
      <c r="D171" s="123" t="s">
        <v>4620</v>
      </c>
      <c r="E171" s="123" t="s">
        <v>4666</v>
      </c>
      <c r="F171" s="123"/>
      <c r="G171" s="123"/>
      <c r="H171" s="123"/>
    </row>
    <row r="172" spans="1:8" ht="195" customHeight="1" outlineLevel="1" x14ac:dyDescent="0.2">
      <c r="A172" s="187" t="s">
        <v>4859</v>
      </c>
      <c r="B172" s="89">
        <v>171</v>
      </c>
      <c r="C172" s="87" t="s">
        <v>5064</v>
      </c>
      <c r="D172" s="87" t="s">
        <v>5065</v>
      </c>
      <c r="E172" s="87" t="s">
        <v>5066</v>
      </c>
      <c r="F172" s="87"/>
      <c r="G172" s="87"/>
      <c r="H172" s="87"/>
    </row>
    <row r="173" spans="1:8" outlineLevel="1" x14ac:dyDescent="0.2">
      <c r="A173" s="187" t="s">
        <v>4864</v>
      </c>
      <c r="B173" s="89">
        <v>172</v>
      </c>
      <c r="C173" s="123" t="s">
        <v>4909</v>
      </c>
      <c r="D173" s="123" t="s">
        <v>4911</v>
      </c>
      <c r="E173" s="123" t="s">
        <v>4913</v>
      </c>
      <c r="F173" s="87"/>
      <c r="G173" s="87"/>
      <c r="H173" s="87"/>
    </row>
    <row r="174" spans="1:8" ht="38.25" outlineLevel="1" x14ac:dyDescent="0.2">
      <c r="A174" s="187" t="s">
        <v>4862</v>
      </c>
      <c r="B174" s="89">
        <v>173</v>
      </c>
      <c r="C174" s="87" t="s">
        <v>4910</v>
      </c>
      <c r="D174" s="87" t="s">
        <v>4912</v>
      </c>
      <c r="E174" s="87" t="s">
        <v>4914</v>
      </c>
      <c r="F174" s="123"/>
      <c r="G174" s="123"/>
      <c r="H174" s="123"/>
    </row>
    <row r="175" spans="1:8" outlineLevel="1" x14ac:dyDescent="0.2">
      <c r="A175" s="187" t="s">
        <v>4861</v>
      </c>
      <c r="B175" s="89">
        <v>174</v>
      </c>
      <c r="C175" s="87"/>
      <c r="D175" s="87"/>
      <c r="E175" s="87"/>
      <c r="F175" s="87"/>
      <c r="G175" s="87"/>
      <c r="H175" s="87"/>
    </row>
    <row r="176" spans="1:8" outlineLevel="1" x14ac:dyDescent="0.2">
      <c r="A176" s="187" t="s">
        <v>4860</v>
      </c>
      <c r="B176" s="89">
        <v>175</v>
      </c>
      <c r="C176" s="87"/>
      <c r="D176" s="87"/>
      <c r="E176" s="87"/>
      <c r="F176" s="87"/>
      <c r="G176" s="87"/>
      <c r="H176" s="87"/>
    </row>
    <row r="177" spans="1:8" outlineLevel="1" x14ac:dyDescent="0.2">
      <c r="A177" s="187" t="s">
        <v>4865</v>
      </c>
      <c r="B177" s="89">
        <v>176</v>
      </c>
      <c r="C177" s="123" t="s">
        <v>4815</v>
      </c>
      <c r="D177" s="123" t="s">
        <v>5087</v>
      </c>
      <c r="E177" s="123" t="s">
        <v>4852</v>
      </c>
      <c r="F177" s="123"/>
      <c r="G177" s="123"/>
      <c r="H177" s="123"/>
    </row>
    <row r="178" spans="1:8" outlineLevel="1" x14ac:dyDescent="0.2">
      <c r="A178" s="187" t="s">
        <v>4866</v>
      </c>
      <c r="B178" s="89">
        <v>177</v>
      </c>
      <c r="C178" s="87" t="s">
        <v>2</v>
      </c>
      <c r="D178" s="87" t="s">
        <v>2</v>
      </c>
      <c r="E178" s="87" t="s">
        <v>2</v>
      </c>
      <c r="F178" s="87"/>
      <c r="G178" s="87"/>
      <c r="H178" s="87"/>
    </row>
    <row r="179" spans="1:8" ht="25.5" outlineLevel="1" x14ac:dyDescent="0.2">
      <c r="A179" s="187" t="s">
        <v>4867</v>
      </c>
      <c r="B179" s="89">
        <v>178</v>
      </c>
      <c r="C179" s="87" t="s">
        <v>4901</v>
      </c>
      <c r="D179" s="87" t="s">
        <v>4902</v>
      </c>
      <c r="E179" s="87" t="s">
        <v>4903</v>
      </c>
      <c r="F179" s="87"/>
      <c r="G179" s="87"/>
      <c r="H179" s="87"/>
    </row>
    <row r="180" spans="1:8" outlineLevel="1" x14ac:dyDescent="0.2">
      <c r="A180" s="88"/>
      <c r="B180" s="89">
        <v>179</v>
      </c>
      <c r="C180" s="87"/>
      <c r="D180" s="87"/>
      <c r="E180" s="87"/>
      <c r="F180" s="87"/>
      <c r="G180" s="87"/>
      <c r="H180" s="87"/>
    </row>
    <row r="181" spans="1:8" ht="51" outlineLevel="1" x14ac:dyDescent="0.2">
      <c r="A181" s="183" t="s">
        <v>4877</v>
      </c>
      <c r="B181" s="89">
        <v>180</v>
      </c>
      <c r="C181" s="123" t="s">
        <v>4904</v>
      </c>
      <c r="D181" s="123" t="s">
        <v>4906</v>
      </c>
      <c r="E181" s="123" t="s">
        <v>4907</v>
      </c>
      <c r="F181" s="123"/>
      <c r="G181" s="123"/>
      <c r="H181" s="123"/>
    </row>
    <row r="182" spans="1:8" ht="63.75" outlineLevel="1" x14ac:dyDescent="0.2">
      <c r="A182" s="88"/>
      <c r="B182" s="89">
        <v>181</v>
      </c>
      <c r="C182" s="87" t="s">
        <v>4905</v>
      </c>
      <c r="D182" s="87" t="s">
        <v>5088</v>
      </c>
      <c r="E182" s="87" t="s">
        <v>4908</v>
      </c>
      <c r="F182" s="87"/>
      <c r="G182" s="87"/>
      <c r="H182" s="87"/>
    </row>
    <row r="183" spans="1:8" outlineLevel="1" x14ac:dyDescent="0.2">
      <c r="A183" s="88"/>
      <c r="B183" s="89">
        <v>182</v>
      </c>
      <c r="C183" s="123"/>
      <c r="D183" s="123"/>
      <c r="E183" s="123"/>
      <c r="F183" s="123"/>
      <c r="G183" s="123"/>
      <c r="H183" s="123"/>
    </row>
    <row r="184" spans="1:8" outlineLevel="1" x14ac:dyDescent="0.2">
      <c r="A184" s="88"/>
      <c r="B184" s="89">
        <v>183</v>
      </c>
      <c r="C184" s="87" t="s">
        <v>4954</v>
      </c>
      <c r="D184" s="87" t="s">
        <v>4955</v>
      </c>
      <c r="E184" s="87" t="s">
        <v>4956</v>
      </c>
      <c r="F184" s="87"/>
      <c r="G184" s="87"/>
      <c r="H184" s="87"/>
    </row>
    <row r="185" spans="1:8" ht="38.25" outlineLevel="1" x14ac:dyDescent="0.2">
      <c r="A185" s="88"/>
      <c r="B185" s="89">
        <v>184</v>
      </c>
      <c r="C185" s="123" t="s">
        <v>4951</v>
      </c>
      <c r="D185" s="123" t="s">
        <v>4952</v>
      </c>
      <c r="E185" s="123" t="s">
        <v>4953</v>
      </c>
      <c r="F185" s="123"/>
      <c r="G185" s="123"/>
      <c r="H185" s="123"/>
    </row>
    <row r="186" spans="1:8" outlineLevel="1" x14ac:dyDescent="0.2">
      <c r="A186" s="88"/>
      <c r="B186" s="89">
        <v>185</v>
      </c>
      <c r="C186" s="87" t="s">
        <v>4948</v>
      </c>
      <c r="D186" s="87" t="s">
        <v>4949</v>
      </c>
      <c r="E186" s="87" t="s">
        <v>4950</v>
      </c>
      <c r="F186" s="87"/>
      <c r="G186" s="87"/>
      <c r="H186" s="87"/>
    </row>
    <row r="187" spans="1:8" ht="13.5" outlineLevel="1" x14ac:dyDescent="0.2">
      <c r="A187" s="88"/>
      <c r="B187" s="89">
        <v>186</v>
      </c>
      <c r="C187" s="87" t="s">
        <v>4918</v>
      </c>
      <c r="D187" s="87" t="s">
        <v>4927</v>
      </c>
      <c r="E187" s="87" t="s">
        <v>4933</v>
      </c>
      <c r="F187" s="123"/>
      <c r="G187" s="123"/>
      <c r="H187" s="123"/>
    </row>
    <row r="188" spans="1:8" ht="13.5" outlineLevel="1" x14ac:dyDescent="0.2">
      <c r="A188" s="88"/>
      <c r="B188" s="89">
        <v>187</v>
      </c>
      <c r="C188" s="87" t="s">
        <v>4919</v>
      </c>
      <c r="D188" s="87" t="s">
        <v>5075</v>
      </c>
      <c r="E188" s="87" t="s">
        <v>5078</v>
      </c>
      <c r="F188" s="87"/>
      <c r="G188" s="87"/>
      <c r="H188" s="87"/>
    </row>
    <row r="189" spans="1:8" ht="13.5" outlineLevel="1" x14ac:dyDescent="0.2">
      <c r="A189" s="88"/>
      <c r="B189" s="89">
        <v>188</v>
      </c>
      <c r="C189" s="87" t="s">
        <v>4920</v>
      </c>
      <c r="D189" s="87" t="s">
        <v>4928</v>
      </c>
      <c r="E189" s="87" t="s">
        <v>4934</v>
      </c>
      <c r="F189" s="87"/>
      <c r="G189" s="87"/>
      <c r="H189" s="87"/>
    </row>
    <row r="190" spans="1:8" ht="13.5" outlineLevel="1" x14ac:dyDescent="0.2">
      <c r="A190" s="88"/>
      <c r="B190" s="89">
        <v>189</v>
      </c>
      <c r="C190" s="87" t="s">
        <v>4921</v>
      </c>
      <c r="D190" s="87" t="s">
        <v>4929</v>
      </c>
      <c r="E190" s="87" t="s">
        <v>4935</v>
      </c>
      <c r="F190" s="87"/>
      <c r="G190" s="87"/>
      <c r="H190" s="87"/>
    </row>
    <row r="191" spans="1:8" ht="13.5" outlineLevel="1" x14ac:dyDescent="0.2">
      <c r="A191" s="88"/>
      <c r="B191" s="89">
        <v>190</v>
      </c>
      <c r="C191" s="87" t="s">
        <v>4922</v>
      </c>
      <c r="D191" s="87" t="s">
        <v>5076</v>
      </c>
      <c r="E191" s="87" t="s">
        <v>5079</v>
      </c>
      <c r="F191" s="87"/>
      <c r="G191" s="87"/>
      <c r="H191" s="87"/>
    </row>
    <row r="192" spans="1:8" ht="13.5" outlineLevel="1" x14ac:dyDescent="0.2">
      <c r="A192" s="88"/>
      <c r="B192" s="89">
        <v>191</v>
      </c>
      <c r="C192" s="87" t="s">
        <v>4923</v>
      </c>
      <c r="D192" s="87" t="s">
        <v>4930</v>
      </c>
      <c r="E192" s="87" t="s">
        <v>4936</v>
      </c>
      <c r="F192" s="87"/>
      <c r="G192" s="87"/>
      <c r="H192" s="87"/>
    </row>
    <row r="193" spans="1:8" ht="13.5" outlineLevel="1" x14ac:dyDescent="0.2">
      <c r="A193" s="88"/>
      <c r="B193" s="89">
        <v>192</v>
      </c>
      <c r="C193" s="87" t="s">
        <v>4924</v>
      </c>
      <c r="D193" s="87" t="s">
        <v>4931</v>
      </c>
      <c r="E193" s="87" t="s">
        <v>4937</v>
      </c>
      <c r="F193" s="87"/>
      <c r="G193" s="87"/>
      <c r="H193" s="87"/>
    </row>
    <row r="194" spans="1:8" ht="13.5" outlineLevel="1" x14ac:dyDescent="0.2">
      <c r="A194" s="88"/>
      <c r="B194" s="89">
        <v>193</v>
      </c>
      <c r="C194" s="87" t="s">
        <v>4925</v>
      </c>
      <c r="D194" s="87" t="s">
        <v>5077</v>
      </c>
      <c r="E194" s="87" t="s">
        <v>5080</v>
      </c>
      <c r="F194" s="87"/>
      <c r="G194" s="87"/>
      <c r="H194" s="87"/>
    </row>
    <row r="195" spans="1:8" ht="13.5" outlineLevel="1" x14ac:dyDescent="0.2">
      <c r="A195" s="88"/>
      <c r="B195" s="89">
        <v>194</v>
      </c>
      <c r="C195" s="87" t="s">
        <v>4926</v>
      </c>
      <c r="D195" s="87" t="s">
        <v>4932</v>
      </c>
      <c r="E195" s="87" t="s">
        <v>4938</v>
      </c>
      <c r="F195" s="87"/>
      <c r="G195" s="87"/>
      <c r="H195" s="87"/>
    </row>
    <row r="196" spans="1:8" ht="25.5" outlineLevel="1" x14ac:dyDescent="0.2">
      <c r="A196" s="183"/>
      <c r="B196" s="89">
        <v>195</v>
      </c>
      <c r="C196" s="87" t="s">
        <v>4947</v>
      </c>
      <c r="D196" s="87" t="s">
        <v>4946</v>
      </c>
      <c r="E196" s="87" t="s">
        <v>4945</v>
      </c>
      <c r="F196" s="87"/>
      <c r="G196" s="87"/>
      <c r="H196" s="87"/>
    </row>
    <row r="197" spans="1:8" ht="25.5" outlineLevel="1" x14ac:dyDescent="0.2">
      <c r="A197" s="88"/>
      <c r="B197" s="89">
        <v>196</v>
      </c>
      <c r="C197" s="87" t="s">
        <v>4942</v>
      </c>
      <c r="D197" s="87" t="s">
        <v>4943</v>
      </c>
      <c r="E197" s="87" t="s">
        <v>4944</v>
      </c>
      <c r="F197" s="87"/>
      <c r="G197" s="87"/>
      <c r="H197" s="87"/>
    </row>
    <row r="198" spans="1:8" ht="25.5" outlineLevel="1" x14ac:dyDescent="0.2">
      <c r="A198" s="88"/>
      <c r="B198" s="89">
        <v>197</v>
      </c>
      <c r="C198" s="87" t="s">
        <v>4939</v>
      </c>
      <c r="D198" s="87" t="s">
        <v>4940</v>
      </c>
      <c r="E198" s="87" t="s">
        <v>4941</v>
      </c>
      <c r="F198" s="87"/>
      <c r="G198" s="87"/>
      <c r="H198" s="87"/>
    </row>
    <row r="199" spans="1:8" outlineLevel="1" x14ac:dyDescent="0.2">
      <c r="A199" s="88"/>
      <c r="B199" s="89">
        <v>198</v>
      </c>
      <c r="C199" s="87"/>
      <c r="D199" s="87"/>
      <c r="E199" s="87"/>
      <c r="F199" s="87"/>
      <c r="G199" s="87"/>
      <c r="H199" s="87"/>
    </row>
    <row r="200" spans="1:8" outlineLevel="1" x14ac:dyDescent="0.2">
      <c r="A200" s="88"/>
      <c r="B200" s="89">
        <v>199</v>
      </c>
      <c r="C200" s="87"/>
      <c r="D200" s="87"/>
      <c r="E200" s="87"/>
      <c r="F200" s="87"/>
      <c r="G200" s="87"/>
      <c r="H200" s="87"/>
    </row>
    <row r="201" spans="1:8" x14ac:dyDescent="0.2">
      <c r="A201" s="91" t="s">
        <v>4603</v>
      </c>
      <c r="B201" s="86">
        <v>200</v>
      </c>
      <c r="C201" s="22" t="s">
        <v>4612</v>
      </c>
      <c r="D201" s="22" t="s">
        <v>4667</v>
      </c>
      <c r="E201" s="22" t="s">
        <v>4664</v>
      </c>
      <c r="F201" s="22"/>
      <c r="G201" s="22"/>
      <c r="H201" s="22"/>
    </row>
    <row r="202" spans="1:8" outlineLevel="1" x14ac:dyDescent="0.2">
      <c r="A202" s="84"/>
      <c r="B202" s="86">
        <v>201</v>
      </c>
      <c r="C202" s="22" t="s">
        <v>4613</v>
      </c>
      <c r="D202" s="22" t="s">
        <v>4668</v>
      </c>
      <c r="E202" s="22" t="s">
        <v>4665</v>
      </c>
      <c r="F202" s="22"/>
      <c r="G202" s="22"/>
      <c r="H202" s="22"/>
    </row>
    <row r="203" spans="1:8" outlineLevel="1" x14ac:dyDescent="0.2">
      <c r="A203" s="84"/>
      <c r="B203" s="86">
        <v>202</v>
      </c>
      <c r="C203" s="22" t="s">
        <v>4614</v>
      </c>
      <c r="D203" s="22" t="s">
        <v>4643</v>
      </c>
      <c r="E203" s="22" t="s">
        <v>4663</v>
      </c>
      <c r="F203" s="22"/>
      <c r="G203" s="22"/>
      <c r="H203" s="22"/>
    </row>
    <row r="204" spans="1:8" outlineLevel="1" x14ac:dyDescent="0.2">
      <c r="A204" s="84"/>
      <c r="B204" s="86">
        <v>203</v>
      </c>
      <c r="C204" s="22" t="s">
        <v>4676</v>
      </c>
      <c r="D204" s="22" t="s">
        <v>4675</v>
      </c>
      <c r="E204" s="22" t="s">
        <v>4677</v>
      </c>
      <c r="F204" s="22"/>
      <c r="G204" s="22"/>
      <c r="H204" s="22"/>
    </row>
    <row r="205" spans="1:8" outlineLevel="1" x14ac:dyDescent="0.2">
      <c r="A205" s="84"/>
      <c r="B205" s="86">
        <v>204</v>
      </c>
      <c r="C205" s="22" t="s">
        <v>4788</v>
      </c>
      <c r="D205" s="22" t="s">
        <v>4790</v>
      </c>
      <c r="E205" s="22" t="s">
        <v>4789</v>
      </c>
      <c r="F205" s="22"/>
      <c r="G205" s="22"/>
      <c r="H205" s="22"/>
    </row>
    <row r="206" spans="1:8" outlineLevel="1" x14ac:dyDescent="0.2">
      <c r="A206" s="84"/>
      <c r="B206" s="86">
        <v>205</v>
      </c>
      <c r="C206" s="22" t="s">
        <v>4685</v>
      </c>
      <c r="D206" s="22" t="s">
        <v>4687</v>
      </c>
      <c r="E206" s="22" t="s">
        <v>4686</v>
      </c>
      <c r="F206" s="22"/>
      <c r="G206" s="22"/>
      <c r="H206" s="22"/>
    </row>
    <row r="207" spans="1:8" outlineLevel="1" x14ac:dyDescent="0.2">
      <c r="A207" s="84"/>
      <c r="B207" s="86">
        <v>206</v>
      </c>
      <c r="C207" s="22" t="s">
        <v>4688</v>
      </c>
      <c r="D207" s="22" t="s">
        <v>4689</v>
      </c>
      <c r="E207" s="22" t="s">
        <v>4695</v>
      </c>
      <c r="F207" s="22"/>
      <c r="G207" s="22"/>
      <c r="H207" s="22"/>
    </row>
    <row r="208" spans="1:8" outlineLevel="1" x14ac:dyDescent="0.2">
      <c r="A208" s="84"/>
      <c r="B208" s="86">
        <v>207</v>
      </c>
      <c r="C208" s="22" t="s">
        <v>4690</v>
      </c>
      <c r="D208" s="22" t="s">
        <v>4694</v>
      </c>
      <c r="E208" s="22" t="s">
        <v>4696</v>
      </c>
      <c r="F208" s="22"/>
      <c r="G208" s="22"/>
      <c r="H208" s="22"/>
    </row>
    <row r="209" spans="1:8" ht="38.25" outlineLevel="1" x14ac:dyDescent="0.2">
      <c r="A209" s="84"/>
      <c r="B209" s="86">
        <v>208</v>
      </c>
      <c r="C209" s="22" t="s">
        <v>4777</v>
      </c>
      <c r="D209" s="22" t="s">
        <v>5070</v>
      </c>
      <c r="E209" s="22" t="s">
        <v>4776</v>
      </c>
      <c r="F209" s="22"/>
      <c r="G209" s="22"/>
      <c r="H209" s="22"/>
    </row>
    <row r="210" spans="1:8" ht="38.25" outlineLevel="1" x14ac:dyDescent="0.2">
      <c r="A210" s="84"/>
      <c r="B210" s="86">
        <v>209</v>
      </c>
      <c r="C210" s="22" t="s">
        <v>4779</v>
      </c>
      <c r="D210" s="22" t="s">
        <v>5069</v>
      </c>
      <c r="E210" s="22" t="s">
        <v>4778</v>
      </c>
      <c r="F210" s="22"/>
      <c r="G210" s="22"/>
      <c r="H210" s="22"/>
    </row>
    <row r="211" spans="1:8" outlineLevel="1" x14ac:dyDescent="0.2">
      <c r="A211" s="84"/>
      <c r="B211" s="86">
        <v>210</v>
      </c>
      <c r="C211" s="22" t="s">
        <v>4678</v>
      </c>
      <c r="D211" s="22" t="s">
        <v>4679</v>
      </c>
      <c r="E211" s="22" t="s">
        <v>4680</v>
      </c>
      <c r="F211" s="22"/>
      <c r="G211" s="22"/>
      <c r="H211" s="22"/>
    </row>
    <row r="212" spans="1:8" outlineLevel="1" x14ac:dyDescent="0.2">
      <c r="A212" s="84"/>
      <c r="B212" s="86">
        <v>211</v>
      </c>
      <c r="C212" s="22" t="s">
        <v>4742</v>
      </c>
      <c r="D212" s="22" t="s">
        <v>4741</v>
      </c>
      <c r="E212" s="22" t="s">
        <v>4743</v>
      </c>
      <c r="F212" s="22"/>
      <c r="G212" s="22"/>
      <c r="H212" s="22"/>
    </row>
    <row r="213" spans="1:8" outlineLevel="1" x14ac:dyDescent="0.2">
      <c r="A213" s="84"/>
      <c r="B213" s="86">
        <v>212</v>
      </c>
      <c r="C213" s="22"/>
      <c r="D213" s="22"/>
      <c r="E213" s="22"/>
      <c r="F213" s="22"/>
      <c r="G213" s="22"/>
      <c r="H213" s="22"/>
    </row>
    <row r="214" spans="1:8" outlineLevel="1" x14ac:dyDescent="0.2">
      <c r="A214" s="84"/>
      <c r="B214" s="86">
        <v>213</v>
      </c>
      <c r="C214" s="22"/>
      <c r="D214" s="22"/>
      <c r="E214" s="22"/>
      <c r="F214" s="22"/>
      <c r="G214" s="22"/>
      <c r="H214" s="22"/>
    </row>
    <row r="215" spans="1:8" outlineLevel="1" x14ac:dyDescent="0.2">
      <c r="A215" s="84"/>
      <c r="B215" s="86">
        <v>214</v>
      </c>
      <c r="C215" s="22"/>
      <c r="D215" s="22"/>
      <c r="E215" s="22"/>
      <c r="F215" s="22"/>
      <c r="G215" s="22"/>
      <c r="H215" s="22"/>
    </row>
    <row r="216" spans="1:8" outlineLevel="1" x14ac:dyDescent="0.2">
      <c r="A216" s="84"/>
      <c r="B216" s="86">
        <v>215</v>
      </c>
      <c r="C216" s="22"/>
      <c r="D216" s="22"/>
      <c r="E216" s="22"/>
      <c r="F216" s="22"/>
      <c r="G216" s="22"/>
      <c r="H216" s="22"/>
    </row>
    <row r="217" spans="1:8" outlineLevel="1" x14ac:dyDescent="0.2">
      <c r="A217" s="84"/>
      <c r="B217" s="86">
        <v>216</v>
      </c>
      <c r="C217" s="22"/>
      <c r="D217" s="22"/>
      <c r="E217" s="22"/>
      <c r="F217" s="22"/>
      <c r="G217" s="22"/>
      <c r="H217" s="22"/>
    </row>
    <row r="218" spans="1:8" outlineLevel="1" x14ac:dyDescent="0.2">
      <c r="A218" s="84"/>
      <c r="B218" s="86">
        <v>217</v>
      </c>
      <c r="C218" s="22"/>
      <c r="D218" s="22"/>
      <c r="E218" s="22"/>
      <c r="F218" s="22"/>
      <c r="G218" s="22"/>
      <c r="H218" s="22"/>
    </row>
    <row r="219" spans="1:8" outlineLevel="1" x14ac:dyDescent="0.2">
      <c r="A219" s="84"/>
      <c r="B219" s="86">
        <v>218</v>
      </c>
      <c r="C219" s="22"/>
      <c r="D219" s="22"/>
      <c r="E219" s="22"/>
      <c r="F219" s="22"/>
      <c r="G219" s="22"/>
      <c r="H219" s="22"/>
    </row>
    <row r="220" spans="1:8" outlineLevel="1" x14ac:dyDescent="0.2">
      <c r="A220" s="84"/>
      <c r="B220" s="86">
        <v>219</v>
      </c>
      <c r="C220" s="22"/>
      <c r="D220" s="22"/>
      <c r="E220" s="22"/>
      <c r="F220" s="22"/>
      <c r="G220" s="22"/>
      <c r="H220" s="22"/>
    </row>
    <row r="221" spans="1:8" outlineLevel="1" x14ac:dyDescent="0.2">
      <c r="A221" s="84"/>
      <c r="B221" s="86">
        <v>220</v>
      </c>
      <c r="C221" s="22" t="s">
        <v>4682</v>
      </c>
      <c r="D221" s="22" t="s">
        <v>4683</v>
      </c>
      <c r="E221" s="22" t="s">
        <v>4691</v>
      </c>
      <c r="F221" s="22"/>
      <c r="G221" s="22"/>
      <c r="H221" s="22"/>
    </row>
    <row r="222" spans="1:8" outlineLevel="1" x14ac:dyDescent="0.2">
      <c r="A222" s="84"/>
      <c r="B222" s="86">
        <v>221</v>
      </c>
      <c r="C222" s="22" t="s">
        <v>4531</v>
      </c>
      <c r="D222" s="22" t="s">
        <v>4681</v>
      </c>
      <c r="E222" s="22" t="s">
        <v>4692</v>
      </c>
      <c r="F222" s="22"/>
      <c r="G222" s="22"/>
      <c r="H222" s="22"/>
    </row>
    <row r="223" spans="1:8" ht="38.25" outlineLevel="1" x14ac:dyDescent="0.2">
      <c r="A223" s="186" t="s">
        <v>4857</v>
      </c>
      <c r="B223" s="86">
        <v>222</v>
      </c>
      <c r="C223" s="87" t="s">
        <v>4731</v>
      </c>
      <c r="D223" s="87" t="s">
        <v>5071</v>
      </c>
      <c r="E223" s="87" t="s">
        <v>4739</v>
      </c>
      <c r="F223" s="87"/>
      <c r="G223" s="87"/>
      <c r="H223" s="87"/>
    </row>
    <row r="224" spans="1:8" ht="25.5" outlineLevel="1" x14ac:dyDescent="0.2">
      <c r="A224" s="84"/>
      <c r="B224" s="86">
        <v>223</v>
      </c>
      <c r="C224" s="87" t="s">
        <v>4732</v>
      </c>
      <c r="D224" s="87" t="s">
        <v>4733</v>
      </c>
      <c r="E224" s="87" t="s">
        <v>4740</v>
      </c>
      <c r="F224" s="87"/>
      <c r="G224" s="87"/>
      <c r="H224" s="87"/>
    </row>
    <row r="225" spans="1:8" ht="25.5" outlineLevel="1" x14ac:dyDescent="0.2">
      <c r="A225" s="84"/>
      <c r="B225" s="86">
        <v>224</v>
      </c>
      <c r="C225" s="87" t="s">
        <v>4734</v>
      </c>
      <c r="D225" s="87" t="s">
        <v>4735</v>
      </c>
      <c r="E225" s="87" t="s">
        <v>4738</v>
      </c>
      <c r="F225" s="87"/>
      <c r="G225" s="87"/>
      <c r="H225" s="87"/>
    </row>
    <row r="226" spans="1:8" outlineLevel="1" x14ac:dyDescent="0.2">
      <c r="A226" s="84"/>
      <c r="B226" s="86">
        <v>225</v>
      </c>
      <c r="C226" s="87" t="s">
        <v>5092</v>
      </c>
      <c r="D226" s="87" t="s">
        <v>4736</v>
      </c>
      <c r="E226" s="87" t="s">
        <v>4737</v>
      </c>
      <c r="F226" s="87"/>
      <c r="G226" s="87"/>
      <c r="H226" s="87"/>
    </row>
    <row r="227" spans="1:8" outlineLevel="1" x14ac:dyDescent="0.2">
      <c r="A227" s="84"/>
      <c r="B227" s="86">
        <v>226</v>
      </c>
      <c r="C227" s="87"/>
      <c r="D227" s="87"/>
      <c r="E227" s="87"/>
      <c r="F227" s="87"/>
      <c r="G227" s="87"/>
      <c r="H227" s="87"/>
    </row>
    <row r="228" spans="1:8" outlineLevel="1" x14ac:dyDescent="0.2">
      <c r="A228" s="84"/>
      <c r="B228" s="86">
        <v>227</v>
      </c>
      <c r="C228" s="87"/>
      <c r="D228" s="87"/>
      <c r="E228" s="87"/>
      <c r="F228" s="87"/>
      <c r="G228" s="87"/>
      <c r="H228" s="87"/>
    </row>
    <row r="229" spans="1:8" outlineLevel="1" x14ac:dyDescent="0.2">
      <c r="A229" s="84"/>
      <c r="B229" s="86">
        <v>228</v>
      </c>
      <c r="C229" s="87"/>
      <c r="D229" s="87"/>
      <c r="E229" s="87"/>
      <c r="F229" s="87"/>
      <c r="G229" s="87"/>
      <c r="H229" s="87"/>
    </row>
    <row r="230" spans="1:8" outlineLevel="1" x14ac:dyDescent="0.2">
      <c r="A230" s="84"/>
      <c r="B230" s="86">
        <v>229</v>
      </c>
      <c r="C230" s="87"/>
      <c r="D230" s="87"/>
      <c r="E230" s="87"/>
      <c r="F230" s="87"/>
      <c r="G230" s="87"/>
      <c r="H230" s="87"/>
    </row>
    <row r="231" spans="1:8" outlineLevel="1" x14ac:dyDescent="0.2">
      <c r="A231" s="84"/>
      <c r="B231" s="86">
        <v>230</v>
      </c>
      <c r="C231" s="87"/>
      <c r="D231" s="87"/>
      <c r="E231" s="87"/>
      <c r="F231" s="87"/>
      <c r="G231" s="87"/>
      <c r="H231" s="87"/>
    </row>
    <row r="232" spans="1:8" outlineLevel="1" x14ac:dyDescent="0.2">
      <c r="A232" s="84"/>
      <c r="B232" s="86">
        <v>231</v>
      </c>
      <c r="C232" s="22"/>
      <c r="D232" s="22"/>
      <c r="E232" s="22"/>
      <c r="F232" s="22"/>
      <c r="G232" s="22"/>
      <c r="H232" s="22"/>
    </row>
    <row r="233" spans="1:8" outlineLevel="1" x14ac:dyDescent="0.2">
      <c r="A233" s="84"/>
      <c r="B233" s="86">
        <v>232</v>
      </c>
      <c r="C233" s="22"/>
      <c r="D233" s="22"/>
      <c r="E233" s="22"/>
      <c r="F233" s="22"/>
      <c r="G233" s="22"/>
      <c r="H233" s="22"/>
    </row>
    <row r="234" spans="1:8" outlineLevel="1" x14ac:dyDescent="0.2">
      <c r="A234" s="84"/>
      <c r="B234" s="86">
        <v>233</v>
      </c>
      <c r="C234" s="22"/>
      <c r="D234" s="22"/>
      <c r="E234" s="22"/>
      <c r="F234" s="22"/>
      <c r="G234" s="22"/>
      <c r="H234" s="22"/>
    </row>
    <row r="235" spans="1:8" outlineLevel="1" x14ac:dyDescent="0.2">
      <c r="A235" s="84"/>
      <c r="B235" s="86">
        <v>234</v>
      </c>
      <c r="C235" s="22"/>
      <c r="D235" s="22"/>
      <c r="E235" s="22"/>
      <c r="F235" s="22"/>
      <c r="G235" s="22"/>
      <c r="H235" s="22"/>
    </row>
    <row r="236" spans="1:8" outlineLevel="1" x14ac:dyDescent="0.2">
      <c r="A236" s="84"/>
      <c r="B236" s="86">
        <v>235</v>
      </c>
      <c r="C236" s="22"/>
      <c r="D236" s="22"/>
      <c r="E236" s="22"/>
      <c r="F236" s="22"/>
      <c r="G236" s="22"/>
      <c r="H236" s="22"/>
    </row>
    <row r="237" spans="1:8" outlineLevel="1" x14ac:dyDescent="0.2">
      <c r="A237" s="84"/>
      <c r="B237" s="86">
        <v>236</v>
      </c>
      <c r="C237" s="22"/>
      <c r="D237" s="22"/>
      <c r="E237" s="22"/>
      <c r="F237" s="22"/>
      <c r="G237" s="22"/>
      <c r="H237" s="22"/>
    </row>
    <row r="238" spans="1:8" outlineLevel="1" x14ac:dyDescent="0.2">
      <c r="A238" s="84"/>
      <c r="B238" s="86">
        <v>237</v>
      </c>
      <c r="C238" s="22"/>
      <c r="D238" s="22"/>
      <c r="E238" s="22"/>
      <c r="F238" s="22"/>
      <c r="G238" s="22"/>
      <c r="H238" s="22"/>
    </row>
    <row r="239" spans="1:8" outlineLevel="1" x14ac:dyDescent="0.2">
      <c r="A239" s="84"/>
      <c r="B239" s="86">
        <v>238</v>
      </c>
      <c r="C239" s="22"/>
      <c r="D239" s="22"/>
      <c r="E239" s="22"/>
      <c r="F239" s="22"/>
      <c r="G239" s="22"/>
      <c r="H239" s="22"/>
    </row>
    <row r="240" spans="1:8" outlineLevel="1" x14ac:dyDescent="0.2">
      <c r="A240" s="84"/>
      <c r="B240" s="86">
        <v>239</v>
      </c>
      <c r="C240" s="22"/>
      <c r="D240" s="22"/>
      <c r="E240" s="22"/>
      <c r="F240" s="22"/>
      <c r="G240" s="22"/>
      <c r="H240" s="22"/>
    </row>
    <row r="241" spans="1:8" outlineLevel="1" x14ac:dyDescent="0.2">
      <c r="A241" s="84"/>
      <c r="B241" s="86">
        <v>240</v>
      </c>
      <c r="C241" s="22" t="s">
        <v>4606</v>
      </c>
      <c r="D241" s="22" t="s">
        <v>4606</v>
      </c>
      <c r="E241" s="22" t="s">
        <v>4606</v>
      </c>
      <c r="F241" s="22"/>
      <c r="G241" s="22"/>
      <c r="H241" s="22"/>
    </row>
    <row r="242" spans="1:8" ht="140.25" outlineLevel="1" x14ac:dyDescent="0.2">
      <c r="A242" s="84"/>
      <c r="B242" s="86">
        <v>241</v>
      </c>
      <c r="C242" s="22" t="s">
        <v>4698</v>
      </c>
      <c r="D242" s="22" t="s">
        <v>4697</v>
      </c>
      <c r="E242" s="22" t="s">
        <v>4699</v>
      </c>
      <c r="F242" s="22"/>
      <c r="G242" s="22"/>
      <c r="H242" s="22"/>
    </row>
    <row r="243" spans="1:8" outlineLevel="1" x14ac:dyDescent="0.2">
      <c r="A243" s="84"/>
      <c r="B243" s="86">
        <v>242</v>
      </c>
      <c r="C243" s="22"/>
      <c r="D243" s="22"/>
      <c r="E243" s="22"/>
      <c r="F243" s="22"/>
      <c r="G243" s="22"/>
      <c r="H243" s="22"/>
    </row>
    <row r="244" spans="1:8" outlineLevel="1" x14ac:dyDescent="0.2">
      <c r="A244" s="84"/>
      <c r="B244" s="86">
        <v>243</v>
      </c>
      <c r="C244" s="22"/>
      <c r="D244" s="22"/>
      <c r="E244" s="22"/>
      <c r="F244" s="22"/>
      <c r="G244" s="22"/>
      <c r="H244" s="22"/>
    </row>
    <row r="245" spans="1:8" outlineLevel="1" x14ac:dyDescent="0.2">
      <c r="A245" s="84"/>
      <c r="B245" s="86">
        <v>244</v>
      </c>
      <c r="C245" s="22"/>
      <c r="D245" s="22"/>
      <c r="E245" s="22"/>
      <c r="F245" s="22"/>
      <c r="G245" s="22"/>
      <c r="H245" s="22"/>
    </row>
    <row r="246" spans="1:8" outlineLevel="1" x14ac:dyDescent="0.2">
      <c r="A246" s="84"/>
      <c r="B246" s="86">
        <v>245</v>
      </c>
      <c r="C246" s="22"/>
      <c r="D246" s="22"/>
      <c r="E246" s="22"/>
      <c r="F246" s="22"/>
      <c r="G246" s="22"/>
      <c r="H246" s="22"/>
    </row>
    <row r="247" spans="1:8" outlineLevel="1" x14ac:dyDescent="0.2">
      <c r="A247" s="84"/>
      <c r="B247" s="86">
        <v>246</v>
      </c>
      <c r="C247" s="22"/>
      <c r="D247" s="22"/>
      <c r="E247" s="22"/>
      <c r="F247" s="22"/>
      <c r="G247" s="22"/>
      <c r="H247" s="22"/>
    </row>
    <row r="248" spans="1:8" outlineLevel="1" x14ac:dyDescent="0.2">
      <c r="A248" s="84"/>
      <c r="B248" s="86">
        <v>247</v>
      </c>
      <c r="C248" s="22"/>
      <c r="D248" s="22"/>
      <c r="E248" s="22"/>
      <c r="F248" s="22"/>
      <c r="G248" s="22"/>
      <c r="H248" s="22"/>
    </row>
    <row r="249" spans="1:8" outlineLevel="1" x14ac:dyDescent="0.2">
      <c r="A249" s="84"/>
      <c r="B249" s="86">
        <v>248</v>
      </c>
      <c r="C249" s="22"/>
      <c r="D249" s="22"/>
      <c r="E249" s="22"/>
      <c r="F249" s="22"/>
      <c r="G249" s="22"/>
      <c r="H249" s="22"/>
    </row>
    <row r="250" spans="1:8" outlineLevel="1" x14ac:dyDescent="0.2">
      <c r="A250" s="84"/>
      <c r="B250" s="86">
        <v>249</v>
      </c>
      <c r="C250" s="22"/>
      <c r="D250" s="22"/>
      <c r="E250" s="22"/>
      <c r="F250" s="22"/>
      <c r="G250" s="22"/>
      <c r="H250" s="22"/>
    </row>
    <row r="251" spans="1:8" outlineLevel="1" x14ac:dyDescent="0.2">
      <c r="A251" s="84"/>
      <c r="B251" s="86">
        <v>250</v>
      </c>
      <c r="C251" s="22"/>
      <c r="D251" s="22"/>
      <c r="E251" s="22"/>
      <c r="F251" s="22"/>
      <c r="G251" s="22"/>
      <c r="H251" s="22"/>
    </row>
    <row r="252" spans="1:8" x14ac:dyDescent="0.2">
      <c r="A252" s="92" t="s">
        <v>4701</v>
      </c>
      <c r="B252" s="85">
        <v>251</v>
      </c>
      <c r="C252" s="22"/>
      <c r="D252" s="22"/>
      <c r="E252" s="22"/>
      <c r="F252" s="22"/>
      <c r="G252" s="22"/>
      <c r="H252" s="22"/>
    </row>
    <row r="253" spans="1:8" x14ac:dyDescent="0.2">
      <c r="B253" s="85">
        <v>252</v>
      </c>
      <c r="C253" s="22"/>
      <c r="D253" s="22"/>
      <c r="E253" s="22"/>
      <c r="F253" s="22"/>
      <c r="G253" s="22"/>
      <c r="H253" s="22"/>
    </row>
    <row r="254" spans="1:8" x14ac:dyDescent="0.2">
      <c r="B254" s="85">
        <v>253</v>
      </c>
      <c r="C254" s="22"/>
      <c r="D254" s="22"/>
      <c r="E254" s="22"/>
      <c r="F254" s="22"/>
      <c r="G254" s="22"/>
      <c r="H254" s="22"/>
    </row>
    <row r="255" spans="1:8" x14ac:dyDescent="0.2">
      <c r="B255" s="85">
        <v>254</v>
      </c>
      <c r="C255" s="22"/>
      <c r="D255" s="22"/>
      <c r="E255" s="22"/>
      <c r="F255" s="22"/>
      <c r="G255" s="22"/>
      <c r="H255" s="22"/>
    </row>
    <row r="256" spans="1:8" x14ac:dyDescent="0.2">
      <c r="B256" s="85">
        <v>255</v>
      </c>
      <c r="C256" s="22"/>
      <c r="D256" s="22"/>
      <c r="E256" s="22"/>
      <c r="F256" s="22"/>
      <c r="G256" s="22"/>
      <c r="H256" s="22"/>
    </row>
    <row r="257" spans="2:8" x14ac:dyDescent="0.2">
      <c r="B257" s="85">
        <v>256</v>
      </c>
      <c r="C257" s="22"/>
      <c r="D257" s="22"/>
      <c r="E257" s="22"/>
      <c r="F257" s="22"/>
      <c r="G257" s="22"/>
      <c r="H257" s="22"/>
    </row>
    <row r="258" spans="2:8" x14ac:dyDescent="0.2">
      <c r="B258" s="85">
        <v>257</v>
      </c>
      <c r="C258" s="22"/>
      <c r="D258" s="22"/>
      <c r="E258" s="22"/>
      <c r="F258" s="22"/>
      <c r="G258" s="22"/>
      <c r="H258" s="22"/>
    </row>
    <row r="259" spans="2:8" x14ac:dyDescent="0.2">
      <c r="B259" s="85">
        <v>258</v>
      </c>
      <c r="C259" s="22"/>
      <c r="D259" s="22"/>
      <c r="E259" s="22"/>
      <c r="F259" s="22"/>
      <c r="G259" s="22"/>
      <c r="H259" s="22"/>
    </row>
    <row r="260" spans="2:8" x14ac:dyDescent="0.2">
      <c r="B260" s="85">
        <v>259</v>
      </c>
      <c r="C260" s="22"/>
      <c r="D260" s="22"/>
      <c r="E260" s="22"/>
      <c r="F260" s="22"/>
      <c r="G260" s="22"/>
      <c r="H260" s="22"/>
    </row>
    <row r="261" spans="2:8" x14ac:dyDescent="0.2">
      <c r="B261" s="85">
        <v>260</v>
      </c>
      <c r="C261" s="22"/>
      <c r="D261" s="22"/>
      <c r="E261" s="22"/>
      <c r="F261" s="22"/>
      <c r="G261" s="22"/>
      <c r="H261" s="22"/>
    </row>
    <row r="262" spans="2:8" x14ac:dyDescent="0.2">
      <c r="B262" s="85">
        <v>261</v>
      </c>
      <c r="C262" s="22"/>
      <c r="D262" s="22"/>
      <c r="E262" s="22"/>
      <c r="F262" s="22"/>
      <c r="G262" s="22"/>
      <c r="H262" s="22"/>
    </row>
    <row r="263" spans="2:8" x14ac:dyDescent="0.2">
      <c r="B263" s="85">
        <v>262</v>
      </c>
      <c r="C263" s="22"/>
      <c r="D263" s="22"/>
      <c r="E263" s="22"/>
      <c r="F263" s="22"/>
      <c r="G263" s="22"/>
      <c r="H263" s="22"/>
    </row>
    <row r="264" spans="2:8" x14ac:dyDescent="0.2">
      <c r="B264" s="85">
        <v>263</v>
      </c>
      <c r="C264" s="22"/>
      <c r="D264" s="22"/>
      <c r="E264" s="22"/>
      <c r="F264" s="22"/>
      <c r="G264" s="22"/>
      <c r="H264" s="22"/>
    </row>
    <row r="265" spans="2:8" x14ac:dyDescent="0.2">
      <c r="B265" s="85">
        <v>264</v>
      </c>
      <c r="C265" s="22"/>
      <c r="D265" s="22"/>
      <c r="E265" s="22"/>
      <c r="F265" s="22"/>
      <c r="G265" s="22"/>
      <c r="H265" s="22"/>
    </row>
    <row r="266" spans="2:8" x14ac:dyDescent="0.2">
      <c r="B266" s="85">
        <v>265</v>
      </c>
      <c r="C266" s="22"/>
      <c r="D266" s="22"/>
      <c r="E266" s="22"/>
      <c r="F266" s="22"/>
      <c r="G266" s="22"/>
      <c r="H266" s="22"/>
    </row>
    <row r="267" spans="2:8" x14ac:dyDescent="0.2">
      <c r="B267" s="85">
        <v>266</v>
      </c>
      <c r="C267" s="22"/>
      <c r="D267" s="22"/>
      <c r="E267" s="22"/>
      <c r="F267" s="22"/>
      <c r="G267" s="22"/>
      <c r="H267" s="22"/>
    </row>
    <row r="268" spans="2:8" x14ac:dyDescent="0.2">
      <c r="B268" s="85">
        <v>267</v>
      </c>
      <c r="C268" s="22"/>
      <c r="D268" s="22"/>
      <c r="E268" s="22"/>
      <c r="F268" s="22"/>
      <c r="G268" s="22"/>
      <c r="H268" s="22"/>
    </row>
    <row r="269" spans="2:8" x14ac:dyDescent="0.2">
      <c r="B269" s="85">
        <v>268</v>
      </c>
      <c r="C269" s="22"/>
      <c r="D269" s="22"/>
      <c r="E269" s="22"/>
      <c r="F269" s="22"/>
      <c r="G269" s="22"/>
      <c r="H269" s="22"/>
    </row>
    <row r="270" spans="2:8" x14ac:dyDescent="0.2">
      <c r="B270" s="85">
        <v>269</v>
      </c>
      <c r="C270" s="22"/>
      <c r="D270" s="22"/>
      <c r="E270" s="22"/>
      <c r="F270" s="22"/>
      <c r="G270" s="22"/>
      <c r="H270" s="22"/>
    </row>
    <row r="271" spans="2:8" x14ac:dyDescent="0.2">
      <c r="B271" s="85">
        <v>270</v>
      </c>
      <c r="C271" s="22"/>
      <c r="D271" s="22"/>
      <c r="E271" s="22"/>
      <c r="F271" s="22"/>
      <c r="G271" s="22"/>
      <c r="H271" s="22"/>
    </row>
    <row r="272" spans="2:8" x14ac:dyDescent="0.2">
      <c r="B272" s="85">
        <v>271</v>
      </c>
      <c r="C272" s="22"/>
      <c r="D272" s="22"/>
      <c r="E272" s="22"/>
      <c r="F272" s="22"/>
      <c r="G272" s="22"/>
      <c r="H272" s="22"/>
    </row>
    <row r="273" spans="2:8" x14ac:dyDescent="0.2">
      <c r="B273" s="85">
        <v>272</v>
      </c>
      <c r="C273" s="22"/>
      <c r="D273" s="22"/>
      <c r="E273" s="22"/>
      <c r="F273" s="22"/>
      <c r="G273" s="22"/>
      <c r="H273" s="22"/>
    </row>
    <row r="274" spans="2:8" x14ac:dyDescent="0.2">
      <c r="B274" s="85">
        <v>273</v>
      </c>
      <c r="C274" s="22"/>
      <c r="D274" s="22"/>
      <c r="E274" s="22"/>
      <c r="F274" s="22"/>
      <c r="G274" s="22"/>
      <c r="H274" s="22"/>
    </row>
    <row r="275" spans="2:8" x14ac:dyDescent="0.2">
      <c r="B275" s="85">
        <v>274</v>
      </c>
      <c r="C275" s="22"/>
      <c r="D275" s="22"/>
      <c r="E275" s="22"/>
      <c r="F275" s="22"/>
      <c r="G275" s="22"/>
      <c r="H275" s="22"/>
    </row>
    <row r="276" spans="2:8" x14ac:dyDescent="0.2">
      <c r="B276" s="85">
        <v>275</v>
      </c>
      <c r="C276" s="22"/>
      <c r="D276" s="22"/>
      <c r="E276" s="22"/>
      <c r="F276" s="22"/>
      <c r="G276" s="22"/>
      <c r="H276" s="22"/>
    </row>
    <row r="277" spans="2:8" x14ac:dyDescent="0.2">
      <c r="B277" s="85">
        <v>276</v>
      </c>
      <c r="C277" s="22"/>
      <c r="D277" s="22"/>
      <c r="E277" s="22"/>
      <c r="F277" s="22"/>
      <c r="G277" s="22"/>
      <c r="H277" s="22"/>
    </row>
    <row r="278" spans="2:8" x14ac:dyDescent="0.2">
      <c r="B278" s="85">
        <v>277</v>
      </c>
      <c r="C278" s="22"/>
      <c r="D278" s="22"/>
      <c r="E278" s="22"/>
      <c r="F278" s="22"/>
      <c r="G278" s="22"/>
      <c r="H278" s="22"/>
    </row>
    <row r="279" spans="2:8" x14ac:dyDescent="0.2">
      <c r="B279" s="85">
        <v>278</v>
      </c>
      <c r="C279" s="22"/>
      <c r="D279" s="22"/>
      <c r="E279" s="22"/>
      <c r="F279" s="22"/>
      <c r="G279" s="22"/>
      <c r="H279" s="22"/>
    </row>
    <row r="280" spans="2:8" x14ac:dyDescent="0.2">
      <c r="B280" s="85">
        <v>279</v>
      </c>
      <c r="C280" s="22"/>
      <c r="D280" s="22"/>
      <c r="E280" s="22"/>
      <c r="F280" s="22"/>
      <c r="G280" s="22"/>
      <c r="H280" s="22"/>
    </row>
    <row r="281" spans="2:8" x14ac:dyDescent="0.2">
      <c r="B281" s="85">
        <v>280</v>
      </c>
      <c r="C281" s="22"/>
      <c r="D281" s="22"/>
      <c r="E281" s="22"/>
      <c r="F281" s="22"/>
      <c r="G281" s="22"/>
      <c r="H281" s="22"/>
    </row>
    <row r="282" spans="2:8" x14ac:dyDescent="0.2">
      <c r="B282" s="85">
        <v>281</v>
      </c>
      <c r="C282" s="22"/>
      <c r="D282" s="22"/>
      <c r="E282" s="22"/>
      <c r="F282" s="22"/>
      <c r="G282" s="22"/>
      <c r="H282" s="22"/>
    </row>
    <row r="283" spans="2:8" x14ac:dyDescent="0.2">
      <c r="B283" s="85">
        <v>282</v>
      </c>
      <c r="C283" s="22"/>
      <c r="D283" s="22"/>
      <c r="E283" s="22"/>
      <c r="F283" s="22"/>
      <c r="G283" s="22"/>
      <c r="H283" s="22"/>
    </row>
    <row r="284" spans="2:8" x14ac:dyDescent="0.2">
      <c r="B284" s="85">
        <v>283</v>
      </c>
      <c r="C284" s="22"/>
      <c r="D284" s="22"/>
      <c r="E284" s="22"/>
      <c r="F284" s="22"/>
      <c r="G284" s="22"/>
      <c r="H284" s="22"/>
    </row>
    <row r="285" spans="2:8" x14ac:dyDescent="0.2">
      <c r="B285" s="85">
        <v>284</v>
      </c>
      <c r="C285" s="22"/>
      <c r="D285" s="22"/>
      <c r="E285" s="22"/>
      <c r="F285" s="22"/>
      <c r="G285" s="22"/>
      <c r="H285" s="22"/>
    </row>
    <row r="286" spans="2:8" x14ac:dyDescent="0.2">
      <c r="B286" s="85">
        <v>285</v>
      </c>
      <c r="C286" s="22"/>
      <c r="D286" s="22"/>
      <c r="E286" s="22"/>
      <c r="F286" s="22"/>
      <c r="G286" s="22"/>
      <c r="H286" s="22"/>
    </row>
    <row r="287" spans="2:8" x14ac:dyDescent="0.2">
      <c r="B287" s="85">
        <v>286</v>
      </c>
      <c r="C287" s="22"/>
      <c r="D287" s="22"/>
      <c r="E287" s="22"/>
      <c r="F287" s="22"/>
      <c r="G287" s="22"/>
      <c r="H287" s="22"/>
    </row>
    <row r="288" spans="2:8" x14ac:dyDescent="0.2">
      <c r="B288" s="85">
        <v>287</v>
      </c>
      <c r="C288" s="22"/>
      <c r="D288" s="22"/>
      <c r="E288" s="22"/>
      <c r="F288" s="22"/>
      <c r="G288" s="22"/>
      <c r="H288" s="22"/>
    </row>
    <row r="289" spans="2:8" x14ac:dyDescent="0.2">
      <c r="B289" s="85">
        <v>288</v>
      </c>
      <c r="C289" s="22"/>
      <c r="D289" s="22"/>
      <c r="E289" s="22"/>
      <c r="F289" s="22"/>
      <c r="G289" s="22"/>
      <c r="H289" s="22"/>
    </row>
    <row r="290" spans="2:8" x14ac:dyDescent="0.2">
      <c r="B290" s="85">
        <v>289</v>
      </c>
      <c r="C290" s="22"/>
      <c r="D290" s="22"/>
      <c r="E290" s="22"/>
      <c r="F290" s="22"/>
      <c r="G290" s="22"/>
      <c r="H290" s="22"/>
    </row>
    <row r="291" spans="2:8" x14ac:dyDescent="0.2">
      <c r="B291" s="85">
        <v>290</v>
      </c>
      <c r="C291" s="22"/>
      <c r="D291" s="22"/>
      <c r="E291" s="22"/>
      <c r="F291" s="22"/>
      <c r="G291" s="22"/>
      <c r="H291" s="22"/>
    </row>
    <row r="292" spans="2:8" x14ac:dyDescent="0.2">
      <c r="B292" s="85">
        <v>291</v>
      </c>
      <c r="C292" s="22"/>
      <c r="D292" s="22"/>
      <c r="E292" s="22"/>
      <c r="F292" s="22"/>
      <c r="G292" s="22"/>
      <c r="H292" s="22"/>
    </row>
    <row r="293" spans="2:8" x14ac:dyDescent="0.2">
      <c r="B293" s="85">
        <v>292</v>
      </c>
      <c r="C293" s="22"/>
      <c r="D293" s="22"/>
      <c r="E293" s="22"/>
      <c r="F293" s="22"/>
      <c r="G293" s="22"/>
      <c r="H293" s="22"/>
    </row>
    <row r="294" spans="2:8" x14ac:dyDescent="0.2">
      <c r="B294" s="85">
        <v>293</v>
      </c>
      <c r="C294" s="22"/>
      <c r="D294" s="22"/>
      <c r="E294" s="22"/>
      <c r="F294" s="22"/>
      <c r="G294" s="22"/>
      <c r="H294" s="22"/>
    </row>
    <row r="295" spans="2:8" x14ac:dyDescent="0.2">
      <c r="B295" s="85">
        <v>294</v>
      </c>
      <c r="C295" s="22"/>
      <c r="D295" s="22"/>
      <c r="E295" s="22"/>
      <c r="F295" s="22"/>
      <c r="G295" s="22"/>
      <c r="H295" s="22"/>
    </row>
    <row r="296" spans="2:8" x14ac:dyDescent="0.2">
      <c r="B296" s="85">
        <v>295</v>
      </c>
      <c r="C296" s="22"/>
      <c r="D296" s="22"/>
      <c r="E296" s="22"/>
      <c r="F296" s="22"/>
      <c r="G296" s="22"/>
      <c r="H296" s="22"/>
    </row>
    <row r="297" spans="2:8" x14ac:dyDescent="0.2">
      <c r="B297" s="85">
        <v>296</v>
      </c>
      <c r="C297" s="22"/>
      <c r="D297" s="22"/>
      <c r="E297" s="22"/>
      <c r="F297" s="22"/>
      <c r="G297" s="22"/>
      <c r="H297" s="22"/>
    </row>
    <row r="298" spans="2:8" x14ac:dyDescent="0.2">
      <c r="B298" s="85">
        <v>297</v>
      </c>
      <c r="C298" s="22"/>
      <c r="D298" s="22"/>
      <c r="E298" s="22"/>
      <c r="F298" s="22"/>
      <c r="G298" s="22"/>
      <c r="H298" s="22"/>
    </row>
    <row r="299" spans="2:8" x14ac:dyDescent="0.2">
      <c r="B299" s="85">
        <v>298</v>
      </c>
      <c r="C299" s="22"/>
      <c r="D299" s="22"/>
      <c r="E299" s="22"/>
      <c r="F299" s="22"/>
      <c r="G299" s="22"/>
      <c r="H299" s="22"/>
    </row>
    <row r="300" spans="2:8" x14ac:dyDescent="0.2">
      <c r="B300" s="85">
        <v>299</v>
      </c>
      <c r="C300" s="22"/>
      <c r="D300" s="22"/>
      <c r="E300" s="22"/>
      <c r="F300" s="22"/>
      <c r="G300" s="22"/>
      <c r="H300" s="22"/>
    </row>
    <row r="301" spans="2:8" x14ac:dyDescent="0.2">
      <c r="B301" s="85">
        <v>300</v>
      </c>
      <c r="C301" s="22"/>
      <c r="D301" s="22"/>
      <c r="E301" s="22"/>
      <c r="F301" s="22"/>
      <c r="G301" s="22"/>
      <c r="H301" s="22"/>
    </row>
    <row r="302" spans="2:8" x14ac:dyDescent="0.2">
      <c r="B302" s="85">
        <v>301</v>
      </c>
      <c r="C302" s="22"/>
      <c r="D302" s="22"/>
      <c r="E302" s="22"/>
      <c r="F302" s="22"/>
      <c r="G302" s="22"/>
      <c r="H302" s="22"/>
    </row>
    <row r="303" spans="2:8" x14ac:dyDescent="0.2">
      <c r="B303" s="85">
        <v>302</v>
      </c>
      <c r="C303" s="22"/>
      <c r="D303" s="22"/>
      <c r="E303" s="22"/>
      <c r="F303" s="22"/>
      <c r="G303" s="22"/>
      <c r="H303" s="22"/>
    </row>
    <row r="304" spans="2:8" x14ac:dyDescent="0.2">
      <c r="B304" s="85">
        <v>303</v>
      </c>
      <c r="C304" s="22"/>
      <c r="D304" s="22"/>
      <c r="E304" s="22"/>
      <c r="F304" s="22"/>
      <c r="G304" s="22"/>
      <c r="H304" s="22"/>
    </row>
    <row r="305" spans="2:8" x14ac:dyDescent="0.2">
      <c r="B305" s="85">
        <v>304</v>
      </c>
      <c r="C305" s="22"/>
      <c r="D305" s="22"/>
      <c r="E305" s="22"/>
      <c r="F305" s="22"/>
      <c r="G305" s="22"/>
      <c r="H305" s="22"/>
    </row>
    <row r="306" spans="2:8" x14ac:dyDescent="0.2">
      <c r="B306" s="85">
        <v>305</v>
      </c>
      <c r="C306" s="22"/>
      <c r="D306" s="22"/>
      <c r="E306" s="22"/>
      <c r="F306" s="22"/>
      <c r="G306" s="22"/>
      <c r="H306" s="22"/>
    </row>
    <row r="307" spans="2:8" x14ac:dyDescent="0.2">
      <c r="B307" s="85">
        <v>306</v>
      </c>
      <c r="C307" s="22"/>
      <c r="D307" s="22"/>
      <c r="E307" s="22"/>
      <c r="F307" s="22"/>
      <c r="G307" s="22"/>
      <c r="H307" s="22"/>
    </row>
    <row r="308" spans="2:8" x14ac:dyDescent="0.2">
      <c r="B308" s="85">
        <v>307</v>
      </c>
      <c r="C308" s="22"/>
      <c r="D308" s="22"/>
      <c r="E308" s="22"/>
      <c r="F308" s="22"/>
      <c r="G308" s="22"/>
      <c r="H308" s="22"/>
    </row>
    <row r="309" spans="2:8" x14ac:dyDescent="0.2">
      <c r="B309" s="85">
        <v>308</v>
      </c>
      <c r="C309" s="22"/>
      <c r="D309" s="22"/>
      <c r="E309" s="22"/>
      <c r="F309" s="22"/>
      <c r="G309" s="22"/>
      <c r="H309" s="22"/>
    </row>
    <row r="310" spans="2:8" x14ac:dyDescent="0.2">
      <c r="B310" s="85">
        <v>309</v>
      </c>
      <c r="C310" s="22"/>
      <c r="D310" s="22"/>
      <c r="E310" s="22"/>
      <c r="F310" s="22"/>
      <c r="G310" s="22"/>
      <c r="H310" s="22"/>
    </row>
    <row r="311" spans="2:8" x14ac:dyDescent="0.2">
      <c r="B311" s="85">
        <v>310</v>
      </c>
      <c r="C311" s="22"/>
      <c r="D311" s="22"/>
      <c r="E311" s="22"/>
      <c r="F311" s="22"/>
      <c r="G311" s="22"/>
      <c r="H311" s="22"/>
    </row>
    <row r="312" spans="2:8" x14ac:dyDescent="0.2">
      <c r="B312" s="85">
        <v>311</v>
      </c>
      <c r="C312" s="22"/>
      <c r="D312" s="22"/>
      <c r="E312" s="22"/>
      <c r="F312" s="22"/>
      <c r="G312" s="22"/>
      <c r="H312" s="22"/>
    </row>
    <row r="313" spans="2:8" x14ac:dyDescent="0.2">
      <c r="B313" s="85">
        <v>312</v>
      </c>
      <c r="C313" s="22"/>
      <c r="D313" s="22"/>
      <c r="E313" s="22"/>
      <c r="F313" s="22"/>
      <c r="G313" s="22"/>
      <c r="H313" s="22"/>
    </row>
    <row r="314" spans="2:8" x14ac:dyDescent="0.2">
      <c r="B314" s="85">
        <v>313</v>
      </c>
      <c r="C314" s="22"/>
      <c r="D314" s="22"/>
      <c r="E314" s="22"/>
      <c r="F314" s="22"/>
      <c r="G314" s="22"/>
      <c r="H314" s="22"/>
    </row>
    <row r="315" spans="2:8" x14ac:dyDescent="0.2">
      <c r="B315" s="85">
        <v>314</v>
      </c>
      <c r="C315" s="22"/>
      <c r="D315" s="22"/>
      <c r="E315" s="22"/>
      <c r="F315" s="22"/>
      <c r="G315" s="22"/>
      <c r="H315" s="22"/>
    </row>
    <row r="316" spans="2:8" x14ac:dyDescent="0.2">
      <c r="B316" s="85">
        <v>315</v>
      </c>
      <c r="C316" s="22"/>
      <c r="D316" s="22"/>
      <c r="E316" s="22"/>
      <c r="F316" s="22"/>
      <c r="G316" s="22"/>
      <c r="H316" s="22"/>
    </row>
    <row r="317" spans="2:8" x14ac:dyDescent="0.2">
      <c r="B317" s="85">
        <v>316</v>
      </c>
      <c r="C317" s="22"/>
      <c r="D317" s="22"/>
      <c r="E317" s="22"/>
      <c r="F317" s="22"/>
      <c r="G317" s="22"/>
      <c r="H317" s="22"/>
    </row>
    <row r="318" spans="2:8" x14ac:dyDescent="0.2">
      <c r="B318" s="85">
        <v>317</v>
      </c>
      <c r="C318" s="22"/>
      <c r="D318" s="22"/>
      <c r="E318" s="22"/>
      <c r="F318" s="22"/>
      <c r="G318" s="22"/>
      <c r="H318" s="22"/>
    </row>
    <row r="319" spans="2:8" x14ac:dyDescent="0.2">
      <c r="B319" s="85">
        <v>318</v>
      </c>
      <c r="C319" s="22"/>
      <c r="D319" s="22"/>
      <c r="E319" s="22"/>
      <c r="F319" s="22"/>
      <c r="G319" s="22"/>
      <c r="H319" s="22"/>
    </row>
    <row r="320" spans="2:8" x14ac:dyDescent="0.2">
      <c r="B320" s="85">
        <v>319</v>
      </c>
      <c r="C320" s="22"/>
      <c r="D320" s="22"/>
      <c r="E320" s="22"/>
      <c r="F320" s="22"/>
      <c r="G320" s="22"/>
      <c r="H320" s="22"/>
    </row>
    <row r="321" spans="2:8" x14ac:dyDescent="0.2">
      <c r="B321" s="85">
        <v>320</v>
      </c>
      <c r="C321" s="22"/>
      <c r="D321" s="22"/>
      <c r="E321" s="22"/>
      <c r="F321" s="22"/>
      <c r="G321" s="22"/>
      <c r="H321" s="22"/>
    </row>
    <row r="322" spans="2:8" x14ac:dyDescent="0.2">
      <c r="B322" s="85">
        <v>321</v>
      </c>
      <c r="C322" s="22"/>
      <c r="D322" s="22"/>
      <c r="E322" s="22"/>
      <c r="F322" s="22"/>
      <c r="G322" s="22"/>
      <c r="H322" s="22"/>
    </row>
    <row r="323" spans="2:8" x14ac:dyDescent="0.2">
      <c r="B323" s="85">
        <v>322</v>
      </c>
      <c r="C323" s="22"/>
      <c r="D323" s="22"/>
      <c r="E323" s="22"/>
      <c r="F323" s="22"/>
      <c r="G323" s="22"/>
      <c r="H323" s="22"/>
    </row>
    <row r="324" spans="2:8" x14ac:dyDescent="0.2">
      <c r="B324" s="85">
        <v>323</v>
      </c>
      <c r="C324" s="22"/>
      <c r="D324" s="22"/>
      <c r="E324" s="22"/>
      <c r="F324" s="22"/>
      <c r="G324" s="22"/>
      <c r="H324" s="22"/>
    </row>
    <row r="325" spans="2:8" x14ac:dyDescent="0.2">
      <c r="B325" s="85">
        <v>324</v>
      </c>
      <c r="C325" s="22"/>
      <c r="D325" s="22"/>
      <c r="E325" s="22"/>
      <c r="F325" s="22"/>
      <c r="G325" s="22"/>
      <c r="H325" s="22"/>
    </row>
    <row r="326" spans="2:8" x14ac:dyDescent="0.2">
      <c r="B326" s="85">
        <v>325</v>
      </c>
      <c r="C326" s="22"/>
      <c r="D326" s="22"/>
      <c r="E326" s="22"/>
      <c r="F326" s="22"/>
      <c r="G326" s="22"/>
      <c r="H326" s="22"/>
    </row>
    <row r="327" spans="2:8" x14ac:dyDescent="0.2">
      <c r="B327" s="85">
        <v>326</v>
      </c>
      <c r="C327" s="22"/>
      <c r="D327" s="22"/>
      <c r="E327" s="22"/>
      <c r="F327" s="22"/>
      <c r="G327" s="22"/>
      <c r="H327" s="22"/>
    </row>
    <row r="328" spans="2:8" x14ac:dyDescent="0.2">
      <c r="B328" s="85">
        <v>327</v>
      </c>
      <c r="C328" s="22"/>
      <c r="D328" s="22"/>
      <c r="E328" s="22"/>
      <c r="F328" s="22"/>
      <c r="G328" s="22"/>
      <c r="H328" s="22"/>
    </row>
    <row r="329" spans="2:8" x14ac:dyDescent="0.2">
      <c r="B329" s="85">
        <v>328</v>
      </c>
      <c r="C329" s="22"/>
      <c r="D329" s="22"/>
      <c r="E329" s="22"/>
      <c r="F329" s="22"/>
      <c r="G329" s="22"/>
      <c r="H329" s="22"/>
    </row>
    <row r="330" spans="2:8" x14ac:dyDescent="0.2">
      <c r="B330" s="85">
        <v>329</v>
      </c>
      <c r="C330" s="22"/>
      <c r="D330" s="22"/>
      <c r="E330" s="22"/>
      <c r="F330" s="22"/>
      <c r="G330" s="22"/>
      <c r="H330" s="22"/>
    </row>
    <row r="331" spans="2:8" x14ac:dyDescent="0.2">
      <c r="B331" s="85">
        <v>330</v>
      </c>
      <c r="C331" s="22"/>
      <c r="D331" s="22"/>
      <c r="E331" s="22"/>
      <c r="F331" s="22"/>
      <c r="G331" s="22"/>
      <c r="H331" s="22"/>
    </row>
    <row r="332" spans="2:8" x14ac:dyDescent="0.2">
      <c r="B332" s="85">
        <v>331</v>
      </c>
      <c r="C332" s="22"/>
      <c r="D332" s="22"/>
      <c r="E332" s="22"/>
      <c r="F332" s="22"/>
      <c r="G332" s="22"/>
      <c r="H332" s="22"/>
    </row>
    <row r="333" spans="2:8" x14ac:dyDescent="0.2">
      <c r="B333" s="85">
        <v>332</v>
      </c>
      <c r="C333" s="22"/>
      <c r="D333" s="22"/>
      <c r="E333" s="22"/>
      <c r="F333" s="22"/>
      <c r="G333" s="22"/>
      <c r="H333" s="22"/>
    </row>
    <row r="334" spans="2:8" x14ac:dyDescent="0.2">
      <c r="B334" s="85">
        <v>333</v>
      </c>
      <c r="C334" s="22"/>
      <c r="D334" s="22"/>
      <c r="E334" s="22"/>
      <c r="F334" s="22"/>
      <c r="G334" s="22"/>
      <c r="H334" s="22"/>
    </row>
    <row r="335" spans="2:8" x14ac:dyDescent="0.2">
      <c r="B335" s="85">
        <v>334</v>
      </c>
      <c r="C335" s="22"/>
      <c r="D335" s="22"/>
      <c r="E335" s="22"/>
      <c r="F335" s="22"/>
      <c r="G335" s="22"/>
      <c r="H335" s="22"/>
    </row>
    <row r="336" spans="2:8" x14ac:dyDescent="0.2">
      <c r="B336" s="85">
        <v>335</v>
      </c>
      <c r="C336" s="22"/>
      <c r="D336" s="22"/>
      <c r="E336" s="22"/>
      <c r="F336" s="22"/>
      <c r="G336" s="22"/>
      <c r="H336" s="22"/>
    </row>
    <row r="337" spans="2:8" x14ac:dyDescent="0.2">
      <c r="B337" s="85">
        <v>336</v>
      </c>
      <c r="C337" s="22"/>
      <c r="D337" s="22"/>
      <c r="E337" s="22"/>
      <c r="F337" s="22"/>
      <c r="G337" s="22"/>
      <c r="H337" s="22"/>
    </row>
    <row r="338" spans="2:8" x14ac:dyDescent="0.2">
      <c r="B338" s="85">
        <v>337</v>
      </c>
      <c r="C338" s="22"/>
      <c r="D338" s="22"/>
      <c r="E338" s="22"/>
      <c r="F338" s="22"/>
      <c r="G338" s="22"/>
      <c r="H338" s="22"/>
    </row>
    <row r="339" spans="2:8" x14ac:dyDescent="0.2">
      <c r="B339" s="85">
        <v>338</v>
      </c>
      <c r="C339" s="22"/>
      <c r="D339" s="22"/>
      <c r="E339" s="22"/>
      <c r="F339" s="22"/>
      <c r="G339" s="22"/>
      <c r="H339" s="22"/>
    </row>
    <row r="340" spans="2:8" x14ac:dyDescent="0.2">
      <c r="B340" s="85">
        <v>339</v>
      </c>
      <c r="C340" s="22"/>
      <c r="D340" s="22"/>
      <c r="E340" s="22"/>
      <c r="F340" s="22"/>
      <c r="G340" s="22"/>
      <c r="H340" s="22"/>
    </row>
    <row r="341" spans="2:8" x14ac:dyDescent="0.2">
      <c r="B341" s="85">
        <v>340</v>
      </c>
      <c r="C341" s="22"/>
      <c r="D341" s="22"/>
      <c r="E341" s="22"/>
      <c r="F341" s="22"/>
      <c r="G341" s="22"/>
      <c r="H341" s="22"/>
    </row>
    <row r="342" spans="2:8" x14ac:dyDescent="0.2">
      <c r="B342" s="85">
        <v>341</v>
      </c>
      <c r="C342" s="22"/>
      <c r="D342" s="22"/>
      <c r="E342" s="22"/>
      <c r="F342" s="22"/>
      <c r="G342" s="22"/>
      <c r="H342" s="22"/>
    </row>
    <row r="343" spans="2:8" x14ac:dyDescent="0.2">
      <c r="B343" s="85">
        <v>342</v>
      </c>
      <c r="C343" s="22"/>
      <c r="D343" s="22"/>
      <c r="E343" s="22"/>
      <c r="F343" s="22"/>
      <c r="G343" s="22"/>
      <c r="H343" s="22"/>
    </row>
    <row r="344" spans="2:8" x14ac:dyDescent="0.2">
      <c r="B344" s="85">
        <v>343</v>
      </c>
      <c r="C344" s="22"/>
      <c r="D344" s="22"/>
      <c r="E344" s="22"/>
      <c r="F344" s="22"/>
      <c r="G344" s="22"/>
      <c r="H344" s="22"/>
    </row>
    <row r="345" spans="2:8" x14ac:dyDescent="0.2">
      <c r="B345" s="85">
        <v>344</v>
      </c>
      <c r="C345" s="22"/>
      <c r="D345" s="22"/>
      <c r="E345" s="22"/>
      <c r="F345" s="22"/>
      <c r="G345" s="22"/>
      <c r="H345" s="22"/>
    </row>
    <row r="346" spans="2:8" x14ac:dyDescent="0.2">
      <c r="B346" s="85">
        <v>345</v>
      </c>
      <c r="C346" s="22"/>
      <c r="D346" s="22"/>
      <c r="E346" s="22"/>
      <c r="F346" s="22"/>
      <c r="G346" s="22"/>
      <c r="H346" s="22"/>
    </row>
    <row r="347" spans="2:8" x14ac:dyDescent="0.2">
      <c r="B347" s="85">
        <v>346</v>
      </c>
      <c r="C347" s="22"/>
      <c r="D347" s="22"/>
      <c r="E347" s="22"/>
      <c r="F347" s="22"/>
      <c r="G347" s="22"/>
      <c r="H347" s="22"/>
    </row>
    <row r="348" spans="2:8" x14ac:dyDescent="0.2">
      <c r="B348" s="85">
        <v>347</v>
      </c>
      <c r="C348" s="22"/>
      <c r="D348" s="22"/>
      <c r="E348" s="22"/>
      <c r="F348" s="22"/>
      <c r="G348" s="22"/>
      <c r="H348" s="22"/>
    </row>
    <row r="349" spans="2:8" x14ac:dyDescent="0.2">
      <c r="B349" s="85">
        <v>348</v>
      </c>
      <c r="C349" s="22"/>
      <c r="D349" s="22"/>
      <c r="E349" s="22"/>
      <c r="F349" s="22"/>
      <c r="G349" s="22"/>
      <c r="H349" s="22"/>
    </row>
    <row r="350" spans="2:8" x14ac:dyDescent="0.2">
      <c r="B350" s="85">
        <v>349</v>
      </c>
      <c r="C350" s="22"/>
      <c r="D350" s="22"/>
      <c r="E350" s="22"/>
      <c r="F350" s="22"/>
      <c r="G350" s="22"/>
      <c r="H350" s="22"/>
    </row>
    <row r="351" spans="2:8" x14ac:dyDescent="0.2">
      <c r="B351" s="85">
        <v>350</v>
      </c>
      <c r="C351" s="22"/>
      <c r="D351" s="22"/>
      <c r="E351" s="22"/>
      <c r="F351" s="22"/>
      <c r="G351" s="22"/>
      <c r="H351" s="22"/>
    </row>
    <row r="352" spans="2:8" x14ac:dyDescent="0.2">
      <c r="B352" s="85">
        <v>351</v>
      </c>
      <c r="C352" s="22"/>
      <c r="D352" s="22"/>
      <c r="E352" s="22"/>
      <c r="F352" s="22"/>
      <c r="G352" s="22"/>
      <c r="H352" s="22"/>
    </row>
    <row r="353" spans="2:8" x14ac:dyDescent="0.2">
      <c r="B353" s="85">
        <v>352</v>
      </c>
      <c r="C353" s="22"/>
      <c r="D353" s="22"/>
      <c r="E353" s="22"/>
      <c r="F353" s="22"/>
      <c r="G353" s="22"/>
      <c r="H353" s="22"/>
    </row>
    <row r="354" spans="2:8" x14ac:dyDescent="0.2">
      <c r="B354" s="85">
        <v>353</v>
      </c>
      <c r="C354" s="22"/>
      <c r="D354" s="22"/>
      <c r="E354" s="22"/>
      <c r="F354" s="22"/>
      <c r="G354" s="22"/>
      <c r="H354" s="22"/>
    </row>
    <row r="355" spans="2:8" x14ac:dyDescent="0.2">
      <c r="B355" s="85">
        <v>354</v>
      </c>
      <c r="C355" s="22"/>
      <c r="D355" s="22"/>
      <c r="E355" s="22"/>
      <c r="F355" s="22"/>
      <c r="G355" s="22"/>
      <c r="H355" s="22"/>
    </row>
    <row r="356" spans="2:8" x14ac:dyDescent="0.2">
      <c r="B356" s="85">
        <v>355</v>
      </c>
      <c r="C356" s="22"/>
      <c r="D356" s="22"/>
      <c r="E356" s="22"/>
      <c r="F356" s="22"/>
      <c r="G356" s="22"/>
      <c r="H356" s="22"/>
    </row>
    <row r="357" spans="2:8" x14ac:dyDescent="0.2">
      <c r="B357" s="85">
        <v>356</v>
      </c>
      <c r="C357" s="22"/>
      <c r="D357" s="22"/>
      <c r="E357" s="22"/>
      <c r="F357" s="22"/>
      <c r="G357" s="22"/>
      <c r="H357" s="22"/>
    </row>
    <row r="358" spans="2:8" x14ac:dyDescent="0.2">
      <c r="B358" s="85">
        <v>357</v>
      </c>
      <c r="C358" s="22"/>
      <c r="D358" s="22"/>
      <c r="E358" s="22"/>
      <c r="F358" s="22"/>
      <c r="G358" s="22"/>
      <c r="H358" s="22"/>
    </row>
    <row r="359" spans="2:8" x14ac:dyDescent="0.2">
      <c r="B359" s="85">
        <v>358</v>
      </c>
      <c r="C359" s="22"/>
      <c r="D359" s="22"/>
      <c r="E359" s="22"/>
      <c r="F359" s="22"/>
      <c r="G359" s="22"/>
      <c r="H359" s="22"/>
    </row>
    <row r="360" spans="2:8" x14ac:dyDescent="0.2">
      <c r="B360" s="85">
        <v>359</v>
      </c>
      <c r="C360" s="22"/>
      <c r="D360" s="22"/>
      <c r="E360" s="22"/>
      <c r="F360" s="22"/>
      <c r="G360" s="22"/>
      <c r="H360" s="22"/>
    </row>
    <row r="361" spans="2:8" x14ac:dyDescent="0.2">
      <c r="B361" s="85">
        <v>360</v>
      </c>
      <c r="C361" s="22"/>
      <c r="D361" s="22"/>
      <c r="E361" s="22"/>
      <c r="F361" s="22"/>
      <c r="G361" s="22"/>
      <c r="H361" s="22"/>
    </row>
    <row r="362" spans="2:8" x14ac:dyDescent="0.2">
      <c r="B362" s="85">
        <v>361</v>
      </c>
      <c r="C362" s="22"/>
      <c r="D362" s="22"/>
      <c r="E362" s="22"/>
      <c r="F362" s="22"/>
      <c r="G362" s="22"/>
      <c r="H362" s="22"/>
    </row>
    <row r="363" spans="2:8" x14ac:dyDescent="0.2">
      <c r="B363" s="85">
        <v>362</v>
      </c>
      <c r="C363" s="22"/>
      <c r="D363" s="22"/>
      <c r="E363" s="22"/>
      <c r="F363" s="22"/>
      <c r="G363" s="22"/>
      <c r="H363" s="22"/>
    </row>
    <row r="364" spans="2:8" x14ac:dyDescent="0.2">
      <c r="B364" s="85">
        <v>363</v>
      </c>
      <c r="C364" s="22"/>
      <c r="D364" s="22"/>
      <c r="E364" s="22"/>
      <c r="F364" s="22"/>
      <c r="G364" s="22"/>
      <c r="H364" s="22"/>
    </row>
    <row r="365" spans="2:8" x14ac:dyDescent="0.2">
      <c r="B365" s="85">
        <v>364</v>
      </c>
      <c r="C365" s="22"/>
      <c r="D365" s="22"/>
      <c r="E365" s="22"/>
      <c r="F365" s="22"/>
      <c r="G365" s="22"/>
      <c r="H365" s="22"/>
    </row>
    <row r="366" spans="2:8" x14ac:dyDescent="0.2">
      <c r="B366" s="85">
        <v>365</v>
      </c>
      <c r="C366" s="22"/>
      <c r="D366" s="22"/>
      <c r="E366" s="22"/>
      <c r="F366" s="22"/>
      <c r="G366" s="22"/>
      <c r="H366" s="22"/>
    </row>
    <row r="367" spans="2:8" x14ac:dyDescent="0.2">
      <c r="B367" s="85">
        <v>366</v>
      </c>
      <c r="C367" s="22"/>
      <c r="D367" s="22"/>
      <c r="E367" s="22"/>
      <c r="F367" s="22"/>
      <c r="G367" s="22"/>
      <c r="H367" s="22"/>
    </row>
    <row r="368" spans="2:8" x14ac:dyDescent="0.2">
      <c r="B368" s="85">
        <v>367</v>
      </c>
      <c r="C368" s="22"/>
      <c r="D368" s="22"/>
      <c r="E368" s="22"/>
      <c r="F368" s="22"/>
      <c r="G368" s="22"/>
      <c r="H368" s="22"/>
    </row>
    <row r="369" spans="2:8" x14ac:dyDescent="0.2">
      <c r="B369" s="85">
        <v>368</v>
      </c>
      <c r="C369" s="22"/>
      <c r="D369" s="22"/>
      <c r="E369" s="22"/>
      <c r="F369" s="22"/>
      <c r="G369" s="22"/>
      <c r="H369" s="22"/>
    </row>
    <row r="370" spans="2:8" x14ac:dyDescent="0.2">
      <c r="B370" s="85">
        <v>369</v>
      </c>
      <c r="C370" s="22"/>
      <c r="D370" s="22"/>
      <c r="E370" s="22"/>
      <c r="F370" s="22"/>
      <c r="G370" s="22"/>
      <c r="H370" s="22"/>
    </row>
    <row r="371" spans="2:8" x14ac:dyDescent="0.2">
      <c r="B371" s="85">
        <v>370</v>
      </c>
      <c r="C371" s="22"/>
      <c r="D371" s="22"/>
      <c r="E371" s="22"/>
      <c r="F371" s="22"/>
      <c r="G371" s="22"/>
      <c r="H371" s="22"/>
    </row>
    <row r="372" spans="2:8" x14ac:dyDescent="0.2">
      <c r="B372" s="85">
        <v>371</v>
      </c>
      <c r="C372" s="22"/>
      <c r="D372" s="22"/>
      <c r="E372" s="22"/>
      <c r="F372" s="22"/>
      <c r="G372" s="22"/>
      <c r="H372" s="22"/>
    </row>
    <row r="373" spans="2:8" x14ac:dyDescent="0.2">
      <c r="B373" s="85">
        <v>372</v>
      </c>
      <c r="C373" s="22"/>
      <c r="D373" s="22"/>
      <c r="E373" s="22"/>
      <c r="F373" s="22"/>
      <c r="G373" s="22"/>
      <c r="H373" s="22"/>
    </row>
    <row r="374" spans="2:8" x14ac:dyDescent="0.2">
      <c r="B374" s="85">
        <v>373</v>
      </c>
      <c r="C374" s="22"/>
      <c r="D374" s="22"/>
      <c r="E374" s="22"/>
      <c r="F374" s="22"/>
      <c r="G374" s="22"/>
      <c r="H374" s="22"/>
    </row>
    <row r="375" spans="2:8" x14ac:dyDescent="0.2">
      <c r="B375" s="85">
        <v>374</v>
      </c>
      <c r="C375" s="22"/>
      <c r="D375" s="22"/>
      <c r="E375" s="22"/>
      <c r="F375" s="22"/>
      <c r="G375" s="22"/>
      <c r="H375" s="22"/>
    </row>
    <row r="376" spans="2:8" x14ac:dyDescent="0.2">
      <c r="B376" s="85">
        <v>375</v>
      </c>
      <c r="C376" s="22"/>
      <c r="D376" s="22"/>
      <c r="E376" s="22"/>
      <c r="F376" s="22"/>
      <c r="G376" s="22"/>
      <c r="H376" s="22"/>
    </row>
    <row r="377" spans="2:8" x14ac:dyDescent="0.2">
      <c r="B377" s="85">
        <v>376</v>
      </c>
      <c r="C377" s="22"/>
      <c r="D377" s="22"/>
      <c r="E377" s="22"/>
      <c r="F377" s="22"/>
      <c r="G377" s="22"/>
      <c r="H377" s="22"/>
    </row>
    <row r="378" spans="2:8" x14ac:dyDescent="0.2">
      <c r="B378" s="85">
        <v>377</v>
      </c>
      <c r="C378" s="22"/>
      <c r="D378" s="22"/>
      <c r="E378" s="22"/>
      <c r="F378" s="22"/>
      <c r="G378" s="22"/>
      <c r="H378" s="22"/>
    </row>
    <row r="379" spans="2:8" x14ac:dyDescent="0.2">
      <c r="B379" s="85">
        <v>378</v>
      </c>
      <c r="C379" s="22"/>
      <c r="D379" s="22"/>
      <c r="E379" s="22"/>
      <c r="F379" s="22"/>
      <c r="G379" s="22"/>
      <c r="H379" s="22"/>
    </row>
    <row r="380" spans="2:8" x14ac:dyDescent="0.2">
      <c r="B380" s="85">
        <v>379</v>
      </c>
      <c r="C380" s="22"/>
      <c r="D380" s="22"/>
      <c r="E380" s="22"/>
      <c r="F380" s="22"/>
      <c r="G380" s="22"/>
      <c r="H380" s="22"/>
    </row>
    <row r="381" spans="2:8" x14ac:dyDescent="0.2">
      <c r="B381" s="85">
        <v>380</v>
      </c>
      <c r="C381" s="22"/>
      <c r="D381" s="22"/>
      <c r="E381" s="22"/>
      <c r="F381" s="22"/>
      <c r="G381" s="22"/>
      <c r="H381" s="22"/>
    </row>
    <row r="382" spans="2:8" x14ac:dyDescent="0.2">
      <c r="B382" s="85">
        <v>381</v>
      </c>
      <c r="C382" s="22"/>
      <c r="D382" s="22"/>
      <c r="E382" s="22"/>
      <c r="F382" s="22"/>
      <c r="G382" s="22"/>
      <c r="H382" s="22"/>
    </row>
    <row r="383" spans="2:8" x14ac:dyDescent="0.2">
      <c r="B383" s="85">
        <v>382</v>
      </c>
      <c r="C383" s="22"/>
      <c r="D383" s="22"/>
      <c r="E383" s="22"/>
      <c r="F383" s="22"/>
      <c r="G383" s="22"/>
      <c r="H383" s="22"/>
    </row>
    <row r="384" spans="2:8" x14ac:dyDescent="0.2">
      <c r="B384" s="85">
        <v>383</v>
      </c>
      <c r="C384" s="22"/>
      <c r="D384" s="22"/>
      <c r="E384" s="22"/>
      <c r="F384" s="22"/>
      <c r="G384" s="22"/>
      <c r="H384" s="22"/>
    </row>
    <row r="385" spans="2:8" x14ac:dyDescent="0.2">
      <c r="B385" s="85">
        <v>384</v>
      </c>
      <c r="C385" s="22"/>
      <c r="D385" s="22"/>
      <c r="E385" s="22"/>
      <c r="F385" s="22"/>
      <c r="G385" s="22"/>
      <c r="H385" s="22"/>
    </row>
    <row r="386" spans="2:8" x14ac:dyDescent="0.2">
      <c r="B386" s="85">
        <v>385</v>
      </c>
      <c r="C386" s="22"/>
      <c r="D386" s="22"/>
      <c r="E386" s="22"/>
      <c r="F386" s="22"/>
      <c r="G386" s="22"/>
      <c r="H386" s="22"/>
    </row>
    <row r="387" spans="2:8" x14ac:dyDescent="0.2">
      <c r="B387" s="85">
        <v>386</v>
      </c>
      <c r="C387" s="22"/>
      <c r="D387" s="22"/>
      <c r="E387" s="22"/>
      <c r="F387" s="22"/>
      <c r="G387" s="22"/>
      <c r="H387" s="22"/>
    </row>
    <row r="388" spans="2:8" x14ac:dyDescent="0.2">
      <c r="B388" s="85">
        <v>387</v>
      </c>
      <c r="C388" s="22"/>
      <c r="D388" s="22"/>
      <c r="E388" s="22"/>
      <c r="F388" s="22"/>
      <c r="G388" s="22"/>
      <c r="H388" s="22"/>
    </row>
    <row r="389" spans="2:8" x14ac:dyDescent="0.2">
      <c r="B389" s="85">
        <v>388</v>
      </c>
      <c r="C389" s="22"/>
      <c r="D389" s="22"/>
      <c r="E389" s="22"/>
      <c r="F389" s="22"/>
      <c r="G389" s="22"/>
      <c r="H389" s="22"/>
    </row>
    <row r="390" spans="2:8" x14ac:dyDescent="0.2">
      <c r="B390" s="85">
        <v>389</v>
      </c>
      <c r="C390" s="22"/>
      <c r="D390" s="22"/>
      <c r="E390" s="22"/>
      <c r="F390" s="22"/>
      <c r="G390" s="22"/>
      <c r="H390" s="22"/>
    </row>
    <row r="391" spans="2:8" x14ac:dyDescent="0.2">
      <c r="B391" s="85">
        <v>390</v>
      </c>
      <c r="C391" s="22"/>
      <c r="D391" s="22"/>
      <c r="E391" s="22"/>
      <c r="F391" s="22"/>
      <c r="G391" s="22"/>
      <c r="H391" s="22"/>
    </row>
    <row r="392" spans="2:8" x14ac:dyDescent="0.2">
      <c r="B392" s="85">
        <v>391</v>
      </c>
      <c r="C392" s="22"/>
      <c r="D392" s="22"/>
      <c r="E392" s="22"/>
      <c r="F392" s="22"/>
      <c r="G392" s="22"/>
      <c r="H392" s="22"/>
    </row>
    <row r="393" spans="2:8" x14ac:dyDescent="0.2">
      <c r="B393" s="85">
        <v>392</v>
      </c>
      <c r="C393" s="22"/>
      <c r="D393" s="22"/>
      <c r="E393" s="22"/>
      <c r="F393" s="22"/>
      <c r="G393" s="22"/>
      <c r="H393" s="22"/>
    </row>
    <row r="394" spans="2:8" x14ac:dyDescent="0.2">
      <c r="B394" s="85">
        <v>393</v>
      </c>
      <c r="C394" s="22"/>
      <c r="D394" s="22"/>
      <c r="E394" s="22"/>
      <c r="F394" s="22"/>
      <c r="G394" s="22"/>
      <c r="H394" s="22"/>
    </row>
    <row r="395" spans="2:8" x14ac:dyDescent="0.2">
      <c r="B395" s="85">
        <v>394</v>
      </c>
      <c r="C395" s="22"/>
      <c r="D395" s="22"/>
      <c r="E395" s="22"/>
      <c r="F395" s="22"/>
      <c r="G395" s="22"/>
      <c r="H395" s="22"/>
    </row>
    <row r="396" spans="2:8" x14ac:dyDescent="0.2">
      <c r="B396" s="85">
        <v>395</v>
      </c>
      <c r="C396" s="22"/>
      <c r="D396" s="22"/>
      <c r="E396" s="22"/>
      <c r="F396" s="22"/>
      <c r="G396" s="22"/>
      <c r="H396" s="22"/>
    </row>
    <row r="397" spans="2:8" x14ac:dyDescent="0.2">
      <c r="B397" s="85">
        <v>396</v>
      </c>
      <c r="C397" s="22"/>
      <c r="D397" s="22"/>
      <c r="E397" s="22"/>
      <c r="F397" s="22"/>
      <c r="G397" s="22"/>
      <c r="H397" s="22"/>
    </row>
    <row r="398" spans="2:8" x14ac:dyDescent="0.2">
      <c r="B398" s="85">
        <v>397</v>
      </c>
      <c r="C398" s="22"/>
      <c r="D398" s="22"/>
      <c r="E398" s="22"/>
      <c r="F398" s="22"/>
      <c r="G398" s="22"/>
      <c r="H398" s="22"/>
    </row>
    <row r="399" spans="2:8" x14ac:dyDescent="0.2">
      <c r="B399" s="85">
        <v>398</v>
      </c>
      <c r="C399" s="22"/>
      <c r="D399" s="22"/>
      <c r="E399" s="22"/>
      <c r="F399" s="22"/>
      <c r="G399" s="22"/>
      <c r="H399" s="22"/>
    </row>
    <row r="400" spans="2:8" x14ac:dyDescent="0.2">
      <c r="B400" s="85">
        <v>399</v>
      </c>
      <c r="C400" s="22"/>
      <c r="D400" s="22"/>
      <c r="E400" s="22"/>
      <c r="F400" s="22"/>
      <c r="G400" s="22"/>
      <c r="H400" s="22"/>
    </row>
    <row r="401" spans="2:8" x14ac:dyDescent="0.2">
      <c r="B401" s="85">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082"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BDB66DEF-FC0C-4D55-859B-4D18A581056F}"/>
</file>

<file path=customXml/itemProps3.xml><?xml version="1.0" encoding="utf-8"?>
<ds:datastoreItem xmlns:ds="http://schemas.openxmlformats.org/officeDocument/2006/customXml" ds:itemID="{F3AF52A6-9FE7-4C56-9B34-05EE4D2996AC}"/>
</file>

<file path=customXml/itemProps4.xml><?xml version="1.0" encoding="utf-8"?>
<ds:datastoreItem xmlns:ds="http://schemas.openxmlformats.org/officeDocument/2006/customXml" ds:itemID="{F7DB01A4-F288-4BFC-B294-64F08A534AC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2025-09-09T05:42:13Z</cp:lastPrinted>
  <dcterms:created xsi:type="dcterms:W3CDTF">2015-06-05T18:19:34Z</dcterms:created>
  <dcterms:modified xsi:type="dcterms:W3CDTF">2025-11-27T10:59:18Z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